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C9C128A6-399F-47FA-A39F-5605EFE8C253}" xr6:coauthVersionLast="47" xr6:coauthVersionMax="47" xr10:uidLastSave="{00000000-0000-0000-0000-000000000000}"/>
  <bookViews>
    <workbookView xWindow="-108" yWindow="-108" windowWidth="23256" windowHeight="12456" firstSheet="10" activeTab="12" xr2:uid="{792BC01D-726E-4587-A5A1-8A61623E604E}"/>
  </bookViews>
  <sheets>
    <sheet name="A CHAU" sheetId="1" state="hidden" r:id="rId1"/>
    <sheet name="FOLIOT" sheetId="4" state="hidden" r:id="rId2"/>
    <sheet name="SUNAGRO" sheetId="6" state="hidden" r:id="rId3"/>
    <sheet name="ZASI" sheetId="17" state="hidden" r:id="rId4"/>
    <sheet name="SONG LONG" sheetId="2" state="hidden" r:id="rId5"/>
    <sheet name="SONG LONG- XTC" sheetId="10" state="hidden" r:id="rId6"/>
    <sheet name="ĐẠI HÀO" sheetId="7" state="hidden" r:id="rId7"/>
    <sheet name="CHÍNH NGUYÊN" sheetId="8" state="hidden" r:id="rId8"/>
    <sheet name="LESSOHOME" sheetId="22" r:id="rId9"/>
    <sheet name="BLUELAKE" sheetId="23" r:id="rId10"/>
    <sheet name="MPF" sheetId="3" r:id="rId11"/>
    <sheet name="NOVA XUẤT" sheetId="14" r:id="rId12"/>
    <sheet name="NOVA NHẬP" sheetId="16" r:id="rId13"/>
    <sheet name="LIÊN Á" sheetId="15" r:id="rId14"/>
    <sheet name="VIETSTAR XTN - NTC" sheetId="18" r:id="rId15"/>
    <sheet name="VIET STAR NHẬP XUẤT" sheetId="19" r:id="rId16"/>
    <sheet name="LABEL" sheetId="5" r:id="rId17"/>
    <sheet name="VIETSTAR CHUYEN KHO" sheetId="20" r:id="rId18"/>
    <sheet name="CHÍNH NGUYÊN - NHẬP TC" sheetId="12" state="hidden" r:id="rId19"/>
    <sheet name="CHÍNH NGUYÊN - TÁI NHẬP" sheetId="11" state="hidden" r:id="rId20"/>
    <sheet name="HIGH POINT" sheetId="9" state="hidden" r:id="rId21"/>
  </sheets>
  <externalReferences>
    <externalReference r:id="rId22"/>
    <externalReference r:id="rId23"/>
  </externalReferences>
  <definedNames>
    <definedName name="_xlnm._FilterDatabase" localSheetId="9" hidden="1">BLUELAKE!$A$3:$AJ$3</definedName>
    <definedName name="_xlnm._FilterDatabase" localSheetId="7" hidden="1">'CHÍNH NGUYÊN'!$A$2:$AG$353</definedName>
    <definedName name="_xlnm._FilterDatabase" localSheetId="8" hidden="1">LESSOHOME!$A$3:$AO$3</definedName>
    <definedName name="_xlnm._FilterDatabase" localSheetId="10" hidden="1">MPF!$A$3:$AN$301</definedName>
    <definedName name="_xlnm._FilterDatabase" localSheetId="15" hidden="1">'VIET STAR NHẬP XUẤT'!$A$2:$AL$143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44" i="19" l="1"/>
  <c r="AI145" i="19"/>
  <c r="AI146" i="19"/>
  <c r="AI148" i="19"/>
  <c r="AI149" i="19"/>
  <c r="AI151" i="19"/>
  <c r="AI152" i="19"/>
  <c r="AI147" i="19"/>
  <c r="AI150" i="19"/>
  <c r="AG147" i="19"/>
  <c r="AG150" i="19"/>
  <c r="AG153" i="19"/>
  <c r="AG145" i="19"/>
  <c r="AG146" i="19"/>
  <c r="AG148" i="19"/>
  <c r="AG149" i="19"/>
  <c r="AG151" i="19"/>
  <c r="AG152" i="19"/>
  <c r="AJ146" i="19" l="1"/>
  <c r="AJ145" i="19"/>
  <c r="AB502" i="3"/>
  <c r="A119" i="18" l="1"/>
  <c r="A120" i="18" s="1"/>
  <c r="AB92" i="16"/>
  <c r="Z114" i="18" l="1"/>
  <c r="Z115" i="18"/>
  <c r="Z116" i="18"/>
  <c r="Z117" i="18"/>
  <c r="B502" i="3" l="1"/>
  <c r="B503" i="3" s="1"/>
  <c r="B504" i="3" s="1"/>
  <c r="B505" i="3" s="1"/>
  <c r="B506" i="3" s="1"/>
  <c r="B507" i="3" s="1"/>
  <c r="B508" i="3" s="1"/>
  <c r="B509" i="3" s="1"/>
  <c r="AG93" i="16" l="1"/>
  <c r="AF93" i="16"/>
  <c r="AE166" i="14"/>
  <c r="AF94" i="16"/>
  <c r="AF96" i="16" l="1"/>
  <c r="AF97" i="16"/>
  <c r="AF98" i="16"/>
  <c r="AF99" i="16"/>
  <c r="AF100" i="16"/>
  <c r="AF101" i="16"/>
  <c r="AF102" i="16"/>
  <c r="AF103" i="16"/>
  <c r="AF95" i="16"/>
  <c r="AE167" i="14"/>
  <c r="AB501" i="3" l="1"/>
  <c r="AF501" i="3" s="1"/>
  <c r="AC501" i="3"/>
  <c r="AB503" i="3"/>
  <c r="AC503" i="3"/>
  <c r="AB504" i="3"/>
  <c r="AF504" i="3" s="1"/>
  <c r="AC504" i="3"/>
  <c r="AB505" i="3"/>
  <c r="AF505" i="3" s="1"/>
  <c r="AC505" i="3"/>
  <c r="AB506" i="3"/>
  <c r="AC506" i="3"/>
  <c r="AE501" i="3"/>
  <c r="AG501" i="3" s="1"/>
  <c r="AE503" i="3"/>
  <c r="AE504" i="3"/>
  <c r="AG504" i="3" s="1"/>
  <c r="AG505" i="3"/>
  <c r="AE506" i="3"/>
  <c r="AF506" i="3" s="1"/>
  <c r="AE174" i="14"/>
  <c r="AF174" i="14" s="1"/>
  <c r="AE175" i="14"/>
  <c r="AE176" i="14"/>
  <c r="AF176" i="14" s="1"/>
  <c r="AE177" i="14"/>
  <c r="AE178" i="14"/>
  <c r="AF178" i="14" s="1"/>
  <c r="AE179" i="14"/>
  <c r="AF179" i="14"/>
  <c r="AE180" i="14"/>
  <c r="AE181" i="14"/>
  <c r="AF181" i="14"/>
  <c r="AE182" i="14"/>
  <c r="AF182" i="14" s="1"/>
  <c r="AE183" i="14"/>
  <c r="AF183" i="14"/>
  <c r="AE184" i="14"/>
  <c r="AF184" i="14" s="1"/>
  <c r="AE185" i="14"/>
  <c r="AF185" i="14"/>
  <c r="AB175" i="14"/>
  <c r="AB176" i="14"/>
  <c r="AB177" i="14"/>
  <c r="AB178" i="14"/>
  <c r="AB179" i="14"/>
  <c r="AB180" i="14"/>
  <c r="AB181" i="14"/>
  <c r="AB182" i="14"/>
  <c r="AB183" i="14"/>
  <c r="AB184" i="14"/>
  <c r="AB185" i="14"/>
  <c r="AF177" i="14" l="1"/>
  <c r="AF180" i="14"/>
  <c r="AG506" i="3"/>
  <c r="AF503" i="3"/>
  <c r="AF175" i="14"/>
  <c r="AG503" i="3"/>
  <c r="AE168" i="14" l="1"/>
  <c r="AE113" i="15" l="1"/>
  <c r="AE115" i="15" l="1"/>
  <c r="AF115" i="15" s="1"/>
  <c r="AE116" i="15"/>
  <c r="AF116" i="15" s="1"/>
  <c r="AE117" i="15"/>
  <c r="AF117" i="15" s="1"/>
  <c r="AC114" i="15"/>
  <c r="AC115" i="15"/>
  <c r="AC116" i="15"/>
  <c r="AC117" i="15"/>
  <c r="AI136" i="19" l="1"/>
  <c r="Z126" i="19"/>
  <c r="AJ150" i="19"/>
  <c r="AI153" i="19"/>
  <c r="AJ153" i="19" s="1"/>
  <c r="AI154" i="19"/>
  <c r="AJ154" i="19" s="1"/>
  <c r="AI155" i="19"/>
  <c r="AJ155" i="19" s="1"/>
  <c r="AI139" i="19"/>
  <c r="AI140" i="19"/>
  <c r="AI141" i="19"/>
  <c r="AI142" i="19"/>
  <c r="AI143" i="19"/>
  <c r="Z113" i="18"/>
  <c r="Z112" i="18"/>
  <c r="AI138" i="19"/>
  <c r="AI133" i="19"/>
  <c r="AJ147" i="19"/>
  <c r="AI156" i="19"/>
  <c r="AJ156" i="19" s="1"/>
  <c r="AI157" i="19"/>
  <c r="AJ157" i="19" s="1"/>
  <c r="AI158" i="19"/>
  <c r="AJ158" i="19" s="1"/>
  <c r="AI159" i="19"/>
  <c r="AJ159" i="19" s="1"/>
  <c r="AI160" i="19"/>
  <c r="AJ160" i="19" s="1"/>
  <c r="AI161" i="19"/>
  <c r="AJ161" i="19" s="1"/>
  <c r="AI162" i="19"/>
  <c r="AJ162" i="19" s="1"/>
  <c r="AI163" i="19"/>
  <c r="AJ163" i="19" s="1"/>
  <c r="AI164" i="19"/>
  <c r="AJ164" i="19" s="1"/>
  <c r="AI165" i="19"/>
  <c r="AJ165" i="19" s="1"/>
  <c r="AI166" i="19"/>
  <c r="AJ166" i="19" s="1"/>
  <c r="AI167" i="19"/>
  <c r="AJ167" i="19" s="1"/>
  <c r="AI168" i="19"/>
  <c r="AJ168" i="19" s="1"/>
  <c r="AI169" i="19"/>
  <c r="AJ169" i="19" s="1"/>
  <c r="AI170" i="19"/>
  <c r="AJ170" i="19" s="1"/>
  <c r="AI171" i="19"/>
  <c r="AJ171" i="19" s="1"/>
  <c r="AI135" i="19"/>
  <c r="AI129" i="19"/>
  <c r="AG141" i="19" l="1"/>
  <c r="AJ141" i="19" s="1"/>
  <c r="AG140" i="19"/>
  <c r="AJ140" i="19" s="1"/>
  <c r="AE494" i="3" l="1"/>
  <c r="AE495" i="3"/>
  <c r="AE496" i="3"/>
  <c r="AE497" i="3"/>
  <c r="AE498" i="3"/>
  <c r="AE499" i="3"/>
  <c r="AE500" i="3"/>
  <c r="Z133" i="19" l="1"/>
  <c r="AE169" i="14" l="1"/>
  <c r="AF169" i="14" s="1"/>
  <c r="AE170" i="14"/>
  <c r="AE171" i="14"/>
  <c r="AF171" i="14" s="1"/>
  <c r="AE172" i="14"/>
  <c r="AF172" i="14" s="1"/>
  <c r="AE173" i="14"/>
  <c r="AF173" i="14" s="1"/>
  <c r="AB168" i="14"/>
  <c r="AB169" i="14"/>
  <c r="AB170" i="14"/>
  <c r="AB171" i="14"/>
  <c r="AB172" i="14"/>
  <c r="AB173" i="14"/>
  <c r="AB174" i="14"/>
  <c r="AF170" i="14" l="1"/>
  <c r="X91" i="16"/>
  <c r="Y112" i="18" l="1"/>
  <c r="Z105" i="18"/>
  <c r="Z106" i="18"/>
  <c r="Z107" i="18"/>
  <c r="Z108" i="18"/>
  <c r="Z109" i="18"/>
  <c r="Z110" i="18"/>
  <c r="Z111" i="18"/>
  <c r="Z104" i="18"/>
  <c r="AG139" i="19" l="1"/>
  <c r="AG138" i="19"/>
  <c r="AJ138" i="19" s="1"/>
  <c r="AJ148" i="19"/>
  <c r="AJ151" i="19"/>
  <c r="AJ152" i="19"/>
  <c r="AG144" i="19"/>
  <c r="AJ144" i="19" s="1"/>
  <c r="AG497" i="3" l="1"/>
  <c r="AG500" i="3"/>
  <c r="AG498" i="3"/>
  <c r="AG499" i="3"/>
  <c r="AB499" i="3"/>
  <c r="AF499" i="3" s="1"/>
  <c r="AC499" i="3"/>
  <c r="AB500" i="3"/>
  <c r="AC500" i="3"/>
  <c r="AF500" i="3" l="1"/>
  <c r="AE132" i="19"/>
  <c r="AI137" i="19" l="1"/>
  <c r="AJ139" i="19"/>
  <c r="AG135" i="19"/>
  <c r="AG136" i="19"/>
  <c r="AJ136" i="19" s="1"/>
  <c r="AG137" i="19"/>
  <c r="AG142" i="19"/>
  <c r="AJ142" i="19" s="1"/>
  <c r="AG143" i="19"/>
  <c r="AJ137" i="19" l="1"/>
  <c r="AJ143" i="19"/>
  <c r="AJ135" i="19"/>
  <c r="W113" i="15" l="1"/>
  <c r="A93" i="16" l="1"/>
  <c r="A94" i="16" s="1"/>
  <c r="A95" i="16" s="1"/>
  <c r="A96" i="16" s="1"/>
  <c r="AE114" i="15" l="1"/>
  <c r="AF114" i="15" s="1"/>
  <c r="AF168" i="14"/>
  <c r="AB167" i="14"/>
  <c r="AF167" i="14" l="1"/>
  <c r="A115" i="15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X86" i="16" l="1"/>
  <c r="AG125" i="19" l="1"/>
  <c r="AG124" i="19"/>
  <c r="AI122" i="19"/>
  <c r="Y103" i="18"/>
  <c r="Z98" i="18"/>
  <c r="Z99" i="18"/>
  <c r="Z100" i="18"/>
  <c r="Z101" i="18"/>
  <c r="Z102" i="18"/>
  <c r="AG7" i="23" l="1"/>
  <c r="AC497" i="3"/>
  <c r="AC498" i="3"/>
  <c r="AB497" i="3"/>
  <c r="AF497" i="3" s="1"/>
  <c r="AB498" i="3"/>
  <c r="AF498" i="3" s="1"/>
  <c r="AF92" i="16" l="1"/>
  <c r="AF104" i="16"/>
  <c r="AF105" i="16"/>
  <c r="AF106" i="16"/>
  <c r="AG106" i="16" s="1"/>
  <c r="AF107" i="16"/>
  <c r="AG107" i="16" s="1"/>
  <c r="AF91" i="16"/>
  <c r="AD92" i="16"/>
  <c r="AD94" i="16"/>
  <c r="AG94" i="16" s="1"/>
  <c r="AD95" i="16"/>
  <c r="AD96" i="16"/>
  <c r="AD97" i="16"/>
  <c r="AG97" i="16" s="1"/>
  <c r="AD98" i="16"/>
  <c r="AD99" i="16"/>
  <c r="AG99" i="16" s="1"/>
  <c r="AD100" i="16"/>
  <c r="AG100" i="16" s="1"/>
  <c r="AD101" i="16"/>
  <c r="AG101" i="16" s="1"/>
  <c r="AD102" i="16"/>
  <c r="AG102" i="16" s="1"/>
  <c r="AD103" i="16"/>
  <c r="AG103" i="16" s="1"/>
  <c r="AD104" i="16"/>
  <c r="AG104" i="16" s="1"/>
  <c r="AD105" i="16"/>
  <c r="AG105" i="16" s="1"/>
  <c r="AD91" i="16"/>
  <c r="AG96" i="16" l="1"/>
  <c r="AG98" i="16"/>
  <c r="AG95" i="16"/>
  <c r="AG92" i="16"/>
  <c r="AG91" i="16"/>
  <c r="AI127" i="19"/>
  <c r="AI128" i="19"/>
  <c r="AI130" i="19"/>
  <c r="AI131" i="19"/>
  <c r="AI132" i="19"/>
  <c r="AI134" i="19"/>
  <c r="AI126" i="19"/>
  <c r="AG127" i="19"/>
  <c r="AG128" i="19"/>
  <c r="AG130" i="19"/>
  <c r="AG129" i="19"/>
  <c r="AJ129" i="19" s="1"/>
  <c r="AG131" i="19"/>
  <c r="AG132" i="19"/>
  <c r="AJ132" i="19" s="1"/>
  <c r="AG133" i="19"/>
  <c r="AG134" i="19"/>
  <c r="AG126" i="19"/>
  <c r="AG122" i="19"/>
  <c r="AJ9" i="23"/>
  <c r="AJ128" i="19" l="1"/>
  <c r="AJ130" i="19"/>
  <c r="AJ126" i="19"/>
  <c r="AJ122" i="19"/>
  <c r="AJ134" i="19"/>
  <c r="AJ131" i="19"/>
  <c r="AJ133" i="19"/>
  <c r="AJ127" i="19"/>
  <c r="AB166" i="14"/>
  <c r="AB164" i="14"/>
  <c r="AF166" i="14" l="1"/>
  <c r="X88" i="16"/>
  <c r="X87" i="16"/>
  <c r="X85" i="16"/>
  <c r="A127" i="19" l="1"/>
  <c r="Y5" i="23" l="1"/>
  <c r="AB116" i="19" l="1"/>
  <c r="Z116" i="19"/>
  <c r="Y116" i="19"/>
  <c r="AE107" i="15" l="1"/>
  <c r="S109" i="15"/>
  <c r="AE106" i="15"/>
  <c r="S104" i="15"/>
  <c r="AE7" i="23" l="1"/>
  <c r="AE8" i="23"/>
  <c r="AE5" i="23"/>
  <c r="AG6" i="23"/>
  <c r="AE6" i="23"/>
  <c r="AE112" i="15" l="1"/>
  <c r="AC113" i="15"/>
  <c r="AC112" i="15"/>
  <c r="AE103" i="15"/>
  <c r="AE104" i="15"/>
  <c r="AE105" i="15"/>
  <c r="AE111" i="15"/>
  <c r="AE108" i="15"/>
  <c r="AE109" i="15"/>
  <c r="AE102" i="15"/>
  <c r="AC103" i="15"/>
  <c r="AC104" i="15"/>
  <c r="AC105" i="15"/>
  <c r="AC106" i="15"/>
  <c r="AF106" i="15" s="1"/>
  <c r="AC111" i="15"/>
  <c r="AC107" i="15"/>
  <c r="AF107" i="15" s="1"/>
  <c r="AC108" i="15"/>
  <c r="AC109" i="15"/>
  <c r="AC102" i="15"/>
  <c r="AF113" i="15" l="1"/>
  <c r="AF109" i="15"/>
  <c r="AF104" i="15"/>
  <c r="AF111" i="15"/>
  <c r="AF108" i="15"/>
  <c r="AF105" i="15"/>
  <c r="AF102" i="15"/>
  <c r="AF103" i="15"/>
  <c r="AF112" i="15"/>
  <c r="AH7" i="23"/>
  <c r="AB495" i="3"/>
  <c r="AC495" i="3"/>
  <c r="AB496" i="3"/>
  <c r="AC496" i="3"/>
  <c r="AC494" i="3"/>
  <c r="AC492" i="3"/>
  <c r="AB494" i="3"/>
  <c r="AG495" i="3"/>
  <c r="AG496" i="3"/>
  <c r="AG8" i="23"/>
  <c r="AG5" i="23"/>
  <c r="AJ4" i="23"/>
  <c r="AJ5" i="23"/>
  <c r="AJ6" i="23"/>
  <c r="AJ7" i="23"/>
  <c r="AJ8" i="23"/>
  <c r="AJ10" i="23"/>
  <c r="AJ11" i="23"/>
  <c r="AJ12" i="23"/>
  <c r="AJ13" i="23"/>
  <c r="AJ14" i="23"/>
  <c r="AJ15" i="23"/>
  <c r="AJ16" i="23"/>
  <c r="AJ17" i="23"/>
  <c r="AJ18" i="23"/>
  <c r="AJ19" i="23"/>
  <c r="AJ20" i="23"/>
  <c r="AJ21" i="23"/>
  <c r="AJ22" i="23"/>
  <c r="AJ23" i="23"/>
  <c r="AJ24" i="23"/>
  <c r="AJ25" i="23"/>
  <c r="AJ26" i="23"/>
  <c r="AJ27" i="23"/>
  <c r="AF496" i="3" l="1"/>
  <c r="AF495" i="3"/>
  <c r="AH8" i="23"/>
  <c r="AH6" i="23"/>
  <c r="AH5" i="23"/>
  <c r="AF7" i="22"/>
  <c r="AF9" i="22"/>
  <c r="AC9" i="22"/>
  <c r="AD9" i="22" s="1"/>
  <c r="AC7" i="22"/>
  <c r="AD7" i="22" s="1"/>
  <c r="AE155" i="14" l="1"/>
  <c r="AC165" i="14"/>
  <c r="AG89" i="16"/>
  <c r="AF89" i="16"/>
  <c r="AE162" i="14"/>
  <c r="AE163" i="14"/>
  <c r="AE164" i="14"/>
  <c r="AB163" i="14" l="1"/>
  <c r="AF163" i="14" s="1"/>
  <c r="AF164" i="14"/>
  <c r="AE154" i="14"/>
  <c r="AE492" i="3" l="1"/>
  <c r="AE491" i="3"/>
  <c r="AG494" i="3"/>
  <c r="AE490" i="3"/>
  <c r="AF494" i="3" l="1"/>
  <c r="AG491" i="3"/>
  <c r="AG492" i="3"/>
  <c r="AI116" i="19" l="1"/>
  <c r="AF88" i="16" l="1"/>
  <c r="AF87" i="16"/>
  <c r="AI120" i="19" l="1"/>
  <c r="AI118" i="19"/>
  <c r="AI119" i="19"/>
  <c r="AI121" i="19"/>
  <c r="AI117" i="19"/>
  <c r="AE120" i="19"/>
  <c r="AG9" i="22" l="1"/>
  <c r="AG7" i="22"/>
  <c r="B6" i="23" l="1"/>
  <c r="B7" i="23" s="1"/>
  <c r="B8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25" i="23" s="1"/>
  <c r="B26" i="23" s="1"/>
  <c r="B27" i="23" s="1"/>
  <c r="B28" i="23" s="1"/>
  <c r="B29" i="23" s="1"/>
  <c r="B30" i="23" s="1"/>
  <c r="B31" i="23" s="1"/>
  <c r="B32" i="23" s="1"/>
  <c r="B33" i="23" s="1"/>
  <c r="B34" i="23" s="1"/>
  <c r="B35" i="23" s="1"/>
  <c r="B36" i="23" s="1"/>
  <c r="B37" i="23" s="1"/>
  <c r="B38" i="23" s="1"/>
  <c r="B39" i="23" s="1"/>
  <c r="B40" i="23" s="1"/>
  <c r="B41" i="23" s="1"/>
  <c r="B42" i="23" s="1"/>
  <c r="B43" i="23" s="1"/>
  <c r="B44" i="23" s="1"/>
  <c r="B45" i="23" s="1"/>
  <c r="B46" i="23" s="1"/>
  <c r="B47" i="23" s="1"/>
  <c r="B48" i="23" s="1"/>
  <c r="B49" i="23" s="1"/>
  <c r="B50" i="23" s="1"/>
  <c r="B51" i="23" s="1"/>
  <c r="B52" i="23" s="1"/>
  <c r="B53" i="23" s="1"/>
  <c r="B54" i="23" s="1"/>
  <c r="B55" i="23" s="1"/>
  <c r="B56" i="23" s="1"/>
  <c r="B57" i="23" s="1"/>
  <c r="B58" i="23" s="1"/>
  <c r="B59" i="23" s="1"/>
  <c r="B60" i="23" s="1"/>
  <c r="B61" i="23" s="1"/>
  <c r="B62" i="23" s="1"/>
  <c r="B63" i="23" s="1"/>
  <c r="B64" i="23" s="1"/>
  <c r="B65" i="23" s="1"/>
  <c r="B66" i="23" s="1"/>
  <c r="B67" i="23" s="1"/>
  <c r="B68" i="23" s="1"/>
  <c r="B69" i="23" s="1"/>
  <c r="B70" i="23" s="1"/>
  <c r="B71" i="23" s="1"/>
  <c r="B72" i="23" s="1"/>
  <c r="B73" i="23" s="1"/>
  <c r="B74" i="23" s="1"/>
  <c r="B75" i="23" s="1"/>
  <c r="B76" i="23" s="1"/>
  <c r="B77" i="23" s="1"/>
  <c r="B78" i="23" s="1"/>
  <c r="B79" i="23" s="1"/>
  <c r="B80" i="23" s="1"/>
  <c r="B81" i="23" s="1"/>
  <c r="B82" i="23" s="1"/>
  <c r="B83" i="23" s="1"/>
  <c r="B84" i="23" s="1"/>
  <c r="B85" i="23" s="1"/>
  <c r="B86" i="23" s="1"/>
  <c r="B87" i="23" s="1"/>
  <c r="B88" i="23" s="1"/>
  <c r="B89" i="23" s="1"/>
  <c r="B90" i="23" s="1"/>
  <c r="B91" i="23" s="1"/>
  <c r="B92" i="23" s="1"/>
  <c r="B93" i="23" s="1"/>
  <c r="B94" i="23" s="1"/>
  <c r="B95" i="23" s="1"/>
  <c r="B96" i="23" s="1"/>
  <c r="B97" i="23" s="1"/>
  <c r="B98" i="23" s="1"/>
  <c r="B99" i="23" s="1"/>
  <c r="B100" i="23" s="1"/>
  <c r="B101" i="23" s="1"/>
  <c r="B102" i="23" s="1"/>
  <c r="B103" i="23" s="1"/>
  <c r="B104" i="23" s="1"/>
  <c r="B105" i="23" s="1"/>
  <c r="B106" i="23" s="1"/>
  <c r="B107" i="23" s="1"/>
  <c r="B108" i="23" s="1"/>
  <c r="B109" i="23" s="1"/>
  <c r="B110" i="23" s="1"/>
  <c r="B111" i="23" s="1"/>
  <c r="B112" i="23" s="1"/>
  <c r="B113" i="23" s="1"/>
  <c r="B114" i="23" s="1"/>
  <c r="B115" i="23" s="1"/>
  <c r="B116" i="23" s="1"/>
  <c r="B117" i="23" s="1"/>
  <c r="B118" i="23" s="1"/>
  <c r="B119" i="23" s="1"/>
  <c r="B120" i="23" s="1"/>
  <c r="B121" i="23" s="1"/>
  <c r="B122" i="23" s="1"/>
  <c r="B123" i="23" s="1"/>
  <c r="B124" i="23" s="1"/>
  <c r="B125" i="23" s="1"/>
  <c r="B126" i="23" s="1"/>
  <c r="B127" i="23" s="1"/>
  <c r="B128" i="23" s="1"/>
  <c r="B129" i="23" s="1"/>
  <c r="B130" i="23" s="1"/>
  <c r="B131" i="23" s="1"/>
  <c r="B132" i="23" s="1"/>
  <c r="B133" i="23" s="1"/>
  <c r="B134" i="23" s="1"/>
  <c r="B135" i="23" s="1"/>
  <c r="B136" i="23" s="1"/>
  <c r="B137" i="23" s="1"/>
  <c r="B138" i="23" s="1"/>
  <c r="B139" i="23" s="1"/>
  <c r="B140" i="23" s="1"/>
  <c r="B141" i="23" s="1"/>
  <c r="B142" i="23" s="1"/>
  <c r="B143" i="23" s="1"/>
  <c r="B144" i="23" s="1"/>
  <c r="B145" i="23" s="1"/>
  <c r="B146" i="23" s="1"/>
  <c r="B147" i="23" s="1"/>
  <c r="B148" i="23" s="1"/>
  <c r="B149" i="23" s="1"/>
  <c r="B150" i="23" s="1"/>
  <c r="B151" i="23" s="1"/>
  <c r="B152" i="23" s="1"/>
  <c r="B153" i="23" s="1"/>
  <c r="B154" i="23" s="1"/>
  <c r="B155" i="23" s="1"/>
  <c r="B156" i="23" s="1"/>
  <c r="B157" i="23" s="1"/>
  <c r="B158" i="23" s="1"/>
  <c r="B159" i="23" s="1"/>
  <c r="B160" i="23" s="1"/>
  <c r="B161" i="23" s="1"/>
  <c r="B162" i="23" s="1"/>
  <c r="B163" i="23" s="1"/>
  <c r="B164" i="23" s="1"/>
  <c r="B165" i="23" s="1"/>
  <c r="B166" i="23" s="1"/>
  <c r="B167" i="23" s="1"/>
  <c r="B168" i="23" s="1"/>
  <c r="B169" i="23" s="1"/>
  <c r="B170" i="23" s="1"/>
  <c r="B171" i="23" s="1"/>
  <c r="B172" i="23" s="1"/>
  <c r="B173" i="23" s="1"/>
  <c r="B174" i="23" s="1"/>
  <c r="B175" i="23" s="1"/>
  <c r="B176" i="23" s="1"/>
  <c r="B177" i="23" s="1"/>
  <c r="B178" i="23" s="1"/>
  <c r="B179" i="23" s="1"/>
  <c r="B180" i="23" s="1"/>
  <c r="B181" i="23" s="1"/>
  <c r="B182" i="23" s="1"/>
  <c r="B183" i="23" s="1"/>
  <c r="B184" i="23" s="1"/>
  <c r="B185" i="23" s="1"/>
  <c r="B186" i="23" s="1"/>
  <c r="B187" i="23" s="1"/>
  <c r="B188" i="23" s="1"/>
  <c r="B189" i="23" s="1"/>
  <c r="B190" i="23" s="1"/>
  <c r="B191" i="23" s="1"/>
  <c r="B192" i="23" s="1"/>
  <c r="B193" i="23" s="1"/>
  <c r="B194" i="23" s="1"/>
  <c r="B195" i="23" s="1"/>
  <c r="B196" i="23" s="1"/>
  <c r="B197" i="23" s="1"/>
  <c r="B198" i="23" s="1"/>
  <c r="B199" i="23" s="1"/>
  <c r="B200" i="23" s="1"/>
  <c r="B201" i="23" s="1"/>
  <c r="B202" i="23" s="1"/>
  <c r="B203" i="23" s="1"/>
  <c r="B204" i="23" s="1"/>
  <c r="B205" i="23" s="1"/>
  <c r="B206" i="23" s="1"/>
  <c r="B207" i="23" s="1"/>
  <c r="B208" i="23" s="1"/>
  <c r="B209" i="23" s="1"/>
  <c r="B210" i="23" s="1"/>
  <c r="B211" i="23" s="1"/>
  <c r="B212" i="23" s="1"/>
  <c r="B213" i="23" s="1"/>
  <c r="B214" i="23" s="1"/>
  <c r="B215" i="23" s="1"/>
  <c r="B216" i="23" s="1"/>
  <c r="B217" i="23" s="1"/>
  <c r="B218" i="23" s="1"/>
  <c r="B219" i="23" s="1"/>
  <c r="B220" i="23" s="1"/>
  <c r="B221" i="23" s="1"/>
  <c r="B222" i="23" s="1"/>
  <c r="B223" i="23" s="1"/>
  <c r="B224" i="23" s="1"/>
  <c r="B225" i="23" s="1"/>
  <c r="B226" i="23" s="1"/>
  <c r="B227" i="23" s="1"/>
  <c r="B228" i="23" s="1"/>
  <c r="B229" i="23" s="1"/>
  <c r="B230" i="23" s="1"/>
  <c r="B231" i="23" s="1"/>
  <c r="B232" i="23" s="1"/>
  <c r="B233" i="23" s="1"/>
  <c r="B234" i="23" s="1"/>
  <c r="B235" i="23" s="1"/>
  <c r="B236" i="23" s="1"/>
  <c r="B237" i="23" s="1"/>
  <c r="B238" i="23" s="1"/>
  <c r="B239" i="23" s="1"/>
  <c r="B240" i="23" s="1"/>
  <c r="B241" i="23" s="1"/>
  <c r="B242" i="23" s="1"/>
  <c r="B243" i="23" s="1"/>
  <c r="B244" i="23" s="1"/>
  <c r="B245" i="23" s="1"/>
  <c r="B246" i="23" s="1"/>
  <c r="B247" i="23" s="1"/>
  <c r="B248" i="23" s="1"/>
  <c r="B249" i="23" s="1"/>
  <c r="B250" i="23" s="1"/>
  <c r="B251" i="23" s="1"/>
  <c r="B252" i="23" s="1"/>
  <c r="B253" i="23" s="1"/>
  <c r="B254" i="23" s="1"/>
  <c r="B255" i="23" s="1"/>
  <c r="B256" i="23" s="1"/>
  <c r="B257" i="23" s="1"/>
  <c r="B258" i="23" s="1"/>
  <c r="B259" i="23" s="1"/>
  <c r="B260" i="23" s="1"/>
  <c r="B261" i="23" s="1"/>
  <c r="B262" i="23" s="1"/>
  <c r="B263" i="23" s="1"/>
  <c r="B264" i="23" s="1"/>
  <c r="B265" i="23" s="1"/>
  <c r="B266" i="23" s="1"/>
  <c r="B267" i="23" s="1"/>
  <c r="B268" i="23" s="1"/>
  <c r="B269" i="23" s="1"/>
  <c r="B270" i="23" s="1"/>
  <c r="B271" i="23" s="1"/>
  <c r="AE157" i="14"/>
  <c r="AE158" i="14"/>
  <c r="AE159" i="14"/>
  <c r="AE160" i="14"/>
  <c r="AE161" i="14"/>
  <c r="AB162" i="14"/>
  <c r="AF162" i="14" l="1"/>
  <c r="AG120" i="19"/>
  <c r="AJ120" i="19" s="1"/>
  <c r="AG121" i="19"/>
  <c r="AJ121" i="19" s="1"/>
  <c r="Z87" i="18" l="1"/>
  <c r="Z88" i="18"/>
  <c r="Z89" i="18"/>
  <c r="Z90" i="18"/>
  <c r="Z91" i="18"/>
  <c r="Z92" i="18"/>
  <c r="Z93" i="18"/>
  <c r="Z94" i="18"/>
  <c r="Z95" i="18"/>
  <c r="Z96" i="18"/>
  <c r="Z97" i="18"/>
  <c r="Z86" i="18"/>
  <c r="Z103" i="18" s="1"/>
  <c r="AI115" i="19"/>
  <c r="AI114" i="19"/>
  <c r="AI110" i="19"/>
  <c r="AI113" i="19"/>
  <c r="AI100" i="19" l="1"/>
  <c r="AG102" i="19"/>
  <c r="AG103" i="19"/>
  <c r="AG104" i="19"/>
  <c r="AG105" i="19"/>
  <c r="AG106" i="19"/>
  <c r="AG108" i="19"/>
  <c r="AG109" i="19"/>
  <c r="AG110" i="19"/>
  <c r="AG111" i="19"/>
  <c r="AG112" i="19"/>
  <c r="AG113" i="19"/>
  <c r="AG118" i="19"/>
  <c r="AJ118" i="19" s="1"/>
  <c r="AG119" i="19"/>
  <c r="AJ119" i="19" s="1"/>
  <c r="AG114" i="19"/>
  <c r="AG115" i="19"/>
  <c r="AJ115" i="19" s="1"/>
  <c r="AG116" i="19"/>
  <c r="AG117" i="19"/>
  <c r="AJ117" i="19" s="1"/>
  <c r="AG101" i="19"/>
  <c r="AG98" i="19"/>
  <c r="AG97" i="19"/>
  <c r="AG95" i="19"/>
  <c r="AI107" i="19"/>
  <c r="AI111" i="19"/>
  <c r="AI112" i="19"/>
  <c r="AI104" i="19"/>
  <c r="AI103" i="19"/>
  <c r="AJ103" i="19" l="1"/>
  <c r="AJ100" i="19"/>
  <c r="AJ112" i="19"/>
  <c r="AJ113" i="19"/>
  <c r="AJ114" i="19"/>
  <c r="AJ116" i="19"/>
  <c r="AJ111" i="19"/>
  <c r="AF86" i="16" l="1"/>
  <c r="X83" i="16" l="1"/>
  <c r="AB161" i="14" l="1"/>
  <c r="AF161" i="14" s="1"/>
  <c r="AB156" i="14"/>
  <c r="AB157" i="14"/>
  <c r="AF157" i="14" s="1"/>
  <c r="AB158" i="14"/>
  <c r="AF158" i="14" s="1"/>
  <c r="AB159" i="14"/>
  <c r="AF159" i="14" s="1"/>
  <c r="AB160" i="14"/>
  <c r="AF160" i="14" l="1"/>
  <c r="AJ98" i="19"/>
  <c r="AB85" i="16" l="1"/>
  <c r="X84" i="16" l="1"/>
  <c r="X80" i="16"/>
  <c r="X79" i="16"/>
  <c r="AC491" i="3"/>
  <c r="AB491" i="3"/>
  <c r="AF491" i="3" s="1"/>
  <c r="AB492" i="3"/>
  <c r="AF492" i="3" s="1"/>
  <c r="W490" i="3"/>
  <c r="AB79" i="16" l="1"/>
  <c r="W84" i="16" l="1"/>
  <c r="AD87" i="16" l="1"/>
  <c r="AG87" i="16" s="1"/>
  <c r="AD86" i="16"/>
  <c r="AD88" i="16"/>
  <c r="AG88" i="16" l="1"/>
  <c r="AG86" i="16"/>
  <c r="AI108" i="19"/>
  <c r="AJ108" i="19" s="1"/>
  <c r="AI109" i="19"/>
  <c r="AJ109" i="19" s="1"/>
  <c r="AJ110" i="19"/>
  <c r="AB154" i="14" l="1"/>
  <c r="AB155" i="14"/>
  <c r="AB153" i="14"/>
  <c r="AE156" i="14"/>
  <c r="AF156" i="14" s="1"/>
  <c r="AE153" i="14"/>
  <c r="AE149" i="14"/>
  <c r="AF155" i="14" l="1"/>
  <c r="AF153" i="14"/>
  <c r="AF154" i="14"/>
  <c r="X107" i="19"/>
  <c r="AG107" i="19" s="1"/>
  <c r="AG123" i="19" s="1"/>
  <c r="AF82" i="16" l="1"/>
  <c r="AD82" i="16"/>
  <c r="AG82" i="16" l="1"/>
  <c r="V79" i="16"/>
  <c r="AF81" i="16" l="1"/>
  <c r="AF90" i="16" s="1"/>
  <c r="AF85" i="16"/>
  <c r="AF83" i="16"/>
  <c r="AF84" i="16"/>
  <c r="AF80" i="16"/>
  <c r="AF78" i="16"/>
  <c r="AF79" i="16"/>
  <c r="A154" i="14" l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7" i="14" s="1"/>
  <c r="A168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G74" i="19" l="1"/>
  <c r="AD80" i="16" l="1"/>
  <c r="AD81" i="16"/>
  <c r="AG81" i="16" s="1"/>
  <c r="AD85" i="16"/>
  <c r="AD83" i="16"/>
  <c r="AG83" i="16" s="1"/>
  <c r="AD84" i="16"/>
  <c r="AG84" i="16" s="1"/>
  <c r="AG80" i="16" l="1"/>
  <c r="AD90" i="16"/>
  <c r="AG85" i="16"/>
  <c r="AI106" i="19"/>
  <c r="AJ106" i="19" s="1"/>
  <c r="X74" i="16" l="1"/>
  <c r="AJ107" i="19" l="1"/>
  <c r="AI105" i="19"/>
  <c r="AJ105" i="19" l="1"/>
  <c r="AJ96" i="19"/>
  <c r="AE140" i="14" l="1"/>
  <c r="AE139" i="14"/>
  <c r="AE137" i="14"/>
  <c r="AJ104" i="19" l="1"/>
  <c r="AF76" i="16" l="1"/>
  <c r="AG76" i="16" s="1"/>
  <c r="AJ97" i="19" l="1"/>
  <c r="AI87" i="19"/>
  <c r="AI66" i="19"/>
  <c r="AI65" i="19"/>
  <c r="Z82" i="18"/>
  <c r="Z83" i="18"/>
  <c r="Z84" i="18"/>
  <c r="Z81" i="18"/>
  <c r="AI89" i="19"/>
  <c r="AI82" i="19" l="1"/>
  <c r="AI83" i="19"/>
  <c r="AI81" i="19"/>
  <c r="Z79" i="19" l="1"/>
  <c r="AI68" i="19"/>
  <c r="AG65" i="19"/>
  <c r="AG66" i="19"/>
  <c r="AJ95" i="19" l="1"/>
  <c r="A103" i="19"/>
  <c r="AI102" i="19"/>
  <c r="AI101" i="19"/>
  <c r="AI123" i="19" s="1"/>
  <c r="AJ101" i="19" l="1"/>
  <c r="AJ102" i="19"/>
  <c r="X72" i="16"/>
  <c r="X70" i="16"/>
  <c r="AJ123" i="19" l="1"/>
  <c r="X69" i="16"/>
  <c r="AE148" i="14" l="1"/>
  <c r="AE150" i="14"/>
  <c r="AB146" i="14"/>
  <c r="AB147" i="14"/>
  <c r="AB148" i="14"/>
  <c r="AB149" i="14"/>
  <c r="AB150" i="14"/>
  <c r="AF150" i="14" l="1"/>
  <c r="AE144" i="14"/>
  <c r="AE145" i="14"/>
  <c r="AE146" i="14"/>
  <c r="AE147" i="14"/>
  <c r="AE143" i="14"/>
  <c r="AE138" i="14"/>
  <c r="AE141" i="14"/>
  <c r="AE142" i="14"/>
  <c r="AE98" i="15" l="1"/>
  <c r="X98" i="15"/>
  <c r="AB144" i="14" l="1"/>
  <c r="AF144" i="14" s="1"/>
  <c r="AB145" i="14"/>
  <c r="AF145" i="14" s="1"/>
  <c r="AF146" i="14"/>
  <c r="AF148" i="14"/>
  <c r="AF149" i="14"/>
  <c r="AF73" i="16"/>
  <c r="AF147" i="14" l="1"/>
  <c r="AF75" i="16"/>
  <c r="AF74" i="16"/>
  <c r="A79" i="16"/>
  <c r="A80" i="16" s="1"/>
  <c r="A81" i="16" s="1"/>
  <c r="A82" i="16" s="1"/>
  <c r="A83" i="16" l="1"/>
  <c r="A84" i="16" s="1"/>
  <c r="A85" i="16" s="1"/>
  <c r="A86" i="16" s="1"/>
  <c r="A87" i="16" s="1"/>
  <c r="A88" i="16" s="1"/>
  <c r="A92" i="16" s="1"/>
  <c r="AG85" i="19"/>
  <c r="AD78" i="16" l="1"/>
  <c r="AG78" i="16" l="1"/>
  <c r="AF5" i="22"/>
  <c r="AF8" i="22" s="1"/>
  <c r="AE99" i="15" l="1"/>
  <c r="AC100" i="15" l="1"/>
  <c r="AE100" i="15"/>
  <c r="AF100" i="15" l="1"/>
  <c r="N149" i="5" l="1"/>
  <c r="O149" i="5"/>
  <c r="O147" i="5"/>
  <c r="N147" i="5"/>
  <c r="N140" i="5"/>
  <c r="N145" i="5"/>
  <c r="O148" i="5"/>
  <c r="O146" i="5"/>
  <c r="AC5" i="22"/>
  <c r="AE487" i="3" l="1"/>
  <c r="AI85" i="19" l="1"/>
  <c r="AJ85" i="19" s="1"/>
  <c r="AG88" i="19"/>
  <c r="AG89" i="19"/>
  <c r="AG90" i="19"/>
  <c r="AG91" i="19"/>
  <c r="AG92" i="19"/>
  <c r="AG93" i="19"/>
  <c r="AG87" i="19"/>
  <c r="AI88" i="19"/>
  <c r="AI90" i="19"/>
  <c r="AI91" i="19"/>
  <c r="AI92" i="19"/>
  <c r="AI93" i="19"/>
  <c r="AJ90" i="19" l="1"/>
  <c r="AJ92" i="19"/>
  <c r="AJ88" i="19"/>
  <c r="AJ89" i="19"/>
  <c r="AJ87" i="19"/>
  <c r="AJ93" i="19"/>
  <c r="AJ91" i="19"/>
  <c r="W487" i="3"/>
  <c r="AD5" i="22" l="1"/>
  <c r="AG5" i="22" s="1"/>
  <c r="AG8" i="22" s="1"/>
  <c r="AE93" i="15"/>
  <c r="AE488" i="3" l="1"/>
  <c r="AG488" i="3" s="1"/>
  <c r="AG490" i="3"/>
  <c r="AB486" i="3"/>
  <c r="AC486" i="3"/>
  <c r="AB487" i="3"/>
  <c r="AC487" i="3"/>
  <c r="AB488" i="3"/>
  <c r="AC488" i="3"/>
  <c r="AB490" i="3"/>
  <c r="AF490" i="3" s="1"/>
  <c r="AC490" i="3"/>
  <c r="AF487" i="3" l="1"/>
  <c r="AF488" i="3"/>
  <c r="AG487" i="3"/>
  <c r="AG64" i="19"/>
  <c r="AJ64" i="19" s="1"/>
  <c r="A64" i="19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J65" i="19" l="1"/>
  <c r="AJ66" i="19"/>
  <c r="AE96" i="15" l="1"/>
  <c r="AC99" i="15"/>
  <c r="AF99" i="15" s="1"/>
  <c r="S94" i="15"/>
  <c r="AE484" i="3" l="1"/>
  <c r="AG484" i="3" l="1"/>
  <c r="AE482" i="3"/>
  <c r="AG482" i="3" s="1"/>
  <c r="AE483" i="3"/>
  <c r="AG483" i="3" s="1"/>
  <c r="AE485" i="3"/>
  <c r="AE489" i="3" s="1"/>
  <c r="AE493" i="3" s="1"/>
  <c r="AE486" i="3"/>
  <c r="AG486" i="3" s="1"/>
  <c r="AG485" i="3" l="1"/>
  <c r="AG489" i="3" s="1"/>
  <c r="AG493" i="3" s="1"/>
  <c r="AF486" i="3"/>
  <c r="AI84" i="19"/>
  <c r="AI80" i="19"/>
  <c r="AI79" i="19"/>
  <c r="AI78" i="19"/>
  <c r="AG80" i="19"/>
  <c r="AG81" i="19"/>
  <c r="AJ81" i="19" s="1"/>
  <c r="AG82" i="19"/>
  <c r="AJ82" i="19" s="1"/>
  <c r="AG83" i="19"/>
  <c r="AG84" i="19"/>
  <c r="AJ80" i="19" l="1"/>
  <c r="AJ83" i="19"/>
  <c r="AJ84" i="19"/>
  <c r="W93" i="15"/>
  <c r="AG63" i="19" l="1"/>
  <c r="AJ63" i="19" s="1"/>
  <c r="Y80" i="18"/>
  <c r="Z78" i="18"/>
  <c r="Z79" i="18"/>
  <c r="Z80" i="18" l="1"/>
  <c r="Y85" i="18"/>
  <c r="AE79" i="19"/>
  <c r="AD70" i="16" l="1"/>
  <c r="AD71" i="16"/>
  <c r="AD72" i="16"/>
  <c r="AD73" i="16"/>
  <c r="AG73" i="16" s="1"/>
  <c r="AF71" i="16" l="1"/>
  <c r="AG71" i="16" s="1"/>
  <c r="Z77" i="18" l="1"/>
  <c r="AI72" i="19"/>
  <c r="Z71" i="19" l="1"/>
  <c r="AB485" i="3"/>
  <c r="AF485" i="3" s="1"/>
  <c r="AC485" i="3"/>
  <c r="X68" i="16" l="1"/>
  <c r="AB142" i="14" l="1"/>
  <c r="AF142" i="14" s="1"/>
  <c r="AB143" i="14"/>
  <c r="AF143" i="14" s="1"/>
  <c r="Z73" i="18" l="1"/>
  <c r="Z74" i="18"/>
  <c r="Z75" i="18"/>
  <c r="Z76" i="18"/>
  <c r="AI75" i="19"/>
  <c r="AI74" i="19"/>
  <c r="AG71" i="19"/>
  <c r="AI77" i="19"/>
  <c r="AI76" i="19"/>
  <c r="AI70" i="19"/>
  <c r="AI71" i="19"/>
  <c r="AI73" i="19"/>
  <c r="AG70" i="19"/>
  <c r="AG72" i="19"/>
  <c r="AG75" i="19"/>
  <c r="AG77" i="19"/>
  <c r="AG78" i="19"/>
  <c r="AG79" i="19"/>
  <c r="AB139" i="14" l="1"/>
  <c r="AB140" i="14"/>
  <c r="AB141" i="14"/>
  <c r="AF141" i="14" l="1"/>
  <c r="AB152" i="14"/>
  <c r="AC98" i="15"/>
  <c r="AC97" i="15"/>
  <c r="AF98" i="15" l="1"/>
  <c r="AF139" i="14"/>
  <c r="AF140" i="14"/>
  <c r="AB482" i="3"/>
  <c r="AF482" i="3" s="1"/>
  <c r="AB483" i="3"/>
  <c r="AF483" i="3" s="1"/>
  <c r="AB484" i="3"/>
  <c r="AF484" i="3" s="1"/>
  <c r="AB481" i="3"/>
  <c r="AC482" i="3"/>
  <c r="AC483" i="3"/>
  <c r="AC484" i="3"/>
  <c r="AF489" i="3" l="1"/>
  <c r="AF493" i="3" s="1"/>
  <c r="AJ78" i="19"/>
  <c r="Z68" i="18"/>
  <c r="Z69" i="18"/>
  <c r="Z70" i="18"/>
  <c r="Z71" i="18"/>
  <c r="Z72" i="18"/>
  <c r="Z67" i="18"/>
  <c r="AE94" i="15"/>
  <c r="AE95" i="15"/>
  <c r="AE97" i="15"/>
  <c r="AF97" i="15" s="1"/>
  <c r="AC94" i="15"/>
  <c r="AC95" i="15"/>
  <c r="AC96" i="15"/>
  <c r="AF95" i="15" l="1"/>
  <c r="Z85" i="18"/>
  <c r="AF96" i="15"/>
  <c r="AF94" i="15"/>
  <c r="AB137" i="14"/>
  <c r="AF137" i="14" s="1"/>
  <c r="AB138" i="14"/>
  <c r="AF138" i="14" s="1"/>
  <c r="AE73" i="19" l="1"/>
  <c r="AG73" i="19" s="1"/>
  <c r="AJ77" i="19" l="1"/>
  <c r="AJ79" i="19"/>
  <c r="AC76" i="19"/>
  <c r="AG76" i="19" s="1"/>
  <c r="AJ76" i="19" l="1"/>
  <c r="AJ75" i="19" l="1"/>
  <c r="AE481" i="3"/>
  <c r="AG481" i="3" s="1"/>
  <c r="AC481" i="3"/>
  <c r="AE136" i="14"/>
  <c r="AE152" i="14" s="1"/>
  <c r="AB136" i="14"/>
  <c r="AF136" i="14" l="1"/>
  <c r="AF152" i="14" s="1"/>
  <c r="AJ74" i="19"/>
  <c r="AF481" i="3"/>
  <c r="AG68" i="19"/>
  <c r="A79" i="19" l="1"/>
  <c r="A80" i="19" s="1"/>
  <c r="A81" i="19" s="1"/>
  <c r="A83" i="19" s="1"/>
  <c r="A82" i="19" s="1"/>
  <c r="A84" i="19" s="1"/>
  <c r="A85" i="19" s="1"/>
  <c r="A87" i="19" s="1"/>
  <c r="AJ68" i="19"/>
  <c r="W85" i="15"/>
  <c r="A88" i="19" l="1"/>
  <c r="A89" i="19" s="1"/>
  <c r="AB134" i="14"/>
  <c r="AJ70" i="19"/>
  <c r="AG67" i="19"/>
  <c r="AJ67" i="19" s="1"/>
  <c r="A104" i="19" l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W91" i="15"/>
  <c r="A128" i="19" l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W90" i="15"/>
  <c r="A146" i="19" l="1"/>
  <c r="A147" i="19" s="1"/>
  <c r="Z65" i="18"/>
  <c r="A148" i="19" l="1"/>
  <c r="A151" i="19" s="1"/>
  <c r="A152" i="19" s="1"/>
  <c r="A150" i="19"/>
  <c r="A153" i="19" s="1"/>
  <c r="Z55" i="19"/>
  <c r="Z54" i="19" l="1"/>
  <c r="AI69" i="19" l="1"/>
  <c r="AI94" i="19" s="1"/>
  <c r="AG69" i="19"/>
  <c r="AJ71" i="19"/>
  <c r="AJ73" i="19"/>
  <c r="AJ69" i="19" l="1"/>
  <c r="AJ72" i="19"/>
  <c r="Z64" i="18"/>
  <c r="AG61" i="19"/>
  <c r="AG60" i="19"/>
  <c r="AI60" i="19"/>
  <c r="AE91" i="15"/>
  <c r="AJ60" i="19" l="1"/>
  <c r="A40" i="19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E133" i="14" l="1"/>
  <c r="AF133" i="14" s="1"/>
  <c r="Y63" i="18"/>
  <c r="Z63" i="18" s="1"/>
  <c r="Z59" i="18"/>
  <c r="Z60" i="18"/>
  <c r="Z61" i="18"/>
  <c r="Z62" i="18"/>
  <c r="S90" i="15" l="1"/>
  <c r="AE90" i="15" s="1"/>
  <c r="AC65" i="16" l="1"/>
  <c r="AE132" i="14" l="1"/>
  <c r="AD61" i="16"/>
  <c r="AG61" i="16" s="1"/>
  <c r="K61" i="16"/>
  <c r="AB132" i="14" l="1"/>
  <c r="AF132" i="14" s="1"/>
  <c r="AE477" i="3" l="1"/>
  <c r="AE475" i="3"/>
  <c r="AE476" i="3"/>
  <c r="AE478" i="3"/>
  <c r="AE479" i="3"/>
  <c r="AE474" i="3"/>
  <c r="AE480" i="3" l="1"/>
  <c r="AE88" i="15"/>
  <c r="AE89" i="15"/>
  <c r="AE87" i="15"/>
  <c r="AG479" i="3" l="1"/>
  <c r="AB478" i="3"/>
  <c r="AC478" i="3"/>
  <c r="AB479" i="3"/>
  <c r="AC479" i="3"/>
  <c r="AF478" i="3" l="1"/>
  <c r="AG478" i="3"/>
  <c r="AF479" i="3"/>
  <c r="AI61" i="19"/>
  <c r="AJ61" i="19" s="1"/>
  <c r="AG56" i="19" l="1"/>
  <c r="AG57" i="19"/>
  <c r="AG58" i="19"/>
  <c r="AG59" i="19"/>
  <c r="AI56" i="19" l="1"/>
  <c r="AI55" i="19"/>
  <c r="AI57" i="19"/>
  <c r="AJ57" i="19" s="1"/>
  <c r="AI58" i="19"/>
  <c r="AJ58" i="19" s="1"/>
  <c r="AI59" i="19"/>
  <c r="AJ59" i="19" s="1"/>
  <c r="AI54" i="19"/>
  <c r="AJ56" i="19"/>
  <c r="Z47" i="19" l="1"/>
  <c r="AF68" i="16" l="1"/>
  <c r="AF70" i="16"/>
  <c r="AF69" i="16"/>
  <c r="AF72" i="16"/>
  <c r="AE131" i="14"/>
  <c r="AE128" i="14" l="1"/>
  <c r="AF62" i="16"/>
  <c r="J123" i="14" l="1"/>
  <c r="AB477" i="3" l="1"/>
  <c r="AC477" i="3"/>
  <c r="AD68" i="16" l="1"/>
  <c r="AD69" i="16"/>
  <c r="AD74" i="16"/>
  <c r="AG74" i="16" s="1"/>
  <c r="AD75" i="16"/>
  <c r="AG75" i="16" s="1"/>
  <c r="AD79" i="16"/>
  <c r="AG79" i="16" s="1"/>
  <c r="AD77" i="16" l="1"/>
  <c r="AG475" i="3"/>
  <c r="AG476" i="3"/>
  <c r="AF477" i="3"/>
  <c r="AG477" i="3"/>
  <c r="AG474" i="3"/>
  <c r="AC475" i="3"/>
  <c r="AC476" i="3"/>
  <c r="AC474" i="3"/>
  <c r="AB475" i="3"/>
  <c r="AF475" i="3" s="1"/>
  <c r="AB476" i="3"/>
  <c r="AF476" i="3" s="1"/>
  <c r="AB474" i="3"/>
  <c r="AF474" i="3" s="1"/>
  <c r="AB472" i="3"/>
  <c r="Y56" i="18"/>
  <c r="Y66" i="18" s="1"/>
  <c r="Z51" i="18"/>
  <c r="Z52" i="18"/>
  <c r="Z53" i="18"/>
  <c r="Z54" i="18"/>
  <c r="Z55" i="18"/>
  <c r="Z57" i="18"/>
  <c r="Z58" i="18"/>
  <c r="Z50" i="18"/>
  <c r="AI53" i="19"/>
  <c r="AI49" i="19"/>
  <c r="AI48" i="19"/>
  <c r="AI51" i="19"/>
  <c r="AI46" i="19"/>
  <c r="AI44" i="19"/>
  <c r="AI43" i="19"/>
  <c r="AG43" i="19"/>
  <c r="AI41" i="19"/>
  <c r="AG31" i="19"/>
  <c r="AG54" i="19"/>
  <c r="AJ54" i="19" s="1"/>
  <c r="Z56" i="18" l="1"/>
  <c r="Z66" i="18"/>
  <c r="AJ43" i="19"/>
  <c r="AG51" i="19"/>
  <c r="AJ51" i="19" s="1"/>
  <c r="AE130" i="14" l="1"/>
  <c r="AB130" i="14"/>
  <c r="J130" i="14"/>
  <c r="AF130" i="14" l="1"/>
  <c r="AG48" i="19"/>
  <c r="AG49" i="19"/>
  <c r="AG53" i="19"/>
  <c r="AG50" i="19"/>
  <c r="AG55" i="19"/>
  <c r="AG52" i="19"/>
  <c r="Z45" i="19"/>
  <c r="AG45" i="19" s="1"/>
  <c r="X62" i="16" l="1"/>
  <c r="AE47" i="19" l="1"/>
  <c r="AI47" i="19" l="1"/>
  <c r="AJ48" i="19"/>
  <c r="AJ49" i="19"/>
  <c r="AJ53" i="19"/>
  <c r="AI50" i="19"/>
  <c r="AJ50" i="19" s="1"/>
  <c r="AJ55" i="19"/>
  <c r="AI52" i="19"/>
  <c r="AJ52" i="19" s="1"/>
  <c r="AB131" i="14"/>
  <c r="AF131" i="14" s="1"/>
  <c r="AG46" i="19" l="1"/>
  <c r="AJ46" i="19" s="1"/>
  <c r="AG47" i="19"/>
  <c r="AJ47" i="19" s="1"/>
  <c r="AE85" i="15" l="1"/>
  <c r="AC86" i="15"/>
  <c r="AE86" i="15"/>
  <c r="AC87" i="15"/>
  <c r="AC88" i="15"/>
  <c r="AC90" i="15"/>
  <c r="AF90" i="15" s="1"/>
  <c r="AC91" i="15"/>
  <c r="AF91" i="15" s="1"/>
  <c r="AC89" i="15"/>
  <c r="AC93" i="15"/>
  <c r="AC85" i="15"/>
  <c r="AC102" i="14"/>
  <c r="AE121" i="14"/>
  <c r="AE127" i="14"/>
  <c r="AB127" i="14"/>
  <c r="AF127" i="14" s="1"/>
  <c r="J127" i="14"/>
  <c r="AF93" i="15" l="1"/>
  <c r="AF86" i="15"/>
  <c r="AF89" i="15"/>
  <c r="AF88" i="15"/>
  <c r="AF85" i="15"/>
  <c r="AF87" i="15"/>
  <c r="AE129" i="14" l="1"/>
  <c r="AB129" i="14"/>
  <c r="AF129" i="14" l="1"/>
  <c r="AI38" i="19"/>
  <c r="AI40" i="19"/>
  <c r="AI37" i="19"/>
  <c r="AI36" i="19"/>
  <c r="AG38" i="19"/>
  <c r="AG37" i="19"/>
  <c r="AG36" i="19"/>
  <c r="AJ37" i="19" l="1"/>
  <c r="AJ38" i="19"/>
  <c r="AJ36" i="19"/>
  <c r="B7" i="22" l="1"/>
  <c r="B10" i="22" l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1" i="22" s="1"/>
  <c r="B192" i="22" s="1"/>
  <c r="B193" i="22" s="1"/>
  <c r="B194" i="22" s="1"/>
  <c r="B195" i="22" s="1"/>
  <c r="B196" i="22" s="1"/>
  <c r="B197" i="22" s="1"/>
  <c r="B198" i="22" s="1"/>
  <c r="B199" i="22" s="1"/>
  <c r="B200" i="22" s="1"/>
  <c r="B201" i="22" s="1"/>
  <c r="B202" i="22" s="1"/>
  <c r="B203" i="22" s="1"/>
  <c r="B204" i="22" s="1"/>
  <c r="B205" i="22" s="1"/>
  <c r="B206" i="22" s="1"/>
  <c r="B207" i="22" s="1"/>
  <c r="B208" i="22" s="1"/>
  <c r="B209" i="22" s="1"/>
  <c r="B210" i="22" s="1"/>
  <c r="B211" i="22" s="1"/>
  <c r="B212" i="22" s="1"/>
  <c r="B213" i="22" s="1"/>
  <c r="B214" i="22" s="1"/>
  <c r="B215" i="22" s="1"/>
  <c r="B216" i="22" s="1"/>
  <c r="B217" i="22" s="1"/>
  <c r="B218" i="22" s="1"/>
  <c r="B219" i="22" s="1"/>
  <c r="B220" i="22" s="1"/>
  <c r="B221" i="22" s="1"/>
  <c r="B222" i="22" s="1"/>
  <c r="B223" i="22" s="1"/>
  <c r="B224" i="22" s="1"/>
  <c r="B225" i="22" s="1"/>
  <c r="B226" i="22" s="1"/>
  <c r="B227" i="22" s="1"/>
  <c r="B228" i="22" s="1"/>
  <c r="B229" i="22" s="1"/>
  <c r="B230" i="22" s="1"/>
  <c r="B231" i="22" s="1"/>
  <c r="B232" i="22" s="1"/>
  <c r="B233" i="22" s="1"/>
  <c r="B234" i="22" s="1"/>
  <c r="B235" i="22" s="1"/>
  <c r="B236" i="22" s="1"/>
  <c r="B237" i="22" s="1"/>
  <c r="B238" i="22" s="1"/>
  <c r="B239" i="22" s="1"/>
  <c r="B240" i="22" s="1"/>
  <c r="B241" i="22" s="1"/>
  <c r="B242" i="22" s="1"/>
  <c r="B243" i="22" s="1"/>
  <c r="B244" i="22" s="1"/>
  <c r="B245" i="22" s="1"/>
  <c r="B246" i="22" s="1"/>
  <c r="B247" i="22" s="1"/>
  <c r="B248" i="22" s="1"/>
  <c r="B249" i="22" s="1"/>
  <c r="B250" i="22" s="1"/>
  <c r="B251" i="22" s="1"/>
  <c r="B252" i="22" s="1"/>
  <c r="B253" i="22" s="1"/>
  <c r="B254" i="22" s="1"/>
  <c r="B255" i="22" s="1"/>
  <c r="B256" i="22" s="1"/>
  <c r="B257" i="22" s="1"/>
  <c r="B258" i="22" s="1"/>
  <c r="B259" i="22" s="1"/>
  <c r="B260" i="22" s="1"/>
  <c r="B261" i="22" s="1"/>
  <c r="B262" i="22" s="1"/>
  <c r="B263" i="22" s="1"/>
  <c r="B264" i="22" s="1"/>
  <c r="B265" i="22" s="1"/>
  <c r="B266" i="22" s="1"/>
  <c r="B267" i="22" s="1"/>
  <c r="B268" i="22" s="1"/>
  <c r="B269" i="22" s="1"/>
  <c r="B270" i="22" s="1"/>
  <c r="B271" i="22" s="1"/>
  <c r="B272" i="22" s="1"/>
  <c r="B273" i="22" s="1"/>
  <c r="B274" i="22" s="1"/>
  <c r="B275" i="22" s="1"/>
  <c r="B276" i="22" s="1"/>
  <c r="B277" i="22" s="1"/>
  <c r="B278" i="22" s="1"/>
  <c r="AB121" i="14"/>
  <c r="AD55" i="16"/>
  <c r="AD56" i="16"/>
  <c r="AD57" i="16"/>
  <c r="AD58" i="16"/>
  <c r="AD59" i="16"/>
  <c r="AB128" i="14" l="1"/>
  <c r="AF128" i="14" s="1"/>
  <c r="J128" i="14"/>
  <c r="Z34" i="19" l="1"/>
  <c r="AG39" i="19" l="1"/>
  <c r="AJ39" i="19" s="1"/>
  <c r="Z40" i="19" l="1"/>
  <c r="Y40" i="19"/>
  <c r="AI32" i="19"/>
  <c r="AE469" i="3" l="1"/>
  <c r="AE470" i="3"/>
  <c r="AE471" i="3"/>
  <c r="AE472" i="3"/>
  <c r="AE473" i="3" l="1"/>
  <c r="AG32" i="19"/>
  <c r="AG33" i="19"/>
  <c r="AG34" i="19"/>
  <c r="AG41" i="19"/>
  <c r="AG44" i="19"/>
  <c r="AG42" i="19"/>
  <c r="AI34" i="19"/>
  <c r="AI42" i="19"/>
  <c r="AI45" i="19"/>
  <c r="AJ45" i="19" s="1"/>
  <c r="AI62" i="19" l="1"/>
  <c r="AJ42" i="19"/>
  <c r="AJ34" i="19"/>
  <c r="AJ44" i="19"/>
  <c r="AJ41" i="19"/>
  <c r="AE81" i="15"/>
  <c r="Z48" i="18" l="1"/>
  <c r="AG40" i="19" l="1"/>
  <c r="AJ40" i="19" s="1"/>
  <c r="Z46" i="18" l="1"/>
  <c r="Z47" i="18"/>
  <c r="AI31" i="19"/>
  <c r="AF63" i="16" l="1"/>
  <c r="AF64" i="16"/>
  <c r="AF65" i="16"/>
  <c r="AF67" i="16"/>
  <c r="AF77" i="16" s="1"/>
  <c r="AF66" i="16" l="1"/>
  <c r="AI29" i="19"/>
  <c r="AI30" i="19"/>
  <c r="AJ31" i="19"/>
  <c r="AJ32" i="19"/>
  <c r="AI33" i="19"/>
  <c r="AJ33" i="19" s="1"/>
  <c r="AF59" i="16" l="1"/>
  <c r="AE82" i="15"/>
  <c r="AE83" i="15"/>
  <c r="AC82" i="15"/>
  <c r="AC83" i="15"/>
  <c r="AF58" i="16"/>
  <c r="AG58" i="16" s="1"/>
  <c r="AF83" i="15" l="1"/>
  <c r="AF82" i="15"/>
  <c r="S77" i="15"/>
  <c r="AE77" i="15" s="1"/>
  <c r="AE125" i="14"/>
  <c r="Y44" i="18" l="1"/>
  <c r="Z43" i="18"/>
  <c r="Z45" i="18"/>
  <c r="Z44" i="18" l="1"/>
  <c r="Y49" i="18"/>
  <c r="AE80" i="15"/>
  <c r="AC80" i="15"/>
  <c r="AC81" i="15"/>
  <c r="AF81" i="15" l="1"/>
  <c r="AF80" i="15"/>
  <c r="AI20" i="19"/>
  <c r="AB470" i="3" l="1"/>
  <c r="AB471" i="3"/>
  <c r="AB469" i="3"/>
  <c r="AE123" i="14" l="1"/>
  <c r="AE120" i="14" l="1"/>
  <c r="AE119" i="14"/>
  <c r="AF56" i="16" l="1"/>
  <c r="AF55" i="16"/>
  <c r="AF57" i="16"/>
  <c r="AG70" i="16"/>
  <c r="AF54" i="16"/>
  <c r="AF60" i="16" l="1"/>
  <c r="K54" i="16"/>
  <c r="Z28" i="19" l="1"/>
  <c r="X54" i="16"/>
  <c r="Z34" i="18" l="1"/>
  <c r="Z35" i="18"/>
  <c r="Z36" i="18"/>
  <c r="Z37" i="18"/>
  <c r="Z38" i="18"/>
  <c r="Z39" i="18"/>
  <c r="Z40" i="18"/>
  <c r="Z41" i="18"/>
  <c r="Z42" i="18"/>
  <c r="AI24" i="19"/>
  <c r="AI21" i="19"/>
  <c r="AI22" i="19"/>
  <c r="AI25" i="19"/>
  <c r="AI26" i="19"/>
  <c r="AI27" i="19"/>
  <c r="AI28" i="19"/>
  <c r="AG23" i="19"/>
  <c r="V23" i="19"/>
  <c r="AI23" i="19" s="1"/>
  <c r="J122" i="14" l="1"/>
  <c r="J121" i="14" l="1"/>
  <c r="AF121" i="14" l="1"/>
  <c r="AB123" i="14"/>
  <c r="AG25" i="19" l="1"/>
  <c r="AJ25" i="19" s="1"/>
  <c r="AG26" i="19"/>
  <c r="AJ26" i="19" s="1"/>
  <c r="AG27" i="19"/>
  <c r="AJ27" i="19" s="1"/>
  <c r="AG29" i="19"/>
  <c r="AJ29" i="19" s="1"/>
  <c r="AG30" i="19"/>
  <c r="AJ30" i="19" s="1"/>
  <c r="AE118" i="14" l="1"/>
  <c r="J118" i="14" l="1"/>
  <c r="J120" i="14" l="1"/>
  <c r="J119" i="14"/>
  <c r="AE467" i="3" l="1"/>
  <c r="AE463" i="3"/>
  <c r="AE462" i="3"/>
  <c r="O145" i="5"/>
  <c r="O142" i="5"/>
  <c r="O143" i="5"/>
  <c r="O144" i="5"/>
  <c r="O141" i="5"/>
  <c r="AD53" i="16" l="1"/>
  <c r="AG53" i="16" s="1"/>
  <c r="AG21" i="19"/>
  <c r="AJ21" i="19" s="1"/>
  <c r="AG22" i="19"/>
  <c r="AJ22" i="19" s="1"/>
  <c r="AJ23" i="19"/>
  <c r="AG28" i="19"/>
  <c r="AJ28" i="19" s="1"/>
  <c r="AG24" i="19"/>
  <c r="AJ24" i="19" s="1"/>
  <c r="AG20" i="19"/>
  <c r="AJ20" i="19" s="1"/>
  <c r="AB118" i="14" l="1"/>
  <c r="AF118" i="14" l="1"/>
  <c r="AG57" i="16"/>
  <c r="AG56" i="16"/>
  <c r="AG55" i="16" l="1"/>
  <c r="AE112" i="14"/>
  <c r="AI18" i="19" l="1"/>
  <c r="AI17" i="19"/>
  <c r="AI13" i="19"/>
  <c r="X50" i="16" l="1"/>
  <c r="X49" i="16"/>
  <c r="AE73" i="15" l="1"/>
  <c r="AB467" i="3" l="1"/>
  <c r="Z33" i="18" l="1"/>
  <c r="Z49" i="18" s="1"/>
  <c r="Y32" i="18"/>
  <c r="Z27" i="18"/>
  <c r="Z28" i="18"/>
  <c r="Z29" i="18"/>
  <c r="Z30" i="18"/>
  <c r="Z31" i="18"/>
  <c r="AB466" i="3" l="1"/>
  <c r="AI15" i="19" l="1"/>
  <c r="Z16" i="18"/>
  <c r="Z17" i="18"/>
  <c r="Z18" i="18"/>
  <c r="Z19" i="18"/>
  <c r="Z20" i="18"/>
  <c r="Z21" i="18"/>
  <c r="Z22" i="18"/>
  <c r="Z23" i="18"/>
  <c r="Z24" i="18"/>
  <c r="Z25" i="18"/>
  <c r="Z26" i="18"/>
  <c r="AE71" i="15" l="1"/>
  <c r="AE69" i="15"/>
  <c r="AE67" i="15"/>
  <c r="W72" i="15"/>
  <c r="AG13" i="19" l="1"/>
  <c r="AJ13" i="19" s="1"/>
  <c r="AG14" i="19"/>
  <c r="AG15" i="19"/>
  <c r="AG16" i="19"/>
  <c r="AG17" i="19"/>
  <c r="AJ17" i="19" s="1"/>
  <c r="AI12" i="19" l="1"/>
  <c r="AI11" i="19"/>
  <c r="AI7" i="19"/>
  <c r="AI14" i="19"/>
  <c r="AI16" i="19"/>
  <c r="AI9" i="19"/>
  <c r="AI10" i="19"/>
  <c r="AI8" i="19"/>
  <c r="AB113" i="14" l="1"/>
  <c r="AB114" i="14"/>
  <c r="AB115" i="14"/>
  <c r="AB119" i="14"/>
  <c r="AB120" i="14"/>
  <c r="AB122" i="14"/>
  <c r="AB124" i="14"/>
  <c r="AB125" i="14"/>
  <c r="AF123" i="14"/>
  <c r="AE124" i="14"/>
  <c r="AE122" i="14"/>
  <c r="AE114" i="14"/>
  <c r="AE115" i="14"/>
  <c r="AE113" i="14"/>
  <c r="AE126" i="14" l="1"/>
  <c r="AE135" i="14" s="1"/>
  <c r="AF125" i="14"/>
  <c r="AF119" i="14"/>
  <c r="AB126" i="14"/>
  <c r="AB135" i="14" s="1"/>
  <c r="AF124" i="14"/>
  <c r="AF122" i="14"/>
  <c r="AF115" i="14"/>
  <c r="AF114" i="14"/>
  <c r="AF113" i="14"/>
  <c r="AF120" i="14"/>
  <c r="AE465" i="3"/>
  <c r="AE461" i="3"/>
  <c r="AE464" i="3"/>
  <c r="AE466" i="3"/>
  <c r="AF126" i="14" l="1"/>
  <c r="AF135" i="14" s="1"/>
  <c r="AE468" i="3"/>
  <c r="AB462" i="3"/>
  <c r="AB463" i="3"/>
  <c r="AB464" i="3"/>
  <c r="AB465" i="3"/>
  <c r="J115" i="14" l="1"/>
  <c r="J114" i="14"/>
  <c r="J113" i="14"/>
  <c r="AB112" i="14" l="1"/>
  <c r="AB111" i="14"/>
  <c r="AB104" i="14"/>
  <c r="AB105" i="14"/>
  <c r="AB106" i="14"/>
  <c r="AB107" i="14"/>
  <c r="AB108" i="14"/>
  <c r="AB109" i="14"/>
  <c r="AB110" i="14"/>
  <c r="AE111" i="14"/>
  <c r="AC8" i="20" l="1"/>
  <c r="AC10" i="20"/>
  <c r="AC11" i="20"/>
  <c r="AC12" i="20"/>
  <c r="AC13" i="20"/>
  <c r="AC14" i="20"/>
  <c r="J112" i="14" l="1"/>
  <c r="AF112" i="14" l="1"/>
  <c r="AE103" i="14"/>
  <c r="AE108" i="14"/>
  <c r="AE109" i="14"/>
  <c r="AE110" i="14"/>
  <c r="AF110" i="14" l="1"/>
  <c r="AF111" i="14"/>
  <c r="S180" i="2" l="1"/>
  <c r="AC7" i="20" l="1"/>
  <c r="AC6" i="20"/>
  <c r="AB6" i="20"/>
  <c r="Z7" i="18"/>
  <c r="Z8" i="18"/>
  <c r="Z9" i="18"/>
  <c r="Z10" i="18"/>
  <c r="Z11" i="18"/>
  <c r="Z12" i="18"/>
  <c r="Z13" i="18"/>
  <c r="Z14" i="18"/>
  <c r="Z15" i="18"/>
  <c r="Z6" i="18"/>
  <c r="AG7" i="19"/>
  <c r="AJ7" i="19" s="1"/>
  <c r="Z32" i="18" l="1"/>
  <c r="AC71" i="15"/>
  <c r="AF71" i="15" l="1"/>
  <c r="AF44" i="16"/>
  <c r="W103" i="14" l="1"/>
  <c r="AB103" i="14" s="1"/>
  <c r="AB117" i="14" s="1"/>
  <c r="AA179" i="2"/>
  <c r="AA180" i="2"/>
  <c r="X178" i="2" l="1"/>
  <c r="Z185" i="10" l="1"/>
  <c r="Z186" i="10"/>
  <c r="Z187" i="10"/>
  <c r="Z188" i="10"/>
  <c r="Z189" i="10"/>
  <c r="Z190" i="10"/>
  <c r="Z191" i="10"/>
  <c r="Z192" i="10"/>
  <c r="Z193" i="10"/>
  <c r="Y185" i="10"/>
  <c r="Y186" i="10"/>
  <c r="Y187" i="10"/>
  <c r="Y188" i="10"/>
  <c r="Y189" i="10"/>
  <c r="Y190" i="10"/>
  <c r="Y191" i="10"/>
  <c r="Y192" i="10"/>
  <c r="Y193" i="10"/>
  <c r="Y183" i="10"/>
  <c r="Z183" i="10" s="1"/>
  <c r="Y184" i="10"/>
  <c r="Z184" i="10" s="1"/>
  <c r="A7" i="20"/>
  <c r="A8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J108" i="14" l="1"/>
  <c r="J107" i="14"/>
  <c r="AB250" i="8" l="1"/>
  <c r="AE100" i="14" l="1"/>
  <c r="AE99" i="14"/>
  <c r="AE98" i="14"/>
  <c r="AE97" i="14"/>
  <c r="AE95" i="14"/>
  <c r="AE94" i="14"/>
  <c r="AD47" i="16" l="1"/>
  <c r="AG47" i="16" l="1"/>
  <c r="X45" i="16"/>
  <c r="X44" i="16"/>
  <c r="X42" i="16"/>
  <c r="S177" i="2" l="1"/>
  <c r="AF42" i="16" l="1"/>
  <c r="O139" i="5" l="1"/>
  <c r="O140" i="5" s="1"/>
  <c r="AF14" i="17" l="1"/>
  <c r="AF13" i="17"/>
  <c r="AE64" i="15" l="1"/>
  <c r="AC64" i="15"/>
  <c r="AF64" i="15" l="1"/>
  <c r="J256" i="8" l="1"/>
  <c r="AJ16" i="19" l="1"/>
  <c r="AJ14" i="19"/>
  <c r="AJ15" i="19"/>
  <c r="AG12" i="19"/>
  <c r="AJ12" i="19" s="1"/>
  <c r="AG11" i="19"/>
  <c r="AJ11" i="19" s="1"/>
  <c r="AG10" i="19"/>
  <c r="AG9" i="19"/>
  <c r="AJ9" i="19" s="1"/>
  <c r="AG8" i="19"/>
  <c r="AJ8" i="19" s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21" i="19" s="1"/>
  <c r="A22" i="19" s="1"/>
  <c r="A23" i="19" s="1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4" i="19" l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20" i="18"/>
  <c r="A21" i="18" s="1"/>
  <c r="AJ10" i="19"/>
  <c r="W458" i="3"/>
  <c r="X456" i="3"/>
  <c r="W456" i="3"/>
  <c r="A22" i="18" l="1"/>
  <c r="A23" i="18" s="1"/>
  <c r="A24" i="18" s="1"/>
  <c r="A25" i="18" s="1"/>
  <c r="A26" i="18" s="1"/>
  <c r="A27" i="18" s="1"/>
  <c r="A28" i="18" s="1"/>
  <c r="A29" i="18" s="1"/>
  <c r="A30" i="18" s="1"/>
  <c r="A31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E61" i="15"/>
  <c r="A102" i="18" l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Z62" i="9"/>
  <c r="W62" i="9"/>
  <c r="V62" i="9"/>
  <c r="A62" i="9"/>
  <c r="Z61" i="9"/>
  <c r="W61" i="9"/>
  <c r="V61" i="9"/>
  <c r="A61" i="9"/>
  <c r="Z60" i="9"/>
  <c r="W60" i="9"/>
  <c r="V60" i="9"/>
  <c r="A60" i="9"/>
  <c r="Z59" i="9"/>
  <c r="W59" i="9"/>
  <c r="V59" i="9"/>
  <c r="A59" i="9"/>
  <c r="Z58" i="9"/>
  <c r="W58" i="9"/>
  <c r="V58" i="9"/>
  <c r="A58" i="9"/>
  <c r="Z57" i="9"/>
  <c r="W57" i="9"/>
  <c r="V57" i="9"/>
  <c r="A57" i="9"/>
  <c r="Z56" i="9"/>
  <c r="W56" i="9"/>
  <c r="V56" i="9"/>
  <c r="A56" i="9"/>
  <c r="Z55" i="9"/>
  <c r="W55" i="9"/>
  <c r="V55" i="9"/>
  <c r="A55" i="9"/>
  <c r="Z54" i="9"/>
  <c r="W54" i="9"/>
  <c r="V54" i="9"/>
  <c r="A54" i="9"/>
  <c r="Z53" i="9"/>
  <c r="W53" i="9"/>
  <c r="V53" i="9"/>
  <c r="A53" i="9"/>
  <c r="Z52" i="9"/>
  <c r="W52" i="9"/>
  <c r="V52" i="9"/>
  <c r="A52" i="9"/>
  <c r="Z51" i="9"/>
  <c r="W51" i="9"/>
  <c r="V51" i="9"/>
  <c r="A51" i="9"/>
  <c r="Z50" i="9"/>
  <c r="W50" i="9"/>
  <c r="V50" i="9"/>
  <c r="A50" i="9"/>
  <c r="Z49" i="9"/>
  <c r="W49" i="9"/>
  <c r="V49" i="9"/>
  <c r="A49" i="9"/>
  <c r="Z48" i="9"/>
  <c r="W48" i="9"/>
  <c r="V48" i="9"/>
  <c r="A48" i="9"/>
  <c r="Z47" i="9"/>
  <c r="W47" i="9"/>
  <c r="V47" i="9"/>
  <c r="A47" i="9"/>
  <c r="Z46" i="9"/>
  <c r="W46" i="9"/>
  <c r="V46" i="9"/>
  <c r="A46" i="9"/>
  <c r="Z45" i="9"/>
  <c r="W45" i="9"/>
  <c r="V45" i="9"/>
  <c r="A45" i="9"/>
  <c r="Z44" i="9"/>
  <c r="W44" i="9"/>
  <c r="V44" i="9"/>
  <c r="A44" i="9"/>
  <c r="Z43" i="9"/>
  <c r="W43" i="9"/>
  <c r="V43" i="9"/>
  <c r="Z42" i="9"/>
  <c r="Y42" i="9"/>
  <c r="W42" i="9"/>
  <c r="V42" i="9"/>
  <c r="U42" i="9"/>
  <c r="Z41" i="9"/>
  <c r="W41" i="9"/>
  <c r="V41" i="9"/>
  <c r="A41" i="9"/>
  <c r="Z40" i="9"/>
  <c r="Y40" i="9"/>
  <c r="W40" i="9"/>
  <c r="V40" i="9"/>
  <c r="A40" i="9"/>
  <c r="Z39" i="9"/>
  <c r="Y39" i="9"/>
  <c r="W39" i="9"/>
  <c r="V39" i="9"/>
  <c r="A39" i="9"/>
  <c r="Z38" i="9"/>
  <c r="Y38" i="9"/>
  <c r="W38" i="9"/>
  <c r="V38" i="9"/>
  <c r="A38" i="9"/>
  <c r="Z37" i="9"/>
  <c r="Y37" i="9"/>
  <c r="W37" i="9"/>
  <c r="V37" i="9"/>
  <c r="Z36" i="9"/>
  <c r="Y36" i="9"/>
  <c r="W36" i="9"/>
  <c r="V36" i="9"/>
  <c r="U36" i="9"/>
  <c r="AA35" i="9"/>
  <c r="Z35" i="9"/>
  <c r="W35" i="9"/>
  <c r="V35" i="9"/>
  <c r="A35" i="9"/>
  <c r="AA34" i="9"/>
  <c r="Z34" i="9"/>
  <c r="Y34" i="9"/>
  <c r="W34" i="9"/>
  <c r="V34" i="9"/>
  <c r="A34" i="9"/>
  <c r="AA33" i="9"/>
  <c r="Z33" i="9"/>
  <c r="Y33" i="9"/>
  <c r="W33" i="9"/>
  <c r="V33" i="9"/>
  <c r="A33" i="9"/>
  <c r="AA32" i="9"/>
  <c r="Z32" i="9"/>
  <c r="Y32" i="9"/>
  <c r="W32" i="9"/>
  <c r="V32" i="9"/>
  <c r="A32" i="9"/>
  <c r="AA31" i="9"/>
  <c r="Z31" i="9"/>
  <c r="Y31" i="9"/>
  <c r="W31" i="9"/>
  <c r="V31" i="9"/>
  <c r="A31" i="9"/>
  <c r="AA30" i="9"/>
  <c r="Z30" i="9"/>
  <c r="Y30" i="9"/>
  <c r="W30" i="9"/>
  <c r="V30" i="9"/>
  <c r="Z29" i="9"/>
  <c r="Y29" i="9"/>
  <c r="W29" i="9"/>
  <c r="V29" i="9"/>
  <c r="U29" i="9"/>
  <c r="AA28" i="9"/>
  <c r="Z28" i="9"/>
  <c r="Y28" i="9"/>
  <c r="W28" i="9"/>
  <c r="V28" i="9"/>
  <c r="A28" i="9"/>
  <c r="AA27" i="9"/>
  <c r="Z27" i="9"/>
  <c r="Y27" i="9"/>
  <c r="W27" i="9"/>
  <c r="V27" i="9"/>
  <c r="A27" i="9"/>
  <c r="AA26" i="9"/>
  <c r="Z26" i="9"/>
  <c r="Y26" i="9"/>
  <c r="W26" i="9"/>
  <c r="V26" i="9"/>
  <c r="A26" i="9"/>
  <c r="AA25" i="9"/>
  <c r="Z25" i="9"/>
  <c r="Y25" i="9"/>
  <c r="W25" i="9"/>
  <c r="V25" i="9"/>
  <c r="Z24" i="9"/>
  <c r="Y24" i="9"/>
  <c r="W24" i="9"/>
  <c r="V24" i="9"/>
  <c r="U24" i="9"/>
  <c r="AA23" i="9"/>
  <c r="Z23" i="9"/>
  <c r="Y23" i="9"/>
  <c r="W23" i="9"/>
  <c r="V23" i="9"/>
  <c r="A23" i="9"/>
  <c r="AA22" i="9"/>
  <c r="Z22" i="9"/>
  <c r="Y22" i="9"/>
  <c r="W22" i="9"/>
  <c r="V22" i="9"/>
  <c r="A22" i="9"/>
  <c r="AA21" i="9"/>
  <c r="Z21" i="9"/>
  <c r="Y21" i="9"/>
  <c r="W21" i="9"/>
  <c r="V21" i="9"/>
  <c r="A21" i="9"/>
  <c r="AA20" i="9"/>
  <c r="Z20" i="9"/>
  <c r="Y20" i="9"/>
  <c r="W20" i="9"/>
  <c r="V20" i="9"/>
  <c r="Z19" i="9"/>
  <c r="Y19" i="9"/>
  <c r="W19" i="9"/>
  <c r="V19" i="9"/>
  <c r="U19" i="9"/>
  <c r="AA18" i="9"/>
  <c r="Z18" i="9"/>
  <c r="Y18" i="9"/>
  <c r="W18" i="9"/>
  <c r="V18" i="9"/>
  <c r="A18" i="9"/>
  <c r="AA17" i="9"/>
  <c r="Z17" i="9"/>
  <c r="Y17" i="9"/>
  <c r="W17" i="9"/>
  <c r="V17" i="9"/>
  <c r="A17" i="9"/>
  <c r="AA16" i="9"/>
  <c r="Z16" i="9"/>
  <c r="Y16" i="9"/>
  <c r="W16" i="9"/>
  <c r="V16" i="9"/>
  <c r="A16" i="9"/>
  <c r="AA15" i="9"/>
  <c r="Z15" i="9"/>
  <c r="Y15" i="9"/>
  <c r="W15" i="9"/>
  <c r="V15" i="9"/>
  <c r="A15" i="9"/>
  <c r="AA14" i="9"/>
  <c r="Z14" i="9"/>
  <c r="Y14" i="9"/>
  <c r="W14" i="9"/>
  <c r="V14" i="9"/>
  <c r="Z13" i="9"/>
  <c r="Y13" i="9"/>
  <c r="W13" i="9"/>
  <c r="V13" i="9"/>
  <c r="U13" i="9"/>
  <c r="Z12" i="9"/>
  <c r="Y12" i="9"/>
  <c r="W12" i="9"/>
  <c r="V12" i="9"/>
  <c r="A12" i="9"/>
  <c r="Z11" i="9"/>
  <c r="Y11" i="9"/>
  <c r="W11" i="9"/>
  <c r="V11" i="9"/>
  <c r="A11" i="9"/>
  <c r="Z10" i="9"/>
  <c r="Y10" i="9"/>
  <c r="W10" i="9"/>
  <c r="V10" i="9"/>
  <c r="A10" i="9"/>
  <c r="Z9" i="9"/>
  <c r="W9" i="9"/>
  <c r="V9" i="9"/>
  <c r="Z8" i="9"/>
  <c r="Y8" i="9"/>
  <c r="W8" i="9"/>
  <c r="V8" i="9"/>
  <c r="U8" i="9"/>
  <c r="Z7" i="9"/>
  <c r="Y7" i="9"/>
  <c r="W7" i="9"/>
  <c r="V7" i="9"/>
  <c r="A7" i="9"/>
  <c r="Z6" i="9"/>
  <c r="Y6" i="9"/>
  <c r="W6" i="9"/>
  <c r="V6" i="9"/>
  <c r="A6" i="9"/>
  <c r="Z5" i="9"/>
  <c r="Y5" i="9"/>
  <c r="W5" i="9"/>
  <c r="V5" i="9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N138" i="5"/>
  <c r="O137" i="5"/>
  <c r="O138" i="5" s="1"/>
  <c r="O136" i="5"/>
  <c r="O135" i="5"/>
  <c r="N134" i="5"/>
  <c r="O133" i="5"/>
  <c r="O134" i="5" s="1"/>
  <c r="N132" i="5"/>
  <c r="O131" i="5"/>
  <c r="O130" i="5"/>
  <c r="O129" i="5"/>
  <c r="O132" i="5" s="1"/>
  <c r="N128" i="5"/>
  <c r="O127" i="5"/>
  <c r="O128" i="5" s="1"/>
  <c r="O126" i="5"/>
  <c r="N126" i="5"/>
  <c r="O125" i="5"/>
  <c r="N124" i="5"/>
  <c r="O123" i="5"/>
  <c r="O122" i="5"/>
  <c r="O124" i="5" s="1"/>
  <c r="N121" i="5"/>
  <c r="O120" i="5"/>
  <c r="O119" i="5"/>
  <c r="O118" i="5"/>
  <c r="O117" i="5"/>
  <c r="O116" i="5"/>
  <c r="N115" i="5"/>
  <c r="O114" i="5"/>
  <c r="O113" i="5"/>
  <c r="O112" i="5"/>
  <c r="O111" i="5"/>
  <c r="O110" i="5"/>
  <c r="O109" i="5"/>
  <c r="O107" i="5"/>
  <c r="O106" i="5"/>
  <c r="O104" i="5"/>
  <c r="O103" i="5"/>
  <c r="O102" i="5"/>
  <c r="O101" i="5"/>
  <c r="O100" i="5"/>
  <c r="O99" i="5"/>
  <c r="N98" i="5"/>
  <c r="N105" i="5" s="1"/>
  <c r="N108" i="5" s="1"/>
  <c r="O97" i="5"/>
  <c r="O96" i="5"/>
  <c r="O95" i="5"/>
  <c r="O94" i="5"/>
  <c r="O93" i="5"/>
  <c r="O92" i="5"/>
  <c r="O91" i="5"/>
  <c r="O90" i="5"/>
  <c r="N89" i="5"/>
  <c r="O88" i="5"/>
  <c r="O87" i="5"/>
  <c r="O86" i="5"/>
  <c r="O85" i="5"/>
  <c r="O84" i="5"/>
  <c r="O82" i="5"/>
  <c r="O81" i="5"/>
  <c r="O80" i="5"/>
  <c r="O79" i="5"/>
  <c r="O78" i="5"/>
  <c r="O77" i="5"/>
  <c r="O75" i="5"/>
  <c r="O74" i="5"/>
  <c r="O73" i="5"/>
  <c r="O72" i="5"/>
  <c r="O71" i="5"/>
  <c r="O70" i="5"/>
  <c r="O69" i="5"/>
  <c r="O68" i="5"/>
  <c r="O67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0" i="5"/>
  <c r="O49" i="5"/>
  <c r="O48" i="5"/>
  <c r="O47" i="5"/>
  <c r="O46" i="5"/>
  <c r="O45" i="5"/>
  <c r="O43" i="5"/>
  <c r="O42" i="5"/>
  <c r="O41" i="5"/>
  <c r="O40" i="5"/>
  <c r="A40" i="5"/>
  <c r="A41" i="5" s="1"/>
  <c r="A42" i="5" s="1"/>
  <c r="A43" i="5" s="1"/>
  <c r="O39" i="5"/>
  <c r="O37" i="5"/>
  <c r="O36" i="5"/>
  <c r="O35" i="5"/>
  <c r="A35" i="5"/>
  <c r="A36" i="5" s="1"/>
  <c r="A37" i="5" s="1"/>
  <c r="O34" i="5"/>
  <c r="O32" i="5"/>
  <c r="O31" i="5"/>
  <c r="O30" i="5"/>
  <c r="O29" i="5"/>
  <c r="O28" i="5"/>
  <c r="O27" i="5"/>
  <c r="O26" i="5"/>
  <c r="O25" i="5"/>
  <c r="O24" i="5"/>
  <c r="A24" i="5"/>
  <c r="A25" i="5" s="1"/>
  <c r="A26" i="5" s="1"/>
  <c r="A27" i="5" s="1"/>
  <c r="A28" i="5" s="1"/>
  <c r="A29" i="5" s="1"/>
  <c r="A30" i="5" s="1"/>
  <c r="A31" i="5" s="1"/>
  <c r="A32" i="5" s="1"/>
  <c r="O23" i="5"/>
  <c r="O21" i="5"/>
  <c r="O20" i="5"/>
  <c r="O19" i="5"/>
  <c r="O18" i="5"/>
  <c r="A18" i="5"/>
  <c r="A19" i="5" s="1"/>
  <c r="A20" i="5" s="1"/>
  <c r="A21" i="5" s="1"/>
  <c r="O17" i="5"/>
  <c r="O15" i="5"/>
  <c r="O14" i="5"/>
  <c r="O13" i="5"/>
  <c r="O12" i="5"/>
  <c r="O11" i="5"/>
  <c r="A11" i="5"/>
  <c r="A12" i="5" s="1"/>
  <c r="A13" i="5" s="1"/>
  <c r="A14" i="5" s="1"/>
  <c r="A15" i="5" s="1"/>
  <c r="O10" i="5"/>
  <c r="O9" i="5"/>
  <c r="O7" i="5"/>
  <c r="O6" i="5"/>
  <c r="A127" i="17"/>
  <c r="A126" i="17"/>
  <c r="A125" i="17"/>
  <c r="A124" i="17"/>
  <c r="A123" i="17"/>
  <c r="A122" i="17"/>
  <c r="A121" i="17"/>
  <c r="A120" i="17"/>
  <c r="A119" i="17"/>
  <c r="A118" i="17"/>
  <c r="A117" i="17"/>
  <c r="A116" i="17"/>
  <c r="A115" i="17"/>
  <c r="A114" i="17"/>
  <c r="A113" i="17"/>
  <c r="A112" i="17"/>
  <c r="A111" i="17"/>
  <c r="A110" i="17"/>
  <c r="A109" i="17"/>
  <c r="A108" i="17"/>
  <c r="A107" i="17"/>
  <c r="A106" i="17"/>
  <c r="A105" i="17"/>
  <c r="A104" i="17"/>
  <c r="A103" i="17"/>
  <c r="A102" i="17"/>
  <c r="A101" i="17"/>
  <c r="A100" i="17"/>
  <c r="A99" i="17"/>
  <c r="A98" i="17"/>
  <c r="A97" i="17"/>
  <c r="A96" i="17"/>
  <c r="A95" i="17"/>
  <c r="A94" i="17"/>
  <c r="A93" i="17"/>
  <c r="A92" i="17"/>
  <c r="A91" i="17"/>
  <c r="A90" i="17"/>
  <c r="A89" i="17"/>
  <c r="A88" i="17"/>
  <c r="A87" i="17"/>
  <c r="A86" i="17"/>
  <c r="A85" i="17"/>
  <c r="A84" i="17"/>
  <c r="A83" i="17"/>
  <c r="A82" i="17"/>
  <c r="A81" i="17"/>
  <c r="A80" i="17"/>
  <c r="A79" i="17"/>
  <c r="A78" i="17"/>
  <c r="A77" i="17"/>
  <c r="A76" i="17"/>
  <c r="A75" i="17"/>
  <c r="A74" i="17"/>
  <c r="A73" i="17"/>
  <c r="A72" i="17"/>
  <c r="A71" i="17"/>
  <c r="A70" i="17"/>
  <c r="A69" i="17"/>
  <c r="A68" i="17"/>
  <c r="A67" i="17"/>
  <c r="A66" i="17"/>
  <c r="A65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D16" i="17"/>
  <c r="A16" i="17"/>
  <c r="AG15" i="17"/>
  <c r="AF15" i="17"/>
  <c r="AD15" i="17"/>
  <c r="A15" i="17"/>
  <c r="AD14" i="17"/>
  <c r="AG14" i="17" s="1"/>
  <c r="A14" i="17"/>
  <c r="AD13" i="17"/>
  <c r="AG13" i="17" s="1"/>
  <c r="AF12" i="17"/>
  <c r="AD12" i="17"/>
  <c r="AG10" i="17"/>
  <c r="AF10" i="17"/>
  <c r="AD10" i="17"/>
  <c r="Z10" i="17"/>
  <c r="A10" i="17"/>
  <c r="AG9" i="17"/>
  <c r="AF9" i="17"/>
  <c r="AD9" i="17"/>
  <c r="Z9" i="17"/>
  <c r="Y9" i="17"/>
  <c r="A9" i="17"/>
  <c r="AG8" i="17"/>
  <c r="AF8" i="17"/>
  <c r="AD8" i="17"/>
  <c r="Z8" i="17"/>
  <c r="A8" i="17"/>
  <c r="AG7" i="17"/>
  <c r="AF7" i="17"/>
  <c r="AD7" i="17"/>
  <c r="Z7" i="17"/>
  <c r="A7" i="17"/>
  <c r="AG6" i="17"/>
  <c r="AF6" i="17"/>
  <c r="AD6" i="17"/>
  <c r="Z6" i="17"/>
  <c r="AE79" i="15"/>
  <c r="AC79" i="15"/>
  <c r="AE78" i="15"/>
  <c r="AC78" i="15"/>
  <c r="AC77" i="15"/>
  <c r="AE76" i="15"/>
  <c r="AC76" i="15"/>
  <c r="AE75" i="15"/>
  <c r="AC75" i="15"/>
  <c r="AC73" i="15"/>
  <c r="AE72" i="15"/>
  <c r="AC72" i="15"/>
  <c r="AC67" i="15"/>
  <c r="AC69" i="15"/>
  <c r="AE70" i="15"/>
  <c r="AC70" i="15"/>
  <c r="AE68" i="15"/>
  <c r="AC68" i="15"/>
  <c r="AE66" i="15"/>
  <c r="AC66" i="15"/>
  <c r="A68" i="15"/>
  <c r="A70" i="15" s="1"/>
  <c r="A69" i="15" s="1"/>
  <c r="A67" i="15" s="1"/>
  <c r="AE63" i="15"/>
  <c r="AC63" i="15"/>
  <c r="AE62" i="15"/>
  <c r="AC62" i="15"/>
  <c r="A62" i="15"/>
  <c r="A63" i="15" s="1"/>
  <c r="AC61" i="15"/>
  <c r="AF61" i="15" s="1"/>
  <c r="AE60" i="15"/>
  <c r="AC60" i="15"/>
  <c r="AE59" i="15"/>
  <c r="AC59" i="15"/>
  <c r="AE57" i="15"/>
  <c r="W57" i="15"/>
  <c r="AC57" i="15" s="1"/>
  <c r="AE56" i="15"/>
  <c r="AC56" i="15"/>
  <c r="AE55" i="15"/>
  <c r="AC55" i="15"/>
  <c r="AE54" i="15"/>
  <c r="AC54" i="15"/>
  <c r="AE53" i="15"/>
  <c r="AC53" i="15"/>
  <c r="AE52" i="15"/>
  <c r="AC52" i="15"/>
  <c r="AE51" i="15"/>
  <c r="W51" i="15"/>
  <c r="AC51" i="15" s="1"/>
  <c r="AE50" i="15"/>
  <c r="AC50" i="15"/>
  <c r="AE49" i="15"/>
  <c r="AC49" i="15"/>
  <c r="AE48" i="15"/>
  <c r="AC48" i="15"/>
  <c r="A48" i="15"/>
  <c r="A49" i="15" s="1"/>
  <c r="A50" i="15" s="1"/>
  <c r="A51" i="15" s="1"/>
  <c r="A52" i="15" s="1"/>
  <c r="A53" i="15" s="1"/>
  <c r="A54" i="15" s="1"/>
  <c r="A55" i="15" s="1"/>
  <c r="A56" i="15" s="1"/>
  <c r="A57" i="15" s="1"/>
  <c r="AE47" i="15"/>
  <c r="AC47" i="15"/>
  <c r="AE45" i="15"/>
  <c r="W45" i="15"/>
  <c r="AC45" i="15" s="1"/>
  <c r="AE44" i="15"/>
  <c r="AC44" i="15"/>
  <c r="AE43" i="15"/>
  <c r="AC43" i="15"/>
  <c r="AE42" i="15"/>
  <c r="AC42" i="15"/>
  <c r="AE41" i="15"/>
  <c r="AC41" i="15"/>
  <c r="AE40" i="15"/>
  <c r="AC40" i="15"/>
  <c r="AE39" i="15"/>
  <c r="AC39" i="15"/>
  <c r="AE38" i="15"/>
  <c r="AC38" i="15"/>
  <c r="AE36" i="15"/>
  <c r="AC36" i="15"/>
  <c r="AE35" i="15"/>
  <c r="W35" i="15"/>
  <c r="AC35" i="15" s="1"/>
  <c r="AE34" i="15"/>
  <c r="AC34" i="15"/>
  <c r="AE33" i="15"/>
  <c r="AC33" i="15"/>
  <c r="AE32" i="15"/>
  <c r="AC32" i="15"/>
  <c r="AE31" i="15"/>
  <c r="AC31" i="15"/>
  <c r="AE30" i="15"/>
  <c r="AC30" i="15"/>
  <c r="AE29" i="15"/>
  <c r="AC29" i="15"/>
  <c r="AE28" i="15"/>
  <c r="AC28" i="15"/>
  <c r="AE27" i="15"/>
  <c r="AC27" i="15"/>
  <c r="AE26" i="15"/>
  <c r="AC26" i="15"/>
  <c r="AE24" i="15"/>
  <c r="AC24" i="15"/>
  <c r="AE23" i="15"/>
  <c r="AC23" i="15"/>
  <c r="AE22" i="15"/>
  <c r="AC22" i="15"/>
  <c r="AE21" i="15"/>
  <c r="AC21" i="15"/>
  <c r="AE20" i="15"/>
  <c r="AC20" i="15"/>
  <c r="AE19" i="15"/>
  <c r="AC19" i="15"/>
  <c r="W18" i="15"/>
  <c r="AC18" i="15" s="1"/>
  <c r="S18" i="15"/>
  <c r="AE18" i="15" s="1"/>
  <c r="AE17" i="15"/>
  <c r="AC17" i="15"/>
  <c r="AE16" i="15"/>
  <c r="AC16" i="15"/>
  <c r="AE15" i="15"/>
  <c r="AC15" i="15"/>
  <c r="AE14" i="15"/>
  <c r="X14" i="15"/>
  <c r="AC14" i="15" s="1"/>
  <c r="AE12" i="15"/>
  <c r="AC12" i="15"/>
  <c r="W11" i="15"/>
  <c r="AC11" i="15" s="1"/>
  <c r="S11" i="15"/>
  <c r="AE11" i="15" s="1"/>
  <c r="AE10" i="15"/>
  <c r="AC10" i="15"/>
  <c r="AE9" i="15"/>
  <c r="AC9" i="15"/>
  <c r="A9" i="15"/>
  <c r="AE8" i="15"/>
  <c r="AC8" i="15"/>
  <c r="AE7" i="15"/>
  <c r="AC7" i="15"/>
  <c r="AE6" i="15"/>
  <c r="AC6" i="15"/>
  <c r="AG72" i="16"/>
  <c r="AG69" i="16"/>
  <c r="AG68" i="16"/>
  <c r="AD67" i="16"/>
  <c r="AG67" i="16" s="1"/>
  <c r="AD65" i="16"/>
  <c r="AG65" i="16" s="1"/>
  <c r="AD64" i="16"/>
  <c r="AG64" i="16" s="1"/>
  <c r="AD63" i="16"/>
  <c r="AG63" i="16" s="1"/>
  <c r="AD62" i="16"/>
  <c r="AG62" i="16" s="1"/>
  <c r="AD54" i="16"/>
  <c r="AD60" i="16" s="1"/>
  <c r="AF51" i="16"/>
  <c r="AD51" i="16"/>
  <c r="AF50" i="16"/>
  <c r="AD50" i="16"/>
  <c r="AF49" i="16"/>
  <c r="AD49" i="16"/>
  <c r="AF48" i="16"/>
  <c r="AD48" i="16"/>
  <c r="AF45" i="16"/>
  <c r="AD45" i="16"/>
  <c r="AD44" i="16"/>
  <c r="AF43" i="16"/>
  <c r="AD43" i="16"/>
  <c r="AD42" i="16"/>
  <c r="AG42" i="16" s="1"/>
  <c r="AF41" i="16"/>
  <c r="X41" i="16"/>
  <c r="AD41" i="16" s="1"/>
  <c r="AF40" i="16"/>
  <c r="X40" i="16"/>
  <c r="AD40" i="16" s="1"/>
  <c r="A40" i="16"/>
  <c r="A41" i="16" s="1"/>
  <c r="A42" i="16" s="1"/>
  <c r="A43" i="16" s="1"/>
  <c r="A44" i="16" s="1"/>
  <c r="A45" i="16" s="1"/>
  <c r="A49" i="16" s="1"/>
  <c r="A50" i="16" s="1"/>
  <c r="A51" i="16" s="1"/>
  <c r="A54" i="16" s="1"/>
  <c r="A55" i="16" s="1"/>
  <c r="AF39" i="16"/>
  <c r="AD39" i="16"/>
  <c r="AF38" i="16"/>
  <c r="AD38" i="16"/>
  <c r="AF37" i="16"/>
  <c r="AD37" i="16"/>
  <c r="AF35" i="16"/>
  <c r="X35" i="16"/>
  <c r="AD35" i="16" s="1"/>
  <c r="A35" i="16"/>
  <c r="AF34" i="16"/>
  <c r="AD34" i="16"/>
  <c r="AF33" i="16"/>
  <c r="X33" i="16"/>
  <c r="AD33" i="16" s="1"/>
  <c r="AF32" i="16"/>
  <c r="X32" i="16"/>
  <c r="AD32" i="16" s="1"/>
  <c r="AF31" i="16"/>
  <c r="X31" i="16"/>
  <c r="AD31" i="16" s="1"/>
  <c r="AF30" i="16"/>
  <c r="X30" i="16"/>
  <c r="AD30" i="16" s="1"/>
  <c r="A30" i="16"/>
  <c r="A31" i="16" s="1"/>
  <c r="A32" i="16" s="1"/>
  <c r="A33" i="16" s="1"/>
  <c r="AF29" i="16"/>
  <c r="AD29" i="16"/>
  <c r="AF27" i="16"/>
  <c r="AD27" i="16"/>
  <c r="AF26" i="16"/>
  <c r="AD26" i="16"/>
  <c r="AF25" i="16"/>
  <c r="AD25" i="16"/>
  <c r="AF24" i="16"/>
  <c r="X24" i="16"/>
  <c r="AD24" i="16" s="1"/>
  <c r="AF23" i="16"/>
  <c r="AB23" i="16"/>
  <c r="AD23" i="16" s="1"/>
  <c r="A23" i="16"/>
  <c r="A24" i="16" s="1"/>
  <c r="A25" i="16" s="1"/>
  <c r="A26" i="16" s="1"/>
  <c r="A27" i="16" s="1"/>
  <c r="AF22" i="16"/>
  <c r="X22" i="16"/>
  <c r="AD22" i="16" s="1"/>
  <c r="K22" i="16"/>
  <c r="AF20" i="16"/>
  <c r="AD20" i="16"/>
  <c r="A20" i="16"/>
  <c r="AF19" i="16"/>
  <c r="AD19" i="16"/>
  <c r="AF18" i="16"/>
  <c r="AD18" i="16"/>
  <c r="AF17" i="16"/>
  <c r="X17" i="16"/>
  <c r="AD17" i="16" s="1"/>
  <c r="A17" i="16"/>
  <c r="AF16" i="16"/>
  <c r="X16" i="16"/>
  <c r="AD16" i="16" s="1"/>
  <c r="AF15" i="16"/>
  <c r="X15" i="16"/>
  <c r="AD15" i="16" s="1"/>
  <c r="AF14" i="16"/>
  <c r="X14" i="16"/>
  <c r="AD14" i="16" s="1"/>
  <c r="AF12" i="16"/>
  <c r="X12" i="16"/>
  <c r="AD12" i="16" s="1"/>
  <c r="AA11" i="16"/>
  <c r="AF10" i="16"/>
  <c r="AD10" i="16"/>
  <c r="A10" i="16"/>
  <c r="AF9" i="16"/>
  <c r="AD9" i="16"/>
  <c r="AF8" i="16"/>
  <c r="X8" i="16"/>
  <c r="W8" i="16"/>
  <c r="W11" i="16" s="1"/>
  <c r="A8" i="16"/>
  <c r="AF7" i="16"/>
  <c r="X7" i="16"/>
  <c r="AD7" i="16" s="1"/>
  <c r="AF2" i="16"/>
  <c r="AF109" i="14"/>
  <c r="AF108" i="14"/>
  <c r="AE107" i="14"/>
  <c r="AE106" i="14"/>
  <c r="AE105" i="14"/>
  <c r="AE104" i="14"/>
  <c r="AF103" i="14"/>
  <c r="A104" i="14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20" i="14" s="1"/>
  <c r="AE101" i="14"/>
  <c r="AB101" i="14"/>
  <c r="AB100" i="14"/>
  <c r="AF100" i="14" s="1"/>
  <c r="J100" i="14"/>
  <c r="AB99" i="14"/>
  <c r="AF99" i="14" s="1"/>
  <c r="J99" i="14"/>
  <c r="AB98" i="14"/>
  <c r="AF98" i="14" s="1"/>
  <c r="J98" i="14"/>
  <c r="A98" i="14"/>
  <c r="A99" i="14" s="1"/>
  <c r="A100" i="14" s="1"/>
  <c r="A101" i="14" s="1"/>
  <c r="AB97" i="14"/>
  <c r="AF97" i="14" s="1"/>
  <c r="J97" i="14"/>
  <c r="AE96" i="14"/>
  <c r="AB96" i="14"/>
  <c r="AB95" i="14"/>
  <c r="AF95" i="14" s="1"/>
  <c r="A95" i="14"/>
  <c r="AB94" i="14"/>
  <c r="AF94" i="14" s="1"/>
  <c r="AE93" i="14"/>
  <c r="AB93" i="14"/>
  <c r="AE92" i="14"/>
  <c r="AB92" i="14"/>
  <c r="AE91" i="14"/>
  <c r="AB91" i="14"/>
  <c r="AE89" i="14"/>
  <c r="AB89" i="14"/>
  <c r="A89" i="14"/>
  <c r="AE88" i="14"/>
  <c r="AD88" i="14"/>
  <c r="AB88" i="14"/>
  <c r="AE87" i="14"/>
  <c r="AB87" i="14"/>
  <c r="AE86" i="14"/>
  <c r="AB86" i="14"/>
  <c r="AE85" i="14"/>
  <c r="AB85" i="14"/>
  <c r="AE84" i="14"/>
  <c r="V84" i="14"/>
  <c r="AB84" i="14" s="1"/>
  <c r="AE83" i="14"/>
  <c r="AB83" i="14"/>
  <c r="AE82" i="14"/>
  <c r="AB82" i="14"/>
  <c r="AE81" i="14"/>
  <c r="V81" i="14"/>
  <c r="AB81" i="14" s="1"/>
  <c r="A81" i="14"/>
  <c r="A82" i="14" s="1"/>
  <c r="A83" i="14" s="1"/>
  <c r="A84" i="14" s="1"/>
  <c r="A85" i="14" s="1"/>
  <c r="A86" i="14" s="1"/>
  <c r="A87" i="14" s="1"/>
  <c r="AE80" i="14"/>
  <c r="W80" i="14"/>
  <c r="V80" i="14"/>
  <c r="J80" i="14"/>
  <c r="AE79" i="14"/>
  <c r="AB79" i="14"/>
  <c r="AE78" i="14"/>
  <c r="AB78" i="14"/>
  <c r="J78" i="14"/>
  <c r="AE77" i="14"/>
  <c r="AB77" i="14"/>
  <c r="A77" i="14"/>
  <c r="A78" i="14" s="1"/>
  <c r="AE76" i="14"/>
  <c r="AB76" i="14"/>
  <c r="AE75" i="14"/>
  <c r="AB75" i="14"/>
  <c r="AE74" i="14"/>
  <c r="AB74" i="14"/>
  <c r="AE73" i="14"/>
  <c r="AB73" i="14"/>
  <c r="AE72" i="14"/>
  <c r="AB72" i="14"/>
  <c r="AE71" i="14"/>
  <c r="AB71" i="14"/>
  <c r="AE70" i="14"/>
  <c r="AB70" i="14"/>
  <c r="A70" i="14"/>
  <c r="A71" i="14" s="1"/>
  <c r="A72" i="14" s="1"/>
  <c r="A73" i="14" s="1"/>
  <c r="A74" i="14" s="1"/>
  <c r="AE69" i="14"/>
  <c r="AB69" i="14"/>
  <c r="J69" i="14"/>
  <c r="AE67" i="14"/>
  <c r="AB67" i="14"/>
  <c r="J67" i="14"/>
  <c r="AE66" i="14"/>
  <c r="AB66" i="14"/>
  <c r="AE65" i="14"/>
  <c r="AB65" i="14"/>
  <c r="AE64" i="14"/>
  <c r="AB64" i="14"/>
  <c r="AE63" i="14"/>
  <c r="AB63" i="14"/>
  <c r="AE62" i="14"/>
  <c r="AB62" i="14"/>
  <c r="AE60" i="14"/>
  <c r="AB60" i="14"/>
  <c r="AE59" i="14"/>
  <c r="AB59" i="14"/>
  <c r="AE58" i="14"/>
  <c r="AB58" i="14"/>
  <c r="AE57" i="14"/>
  <c r="AB57" i="14"/>
  <c r="AE56" i="14"/>
  <c r="AB56" i="14"/>
  <c r="AE55" i="14"/>
  <c r="AB55" i="14"/>
  <c r="AE54" i="14"/>
  <c r="AB54" i="14"/>
  <c r="AE53" i="14"/>
  <c r="AB53" i="14"/>
  <c r="AE52" i="14"/>
  <c r="AB52" i="14"/>
  <c r="AE51" i="14"/>
  <c r="AB51" i="14"/>
  <c r="AE50" i="14"/>
  <c r="AB50" i="14"/>
  <c r="J50" i="14"/>
  <c r="AE49" i="14"/>
  <c r="AB49" i="14"/>
  <c r="J49" i="14"/>
  <c r="AE48" i="14"/>
  <c r="AB48" i="14"/>
  <c r="J48" i="14"/>
  <c r="AE47" i="14"/>
  <c r="AB47" i="14"/>
  <c r="AE46" i="14"/>
  <c r="AB46" i="14"/>
  <c r="AE45" i="14"/>
  <c r="AB45" i="14"/>
  <c r="AE44" i="14"/>
  <c r="AB44" i="14"/>
  <c r="J44" i="14"/>
  <c r="AE43" i="14"/>
  <c r="AB43" i="14"/>
  <c r="J43" i="14"/>
  <c r="AE42" i="14"/>
  <c r="AB42" i="14"/>
  <c r="AE41" i="14"/>
  <c r="AB41" i="14"/>
  <c r="AE40" i="14"/>
  <c r="AF40" i="14" s="1"/>
  <c r="AE39" i="14"/>
  <c r="AF39" i="14" s="1"/>
  <c r="AE37" i="14"/>
  <c r="AB37" i="14"/>
  <c r="AE36" i="14"/>
  <c r="AB36" i="14"/>
  <c r="AE35" i="14"/>
  <c r="AB35" i="14"/>
  <c r="AE34" i="14"/>
  <c r="AB34" i="14"/>
  <c r="AC33" i="14"/>
  <c r="AC38" i="14" s="1"/>
  <c r="AC61" i="14" s="1"/>
  <c r="AC68" i="14" s="1"/>
  <c r="AC90" i="14" s="1"/>
  <c r="Z33" i="14"/>
  <c r="W33" i="14"/>
  <c r="V33" i="14"/>
  <c r="AE32" i="14"/>
  <c r="AB32" i="14"/>
  <c r="AE31" i="14"/>
  <c r="AB31" i="14"/>
  <c r="AE30" i="14"/>
  <c r="AB30" i="14"/>
  <c r="AE29" i="14"/>
  <c r="AB29" i="14"/>
  <c r="AE28" i="14"/>
  <c r="AB28" i="14"/>
  <c r="AE27" i="14"/>
  <c r="AB27" i="14"/>
  <c r="AE26" i="14"/>
  <c r="AB26" i="14"/>
  <c r="AE25" i="14"/>
  <c r="AB25" i="14"/>
  <c r="AE24" i="14"/>
  <c r="AB24" i="14"/>
  <c r="AE23" i="14"/>
  <c r="AB23" i="14"/>
  <c r="AE22" i="14"/>
  <c r="AB22" i="14"/>
  <c r="AE21" i="14"/>
  <c r="AB21" i="14"/>
  <c r="AE20" i="14"/>
  <c r="AB20" i="14"/>
  <c r="AE19" i="14"/>
  <c r="AB19" i="14"/>
  <c r="AE18" i="14"/>
  <c r="AB18" i="14"/>
  <c r="AE17" i="14"/>
  <c r="AB17" i="14"/>
  <c r="AE16" i="14"/>
  <c r="AB16" i="14"/>
  <c r="AE15" i="14"/>
  <c r="AB15" i="14"/>
  <c r="AE14" i="14"/>
  <c r="AB14" i="14"/>
  <c r="AE13" i="14"/>
  <c r="AB13" i="14"/>
  <c r="AE12" i="14"/>
  <c r="AB12" i="14"/>
  <c r="AE11" i="14"/>
  <c r="AB11" i="14"/>
  <c r="AE10" i="14"/>
  <c r="AB10" i="14"/>
  <c r="AE9" i="14"/>
  <c r="AB9" i="14"/>
  <c r="AE8" i="14"/>
  <c r="AB8" i="14"/>
  <c r="AE2" i="14"/>
  <c r="V2" i="14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D259" i="8"/>
  <c r="Z259" i="8"/>
  <c r="Y259" i="8"/>
  <c r="AC259" i="8" s="1"/>
  <c r="A259" i="8"/>
  <c r="AD258" i="8"/>
  <c r="Z258" i="8"/>
  <c r="Y258" i="8"/>
  <c r="AC258" i="8" s="1"/>
  <c r="A258" i="8"/>
  <c r="AD257" i="8"/>
  <c r="Z257" i="8"/>
  <c r="Y257" i="8"/>
  <c r="AC257" i="8" s="1"/>
  <c r="A257" i="8"/>
  <c r="AD256" i="8"/>
  <c r="Z256" i="8"/>
  <c r="Y256" i="8"/>
  <c r="AC256" i="8" s="1"/>
  <c r="AB255" i="8"/>
  <c r="AC255" i="8" s="1"/>
  <c r="Z255" i="8"/>
  <c r="Y255" i="8"/>
  <c r="AD254" i="8"/>
  <c r="AC254" i="8"/>
  <c r="Y254" i="8"/>
  <c r="J254" i="8"/>
  <c r="A254" i="8"/>
  <c r="AD253" i="8"/>
  <c r="AC253" i="8"/>
  <c r="Y253" i="8"/>
  <c r="J253" i="8"/>
  <c r="A253" i="8"/>
  <c r="AD252" i="8"/>
  <c r="AC252" i="8"/>
  <c r="Y252" i="8"/>
  <c r="A252" i="8"/>
  <c r="AD251" i="8"/>
  <c r="AC251" i="8"/>
  <c r="AB251" i="8"/>
  <c r="Y251" i="8"/>
  <c r="AD250" i="8"/>
  <c r="AD255" i="8" s="1"/>
  <c r="AC250" i="8"/>
  <c r="Y250" i="8"/>
  <c r="X250" i="8"/>
  <c r="S250" i="8"/>
  <c r="R250" i="8"/>
  <c r="J250" i="8"/>
  <c r="AD249" i="8"/>
  <c r="AC249" i="8"/>
  <c r="Y249" i="8"/>
  <c r="J249" i="8"/>
  <c r="AD248" i="8"/>
  <c r="AC248" i="8"/>
  <c r="Y248" i="8"/>
  <c r="AD247" i="8"/>
  <c r="AC247" i="8"/>
  <c r="Y247" i="8"/>
  <c r="AD246" i="8"/>
  <c r="AC246" i="8"/>
  <c r="AB246" i="8"/>
  <c r="Y246" i="8"/>
  <c r="AD245" i="8"/>
  <c r="AC245" i="8"/>
  <c r="AB245" i="8"/>
  <c r="Z245" i="8"/>
  <c r="Y245" i="8"/>
  <c r="AD244" i="8"/>
  <c r="AC244" i="8"/>
  <c r="AB244" i="8"/>
  <c r="Z244" i="8"/>
  <c r="Y244" i="8"/>
  <c r="AD243" i="8"/>
  <c r="AC243" i="8"/>
  <c r="Z243" i="8"/>
  <c r="Y243" i="8"/>
  <c r="AD242" i="8"/>
  <c r="AC242" i="8"/>
  <c r="Z242" i="8"/>
  <c r="Y242" i="8"/>
  <c r="J242" i="8"/>
  <c r="AD241" i="8"/>
  <c r="AC241" i="8"/>
  <c r="Z241" i="8"/>
  <c r="Y241" i="8"/>
  <c r="J241" i="8"/>
  <c r="AD240" i="8"/>
  <c r="AC240" i="8"/>
  <c r="Z240" i="8"/>
  <c r="Y240" i="8"/>
  <c r="AD239" i="8"/>
  <c r="AC239" i="8"/>
  <c r="AB239" i="8"/>
  <c r="Z239" i="8"/>
  <c r="Y239" i="8"/>
  <c r="AD238" i="8"/>
  <c r="AC238" i="8"/>
  <c r="Z238" i="8"/>
  <c r="Y238" i="8"/>
  <c r="AD237" i="8"/>
  <c r="AC237" i="8"/>
  <c r="Z237" i="8"/>
  <c r="Y237" i="8"/>
  <c r="AD236" i="8"/>
  <c r="AC236" i="8"/>
  <c r="AB236" i="8"/>
  <c r="Z236" i="8"/>
  <c r="Y236" i="8"/>
  <c r="AD235" i="8"/>
  <c r="AC235" i="8"/>
  <c r="Z235" i="8"/>
  <c r="Y235" i="8"/>
  <c r="AD234" i="8"/>
  <c r="AC234" i="8"/>
  <c r="AB234" i="8"/>
  <c r="Z234" i="8"/>
  <c r="Y234" i="8"/>
  <c r="AD233" i="8"/>
  <c r="AC233" i="8"/>
  <c r="Z233" i="8"/>
  <c r="Y233" i="8"/>
  <c r="J233" i="8"/>
  <c r="AD232" i="8"/>
  <c r="AC232" i="8"/>
  <c r="Z232" i="8"/>
  <c r="Y232" i="8"/>
  <c r="J232" i="8"/>
  <c r="AD231" i="8"/>
  <c r="AC231" i="8"/>
  <c r="AD230" i="8"/>
  <c r="AC230" i="8"/>
  <c r="AB230" i="8"/>
  <c r="Z230" i="8"/>
  <c r="Y230" i="8"/>
  <c r="AD229" i="8"/>
  <c r="AC229" i="8"/>
  <c r="Z229" i="8"/>
  <c r="Y229" i="8"/>
  <c r="J229" i="8"/>
  <c r="A229" i="8"/>
  <c r="AD228" i="8"/>
  <c r="AC228" i="8"/>
  <c r="Z228" i="8"/>
  <c r="Y228" i="8"/>
  <c r="A228" i="8"/>
  <c r="AD227" i="8"/>
  <c r="AC227" i="8"/>
  <c r="Z227" i="8"/>
  <c r="Y227" i="8"/>
  <c r="A227" i="8"/>
  <c r="AD226" i="8"/>
  <c r="AC226" i="8"/>
  <c r="Z226" i="8"/>
  <c r="Y226" i="8"/>
  <c r="A226" i="8"/>
  <c r="AD225" i="8"/>
  <c r="AC225" i="8"/>
  <c r="Z225" i="8"/>
  <c r="Y225" i="8"/>
  <c r="AD224" i="8"/>
  <c r="AC224" i="8"/>
  <c r="Z224" i="8"/>
  <c r="Y224" i="8"/>
  <c r="AD223" i="8"/>
  <c r="AC223" i="8"/>
  <c r="AB223" i="8"/>
  <c r="Z223" i="8"/>
  <c r="Y223" i="8"/>
  <c r="AD222" i="8"/>
  <c r="AC222" i="8"/>
  <c r="Z222" i="8"/>
  <c r="Y222" i="8"/>
  <c r="J222" i="8"/>
  <c r="AD221" i="8"/>
  <c r="AC221" i="8"/>
  <c r="Z221" i="8"/>
  <c r="Y221" i="8"/>
  <c r="J221" i="8"/>
  <c r="AD220" i="8"/>
  <c r="AC220" i="8"/>
  <c r="Z220" i="8"/>
  <c r="Y220" i="8"/>
  <c r="A220" i="8"/>
  <c r="AD219" i="8"/>
  <c r="AC219" i="8"/>
  <c r="Z219" i="8"/>
  <c r="Y219" i="8"/>
  <c r="J219" i="8"/>
  <c r="A219" i="8"/>
  <c r="AD218" i="8"/>
  <c r="AC218" i="8"/>
  <c r="Z218" i="8"/>
  <c r="Y218" i="8"/>
  <c r="AD217" i="8"/>
  <c r="AC217" i="8"/>
  <c r="Z217" i="8"/>
  <c r="Y217" i="8"/>
  <c r="AD216" i="8"/>
  <c r="AC216" i="8"/>
  <c r="Z216" i="8"/>
  <c r="Y216" i="8"/>
  <c r="AD215" i="8"/>
  <c r="AC215" i="8"/>
  <c r="AB215" i="8"/>
  <c r="Z215" i="8"/>
  <c r="Y215" i="8"/>
  <c r="AD214" i="8"/>
  <c r="AC214" i="8"/>
  <c r="Z214" i="8"/>
  <c r="Y214" i="8"/>
  <c r="AD213" i="8"/>
  <c r="AC213" i="8"/>
  <c r="Z213" i="8"/>
  <c r="Y213" i="8"/>
  <c r="AD212" i="8"/>
  <c r="AC212" i="8"/>
  <c r="Z212" i="8"/>
  <c r="Y212" i="8"/>
  <c r="J212" i="8"/>
  <c r="A212" i="8"/>
  <c r="AD211" i="8"/>
  <c r="AC211" i="8"/>
  <c r="Z211" i="8"/>
  <c r="Y211" i="8"/>
  <c r="Q211" i="8"/>
  <c r="A211" i="8"/>
  <c r="AD210" i="8"/>
  <c r="AC210" i="8"/>
  <c r="Z210" i="8"/>
  <c r="Y210" i="8"/>
  <c r="AD209" i="8"/>
  <c r="AC209" i="8"/>
  <c r="Z209" i="8"/>
  <c r="Y209" i="8"/>
  <c r="J209" i="8"/>
  <c r="AD208" i="8"/>
  <c r="AC208" i="8"/>
  <c r="Z208" i="8"/>
  <c r="Y208" i="8"/>
  <c r="J208" i="8"/>
  <c r="AD207" i="8"/>
  <c r="AC207" i="8"/>
  <c r="AB207" i="8"/>
  <c r="Z207" i="8"/>
  <c r="Y207" i="8"/>
  <c r="T207" i="8"/>
  <c r="AD206" i="8"/>
  <c r="AC206" i="8"/>
  <c r="Z206" i="8"/>
  <c r="Y206" i="8"/>
  <c r="A206" i="8"/>
  <c r="AD205" i="8"/>
  <c r="AC205" i="8"/>
  <c r="Z205" i="8"/>
  <c r="Y205" i="8"/>
  <c r="A205" i="8"/>
  <c r="AD204" i="8"/>
  <c r="AC204" i="8"/>
  <c r="Z204" i="8"/>
  <c r="Y204" i="8"/>
  <c r="AD203" i="8"/>
  <c r="AC203" i="8"/>
  <c r="Z203" i="8"/>
  <c r="Y203" i="8"/>
  <c r="Q203" i="8"/>
  <c r="A203" i="8"/>
  <c r="AD202" i="8"/>
  <c r="AC202" i="8"/>
  <c r="Z202" i="8"/>
  <c r="Y202" i="8"/>
  <c r="A202" i="8"/>
  <c r="AD201" i="8"/>
  <c r="AC201" i="8"/>
  <c r="Z201" i="8"/>
  <c r="Y201" i="8"/>
  <c r="A201" i="8"/>
  <c r="AD200" i="8"/>
  <c r="AC200" i="8"/>
  <c r="Z200" i="8"/>
  <c r="Y200" i="8"/>
  <c r="A200" i="8"/>
  <c r="AD199" i="8"/>
  <c r="AC199" i="8"/>
  <c r="Z199" i="8"/>
  <c r="Y199" i="8"/>
  <c r="A199" i="8"/>
  <c r="AD198" i="8"/>
  <c r="AC198" i="8"/>
  <c r="Z198" i="8"/>
  <c r="Y198" i="8"/>
  <c r="J198" i="8"/>
  <c r="A198" i="8"/>
  <c r="AD197" i="8"/>
  <c r="AC197" i="8"/>
  <c r="Z197" i="8"/>
  <c r="Y197" i="8"/>
  <c r="J197" i="8"/>
  <c r="A197" i="8"/>
  <c r="AD196" i="8"/>
  <c r="AC196" i="8"/>
  <c r="Z196" i="8"/>
  <c r="Y196" i="8"/>
  <c r="J196" i="8"/>
  <c r="A196" i="8"/>
  <c r="AD195" i="8"/>
  <c r="AC195" i="8"/>
  <c r="Z195" i="8"/>
  <c r="Y195" i="8"/>
  <c r="J195" i="8"/>
  <c r="AD194" i="8"/>
  <c r="AC194" i="8"/>
  <c r="AB194" i="8"/>
  <c r="Z194" i="8"/>
  <c r="Y194" i="8"/>
  <c r="T194" i="8"/>
  <c r="AD193" i="8"/>
  <c r="AC193" i="8"/>
  <c r="Z193" i="8"/>
  <c r="Y193" i="8"/>
  <c r="J193" i="8"/>
  <c r="AD192" i="8"/>
  <c r="AC192" i="8"/>
  <c r="Z192" i="8"/>
  <c r="Y192" i="8"/>
  <c r="AD191" i="8"/>
  <c r="AC191" i="8"/>
  <c r="Z191" i="8"/>
  <c r="Y191" i="8"/>
  <c r="AD190" i="8"/>
  <c r="AC190" i="8"/>
  <c r="Z190" i="8"/>
  <c r="Y190" i="8"/>
  <c r="AD189" i="8"/>
  <c r="AC189" i="8"/>
  <c r="Z189" i="8"/>
  <c r="Y189" i="8"/>
  <c r="J189" i="8"/>
  <c r="AD188" i="8"/>
  <c r="AC188" i="8"/>
  <c r="AB188" i="8"/>
  <c r="Z188" i="8"/>
  <c r="Y188" i="8"/>
  <c r="AD187" i="8"/>
  <c r="AC187" i="8"/>
  <c r="Z187" i="8"/>
  <c r="Y187" i="8"/>
  <c r="J187" i="8"/>
  <c r="AD186" i="8"/>
  <c r="AC186" i="8"/>
  <c r="Z186" i="8"/>
  <c r="Y186" i="8"/>
  <c r="AD185" i="8"/>
  <c r="AC185" i="8"/>
  <c r="Z185" i="8"/>
  <c r="Y185" i="8"/>
  <c r="AD184" i="8"/>
  <c r="AC184" i="8"/>
  <c r="AB184" i="8"/>
  <c r="Z184" i="8"/>
  <c r="Y184" i="8"/>
  <c r="AD183" i="8"/>
  <c r="AC183" i="8"/>
  <c r="Z183" i="8"/>
  <c r="Y183" i="8"/>
  <c r="AD182" i="8"/>
  <c r="AC182" i="8"/>
  <c r="Z182" i="8"/>
  <c r="Y182" i="8"/>
  <c r="J182" i="8"/>
  <c r="AD181" i="8"/>
  <c r="AC181" i="8"/>
  <c r="Z181" i="8"/>
  <c r="Y181" i="8"/>
  <c r="AD180" i="8"/>
  <c r="AC180" i="8"/>
  <c r="Z180" i="8"/>
  <c r="Y180" i="8"/>
  <c r="J180" i="8"/>
  <c r="AD179" i="8"/>
  <c r="AC179" i="8"/>
  <c r="Z179" i="8"/>
  <c r="Y179" i="8"/>
  <c r="J179" i="8"/>
  <c r="AD178" i="8"/>
  <c r="AC178" i="8"/>
  <c r="AB178" i="8"/>
  <c r="Y178" i="8"/>
  <c r="AD177" i="8"/>
  <c r="AC177" i="8"/>
  <c r="Z177" i="8"/>
  <c r="Y177" i="8"/>
  <c r="AD176" i="8"/>
  <c r="AC176" i="8"/>
  <c r="Z176" i="8"/>
  <c r="Y176" i="8"/>
  <c r="J176" i="8"/>
  <c r="AD175" i="8"/>
  <c r="AC175" i="8"/>
  <c r="AB175" i="8"/>
  <c r="Y175" i="8"/>
  <c r="T175" i="8"/>
  <c r="S175" i="8"/>
  <c r="AD174" i="8"/>
  <c r="AC174" i="8"/>
  <c r="Z174" i="8"/>
  <c r="Y174" i="8"/>
  <c r="A174" i="8"/>
  <c r="AD173" i="8"/>
  <c r="AC173" i="8"/>
  <c r="Z173" i="8"/>
  <c r="Y173" i="8"/>
  <c r="J173" i="8"/>
  <c r="A173" i="8"/>
  <c r="AD172" i="8"/>
  <c r="AC172" i="8"/>
  <c r="AB172" i="8"/>
  <c r="Z172" i="8"/>
  <c r="Y172" i="8"/>
  <c r="A172" i="8"/>
  <c r="AD171" i="8"/>
  <c r="AC171" i="8"/>
  <c r="Z171" i="8"/>
  <c r="Y171" i="8"/>
  <c r="J171" i="8"/>
  <c r="AD170" i="8"/>
  <c r="AC170" i="8"/>
  <c r="Z170" i="8"/>
  <c r="Y170" i="8"/>
  <c r="J170" i="8"/>
  <c r="AD169" i="8"/>
  <c r="AC169" i="8"/>
  <c r="Z169" i="8"/>
  <c r="Y169" i="8"/>
  <c r="W169" i="8"/>
  <c r="AD168" i="8"/>
  <c r="AC168" i="8"/>
  <c r="Z168" i="8"/>
  <c r="Y168" i="8"/>
  <c r="J168" i="8"/>
  <c r="AD167" i="8"/>
  <c r="AC167" i="8"/>
  <c r="AB167" i="8"/>
  <c r="Z167" i="8"/>
  <c r="Y167" i="8"/>
  <c r="J167" i="8"/>
  <c r="AD166" i="8"/>
  <c r="AC166" i="8"/>
  <c r="Z166" i="8"/>
  <c r="Y166" i="8"/>
  <c r="J166" i="8"/>
  <c r="A166" i="8"/>
  <c r="AD165" i="8"/>
  <c r="AC165" i="8"/>
  <c r="Z165" i="8"/>
  <c r="Y165" i="8"/>
  <c r="J165" i="8"/>
  <c r="A165" i="8"/>
  <c r="AD164" i="8"/>
  <c r="AC164" i="8"/>
  <c r="Z164" i="8"/>
  <c r="Y164" i="8"/>
  <c r="A164" i="8"/>
  <c r="AD163" i="8"/>
  <c r="AC163" i="8"/>
  <c r="Z163" i="8"/>
  <c r="Y163" i="8"/>
  <c r="AD162" i="8"/>
  <c r="AC162" i="8"/>
  <c r="AB162" i="8"/>
  <c r="Z162" i="8"/>
  <c r="Y162" i="8"/>
  <c r="T162" i="8"/>
  <c r="AD161" i="8"/>
  <c r="AC161" i="8"/>
  <c r="AB161" i="8"/>
  <c r="Z161" i="8"/>
  <c r="Y161" i="8"/>
  <c r="A161" i="8"/>
  <c r="AD160" i="8"/>
  <c r="AC160" i="8"/>
  <c r="Z160" i="8"/>
  <c r="Y160" i="8"/>
  <c r="A160" i="8"/>
  <c r="AD159" i="8"/>
  <c r="AC159" i="8"/>
  <c r="AB159" i="8"/>
  <c r="Z159" i="8"/>
  <c r="Y159" i="8"/>
  <c r="AD158" i="8"/>
  <c r="AC158" i="8"/>
  <c r="Z158" i="8"/>
  <c r="Y158" i="8"/>
  <c r="AD157" i="8"/>
  <c r="AC157" i="8"/>
  <c r="Z157" i="8"/>
  <c r="Y157" i="8"/>
  <c r="AD156" i="8"/>
  <c r="AC156" i="8"/>
  <c r="Z156" i="8"/>
  <c r="Y156" i="8"/>
  <c r="AD155" i="8"/>
  <c r="AC155" i="8"/>
  <c r="Z155" i="8"/>
  <c r="Y155" i="8"/>
  <c r="J155" i="8"/>
  <c r="A155" i="8"/>
  <c r="AD154" i="8"/>
  <c r="AC154" i="8"/>
  <c r="AB154" i="8"/>
  <c r="Z154" i="8"/>
  <c r="Y154" i="8"/>
  <c r="A154" i="8"/>
  <c r="AD153" i="8"/>
  <c r="AC153" i="8"/>
  <c r="Z153" i="8"/>
  <c r="Y153" i="8"/>
  <c r="J153" i="8"/>
  <c r="A153" i="8"/>
  <c r="AD152" i="8"/>
  <c r="AC152" i="8"/>
  <c r="Z152" i="8"/>
  <c r="Y152" i="8"/>
  <c r="A152" i="8"/>
  <c r="AD151" i="8"/>
  <c r="AC151" i="8"/>
  <c r="AB151" i="8"/>
  <c r="Z151" i="8"/>
  <c r="Y151" i="8"/>
  <c r="A151" i="8"/>
  <c r="AD150" i="8"/>
  <c r="AC150" i="8"/>
  <c r="AB150" i="8"/>
  <c r="Z150" i="8"/>
  <c r="Y150" i="8"/>
  <c r="J150" i="8"/>
  <c r="AD149" i="8"/>
  <c r="AC149" i="8"/>
  <c r="AB149" i="8"/>
  <c r="Z149" i="8"/>
  <c r="Y149" i="8"/>
  <c r="T149" i="8"/>
  <c r="R149" i="8"/>
  <c r="AD148" i="8"/>
  <c r="AC148" i="8"/>
  <c r="AB148" i="8"/>
  <c r="Z148" i="8"/>
  <c r="Y148" i="8"/>
  <c r="AD147" i="8"/>
  <c r="AC147" i="8"/>
  <c r="AB147" i="8"/>
  <c r="Z147" i="8"/>
  <c r="Y147" i="8"/>
  <c r="AD146" i="8"/>
  <c r="AC146" i="8"/>
  <c r="AB146" i="8"/>
  <c r="Z146" i="8"/>
  <c r="Y146" i="8"/>
  <c r="J146" i="8"/>
  <c r="AD145" i="8"/>
  <c r="AC145" i="8"/>
  <c r="AB145" i="8"/>
  <c r="Z145" i="8"/>
  <c r="Y145" i="8"/>
  <c r="J145" i="8"/>
  <c r="AD144" i="8"/>
  <c r="AC144" i="8"/>
  <c r="AB144" i="8"/>
  <c r="Z144" i="8"/>
  <c r="Y144" i="8"/>
  <c r="J144" i="8"/>
  <c r="AD143" i="8"/>
  <c r="AC143" i="8"/>
  <c r="AB143" i="8"/>
  <c r="Z143" i="8"/>
  <c r="Y143" i="8"/>
  <c r="J143" i="8"/>
  <c r="AD142" i="8"/>
  <c r="AC142" i="8"/>
  <c r="AB142" i="8"/>
  <c r="Z142" i="8"/>
  <c r="Y142" i="8"/>
  <c r="AD141" i="8"/>
  <c r="AC141" i="8"/>
  <c r="Z141" i="8"/>
  <c r="Y141" i="8"/>
  <c r="AD140" i="8"/>
  <c r="AC140" i="8"/>
  <c r="Z140" i="8"/>
  <c r="Y140" i="8"/>
  <c r="AD139" i="8"/>
  <c r="AC139" i="8"/>
  <c r="Z139" i="8"/>
  <c r="Y139" i="8"/>
  <c r="AD138" i="8"/>
  <c r="AC138" i="8"/>
  <c r="Z138" i="8"/>
  <c r="Y138" i="8"/>
  <c r="AD137" i="8"/>
  <c r="AC137" i="8"/>
  <c r="AB137" i="8"/>
  <c r="Z137" i="8"/>
  <c r="Y137" i="8"/>
  <c r="T137" i="8"/>
  <c r="S137" i="8"/>
  <c r="AD136" i="8"/>
  <c r="AC136" i="8"/>
  <c r="Z136" i="8"/>
  <c r="Y136" i="8"/>
  <c r="Q136" i="8"/>
  <c r="AD135" i="8"/>
  <c r="AC135" i="8"/>
  <c r="AB135" i="8"/>
  <c r="Z135" i="8"/>
  <c r="Y135" i="8"/>
  <c r="W135" i="8"/>
  <c r="AD134" i="8"/>
  <c r="AC134" i="8"/>
  <c r="Z134" i="8"/>
  <c r="Y134" i="8"/>
  <c r="AD133" i="8"/>
  <c r="AC133" i="8"/>
  <c r="Z133" i="8"/>
  <c r="Y133" i="8"/>
  <c r="AD132" i="8"/>
  <c r="AC132" i="8"/>
  <c r="Z132" i="8"/>
  <c r="Y132" i="8"/>
  <c r="AD131" i="8"/>
  <c r="AC131" i="8"/>
  <c r="Z131" i="8"/>
  <c r="Y131" i="8"/>
  <c r="AD130" i="8"/>
  <c r="AC130" i="8"/>
  <c r="Z130" i="8"/>
  <c r="Y130" i="8"/>
  <c r="AD129" i="8"/>
  <c r="AC129" i="8"/>
  <c r="AB129" i="8"/>
  <c r="Z129" i="8"/>
  <c r="Y129" i="8"/>
  <c r="AD128" i="8"/>
  <c r="AC128" i="8"/>
  <c r="Z128" i="8"/>
  <c r="Y128" i="8"/>
  <c r="A128" i="8"/>
  <c r="AD127" i="8"/>
  <c r="AC127" i="8"/>
  <c r="AB127" i="8"/>
  <c r="Z127" i="8"/>
  <c r="Y127" i="8"/>
  <c r="J127" i="8"/>
  <c r="A127" i="8"/>
  <c r="AD126" i="8"/>
  <c r="AC126" i="8"/>
  <c r="Z126" i="8"/>
  <c r="Y126" i="8"/>
  <c r="AD125" i="8"/>
  <c r="AC125" i="8"/>
  <c r="AB125" i="8"/>
  <c r="Z125" i="8"/>
  <c r="Y125" i="8"/>
  <c r="A125" i="8"/>
  <c r="AD124" i="8"/>
  <c r="AC124" i="8"/>
  <c r="AB124" i="8"/>
  <c r="Z124" i="8"/>
  <c r="Y124" i="8"/>
  <c r="AD123" i="8"/>
  <c r="AC123" i="8"/>
  <c r="AB123" i="8"/>
  <c r="Z123" i="8"/>
  <c r="Y123" i="8"/>
  <c r="T123" i="8"/>
  <c r="S123" i="8"/>
  <c r="AD122" i="8"/>
  <c r="AC122" i="8"/>
  <c r="Z122" i="8"/>
  <c r="Y122" i="8"/>
  <c r="A122" i="8"/>
  <c r="AD121" i="8"/>
  <c r="AC121" i="8"/>
  <c r="Z121" i="8"/>
  <c r="Y121" i="8"/>
  <c r="A121" i="8"/>
  <c r="AD120" i="8"/>
  <c r="AC120" i="8"/>
  <c r="Z120" i="8"/>
  <c r="Y120" i="8"/>
  <c r="A120" i="8"/>
  <c r="AD119" i="8"/>
  <c r="AC119" i="8"/>
  <c r="Z119" i="8"/>
  <c r="Y119" i="8"/>
  <c r="A119" i="8"/>
  <c r="AD118" i="8"/>
  <c r="AC118" i="8"/>
  <c r="Z118" i="8"/>
  <c r="Y118" i="8"/>
  <c r="A118" i="8"/>
  <c r="AD117" i="8"/>
  <c r="AC117" i="8"/>
  <c r="Z117" i="8"/>
  <c r="Y117" i="8"/>
  <c r="J117" i="8"/>
  <c r="A117" i="8"/>
  <c r="AD116" i="8"/>
  <c r="AC116" i="8"/>
  <c r="Z116" i="8"/>
  <c r="Y116" i="8"/>
  <c r="A116" i="8"/>
  <c r="AD115" i="8"/>
  <c r="AC115" i="8"/>
  <c r="Z115" i="8"/>
  <c r="Y115" i="8"/>
  <c r="J115" i="8"/>
  <c r="AD114" i="8"/>
  <c r="AC114" i="8"/>
  <c r="AB114" i="8"/>
  <c r="Z114" i="8"/>
  <c r="Y114" i="8"/>
  <c r="T114" i="8"/>
  <c r="S114" i="8"/>
  <c r="AD113" i="8"/>
  <c r="AC113" i="8"/>
  <c r="Z113" i="8"/>
  <c r="Y113" i="8"/>
  <c r="A113" i="8"/>
  <c r="AD112" i="8"/>
  <c r="AC112" i="8"/>
  <c r="Z112" i="8"/>
  <c r="Y112" i="8"/>
  <c r="A112" i="8"/>
  <c r="AD111" i="8"/>
  <c r="AC111" i="8"/>
  <c r="Z111" i="8"/>
  <c r="Y111" i="8"/>
  <c r="J111" i="8"/>
  <c r="A111" i="8"/>
  <c r="AD110" i="8"/>
  <c r="AC110" i="8"/>
  <c r="Z110" i="8"/>
  <c r="Y110" i="8"/>
  <c r="J110" i="8"/>
  <c r="A110" i="8"/>
  <c r="AD109" i="8"/>
  <c r="AC109" i="8"/>
  <c r="Z109" i="8"/>
  <c r="Y109" i="8"/>
  <c r="J109" i="8"/>
  <c r="A109" i="8"/>
  <c r="AD108" i="8"/>
  <c r="AC108" i="8"/>
  <c r="Z108" i="8"/>
  <c r="Y108" i="8"/>
  <c r="A108" i="8"/>
  <c r="AD107" i="8"/>
  <c r="AC107" i="8"/>
  <c r="Z107" i="8"/>
  <c r="Y107" i="8"/>
  <c r="AD106" i="8"/>
  <c r="AC106" i="8"/>
  <c r="AB106" i="8"/>
  <c r="Z106" i="8"/>
  <c r="Y106" i="8"/>
  <c r="T106" i="8"/>
  <c r="S106" i="8"/>
  <c r="AD105" i="8"/>
  <c r="AC105" i="8"/>
  <c r="Z105" i="8"/>
  <c r="Y105" i="8"/>
  <c r="J105" i="8"/>
  <c r="A105" i="8"/>
  <c r="AD104" i="8"/>
  <c r="AC104" i="8"/>
  <c r="Z104" i="8"/>
  <c r="Y104" i="8"/>
  <c r="J104" i="8"/>
  <c r="A104" i="8"/>
  <c r="AD103" i="8"/>
  <c r="AC103" i="8"/>
  <c r="Z103" i="8"/>
  <c r="Y103" i="8"/>
  <c r="J103" i="8"/>
  <c r="A103" i="8"/>
  <c r="AD102" i="8"/>
  <c r="AC102" i="8"/>
  <c r="Z102" i="8"/>
  <c r="Y102" i="8"/>
  <c r="J102" i="8"/>
  <c r="A102" i="8"/>
  <c r="AD101" i="8"/>
  <c r="AC101" i="8"/>
  <c r="Z101" i="8"/>
  <c r="Y101" i="8"/>
  <c r="J101" i="8"/>
  <c r="A101" i="8"/>
  <c r="AD100" i="8"/>
  <c r="AC100" i="8"/>
  <c r="Z100" i="8"/>
  <c r="Y100" i="8"/>
  <c r="A100" i="8"/>
  <c r="AD99" i="8"/>
  <c r="AC99" i="8"/>
  <c r="Z99" i="8"/>
  <c r="Y99" i="8"/>
  <c r="A99" i="8"/>
  <c r="AD98" i="8"/>
  <c r="AC98" i="8"/>
  <c r="Z98" i="8"/>
  <c r="Y98" i="8"/>
  <c r="Q98" i="8"/>
  <c r="A98" i="8"/>
  <c r="AD97" i="8"/>
  <c r="AC97" i="8"/>
  <c r="Z97" i="8"/>
  <c r="Y97" i="8"/>
  <c r="J97" i="8"/>
  <c r="A97" i="8"/>
  <c r="AD96" i="8"/>
  <c r="AC96" i="8"/>
  <c r="AB96" i="8"/>
  <c r="Z96" i="8"/>
  <c r="Y96" i="8"/>
  <c r="A96" i="8"/>
  <c r="AD95" i="8"/>
  <c r="AC95" i="8"/>
  <c r="Z95" i="8"/>
  <c r="Y95" i="8"/>
  <c r="J95" i="8"/>
  <c r="AD94" i="8"/>
  <c r="AC94" i="8"/>
  <c r="AB94" i="8"/>
  <c r="Z94" i="8"/>
  <c r="Y94" i="8"/>
  <c r="X94" i="8"/>
  <c r="T94" i="8"/>
  <c r="AD93" i="8"/>
  <c r="AC93" i="8"/>
  <c r="Z93" i="8"/>
  <c r="Y93" i="8"/>
  <c r="J93" i="8"/>
  <c r="A93" i="8"/>
  <c r="AD92" i="8"/>
  <c r="AC92" i="8"/>
  <c r="Z92" i="8"/>
  <c r="Y92" i="8"/>
  <c r="J92" i="8"/>
  <c r="A92" i="8"/>
  <c r="AD91" i="8"/>
  <c r="AC91" i="8"/>
  <c r="Z91" i="8"/>
  <c r="Y91" i="8"/>
  <c r="J91" i="8"/>
  <c r="A91" i="8"/>
  <c r="AD90" i="8"/>
  <c r="AC90" i="8"/>
  <c r="Z90" i="8"/>
  <c r="Y90" i="8"/>
  <c r="J90" i="8"/>
  <c r="A90" i="8"/>
  <c r="AD89" i="8"/>
  <c r="AC89" i="8"/>
  <c r="Z89" i="8"/>
  <c r="Y89" i="8"/>
  <c r="J89" i="8"/>
  <c r="A89" i="8"/>
  <c r="AD88" i="8"/>
  <c r="AC88" i="8"/>
  <c r="Z88" i="8"/>
  <c r="Y88" i="8"/>
  <c r="J88" i="8"/>
  <c r="AD87" i="8"/>
  <c r="AC87" i="8"/>
  <c r="AB87" i="8"/>
  <c r="Z87" i="8"/>
  <c r="Y87" i="8"/>
  <c r="X87" i="8"/>
  <c r="S87" i="8"/>
  <c r="AD86" i="8"/>
  <c r="AC86" i="8"/>
  <c r="Z86" i="8"/>
  <c r="Y86" i="8"/>
  <c r="Q86" i="8"/>
  <c r="A86" i="8"/>
  <c r="AD85" i="8"/>
  <c r="AC85" i="8"/>
  <c r="Z85" i="8"/>
  <c r="Y85" i="8"/>
  <c r="Q85" i="8"/>
  <c r="A85" i="8"/>
  <c r="AD84" i="8"/>
  <c r="AC84" i="8"/>
  <c r="Z84" i="8"/>
  <c r="Y84" i="8"/>
  <c r="R84" i="8"/>
  <c r="Q84" i="8"/>
  <c r="A84" i="8"/>
  <c r="AD83" i="8"/>
  <c r="AC83" i="8"/>
  <c r="Z83" i="8"/>
  <c r="Y83" i="8"/>
  <c r="A83" i="8"/>
  <c r="AD82" i="8"/>
  <c r="AC82" i="8"/>
  <c r="Z82" i="8"/>
  <c r="Y82" i="8"/>
  <c r="AD81" i="8"/>
  <c r="AC81" i="8"/>
  <c r="AB81" i="8"/>
  <c r="Z81" i="8"/>
  <c r="Y81" i="8"/>
  <c r="X81" i="8"/>
  <c r="AD80" i="8"/>
  <c r="AC80" i="8"/>
  <c r="Z80" i="8"/>
  <c r="Y80" i="8"/>
  <c r="A80" i="8"/>
  <c r="AD79" i="8"/>
  <c r="AC79" i="8"/>
  <c r="Z79" i="8"/>
  <c r="Y79" i="8"/>
  <c r="A79" i="8"/>
  <c r="AD78" i="8"/>
  <c r="AC78" i="8"/>
  <c r="Z78" i="8"/>
  <c r="Y78" i="8"/>
  <c r="A78" i="8"/>
  <c r="AD77" i="8"/>
  <c r="AC77" i="8"/>
  <c r="Z77" i="8"/>
  <c r="Y77" i="8"/>
  <c r="A77" i="8"/>
  <c r="AD76" i="8"/>
  <c r="AC76" i="8"/>
  <c r="Z76" i="8"/>
  <c r="Y76" i="8"/>
  <c r="A76" i="8"/>
  <c r="AD75" i="8"/>
  <c r="AC75" i="8"/>
  <c r="Z75" i="8"/>
  <c r="Y75" i="8"/>
  <c r="A75" i="8"/>
  <c r="AD74" i="8"/>
  <c r="AC74" i="8"/>
  <c r="AB74" i="8"/>
  <c r="Z74" i="8"/>
  <c r="Y74" i="8"/>
  <c r="A74" i="8"/>
  <c r="AD73" i="8"/>
  <c r="AC73" i="8"/>
  <c r="Z73" i="8"/>
  <c r="Y73" i="8"/>
  <c r="J73" i="8"/>
  <c r="A73" i="8"/>
  <c r="AD72" i="8"/>
  <c r="AC72" i="8"/>
  <c r="Z72" i="8"/>
  <c r="Y72" i="8"/>
  <c r="Q72" i="8"/>
  <c r="A72" i="8"/>
  <c r="AD71" i="8"/>
  <c r="AC71" i="8"/>
  <c r="Z71" i="8"/>
  <c r="Y71" i="8"/>
  <c r="A71" i="8"/>
  <c r="AD70" i="8"/>
  <c r="AC70" i="8"/>
  <c r="Z70" i="8"/>
  <c r="Y70" i="8"/>
  <c r="A70" i="8"/>
  <c r="AD69" i="8"/>
  <c r="AC69" i="8"/>
  <c r="Z69" i="8"/>
  <c r="Y69" i="8"/>
  <c r="AC68" i="8"/>
  <c r="AB68" i="8"/>
  <c r="Z68" i="8"/>
  <c r="Y68" i="8"/>
  <c r="X68" i="8"/>
  <c r="AC67" i="8"/>
  <c r="Z67" i="8"/>
  <c r="Y67" i="8"/>
  <c r="Q67" i="8"/>
  <c r="A67" i="8"/>
  <c r="AC66" i="8"/>
  <c r="Z66" i="8"/>
  <c r="Y66" i="8"/>
  <c r="J66" i="8"/>
  <c r="A66" i="8"/>
  <c r="AC65" i="8"/>
  <c r="Z65" i="8"/>
  <c r="Y65" i="8"/>
  <c r="A65" i="8"/>
  <c r="AC64" i="8"/>
  <c r="Z64" i="8"/>
  <c r="Y64" i="8"/>
  <c r="A64" i="8"/>
  <c r="AC63" i="8"/>
  <c r="Z63" i="8"/>
  <c r="Y63" i="8"/>
  <c r="A63" i="8"/>
  <c r="AC62" i="8"/>
  <c r="Z62" i="8"/>
  <c r="Y62" i="8"/>
  <c r="A62" i="8"/>
  <c r="AC61" i="8"/>
  <c r="Z61" i="8"/>
  <c r="Y61" i="8"/>
  <c r="A61" i="8"/>
  <c r="AC60" i="8"/>
  <c r="Z60" i="8"/>
  <c r="Y60" i="8"/>
  <c r="A60" i="8"/>
  <c r="AC59" i="8"/>
  <c r="Z59" i="8"/>
  <c r="Y59" i="8"/>
  <c r="A59" i="8"/>
  <c r="AC58" i="8"/>
  <c r="Z58" i="8"/>
  <c r="Y58" i="8"/>
  <c r="A58" i="8"/>
  <c r="AC57" i="8"/>
  <c r="Z57" i="8"/>
  <c r="Y57" i="8"/>
  <c r="J57" i="8"/>
  <c r="A57" i="8"/>
  <c r="AC56" i="8"/>
  <c r="Z56" i="8"/>
  <c r="Y56" i="8"/>
  <c r="AC55" i="8"/>
  <c r="AB55" i="8"/>
  <c r="Z55" i="8"/>
  <c r="Y55" i="8"/>
  <c r="X55" i="8"/>
  <c r="AC54" i="8"/>
  <c r="Z54" i="8"/>
  <c r="Y54" i="8"/>
  <c r="J54" i="8"/>
  <c r="A54" i="8"/>
  <c r="AC53" i="8"/>
  <c r="Z53" i="8"/>
  <c r="Y53" i="8"/>
  <c r="J53" i="8"/>
  <c r="A53" i="8"/>
  <c r="AC52" i="8"/>
  <c r="Z52" i="8"/>
  <c r="Y52" i="8"/>
  <c r="A52" i="8"/>
  <c r="AC51" i="8"/>
  <c r="Z51" i="8"/>
  <c r="Y51" i="8"/>
  <c r="J51" i="8"/>
  <c r="A51" i="8"/>
  <c r="AC50" i="8"/>
  <c r="Z50" i="8"/>
  <c r="Y50" i="8"/>
  <c r="A50" i="8"/>
  <c r="AC49" i="8"/>
  <c r="Z49" i="8"/>
  <c r="Y49" i="8"/>
  <c r="J49" i="8"/>
  <c r="A49" i="8"/>
  <c r="AC48" i="8"/>
  <c r="Z48" i="8"/>
  <c r="Y48" i="8"/>
  <c r="A48" i="8"/>
  <c r="AC47" i="8"/>
  <c r="Z47" i="8"/>
  <c r="Y47" i="8"/>
  <c r="J47" i="8"/>
  <c r="A47" i="8"/>
  <c r="AC46" i="8"/>
  <c r="Z46" i="8"/>
  <c r="Y46" i="8"/>
  <c r="AC45" i="8"/>
  <c r="AB45" i="8"/>
  <c r="Z45" i="8"/>
  <c r="Y45" i="8"/>
  <c r="X45" i="8"/>
  <c r="AC44" i="8"/>
  <c r="Z44" i="8"/>
  <c r="Y44" i="8"/>
  <c r="J44" i="8"/>
  <c r="A44" i="8"/>
  <c r="AC43" i="8"/>
  <c r="Z43" i="8"/>
  <c r="Y43" i="8"/>
  <c r="A43" i="8"/>
  <c r="AC42" i="8"/>
  <c r="Z42" i="8"/>
  <c r="Y42" i="8"/>
  <c r="A42" i="8"/>
  <c r="AC41" i="8"/>
  <c r="Z41" i="8"/>
  <c r="Y41" i="8"/>
  <c r="J41" i="8"/>
  <c r="A41" i="8"/>
  <c r="AC40" i="8"/>
  <c r="Z40" i="8"/>
  <c r="Y40" i="8"/>
  <c r="A40" i="8"/>
  <c r="AC39" i="8"/>
  <c r="Z39" i="8"/>
  <c r="Y39" i="8"/>
  <c r="A39" i="8"/>
  <c r="AC38" i="8"/>
  <c r="Z38" i="8"/>
  <c r="Y38" i="8"/>
  <c r="A38" i="8"/>
  <c r="AC37" i="8"/>
  <c r="Z37" i="8"/>
  <c r="Y37" i="8"/>
  <c r="J37" i="8"/>
  <c r="A37" i="8"/>
  <c r="AC36" i="8"/>
  <c r="Z36" i="8"/>
  <c r="Y36" i="8"/>
  <c r="A36" i="8"/>
  <c r="AC35" i="8"/>
  <c r="AB35" i="8"/>
  <c r="Z35" i="8"/>
  <c r="Y35" i="8"/>
  <c r="AC34" i="8"/>
  <c r="AB34" i="8"/>
  <c r="Z34" i="8"/>
  <c r="Y34" i="8"/>
  <c r="X34" i="8"/>
  <c r="AC33" i="8"/>
  <c r="AB33" i="8"/>
  <c r="Z33" i="8"/>
  <c r="Y33" i="8"/>
  <c r="A33" i="8"/>
  <c r="AC32" i="8"/>
  <c r="Z32" i="8"/>
  <c r="Y32" i="8"/>
  <c r="A32" i="8"/>
  <c r="AC31" i="8"/>
  <c r="Z31" i="8"/>
  <c r="Y31" i="8"/>
  <c r="J31" i="8"/>
  <c r="A31" i="8"/>
  <c r="AC30" i="8"/>
  <c r="Z30" i="8"/>
  <c r="Y30" i="8"/>
  <c r="J30" i="8"/>
  <c r="A30" i="8"/>
  <c r="AC29" i="8"/>
  <c r="Z29" i="8"/>
  <c r="Y29" i="8"/>
  <c r="A29" i="8"/>
  <c r="AC28" i="8"/>
  <c r="Z28" i="8"/>
  <c r="Y28" i="8"/>
  <c r="A28" i="8"/>
  <c r="AC27" i="8"/>
  <c r="Z27" i="8"/>
  <c r="Y27" i="8"/>
  <c r="AC26" i="8"/>
  <c r="AB26" i="8"/>
  <c r="Z26" i="8"/>
  <c r="Y26" i="8"/>
  <c r="X26" i="8"/>
  <c r="AD25" i="8"/>
  <c r="AC25" i="8"/>
  <c r="Z25" i="8"/>
  <c r="Y25" i="8"/>
  <c r="A25" i="8"/>
  <c r="AD24" i="8"/>
  <c r="AC24" i="8"/>
  <c r="Z24" i="8"/>
  <c r="Y24" i="8"/>
  <c r="A24" i="8"/>
  <c r="AD23" i="8"/>
  <c r="AC23" i="8"/>
  <c r="Z23" i="8"/>
  <c r="Y23" i="8"/>
  <c r="J23" i="8"/>
  <c r="A23" i="8"/>
  <c r="AD22" i="8"/>
  <c r="AC22" i="8"/>
  <c r="Z22" i="8"/>
  <c r="Y22" i="8"/>
  <c r="J22" i="8"/>
  <c r="A22" i="8"/>
  <c r="AD21" i="8"/>
  <c r="AC21" i="8"/>
  <c r="Z21" i="8"/>
  <c r="Y21" i="8"/>
  <c r="A21" i="8"/>
  <c r="AD20" i="8"/>
  <c r="AC20" i="8"/>
  <c r="Z20" i="8"/>
  <c r="Y20" i="8"/>
  <c r="A20" i="8"/>
  <c r="AD19" i="8"/>
  <c r="AC19" i="8"/>
  <c r="Z19" i="8"/>
  <c r="Y19" i="8"/>
  <c r="J19" i="8"/>
  <c r="A19" i="8"/>
  <c r="AD18" i="8"/>
  <c r="AC18" i="8"/>
  <c r="Z18" i="8"/>
  <c r="Y18" i="8"/>
  <c r="J18" i="8"/>
  <c r="F18" i="8"/>
  <c r="A18" i="8"/>
  <c r="AD17" i="8"/>
  <c r="AC17" i="8"/>
  <c r="Z17" i="8"/>
  <c r="Y17" i="8"/>
  <c r="AC16" i="8"/>
  <c r="AB16" i="8"/>
  <c r="Z16" i="8"/>
  <c r="Y16" i="8"/>
  <c r="X16" i="8"/>
  <c r="AC15" i="8"/>
  <c r="Z15" i="8"/>
  <c r="Y15" i="8"/>
  <c r="AC14" i="8"/>
  <c r="AB14" i="8"/>
  <c r="Z14" i="8"/>
  <c r="Y14" i="8"/>
  <c r="J14" i="8"/>
  <c r="AC13" i="8"/>
  <c r="AB13" i="8"/>
  <c r="Z13" i="8"/>
  <c r="Y13" i="8"/>
  <c r="J13" i="8"/>
  <c r="AC12" i="8"/>
  <c r="Z12" i="8"/>
  <c r="Y12" i="8"/>
  <c r="AC11" i="8"/>
  <c r="AB11" i="8"/>
  <c r="Z11" i="8"/>
  <c r="Y11" i="8"/>
  <c r="J11" i="8"/>
  <c r="AC10" i="8"/>
  <c r="Z10" i="8"/>
  <c r="Y10" i="8"/>
  <c r="AC9" i="8"/>
  <c r="Z9" i="8"/>
  <c r="Y9" i="8"/>
  <c r="AC8" i="8"/>
  <c r="AB8" i="8"/>
  <c r="Z8" i="8"/>
  <c r="Y8" i="8"/>
  <c r="J8" i="8"/>
  <c r="AC7" i="8"/>
  <c r="Z7" i="8"/>
  <c r="Y7" i="8"/>
  <c r="AC6" i="8"/>
  <c r="Z6" i="8"/>
  <c r="Y6" i="8"/>
  <c r="AC5" i="8"/>
  <c r="AB5" i="8"/>
  <c r="Z5" i="8"/>
  <c r="Y5" i="8"/>
  <c r="AG472" i="3"/>
  <c r="AC472" i="3"/>
  <c r="AF470" i="3"/>
  <c r="AG470" i="3"/>
  <c r="AG469" i="3"/>
  <c r="AF469" i="3"/>
  <c r="AC467" i="3"/>
  <c r="AF466" i="3"/>
  <c r="AG466" i="3"/>
  <c r="AC466" i="3"/>
  <c r="AF465" i="3"/>
  <c r="AG465" i="3"/>
  <c r="AC465" i="3"/>
  <c r="AF464" i="3"/>
  <c r="AC464" i="3"/>
  <c r="AC463" i="3"/>
  <c r="AG462" i="3"/>
  <c r="AC462" i="3"/>
  <c r="AG461" i="3"/>
  <c r="AC461" i="3"/>
  <c r="AB461" i="3"/>
  <c r="AE459" i="3"/>
  <c r="AC459" i="3"/>
  <c r="AB459" i="3"/>
  <c r="AE458" i="3"/>
  <c r="AG458" i="3" s="1"/>
  <c r="AC458" i="3"/>
  <c r="AB458" i="3"/>
  <c r="AE457" i="3"/>
  <c r="AG457" i="3" s="1"/>
  <c r="AC457" i="3"/>
  <c r="AB457" i="3"/>
  <c r="AE456" i="3"/>
  <c r="AG456" i="3" s="1"/>
  <c r="AC456" i="3"/>
  <c r="AB456" i="3"/>
  <c r="AE455" i="3"/>
  <c r="AG455" i="3" s="1"/>
  <c r="AC455" i="3"/>
  <c r="AB455" i="3"/>
  <c r="B455" i="3"/>
  <c r="B456" i="3" s="1"/>
  <c r="B457" i="3" s="1"/>
  <c r="B458" i="3" s="1"/>
  <c r="B459" i="3" s="1"/>
  <c r="B462" i="3" s="1"/>
  <c r="B463" i="3" s="1"/>
  <c r="B464" i="3" s="1"/>
  <c r="B465" i="3" s="1"/>
  <c r="B466" i="3" s="1"/>
  <c r="B470" i="3" s="1"/>
  <c r="B471" i="3" s="1"/>
  <c r="B472" i="3" s="1"/>
  <c r="B475" i="3" s="1"/>
  <c r="AE454" i="3"/>
  <c r="AG454" i="3" s="1"/>
  <c r="AC454" i="3"/>
  <c r="AB454" i="3"/>
  <c r="AE452" i="3"/>
  <c r="AG452" i="3" s="1"/>
  <c r="AC452" i="3"/>
  <c r="AB452" i="3"/>
  <c r="AE451" i="3"/>
  <c r="AC451" i="3"/>
  <c r="AB451" i="3"/>
  <c r="AE449" i="3"/>
  <c r="AC449" i="3"/>
  <c r="AB449" i="3"/>
  <c r="AE448" i="3"/>
  <c r="AG448" i="3" s="1"/>
  <c r="AC448" i="3"/>
  <c r="AB448" i="3"/>
  <c r="AE447" i="3"/>
  <c r="AG447" i="3" s="1"/>
  <c r="AC447" i="3"/>
  <c r="AB447" i="3"/>
  <c r="AE446" i="3"/>
  <c r="AG446" i="3" s="1"/>
  <c r="AC446" i="3"/>
  <c r="AB446" i="3"/>
  <c r="AE445" i="3"/>
  <c r="AG445" i="3" s="1"/>
  <c r="AC445" i="3"/>
  <c r="W445" i="3"/>
  <c r="AB445" i="3" s="1"/>
  <c r="AE444" i="3"/>
  <c r="AG444" i="3" s="1"/>
  <c r="AC444" i="3"/>
  <c r="AB444" i="3"/>
  <c r="AE443" i="3"/>
  <c r="AG443" i="3" s="1"/>
  <c r="AC443" i="3"/>
  <c r="AB443" i="3"/>
  <c r="AE442" i="3"/>
  <c r="AG442" i="3" s="1"/>
  <c r="AC442" i="3"/>
  <c r="AB442" i="3"/>
  <c r="AE441" i="3"/>
  <c r="AG441" i="3" s="1"/>
  <c r="AC441" i="3"/>
  <c r="AB441" i="3"/>
  <c r="B441" i="3"/>
  <c r="B442" i="3" s="1"/>
  <c r="B443" i="3" s="1"/>
  <c r="B444" i="3" s="1"/>
  <c r="B445" i="3" s="1"/>
  <c r="B446" i="3" s="1"/>
  <c r="B447" i="3" s="1"/>
  <c r="B448" i="3" s="1"/>
  <c r="B449" i="3" s="1"/>
  <c r="AE440" i="3"/>
  <c r="AG440" i="3" s="1"/>
  <c r="AC440" i="3"/>
  <c r="AB440" i="3"/>
  <c r="AE438" i="3"/>
  <c r="AG438" i="3" s="1"/>
  <c r="AC438" i="3"/>
  <c r="W438" i="3"/>
  <c r="AB438" i="3" s="1"/>
  <c r="AE437" i="3"/>
  <c r="AG437" i="3" s="1"/>
  <c r="AC437" i="3"/>
  <c r="AB437" i="3"/>
  <c r="AE436" i="3"/>
  <c r="AG436" i="3" s="1"/>
  <c r="AC436" i="3"/>
  <c r="AB436" i="3"/>
  <c r="AE435" i="3"/>
  <c r="AG435" i="3" s="1"/>
  <c r="AC435" i="3"/>
  <c r="AB435" i="3"/>
  <c r="AE434" i="3"/>
  <c r="AG434" i="3" s="1"/>
  <c r="AC434" i="3"/>
  <c r="AB434" i="3"/>
  <c r="AE433" i="3"/>
  <c r="AG433" i="3" s="1"/>
  <c r="AC433" i="3"/>
  <c r="AB433" i="3"/>
  <c r="AE432" i="3"/>
  <c r="AG432" i="3" s="1"/>
  <c r="AC432" i="3"/>
  <c r="AB432" i="3"/>
  <c r="B432" i="3"/>
  <c r="B433" i="3" s="1"/>
  <c r="B434" i="3" s="1"/>
  <c r="B435" i="3" s="1"/>
  <c r="B436" i="3" s="1"/>
  <c r="B437" i="3" s="1"/>
  <c r="B438" i="3" s="1"/>
  <c r="AE431" i="3"/>
  <c r="AG431" i="3" s="1"/>
  <c r="AC431" i="3"/>
  <c r="AB431" i="3"/>
  <c r="AE429" i="3"/>
  <c r="AG429" i="3" s="1"/>
  <c r="AC429" i="3"/>
  <c r="X429" i="3"/>
  <c r="W429" i="3"/>
  <c r="AE428" i="3"/>
  <c r="AG428" i="3" s="1"/>
  <c r="AC428" i="3"/>
  <c r="W428" i="3"/>
  <c r="AB428" i="3" s="1"/>
  <c r="AE427" i="3"/>
  <c r="AG427" i="3" s="1"/>
  <c r="AC427" i="3"/>
  <c r="AB427" i="3"/>
  <c r="AE426" i="3"/>
  <c r="AG426" i="3" s="1"/>
  <c r="AC426" i="3"/>
  <c r="AB426" i="3"/>
  <c r="AE425" i="3"/>
  <c r="AG425" i="3" s="1"/>
  <c r="AC425" i="3"/>
  <c r="AB425" i="3"/>
  <c r="AE424" i="3"/>
  <c r="AC424" i="3"/>
  <c r="AB424" i="3"/>
  <c r="AE423" i="3"/>
  <c r="AG423" i="3" s="1"/>
  <c r="AC423" i="3"/>
  <c r="AB423" i="3"/>
  <c r="AE422" i="3"/>
  <c r="AG422" i="3" s="1"/>
  <c r="AC422" i="3"/>
  <c r="AB422" i="3"/>
  <c r="AE421" i="3"/>
  <c r="AG421" i="3" s="1"/>
  <c r="AC421" i="3"/>
  <c r="AB421" i="3"/>
  <c r="AE420" i="3"/>
  <c r="AG420" i="3" s="1"/>
  <c r="AC420" i="3"/>
  <c r="AB420" i="3"/>
  <c r="AE419" i="3"/>
  <c r="AG419" i="3" s="1"/>
  <c r="AC419" i="3"/>
  <c r="AB419" i="3"/>
  <c r="AE418" i="3"/>
  <c r="AG418" i="3" s="1"/>
  <c r="AC418" i="3"/>
  <c r="AB418" i="3"/>
  <c r="AE417" i="3"/>
  <c r="AG417" i="3" s="1"/>
  <c r="AC417" i="3"/>
  <c r="AB417" i="3"/>
  <c r="AE416" i="3"/>
  <c r="AG416" i="3" s="1"/>
  <c r="AC416" i="3"/>
  <c r="AB416" i="3"/>
  <c r="AE415" i="3"/>
  <c r="AG415" i="3" s="1"/>
  <c r="AC415" i="3"/>
  <c r="AB415" i="3"/>
  <c r="AE414" i="3"/>
  <c r="AG414" i="3" s="1"/>
  <c r="AC414" i="3"/>
  <c r="AB414" i="3"/>
  <c r="AE412" i="3"/>
  <c r="AG412" i="3" s="1"/>
  <c r="AC412" i="3"/>
  <c r="AB412" i="3"/>
  <c r="AE411" i="3"/>
  <c r="AG411" i="3" s="1"/>
  <c r="AC411" i="3"/>
  <c r="AB411" i="3"/>
  <c r="AE410" i="3"/>
  <c r="AG410" i="3" s="1"/>
  <c r="AC410" i="3"/>
  <c r="AB410" i="3"/>
  <c r="AE409" i="3"/>
  <c r="AG409" i="3" s="1"/>
  <c r="AC409" i="3"/>
  <c r="AB409" i="3"/>
  <c r="AE408" i="3"/>
  <c r="AG408" i="3" s="1"/>
  <c r="AC408" i="3"/>
  <c r="AB408" i="3"/>
  <c r="AE407" i="3"/>
  <c r="AG407" i="3" s="1"/>
  <c r="AC407" i="3"/>
  <c r="AB407" i="3"/>
  <c r="AE406" i="3"/>
  <c r="AG406" i="3" s="1"/>
  <c r="AC406" i="3"/>
  <c r="AB406" i="3"/>
  <c r="AE405" i="3"/>
  <c r="AG405" i="3" s="1"/>
  <c r="AC405" i="3"/>
  <c r="AB405" i="3"/>
  <c r="AE404" i="3"/>
  <c r="AG404" i="3" s="1"/>
  <c r="AC404" i="3"/>
  <c r="W404" i="3"/>
  <c r="AB404" i="3" s="1"/>
  <c r="AE403" i="3"/>
  <c r="AG403" i="3" s="1"/>
  <c r="AC403" i="3"/>
  <c r="AB403" i="3"/>
  <c r="AE402" i="3"/>
  <c r="AG402" i="3" s="1"/>
  <c r="AC402" i="3"/>
  <c r="AB402" i="3"/>
  <c r="AE401" i="3"/>
  <c r="AG401" i="3" s="1"/>
  <c r="AC401" i="3"/>
  <c r="AB401" i="3"/>
  <c r="AE400" i="3"/>
  <c r="AC400" i="3"/>
  <c r="AB400" i="3"/>
  <c r="AE399" i="3"/>
  <c r="AG399" i="3" s="1"/>
  <c r="AC399" i="3"/>
  <c r="AB399" i="3"/>
  <c r="AE398" i="3"/>
  <c r="AC398" i="3"/>
  <c r="AB398" i="3"/>
  <c r="AE397" i="3"/>
  <c r="AG397" i="3" s="1"/>
  <c r="AC397" i="3"/>
  <c r="AB397" i="3"/>
  <c r="AE396" i="3"/>
  <c r="AG396" i="3" s="1"/>
  <c r="AC396" i="3"/>
  <c r="AB396" i="3"/>
  <c r="AE395" i="3"/>
  <c r="AG395" i="3" s="1"/>
  <c r="AC395" i="3"/>
  <c r="W395" i="3"/>
  <c r="AB395" i="3" s="1"/>
  <c r="AF395" i="3" s="1"/>
  <c r="AE394" i="3"/>
  <c r="AG394" i="3" s="1"/>
  <c r="AC394" i="3"/>
  <c r="AB394" i="3"/>
  <c r="AE393" i="3"/>
  <c r="AG393" i="3" s="1"/>
  <c r="AC393" i="3"/>
  <c r="AB393" i="3"/>
  <c r="AE392" i="3"/>
  <c r="AG392" i="3" s="1"/>
  <c r="AC392" i="3"/>
  <c r="AB392" i="3"/>
  <c r="AE391" i="3"/>
  <c r="AG391" i="3" s="1"/>
  <c r="AC391" i="3"/>
  <c r="AB391" i="3"/>
  <c r="AE390" i="3"/>
  <c r="AC390" i="3"/>
  <c r="AB390" i="3"/>
  <c r="AE389" i="3"/>
  <c r="AC389" i="3"/>
  <c r="AB389" i="3"/>
  <c r="AE388" i="3"/>
  <c r="AG388" i="3" s="1"/>
  <c r="AC388" i="3"/>
  <c r="X388" i="3"/>
  <c r="X413" i="3" s="1"/>
  <c r="W388" i="3"/>
  <c r="AE387" i="3"/>
  <c r="AG387" i="3" s="1"/>
  <c r="AC387" i="3"/>
  <c r="AB387" i="3"/>
  <c r="AF387" i="3" s="1"/>
  <c r="W386" i="3"/>
  <c r="X386" i="3" s="1"/>
  <c r="AE385" i="3"/>
  <c r="AG385" i="3" s="1"/>
  <c r="AE384" i="3"/>
  <c r="AG384" i="3" s="1"/>
  <c r="AC384" i="3"/>
  <c r="AB384" i="3"/>
  <c r="AE383" i="3"/>
  <c r="AG383" i="3" s="1"/>
  <c r="AC383" i="3"/>
  <c r="AB383" i="3"/>
  <c r="AE382" i="3"/>
  <c r="AG382" i="3" s="1"/>
  <c r="AC382" i="3"/>
  <c r="AB382" i="3"/>
  <c r="AE381" i="3"/>
  <c r="AG381" i="3" s="1"/>
  <c r="AC381" i="3"/>
  <c r="AB381" i="3"/>
  <c r="AE380" i="3"/>
  <c r="AG380" i="3" s="1"/>
  <c r="AC380" i="3"/>
  <c r="AB380" i="3"/>
  <c r="AE379" i="3"/>
  <c r="AG379" i="3" s="1"/>
  <c r="AC379" i="3"/>
  <c r="AB379" i="3"/>
  <c r="AE378" i="3"/>
  <c r="AC378" i="3"/>
  <c r="AB378" i="3"/>
  <c r="AE377" i="3"/>
  <c r="AG377" i="3" s="1"/>
  <c r="AC377" i="3"/>
  <c r="AB377" i="3"/>
  <c r="AE376" i="3"/>
  <c r="AC376" i="3"/>
  <c r="AB376" i="3"/>
  <c r="W375" i="3"/>
  <c r="X375" i="3" s="1"/>
  <c r="AE374" i="3"/>
  <c r="AG374" i="3" s="1"/>
  <c r="AC374" i="3"/>
  <c r="X374" i="3"/>
  <c r="AB374" i="3" s="1"/>
  <c r="AE373" i="3"/>
  <c r="AG373" i="3" s="1"/>
  <c r="AC373" i="3"/>
  <c r="AB373" i="3"/>
  <c r="AE372" i="3"/>
  <c r="AC372" i="3"/>
  <c r="AB372" i="3"/>
  <c r="AE371" i="3"/>
  <c r="AG371" i="3" s="1"/>
  <c r="AC371" i="3"/>
  <c r="AB371" i="3"/>
  <c r="AE370" i="3"/>
  <c r="AC370" i="3"/>
  <c r="X370" i="3"/>
  <c r="AB370" i="3" s="1"/>
  <c r="AE369" i="3"/>
  <c r="AG369" i="3" s="1"/>
  <c r="AC369" i="3"/>
  <c r="AB369" i="3"/>
  <c r="AE368" i="3"/>
  <c r="AG368" i="3" s="1"/>
  <c r="AC368" i="3"/>
  <c r="AB368" i="3"/>
  <c r="AE367" i="3"/>
  <c r="AG367" i="3" s="1"/>
  <c r="AC367" i="3"/>
  <c r="AB367" i="3"/>
  <c r="AE366" i="3"/>
  <c r="AG366" i="3" s="1"/>
  <c r="AC366" i="3"/>
  <c r="W366" i="3"/>
  <c r="AB366" i="3" s="1"/>
  <c r="AE365" i="3"/>
  <c r="AC365" i="3"/>
  <c r="AB365" i="3"/>
  <c r="AE364" i="3"/>
  <c r="AG364" i="3" s="1"/>
  <c r="AC364" i="3"/>
  <c r="AB364" i="3"/>
  <c r="AF364" i="3" s="1"/>
  <c r="AE363" i="3"/>
  <c r="AG363" i="3" s="1"/>
  <c r="AC363" i="3"/>
  <c r="AB363" i="3"/>
  <c r="AE362" i="3"/>
  <c r="AG362" i="3" s="1"/>
  <c r="AC362" i="3"/>
  <c r="AB362" i="3"/>
  <c r="AE361" i="3"/>
  <c r="AG361" i="3" s="1"/>
  <c r="AC361" i="3"/>
  <c r="AB361" i="3"/>
  <c r="AE360" i="3"/>
  <c r="AG360" i="3" s="1"/>
  <c r="AC360" i="3"/>
  <c r="AB360" i="3"/>
  <c r="AE359" i="3"/>
  <c r="AG359" i="3" s="1"/>
  <c r="AB359" i="3"/>
  <c r="W358" i="3"/>
  <c r="X358" i="3" s="1"/>
  <c r="AG357" i="3"/>
  <c r="AE357" i="3"/>
  <c r="AC357" i="3"/>
  <c r="AB357" i="3"/>
  <c r="AF357" i="3" s="1"/>
  <c r="AE356" i="3"/>
  <c r="AG356" i="3" s="1"/>
  <c r="AC356" i="3"/>
  <c r="AB356" i="3"/>
  <c r="AE355" i="3"/>
  <c r="AG355" i="3" s="1"/>
  <c r="AC355" i="3"/>
  <c r="AB355" i="3"/>
  <c r="AE354" i="3"/>
  <c r="AC354" i="3"/>
  <c r="AB354" i="3"/>
  <c r="AE353" i="3"/>
  <c r="AG353" i="3" s="1"/>
  <c r="AC353" i="3"/>
  <c r="AB353" i="3"/>
  <c r="AE352" i="3"/>
  <c r="AC352" i="3"/>
  <c r="AB352" i="3"/>
  <c r="AE351" i="3"/>
  <c r="AG351" i="3" s="1"/>
  <c r="AC351" i="3"/>
  <c r="W351" i="3"/>
  <c r="AB351" i="3" s="1"/>
  <c r="AE350" i="3"/>
  <c r="AG350" i="3" s="1"/>
  <c r="AC350" i="3"/>
  <c r="W350" i="3"/>
  <c r="AB350" i="3" s="1"/>
  <c r="AE349" i="3"/>
  <c r="AG349" i="3" s="1"/>
  <c r="AC349" i="3"/>
  <c r="AB349" i="3"/>
  <c r="AE348" i="3"/>
  <c r="AG348" i="3" s="1"/>
  <c r="AC348" i="3"/>
  <c r="AB348" i="3"/>
  <c r="AE347" i="3"/>
  <c r="AG347" i="3" s="1"/>
  <c r="AC347" i="3"/>
  <c r="AB347" i="3"/>
  <c r="AE346" i="3"/>
  <c r="AG346" i="3" s="1"/>
  <c r="AC346" i="3"/>
  <c r="AB346" i="3"/>
  <c r="AE344" i="3"/>
  <c r="AG344" i="3" s="1"/>
  <c r="AC344" i="3"/>
  <c r="AB344" i="3"/>
  <c r="AE343" i="3"/>
  <c r="AG343" i="3" s="1"/>
  <c r="AC343" i="3"/>
  <c r="W343" i="3"/>
  <c r="AB343" i="3" s="1"/>
  <c r="AE342" i="3"/>
  <c r="AG342" i="3" s="1"/>
  <c r="AC342" i="3"/>
  <c r="AB342" i="3"/>
  <c r="W342" i="3"/>
  <c r="AE341" i="3"/>
  <c r="AG341" i="3" s="1"/>
  <c r="AC341" i="3"/>
  <c r="AB341" i="3"/>
  <c r="AE340" i="3"/>
  <c r="AG340" i="3" s="1"/>
  <c r="AC340" i="3"/>
  <c r="AB340" i="3"/>
  <c r="AE339" i="3"/>
  <c r="AG339" i="3" s="1"/>
  <c r="AC339" i="3"/>
  <c r="AB339" i="3"/>
  <c r="AE338" i="3"/>
  <c r="AG338" i="3" s="1"/>
  <c r="AC338" i="3"/>
  <c r="W338" i="3"/>
  <c r="AB338" i="3" s="1"/>
  <c r="AE337" i="3"/>
  <c r="AG337" i="3" s="1"/>
  <c r="AC337" i="3"/>
  <c r="AB337" i="3"/>
  <c r="AE336" i="3"/>
  <c r="AG336" i="3" s="1"/>
  <c r="AC336" i="3"/>
  <c r="AB336" i="3"/>
  <c r="AE335" i="3"/>
  <c r="AG335" i="3" s="1"/>
  <c r="AC335" i="3"/>
  <c r="AB335" i="3"/>
  <c r="AE334" i="3"/>
  <c r="AG334" i="3" s="1"/>
  <c r="AC334" i="3"/>
  <c r="W334" i="3"/>
  <c r="AB334" i="3" s="1"/>
  <c r="AM333" i="3"/>
  <c r="AE333" i="3"/>
  <c r="AG333" i="3" s="1"/>
  <c r="AC333" i="3"/>
  <c r="AB333" i="3"/>
  <c r="AE332" i="3"/>
  <c r="AG332" i="3" s="1"/>
  <c r="AC332" i="3"/>
  <c r="AB332" i="3"/>
  <c r="AE331" i="3"/>
  <c r="AG331" i="3" s="1"/>
  <c r="AC331" i="3"/>
  <c r="AB331" i="3"/>
  <c r="AE330" i="3"/>
  <c r="AG330" i="3" s="1"/>
  <c r="AC330" i="3"/>
  <c r="AB330" i="3"/>
  <c r="AE329" i="3"/>
  <c r="AG329" i="3" s="1"/>
  <c r="AC329" i="3"/>
  <c r="AB329" i="3"/>
  <c r="AE328" i="3"/>
  <c r="AG328" i="3" s="1"/>
  <c r="AC328" i="3"/>
  <c r="X328" i="3"/>
  <c r="W328" i="3"/>
  <c r="AE327" i="3"/>
  <c r="AG327" i="3" s="1"/>
  <c r="AC327" i="3"/>
  <c r="AB327" i="3"/>
  <c r="AE326" i="3"/>
  <c r="AC326" i="3"/>
  <c r="AB326" i="3"/>
  <c r="W326" i="3"/>
  <c r="W325" i="3"/>
  <c r="V325" i="3"/>
  <c r="AE324" i="3"/>
  <c r="AG324" i="3" s="1"/>
  <c r="AC324" i="3"/>
  <c r="AB324" i="3"/>
  <c r="AE323" i="3"/>
  <c r="AG323" i="3" s="1"/>
  <c r="AC323" i="3"/>
  <c r="AB323" i="3"/>
  <c r="AE322" i="3"/>
  <c r="AG322" i="3" s="1"/>
  <c r="AC322" i="3"/>
  <c r="AB322" i="3"/>
  <c r="AE321" i="3"/>
  <c r="AG321" i="3" s="1"/>
  <c r="AC321" i="3"/>
  <c r="W321" i="3"/>
  <c r="AB321" i="3" s="1"/>
  <c r="AE320" i="3"/>
  <c r="AG320" i="3" s="1"/>
  <c r="AC320" i="3"/>
  <c r="AB320" i="3"/>
  <c r="AE319" i="3"/>
  <c r="AG319" i="3" s="1"/>
  <c r="AC319" i="3"/>
  <c r="AB319" i="3"/>
  <c r="AE318" i="3"/>
  <c r="AG318" i="3" s="1"/>
  <c r="AC318" i="3"/>
  <c r="AB318" i="3"/>
  <c r="AE317" i="3"/>
  <c r="AG317" i="3" s="1"/>
  <c r="AC317" i="3"/>
  <c r="AB317" i="3"/>
  <c r="AE316" i="3"/>
  <c r="AC316" i="3"/>
  <c r="AB316" i="3"/>
  <c r="AE315" i="3"/>
  <c r="AG315" i="3" s="1"/>
  <c r="AC315" i="3"/>
  <c r="AB315" i="3"/>
  <c r="AE314" i="3"/>
  <c r="AG314" i="3" s="1"/>
  <c r="AC314" i="3"/>
  <c r="AB314" i="3"/>
  <c r="AD313" i="3"/>
  <c r="AD325" i="3" s="1"/>
  <c r="AE312" i="3"/>
  <c r="AG312" i="3" s="1"/>
  <c r="AC312" i="3"/>
  <c r="AB312" i="3"/>
  <c r="AE311" i="3"/>
  <c r="AG311" i="3" s="1"/>
  <c r="AC311" i="3"/>
  <c r="AB311" i="3"/>
  <c r="AE310" i="3"/>
  <c r="AG310" i="3" s="1"/>
  <c r="AC310" i="3"/>
  <c r="AB310" i="3"/>
  <c r="AE309" i="3"/>
  <c r="AG309" i="3" s="1"/>
  <c r="AC309" i="3"/>
  <c r="AB309" i="3"/>
  <c r="AE308" i="3"/>
  <c r="AG308" i="3" s="1"/>
  <c r="AC308" i="3"/>
  <c r="AB308" i="3"/>
  <c r="AE307" i="3"/>
  <c r="AG307" i="3" s="1"/>
  <c r="AC307" i="3"/>
  <c r="AB307" i="3"/>
  <c r="AE306" i="3"/>
  <c r="AG306" i="3" s="1"/>
  <c r="AC306" i="3"/>
  <c r="AB306" i="3"/>
  <c r="AE305" i="3"/>
  <c r="AG305" i="3" s="1"/>
  <c r="AC305" i="3"/>
  <c r="AB305" i="3"/>
  <c r="AE304" i="3"/>
  <c r="AG304" i="3" s="1"/>
  <c r="AC304" i="3"/>
  <c r="X304" i="3"/>
  <c r="AB304" i="3" s="1"/>
  <c r="AE303" i="3"/>
  <c r="AG303" i="3" s="1"/>
  <c r="AC303" i="3"/>
  <c r="AB303" i="3"/>
  <c r="AE302" i="3"/>
  <c r="AG302" i="3" s="1"/>
  <c r="AC302" i="3"/>
  <c r="AB302" i="3"/>
  <c r="AE301" i="3"/>
  <c r="AG301" i="3" s="1"/>
  <c r="AC301" i="3"/>
  <c r="AB301" i="3"/>
  <c r="AE300" i="3"/>
  <c r="AG300" i="3" s="1"/>
  <c r="AC300" i="3"/>
  <c r="AB300" i="3"/>
  <c r="AE299" i="3"/>
  <c r="AG299" i="3" s="1"/>
  <c r="AC299" i="3"/>
  <c r="AB299" i="3"/>
  <c r="AE298" i="3"/>
  <c r="AG298" i="3" s="1"/>
  <c r="AC298" i="3"/>
  <c r="AB298" i="3"/>
  <c r="AE297" i="3"/>
  <c r="AG297" i="3" s="1"/>
  <c r="AC297" i="3"/>
  <c r="AB297" i="3"/>
  <c r="AE296" i="3"/>
  <c r="AG296" i="3" s="1"/>
  <c r="X296" i="3"/>
  <c r="W296" i="3"/>
  <c r="AE295" i="3"/>
  <c r="AG295" i="3" s="1"/>
  <c r="AC295" i="3"/>
  <c r="AB295" i="3"/>
  <c r="AE294" i="3"/>
  <c r="AG294" i="3" s="1"/>
  <c r="AC294" i="3"/>
  <c r="X294" i="3"/>
  <c r="W294" i="3"/>
  <c r="AE293" i="3"/>
  <c r="AG293" i="3" s="1"/>
  <c r="AC293" i="3"/>
  <c r="X293" i="3"/>
  <c r="W293" i="3"/>
  <c r="AE292" i="3"/>
  <c r="AC292" i="3"/>
  <c r="AB292" i="3"/>
  <c r="AE291" i="3"/>
  <c r="AG291" i="3" s="1"/>
  <c r="AC291" i="3"/>
  <c r="AB291" i="3"/>
  <c r="AE290" i="3"/>
  <c r="AG290" i="3" s="1"/>
  <c r="AC290" i="3"/>
  <c r="AB290" i="3"/>
  <c r="AE289" i="3"/>
  <c r="AG289" i="3" s="1"/>
  <c r="AC289" i="3"/>
  <c r="AB289" i="3"/>
  <c r="AF289" i="3" s="1"/>
  <c r="AE288" i="3"/>
  <c r="AG288" i="3" s="1"/>
  <c r="AC288" i="3"/>
  <c r="V288" i="3"/>
  <c r="W313" i="3" s="1"/>
  <c r="V313" i="3" s="1"/>
  <c r="AE287" i="3"/>
  <c r="AG287" i="3" s="1"/>
  <c r="AC287" i="3"/>
  <c r="AB287" i="3"/>
  <c r="AE286" i="3"/>
  <c r="AG286" i="3" s="1"/>
  <c r="AC286" i="3"/>
  <c r="X286" i="3"/>
  <c r="W286" i="3"/>
  <c r="AE285" i="3"/>
  <c r="AG285" i="3" s="1"/>
  <c r="AC285" i="3"/>
  <c r="AB285" i="3"/>
  <c r="W284" i="3"/>
  <c r="V284" i="3" s="1"/>
  <c r="AE283" i="3"/>
  <c r="AG283" i="3" s="1"/>
  <c r="AC283" i="3"/>
  <c r="X283" i="3"/>
  <c r="W283" i="3"/>
  <c r="AE282" i="3"/>
  <c r="AG282" i="3" s="1"/>
  <c r="AC282" i="3"/>
  <c r="AB282" i="3"/>
  <c r="AE281" i="3"/>
  <c r="AG281" i="3" s="1"/>
  <c r="AC281" i="3"/>
  <c r="AB281" i="3"/>
  <c r="AE280" i="3"/>
  <c r="AG280" i="3" s="1"/>
  <c r="AC280" i="3"/>
  <c r="AB280" i="3"/>
  <c r="AE279" i="3"/>
  <c r="AG279" i="3" s="1"/>
  <c r="AC279" i="3"/>
  <c r="AB279" i="3"/>
  <c r="AE278" i="3"/>
  <c r="AG278" i="3" s="1"/>
  <c r="AC278" i="3"/>
  <c r="AB278" i="3"/>
  <c r="AE277" i="3"/>
  <c r="AG277" i="3" s="1"/>
  <c r="AC277" i="3"/>
  <c r="AB277" i="3"/>
  <c r="AE276" i="3"/>
  <c r="AG276" i="3" s="1"/>
  <c r="AC276" i="3"/>
  <c r="AB276" i="3"/>
  <c r="AE275" i="3"/>
  <c r="AG275" i="3" s="1"/>
  <c r="AC275" i="3"/>
  <c r="AB275" i="3"/>
  <c r="AE274" i="3"/>
  <c r="AG274" i="3" s="1"/>
  <c r="AC274" i="3"/>
  <c r="AB274" i="3"/>
  <c r="AE273" i="3"/>
  <c r="AG273" i="3" s="1"/>
  <c r="AC273" i="3"/>
  <c r="AB273" i="3"/>
  <c r="AE272" i="3"/>
  <c r="AG272" i="3" s="1"/>
  <c r="AC272" i="3"/>
  <c r="AB272" i="3"/>
  <c r="AE271" i="3"/>
  <c r="AG271" i="3" s="1"/>
  <c r="AC271" i="3"/>
  <c r="AB271" i="3"/>
  <c r="AE270" i="3"/>
  <c r="AG270" i="3" s="1"/>
  <c r="AC270" i="3"/>
  <c r="AB270" i="3"/>
  <c r="AE269" i="3"/>
  <c r="AC269" i="3"/>
  <c r="AB269" i="3"/>
  <c r="AE268" i="3"/>
  <c r="AG268" i="3" s="1"/>
  <c r="AC268" i="3"/>
  <c r="AB268" i="3"/>
  <c r="AE267" i="3"/>
  <c r="AG267" i="3" s="1"/>
  <c r="AC267" i="3"/>
  <c r="W267" i="3"/>
  <c r="AB267" i="3" s="1"/>
  <c r="AD266" i="3"/>
  <c r="AD284" i="3" s="1"/>
  <c r="AE265" i="3"/>
  <c r="AG265" i="3" s="1"/>
  <c r="AC265" i="3"/>
  <c r="AB265" i="3"/>
  <c r="AE264" i="3"/>
  <c r="AG264" i="3" s="1"/>
  <c r="AC264" i="3"/>
  <c r="AB264" i="3"/>
  <c r="AE263" i="3"/>
  <c r="AG263" i="3" s="1"/>
  <c r="AC263" i="3"/>
  <c r="AB263" i="3"/>
  <c r="AE262" i="3"/>
  <c r="AG262" i="3" s="1"/>
  <c r="AC262" i="3"/>
  <c r="AB262" i="3"/>
  <c r="AE261" i="3"/>
  <c r="AG261" i="3" s="1"/>
  <c r="AC261" i="3"/>
  <c r="AB261" i="3"/>
  <c r="AE260" i="3"/>
  <c r="AC260" i="3"/>
  <c r="AB260" i="3"/>
  <c r="AE259" i="3"/>
  <c r="AG259" i="3" s="1"/>
  <c r="AC259" i="3"/>
  <c r="AB259" i="3"/>
  <c r="AF259" i="3" s="1"/>
  <c r="AE258" i="3"/>
  <c r="AG258" i="3" s="1"/>
  <c r="AC258" i="3"/>
  <c r="AB258" i="3"/>
  <c r="AE257" i="3"/>
  <c r="AC257" i="3"/>
  <c r="AB257" i="3"/>
  <c r="AE256" i="3"/>
  <c r="AG256" i="3" s="1"/>
  <c r="AC256" i="3"/>
  <c r="AB256" i="3"/>
  <c r="AE255" i="3"/>
  <c r="AG255" i="3" s="1"/>
  <c r="AC255" i="3"/>
  <c r="AB255" i="3"/>
  <c r="AE254" i="3"/>
  <c r="AG254" i="3" s="1"/>
  <c r="AC254" i="3"/>
  <c r="X254" i="3"/>
  <c r="W254" i="3"/>
  <c r="AE253" i="3"/>
  <c r="AG253" i="3" s="1"/>
  <c r="AC253" i="3"/>
  <c r="AB253" i="3"/>
  <c r="AE252" i="3"/>
  <c r="AG252" i="3" s="1"/>
  <c r="AC252" i="3"/>
  <c r="AB252" i="3"/>
  <c r="AE251" i="3"/>
  <c r="AC251" i="3"/>
  <c r="AB251" i="3"/>
  <c r="AE250" i="3"/>
  <c r="AC250" i="3"/>
  <c r="AB250" i="3"/>
  <c r="AE249" i="3"/>
  <c r="AG249" i="3" s="1"/>
  <c r="AC249" i="3"/>
  <c r="AB249" i="3"/>
  <c r="AE248" i="3"/>
  <c r="AG248" i="3" s="1"/>
  <c r="AC248" i="3"/>
  <c r="AB248" i="3"/>
  <c r="AE247" i="3"/>
  <c r="AC247" i="3"/>
  <c r="X247" i="3"/>
  <c r="AB247" i="3" s="1"/>
  <c r="W247" i="3"/>
  <c r="AE246" i="3"/>
  <c r="AG246" i="3" s="1"/>
  <c r="AC246" i="3"/>
  <c r="AB246" i="3"/>
  <c r="AE245" i="3"/>
  <c r="AG245" i="3" s="1"/>
  <c r="AC245" i="3"/>
  <c r="AB245" i="3"/>
  <c r="AE244" i="3"/>
  <c r="AG244" i="3" s="1"/>
  <c r="AC244" i="3"/>
  <c r="AB244" i="3"/>
  <c r="AE243" i="3"/>
  <c r="AG243" i="3" s="1"/>
  <c r="AC243" i="3"/>
  <c r="AB243" i="3"/>
  <c r="AE242" i="3"/>
  <c r="AG242" i="3" s="1"/>
  <c r="AC242" i="3"/>
  <c r="AB242" i="3"/>
  <c r="AE241" i="3"/>
  <c r="AC241" i="3"/>
  <c r="AB241" i="3"/>
  <c r="AE240" i="3"/>
  <c r="AG240" i="3" s="1"/>
  <c r="AC240" i="3"/>
  <c r="AB240" i="3"/>
  <c r="AE239" i="3"/>
  <c r="AG239" i="3" s="1"/>
  <c r="AC239" i="3"/>
  <c r="AB239" i="3"/>
  <c r="AE238" i="3"/>
  <c r="AG238" i="3" s="1"/>
  <c r="AC238" i="3"/>
  <c r="AB238" i="3"/>
  <c r="AE237" i="3"/>
  <c r="AC237" i="3"/>
  <c r="AB237" i="3"/>
  <c r="AE236" i="3"/>
  <c r="AC236" i="3"/>
  <c r="AB236" i="3"/>
  <c r="AE235" i="3"/>
  <c r="AG235" i="3" s="1"/>
  <c r="AC235" i="3"/>
  <c r="X235" i="3"/>
  <c r="AB235" i="3" s="1"/>
  <c r="AE234" i="3"/>
  <c r="AG234" i="3" s="1"/>
  <c r="AC234" i="3"/>
  <c r="X234" i="3"/>
  <c r="AB234" i="3" s="1"/>
  <c r="AE233" i="3"/>
  <c r="AG233" i="3" s="1"/>
  <c r="AC233" i="3"/>
  <c r="AB233" i="3"/>
  <c r="AE232" i="3"/>
  <c r="AG232" i="3" s="1"/>
  <c r="AC232" i="3"/>
  <c r="X232" i="3"/>
  <c r="AB232" i="3" s="1"/>
  <c r="AE231" i="3"/>
  <c r="AC231" i="3"/>
  <c r="AB231" i="3"/>
  <c r="AD230" i="3"/>
  <c r="W230" i="3"/>
  <c r="X230" i="3" s="1"/>
  <c r="AE229" i="3"/>
  <c r="AG229" i="3" s="1"/>
  <c r="AC229" i="3"/>
  <c r="AB229" i="3"/>
  <c r="AF229" i="3" s="1"/>
  <c r="AE228" i="3"/>
  <c r="AC228" i="3"/>
  <c r="AB228" i="3"/>
  <c r="AE227" i="3"/>
  <c r="AC227" i="3"/>
  <c r="AB227" i="3"/>
  <c r="AE226" i="3"/>
  <c r="AG226" i="3" s="1"/>
  <c r="AC226" i="3"/>
  <c r="X226" i="3"/>
  <c r="W226" i="3"/>
  <c r="AE225" i="3"/>
  <c r="AG225" i="3" s="1"/>
  <c r="AC225" i="3"/>
  <c r="AB225" i="3"/>
  <c r="AE224" i="3"/>
  <c r="AG224" i="3" s="1"/>
  <c r="AC224" i="3"/>
  <c r="AB224" i="3"/>
  <c r="AE223" i="3"/>
  <c r="AG223" i="3" s="1"/>
  <c r="AC223" i="3"/>
  <c r="X223" i="3"/>
  <c r="W223" i="3"/>
  <c r="AE222" i="3"/>
  <c r="AG222" i="3" s="1"/>
  <c r="AC222" i="3"/>
  <c r="X222" i="3"/>
  <c r="W222" i="3"/>
  <c r="AE221" i="3"/>
  <c r="AG221" i="3" s="1"/>
  <c r="AC221" i="3"/>
  <c r="X221" i="3"/>
  <c r="AB221" i="3" s="1"/>
  <c r="AE220" i="3"/>
  <c r="AG220" i="3" s="1"/>
  <c r="AC220" i="3"/>
  <c r="X220" i="3"/>
  <c r="W220" i="3"/>
  <c r="AB220" i="3" s="1"/>
  <c r="AE219" i="3"/>
  <c r="AG219" i="3" s="1"/>
  <c r="AC219" i="3"/>
  <c r="X219" i="3"/>
  <c r="W219" i="3"/>
  <c r="AE218" i="3"/>
  <c r="AC218" i="3"/>
  <c r="AB218" i="3"/>
  <c r="AE217" i="3"/>
  <c r="AG217" i="3" s="1"/>
  <c r="AC217" i="3"/>
  <c r="AB217" i="3"/>
  <c r="AE216" i="3"/>
  <c r="AG216" i="3" s="1"/>
  <c r="AC216" i="3"/>
  <c r="AB216" i="3"/>
  <c r="AE215" i="3"/>
  <c r="AC215" i="3"/>
  <c r="X215" i="3"/>
  <c r="W215" i="3"/>
  <c r="AB215" i="3" s="1"/>
  <c r="AE214" i="3"/>
  <c r="AG214" i="3" s="1"/>
  <c r="AC214" i="3"/>
  <c r="AB214" i="3"/>
  <c r="AE213" i="3"/>
  <c r="AG213" i="3" s="1"/>
  <c r="AC213" i="3"/>
  <c r="AB213" i="3"/>
  <c r="AE212" i="3"/>
  <c r="AG212" i="3" s="1"/>
  <c r="AC212" i="3"/>
  <c r="AB212" i="3"/>
  <c r="AE211" i="3"/>
  <c r="AG211" i="3" s="1"/>
  <c r="AC211" i="3"/>
  <c r="X211" i="3"/>
  <c r="W211" i="3"/>
  <c r="AE210" i="3"/>
  <c r="AG210" i="3" s="1"/>
  <c r="AC210" i="3"/>
  <c r="AB210" i="3"/>
  <c r="AE209" i="3"/>
  <c r="AG209" i="3" s="1"/>
  <c r="AC209" i="3"/>
  <c r="AB209" i="3"/>
  <c r="AE208" i="3"/>
  <c r="AG208" i="3" s="1"/>
  <c r="AC208" i="3"/>
  <c r="AB208" i="3"/>
  <c r="AE207" i="3"/>
  <c r="AG207" i="3" s="1"/>
  <c r="AC207" i="3"/>
  <c r="AB207" i="3"/>
  <c r="AE206" i="3"/>
  <c r="AG206" i="3" s="1"/>
  <c r="AC206" i="3"/>
  <c r="AB206" i="3"/>
  <c r="AE205" i="3"/>
  <c r="AG205" i="3" s="1"/>
  <c r="AC205" i="3"/>
  <c r="AB205" i="3"/>
  <c r="AE204" i="3"/>
  <c r="AG204" i="3" s="1"/>
  <c r="AC204" i="3"/>
  <c r="AB204" i="3"/>
  <c r="AE203" i="3"/>
  <c r="AG203" i="3" s="1"/>
  <c r="AC203" i="3"/>
  <c r="AB203" i="3"/>
  <c r="AE201" i="3"/>
  <c r="AG201" i="3" s="1"/>
  <c r="AC201" i="3"/>
  <c r="AB201" i="3"/>
  <c r="AE200" i="3"/>
  <c r="AC200" i="3"/>
  <c r="AB200" i="3"/>
  <c r="AE199" i="3"/>
  <c r="AG199" i="3" s="1"/>
  <c r="AC199" i="3"/>
  <c r="X199" i="3"/>
  <c r="W199" i="3"/>
  <c r="AE198" i="3"/>
  <c r="AC198" i="3"/>
  <c r="AB198" i="3"/>
  <c r="AE197" i="3"/>
  <c r="AG197" i="3" s="1"/>
  <c r="AC197" i="3"/>
  <c r="AB197" i="3"/>
  <c r="AE196" i="3"/>
  <c r="AG196" i="3" s="1"/>
  <c r="AC196" i="3"/>
  <c r="AB196" i="3"/>
  <c r="AE195" i="3"/>
  <c r="AG195" i="3" s="1"/>
  <c r="AC195" i="3"/>
  <c r="AB195" i="3"/>
  <c r="AE194" i="3"/>
  <c r="AC194" i="3"/>
  <c r="AB194" i="3"/>
  <c r="AE193" i="3"/>
  <c r="AG193" i="3" s="1"/>
  <c r="AC193" i="3"/>
  <c r="AB193" i="3"/>
  <c r="AE192" i="3"/>
  <c r="AG192" i="3" s="1"/>
  <c r="AC192" i="3"/>
  <c r="AB192" i="3"/>
  <c r="AE191" i="3"/>
  <c r="AG191" i="3" s="1"/>
  <c r="AC191" i="3"/>
  <c r="AB191" i="3"/>
  <c r="AE190" i="3"/>
  <c r="AC190" i="3"/>
  <c r="AB190" i="3"/>
  <c r="AE189" i="3"/>
  <c r="AC189" i="3"/>
  <c r="W189" i="3"/>
  <c r="AB189" i="3" s="1"/>
  <c r="AE187" i="3"/>
  <c r="AG187" i="3" s="1"/>
  <c r="AC187" i="3"/>
  <c r="AB187" i="3"/>
  <c r="AE186" i="3"/>
  <c r="AG186" i="3" s="1"/>
  <c r="AC186" i="3"/>
  <c r="AB186" i="3"/>
  <c r="AE185" i="3"/>
  <c r="AG185" i="3" s="1"/>
  <c r="AC185" i="3"/>
  <c r="AB185" i="3"/>
  <c r="AE184" i="3"/>
  <c r="AC184" i="3"/>
  <c r="X184" i="3"/>
  <c r="AB184" i="3" s="1"/>
  <c r="W184" i="3"/>
  <c r="AE183" i="3"/>
  <c r="AG183" i="3" s="1"/>
  <c r="AC183" i="3"/>
  <c r="AB183" i="3"/>
  <c r="AE182" i="3"/>
  <c r="AC182" i="3"/>
  <c r="AB182" i="3"/>
  <c r="AE181" i="3"/>
  <c r="AG181" i="3" s="1"/>
  <c r="AC181" i="3"/>
  <c r="X181" i="3"/>
  <c r="W181" i="3"/>
  <c r="AE180" i="3"/>
  <c r="AC180" i="3"/>
  <c r="AB180" i="3"/>
  <c r="AE179" i="3"/>
  <c r="AC179" i="3"/>
  <c r="AB179" i="3"/>
  <c r="AE178" i="3"/>
  <c r="AG178" i="3" s="1"/>
  <c r="AC178" i="3"/>
  <c r="AB178" i="3"/>
  <c r="AE177" i="3"/>
  <c r="AG177" i="3" s="1"/>
  <c r="AC177" i="3"/>
  <c r="X177" i="3"/>
  <c r="W177" i="3"/>
  <c r="AE176" i="3"/>
  <c r="AG176" i="3" s="1"/>
  <c r="AC176" i="3"/>
  <c r="AB176" i="3"/>
  <c r="AE175" i="3"/>
  <c r="AG175" i="3" s="1"/>
  <c r="AC175" i="3"/>
  <c r="AB175" i="3"/>
  <c r="AE173" i="3"/>
  <c r="AG173" i="3" s="1"/>
  <c r="AC173" i="3"/>
  <c r="X173" i="3"/>
  <c r="AB173" i="3" s="1"/>
  <c r="AE172" i="3"/>
  <c r="AC172" i="3"/>
  <c r="X172" i="3"/>
  <c r="AB172" i="3" s="1"/>
  <c r="AE171" i="3"/>
  <c r="AG171" i="3" s="1"/>
  <c r="AC171" i="3"/>
  <c r="X171" i="3"/>
  <c r="AB171" i="3" s="1"/>
  <c r="AE170" i="3"/>
  <c r="AC170" i="3"/>
  <c r="X170" i="3"/>
  <c r="AB170" i="3" s="1"/>
  <c r="AE169" i="3"/>
  <c r="AG169" i="3" s="1"/>
  <c r="AC169" i="3"/>
  <c r="X169" i="3"/>
  <c r="AB169" i="3" s="1"/>
  <c r="AE168" i="3"/>
  <c r="AC168" i="3"/>
  <c r="X168" i="3"/>
  <c r="W168" i="3"/>
  <c r="AE167" i="3"/>
  <c r="AG167" i="3" s="1"/>
  <c r="AC167" i="3"/>
  <c r="AB167" i="3"/>
  <c r="AE166" i="3"/>
  <c r="AC166" i="3"/>
  <c r="AB166" i="3"/>
  <c r="AE165" i="3"/>
  <c r="AG165" i="3" s="1"/>
  <c r="AC165" i="3"/>
  <c r="X165" i="3"/>
  <c r="W165" i="3"/>
  <c r="AE164" i="3"/>
  <c r="AC164" i="3"/>
  <c r="AB164" i="3"/>
  <c r="AE163" i="3"/>
  <c r="AG163" i="3" s="1"/>
  <c r="AC163" i="3"/>
  <c r="AB163" i="3"/>
  <c r="AE162" i="3"/>
  <c r="AG162" i="3" s="1"/>
  <c r="AC162" i="3"/>
  <c r="AB162" i="3"/>
  <c r="AE160" i="3"/>
  <c r="AG160" i="3" s="1"/>
  <c r="AC160" i="3"/>
  <c r="AB160" i="3"/>
  <c r="AE159" i="3"/>
  <c r="AG159" i="3" s="1"/>
  <c r="AC159" i="3"/>
  <c r="AB159" i="3"/>
  <c r="AE158" i="3"/>
  <c r="AG158" i="3" s="1"/>
  <c r="AC158" i="3"/>
  <c r="AB158" i="3"/>
  <c r="AE157" i="3"/>
  <c r="AG157" i="3" s="1"/>
  <c r="AC157" i="3"/>
  <c r="AB157" i="3"/>
  <c r="AE156" i="3"/>
  <c r="AG156" i="3" s="1"/>
  <c r="AC156" i="3"/>
  <c r="AB156" i="3"/>
  <c r="AE155" i="3"/>
  <c r="AG155" i="3" s="1"/>
  <c r="AC155" i="3"/>
  <c r="AB155" i="3"/>
  <c r="AE154" i="3"/>
  <c r="AG154" i="3" s="1"/>
  <c r="AC154" i="3"/>
  <c r="AB154" i="3"/>
  <c r="AE153" i="3"/>
  <c r="AG153" i="3" s="1"/>
  <c r="AC153" i="3"/>
  <c r="AB153" i="3"/>
  <c r="AE152" i="3"/>
  <c r="AG152" i="3" s="1"/>
  <c r="AC152" i="3"/>
  <c r="AB152" i="3"/>
  <c r="AE151" i="3"/>
  <c r="AG151" i="3" s="1"/>
  <c r="AC151" i="3"/>
  <c r="AB151" i="3"/>
  <c r="AE150" i="3"/>
  <c r="AC150" i="3"/>
  <c r="AB150" i="3"/>
  <c r="T149" i="3"/>
  <c r="AE148" i="3"/>
  <c r="AG148" i="3" s="1"/>
  <c r="AC148" i="3"/>
  <c r="AB148" i="3"/>
  <c r="AE147" i="3"/>
  <c r="AG147" i="3" s="1"/>
  <c r="AC147" i="3"/>
  <c r="AB147" i="3"/>
  <c r="AE146" i="3"/>
  <c r="AG146" i="3" s="1"/>
  <c r="AC146" i="3"/>
  <c r="AB146" i="3"/>
  <c r="AE145" i="3"/>
  <c r="AC145" i="3"/>
  <c r="AB145" i="3"/>
  <c r="AE144" i="3"/>
  <c r="AG144" i="3" s="1"/>
  <c r="AC144" i="3"/>
  <c r="AB144" i="3"/>
  <c r="AE143" i="3"/>
  <c r="AG143" i="3" s="1"/>
  <c r="AC143" i="3"/>
  <c r="AB143" i="3"/>
  <c r="AE142" i="3"/>
  <c r="AG142" i="3" s="1"/>
  <c r="AC142" i="3"/>
  <c r="AB142" i="3"/>
  <c r="AE141" i="3"/>
  <c r="AC141" i="3"/>
  <c r="AB141" i="3"/>
  <c r="AE140" i="3"/>
  <c r="AG140" i="3" s="1"/>
  <c r="AC140" i="3"/>
  <c r="AB140" i="3"/>
  <c r="AE139" i="3"/>
  <c r="AG139" i="3" s="1"/>
  <c r="AC139" i="3"/>
  <c r="X139" i="3"/>
  <c r="AB139" i="3" s="1"/>
  <c r="AE138" i="3"/>
  <c r="AG138" i="3" s="1"/>
  <c r="AC138" i="3"/>
  <c r="AB138" i="3"/>
  <c r="AE137" i="3"/>
  <c r="AC137" i="3"/>
  <c r="X137" i="3"/>
  <c r="AB137" i="3" s="1"/>
  <c r="AE136" i="3"/>
  <c r="AG136" i="3" s="1"/>
  <c r="AC136" i="3"/>
  <c r="AB136" i="3"/>
  <c r="AE135" i="3"/>
  <c r="AG135" i="3" s="1"/>
  <c r="AC135" i="3"/>
  <c r="AB135" i="3"/>
  <c r="AD134" i="3"/>
  <c r="AD149" i="3" s="1"/>
  <c r="AD161" i="3" s="1"/>
  <c r="AD174" i="3" s="1"/>
  <c r="AD188" i="3" s="1"/>
  <c r="AD202" i="3" s="1"/>
  <c r="AE133" i="3"/>
  <c r="AC133" i="3"/>
  <c r="AB133" i="3"/>
  <c r="AE132" i="3"/>
  <c r="AC132" i="3"/>
  <c r="AB132" i="3"/>
  <c r="AE131" i="3"/>
  <c r="AC131" i="3"/>
  <c r="AB131" i="3"/>
  <c r="AE130" i="3"/>
  <c r="AC130" i="3"/>
  <c r="AB130" i="3"/>
  <c r="AE129" i="3"/>
  <c r="AC129" i="3"/>
  <c r="AB129" i="3"/>
  <c r="AE128" i="3"/>
  <c r="AC128" i="3"/>
  <c r="AB128" i="3"/>
  <c r="AE127" i="3"/>
  <c r="AC127" i="3"/>
  <c r="AB127" i="3"/>
  <c r="AE126" i="3"/>
  <c r="AC126" i="3"/>
  <c r="AB126" i="3"/>
  <c r="AE125" i="3"/>
  <c r="AC125" i="3"/>
  <c r="AB125" i="3"/>
  <c r="AE124" i="3"/>
  <c r="AC124" i="3"/>
  <c r="AB124" i="3"/>
  <c r="AE123" i="3"/>
  <c r="AC123" i="3"/>
  <c r="AB123" i="3"/>
  <c r="B123" i="3"/>
  <c r="B124" i="3" s="1"/>
  <c r="B125" i="3" s="1"/>
  <c r="B130" i="3" s="1"/>
  <c r="B131" i="3" s="1"/>
  <c r="B126" i="3" s="1"/>
  <c r="B127" i="3" s="1"/>
  <c r="B128" i="3" s="1"/>
  <c r="B129" i="3" s="1"/>
  <c r="B132" i="3" s="1"/>
  <c r="B133" i="3" s="1"/>
  <c r="AE122" i="3"/>
  <c r="AC122" i="3"/>
  <c r="AB122" i="3"/>
  <c r="AE121" i="3"/>
  <c r="AC121" i="3"/>
  <c r="AB121" i="3"/>
  <c r="AE120" i="3"/>
  <c r="AC120" i="3"/>
  <c r="AB120" i="3"/>
  <c r="AE119" i="3"/>
  <c r="AC119" i="3"/>
  <c r="AB119" i="3"/>
  <c r="AE118" i="3"/>
  <c r="AC118" i="3"/>
  <c r="AB118" i="3"/>
  <c r="AE117" i="3"/>
  <c r="AC117" i="3"/>
  <c r="AB117" i="3"/>
  <c r="AE116" i="3"/>
  <c r="AC116" i="3"/>
  <c r="AB116" i="3"/>
  <c r="AE115" i="3"/>
  <c r="AC115" i="3"/>
  <c r="X115" i="3"/>
  <c r="AB115" i="3" s="1"/>
  <c r="AE113" i="3"/>
  <c r="AC113" i="3"/>
  <c r="AB113" i="3"/>
  <c r="AE112" i="3"/>
  <c r="AC112" i="3"/>
  <c r="AB112" i="3"/>
  <c r="AE111" i="3"/>
  <c r="AC111" i="3"/>
  <c r="AB111" i="3"/>
  <c r="AE110" i="3"/>
  <c r="AC110" i="3"/>
  <c r="AB110" i="3"/>
  <c r="AE109" i="3"/>
  <c r="AC109" i="3"/>
  <c r="AB109" i="3"/>
  <c r="AE108" i="3"/>
  <c r="AC108" i="3"/>
  <c r="AB108" i="3"/>
  <c r="AE107" i="3"/>
  <c r="AC107" i="3"/>
  <c r="AB107" i="3"/>
  <c r="AE106" i="3"/>
  <c r="AC106" i="3"/>
  <c r="X106" i="3"/>
  <c r="W106" i="3"/>
  <c r="AE105" i="3"/>
  <c r="AC105" i="3"/>
  <c r="X105" i="3"/>
  <c r="W105" i="3"/>
  <c r="AE104" i="3"/>
  <c r="AC104" i="3"/>
  <c r="AB104" i="3"/>
  <c r="AE103" i="3"/>
  <c r="AC103" i="3"/>
  <c r="AB103" i="3"/>
  <c r="AE102" i="3"/>
  <c r="AC102" i="3"/>
  <c r="AB102" i="3"/>
  <c r="AE101" i="3"/>
  <c r="AC101" i="3"/>
  <c r="AB101" i="3"/>
  <c r="AE100" i="3"/>
  <c r="AC100" i="3"/>
  <c r="AB100" i="3"/>
  <c r="AE99" i="3"/>
  <c r="AC99" i="3"/>
  <c r="AB99" i="3"/>
  <c r="AE98" i="3"/>
  <c r="AC98" i="3"/>
  <c r="AB98" i="3"/>
  <c r="AE97" i="3"/>
  <c r="AC97" i="3"/>
  <c r="X97" i="3"/>
  <c r="W97" i="3"/>
  <c r="AE95" i="3"/>
  <c r="AC95" i="3"/>
  <c r="AB95" i="3"/>
  <c r="AE94" i="3"/>
  <c r="AC94" i="3"/>
  <c r="AB94" i="3"/>
  <c r="AE93" i="3"/>
  <c r="AC93" i="3"/>
  <c r="X93" i="3"/>
  <c r="W93" i="3"/>
  <c r="AE92" i="3"/>
  <c r="AC92" i="3"/>
  <c r="AB92" i="3"/>
  <c r="AE91" i="3"/>
  <c r="AC91" i="3"/>
  <c r="AB91" i="3"/>
  <c r="AE90" i="3"/>
  <c r="AC90" i="3"/>
  <c r="AB90" i="3"/>
  <c r="AE89" i="3"/>
  <c r="AC89" i="3"/>
  <c r="X89" i="3"/>
  <c r="W89" i="3"/>
  <c r="AE88" i="3"/>
  <c r="AC88" i="3"/>
  <c r="X88" i="3"/>
  <c r="W88" i="3"/>
  <c r="AE87" i="3"/>
  <c r="AC87" i="3"/>
  <c r="AB87" i="3"/>
  <c r="AE86" i="3"/>
  <c r="AC86" i="3"/>
  <c r="X86" i="3"/>
  <c r="AB86" i="3" s="1"/>
  <c r="AE85" i="3"/>
  <c r="AC85" i="3"/>
  <c r="AB85" i="3"/>
  <c r="AE84" i="3"/>
  <c r="AC84" i="3"/>
  <c r="AB84" i="3"/>
  <c r="AE83" i="3"/>
  <c r="AC83" i="3"/>
  <c r="AB83" i="3"/>
  <c r="AE82" i="3"/>
  <c r="AC82" i="3"/>
  <c r="AB82" i="3"/>
  <c r="AE81" i="3"/>
  <c r="AC81" i="3"/>
  <c r="AB81" i="3"/>
  <c r="AE80" i="3"/>
  <c r="AC80" i="3"/>
  <c r="AB80" i="3"/>
  <c r="AE79" i="3"/>
  <c r="AC79" i="3"/>
  <c r="AB79" i="3"/>
  <c r="AE78" i="3"/>
  <c r="AC78" i="3"/>
  <c r="AB78" i="3"/>
  <c r="AE77" i="3"/>
  <c r="AC77" i="3"/>
  <c r="AB77" i="3"/>
  <c r="AE75" i="3"/>
  <c r="AC75" i="3"/>
  <c r="AB75" i="3"/>
  <c r="AE74" i="3"/>
  <c r="AC74" i="3"/>
  <c r="AB74" i="3"/>
  <c r="AE73" i="3"/>
  <c r="AC73" i="3"/>
  <c r="AB73" i="3"/>
  <c r="AE72" i="3"/>
  <c r="AC72" i="3"/>
  <c r="AB72" i="3"/>
  <c r="AE71" i="3"/>
  <c r="AC71" i="3"/>
  <c r="AB71" i="3"/>
  <c r="AE70" i="3"/>
  <c r="AC70" i="3"/>
  <c r="AB70" i="3"/>
  <c r="AE69" i="3"/>
  <c r="AC69" i="3"/>
  <c r="AB69" i="3"/>
  <c r="AE68" i="3"/>
  <c r="AC68" i="3"/>
  <c r="AB68" i="3"/>
  <c r="AE67" i="3"/>
  <c r="AC67" i="3"/>
  <c r="AB67" i="3"/>
  <c r="AE66" i="3"/>
  <c r="AC66" i="3"/>
  <c r="AB66" i="3"/>
  <c r="AE65" i="3"/>
  <c r="AC65" i="3"/>
  <c r="AB65" i="3"/>
  <c r="AE64" i="3"/>
  <c r="AC64" i="3"/>
  <c r="AB64" i="3"/>
  <c r="AE63" i="3"/>
  <c r="AC63" i="3"/>
  <c r="AB63" i="3"/>
  <c r="AE62" i="3"/>
  <c r="AC62" i="3"/>
  <c r="X62" i="3"/>
  <c r="AB62" i="3" s="1"/>
  <c r="AE61" i="3"/>
  <c r="AC61" i="3"/>
  <c r="AB61" i="3"/>
  <c r="AE60" i="3"/>
  <c r="AC60" i="3"/>
  <c r="AB60" i="3"/>
  <c r="AE59" i="3"/>
  <c r="AC59" i="3"/>
  <c r="AB59" i="3"/>
  <c r="AE58" i="3"/>
  <c r="AC58" i="3"/>
  <c r="AB58" i="3"/>
  <c r="AE57" i="3"/>
  <c r="AC57" i="3"/>
  <c r="AB57" i="3"/>
  <c r="AE56" i="3"/>
  <c r="AC56" i="3"/>
  <c r="AB56" i="3"/>
  <c r="AE55" i="3"/>
  <c r="AC55" i="3"/>
  <c r="AB55" i="3"/>
  <c r="AG53" i="3"/>
  <c r="AE53" i="3"/>
  <c r="AC53" i="3"/>
  <c r="AB53" i="3"/>
  <c r="AG52" i="3"/>
  <c r="AE52" i="3"/>
  <c r="AC52" i="3"/>
  <c r="AB52" i="3"/>
  <c r="AG51" i="3"/>
  <c r="AE51" i="3"/>
  <c r="AC51" i="3"/>
  <c r="AB51" i="3"/>
  <c r="AG50" i="3"/>
  <c r="AE50" i="3"/>
  <c r="AC50" i="3"/>
  <c r="AB50" i="3"/>
  <c r="AG49" i="3"/>
  <c r="AE49" i="3"/>
  <c r="AC49" i="3"/>
  <c r="AB49" i="3"/>
  <c r="AG48" i="3"/>
  <c r="AE48" i="3"/>
  <c r="AC48" i="3"/>
  <c r="AB48" i="3"/>
  <c r="AG47" i="3"/>
  <c r="AE47" i="3"/>
  <c r="AC47" i="3"/>
  <c r="AB47" i="3"/>
  <c r="AE46" i="3"/>
  <c r="AC46" i="3"/>
  <c r="X46" i="3"/>
  <c r="W46" i="3"/>
  <c r="AE45" i="3"/>
  <c r="AC45" i="3"/>
  <c r="AB45" i="3"/>
  <c r="AE43" i="3"/>
  <c r="AC43" i="3"/>
  <c r="AB43" i="3"/>
  <c r="AE42" i="3"/>
  <c r="AC42" i="3"/>
  <c r="X42" i="3"/>
  <c r="W42" i="3"/>
  <c r="AG41" i="3"/>
  <c r="AE41" i="3"/>
  <c r="AC41" i="3"/>
  <c r="AB41" i="3"/>
  <c r="AG40" i="3"/>
  <c r="AE40" i="3"/>
  <c r="AC40" i="3"/>
  <c r="AB40" i="3"/>
  <c r="AG39" i="3"/>
  <c r="AE39" i="3"/>
  <c r="AC39" i="3"/>
  <c r="AB39" i="3"/>
  <c r="AG38" i="3"/>
  <c r="AE38" i="3"/>
  <c r="AC38" i="3"/>
  <c r="AB38" i="3"/>
  <c r="AG37" i="3"/>
  <c r="AE37" i="3"/>
  <c r="AC37" i="3"/>
  <c r="AB37" i="3"/>
  <c r="AG36" i="3"/>
  <c r="AE36" i="3"/>
  <c r="AC36" i="3"/>
  <c r="AB36" i="3"/>
  <c r="AG35" i="3"/>
  <c r="AE35" i="3"/>
  <c r="AC35" i="3"/>
  <c r="AB35" i="3"/>
  <c r="AG34" i="3"/>
  <c r="AE34" i="3"/>
  <c r="AB34" i="3"/>
  <c r="AG33" i="3"/>
  <c r="AE33" i="3"/>
  <c r="AC33" i="3"/>
  <c r="AB33" i="3"/>
  <c r="AG32" i="3"/>
  <c r="AE32" i="3"/>
  <c r="AC32" i="3"/>
  <c r="AB32" i="3"/>
  <c r="AG31" i="3"/>
  <c r="AE31" i="3"/>
  <c r="AC31" i="3"/>
  <c r="AB31" i="3"/>
  <c r="AG30" i="3"/>
  <c r="AE30" i="3"/>
  <c r="AC30" i="3"/>
  <c r="AB30" i="3"/>
  <c r="AG29" i="3"/>
  <c r="AE29" i="3"/>
  <c r="AC29" i="3"/>
  <c r="AB29" i="3"/>
  <c r="AG28" i="3"/>
  <c r="AE28" i="3"/>
  <c r="AC28" i="3"/>
  <c r="AB28" i="3"/>
  <c r="AG27" i="3"/>
  <c r="AE27" i="3"/>
  <c r="AC27" i="3"/>
  <c r="AB27" i="3"/>
  <c r="AE26" i="3"/>
  <c r="AC26" i="3"/>
  <c r="AB26" i="3"/>
  <c r="AG24" i="3"/>
  <c r="AC24" i="3"/>
  <c r="AB24" i="3"/>
  <c r="AF24" i="3" s="1"/>
  <c r="AG23" i="3"/>
  <c r="AC23" i="3"/>
  <c r="AB23" i="3"/>
  <c r="AF23" i="3" s="1"/>
  <c r="AG22" i="3"/>
  <c r="AC22" i="3"/>
  <c r="AB22" i="3"/>
  <c r="AF22" i="3" s="1"/>
  <c r="AC21" i="3"/>
  <c r="AB21" i="3"/>
  <c r="AF21" i="3" s="1"/>
  <c r="AG20" i="3"/>
  <c r="AC20" i="3"/>
  <c r="AB20" i="3"/>
  <c r="AF20" i="3" s="1"/>
  <c r="AG19" i="3"/>
  <c r="AC19" i="3"/>
  <c r="AB19" i="3"/>
  <c r="AF19" i="3" s="1"/>
  <c r="AG18" i="3"/>
  <c r="AC18" i="3"/>
  <c r="AB18" i="3"/>
  <c r="AF18" i="3" s="1"/>
  <c r="AG17" i="3"/>
  <c r="AC17" i="3"/>
  <c r="AB17" i="3"/>
  <c r="AF17" i="3" s="1"/>
  <c r="AC16" i="3"/>
  <c r="AB16" i="3"/>
  <c r="AG15" i="3"/>
  <c r="AE15" i="3"/>
  <c r="AE25" i="3" s="1"/>
  <c r="AC15" i="3"/>
  <c r="AB15" i="3"/>
  <c r="AG14" i="3"/>
  <c r="AC14" i="3"/>
  <c r="AB14" i="3"/>
  <c r="AC13" i="3"/>
  <c r="X13" i="3"/>
  <c r="W13" i="3"/>
  <c r="AB13" i="3" s="1"/>
  <c r="AF13" i="3" s="1"/>
  <c r="AG12" i="3"/>
  <c r="AC12" i="3"/>
  <c r="AB12" i="3"/>
  <c r="AF12" i="3" s="1"/>
  <c r="AC11" i="3"/>
  <c r="AB11" i="3"/>
  <c r="AF11" i="3" s="1"/>
  <c r="AE10" i="3"/>
  <c r="AC9" i="3"/>
  <c r="AB9" i="3"/>
  <c r="AF9" i="3" s="1"/>
  <c r="AG8" i="3"/>
  <c r="AC8" i="3"/>
  <c r="AB8" i="3"/>
  <c r="AF8" i="3" s="1"/>
  <c r="AG7" i="3"/>
  <c r="AC7" i="3"/>
  <c r="AB7" i="3"/>
  <c r="AF7" i="3" s="1"/>
  <c r="AG6" i="3"/>
  <c r="AC6" i="3"/>
  <c r="AB6" i="3"/>
  <c r="AF6" i="3" s="1"/>
  <c r="AG5" i="3"/>
  <c r="AC5" i="3"/>
  <c r="AB5" i="3"/>
  <c r="AC4" i="3"/>
  <c r="AB4" i="3"/>
  <c r="AF4" i="3" s="1"/>
  <c r="Y41" i="7"/>
  <c r="V41" i="7"/>
  <c r="U41" i="7"/>
  <c r="A41" i="7"/>
  <c r="Y40" i="7"/>
  <c r="V40" i="7"/>
  <c r="U40" i="7"/>
  <c r="A40" i="7"/>
  <c r="Y39" i="7"/>
  <c r="V39" i="7"/>
  <c r="U39" i="7"/>
  <c r="A39" i="7"/>
  <c r="Y38" i="7"/>
  <c r="V38" i="7"/>
  <c r="U38" i="7"/>
  <c r="A38" i="7"/>
  <c r="Y37" i="7"/>
  <c r="V37" i="7"/>
  <c r="U37" i="7"/>
  <c r="A37" i="7"/>
  <c r="Y36" i="7"/>
  <c r="V36" i="7"/>
  <c r="U36" i="7"/>
  <c r="A36" i="7"/>
  <c r="Y35" i="7"/>
  <c r="V35" i="7"/>
  <c r="U35" i="7"/>
  <c r="A35" i="7"/>
  <c r="Y34" i="7"/>
  <c r="V34" i="7"/>
  <c r="U34" i="7"/>
  <c r="A34" i="7"/>
  <c r="Y33" i="7"/>
  <c r="V33" i="7"/>
  <c r="U33" i="7"/>
  <c r="A33" i="7"/>
  <c r="Y32" i="7"/>
  <c r="V32" i="7"/>
  <c r="U32" i="7"/>
  <c r="A32" i="7"/>
  <c r="Y31" i="7"/>
  <c r="V31" i="7"/>
  <c r="U31" i="7"/>
  <c r="A31" i="7"/>
  <c r="Y30" i="7"/>
  <c r="V30" i="7"/>
  <c r="U30" i="7"/>
  <c r="A30" i="7"/>
  <c r="Y29" i="7"/>
  <c r="V29" i="7"/>
  <c r="U29" i="7"/>
  <c r="A29" i="7"/>
  <c r="Y28" i="7"/>
  <c r="V28" i="7"/>
  <c r="U28" i="7"/>
  <c r="A28" i="7"/>
  <c r="Y27" i="7"/>
  <c r="V27" i="7"/>
  <c r="U27" i="7"/>
  <c r="A27" i="7"/>
  <c r="Y26" i="7"/>
  <c r="V26" i="7"/>
  <c r="U26" i="7"/>
  <c r="A26" i="7"/>
  <c r="Y25" i="7"/>
  <c r="V25" i="7"/>
  <c r="U25" i="7"/>
  <c r="A25" i="7"/>
  <c r="Y24" i="7"/>
  <c r="V24" i="7"/>
  <c r="U24" i="7"/>
  <c r="A24" i="7"/>
  <c r="Y23" i="7"/>
  <c r="V23" i="7"/>
  <c r="U23" i="7"/>
  <c r="A23" i="7"/>
  <c r="Y22" i="7"/>
  <c r="V22" i="7"/>
  <c r="U22" i="7"/>
  <c r="A22" i="7"/>
  <c r="Y21" i="7"/>
  <c r="V21" i="7"/>
  <c r="U21" i="7"/>
  <c r="A21" i="7"/>
  <c r="Y20" i="7"/>
  <c r="V20" i="7"/>
  <c r="U20" i="7"/>
  <c r="A20" i="7"/>
  <c r="Y19" i="7"/>
  <c r="V19" i="7"/>
  <c r="U19" i="7"/>
  <c r="A19" i="7"/>
  <c r="Y18" i="7"/>
  <c r="V18" i="7"/>
  <c r="U18" i="7"/>
  <c r="A18" i="7"/>
  <c r="Y17" i="7"/>
  <c r="V17" i="7"/>
  <c r="U17" i="7"/>
  <c r="A17" i="7"/>
  <c r="Y16" i="7"/>
  <c r="V16" i="7"/>
  <c r="U16" i="7"/>
  <c r="A16" i="7"/>
  <c r="Y15" i="7"/>
  <c r="V15" i="7"/>
  <c r="U15" i="7"/>
  <c r="A15" i="7"/>
  <c r="Y14" i="7"/>
  <c r="V14" i="7"/>
  <c r="U14" i="7"/>
  <c r="A14" i="7"/>
  <c r="Y13" i="7"/>
  <c r="V13" i="7"/>
  <c r="U13" i="7"/>
  <c r="A13" i="7"/>
  <c r="Y12" i="7"/>
  <c r="V12" i="7"/>
  <c r="U12" i="7"/>
  <c r="A12" i="7"/>
  <c r="Y11" i="7"/>
  <c r="V11" i="7"/>
  <c r="U11" i="7"/>
  <c r="A11" i="7"/>
  <c r="Y10" i="7"/>
  <c r="V10" i="7"/>
  <c r="U10" i="7"/>
  <c r="A10" i="7"/>
  <c r="Y9" i="7"/>
  <c r="V9" i="7"/>
  <c r="U9" i="7"/>
  <c r="A9" i="7"/>
  <c r="Y8" i="7"/>
  <c r="V8" i="7"/>
  <c r="U8" i="7"/>
  <c r="A8" i="7"/>
  <c r="Y7" i="7"/>
  <c r="V7" i="7"/>
  <c r="U7" i="7"/>
  <c r="A7" i="7"/>
  <c r="Y6" i="7"/>
  <c r="V6" i="7"/>
  <c r="U6" i="7"/>
  <c r="A6" i="7"/>
  <c r="Y5" i="7"/>
  <c r="X5" i="7"/>
  <c r="V5" i="7"/>
  <c r="U5" i="7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Z182" i="10"/>
  <c r="Y182" i="10"/>
  <c r="Z181" i="10"/>
  <c r="Y181" i="10"/>
  <c r="A181" i="10"/>
  <c r="Z180" i="10"/>
  <c r="Y180" i="10"/>
  <c r="A180" i="10"/>
  <c r="Z179" i="10"/>
  <c r="Y179" i="10"/>
  <c r="A179" i="10"/>
  <c r="Z178" i="10"/>
  <c r="Y178" i="10"/>
  <c r="A178" i="10"/>
  <c r="Z177" i="10"/>
  <c r="Y177" i="10"/>
  <c r="A177" i="10"/>
  <c r="Z176" i="10"/>
  <c r="Y176" i="10"/>
  <c r="A176" i="10"/>
  <c r="Z175" i="10"/>
  <c r="Y175" i="10"/>
  <c r="A175" i="10"/>
  <c r="Z174" i="10"/>
  <c r="Y174" i="10"/>
  <c r="A174" i="10"/>
  <c r="Z173" i="10"/>
  <c r="Y173" i="10"/>
  <c r="A173" i="10"/>
  <c r="Z172" i="10"/>
  <c r="Y172" i="10"/>
  <c r="A172" i="10"/>
  <c r="Z171" i="10"/>
  <c r="Y171" i="10"/>
  <c r="A171" i="10"/>
  <c r="Z170" i="10"/>
  <c r="Y170" i="10"/>
  <c r="A170" i="10"/>
  <c r="Z169" i="10"/>
  <c r="Y169" i="10"/>
  <c r="A169" i="10"/>
  <c r="Z168" i="10"/>
  <c r="Y168" i="10"/>
  <c r="A168" i="10"/>
  <c r="Z167" i="10"/>
  <c r="Y167" i="10"/>
  <c r="A167" i="10"/>
  <c r="Z166" i="10"/>
  <c r="Y166" i="10"/>
  <c r="Z165" i="10"/>
  <c r="Y165" i="10"/>
  <c r="Z164" i="10"/>
  <c r="Y164" i="10"/>
  <c r="A164" i="10"/>
  <c r="Z163" i="10"/>
  <c r="Y163" i="10"/>
  <c r="A163" i="10"/>
  <c r="Z162" i="10"/>
  <c r="Y162" i="10"/>
  <c r="A162" i="10"/>
  <c r="Z161" i="10"/>
  <c r="Y161" i="10"/>
  <c r="A161" i="10"/>
  <c r="Z160" i="10"/>
  <c r="Y160" i="10"/>
  <c r="A160" i="10"/>
  <c r="Z159" i="10"/>
  <c r="Y159" i="10"/>
  <c r="A159" i="10"/>
  <c r="Z158" i="10"/>
  <c r="Y158" i="10"/>
  <c r="A158" i="10"/>
  <c r="Z157" i="10"/>
  <c r="Y157" i="10"/>
  <c r="A157" i="10"/>
  <c r="Z156" i="10"/>
  <c r="Y156" i="10"/>
  <c r="A156" i="10"/>
  <c r="Z155" i="10"/>
  <c r="Y155" i="10"/>
  <c r="A155" i="10"/>
  <c r="Z154" i="10"/>
  <c r="Y154" i="10"/>
  <c r="A154" i="10"/>
  <c r="Z153" i="10"/>
  <c r="Y153" i="10"/>
  <c r="A153" i="10"/>
  <c r="Z152" i="10"/>
  <c r="Y152" i="10"/>
  <c r="A152" i="10"/>
  <c r="Z151" i="10"/>
  <c r="Y151" i="10"/>
  <c r="Z150" i="10"/>
  <c r="Y150" i="10"/>
  <c r="Z149" i="10"/>
  <c r="Y149" i="10"/>
  <c r="A149" i="10"/>
  <c r="Z148" i="10"/>
  <c r="Y148" i="10"/>
  <c r="A148" i="10"/>
  <c r="Z147" i="10"/>
  <c r="Y147" i="10"/>
  <c r="A147" i="10"/>
  <c r="Z146" i="10"/>
  <c r="Y146" i="10"/>
  <c r="A146" i="10"/>
  <c r="Z145" i="10"/>
  <c r="Y145" i="10"/>
  <c r="A145" i="10"/>
  <c r="Z144" i="10"/>
  <c r="Y144" i="10"/>
  <c r="A144" i="10"/>
  <c r="Z143" i="10"/>
  <c r="Y143" i="10"/>
  <c r="A143" i="10"/>
  <c r="Z142" i="10"/>
  <c r="Y142" i="10"/>
  <c r="A142" i="10"/>
  <c r="Z141" i="10"/>
  <c r="Y141" i="10"/>
  <c r="A141" i="10"/>
  <c r="Z140" i="10"/>
  <c r="Y140" i="10"/>
  <c r="A140" i="10"/>
  <c r="Z139" i="10"/>
  <c r="Y139" i="10"/>
  <c r="A139" i="10"/>
  <c r="Z138" i="10"/>
  <c r="Y138" i="10"/>
  <c r="A138" i="10"/>
  <c r="Z137" i="10"/>
  <c r="Y137" i="10"/>
  <c r="Z136" i="10"/>
  <c r="Y136" i="10"/>
  <c r="Z135" i="10"/>
  <c r="Y135" i="10"/>
  <c r="A135" i="10"/>
  <c r="Z134" i="10"/>
  <c r="Y134" i="10"/>
  <c r="A134" i="10"/>
  <c r="Z133" i="10"/>
  <c r="Y133" i="10"/>
  <c r="A133" i="10"/>
  <c r="Z132" i="10"/>
  <c r="Y132" i="10"/>
  <c r="A132" i="10"/>
  <c r="Z131" i="10"/>
  <c r="Y131" i="10"/>
  <c r="A131" i="10"/>
  <c r="Z130" i="10"/>
  <c r="Y130" i="10"/>
  <c r="A130" i="10"/>
  <c r="Z129" i="10"/>
  <c r="Y129" i="10"/>
  <c r="A129" i="10"/>
  <c r="Z128" i="10"/>
  <c r="Y128" i="10"/>
  <c r="A128" i="10"/>
  <c r="Z127" i="10"/>
  <c r="Y127" i="10"/>
  <c r="A127" i="10"/>
  <c r="Z126" i="10"/>
  <c r="Y126" i="10"/>
  <c r="A126" i="10"/>
  <c r="Z125" i="10"/>
  <c r="Y125" i="10"/>
  <c r="A125" i="10"/>
  <c r="Z124" i="10"/>
  <c r="Y124" i="10"/>
  <c r="A124" i="10"/>
  <c r="Z123" i="10"/>
  <c r="Y123" i="10"/>
  <c r="A123" i="10"/>
  <c r="Z122" i="10"/>
  <c r="Y122" i="10"/>
  <c r="Z121" i="10"/>
  <c r="Y121" i="10"/>
  <c r="Z120" i="10"/>
  <c r="Y120" i="10"/>
  <c r="A120" i="10"/>
  <c r="Z119" i="10"/>
  <c r="Y119" i="10"/>
  <c r="A119" i="10"/>
  <c r="Z118" i="10"/>
  <c r="Y118" i="10"/>
  <c r="A118" i="10"/>
  <c r="Z117" i="10"/>
  <c r="Y117" i="10"/>
  <c r="A117" i="10"/>
  <c r="Z116" i="10"/>
  <c r="Y116" i="10"/>
  <c r="A116" i="10"/>
  <c r="Z115" i="10"/>
  <c r="Y115" i="10"/>
  <c r="A115" i="10"/>
  <c r="Z114" i="10"/>
  <c r="Y114" i="10"/>
  <c r="A114" i="10"/>
  <c r="Z113" i="10"/>
  <c r="Y113" i="10"/>
  <c r="Z112" i="10"/>
  <c r="Y112" i="10"/>
  <c r="Z111" i="10"/>
  <c r="Y111" i="10"/>
  <c r="A111" i="10"/>
  <c r="Z110" i="10"/>
  <c r="Y110" i="10"/>
  <c r="A110" i="10"/>
  <c r="Z109" i="10"/>
  <c r="Y109" i="10"/>
  <c r="A109" i="10"/>
  <c r="Z108" i="10"/>
  <c r="Y108" i="10"/>
  <c r="A108" i="10"/>
  <c r="Z107" i="10"/>
  <c r="Y107" i="10"/>
  <c r="A107" i="10"/>
  <c r="Z106" i="10"/>
  <c r="Y106" i="10"/>
  <c r="Z105" i="10"/>
  <c r="Y105" i="10"/>
  <c r="Z104" i="10"/>
  <c r="Y104" i="10"/>
  <c r="W104" i="10"/>
  <c r="V104" i="10"/>
  <c r="A104" i="10"/>
  <c r="Z103" i="10"/>
  <c r="Y103" i="10"/>
  <c r="W103" i="10"/>
  <c r="V103" i="10"/>
  <c r="A103" i="10"/>
  <c r="Z102" i="10"/>
  <c r="Y102" i="10"/>
  <c r="W102" i="10"/>
  <c r="V102" i="10"/>
  <c r="A102" i="10"/>
  <c r="Z101" i="10"/>
  <c r="Y101" i="10"/>
  <c r="W101" i="10"/>
  <c r="V101" i="10"/>
  <c r="A101" i="10"/>
  <c r="Z100" i="10"/>
  <c r="Y100" i="10"/>
  <c r="W100" i="10"/>
  <c r="V100" i="10"/>
  <c r="A100" i="10"/>
  <c r="Z99" i="10"/>
  <c r="Y99" i="10"/>
  <c r="W99" i="10"/>
  <c r="V99" i="10"/>
  <c r="A99" i="10"/>
  <c r="Z98" i="10"/>
  <c r="Y98" i="10"/>
  <c r="W98" i="10"/>
  <c r="V98" i="10"/>
  <c r="A98" i="10"/>
  <c r="Z97" i="10"/>
  <c r="Y97" i="10"/>
  <c r="W97" i="10"/>
  <c r="V97" i="10"/>
  <c r="A97" i="10"/>
  <c r="Z96" i="10"/>
  <c r="Y96" i="10"/>
  <c r="W96" i="10"/>
  <c r="V96" i="10"/>
  <c r="A96" i="10"/>
  <c r="Z95" i="10"/>
  <c r="Y95" i="10"/>
  <c r="W95" i="10"/>
  <c r="V95" i="10"/>
  <c r="A95" i="10"/>
  <c r="Z94" i="10"/>
  <c r="Y94" i="10"/>
  <c r="W94" i="10"/>
  <c r="V94" i="10"/>
  <c r="A94" i="10"/>
  <c r="Z93" i="10"/>
  <c r="Y93" i="10"/>
  <c r="W93" i="10"/>
  <c r="V93" i="10"/>
  <c r="Z92" i="10"/>
  <c r="Y92" i="10"/>
  <c r="Z91" i="10"/>
  <c r="Y91" i="10"/>
  <c r="W91" i="10"/>
  <c r="V91" i="10"/>
  <c r="A91" i="10"/>
  <c r="Z90" i="10"/>
  <c r="Y90" i="10"/>
  <c r="W90" i="10"/>
  <c r="V90" i="10"/>
  <c r="A90" i="10"/>
  <c r="Z89" i="10"/>
  <c r="Y89" i="10"/>
  <c r="W89" i="10"/>
  <c r="V89" i="10"/>
  <c r="A89" i="10"/>
  <c r="Z88" i="10"/>
  <c r="Y88" i="10"/>
  <c r="W88" i="10"/>
  <c r="V88" i="10"/>
  <c r="A88" i="10"/>
  <c r="Z87" i="10"/>
  <c r="Y87" i="10"/>
  <c r="W87" i="10"/>
  <c r="V87" i="10"/>
  <c r="A87" i="10"/>
  <c r="Z86" i="10"/>
  <c r="Y86" i="10"/>
  <c r="W86" i="10"/>
  <c r="V86" i="10"/>
  <c r="A86" i="10"/>
  <c r="Z85" i="10"/>
  <c r="Y85" i="10"/>
  <c r="W85" i="10"/>
  <c r="V85" i="10"/>
  <c r="A85" i="10"/>
  <c r="Z84" i="10"/>
  <c r="Y84" i="10"/>
  <c r="W84" i="10"/>
  <c r="V84" i="10"/>
  <c r="A84" i="10"/>
  <c r="Z83" i="10"/>
  <c r="Y83" i="10"/>
  <c r="W83" i="10"/>
  <c r="V83" i="10"/>
  <c r="A83" i="10"/>
  <c r="Z82" i="10"/>
  <c r="Y82" i="10"/>
  <c r="W82" i="10"/>
  <c r="V82" i="10"/>
  <c r="A82" i="10"/>
  <c r="Z81" i="10"/>
  <c r="Y81" i="10"/>
  <c r="W81" i="10"/>
  <c r="V81" i="10"/>
  <c r="A81" i="10"/>
  <c r="Z80" i="10"/>
  <c r="Y80" i="10"/>
  <c r="W80" i="10"/>
  <c r="V80" i="10"/>
  <c r="A80" i="10"/>
  <c r="Z79" i="10"/>
  <c r="Y79" i="10"/>
  <c r="W79" i="10"/>
  <c r="V79" i="10"/>
  <c r="A79" i="10"/>
  <c r="Z78" i="10"/>
  <c r="Y78" i="10"/>
  <c r="W78" i="10"/>
  <c r="V78" i="10"/>
  <c r="A78" i="10"/>
  <c r="Z77" i="10"/>
  <c r="Y77" i="10"/>
  <c r="W77" i="10"/>
  <c r="V77" i="10"/>
  <c r="A77" i="10"/>
  <c r="Z76" i="10"/>
  <c r="Y76" i="10"/>
  <c r="W76" i="10"/>
  <c r="V76" i="10"/>
  <c r="Z75" i="10"/>
  <c r="Y75" i="10"/>
  <c r="Z74" i="10"/>
  <c r="Y74" i="10"/>
  <c r="W74" i="10"/>
  <c r="V74" i="10"/>
  <c r="Z73" i="10"/>
  <c r="Y73" i="10"/>
  <c r="W73" i="10"/>
  <c r="V73" i="10"/>
  <c r="Z72" i="10"/>
  <c r="Y72" i="10"/>
  <c r="W72" i="10"/>
  <c r="V72" i="10"/>
  <c r="Z71" i="10"/>
  <c r="Y71" i="10"/>
  <c r="W71" i="10"/>
  <c r="V71" i="10"/>
  <c r="Z70" i="10"/>
  <c r="Y70" i="10"/>
  <c r="W70" i="10"/>
  <c r="V70" i="10"/>
  <c r="A70" i="10"/>
  <c r="Z69" i="10"/>
  <c r="Y69" i="10"/>
  <c r="W69" i="10"/>
  <c r="V69" i="10"/>
  <c r="A69" i="10"/>
  <c r="Z68" i="10"/>
  <c r="Y68" i="10"/>
  <c r="W68" i="10"/>
  <c r="V68" i="10"/>
  <c r="A68" i="10"/>
  <c r="Z67" i="10"/>
  <c r="Y67" i="10"/>
  <c r="W67" i="10"/>
  <c r="V67" i="10"/>
  <c r="A67" i="10"/>
  <c r="Z66" i="10"/>
  <c r="Y66" i="10"/>
  <c r="W66" i="10"/>
  <c r="V66" i="10"/>
  <c r="A66" i="10"/>
  <c r="Z65" i="10"/>
  <c r="Y65" i="10"/>
  <c r="W65" i="10"/>
  <c r="V65" i="10"/>
  <c r="A65" i="10"/>
  <c r="Z64" i="10"/>
  <c r="Y64" i="10"/>
  <c r="W64" i="10"/>
  <c r="V64" i="10"/>
  <c r="A64" i="10"/>
  <c r="Z63" i="10"/>
  <c r="Y63" i="10"/>
  <c r="W63" i="10"/>
  <c r="V63" i="10"/>
  <c r="A63" i="10"/>
  <c r="Z62" i="10"/>
  <c r="Y62" i="10"/>
  <c r="W62" i="10"/>
  <c r="V62" i="10"/>
  <c r="A62" i="10"/>
  <c r="Z61" i="10"/>
  <c r="Y61" i="10"/>
  <c r="W61" i="10"/>
  <c r="V61" i="10"/>
  <c r="Z60" i="10"/>
  <c r="Y60" i="10"/>
  <c r="W60" i="10"/>
  <c r="V60" i="10"/>
  <c r="A60" i="10"/>
  <c r="Z59" i="10"/>
  <c r="Y59" i="10"/>
  <c r="W59" i="10"/>
  <c r="V59" i="10"/>
  <c r="Z58" i="10"/>
  <c r="Y58" i="10"/>
  <c r="W58" i="10"/>
  <c r="V58" i="10"/>
  <c r="Z57" i="10"/>
  <c r="Y57" i="10"/>
  <c r="Z56" i="10"/>
  <c r="Y56" i="10"/>
  <c r="W56" i="10"/>
  <c r="V56" i="10"/>
  <c r="Z55" i="10"/>
  <c r="Y55" i="10"/>
  <c r="W55" i="10"/>
  <c r="V55" i="10"/>
  <c r="Z54" i="10"/>
  <c r="Y54" i="10"/>
  <c r="W54" i="10"/>
  <c r="V54" i="10"/>
  <c r="A54" i="10"/>
  <c r="Z53" i="10"/>
  <c r="Y53" i="10"/>
  <c r="W53" i="10"/>
  <c r="V53" i="10"/>
  <c r="A53" i="10"/>
  <c r="Z52" i="10"/>
  <c r="Y52" i="10"/>
  <c r="W52" i="10"/>
  <c r="V52" i="10"/>
  <c r="A52" i="10"/>
  <c r="Z51" i="10"/>
  <c r="Y51" i="10"/>
  <c r="W51" i="10"/>
  <c r="V51" i="10"/>
  <c r="A51" i="10"/>
  <c r="Z50" i="10"/>
  <c r="Y50" i="10"/>
  <c r="W50" i="10"/>
  <c r="V50" i="10"/>
  <c r="A50" i="10"/>
  <c r="Z49" i="10"/>
  <c r="Y49" i="10"/>
  <c r="W49" i="10"/>
  <c r="V49" i="10"/>
  <c r="A49" i="10"/>
  <c r="Z48" i="10"/>
  <c r="Y48" i="10"/>
  <c r="W48" i="10"/>
  <c r="V48" i="10"/>
  <c r="A48" i="10"/>
  <c r="Z47" i="10"/>
  <c r="Y47" i="10"/>
  <c r="W47" i="10"/>
  <c r="V47" i="10"/>
  <c r="A47" i="10"/>
  <c r="Z46" i="10"/>
  <c r="Y46" i="10"/>
  <c r="W46" i="10"/>
  <c r="V46" i="10"/>
  <c r="A46" i="10"/>
  <c r="Z45" i="10"/>
  <c r="Y45" i="10"/>
  <c r="W45" i="10"/>
  <c r="V45" i="10"/>
  <c r="A45" i="10"/>
  <c r="Z44" i="10"/>
  <c r="Y44" i="10"/>
  <c r="W44" i="10"/>
  <c r="V44" i="10"/>
  <c r="A44" i="10"/>
  <c r="Z43" i="10"/>
  <c r="Y43" i="10"/>
  <c r="W43" i="10"/>
  <c r="V43" i="10"/>
  <c r="A43" i="10"/>
  <c r="Z42" i="10"/>
  <c r="Y42" i="10"/>
  <c r="W42" i="10"/>
  <c r="V42" i="10"/>
  <c r="A42" i="10"/>
  <c r="Z41" i="10"/>
  <c r="Y41" i="10"/>
  <c r="W41" i="10"/>
  <c r="V41" i="10"/>
  <c r="Z40" i="10"/>
  <c r="Y40" i="10"/>
  <c r="Z39" i="10"/>
  <c r="Y39" i="10"/>
  <c r="W39" i="10"/>
  <c r="V39" i="10"/>
  <c r="A39" i="10"/>
  <c r="Z38" i="10"/>
  <c r="Y38" i="10"/>
  <c r="W38" i="10"/>
  <c r="V38" i="10"/>
  <c r="A38" i="10"/>
  <c r="Z37" i="10"/>
  <c r="Y37" i="10"/>
  <c r="W37" i="10"/>
  <c r="V37" i="10"/>
  <c r="Z36" i="10"/>
  <c r="Y36" i="10"/>
  <c r="W36" i="10"/>
  <c r="V36" i="10"/>
  <c r="Z35" i="10"/>
  <c r="Y35" i="10"/>
  <c r="W35" i="10"/>
  <c r="V35" i="10"/>
  <c r="Z34" i="10"/>
  <c r="Y34" i="10"/>
  <c r="W34" i="10"/>
  <c r="V34" i="10"/>
  <c r="A34" i="10"/>
  <c r="Z33" i="10"/>
  <c r="Y33" i="10"/>
  <c r="W33" i="10"/>
  <c r="V33" i="10"/>
  <c r="A33" i="10"/>
  <c r="Z32" i="10"/>
  <c r="Y32" i="10"/>
  <c r="W32" i="10"/>
  <c r="V32" i="10"/>
  <c r="A32" i="10"/>
  <c r="Z31" i="10"/>
  <c r="Y31" i="10"/>
  <c r="W31" i="10"/>
  <c r="V31" i="10"/>
  <c r="A31" i="10"/>
  <c r="Z30" i="10"/>
  <c r="Y30" i="10"/>
  <c r="W30" i="10"/>
  <c r="V30" i="10"/>
  <c r="A30" i="10"/>
  <c r="Z29" i="10"/>
  <c r="Y29" i="10"/>
  <c r="W29" i="10"/>
  <c r="V29" i="10"/>
  <c r="Z28" i="10"/>
  <c r="Y28" i="10"/>
  <c r="W28" i="10"/>
  <c r="V28" i="10"/>
  <c r="Z27" i="10"/>
  <c r="Z26" i="10"/>
  <c r="Y26" i="10"/>
  <c r="W26" i="10"/>
  <c r="V26" i="10"/>
  <c r="A26" i="10"/>
  <c r="Z25" i="10"/>
  <c r="Y25" i="10"/>
  <c r="W25" i="10"/>
  <c r="V25" i="10"/>
  <c r="A25" i="10"/>
  <c r="Z24" i="10"/>
  <c r="Y24" i="10"/>
  <c r="W24" i="10"/>
  <c r="V24" i="10"/>
  <c r="A24" i="10"/>
  <c r="Z23" i="10"/>
  <c r="Y23" i="10"/>
  <c r="W23" i="10"/>
  <c r="V23" i="10"/>
  <c r="A23" i="10"/>
  <c r="Z22" i="10"/>
  <c r="Y22" i="10"/>
  <c r="W22" i="10"/>
  <c r="V22" i="10"/>
  <c r="A22" i="10"/>
  <c r="Z21" i="10"/>
  <c r="Y21" i="10"/>
  <c r="W21" i="10"/>
  <c r="V21" i="10"/>
  <c r="A21" i="10"/>
  <c r="Z20" i="10"/>
  <c r="Y20" i="10"/>
  <c r="W20" i="10"/>
  <c r="V20" i="10"/>
  <c r="A20" i="10"/>
  <c r="Z19" i="10"/>
  <c r="Y19" i="10"/>
  <c r="W19" i="10"/>
  <c r="V19" i="10"/>
  <c r="A19" i="10"/>
  <c r="Z18" i="10"/>
  <c r="Y18" i="10"/>
  <c r="W18" i="10"/>
  <c r="V18" i="10"/>
  <c r="A18" i="10"/>
  <c r="Z17" i="10"/>
  <c r="Y17" i="10"/>
  <c r="W17" i="10"/>
  <c r="V17" i="10"/>
  <c r="A17" i="10"/>
  <c r="Z16" i="10"/>
  <c r="Y16" i="10"/>
  <c r="W16" i="10"/>
  <c r="V16" i="10"/>
  <c r="A16" i="10"/>
  <c r="Z15" i="10"/>
  <c r="Y15" i="10"/>
  <c r="W15" i="10"/>
  <c r="V15" i="10"/>
  <c r="Z14" i="10"/>
  <c r="Z13" i="10"/>
  <c r="Y13" i="10"/>
  <c r="W13" i="10"/>
  <c r="V13" i="10"/>
  <c r="A13" i="10"/>
  <c r="Z12" i="10"/>
  <c r="Y12" i="10"/>
  <c r="W12" i="10"/>
  <c r="V12" i="10"/>
  <c r="A12" i="10"/>
  <c r="Z11" i="10"/>
  <c r="Y11" i="10"/>
  <c r="W11" i="10"/>
  <c r="V11" i="10"/>
  <c r="A11" i="10"/>
  <c r="Z10" i="10"/>
  <c r="Y10" i="10"/>
  <c r="W10" i="10"/>
  <c r="V10" i="10"/>
  <c r="A10" i="10"/>
  <c r="Z9" i="10"/>
  <c r="Y9" i="10"/>
  <c r="W9" i="10"/>
  <c r="V9" i="10"/>
  <c r="A9" i="10"/>
  <c r="Z8" i="10"/>
  <c r="Y8" i="10"/>
  <c r="W8" i="10"/>
  <c r="V8" i="10"/>
  <c r="A8" i="10"/>
  <c r="Z7" i="10"/>
  <c r="Y7" i="10"/>
  <c r="W7" i="10"/>
  <c r="V7" i="10"/>
  <c r="A7" i="10"/>
  <c r="Z6" i="10"/>
  <c r="Y6" i="10"/>
  <c r="W6" i="10"/>
  <c r="V6" i="10"/>
  <c r="A6" i="10"/>
  <c r="Z5" i="10"/>
  <c r="Y5" i="10"/>
  <c r="W5" i="10"/>
  <c r="V5" i="10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Y183" i="2"/>
  <c r="X183" i="2"/>
  <c r="A183" i="2"/>
  <c r="Y182" i="2"/>
  <c r="X182" i="2"/>
  <c r="A182" i="2"/>
  <c r="Y181" i="2"/>
  <c r="X181" i="2"/>
  <c r="A181" i="2"/>
  <c r="Y180" i="2"/>
  <c r="X180" i="2"/>
  <c r="A180" i="2"/>
  <c r="Y179" i="2"/>
  <c r="AB179" i="2" s="1"/>
  <c r="X179" i="2"/>
  <c r="A179" i="2"/>
  <c r="AA178" i="2"/>
  <c r="Y178" i="2"/>
  <c r="AB178" i="2" s="1"/>
  <c r="A178" i="2"/>
  <c r="AA177" i="2"/>
  <c r="Y177" i="2"/>
  <c r="X177" i="2"/>
  <c r="AB177" i="2" s="1"/>
  <c r="AA176" i="2"/>
  <c r="Y176" i="2"/>
  <c r="AB175" i="2"/>
  <c r="AA175" i="2"/>
  <c r="AA174" i="2"/>
  <c r="Y174" i="2"/>
  <c r="X174" i="2"/>
  <c r="AB174" i="2" s="1"/>
  <c r="A174" i="2"/>
  <c r="AA173" i="2"/>
  <c r="Y173" i="2"/>
  <c r="X173" i="2"/>
  <c r="AB173" i="2" s="1"/>
  <c r="S173" i="2"/>
  <c r="A173" i="2"/>
  <c r="AB172" i="2"/>
  <c r="AA172" i="2"/>
  <c r="Y172" i="2"/>
  <c r="X172" i="2"/>
  <c r="A172" i="2"/>
  <c r="AB171" i="2"/>
  <c r="AA171" i="2"/>
  <c r="Y171" i="2"/>
  <c r="X171" i="2"/>
  <c r="S171" i="2"/>
  <c r="AA170" i="2"/>
  <c r="Y170" i="2"/>
  <c r="AA169" i="2"/>
  <c r="Y169" i="2"/>
  <c r="X169" i="2"/>
  <c r="AB169" i="2" s="1"/>
  <c r="A169" i="2"/>
  <c r="AA168" i="2"/>
  <c r="Y168" i="2"/>
  <c r="X168" i="2"/>
  <c r="AB168" i="2" s="1"/>
  <c r="A168" i="2"/>
  <c r="AB167" i="2"/>
  <c r="AA167" i="2"/>
  <c r="Y167" i="2"/>
  <c r="X167" i="2"/>
  <c r="A167" i="2"/>
  <c r="AB166" i="2"/>
  <c r="AA166" i="2"/>
  <c r="Y166" i="2"/>
  <c r="X166" i="2"/>
  <c r="A166" i="2"/>
  <c r="AA165" i="2"/>
  <c r="Y165" i="2"/>
  <c r="X165" i="2"/>
  <c r="AB165" i="2" s="1"/>
  <c r="AA164" i="2"/>
  <c r="Y164" i="2"/>
  <c r="X164" i="2"/>
  <c r="AA163" i="2"/>
  <c r="Y163" i="2"/>
  <c r="X163" i="2"/>
  <c r="AB163" i="2" s="1"/>
  <c r="A163" i="2"/>
  <c r="AA162" i="2"/>
  <c r="Y162" i="2"/>
  <c r="X162" i="2"/>
  <c r="AB162" i="2" s="1"/>
  <c r="A162" i="2"/>
  <c r="AB161" i="2"/>
  <c r="AA161" i="2"/>
  <c r="Y161" i="2"/>
  <c r="X161" i="2"/>
  <c r="A161" i="2"/>
  <c r="AB160" i="2"/>
  <c r="AA160" i="2"/>
  <c r="Y160" i="2"/>
  <c r="X160" i="2"/>
  <c r="A160" i="2"/>
  <c r="AB159" i="2"/>
  <c r="AA159" i="2"/>
  <c r="Y159" i="2"/>
  <c r="X159" i="2"/>
  <c r="A159" i="2"/>
  <c r="AA158" i="2"/>
  <c r="Y158" i="2"/>
  <c r="X158" i="2"/>
  <c r="AB158" i="2" s="1"/>
  <c r="S158" i="2"/>
  <c r="A158" i="2"/>
  <c r="AB157" i="2"/>
  <c r="AA157" i="2"/>
  <c r="Y157" i="2"/>
  <c r="X157" i="2"/>
  <c r="AB156" i="2"/>
  <c r="Y156" i="2"/>
  <c r="AA155" i="2"/>
  <c r="Y155" i="2"/>
  <c r="AB154" i="2"/>
  <c r="Y154" i="2"/>
  <c r="X154" i="2"/>
  <c r="AA153" i="2"/>
  <c r="Y153" i="2"/>
  <c r="X153" i="2"/>
  <c r="AB153" i="2" s="1"/>
  <c r="A153" i="2"/>
  <c r="AA152" i="2"/>
  <c r="Y152" i="2"/>
  <c r="X152" i="2"/>
  <c r="X155" i="2" s="1"/>
  <c r="A152" i="2"/>
  <c r="AB151" i="2"/>
  <c r="AA151" i="2"/>
  <c r="Y151" i="2"/>
  <c r="X151" i="2"/>
  <c r="AB150" i="2"/>
  <c r="AA150" i="2"/>
  <c r="Y150" i="2"/>
  <c r="X150" i="2"/>
  <c r="S150" i="2"/>
  <c r="AA149" i="2"/>
  <c r="Y149" i="2"/>
  <c r="AB148" i="2"/>
  <c r="Y148" i="2"/>
  <c r="X148" i="2"/>
  <c r="AB147" i="2"/>
  <c r="Y147" i="2"/>
  <c r="AA146" i="2"/>
  <c r="Y146" i="2"/>
  <c r="X146" i="2"/>
  <c r="X149" i="2" s="1"/>
  <c r="W146" i="2"/>
  <c r="S146" i="2"/>
  <c r="Q146" i="2"/>
  <c r="A146" i="2"/>
  <c r="AB145" i="2"/>
  <c r="AA145" i="2"/>
  <c r="Y145" i="2"/>
  <c r="X145" i="2"/>
  <c r="AB144" i="2"/>
  <c r="AA144" i="2"/>
  <c r="Y144" i="2"/>
  <c r="X144" i="2"/>
  <c r="V144" i="2"/>
  <c r="AB143" i="2"/>
  <c r="Y143" i="2"/>
  <c r="X143" i="2"/>
  <c r="A143" i="2"/>
  <c r="AB142" i="2"/>
  <c r="AA142" i="2"/>
  <c r="Y142" i="2"/>
  <c r="X142" i="2"/>
  <c r="A142" i="2"/>
  <c r="AB141" i="2"/>
  <c r="AA141" i="2"/>
  <c r="Y141" i="2"/>
  <c r="X141" i="2"/>
  <c r="S141" i="2"/>
  <c r="AD140" i="2"/>
  <c r="AB140" i="2"/>
  <c r="AA140" i="2"/>
  <c r="Y140" i="2"/>
  <c r="X140" i="2"/>
  <c r="AB139" i="2"/>
  <c r="Y139" i="2"/>
  <c r="X139" i="2"/>
  <c r="AB138" i="2"/>
  <c r="AA138" i="2"/>
  <c r="Y138" i="2"/>
  <c r="X138" i="2"/>
  <c r="A138" i="2"/>
  <c r="AB137" i="2"/>
  <c r="AA137" i="2"/>
  <c r="Y137" i="2"/>
  <c r="X137" i="2"/>
  <c r="A137" i="2"/>
  <c r="AB136" i="2"/>
  <c r="AA136" i="2"/>
  <c r="Y136" i="2"/>
  <c r="X136" i="2"/>
  <c r="AB135" i="2"/>
  <c r="AA135" i="2"/>
  <c r="Y135" i="2"/>
  <c r="X135" i="2"/>
  <c r="AB134" i="2"/>
  <c r="AA134" i="2"/>
  <c r="Y134" i="2"/>
  <c r="X134" i="2"/>
  <c r="AB133" i="2"/>
  <c r="AA133" i="2"/>
  <c r="Y133" i="2"/>
  <c r="X133" i="2"/>
  <c r="A133" i="2"/>
  <c r="AB132" i="2"/>
  <c r="AA132" i="2"/>
  <c r="Y132" i="2"/>
  <c r="X132" i="2"/>
  <c r="AC131" i="2"/>
  <c r="AB131" i="2"/>
  <c r="AA131" i="2"/>
  <c r="Y131" i="2"/>
  <c r="X131" i="2"/>
  <c r="V131" i="2"/>
  <c r="AB130" i="2"/>
  <c r="AA130" i="2"/>
  <c r="Y130" i="2"/>
  <c r="X130" i="2"/>
  <c r="AB129" i="2"/>
  <c r="AA129" i="2"/>
  <c r="Y129" i="2"/>
  <c r="X129" i="2"/>
  <c r="S129" i="2"/>
  <c r="AB128" i="2"/>
  <c r="AA128" i="2"/>
  <c r="Y128" i="2"/>
  <c r="X128" i="2"/>
  <c r="AB127" i="2"/>
  <c r="AA127" i="2"/>
  <c r="Y127" i="2"/>
  <c r="X127" i="2"/>
  <c r="AB126" i="2"/>
  <c r="AA126" i="2"/>
  <c r="Y126" i="2"/>
  <c r="X126" i="2"/>
  <c r="AB125" i="2"/>
  <c r="AA125" i="2"/>
  <c r="Y125" i="2"/>
  <c r="X125" i="2"/>
  <c r="W125" i="2"/>
  <c r="AC124" i="2"/>
  <c r="AB124" i="2"/>
  <c r="AA124" i="2"/>
  <c r="Y124" i="2"/>
  <c r="X124" i="2"/>
  <c r="Y122" i="2"/>
  <c r="X122" i="2"/>
  <c r="A122" i="2"/>
  <c r="AB121" i="2"/>
  <c r="AA121" i="2"/>
  <c r="Y121" i="2"/>
  <c r="X121" i="2"/>
  <c r="A121" i="2"/>
  <c r="AB120" i="2"/>
  <c r="AA120" i="2"/>
  <c r="Y120" i="2"/>
  <c r="X120" i="2"/>
  <c r="AB119" i="2"/>
  <c r="AA119" i="2"/>
  <c r="Y119" i="2"/>
  <c r="X119" i="2"/>
  <c r="AB118" i="2"/>
  <c r="AA118" i="2"/>
  <c r="Y118" i="2"/>
  <c r="X118" i="2"/>
  <c r="AB117" i="2"/>
  <c r="AA117" i="2"/>
  <c r="Y117" i="2"/>
  <c r="X117" i="2"/>
  <c r="U117" i="2"/>
  <c r="S117" i="2"/>
  <c r="AB116" i="2"/>
  <c r="AA116" i="2"/>
  <c r="Y116" i="2"/>
  <c r="X116" i="2"/>
  <c r="S116" i="2"/>
  <c r="A116" i="2"/>
  <c r="AC115" i="2"/>
  <c r="AB115" i="2"/>
  <c r="AA115" i="2"/>
  <c r="Y115" i="2"/>
  <c r="X115" i="2"/>
  <c r="A115" i="2"/>
  <c r="AC114" i="2"/>
  <c r="AB114" i="2"/>
  <c r="AA114" i="2"/>
  <c r="Y114" i="2"/>
  <c r="X114" i="2"/>
  <c r="AC113" i="2"/>
  <c r="AB113" i="2"/>
  <c r="AA113" i="2"/>
  <c r="Y113" i="2"/>
  <c r="X113" i="2"/>
  <c r="R113" i="2"/>
  <c r="Q113" i="2"/>
  <c r="S113" i="2" s="1"/>
  <c r="T113" i="2" s="1"/>
  <c r="AB112" i="2"/>
  <c r="AA112" i="2"/>
  <c r="Y112" i="2"/>
  <c r="X112" i="2"/>
  <c r="A112" i="2"/>
  <c r="AB111" i="2"/>
  <c r="AA111" i="2"/>
  <c r="Y111" i="2"/>
  <c r="X111" i="2"/>
  <c r="A111" i="2"/>
  <c r="AB110" i="2"/>
  <c r="AA110" i="2"/>
  <c r="Y110" i="2"/>
  <c r="X110" i="2"/>
  <c r="A110" i="2"/>
  <c r="AB109" i="2"/>
  <c r="AA109" i="2"/>
  <c r="Y109" i="2"/>
  <c r="X109" i="2"/>
  <c r="S109" i="2"/>
  <c r="A109" i="2"/>
  <c r="AB108" i="2"/>
  <c r="AA108" i="2"/>
  <c r="Y108" i="2"/>
  <c r="X108" i="2"/>
  <c r="A108" i="2"/>
  <c r="AB107" i="2"/>
  <c r="AA107" i="2"/>
  <c r="Y107" i="2"/>
  <c r="X107" i="2"/>
  <c r="AB106" i="2"/>
  <c r="AA106" i="2"/>
  <c r="Y106" i="2"/>
  <c r="X106" i="2"/>
  <c r="S106" i="2"/>
  <c r="Q106" i="2"/>
  <c r="AC105" i="2"/>
  <c r="AB105" i="2"/>
  <c r="AA105" i="2"/>
  <c r="Y105" i="2"/>
  <c r="X105" i="2"/>
  <c r="R105" i="2"/>
  <c r="AB104" i="2"/>
  <c r="AA104" i="2"/>
  <c r="Y104" i="2"/>
  <c r="X104" i="2"/>
  <c r="A104" i="2"/>
  <c r="AB103" i="2"/>
  <c r="AA103" i="2"/>
  <c r="Y103" i="2"/>
  <c r="X103" i="2"/>
  <c r="A103" i="2"/>
  <c r="AB102" i="2"/>
  <c r="AA102" i="2"/>
  <c r="Y102" i="2"/>
  <c r="X102" i="2"/>
  <c r="A102" i="2"/>
  <c r="AB101" i="2"/>
  <c r="AA101" i="2"/>
  <c r="Y101" i="2"/>
  <c r="X101" i="2"/>
  <c r="A101" i="2"/>
  <c r="AB100" i="2"/>
  <c r="AA100" i="2"/>
  <c r="Y100" i="2"/>
  <c r="X100" i="2"/>
  <c r="A100" i="2"/>
  <c r="AB99" i="2"/>
  <c r="AA99" i="2"/>
  <c r="Y99" i="2"/>
  <c r="X99" i="2"/>
  <c r="A99" i="2"/>
  <c r="AB98" i="2"/>
  <c r="AA98" i="2"/>
  <c r="Y98" i="2"/>
  <c r="X98" i="2"/>
  <c r="A98" i="2"/>
  <c r="AB97" i="2"/>
  <c r="AA97" i="2"/>
  <c r="Y97" i="2"/>
  <c r="X97" i="2"/>
  <c r="AC96" i="2"/>
  <c r="AB96" i="2"/>
  <c r="AA96" i="2"/>
  <c r="Y96" i="2"/>
  <c r="X96" i="2"/>
  <c r="R96" i="2"/>
  <c r="AB95" i="2"/>
  <c r="AA95" i="2"/>
  <c r="Y95" i="2"/>
  <c r="X95" i="2"/>
  <c r="T95" i="2"/>
  <c r="A95" i="2"/>
  <c r="AB94" i="2"/>
  <c r="AA94" i="2"/>
  <c r="Y94" i="2"/>
  <c r="X94" i="2"/>
  <c r="A94" i="2"/>
  <c r="AB93" i="2"/>
  <c r="AA93" i="2"/>
  <c r="Y93" i="2"/>
  <c r="X93" i="2"/>
  <c r="A93" i="2"/>
  <c r="AB92" i="2"/>
  <c r="AA92" i="2"/>
  <c r="Y92" i="2"/>
  <c r="X92" i="2"/>
  <c r="A92" i="2"/>
  <c r="AB91" i="2"/>
  <c r="AA91" i="2"/>
  <c r="Y91" i="2"/>
  <c r="X91" i="2"/>
  <c r="A91" i="2"/>
  <c r="AB90" i="2"/>
  <c r="AA90" i="2"/>
  <c r="Y90" i="2"/>
  <c r="X90" i="2"/>
  <c r="AC89" i="2"/>
  <c r="AB89" i="2"/>
  <c r="AA89" i="2"/>
  <c r="Y89" i="2"/>
  <c r="X89" i="2"/>
  <c r="R89" i="2"/>
  <c r="AB88" i="2"/>
  <c r="AA88" i="2"/>
  <c r="Y88" i="2"/>
  <c r="X88" i="2"/>
  <c r="A88" i="2"/>
  <c r="AB87" i="2"/>
  <c r="AA87" i="2"/>
  <c r="Y87" i="2"/>
  <c r="X87" i="2"/>
  <c r="S87" i="2"/>
  <c r="A87" i="2"/>
  <c r="AB86" i="2"/>
  <c r="AA86" i="2"/>
  <c r="Y86" i="2"/>
  <c r="X86" i="2"/>
  <c r="A86" i="2"/>
  <c r="AB85" i="2"/>
  <c r="AA85" i="2"/>
  <c r="Y85" i="2"/>
  <c r="X85" i="2"/>
  <c r="A85" i="2"/>
  <c r="AB84" i="2"/>
  <c r="AA84" i="2"/>
  <c r="Y84" i="2"/>
  <c r="X84" i="2"/>
  <c r="A84" i="2"/>
  <c r="AB83" i="2"/>
  <c r="AA83" i="2"/>
  <c r="Y83" i="2"/>
  <c r="X83" i="2"/>
  <c r="AC82" i="2"/>
  <c r="AB82" i="2"/>
  <c r="AA82" i="2"/>
  <c r="Y82" i="2"/>
  <c r="X82" i="2"/>
  <c r="R82" i="2"/>
  <c r="AB81" i="2"/>
  <c r="AA81" i="2"/>
  <c r="Y81" i="2"/>
  <c r="X81" i="2"/>
  <c r="A81" i="2"/>
  <c r="AB80" i="2"/>
  <c r="AA80" i="2"/>
  <c r="Y80" i="2"/>
  <c r="X80" i="2"/>
  <c r="A80" i="2"/>
  <c r="AB79" i="2"/>
  <c r="AA79" i="2"/>
  <c r="Y79" i="2"/>
  <c r="X79" i="2"/>
  <c r="A79" i="2"/>
  <c r="AB78" i="2"/>
  <c r="AA78" i="2"/>
  <c r="Y78" i="2"/>
  <c r="X78" i="2"/>
  <c r="A78" i="2"/>
  <c r="AB77" i="2"/>
  <c r="AA77" i="2"/>
  <c r="Y77" i="2"/>
  <c r="X77" i="2"/>
  <c r="A77" i="2"/>
  <c r="AB76" i="2"/>
  <c r="AA76" i="2"/>
  <c r="Y76" i="2"/>
  <c r="X76" i="2"/>
  <c r="S76" i="2"/>
  <c r="AC75" i="2"/>
  <c r="AB75" i="2"/>
  <c r="AA75" i="2"/>
  <c r="Y75" i="2"/>
  <c r="X75" i="2"/>
  <c r="R75" i="2"/>
  <c r="AC74" i="2"/>
  <c r="AB74" i="2"/>
  <c r="AA74" i="2"/>
  <c r="Y74" i="2"/>
  <c r="X74" i="2"/>
  <c r="T74" i="2"/>
  <c r="A74" i="2"/>
  <c r="AC73" i="2"/>
  <c r="AB73" i="2"/>
  <c r="AA73" i="2"/>
  <c r="Y73" i="2"/>
  <c r="X73" i="2"/>
  <c r="A73" i="2"/>
  <c r="AC72" i="2"/>
  <c r="AB72" i="2"/>
  <c r="AA72" i="2"/>
  <c r="Y72" i="2"/>
  <c r="X72" i="2"/>
  <c r="S72" i="2"/>
  <c r="AC71" i="2"/>
  <c r="AB71" i="2"/>
  <c r="AA71" i="2"/>
  <c r="Y71" i="2"/>
  <c r="X71" i="2"/>
  <c r="R71" i="2"/>
  <c r="AC70" i="2"/>
  <c r="AB70" i="2"/>
  <c r="AA70" i="2"/>
  <c r="Y70" i="2"/>
  <c r="X70" i="2"/>
  <c r="A70" i="2"/>
  <c r="AC69" i="2"/>
  <c r="AB69" i="2"/>
  <c r="AA69" i="2"/>
  <c r="Y69" i="2"/>
  <c r="X69" i="2"/>
  <c r="A69" i="2"/>
  <c r="AC68" i="2"/>
  <c r="AB68" i="2"/>
  <c r="AA68" i="2"/>
  <c r="Y68" i="2"/>
  <c r="X68" i="2"/>
  <c r="A68" i="2"/>
  <c r="AC67" i="2"/>
  <c r="AB67" i="2"/>
  <c r="AA67" i="2"/>
  <c r="Y67" i="2"/>
  <c r="X67" i="2"/>
  <c r="A67" i="2"/>
  <c r="AC66" i="2"/>
  <c r="AB66" i="2"/>
  <c r="AA66" i="2"/>
  <c r="Y66" i="2"/>
  <c r="X66" i="2"/>
  <c r="A66" i="2"/>
  <c r="AC65" i="2"/>
  <c r="AB65" i="2"/>
  <c r="AA65" i="2"/>
  <c r="Y65" i="2"/>
  <c r="X65" i="2"/>
  <c r="AC64" i="2"/>
  <c r="AB64" i="2"/>
  <c r="AA64" i="2"/>
  <c r="Y64" i="2"/>
  <c r="X64" i="2"/>
  <c r="R64" i="2"/>
  <c r="AC63" i="2"/>
  <c r="AB63" i="2"/>
  <c r="AA63" i="2"/>
  <c r="Y63" i="2"/>
  <c r="X63" i="2"/>
  <c r="A63" i="2"/>
  <c r="AC62" i="2"/>
  <c r="AB62" i="2"/>
  <c r="AA62" i="2"/>
  <c r="Y62" i="2"/>
  <c r="X62" i="2"/>
  <c r="S62" i="2"/>
  <c r="Q62" i="2"/>
  <c r="AC61" i="2"/>
  <c r="AB61" i="2"/>
  <c r="AA61" i="2"/>
  <c r="Y61" i="2"/>
  <c r="X61" i="2"/>
  <c r="AC60" i="2"/>
  <c r="AB60" i="2"/>
  <c r="AA60" i="2"/>
  <c r="Y60" i="2"/>
  <c r="X60" i="2"/>
  <c r="T60" i="2"/>
  <c r="A60" i="2"/>
  <c r="AC59" i="2"/>
  <c r="AB59" i="2"/>
  <c r="AA59" i="2"/>
  <c r="Y59" i="2"/>
  <c r="X59" i="2"/>
  <c r="S59" i="2"/>
  <c r="A59" i="2"/>
  <c r="AB58" i="2"/>
  <c r="Y58" i="2"/>
  <c r="X58" i="2"/>
  <c r="AB57" i="2"/>
  <c r="AA57" i="2"/>
  <c r="Y57" i="2"/>
  <c r="X57" i="2"/>
  <c r="AC56" i="2"/>
  <c r="AB56" i="2"/>
  <c r="AA56" i="2"/>
  <c r="Y56" i="2"/>
  <c r="X56" i="2"/>
  <c r="A56" i="2"/>
  <c r="AC55" i="2"/>
  <c r="AB55" i="2"/>
  <c r="AA55" i="2"/>
  <c r="Y55" i="2"/>
  <c r="X55" i="2"/>
  <c r="S55" i="2"/>
  <c r="Q55" i="2"/>
  <c r="A55" i="2"/>
  <c r="AC54" i="2"/>
  <c r="AB54" i="2"/>
  <c r="AA54" i="2"/>
  <c r="Y54" i="2"/>
  <c r="X54" i="2"/>
  <c r="A54" i="2"/>
  <c r="AC53" i="2"/>
  <c r="AB53" i="2"/>
  <c r="AA53" i="2"/>
  <c r="Y53" i="2"/>
  <c r="X53" i="2"/>
  <c r="A53" i="2"/>
  <c r="AC52" i="2"/>
  <c r="AB52" i="2"/>
  <c r="AA52" i="2"/>
  <c r="Y52" i="2"/>
  <c r="X52" i="2"/>
  <c r="AB51" i="2"/>
  <c r="AA51" i="2"/>
  <c r="Y51" i="2"/>
  <c r="X51" i="2"/>
  <c r="AC50" i="2"/>
  <c r="AB50" i="2"/>
  <c r="AA50" i="2"/>
  <c r="Y50" i="2"/>
  <c r="X50" i="2"/>
  <c r="A50" i="2"/>
  <c r="AC49" i="2"/>
  <c r="AB49" i="2"/>
  <c r="AA49" i="2"/>
  <c r="Y49" i="2"/>
  <c r="X49" i="2"/>
  <c r="A49" i="2"/>
  <c r="AC48" i="2"/>
  <c r="AB48" i="2"/>
  <c r="AA48" i="2"/>
  <c r="Y48" i="2"/>
  <c r="X48" i="2"/>
  <c r="S48" i="2"/>
  <c r="AB47" i="2"/>
  <c r="AA47" i="2"/>
  <c r="Y47" i="2"/>
  <c r="X47" i="2"/>
  <c r="AB46" i="2"/>
  <c r="AA46" i="2"/>
  <c r="Y46" i="2"/>
  <c r="X46" i="2"/>
  <c r="T46" i="2"/>
  <c r="A46" i="2"/>
  <c r="AB45" i="2"/>
  <c r="AA45" i="2"/>
  <c r="Y45" i="2"/>
  <c r="X45" i="2"/>
  <c r="A45" i="2"/>
  <c r="AB44" i="2"/>
  <c r="AA44" i="2"/>
  <c r="Y44" i="2"/>
  <c r="X44" i="2"/>
  <c r="A44" i="2"/>
  <c r="AB43" i="2"/>
  <c r="AA43" i="2"/>
  <c r="Y43" i="2"/>
  <c r="X43" i="2"/>
  <c r="A43" i="2"/>
  <c r="AB42" i="2"/>
  <c r="AA42" i="2"/>
  <c r="Y42" i="2"/>
  <c r="X42" i="2"/>
  <c r="S42" i="2"/>
  <c r="AB41" i="2"/>
  <c r="AA41" i="2"/>
  <c r="Y41" i="2"/>
  <c r="X41" i="2"/>
  <c r="AB40" i="2"/>
  <c r="AA40" i="2"/>
  <c r="Y40" i="2"/>
  <c r="X40" i="2"/>
  <c r="A40" i="2"/>
  <c r="AB39" i="2"/>
  <c r="AA39" i="2"/>
  <c r="Y39" i="2"/>
  <c r="X39" i="2"/>
  <c r="A39" i="2"/>
  <c r="AB38" i="2"/>
  <c r="AA38" i="2"/>
  <c r="Y38" i="2"/>
  <c r="X38" i="2"/>
  <c r="A38" i="2"/>
  <c r="AB37" i="2"/>
  <c r="AA37" i="2"/>
  <c r="Y37" i="2"/>
  <c r="X37" i="2"/>
  <c r="A37" i="2"/>
  <c r="AB36" i="2"/>
  <c r="AA36" i="2"/>
  <c r="Y36" i="2"/>
  <c r="X36" i="2"/>
  <c r="A36" i="2"/>
  <c r="AB35" i="2"/>
  <c r="AA35" i="2"/>
  <c r="Y35" i="2"/>
  <c r="X35" i="2"/>
  <c r="A35" i="2"/>
  <c r="AB34" i="2"/>
  <c r="AA34" i="2"/>
  <c r="Y34" i="2"/>
  <c r="X34" i="2"/>
  <c r="S34" i="2"/>
  <c r="Q34" i="2"/>
  <c r="A34" i="2"/>
  <c r="AB33" i="2"/>
  <c r="AA33" i="2"/>
  <c r="Y33" i="2"/>
  <c r="X33" i="2"/>
  <c r="AB32" i="2"/>
  <c r="AA32" i="2"/>
  <c r="Y32" i="2"/>
  <c r="X32" i="2"/>
  <c r="AB31" i="2"/>
  <c r="AA31" i="2"/>
  <c r="Y31" i="2"/>
  <c r="X31" i="2"/>
  <c r="A31" i="2"/>
  <c r="AB30" i="2"/>
  <c r="AA30" i="2"/>
  <c r="Y30" i="2"/>
  <c r="X30" i="2"/>
  <c r="A30" i="2"/>
  <c r="AB29" i="2"/>
  <c r="AA29" i="2"/>
  <c r="Y29" i="2"/>
  <c r="X29" i="2"/>
  <c r="S29" i="2"/>
  <c r="A29" i="2"/>
  <c r="AB28" i="2"/>
  <c r="AA28" i="2"/>
  <c r="Y28" i="2"/>
  <c r="X28" i="2"/>
  <c r="A28" i="2"/>
  <c r="AB27" i="2"/>
  <c r="AA27" i="2"/>
  <c r="Y27" i="2"/>
  <c r="X27" i="2"/>
  <c r="AB26" i="2"/>
  <c r="Y26" i="2"/>
  <c r="X26" i="2"/>
  <c r="AB25" i="2"/>
  <c r="AA25" i="2"/>
  <c r="Y25" i="2"/>
  <c r="X25" i="2"/>
  <c r="AB24" i="2"/>
  <c r="AA24" i="2"/>
  <c r="Y24" i="2"/>
  <c r="X24" i="2"/>
  <c r="AB23" i="2"/>
  <c r="AA23" i="2"/>
  <c r="Y23" i="2"/>
  <c r="X23" i="2"/>
  <c r="AB22" i="2"/>
  <c r="AA22" i="2"/>
  <c r="Y22" i="2"/>
  <c r="X22" i="2"/>
  <c r="T22" i="2"/>
  <c r="S22" i="2"/>
  <c r="R22" i="2"/>
  <c r="AB21" i="2"/>
  <c r="Y21" i="2"/>
  <c r="X21" i="2"/>
  <c r="S21" i="2"/>
  <c r="AB20" i="2"/>
  <c r="AA20" i="2"/>
  <c r="Y20" i="2"/>
  <c r="X20" i="2"/>
  <c r="AB19" i="2"/>
  <c r="AA19" i="2"/>
  <c r="Y19" i="2"/>
  <c r="X19" i="2"/>
  <c r="A19" i="2"/>
  <c r="AC18" i="2"/>
  <c r="AB18" i="2"/>
  <c r="AA18" i="2"/>
  <c r="Y18" i="2"/>
  <c r="X18" i="2"/>
  <c r="W18" i="2"/>
  <c r="S18" i="2"/>
  <c r="R18" i="2"/>
  <c r="AB17" i="2"/>
  <c r="AA17" i="2"/>
  <c r="Y17" i="2"/>
  <c r="X17" i="2"/>
  <c r="AB16" i="2"/>
  <c r="AA16" i="2"/>
  <c r="Y16" i="2"/>
  <c r="X16" i="2"/>
  <c r="T16" i="2"/>
  <c r="AB15" i="2"/>
  <c r="AA15" i="2"/>
  <c r="Y15" i="2"/>
  <c r="X15" i="2"/>
  <c r="AB14" i="2"/>
  <c r="AA14" i="2"/>
  <c r="Y14" i="2"/>
  <c r="X14" i="2"/>
  <c r="AB13" i="2"/>
  <c r="AA13" i="2"/>
  <c r="Y13" i="2"/>
  <c r="X13" i="2"/>
  <c r="AB12" i="2"/>
  <c r="AA12" i="2"/>
  <c r="Y12" i="2"/>
  <c r="X12" i="2"/>
  <c r="AB11" i="2"/>
  <c r="AA11" i="2"/>
  <c r="Y11" i="2"/>
  <c r="X11" i="2"/>
  <c r="R11" i="2"/>
  <c r="AB10" i="2"/>
  <c r="AA10" i="2"/>
  <c r="Y10" i="2"/>
  <c r="X10" i="2"/>
  <c r="R10" i="2"/>
  <c r="AB9" i="2"/>
  <c r="AA9" i="2"/>
  <c r="Y9" i="2"/>
  <c r="X9" i="2"/>
  <c r="AB8" i="2"/>
  <c r="AA8" i="2"/>
  <c r="Y8" i="2"/>
  <c r="X8" i="2"/>
  <c r="AB7" i="2"/>
  <c r="AA7" i="2"/>
  <c r="Y7" i="2"/>
  <c r="X7" i="2"/>
  <c r="AC6" i="2"/>
  <c r="AB6" i="2"/>
  <c r="AA6" i="2"/>
  <c r="Y6" i="2"/>
  <c r="X6" i="2"/>
  <c r="S6" i="2"/>
  <c r="AB5" i="2"/>
  <c r="AA5" i="2"/>
  <c r="Y5" i="2"/>
  <c r="X5" i="2"/>
  <c r="AN19" i="6"/>
  <c r="AM19" i="6"/>
  <c r="AK19" i="6"/>
  <c r="AJ19" i="6"/>
  <c r="AN18" i="6"/>
  <c r="AM18" i="6"/>
  <c r="AK18" i="6"/>
  <c r="AJ18" i="6"/>
  <c r="AN17" i="6"/>
  <c r="AM17" i="6"/>
  <c r="AK17" i="6"/>
  <c r="AJ17" i="6"/>
  <c r="AN16" i="6"/>
  <c r="AM16" i="6"/>
  <c r="AK16" i="6"/>
  <c r="AJ16" i="6"/>
  <c r="AN15" i="6"/>
  <c r="AM15" i="6"/>
  <c r="AK15" i="6"/>
  <c r="AJ15" i="6"/>
  <c r="AN14" i="6"/>
  <c r="AM14" i="6"/>
  <c r="AK14" i="6"/>
  <c r="AJ14" i="6"/>
  <c r="AN13" i="6"/>
  <c r="AM13" i="6"/>
  <c r="AK13" i="6"/>
  <c r="AJ13" i="6"/>
  <c r="AN12" i="6"/>
  <c r="AM12" i="6"/>
  <c r="AK12" i="6"/>
  <c r="AJ12" i="6"/>
  <c r="AI12" i="6"/>
  <c r="AN11" i="6"/>
  <c r="AM11" i="6"/>
  <c r="AK11" i="6"/>
  <c r="AJ11" i="6"/>
  <c r="AG11" i="6"/>
  <c r="AN10" i="6"/>
  <c r="AM10" i="6"/>
  <c r="AK10" i="6"/>
  <c r="AJ10" i="6"/>
  <c r="AC10" i="6"/>
  <c r="AN9" i="6"/>
  <c r="AM9" i="6"/>
  <c r="AK9" i="6"/>
  <c r="AJ9" i="6"/>
  <c r="AG9" i="6"/>
  <c r="Y9" i="6"/>
  <c r="AO7" i="6"/>
  <c r="AN7" i="6"/>
  <c r="AM7" i="6"/>
  <c r="AK7" i="6"/>
  <c r="AJ7" i="6"/>
  <c r="O7" i="6"/>
  <c r="M7" i="6"/>
  <c r="AO6" i="6"/>
  <c r="AN6" i="6"/>
  <c r="AM6" i="6"/>
  <c r="AK6" i="6"/>
  <c r="AJ6" i="6"/>
  <c r="O6" i="6"/>
  <c r="M6" i="6"/>
  <c r="AO5" i="6"/>
  <c r="AN5" i="6"/>
  <c r="AM5" i="6"/>
  <c r="AK5" i="6"/>
  <c r="AJ5" i="6"/>
  <c r="O5" i="6"/>
  <c r="M5" i="6"/>
  <c r="AL35" i="4"/>
  <c r="AK35" i="4"/>
  <c r="AI35" i="4"/>
  <c r="AH35" i="4"/>
  <c r="AM34" i="4"/>
  <c r="AL34" i="4"/>
  <c r="AK34" i="4"/>
  <c r="AI34" i="4"/>
  <c r="AH34" i="4"/>
  <c r="AE34" i="4"/>
  <c r="AM33" i="4"/>
  <c r="AL33" i="4"/>
  <c r="AK33" i="4"/>
  <c r="AI33" i="4"/>
  <c r="AH33" i="4"/>
  <c r="AE33" i="4"/>
  <c r="AM32" i="4"/>
  <c r="AL32" i="4"/>
  <c r="AK32" i="4"/>
  <c r="AI32" i="4"/>
  <c r="AH32" i="4"/>
  <c r="AE32" i="4"/>
  <c r="AM31" i="4"/>
  <c r="AL31" i="4"/>
  <c r="AK31" i="4"/>
  <c r="AI31" i="4"/>
  <c r="AH31" i="4"/>
  <c r="AE31" i="4"/>
  <c r="AM30" i="4"/>
  <c r="AL30" i="4"/>
  <c r="AK30" i="4"/>
  <c r="AI30" i="4"/>
  <c r="AH30" i="4"/>
  <c r="AE30" i="4"/>
  <c r="AM29" i="4"/>
  <c r="AL29" i="4"/>
  <c r="AK29" i="4"/>
  <c r="AI29" i="4"/>
  <c r="AH29" i="4"/>
  <c r="AE29" i="4"/>
  <c r="AM28" i="4"/>
  <c r="AL28" i="4"/>
  <c r="AK28" i="4"/>
  <c r="AI28" i="4"/>
  <c r="AH28" i="4"/>
  <c r="AM27" i="4"/>
  <c r="AL27" i="4"/>
  <c r="AK27" i="4"/>
  <c r="AI27" i="4"/>
  <c r="AH27" i="4"/>
  <c r="AM26" i="4"/>
  <c r="AL26" i="4"/>
  <c r="AK26" i="4"/>
  <c r="AI26" i="4"/>
  <c r="AH26" i="4"/>
  <c r="AM25" i="4"/>
  <c r="AL25" i="4"/>
  <c r="AK25" i="4"/>
  <c r="AI25" i="4"/>
  <c r="AH25" i="4"/>
  <c r="AM24" i="4"/>
  <c r="AL24" i="4"/>
  <c r="AK24" i="4"/>
  <c r="AI24" i="4"/>
  <c r="AH24" i="4"/>
  <c r="AM23" i="4"/>
  <c r="AL23" i="4"/>
  <c r="AK23" i="4"/>
  <c r="AI23" i="4"/>
  <c r="AH23" i="4"/>
  <c r="AE23" i="4"/>
  <c r="AM22" i="4"/>
  <c r="AL22" i="4"/>
  <c r="AK22" i="4"/>
  <c r="AI22" i="4"/>
  <c r="AH22" i="4"/>
  <c r="AM21" i="4"/>
  <c r="AL21" i="4"/>
  <c r="AK21" i="4"/>
  <c r="AI21" i="4"/>
  <c r="AH21" i="4"/>
  <c r="AM20" i="4"/>
  <c r="AL20" i="4"/>
  <c r="AK20" i="4"/>
  <c r="AI20" i="4"/>
  <c r="AH20" i="4"/>
  <c r="AM19" i="4"/>
  <c r="AL19" i="4"/>
  <c r="AK19" i="4"/>
  <c r="AI19" i="4"/>
  <c r="AH19" i="4"/>
  <c r="AE19" i="4"/>
  <c r="AL18" i="4"/>
  <c r="AK18" i="4"/>
  <c r="AI18" i="4"/>
  <c r="AH18" i="4"/>
  <c r="AL17" i="4"/>
  <c r="AK17" i="4"/>
  <c r="AI17" i="4"/>
  <c r="AH17" i="4"/>
  <c r="AL16" i="4"/>
  <c r="AK16" i="4"/>
  <c r="AI16" i="4"/>
  <c r="AH16" i="4"/>
  <c r="AL15" i="4"/>
  <c r="AK15" i="4"/>
  <c r="AI15" i="4"/>
  <c r="AH15" i="4"/>
  <c r="AL14" i="4"/>
  <c r="AK14" i="4"/>
  <c r="AI14" i="4"/>
  <c r="AH14" i="4"/>
  <c r="AL13" i="4"/>
  <c r="AK13" i="4"/>
  <c r="AI13" i="4"/>
  <c r="AH13" i="4"/>
  <c r="AM12" i="4"/>
  <c r="AL12" i="4"/>
  <c r="AK12" i="4"/>
  <c r="AI12" i="4"/>
  <c r="AH12" i="4"/>
  <c r="AG12" i="4"/>
  <c r="AB12" i="4"/>
  <c r="AA12" i="4"/>
  <c r="AM11" i="4"/>
  <c r="AL11" i="4"/>
  <c r="AK11" i="4"/>
  <c r="AI11" i="4"/>
  <c r="AH11" i="4"/>
  <c r="AB11" i="4"/>
  <c r="AA11" i="4"/>
  <c r="AM10" i="4"/>
  <c r="AL10" i="4"/>
  <c r="AK10" i="4"/>
  <c r="AI10" i="4"/>
  <c r="AH10" i="4"/>
  <c r="AE10" i="4"/>
  <c r="AB10" i="4"/>
  <c r="AA10" i="4"/>
  <c r="AM9" i="4"/>
  <c r="AL9" i="4"/>
  <c r="AK9" i="4"/>
  <c r="AI9" i="4"/>
  <c r="AH9" i="4"/>
  <c r="AE9" i="4"/>
  <c r="AB9" i="4"/>
  <c r="AA9" i="4"/>
  <c r="AL8" i="4"/>
  <c r="AK8" i="4"/>
  <c r="AI8" i="4"/>
  <c r="AH8" i="4"/>
  <c r="AM7" i="4"/>
  <c r="AL7" i="4"/>
  <c r="AK7" i="4"/>
  <c r="AI7" i="4"/>
  <c r="AH7" i="4"/>
  <c r="AB7" i="4"/>
  <c r="AA7" i="4"/>
  <c r="AM6" i="4"/>
  <c r="AL6" i="4"/>
  <c r="AK6" i="4"/>
  <c r="AI6" i="4"/>
  <c r="AH6" i="4"/>
  <c r="AG6" i="4"/>
  <c r="AB6" i="4"/>
  <c r="AA6" i="4"/>
  <c r="AM5" i="4"/>
  <c r="AL5" i="4"/>
  <c r="AK5" i="4"/>
  <c r="AI5" i="4"/>
  <c r="AH5" i="4"/>
  <c r="AB5" i="4"/>
  <c r="AA5" i="4"/>
  <c r="AL4" i="4"/>
  <c r="AK4" i="4"/>
  <c r="AI4" i="4"/>
  <c r="AH4" i="4"/>
  <c r="AG4" i="4"/>
  <c r="N121" i="1"/>
  <c r="K121" i="1"/>
  <c r="J121" i="1"/>
  <c r="N120" i="1"/>
  <c r="K120" i="1"/>
  <c r="J120" i="1"/>
  <c r="N119" i="1"/>
  <c r="K119" i="1"/>
  <c r="J119" i="1"/>
  <c r="N118" i="1"/>
  <c r="K118" i="1"/>
  <c r="J118" i="1"/>
  <c r="N117" i="1"/>
  <c r="K117" i="1"/>
  <c r="J117" i="1"/>
  <c r="N116" i="1"/>
  <c r="K116" i="1"/>
  <c r="J116" i="1"/>
  <c r="N115" i="1"/>
  <c r="K115" i="1"/>
  <c r="J115" i="1"/>
  <c r="N114" i="1"/>
  <c r="K114" i="1"/>
  <c r="J114" i="1"/>
  <c r="N113" i="1"/>
  <c r="K113" i="1"/>
  <c r="J113" i="1"/>
  <c r="N112" i="1"/>
  <c r="N111" i="1"/>
  <c r="K111" i="1"/>
  <c r="J111" i="1"/>
  <c r="N110" i="1"/>
  <c r="K110" i="1"/>
  <c r="J110" i="1"/>
  <c r="N109" i="1"/>
  <c r="K109" i="1"/>
  <c r="N108" i="1"/>
  <c r="K108" i="1"/>
  <c r="N107" i="1"/>
  <c r="K107" i="1"/>
  <c r="N106" i="1"/>
  <c r="K106" i="1"/>
  <c r="N105" i="1"/>
  <c r="K105" i="1"/>
  <c r="N103" i="1"/>
  <c r="K103" i="1"/>
  <c r="J103" i="1"/>
  <c r="N102" i="1"/>
  <c r="K102" i="1"/>
  <c r="J102" i="1"/>
  <c r="N101" i="1"/>
  <c r="K101" i="1"/>
  <c r="J101" i="1"/>
  <c r="N100" i="1"/>
  <c r="K100" i="1"/>
  <c r="J100" i="1"/>
  <c r="N99" i="1"/>
  <c r="K99" i="1"/>
  <c r="J99" i="1"/>
  <c r="N98" i="1"/>
  <c r="K98" i="1"/>
  <c r="J98" i="1"/>
  <c r="N97" i="1"/>
  <c r="K97" i="1"/>
  <c r="N96" i="1"/>
  <c r="K96" i="1"/>
  <c r="N95" i="1"/>
  <c r="K95" i="1"/>
  <c r="N94" i="1"/>
  <c r="K94" i="1"/>
  <c r="N93" i="1"/>
  <c r="K93" i="1"/>
  <c r="N92" i="1"/>
  <c r="K92" i="1"/>
  <c r="N91" i="1"/>
  <c r="K91" i="1"/>
  <c r="N90" i="1"/>
  <c r="K90" i="1"/>
  <c r="N89" i="1"/>
  <c r="K89" i="1"/>
  <c r="N88" i="1"/>
  <c r="K88" i="1"/>
  <c r="N87" i="1"/>
  <c r="K87" i="1"/>
  <c r="N86" i="1"/>
  <c r="K86" i="1"/>
  <c r="J86" i="1"/>
  <c r="N85" i="1"/>
  <c r="K85" i="1"/>
  <c r="J85" i="1"/>
  <c r="N84" i="1"/>
  <c r="K84" i="1"/>
  <c r="J84" i="1"/>
  <c r="N83" i="1"/>
  <c r="K83" i="1"/>
  <c r="J83" i="1"/>
  <c r="N82" i="1"/>
  <c r="K82" i="1"/>
  <c r="J82" i="1"/>
  <c r="N81" i="1"/>
  <c r="K81" i="1"/>
  <c r="J81" i="1"/>
  <c r="N80" i="1"/>
  <c r="K80" i="1"/>
  <c r="J80" i="1"/>
  <c r="N79" i="1"/>
  <c r="K79" i="1"/>
  <c r="J79" i="1"/>
  <c r="N78" i="1"/>
  <c r="K78" i="1"/>
  <c r="N77" i="1"/>
  <c r="K77" i="1"/>
  <c r="N76" i="1"/>
  <c r="K76" i="1"/>
  <c r="N75" i="1"/>
  <c r="K75" i="1"/>
  <c r="N74" i="1"/>
  <c r="K74" i="1"/>
  <c r="N73" i="1"/>
  <c r="K73" i="1"/>
  <c r="N72" i="1"/>
  <c r="K72" i="1"/>
  <c r="N71" i="1"/>
  <c r="K71" i="1"/>
  <c r="N70" i="1"/>
  <c r="K70" i="1"/>
  <c r="N69" i="1"/>
  <c r="N68" i="1"/>
  <c r="K68" i="1"/>
  <c r="N67" i="1"/>
  <c r="K67" i="1"/>
  <c r="N66" i="1"/>
  <c r="K66" i="1"/>
  <c r="N65" i="1"/>
  <c r="K65" i="1"/>
  <c r="N64" i="1"/>
  <c r="N63" i="1"/>
  <c r="K63" i="1"/>
  <c r="N60" i="1"/>
  <c r="J60" i="1"/>
  <c r="N59" i="1"/>
  <c r="J59" i="1"/>
  <c r="A59" i="1"/>
  <c r="N58" i="1"/>
  <c r="J58" i="1"/>
  <c r="A58" i="1"/>
  <c r="N57" i="1"/>
  <c r="J57" i="1"/>
  <c r="A57" i="1"/>
  <c r="N56" i="1"/>
  <c r="J56" i="1"/>
  <c r="A56" i="1"/>
  <c r="N55" i="1"/>
  <c r="J55" i="1"/>
  <c r="A55" i="1"/>
  <c r="N54" i="1"/>
  <c r="J54" i="1"/>
  <c r="A54" i="1"/>
  <c r="N53" i="1"/>
  <c r="J53" i="1"/>
  <c r="A53" i="1"/>
  <c r="N52" i="1"/>
  <c r="J52" i="1"/>
  <c r="A52" i="1"/>
  <c r="N51" i="1"/>
  <c r="J51" i="1"/>
  <c r="A51" i="1"/>
  <c r="N50" i="1"/>
  <c r="J50" i="1"/>
  <c r="A50" i="1"/>
  <c r="N49" i="1"/>
  <c r="J49" i="1"/>
  <c r="A49" i="1"/>
  <c r="N48" i="1"/>
  <c r="J48" i="1"/>
  <c r="A48" i="1"/>
  <c r="N47" i="1"/>
  <c r="J47" i="1"/>
  <c r="A47" i="1"/>
  <c r="N46" i="1"/>
  <c r="J46" i="1"/>
  <c r="A46" i="1"/>
  <c r="N45" i="1"/>
  <c r="A45" i="1"/>
  <c r="N44" i="1"/>
  <c r="J44" i="1"/>
  <c r="A44" i="1"/>
  <c r="N43" i="1"/>
  <c r="J43" i="1"/>
  <c r="A43" i="1"/>
  <c r="N42" i="1"/>
  <c r="J42" i="1"/>
  <c r="A42" i="1"/>
  <c r="N41" i="1"/>
  <c r="J41" i="1"/>
  <c r="A41" i="1"/>
  <c r="N40" i="1"/>
  <c r="J40" i="1"/>
  <c r="A40" i="1"/>
  <c r="N39" i="1"/>
  <c r="J39" i="1"/>
  <c r="A39" i="1"/>
  <c r="N38" i="1"/>
  <c r="K38" i="1"/>
  <c r="J38" i="1"/>
  <c r="A38" i="1"/>
  <c r="N37" i="1"/>
  <c r="K37" i="1"/>
  <c r="J37" i="1"/>
  <c r="A37" i="1"/>
  <c r="N36" i="1"/>
  <c r="K36" i="1"/>
  <c r="J36" i="1"/>
  <c r="A36" i="1"/>
  <c r="N35" i="1"/>
  <c r="K35" i="1"/>
  <c r="J35" i="1"/>
  <c r="A35" i="1"/>
  <c r="N34" i="1"/>
  <c r="K34" i="1"/>
  <c r="J34" i="1"/>
  <c r="A34" i="1"/>
  <c r="N33" i="1"/>
  <c r="K33" i="1"/>
  <c r="J33" i="1"/>
  <c r="A33" i="1"/>
  <c r="N32" i="1"/>
  <c r="K32" i="1"/>
  <c r="J32" i="1"/>
  <c r="A32" i="1"/>
  <c r="N31" i="1"/>
  <c r="K31" i="1"/>
  <c r="J31" i="1"/>
  <c r="A31" i="1"/>
  <c r="N30" i="1"/>
  <c r="K30" i="1"/>
  <c r="J30" i="1"/>
  <c r="A30" i="1"/>
  <c r="N29" i="1"/>
  <c r="K29" i="1"/>
  <c r="J29" i="1"/>
  <c r="A29" i="1"/>
  <c r="N28" i="1"/>
  <c r="K28" i="1"/>
  <c r="J28" i="1"/>
  <c r="A28" i="1"/>
  <c r="N27" i="1"/>
  <c r="K27" i="1"/>
  <c r="J27" i="1"/>
  <c r="A27" i="1"/>
  <c r="N26" i="1"/>
  <c r="K26" i="1"/>
  <c r="J26" i="1"/>
  <c r="A26" i="1"/>
  <c r="N25" i="1"/>
  <c r="A25" i="1"/>
  <c r="N24" i="1"/>
  <c r="N22" i="1"/>
  <c r="N21" i="1"/>
  <c r="K21" i="1"/>
  <c r="J21" i="1"/>
  <c r="N20" i="1"/>
  <c r="K20" i="1"/>
  <c r="J20" i="1"/>
  <c r="N19" i="1"/>
  <c r="K19" i="1"/>
  <c r="J19" i="1"/>
  <c r="N18" i="1"/>
  <c r="K18" i="1"/>
  <c r="J18" i="1"/>
  <c r="N17" i="1"/>
  <c r="K17" i="1"/>
  <c r="J17" i="1"/>
  <c r="N16" i="1"/>
  <c r="K16" i="1"/>
  <c r="J16" i="1"/>
  <c r="N15" i="1"/>
  <c r="K15" i="1"/>
  <c r="J15" i="1"/>
  <c r="N14" i="1"/>
  <c r="K14" i="1"/>
  <c r="J14" i="1"/>
  <c r="N13" i="1"/>
  <c r="K13" i="1"/>
  <c r="J13" i="1"/>
  <c r="N12" i="1"/>
  <c r="K12" i="1"/>
  <c r="J12" i="1"/>
  <c r="N11" i="1"/>
  <c r="K11" i="1"/>
  <c r="J11" i="1"/>
  <c r="N10" i="1"/>
  <c r="K10" i="1"/>
  <c r="J10" i="1"/>
  <c r="N9" i="1"/>
  <c r="K9" i="1"/>
  <c r="J9" i="1"/>
  <c r="N8" i="1"/>
  <c r="K8" i="1"/>
  <c r="J8" i="1"/>
  <c r="N7" i="1"/>
  <c r="K7" i="1"/>
  <c r="J7" i="1"/>
  <c r="N6" i="1"/>
  <c r="K6" i="1"/>
  <c r="J6" i="1"/>
  <c r="N5" i="1"/>
  <c r="K5" i="1"/>
  <c r="J5" i="1"/>
  <c r="AF336" i="3" l="1"/>
  <c r="AB177" i="3"/>
  <c r="AF151" i="3"/>
  <c r="AF155" i="3"/>
  <c r="AF221" i="3"/>
  <c r="AB328" i="3"/>
  <c r="AF343" i="3"/>
  <c r="W413" i="3"/>
  <c r="W430" i="3" s="1"/>
  <c r="AE453" i="3"/>
  <c r="AF454" i="3"/>
  <c r="AF342" i="3"/>
  <c r="X430" i="3"/>
  <c r="AF51" i="15"/>
  <c r="AF53" i="15"/>
  <c r="AF137" i="3"/>
  <c r="AF240" i="3"/>
  <c r="AF253" i="3"/>
  <c r="AF48" i="3"/>
  <c r="AF185" i="3"/>
  <c r="AF204" i="3"/>
  <c r="AF205" i="3"/>
  <c r="AF206" i="3"/>
  <c r="AF207" i="3"/>
  <c r="AF208" i="3"/>
  <c r="AF209" i="3"/>
  <c r="AF210" i="3"/>
  <c r="AB211" i="3"/>
  <c r="AB283" i="3"/>
  <c r="AF283" i="3" s="1"/>
  <c r="AB286" i="3"/>
  <c r="AF286" i="3" s="1"/>
  <c r="AF315" i="3"/>
  <c r="AF393" i="3"/>
  <c r="AB88" i="3"/>
  <c r="AF88" i="3" s="1"/>
  <c r="AB89" i="3"/>
  <c r="AF89" i="3" s="1"/>
  <c r="AG13" i="3"/>
  <c r="AB165" i="3"/>
  <c r="AB181" i="3"/>
  <c r="AB188" i="3" s="1"/>
  <c r="AB223" i="3"/>
  <c r="AF223" i="3" s="1"/>
  <c r="AB429" i="3"/>
  <c r="AG451" i="3"/>
  <c r="AF292" i="3"/>
  <c r="AF298" i="3"/>
  <c r="AF328" i="3"/>
  <c r="AF374" i="3"/>
  <c r="AF451" i="3"/>
  <c r="AF452" i="3"/>
  <c r="AF453" i="3" s="1"/>
  <c r="AG23" i="16"/>
  <c r="AF91" i="14"/>
  <c r="AG77" i="16"/>
  <c r="AF41" i="3"/>
  <c r="AF148" i="3"/>
  <c r="AF252" i="3"/>
  <c r="AF319" i="3"/>
  <c r="B476" i="3"/>
  <c r="B477" i="3" s="1"/>
  <c r="B478" i="3" s="1"/>
  <c r="B479" i="3" s="1"/>
  <c r="B482" i="3" s="1"/>
  <c r="B483" i="3" s="1"/>
  <c r="B484" i="3" s="1"/>
  <c r="B485" i="3" s="1"/>
  <c r="B486" i="3" s="1"/>
  <c r="B487" i="3" s="1"/>
  <c r="B488" i="3" s="1"/>
  <c r="B491" i="3" s="1"/>
  <c r="B492" i="3" s="1"/>
  <c r="AF101" i="3"/>
  <c r="AF193" i="3"/>
  <c r="AF264" i="3"/>
  <c r="AG20" i="16"/>
  <c r="AF8" i="14"/>
  <c r="AF81" i="14"/>
  <c r="AF60" i="15"/>
  <c r="AF20" i="15"/>
  <c r="AE84" i="15"/>
  <c r="AE92" i="15" s="1"/>
  <c r="AE90" i="14"/>
  <c r="AE102" i="14"/>
  <c r="AE117" i="14"/>
  <c r="AD66" i="16"/>
  <c r="AG22" i="16"/>
  <c r="AD8" i="16"/>
  <c r="AG8" i="16" s="1"/>
  <c r="AG19" i="16"/>
  <c r="AG24" i="16"/>
  <c r="AG34" i="16"/>
  <c r="AG43" i="16"/>
  <c r="AF49" i="15"/>
  <c r="AF41" i="15"/>
  <c r="AF17" i="15"/>
  <c r="AF28" i="15"/>
  <c r="AE74" i="15"/>
  <c r="AB102" i="14"/>
  <c r="AB80" i="14"/>
  <c r="AF80" i="14" s="1"/>
  <c r="AF87" i="14"/>
  <c r="AC117" i="14"/>
  <c r="AF129" i="3"/>
  <c r="AF133" i="3"/>
  <c r="AF135" i="3"/>
  <c r="AB168" i="3"/>
  <c r="AF168" i="3" s="1"/>
  <c r="AF169" i="3"/>
  <c r="AF232" i="3"/>
  <c r="AF233" i="3"/>
  <c r="AF244" i="3"/>
  <c r="AB288" i="3"/>
  <c r="AF288" i="3" s="1"/>
  <c r="AF322" i="3"/>
  <c r="AF447" i="3"/>
  <c r="AF37" i="3"/>
  <c r="AF52" i="3"/>
  <c r="AF87" i="3"/>
  <c r="AB93" i="3"/>
  <c r="AF93" i="3" s="1"/>
  <c r="AF100" i="3"/>
  <c r="AF104" i="3"/>
  <c r="AF146" i="3"/>
  <c r="AF152" i="3"/>
  <c r="AF156" i="3"/>
  <c r="AB226" i="3"/>
  <c r="AF226" i="3" s="1"/>
  <c r="AF231" i="3"/>
  <c r="AF269" i="3"/>
  <c r="AF271" i="3"/>
  <c r="AF272" i="3"/>
  <c r="AF273" i="3"/>
  <c r="AF277" i="3"/>
  <c r="AF282" i="3"/>
  <c r="AF291" i="3"/>
  <c r="AF321" i="3"/>
  <c r="AF329" i="3"/>
  <c r="AF333" i="3"/>
  <c r="AF356" i="3"/>
  <c r="AF360" i="3"/>
  <c r="AF362" i="3"/>
  <c r="AF366" i="3"/>
  <c r="AF384" i="3"/>
  <c r="AF414" i="3"/>
  <c r="AF429" i="3"/>
  <c r="AF432" i="3"/>
  <c r="AF15" i="3"/>
  <c r="AF28" i="3"/>
  <c r="AF29" i="3"/>
  <c r="AF30" i="3"/>
  <c r="AF64" i="3"/>
  <c r="AF68" i="3"/>
  <c r="AF72" i="3"/>
  <c r="AF81" i="3"/>
  <c r="AF86" i="3"/>
  <c r="AF109" i="3"/>
  <c r="AF113" i="3"/>
  <c r="AF290" i="3"/>
  <c r="AB296" i="3"/>
  <c r="AF296" i="3" s="1"/>
  <c r="AF326" i="3"/>
  <c r="AF332" i="3"/>
  <c r="AF347" i="3"/>
  <c r="AF394" i="3"/>
  <c r="AF396" i="3"/>
  <c r="AF404" i="3"/>
  <c r="AF408" i="3"/>
  <c r="AF412" i="3"/>
  <c r="AF433" i="3"/>
  <c r="AB46" i="3"/>
  <c r="AF46" i="3" s="1"/>
  <c r="AB97" i="3"/>
  <c r="AF97" i="3" s="1"/>
  <c r="AG59" i="16"/>
  <c r="AG7" i="16"/>
  <c r="AG17" i="16"/>
  <c r="AG10" i="16"/>
  <c r="AG12" i="16"/>
  <c r="AG38" i="16"/>
  <c r="A56" i="16"/>
  <c r="A57" i="16" s="1"/>
  <c r="A58" i="16" s="1"/>
  <c r="A59" i="16" s="1"/>
  <c r="A63" i="16" s="1"/>
  <c r="A64" i="16" s="1"/>
  <c r="A65" i="16" s="1"/>
  <c r="A68" i="16" s="1"/>
  <c r="AF56" i="14"/>
  <c r="AF69" i="14"/>
  <c r="AF96" i="14"/>
  <c r="AF11" i="16"/>
  <c r="AG26" i="16"/>
  <c r="AG32" i="16"/>
  <c r="AG39" i="16"/>
  <c r="AD52" i="16"/>
  <c r="AF28" i="16"/>
  <c r="AG25" i="16"/>
  <c r="AG27" i="16"/>
  <c r="AG37" i="16"/>
  <c r="AF52" i="16"/>
  <c r="AF12" i="14"/>
  <c r="AF35" i="14"/>
  <c r="AF43" i="14"/>
  <c r="AF51" i="14"/>
  <c r="AF21" i="14"/>
  <c r="AF25" i="14"/>
  <c r="AF57" i="14"/>
  <c r="AF30" i="14"/>
  <c r="AF32" i="14"/>
  <c r="AF47" i="14"/>
  <c r="AF77" i="14"/>
  <c r="AF82" i="14"/>
  <c r="AF15" i="14"/>
  <c r="AF19" i="14"/>
  <c r="AF34" i="14"/>
  <c r="AF36" i="14"/>
  <c r="AF41" i="14"/>
  <c r="AF63" i="14"/>
  <c r="AF83" i="14"/>
  <c r="AF88" i="14"/>
  <c r="AF24" i="14"/>
  <c r="AF37" i="14"/>
  <c r="AF42" i="14"/>
  <c r="AF62" i="14"/>
  <c r="AF67" i="14"/>
  <c r="AF79" i="14"/>
  <c r="AF28" i="14"/>
  <c r="AF53" i="14"/>
  <c r="AF66" i="14"/>
  <c r="AF73" i="14"/>
  <c r="AF75" i="14"/>
  <c r="AF14" i="14"/>
  <c r="AF16" i="14"/>
  <c r="AF18" i="14"/>
  <c r="AF20" i="14"/>
  <c r="AF31" i="14"/>
  <c r="AF45" i="14"/>
  <c r="AF50" i="14"/>
  <c r="AF52" i="14"/>
  <c r="AF72" i="14"/>
  <c r="AF86" i="14"/>
  <c r="AF89" i="14"/>
  <c r="A121" i="14"/>
  <c r="A122" i="14" s="1"/>
  <c r="A123" i="14" s="1"/>
  <c r="A124" i="14" s="1"/>
  <c r="A125" i="14" s="1"/>
  <c r="A131" i="14" s="1"/>
  <c r="A132" i="14" s="1"/>
  <c r="AF79" i="15"/>
  <c r="AB90" i="14"/>
  <c r="AF84" i="14"/>
  <c r="AF23" i="14"/>
  <c r="AF55" i="14"/>
  <c r="AF85" i="14"/>
  <c r="AF9" i="14"/>
  <c r="AF11" i="14"/>
  <c r="AF13" i="14"/>
  <c r="AF22" i="14"/>
  <c r="AF27" i="14"/>
  <c r="AF29" i="14"/>
  <c r="AF44" i="14"/>
  <c r="AF46" i="14"/>
  <c r="AF49" i="14"/>
  <c r="AF54" i="14"/>
  <c r="AF59" i="14"/>
  <c r="AB68" i="14"/>
  <c r="AF65" i="14"/>
  <c r="AF71" i="14"/>
  <c r="AF78" i="14"/>
  <c r="AF10" i="14"/>
  <c r="AF17" i="14"/>
  <c r="AF26" i="14"/>
  <c r="AF48" i="14"/>
  <c r="AF58" i="14"/>
  <c r="AE68" i="14"/>
  <c r="AF64" i="14"/>
  <c r="AF70" i="14"/>
  <c r="AF74" i="14"/>
  <c r="AF93" i="14"/>
  <c r="AF77" i="15"/>
  <c r="AG54" i="16"/>
  <c r="AB33" i="14"/>
  <c r="AB38" i="14" s="1"/>
  <c r="AB61" i="14" s="1"/>
  <c r="AF76" i="14"/>
  <c r="AE33" i="14"/>
  <c r="AE38" i="14" s="1"/>
  <c r="AE61" i="14" s="1"/>
  <c r="AF92" i="14"/>
  <c r="AF104" i="14"/>
  <c r="O121" i="5"/>
  <c r="O115" i="5"/>
  <c r="AG51" i="16"/>
  <c r="AF31" i="3"/>
  <c r="AF32" i="3"/>
  <c r="AF34" i="3"/>
  <c r="AB42" i="3"/>
  <c r="AF42" i="3" s="1"/>
  <c r="AG42" i="3"/>
  <c r="AG46" i="3"/>
  <c r="AF55" i="3"/>
  <c r="AF59" i="3"/>
  <c r="AF63" i="3"/>
  <c r="AF91" i="3"/>
  <c r="AE114" i="3"/>
  <c r="AF99" i="3"/>
  <c r="AF103" i="3"/>
  <c r="AF154" i="3"/>
  <c r="AF187" i="3"/>
  <c r="AF192" i="3"/>
  <c r="AB222" i="3"/>
  <c r="AF222" i="3" s="1"/>
  <c r="AF243" i="3"/>
  <c r="AF297" i="3"/>
  <c r="AF434" i="3"/>
  <c r="AF435" i="3"/>
  <c r="AF436" i="3"/>
  <c r="AF437" i="3"/>
  <c r="AF58" i="3"/>
  <c r="AF62" i="3"/>
  <c r="AF90" i="3"/>
  <c r="AF98" i="3"/>
  <c r="AF102" i="3"/>
  <c r="AF108" i="3"/>
  <c r="AF112" i="3"/>
  <c r="AF153" i="3"/>
  <c r="AF186" i="3"/>
  <c r="AF191" i="3"/>
  <c r="AB199" i="3"/>
  <c r="AF199" i="3" s="1"/>
  <c r="AF224" i="3"/>
  <c r="AF242" i="3"/>
  <c r="AF256" i="3"/>
  <c r="AF279" i="3"/>
  <c r="AF324" i="3"/>
  <c r="AF339" i="3"/>
  <c r="AF348" i="3"/>
  <c r="AF373" i="3"/>
  <c r="AF382" i="3"/>
  <c r="AF385" i="3"/>
  <c r="AF418" i="3"/>
  <c r="AF422" i="3"/>
  <c r="AF424" i="3"/>
  <c r="AB105" i="3"/>
  <c r="AF105" i="3" s="1"/>
  <c r="AB106" i="3"/>
  <c r="AF106" i="3" s="1"/>
  <c r="AE161" i="3"/>
  <c r="AB219" i="3"/>
  <c r="AF219" i="3" s="1"/>
  <c r="AB254" i="3"/>
  <c r="AF254" i="3" s="1"/>
  <c r="AB294" i="3"/>
  <c r="AF402" i="3"/>
  <c r="AF85" i="3"/>
  <c r="AF92" i="3"/>
  <c r="AF94" i="3"/>
  <c r="AF165" i="3"/>
  <c r="AB25" i="3"/>
  <c r="AC10" i="3"/>
  <c r="AF35" i="3"/>
  <c r="AF43" i="3"/>
  <c r="AF57" i="3"/>
  <c r="AF61" i="3"/>
  <c r="AF107" i="3"/>
  <c r="AF111" i="3"/>
  <c r="AF118" i="3"/>
  <c r="AF123" i="3"/>
  <c r="AF124" i="3"/>
  <c r="AF126" i="3"/>
  <c r="AF128" i="3"/>
  <c r="AF132" i="3"/>
  <c r="AF211" i="3"/>
  <c r="AB293" i="3"/>
  <c r="AB313" i="3" s="1"/>
  <c r="AF294" i="3"/>
  <c r="AF38" i="3"/>
  <c r="AF39" i="3"/>
  <c r="AF40" i="3"/>
  <c r="AF49" i="3"/>
  <c r="AF50" i="3"/>
  <c r="AF51" i="3"/>
  <c r="AF56" i="3"/>
  <c r="AF60" i="3"/>
  <c r="AF65" i="3"/>
  <c r="AF69" i="3"/>
  <c r="AF73" i="3"/>
  <c r="AF78" i="3"/>
  <c r="AC96" i="3"/>
  <c r="AF82" i="3"/>
  <c r="AF95" i="3"/>
  <c r="AF110" i="3"/>
  <c r="AF131" i="3"/>
  <c r="AF203" i="3"/>
  <c r="AF147" i="3"/>
  <c r="AF157" i="3"/>
  <c r="AF158" i="3"/>
  <c r="AF159" i="3"/>
  <c r="AF160" i="3"/>
  <c r="AF201" i="3"/>
  <c r="AF238" i="3"/>
  <c r="AF239" i="3"/>
  <c r="AF276" i="3"/>
  <c r="AF281" i="3"/>
  <c r="AF295" i="3"/>
  <c r="AF305" i="3"/>
  <c r="AF306" i="3"/>
  <c r="AF310" i="3"/>
  <c r="AF317" i="3"/>
  <c r="AF318" i="3"/>
  <c r="AF320" i="3"/>
  <c r="AF323" i="3"/>
  <c r="AF344" i="3"/>
  <c r="AF346" i="3"/>
  <c r="AF359" i="3"/>
  <c r="AF361" i="3"/>
  <c r="AF368" i="3"/>
  <c r="AF369" i="3"/>
  <c r="AB388" i="3"/>
  <c r="AB413" i="3" s="1"/>
  <c r="AF444" i="3"/>
  <c r="AF446" i="3"/>
  <c r="AF448" i="3"/>
  <c r="AF455" i="3"/>
  <c r="AF456" i="3"/>
  <c r="AF457" i="3"/>
  <c r="AG150" i="3"/>
  <c r="AF176" i="3"/>
  <c r="AF195" i="3"/>
  <c r="AF196" i="3"/>
  <c r="AF197" i="3"/>
  <c r="AF212" i="3"/>
  <c r="AF213" i="3"/>
  <c r="AF214" i="3"/>
  <c r="AF225" i="3"/>
  <c r="AF245" i="3"/>
  <c r="AF246" i="3"/>
  <c r="AF262" i="3"/>
  <c r="AF263" i="3"/>
  <c r="AF265" i="3"/>
  <c r="AF275" i="3"/>
  <c r="AF280" i="3"/>
  <c r="AF287" i="3"/>
  <c r="AF299" i="3"/>
  <c r="AF304" i="3"/>
  <c r="AF330" i="3"/>
  <c r="AF334" i="3"/>
  <c r="AF335" i="3"/>
  <c r="AF340" i="3"/>
  <c r="AF341" i="3"/>
  <c r="AF349" i="3"/>
  <c r="AF350" i="3"/>
  <c r="AF363" i="3"/>
  <c r="AF367" i="3"/>
  <c r="AF380" i="3"/>
  <c r="AF391" i="3"/>
  <c r="AF405" i="3"/>
  <c r="AF409" i="3"/>
  <c r="AF438" i="3"/>
  <c r="AF440" i="3"/>
  <c r="AF431" i="3"/>
  <c r="X11" i="16"/>
  <c r="AG15" i="16"/>
  <c r="AG9" i="16"/>
  <c r="AG35" i="16"/>
  <c r="AF46" i="16"/>
  <c r="AG16" i="16"/>
  <c r="AD46" i="16"/>
  <c r="AG45" i="16"/>
  <c r="AG354" i="3"/>
  <c r="AF354" i="3"/>
  <c r="AG372" i="3"/>
  <c r="AF372" i="3"/>
  <c r="AG378" i="3"/>
  <c r="AF378" i="3"/>
  <c r="AG389" i="3"/>
  <c r="AF389" i="3"/>
  <c r="AG398" i="3"/>
  <c r="AF398" i="3"/>
  <c r="AE44" i="3"/>
  <c r="AE54" i="3" s="1"/>
  <c r="AE76" i="3"/>
  <c r="AF122" i="3"/>
  <c r="AG179" i="3"/>
  <c r="AF179" i="3"/>
  <c r="AE202" i="3"/>
  <c r="AF189" i="3"/>
  <c r="AG218" i="3"/>
  <c r="AF218" i="3"/>
  <c r="AG250" i="3"/>
  <c r="AF250" i="3"/>
  <c r="AC44" i="3"/>
  <c r="AC76" i="3" s="1"/>
  <c r="AF33" i="3"/>
  <c r="AF53" i="3"/>
  <c r="AF67" i="3"/>
  <c r="AF75" i="3"/>
  <c r="AF84" i="3"/>
  <c r="AF125" i="3"/>
  <c r="AF140" i="3"/>
  <c r="AG227" i="3"/>
  <c r="AF227" i="3"/>
  <c r="AG352" i="3"/>
  <c r="AG358" i="3" s="1"/>
  <c r="AF352" i="3"/>
  <c r="AG370" i="3"/>
  <c r="AF370" i="3"/>
  <c r="AG376" i="3"/>
  <c r="AF376" i="3"/>
  <c r="AG400" i="3"/>
  <c r="AF400" i="3"/>
  <c r="AF407" i="3"/>
  <c r="AF411" i="3"/>
  <c r="AF416" i="3"/>
  <c r="AG260" i="3"/>
  <c r="AF260" i="3"/>
  <c r="AF71" i="3"/>
  <c r="AF80" i="3"/>
  <c r="AF119" i="3"/>
  <c r="AF121" i="3"/>
  <c r="AB10" i="3"/>
  <c r="AC25" i="3"/>
  <c r="AF27" i="3"/>
  <c r="AF45" i="3"/>
  <c r="AF47" i="3"/>
  <c r="AF66" i="3"/>
  <c r="AF70" i="3"/>
  <c r="AF74" i="3"/>
  <c r="AE96" i="3"/>
  <c r="AF79" i="3"/>
  <c r="AF83" i="3"/>
  <c r="AE134" i="3"/>
  <c r="AF144" i="3"/>
  <c r="AG236" i="3"/>
  <c r="AF236" i="3"/>
  <c r="AF420" i="3"/>
  <c r="AE174" i="3"/>
  <c r="AG174" i="3" s="1"/>
  <c r="AC313" i="3"/>
  <c r="AC325" i="3" s="1"/>
  <c r="AE413" i="3"/>
  <c r="AE430" i="3" s="1"/>
  <c r="AE439" i="3" s="1"/>
  <c r="AE450" i="3" s="1"/>
  <c r="AF426" i="3"/>
  <c r="AF442" i="3"/>
  <c r="AG453" i="3"/>
  <c r="AF127" i="3"/>
  <c r="AF142" i="3"/>
  <c r="AF143" i="3"/>
  <c r="AF163" i="3"/>
  <c r="AF171" i="3"/>
  <c r="AF177" i="3"/>
  <c r="AF178" i="3"/>
  <c r="AF183" i="3"/>
  <c r="AF216" i="3"/>
  <c r="AF217" i="3"/>
  <c r="AF220" i="3"/>
  <c r="AE266" i="3"/>
  <c r="AM266" i="3" s="1"/>
  <c r="AF234" i="3"/>
  <c r="AF235" i="3"/>
  <c r="AC266" i="3"/>
  <c r="AC284" i="3" s="1"/>
  <c r="AF248" i="3"/>
  <c r="AF249" i="3"/>
  <c r="AF258" i="3"/>
  <c r="AF261" i="3"/>
  <c r="AF267" i="3"/>
  <c r="AF268" i="3"/>
  <c r="AE313" i="3"/>
  <c r="AF303" i="3"/>
  <c r="AF312" i="3"/>
  <c r="AF316" i="3"/>
  <c r="AF338" i="3"/>
  <c r="AF351" i="3"/>
  <c r="AF377" i="3"/>
  <c r="AE386" i="3"/>
  <c r="AG390" i="3"/>
  <c r="AF397" i="3"/>
  <c r="AF399" i="3"/>
  <c r="AF415" i="3"/>
  <c r="AF419" i="3"/>
  <c r="AF423" i="3"/>
  <c r="AF441" i="3"/>
  <c r="AF458" i="3"/>
  <c r="AF138" i="3"/>
  <c r="AF139" i="3"/>
  <c r="AF167" i="3"/>
  <c r="AF173" i="3"/>
  <c r="AE230" i="3"/>
  <c r="AM230" i="3" s="1"/>
  <c r="AF255" i="3"/>
  <c r="AF301" i="3"/>
  <c r="AF302" i="3"/>
  <c r="AF308" i="3"/>
  <c r="AF309" i="3"/>
  <c r="AF331" i="3"/>
  <c r="AF379" i="3"/>
  <c r="AF381" i="3"/>
  <c r="AF401" i="3"/>
  <c r="AG50" i="16"/>
  <c r="AF60" i="14"/>
  <c r="AG49" i="16"/>
  <c r="AF107" i="14"/>
  <c r="AF106" i="14"/>
  <c r="AG464" i="3"/>
  <c r="AB180" i="2"/>
  <c r="AF15" i="15"/>
  <c r="AF19" i="15"/>
  <c r="AF23" i="15"/>
  <c r="AF6" i="15"/>
  <c r="AF29" i="15"/>
  <c r="AF31" i="15"/>
  <c r="AF33" i="15"/>
  <c r="AF35" i="15"/>
  <c r="AF47" i="15"/>
  <c r="AF72" i="15"/>
  <c r="AF55" i="15"/>
  <c r="AF67" i="15"/>
  <c r="AF32" i="15"/>
  <c r="AF54" i="15"/>
  <c r="AF56" i="15"/>
  <c r="AF24" i="15"/>
  <c r="AF27" i="15"/>
  <c r="AF42" i="15"/>
  <c r="A71" i="15"/>
  <c r="A72" i="15" s="1"/>
  <c r="A73" i="15" s="1"/>
  <c r="A76" i="15" s="1"/>
  <c r="A77" i="15" s="1"/>
  <c r="A78" i="15" s="1"/>
  <c r="A79" i="15" s="1"/>
  <c r="A80" i="15" s="1"/>
  <c r="A81" i="15" s="1"/>
  <c r="A82" i="15" s="1"/>
  <c r="A83" i="15" s="1"/>
  <c r="A86" i="15" s="1"/>
  <c r="A87" i="15" s="1"/>
  <c r="A88" i="15" s="1"/>
  <c r="AF12" i="15"/>
  <c r="AE46" i="15"/>
  <c r="AF40" i="15"/>
  <c r="AF45" i="15"/>
  <c r="AF14" i="15"/>
  <c r="AE25" i="15"/>
  <c r="AF26" i="15"/>
  <c r="AE37" i="15"/>
  <c r="AF36" i="15"/>
  <c r="AF52" i="15"/>
  <c r="AF78" i="15"/>
  <c r="AE58" i="15"/>
  <c r="AE65" i="15" s="1"/>
  <c r="AF57" i="15"/>
  <c r="AF69" i="15"/>
  <c r="AF76" i="15"/>
  <c r="AF18" i="15"/>
  <c r="AF7" i="15"/>
  <c r="AF10" i="15"/>
  <c r="AF21" i="15"/>
  <c r="AC46" i="15"/>
  <c r="AF44" i="15"/>
  <c r="AF48" i="15"/>
  <c r="AF63" i="15"/>
  <c r="AF70" i="15"/>
  <c r="AF73" i="15"/>
  <c r="AC13" i="15"/>
  <c r="AF9" i="15"/>
  <c r="AF16" i="15"/>
  <c r="AF34" i="15"/>
  <c r="AF43" i="15"/>
  <c r="AF50" i="15"/>
  <c r="AF11" i="15"/>
  <c r="AC37" i="15"/>
  <c r="AE13" i="15"/>
  <c r="AF8" i="15"/>
  <c r="AF22" i="15"/>
  <c r="AF62" i="15"/>
  <c r="AF68" i="15"/>
  <c r="AF75" i="15"/>
  <c r="AB164" i="2"/>
  <c r="AB170" i="2"/>
  <c r="AB176" i="2" s="1"/>
  <c r="AB155" i="2"/>
  <c r="X170" i="2"/>
  <c r="X176" i="2" s="1"/>
  <c r="AB152" i="2"/>
  <c r="AB146" i="2"/>
  <c r="AB149" i="2" s="1"/>
  <c r="AG48" i="16"/>
  <c r="AF105" i="14"/>
  <c r="AG14" i="16"/>
  <c r="AG18" i="16"/>
  <c r="AG31" i="16"/>
  <c r="AG33" i="16"/>
  <c r="AD36" i="16"/>
  <c r="AD28" i="16"/>
  <c r="AF36" i="16"/>
  <c r="AG41" i="16"/>
  <c r="AF66" i="15"/>
  <c r="AG44" i="16"/>
  <c r="AG30" i="16"/>
  <c r="AG40" i="16"/>
  <c r="AG29" i="16"/>
  <c r="AC25" i="15"/>
  <c r="AF30" i="15"/>
  <c r="AF39" i="15"/>
  <c r="AF59" i="15"/>
  <c r="AF38" i="15"/>
  <c r="AF101" i="14"/>
  <c r="AB161" i="3"/>
  <c r="AF161" i="3" s="1"/>
  <c r="AF150" i="3"/>
  <c r="AF26" i="3"/>
  <c r="AF36" i="3"/>
  <c r="AF77" i="3"/>
  <c r="AF117" i="3"/>
  <c r="AE149" i="3"/>
  <c r="AG141" i="3"/>
  <c r="AF141" i="3"/>
  <c r="AF162" i="3"/>
  <c r="AG168" i="3"/>
  <c r="AE188" i="3"/>
  <c r="AG188" i="3" s="1"/>
  <c r="AG184" i="3"/>
  <c r="AF184" i="3"/>
  <c r="AG198" i="3"/>
  <c r="AF198" i="3"/>
  <c r="AC230" i="3"/>
  <c r="AG228" i="3"/>
  <c r="AF228" i="3"/>
  <c r="AG241" i="3"/>
  <c r="AF241" i="3"/>
  <c r="AF274" i="3"/>
  <c r="AF278" i="3"/>
  <c r="AF311" i="3"/>
  <c r="AG145" i="3"/>
  <c r="AF145" i="3"/>
  <c r="AE345" i="3"/>
  <c r="AE375" i="3"/>
  <c r="AG365" i="3"/>
  <c r="AF5" i="3"/>
  <c r="AF14" i="3"/>
  <c r="AF116" i="3"/>
  <c r="AC134" i="3"/>
  <c r="AC149" i="3" s="1"/>
  <c r="AC161" i="3" s="1"/>
  <c r="AC174" i="3" s="1"/>
  <c r="AC188" i="3" s="1"/>
  <c r="AC202" i="3" s="1"/>
  <c r="AF120" i="3"/>
  <c r="AF130" i="3"/>
  <c r="AB149" i="3"/>
  <c r="AG170" i="3"/>
  <c r="AF170" i="3"/>
  <c r="AG194" i="3"/>
  <c r="AF194" i="3"/>
  <c r="AG200" i="3"/>
  <c r="AF200" i="3"/>
  <c r="AG215" i="3"/>
  <c r="AF215" i="3"/>
  <c r="AG237" i="3"/>
  <c r="AF237" i="3"/>
  <c r="AG251" i="3"/>
  <c r="AF251" i="3"/>
  <c r="AF270" i="3"/>
  <c r="AF300" i="3"/>
  <c r="AF307" i="3"/>
  <c r="AG316" i="3"/>
  <c r="AG325" i="3" s="1"/>
  <c r="AE325" i="3"/>
  <c r="AF327" i="3"/>
  <c r="AB358" i="3"/>
  <c r="AG166" i="3"/>
  <c r="AF166" i="3"/>
  <c r="AG182" i="3"/>
  <c r="AF182" i="3"/>
  <c r="AE284" i="3"/>
  <c r="AM284" i="3" s="1"/>
  <c r="AC114" i="3"/>
  <c r="AB134" i="3"/>
  <c r="AG164" i="3"/>
  <c r="AF164" i="3"/>
  <c r="AG172" i="3"/>
  <c r="AF172" i="3"/>
  <c r="AG180" i="3"/>
  <c r="AF180" i="3"/>
  <c r="AG190" i="3"/>
  <c r="AF190" i="3"/>
  <c r="AG247" i="3"/>
  <c r="AF247" i="3"/>
  <c r="AG257" i="3"/>
  <c r="AF257" i="3"/>
  <c r="AF314" i="3"/>
  <c r="AB325" i="3"/>
  <c r="AF427" i="3"/>
  <c r="AF115" i="3"/>
  <c r="AG137" i="3"/>
  <c r="AG189" i="3"/>
  <c r="AG231" i="3"/>
  <c r="AG269" i="3"/>
  <c r="AG284" i="3" s="1"/>
  <c r="AG292" i="3"/>
  <c r="AG313" i="3" s="1"/>
  <c r="AB345" i="3"/>
  <c r="AG326" i="3"/>
  <c r="AG345" i="3" s="1"/>
  <c r="AF337" i="3"/>
  <c r="AF353" i="3"/>
  <c r="AE358" i="3"/>
  <c r="AF371" i="3"/>
  <c r="AF383" i="3"/>
  <c r="AF390" i="3"/>
  <c r="AF392" i="3"/>
  <c r="AF403" i="3"/>
  <c r="AF406" i="3"/>
  <c r="AF410" i="3"/>
  <c r="AF417" i="3"/>
  <c r="AF421" i="3"/>
  <c r="AF425" i="3"/>
  <c r="AF428" i="3"/>
  <c r="AG449" i="3"/>
  <c r="AF449" i="3"/>
  <c r="AF136" i="3"/>
  <c r="AF175" i="3"/>
  <c r="AF285" i="3"/>
  <c r="AF355" i="3"/>
  <c r="AF365" i="3"/>
  <c r="AF443" i="3"/>
  <c r="AB375" i="3"/>
  <c r="AB386" i="3" s="1"/>
  <c r="AG424" i="3"/>
  <c r="AG463" i="3"/>
  <c r="AF463" i="3"/>
  <c r="AF445" i="3"/>
  <c r="AF459" i="3"/>
  <c r="AG459" i="3"/>
  <c r="AG460" i="3" s="1"/>
  <c r="AG467" i="3"/>
  <c r="AF467" i="3"/>
  <c r="AG471" i="3"/>
  <c r="AF471" i="3"/>
  <c r="AF472" i="3"/>
  <c r="AE460" i="3"/>
  <c r="AF461" i="3"/>
  <c r="AF462" i="3"/>
  <c r="AB202" i="3" l="1"/>
  <c r="AB96" i="3"/>
  <c r="AB76" i="3"/>
  <c r="AF181" i="3"/>
  <c r="AF460" i="3"/>
  <c r="AB284" i="3"/>
  <c r="AF76" i="3"/>
  <c r="A154" i="19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F313" i="3"/>
  <c r="B495" i="3"/>
  <c r="B496" i="3" s="1"/>
  <c r="B497" i="3" s="1"/>
  <c r="B498" i="3" s="1"/>
  <c r="B499" i="3" s="1"/>
  <c r="B500" i="3" s="1"/>
  <c r="B501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AB266" i="3"/>
  <c r="AF388" i="3"/>
  <c r="AF413" i="3" s="1"/>
  <c r="AF430" i="3" s="1"/>
  <c r="AG468" i="3"/>
  <c r="AG473" i="3" s="1"/>
  <c r="AG480" i="3" s="1"/>
  <c r="AF293" i="3"/>
  <c r="AF25" i="3"/>
  <c r="AG413" i="3"/>
  <c r="AG430" i="3" s="1"/>
  <c r="AG230" i="3"/>
  <c r="AG60" i="16"/>
  <c r="AG66" i="16" s="1"/>
  <c r="AF96" i="3"/>
  <c r="AF10" i="3"/>
  <c r="AG375" i="3"/>
  <c r="AF188" i="3"/>
  <c r="AD11" i="16"/>
  <c r="A69" i="16"/>
  <c r="A70" i="16" s="1"/>
  <c r="A71" i="16" s="1"/>
  <c r="A72" i="16" s="1"/>
  <c r="A73" i="16" s="1"/>
  <c r="A74" i="16" s="1"/>
  <c r="A75" i="16" s="1"/>
  <c r="A139" i="14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33" i="14"/>
  <c r="AC126" i="14"/>
  <c r="AF117" i="14"/>
  <c r="AG11" i="16"/>
  <c r="A89" i="15"/>
  <c r="A90" i="15" s="1"/>
  <c r="AF84" i="15"/>
  <c r="AF92" i="15" s="1"/>
  <c r="AF102" i="14"/>
  <c r="AF90" i="14"/>
  <c r="AB230" i="3"/>
  <c r="AC54" i="3"/>
  <c r="AB174" i="3"/>
  <c r="AF174" i="3" s="1"/>
  <c r="AB44" i="3"/>
  <c r="AF44" i="3" s="1"/>
  <c r="AF468" i="3"/>
  <c r="AF473" i="3" s="1"/>
  <c r="AF480" i="3" s="1"/>
  <c r="AB114" i="3"/>
  <c r="AF114" i="3" s="1"/>
  <c r="AG28" i="16"/>
  <c r="AF33" i="14"/>
  <c r="AF38" i="14" s="1"/>
  <c r="AF61" i="14" s="1"/>
  <c r="AF68" i="14" s="1"/>
  <c r="AF74" i="15"/>
  <c r="AF284" i="3"/>
  <c r="AF266" i="3"/>
  <c r="AF149" i="3"/>
  <c r="AG386" i="3"/>
  <c r="AF375" i="3"/>
  <c r="AF358" i="3"/>
  <c r="AF202" i="3"/>
  <c r="AF386" i="3"/>
  <c r="AF345" i="3"/>
  <c r="AF230" i="3"/>
  <c r="AF37" i="15"/>
  <c r="AF58" i="15"/>
  <c r="AF65" i="15" s="1"/>
  <c r="AF13" i="15"/>
  <c r="AF25" i="15"/>
  <c r="AG36" i="16"/>
  <c r="AG46" i="16"/>
  <c r="AG52" i="16" s="1"/>
  <c r="AF46" i="15"/>
  <c r="AG266" i="3"/>
  <c r="AB430" i="3"/>
  <c r="AB439" i="3" s="1"/>
  <c r="AG202" i="3"/>
  <c r="AF325" i="3"/>
  <c r="AF134" i="3"/>
  <c r="AG439" i="3" l="1"/>
  <c r="AG450" i="3" s="1"/>
  <c r="AC135" i="14"/>
  <c r="AC152" i="14" s="1"/>
  <c r="AB54" i="3"/>
  <c r="AF54" i="3" s="1"/>
  <c r="A94" i="15"/>
  <c r="A95" i="15" s="1"/>
  <c r="A96" i="15" s="1"/>
  <c r="A97" i="15" s="1"/>
  <c r="A98" i="15" s="1"/>
  <c r="A99" i="15" s="1"/>
  <c r="A100" i="15" s="1"/>
  <c r="A103" i="15" s="1"/>
  <c r="A104" i="15" s="1"/>
  <c r="A105" i="15" s="1"/>
  <c r="A106" i="15" s="1"/>
  <c r="A107" i="15" s="1"/>
  <c r="A108" i="15" s="1"/>
  <c r="A109" i="15" s="1"/>
  <c r="A91" i="15"/>
  <c r="A97" i="16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B450" i="3"/>
  <c r="AF439" i="3"/>
  <c r="AF450" i="3" s="1"/>
  <c r="A113" i="15" l="1"/>
  <c r="A114" i="15" s="1"/>
  <c r="AB453" i="3"/>
  <c r="AB460" i="3" l="1"/>
  <c r="AB468" i="3"/>
  <c r="AG18" i="19"/>
  <c r="AJ18" i="19" s="1"/>
  <c r="AB473" i="3" l="1"/>
  <c r="AB480" i="3" s="1"/>
  <c r="AB489" i="3" l="1"/>
  <c r="AB493" i="3" s="1"/>
  <c r="AF21" i="16"/>
  <c r="AF13" i="16"/>
  <c r="AG13" i="16"/>
  <c r="AD21" i="16"/>
  <c r="AD13" i="16"/>
  <c r="AG2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Hana Hien</author>
    <author>APC</author>
  </authors>
  <commentList>
    <comment ref="AG4" authorId="0" shapeId="0" xr:uid="{8B79606B-F3A1-4D8D-B854-B35E01AB3C44}">
      <text>
        <r>
          <rPr>
            <sz val="9"/>
            <color indexed="81"/>
            <rFont val="Tahoma"/>
            <family val="2"/>
          </rPr>
          <t>PHÍ CO ANZZ</t>
        </r>
      </text>
    </comment>
    <comment ref="AA5" authorId="1" shapeId="0" xr:uid="{C903443A-A3F2-4FB9-B39D-CEA28C4703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11809</t>
        </r>
      </text>
    </comment>
    <comment ref="AB5" authorId="1" shapeId="0" xr:uid="{DB1FB30F-78AB-4E93-9734-061DB6B0E7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10381</t>
        </r>
      </text>
    </comment>
    <comment ref="AA6" authorId="1" shapeId="0" xr:uid="{4BC90DCC-3D95-4BE3-8113-8DBEA7AA84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11635</t>
        </r>
      </text>
    </comment>
    <comment ref="AB6" authorId="1" shapeId="0" xr:uid="{8175BB57-F3C3-42C8-9EEB-1DDF752993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00024169
</t>
        </r>
      </text>
    </comment>
    <comment ref="AG6" authorId="0" shapeId="0" xr:uid="{5CFA46D5-2F28-473F-B658-C7212B5AE5DD}">
      <text>
        <r>
          <rPr>
            <sz val="9"/>
            <color indexed="81"/>
            <rFont val="Tahoma"/>
            <family val="2"/>
          </rPr>
          <t>PHÍ CO ANZZ</t>
        </r>
      </text>
    </comment>
    <comment ref="AA7" authorId="1" shapeId="0" xr:uid="{0349EDCB-E965-459B-AA3E-12CBF3A5C0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00002991
</t>
        </r>
      </text>
    </comment>
    <comment ref="AB7" authorId="1" shapeId="0" xr:uid="{602A3B00-6146-466B-ABC0-4479ED4C33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00024170</t>
        </r>
      </text>
    </comment>
    <comment ref="AG7" authorId="1" shapeId="0" xr:uid="{8E28D247-25B7-4B4B-A06F-3EF3B1D8F1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CO AANZ
</t>
        </r>
      </text>
    </comment>
    <comment ref="AA9" authorId="1" shapeId="0" xr:uid="{92B54EB1-8017-4857-875B-E92192E195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00025296
</t>
        </r>
      </text>
    </comment>
    <comment ref="AB9" authorId="1" shapeId="0" xr:uid="{8F91E599-99D3-4EF5-A0E6-69F1AE0E67C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21553</t>
        </r>
      </text>
    </comment>
    <comment ref="AA10" authorId="1" shapeId="0" xr:uid="{2B2BE5E2-DDD8-4B62-893C-25E6CD0762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00026399
</t>
        </r>
      </text>
    </comment>
    <comment ref="AB10" authorId="1" shapeId="0" xr:uid="{77A6AC4B-E10F-4FDC-8547-237189D4B7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21970
</t>
        </r>
      </text>
    </comment>
    <comment ref="AA11" authorId="1" shapeId="0" xr:uid="{01E0FFD1-91AE-4093-97A5-5EE0269E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43166
</t>
        </r>
      </text>
    </comment>
    <comment ref="AB11" authorId="1" shapeId="0" xr:uid="{2CAF5169-DA3D-4C1B-8428-BC9FC8B2F5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54799</t>
        </r>
      </text>
    </comment>
    <comment ref="AA12" authorId="1" shapeId="0" xr:uid="{0275B398-E176-4E05-9C5A-EB0410EE1A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16039</t>
        </r>
      </text>
    </comment>
    <comment ref="AB12" authorId="1" shapeId="0" xr:uid="{1A60C6B3-4C2D-4270-97DE-1B85E1C419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56297</t>
        </r>
      </text>
    </comment>
    <comment ref="AA19" authorId="1" shapeId="0" xr:uid="{45674772-D530-41ED-84B5-0657874B5A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25883-</t>
        </r>
      </text>
    </comment>
    <comment ref="AB19" authorId="1" shapeId="0" xr:uid="{8FAD9A34-F83A-4E4A-B443-20859D56B5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00040221</t>
        </r>
      </text>
    </comment>
    <comment ref="AA20" authorId="1" shapeId="0" xr:uid="{DA51A0AA-2858-4381-B011-64B593689D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73386</t>
        </r>
      </text>
    </comment>
    <comment ref="AB20" authorId="1" shapeId="0" xr:uid="{7237FAE6-78AE-49B4-BB54-23EEACE259A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95933</t>
        </r>
      </text>
    </comment>
    <comment ref="AA21" authorId="1" shapeId="0" xr:uid="{9D34F0FF-BCDA-49CB-A4E5-83891D7FF7A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28897</t>
        </r>
      </text>
    </comment>
    <comment ref="AB21" authorId="1" shapeId="0" xr:uid="{51167DD8-5E37-4BF6-B6CE-78F05A1CF1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00055718</t>
        </r>
      </text>
    </comment>
    <comment ref="AA22" authorId="1" shapeId="0" xr:uid="{703417D4-9FDB-471A-8DBB-185629745D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29305</t>
        </r>
      </text>
    </comment>
    <comment ref="AB22" authorId="1" shapeId="0" xr:uid="{643F9C26-6691-4BEF-9788-97C334CD2C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00056536</t>
        </r>
      </text>
    </comment>
    <comment ref="AA23" authorId="1" shapeId="0" xr:uid="{64D0C22B-160F-4C7D-A5CA-0DB9E45370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29045</t>
        </r>
      </text>
    </comment>
    <comment ref="AA24" authorId="1" shapeId="0" xr:uid="{28E13A99-9182-4BD9-910C-214E373022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38210</t>
        </r>
      </text>
    </comment>
    <comment ref="AB24" authorId="1" shapeId="0" xr:uid="{3825DCA8-FEBE-4C8F-A6BD-E75D5C5A9A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00058799</t>
        </r>
      </text>
    </comment>
    <comment ref="AA25" authorId="1" shapeId="0" xr:uid="{EAAAD8DA-27ED-4B5E-8A01-06E2D7DE77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38322</t>
        </r>
      </text>
    </comment>
    <comment ref="AA26" authorId="1" shapeId="0" xr:uid="{7E6AB19D-E7AC-4C6A-998A-7DFA1A343A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38740</t>
        </r>
      </text>
    </comment>
    <comment ref="AA27" authorId="1" shapeId="0" xr:uid="{62B5F836-D45D-476D-8023-0BF314A75F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38732</t>
        </r>
      </text>
    </comment>
    <comment ref="AA28" authorId="1" shapeId="0" xr:uid="{0A775B5A-814F-4B97-B410-6899D5EBBB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4355</t>
        </r>
      </text>
    </comment>
    <comment ref="AB28" authorId="1" shapeId="0" xr:uid="{B9370B6C-C8B2-4473-865D-188356230D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10688</t>
        </r>
      </text>
    </comment>
    <comment ref="AA29" authorId="1" shapeId="0" xr:uid="{25FD3203-7B4C-42E4-B3B9-C7C882AE0C8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39697</t>
        </r>
      </text>
    </comment>
    <comment ref="AB29" authorId="1" shapeId="0" xr:uid="{7CC8CEC4-8F5C-47C8-8DBF-5D0CAE76893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0" authorId="1" shapeId="0" xr:uid="{9B22AD53-387A-4F5F-90D7-2131B93F7DA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19088</t>
        </r>
      </text>
    </comment>
    <comment ref="AB30" authorId="1" shapeId="0" xr:uid="{5C9692F7-D840-4EED-8E13-995A316FF31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00062655</t>
        </r>
      </text>
    </comment>
    <comment ref="AA31" authorId="1" shapeId="0" xr:uid="{9634E4A5-004F-43C9-BF55-314E334B9E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19066</t>
        </r>
      </text>
    </comment>
    <comment ref="AA32" authorId="1" shapeId="0" xr:uid="{1A4BD541-7FB9-4338-A46A-0DDE64678F3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108381</t>
        </r>
      </text>
    </comment>
    <comment ref="AB32" authorId="1" shapeId="0" xr:uid="{F87ACBD2-253D-4403-8A35-1189467233C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00402647</t>
        </r>
      </text>
    </comment>
    <comment ref="AA33" authorId="1" shapeId="0" xr:uid="{88F86957-5AC0-4C84-9001-024443EA79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00086367
</t>
        </r>
      </text>
    </comment>
    <comment ref="AB33" authorId="1" shapeId="0" xr:uid="{0DD0F319-8EE0-4252-81F5-FC6A935F49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43480</t>
        </r>
      </text>
    </comment>
    <comment ref="AA34" authorId="1" shapeId="0" xr:uid="{DB5782B3-DF37-4E3C-AF34-E42673CD03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110995
</t>
        </r>
      </text>
    </comment>
    <comment ref="AB34" authorId="1" shapeId="0" xr:uid="{86C8F0AE-EE6D-46BC-9CC0-1FAA545E2F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00065497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Y5" authorId="0" shapeId="0" xr:uid="{3983C575-9EC1-488B-8BC9-EB03CAAE4D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00046344</t>
        </r>
      </text>
    </comment>
    <comment ref="Z5" authorId="0" shapeId="0" xr:uid="{081D7F32-E9B8-40C0-9593-53FC8150A67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00229083</t>
        </r>
      </text>
    </comment>
    <comment ref="AA5" authorId="0" shapeId="0" xr:uid="{63C54146-F79F-456D-BA26-1DD4956D81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243850</t>
        </r>
      </text>
    </comment>
    <comment ref="Y6" authorId="0" shapeId="0" xr:uid="{39187AF8-1090-41B0-88D8-26C2FCAA811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17041</t>
        </r>
      </text>
    </comment>
    <comment ref="Z6" authorId="0" shapeId="0" xr:uid="{DFAB0A20-DD6F-4160-8B0A-1F429D60547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00279596</t>
        </r>
      </text>
    </comment>
    <comment ref="AA6" authorId="0" shapeId="0" xr:uid="{D314F006-8064-4AD8-99DA-F4694F6313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252378</t>
        </r>
      </text>
    </comment>
    <comment ref="Y7" authorId="0" shapeId="0" xr:uid="{40F87BA3-6DE8-4611-8E17-AE158D891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5527</t>
        </r>
      </text>
    </comment>
    <comment ref="Z7" authorId="0" shapeId="0" xr:uid="{306885B5-0148-467C-BE38-E4482FE7FA7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00309235</t>
        </r>
      </text>
    </comment>
    <comment ref="AA7" authorId="0" shapeId="0" xr:uid="{FDCE4C1B-8C82-42B2-96B7-0097F161C2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255706</t>
        </r>
      </text>
    </comment>
    <comment ref="Z10" authorId="0" shapeId="0" xr:uid="{983C1BC5-8DC8-4936-899E-7DEC6C0CE5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00061483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68519A6A-9A47-473C-BCE9-E8777C4F7C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00010826</t>
        </r>
      </text>
    </comment>
    <comment ref="U5" authorId="0" shapeId="0" xr:uid="{5B2B9AB5-7AB6-4C12-85E6-53CA79039B5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
</t>
        </r>
      </text>
    </comment>
    <comment ref="R6" authorId="0" shapeId="0" xr:uid="{75EBC81D-16F8-46E9-A99D-4B3113327F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00159919</t>
        </r>
      </text>
    </comment>
    <comment ref="S6" authorId="0" shapeId="0" xr:uid="{B8CCC85C-2DF3-41A9-93F8-7616BC2226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23136
HD: 26308</t>
        </r>
      </text>
    </comment>
    <comment ref="T7" authorId="0" shapeId="0" xr:uid="{938F9F90-7ED8-44A5-892A-F0B54D87EB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918
</t>
        </r>
      </text>
    </comment>
    <comment ref="T8" authorId="0" shapeId="0" xr:uid="{5B2E8BC8-B3CA-475A-9CD3-8F4676288A3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00000198</t>
        </r>
      </text>
    </comment>
    <comment ref="R18" authorId="0" shapeId="0" xr:uid="{68E85BAB-AAF8-4A47-925E-7A08AEFBF8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00436172
HD: 00436044</t>
        </r>
      </text>
    </comment>
    <comment ref="S18" authorId="0" shapeId="0" xr:uid="{658DE212-95D9-4467-A1EA-A30F32DAC6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89543
HD: 89699
HD: 88539
HD: 88540
HD: 89525
</t>
        </r>
      </text>
    </comment>
    <comment ref="W18" authorId="0" shapeId="0" xr:uid="{81D09B42-CCE4-4E76-8870-4704820B08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00045520
HD: 00046217</t>
        </r>
      </text>
    </comment>
    <comment ref="R22" authorId="0" shapeId="0" xr:uid="{C2C844FB-A5C6-4B9F-B27D-14416CCDD18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00614547
HD: 00607984</t>
        </r>
      </text>
    </comment>
    <comment ref="T22" authorId="0" shapeId="0" xr:uid="{36F9AA53-63F0-4A94-9CD2-926D87B2A6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PHÍ PS THANH TOAN CHAM
HD: 00065658</t>
        </r>
      </text>
    </comment>
    <comment ref="W22" authorId="0" shapeId="0" xr:uid="{7F845C99-BA00-4BE1-9288-E6F6EBA40E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00065168</t>
        </r>
      </text>
    </comment>
    <comment ref="U23" authorId="0" shapeId="0" xr:uid="{4EDB337F-13E0-4569-9F8B-06B33478150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00001149</t>
        </r>
      </text>
    </comment>
    <comment ref="R26" authorId="0" shapeId="0" xr:uid="{E5EC3667-9176-4A88-9796-4FC49FEA62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66340
</t>
        </r>
      </text>
    </comment>
    <comment ref="R27" authorId="0" shapeId="0" xr:uid="{2E48819D-2532-4216-AC53-552290D8F90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67425</t>
        </r>
      </text>
    </comment>
    <comment ref="T27" authorId="0" shapeId="0" xr:uid="{2D2651E2-EC80-4957-A7BF-84DCF9D888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4338</t>
        </r>
      </text>
    </comment>
    <comment ref="R28" authorId="0" shapeId="0" xr:uid="{717814D1-15F5-4CB0-8CD2-E453E9612A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68726</t>
        </r>
      </text>
    </comment>
    <comment ref="Q29" authorId="0" shapeId="0" xr:uid="{13217FE9-E8E5-4D4E-A0C4-80BE3DE9E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00748010</t>
        </r>
      </text>
    </comment>
    <comment ref="R29" authorId="0" shapeId="0" xr:uid="{E355FB05-6DE2-4011-9B23-D43C9AFC6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00742313</t>
        </r>
      </text>
    </comment>
    <comment ref="U30" authorId="0" shapeId="0" xr:uid="{15F4B3E2-790E-41F2-80E2-F6FD698ED4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4946
</t>
        </r>
      </text>
    </comment>
    <comment ref="U33" authorId="0" shapeId="0" xr:uid="{4934ECA2-225F-4F90-8D83-D4E2C99B60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5288
</t>
        </r>
      </text>
    </comment>
    <comment ref="Q34" authorId="0" shapeId="0" xr:uid="{3959F5AA-0851-406E-AED7-BFCB6E576A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00839300
HD: 00846369</t>
        </r>
      </text>
    </comment>
    <comment ref="R34" authorId="0" shapeId="0" xr:uid="{EE76CD72-C8BF-4701-A35C-0000546467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00839156</t>
        </r>
      </text>
    </comment>
    <comment ref="S34" authorId="0" shapeId="0" xr:uid="{78E02B89-5B48-4899-B1F0-844FD2DF1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37993
HD: 00037875
</t>
        </r>
      </text>
    </comment>
    <comment ref="W34" authorId="0" shapeId="0" xr:uid="{77E55709-0340-4B44-9740-93DE1A75127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00006976</t>
        </r>
      </text>
    </comment>
    <comment ref="U35" authorId="0" shapeId="0" xr:uid="{17B78F16-7EA3-4182-85A3-BDF74E6B07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00010240</t>
        </r>
      </text>
    </comment>
    <comment ref="Q36" authorId="0" shapeId="0" xr:uid="{920EF634-5D9C-458C-84F4-EBE05A5652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85024</t>
        </r>
      </text>
    </comment>
    <comment ref="T36" authorId="0" shapeId="0" xr:uid="{00293A9A-78DB-4FE0-9355-9A4B0BEA6E3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5131
</t>
        </r>
      </text>
    </comment>
    <comment ref="U37" authorId="0" shapeId="0" xr:uid="{580BCBAD-7D09-4E03-860B-A8E9F2C4DF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5569
</t>
        </r>
      </text>
    </comment>
    <comment ref="Q38" authorId="0" shapeId="0" xr:uid="{F95767CB-014E-43CF-AC11-ACEE4C4D70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87600</t>
        </r>
      </text>
    </comment>
    <comment ref="U38" authorId="0" shapeId="0" xr:uid="{8AB372CD-2E21-4269-9175-0042E7338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5568
</t>
        </r>
      </text>
    </comment>
    <comment ref="Q42" authorId="0" shapeId="0" xr:uid="{DD165927-8DEB-4A69-AB39-678F47CEE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00941480</t>
        </r>
      </text>
    </comment>
    <comment ref="R42" authorId="0" shapeId="0" xr:uid="{323426C5-91A3-4A42-8308-E6D6A869FB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00941346</t>
        </r>
      </text>
    </comment>
    <comment ref="S42" authorId="0" shapeId="0" xr:uid="{7098917F-3086-4640-949B-DE21D9DC4D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00042728
HD: 00042726
HD: 00042742
HD: 00042969
HD: 00006795</t>
        </r>
      </text>
    </comment>
    <comment ref="U43" authorId="0" shapeId="0" xr:uid="{F90BA202-56FB-43E2-8779-705003C211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6317</t>
        </r>
      </text>
    </comment>
    <comment ref="Q44" authorId="0" shapeId="0" xr:uid="{45D5461C-8ADB-4142-B9F8-270C1C06D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98412</t>
        </r>
      </text>
    </comment>
    <comment ref="U44" authorId="0" shapeId="0" xr:uid="{FC96BE19-A43E-4D09-97C6-7CEDE7B2070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00011750</t>
        </r>
      </text>
    </comment>
    <comment ref="Q45" authorId="0" shapeId="0" xr:uid="{EE3ABCE9-4519-4FFE-9C95-15DD2FB2C05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99331</t>
        </r>
      </text>
    </comment>
    <comment ref="T45" authorId="0" shapeId="0" xr:uid="{9779F744-93AC-4552-839A-D0D63CCB1C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6438
</t>
        </r>
      </text>
    </comment>
    <comment ref="T46" authorId="0" shapeId="0" xr:uid="{7AC1C8EC-212A-498D-8851-DF657BE6CBF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00001575
HD: 00001598</t>
        </r>
      </text>
    </comment>
    <comment ref="R48" authorId="0" shapeId="0" xr:uid="{BF66E4F0-5093-478E-8310-3102B28526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01121859</t>
        </r>
      </text>
    </comment>
    <comment ref="Q49" authorId="0" shapeId="0" xr:uid="{40ADC37D-ED44-49D2-86F6-1B66CA400A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112591</t>
        </r>
      </text>
    </comment>
    <comment ref="T50" authorId="0" shapeId="0" xr:uid="{878CF138-3E57-4181-8326-437EBB2B663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00001869</t>
        </r>
      </text>
    </comment>
    <comment ref="Q55" authorId="0" shapeId="0" xr:uid="{7D7B67FD-ADCC-4EA1-AC54-0E0EA99F2C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01273772
HD: 01268421</t>
        </r>
      </text>
    </comment>
    <comment ref="R55" authorId="0" shapeId="0" xr:uid="{A828CD4D-2D33-4503-9D40-A766BD3D80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01264171</t>
        </r>
      </text>
    </comment>
    <comment ref="T56" authorId="0" shapeId="0" xr:uid="{203970A1-CA3A-4F70-86A2-8D868D420F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00002010</t>
        </r>
      </text>
    </comment>
    <comment ref="R59" authorId="0" shapeId="0" xr:uid="{F7DF2D7E-86F9-409E-992B-A75961CA6A5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01413980</t>
        </r>
      </text>
    </comment>
    <comment ref="T60" authorId="0" shapeId="0" xr:uid="{6658CF35-1637-442B-96E3-EFA697798A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00002217
HD: 00002349</t>
        </r>
      </text>
    </comment>
    <comment ref="Q62" authorId="0" shapeId="0" xr:uid="{35A83C47-9C2E-4377-9763-DCE86078A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00026310
HD: 00025848
</t>
        </r>
      </text>
    </comment>
    <comment ref="S62" authorId="0" shapeId="0" xr:uid="{3AD32D57-858D-4C58-A4E5-88ED26B07C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1754
HD: 1755
HD: 1898
HD: 1899
HD: 1895
HD: 1894
HD: 2159
HD: 2160
HD: 2107
HD: 2108
</t>
        </r>
      </text>
    </comment>
    <comment ref="T63" authorId="0" shapeId="0" xr:uid="{98431DDE-9E30-45DA-B681-C438F4977D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00000061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P5" authorId="0" shapeId="0" xr:uid="{26443D70-C1D5-4172-AD95-EFFAC3060DB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00378628</t>
        </r>
      </text>
    </comment>
    <comment ref="Q5" authorId="0" shapeId="0" xr:uid="{080D74F2-3EA5-4034-A0B1-BEAF689C7DA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R5" authorId="0" shapeId="0" xr:uid="{F13371DA-4415-4083-985C-DB248DF0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30752
</t>
        </r>
      </text>
    </comment>
    <comment ref="S5" authorId="0" shapeId="0" xr:uid="{63C0E2DE-8FE9-4E43-AD5B-2900ED9C5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00691002</t>
        </r>
      </text>
    </comment>
    <comment ref="Q9" authorId="0" shapeId="0" xr:uid="{92F14BBF-81E8-463B-A767-8E456C724E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00735981
</t>
        </r>
      </text>
    </comment>
    <comment ref="R9" authorId="0" shapeId="0" xr:uid="{79650C07-574B-40A3-8027-0A32F6447C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00735887</t>
        </r>
      </text>
    </comment>
    <comment ref="Q10" authorId="0" shapeId="0" xr:uid="{1D5B207A-EC00-4C82-A193-EC5754A389A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00744045</t>
        </r>
      </text>
    </comment>
    <comment ref="R10" authorId="0" shapeId="0" xr:uid="{F66C8CCF-39B5-43C0-8068-AFD237885B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00743463</t>
        </r>
      </text>
    </comment>
    <comment ref="R12" authorId="0" shapeId="0" xr:uid="{DDB850EC-3824-43C0-9A37-983EEA1F939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00782862</t>
        </r>
      </text>
    </comment>
    <comment ref="Q15" authorId="0" shapeId="0" xr:uid="{8CECBDE1-55C7-491A-A317-586009D1F75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00818543</t>
        </r>
      </text>
    </comment>
    <comment ref="R15" authorId="0" shapeId="0" xr:uid="{090690F2-DB7C-4B14-92F3-A3B479946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00818534</t>
        </r>
      </text>
    </comment>
    <comment ref="R17" authorId="0" shapeId="0" xr:uid="{FB80DEEA-1CDF-4E31-B97B-61CA30BFF5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00846321</t>
        </r>
      </text>
    </comment>
    <comment ref="R24" authorId="0" shapeId="0" xr:uid="{C0842B8A-A968-4D8C-BCAE-859BA1A76CB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00934726</t>
        </r>
      </text>
    </comment>
    <comment ref="R25" authorId="0" shapeId="0" xr:uid="{76AC6B1F-4091-4832-9A09-D44D0890D3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00934641
</t>
        </r>
      </text>
    </comment>
    <comment ref="Q32" authorId="0" shapeId="0" xr:uid="{A42CCE97-318F-4F40-A678-71BE73AB12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01045423</t>
        </r>
      </text>
    </comment>
    <comment ref="R32" authorId="0" shapeId="0" xr:uid="{1A7F7AB3-3743-4EBA-AE07-EBC58222ED4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01045372</t>
        </r>
      </text>
    </comment>
    <comment ref="V35" authorId="0" shapeId="0" xr:uid="{105B1181-74CB-43BB-878A-7705C1C5049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00015465</t>
        </r>
      </text>
    </comment>
    <comment ref="R46" authorId="0" shapeId="0" xr:uid="{F75F4787-28B1-4BFF-BFD7-88EF9EBF28B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01228393</t>
        </r>
      </text>
    </comment>
    <comment ref="Q48" authorId="0" shapeId="0" xr:uid="{B8D5A074-8BF4-48AB-A14C-4A8532D2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01251471</t>
        </r>
      </text>
    </comment>
    <comment ref="R48" authorId="0" shapeId="0" xr:uid="{2703C752-672E-42C2-AEF4-B19687EAAE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01251456</t>
        </r>
      </text>
    </comment>
    <comment ref="Q52" authorId="0" shapeId="0" xr:uid="{E345D67B-50AB-4740-9892-4F51E933E9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00143133</t>
        </r>
      </text>
    </comment>
    <comment ref="R52" authorId="0" shapeId="0" xr:uid="{19B3656A-FAE0-4756-97C5-957EDFBCBB9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01297562</t>
        </r>
      </text>
    </comment>
    <comment ref="Q56" authorId="0" shapeId="0" xr:uid="{594C42DA-E8F9-494A-8190-D13A37B093A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01383392</t>
        </r>
      </text>
    </comment>
    <comment ref="R56" authorId="0" shapeId="0" xr:uid="{BA22B563-F49E-4A39-9C02-0C596A9B4F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01350171</t>
        </r>
      </text>
    </comment>
    <comment ref="R58" authorId="0" shapeId="0" xr:uid="{966D4A0F-81A7-415E-A2CF-51701504BCC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01399337</t>
        </r>
      </text>
    </comment>
    <comment ref="Q60" authorId="0" shapeId="0" xr:uid="{E2DB8B82-4037-4F2D-A536-D1AD7FB99B4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01406142</t>
        </r>
      </text>
    </comment>
    <comment ref="R60" authorId="0" shapeId="0" xr:uid="{C1EC7A1B-4E61-4F79-B4B5-4A10D2020E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01406131
</t>
        </r>
      </text>
    </comment>
    <comment ref="Q61" authorId="0" shapeId="0" xr:uid="{A2B26FA1-83EB-409A-97C3-89511A8A3E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01420069</t>
        </r>
      </text>
    </comment>
    <comment ref="R61" authorId="0" shapeId="0" xr:uid="{30AA2421-3724-49C0-81C5-4BFD0E30AC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01419307</t>
        </r>
      </text>
    </comment>
    <comment ref="Q67" authorId="0" shapeId="0" xr:uid="{DE8E5213-9DAD-4ED4-925B-098960218D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01461846
HD: 01461825</t>
        </r>
      </text>
    </comment>
    <comment ref="R67" authorId="0" shapeId="0" xr:uid="{18E5C51B-FA03-44E1-A579-F3F814AADCD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01461818</t>
        </r>
      </text>
    </comment>
    <comment ref="Q72" authorId="0" shapeId="0" xr:uid="{39C63AD3-2AA9-49C8-A680-6136DD096D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00042316
HD: 00042405</t>
        </r>
      </text>
    </comment>
    <comment ref="R72" authorId="0" shapeId="0" xr:uid="{A6CAE567-2280-4148-8DC2-90A8008B83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00042259</t>
        </r>
      </text>
    </comment>
    <comment ref="W72" authorId="0" shapeId="0" xr:uid="{40260974-5EF4-4EE5-8846-AD6E54C32E2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1227</t>
        </r>
      </text>
    </comment>
    <comment ref="R74" authorId="0" shapeId="0" xr:uid="{5B57FC4F-93E5-41BC-8B7E-0ABD01940D7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00049183</t>
        </r>
      </text>
    </comment>
    <comment ref="Q78" authorId="0" shapeId="0" xr:uid="{F6D7E772-0795-431E-8EA7-C32ABABFD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00096496</t>
        </r>
      </text>
    </comment>
    <comment ref="R78" authorId="0" shapeId="0" xr:uid="{9CA0F337-909A-489C-A84B-3AD50A44EC8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00096493</t>
        </r>
      </text>
    </comment>
    <comment ref="Q79" authorId="0" shapeId="0" xr:uid="{1E459534-16AA-4D0B-BC51-1F0CAE8240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7172
</t>
        </r>
      </text>
    </comment>
    <comment ref="Q80" authorId="0" shapeId="0" xr:uid="{08E8B548-EF09-47B8-B62E-F616AA5A4F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00130421</t>
        </r>
      </text>
    </comment>
    <comment ref="R80" authorId="0" shapeId="0" xr:uid="{FAA7FFF5-78D5-4647-84B7-12D100294B5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00130375</t>
        </r>
      </text>
    </comment>
    <comment ref="Q85" authorId="0" shapeId="0" xr:uid="{5A5366EE-D6CD-4C69-8663-DAEEE3D30B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00223444</t>
        </r>
      </text>
    </comment>
    <comment ref="Q86" authorId="0" shapeId="0" xr:uid="{8034C496-679D-4FDA-AA47-4D0D1EA4EE6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00223497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W22" authorId="0" shapeId="0" xr:uid="{78626C88-633D-4BD5-96C0-7736365980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22154</t>
        </r>
      </text>
    </comment>
    <comment ref="X22" authorId="0" shapeId="0" xr:uid="{25CD0FB7-62A7-48B4-905E-6BADCC6517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35154
</t>
        </r>
      </text>
    </comment>
    <comment ref="W23" authorId="0" shapeId="0" xr:uid="{5AAF9222-7AD3-40F4-A0A2-E141691D856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60022</t>
        </r>
      </text>
    </comment>
    <comment ref="X23" authorId="0" shapeId="0" xr:uid="{ADDC2487-8AD8-4A06-8C74-543A2AD814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75179
</t>
        </r>
      </text>
    </comment>
    <comment ref="W24" authorId="0" shapeId="0" xr:uid="{1E678484-3D4C-4BA4-9926-AC3E4E5236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00003552</t>
        </r>
      </text>
    </comment>
    <comment ref="X24" authorId="0" shapeId="0" xr:uid="{5DDA7B7F-5DB6-48B3-97F3-5E697384BA3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30014</t>
        </r>
      </text>
    </comment>
    <comment ref="W27" authorId="0" shapeId="0" xr:uid="{BC274E99-2D71-4305-BFE1-E2AE98E5CA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69740</t>
        </r>
      </text>
    </comment>
    <comment ref="X27" authorId="0" shapeId="0" xr:uid="{85C4FB31-389B-4B3E-AB06-9B4D245CAE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00050640</t>
        </r>
      </text>
    </comment>
    <comment ref="W28" authorId="0" shapeId="0" xr:uid="{7055FDA9-D30D-4CE4-8D7A-8B94B934AA2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69710</t>
        </r>
      </text>
    </comment>
    <comment ref="X28" authorId="0" shapeId="0" xr:uid="{A20AC47E-6ED0-41B6-942F-D33D1E7688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00050636</t>
        </r>
      </text>
    </comment>
    <comment ref="W29" authorId="0" shapeId="0" xr:uid="{E8F75711-6C45-42E4-9393-88FC2B7FF2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50335</t>
        </r>
      </text>
    </comment>
    <comment ref="X29" authorId="0" shapeId="0" xr:uid="{395273E2-D608-43C8-82C4-9AF5DC8D7DE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00050495</t>
        </r>
      </text>
    </comment>
    <comment ref="W30" authorId="0" shapeId="0" xr:uid="{10729FCC-C04A-44E8-84F8-235E1C4617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51064</t>
        </r>
      </text>
    </comment>
    <comment ref="X30" authorId="0" shapeId="0" xr:uid="{85C9306F-D39A-43EE-ACED-5035796E07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00051390</t>
        </r>
      </text>
    </comment>
    <comment ref="W31" authorId="0" shapeId="0" xr:uid="{9EC77140-39F1-4ED2-8240-D4F2CC2C3A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40153</t>
        </r>
      </text>
    </comment>
    <comment ref="X31" authorId="0" shapeId="0" xr:uid="{EE569569-9381-4D65-B8D9-7C34A622E0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40435</t>
        </r>
      </text>
    </comment>
    <comment ref="W32" authorId="0" shapeId="0" xr:uid="{7324A983-C6CA-490F-A59A-146CAFFE56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40443</t>
        </r>
      </text>
    </comment>
    <comment ref="X32" authorId="0" shapeId="0" xr:uid="{D634667F-91DA-41AE-BC10-26E8BEFC687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40926</t>
        </r>
      </text>
    </comment>
    <comment ref="W33" authorId="0" shapeId="0" xr:uid="{DDC590E8-8E6C-49C2-BFA2-C5D591D657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40532</t>
        </r>
      </text>
    </comment>
    <comment ref="X33" authorId="0" shapeId="0" xr:uid="{2CE57B4B-6E7F-44EB-90D5-3191E8F6AA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40928</t>
        </r>
      </text>
    </comment>
    <comment ref="W35" authorId="0" shapeId="0" xr:uid="{C637321B-9471-4ED7-8E91-49D14FFB65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77715</t>
        </r>
      </text>
    </comment>
    <comment ref="X35" authorId="0" shapeId="0" xr:uid="{F080A8D2-7045-4F6D-B636-48549031E4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00057248</t>
        </r>
      </text>
    </comment>
    <comment ref="W36" authorId="0" shapeId="0" xr:uid="{B851E449-D5B7-45ED-BC16-1BADA583EE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00379818</t>
        </r>
      </text>
    </comment>
    <comment ref="X36" authorId="0" shapeId="0" xr:uid="{2FE5F21F-69A7-4501-8655-8663B4166BC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31388</t>
        </r>
      </text>
    </comment>
    <comment ref="W37" authorId="0" shapeId="0" xr:uid="{4C0D31F5-6876-4170-8AE1-C93B0002A1D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10547</t>
        </r>
      </text>
    </comment>
    <comment ref="X37" authorId="0" shapeId="0" xr:uid="{97ADBD84-BF85-4761-80CB-2EB770DF87B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44985</t>
        </r>
      </text>
    </comment>
    <comment ref="W38" authorId="0" shapeId="0" xr:uid="{3FF15562-46A6-4E17-ADBA-97DA2EB4ED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16423
</t>
        </r>
      </text>
    </comment>
    <comment ref="X38" authorId="0" shapeId="0" xr:uid="{4668DC47-46D0-4337-BB6F-CE4B674A4FB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00050669</t>
        </r>
      </text>
    </comment>
    <comment ref="W39" authorId="0" shapeId="0" xr:uid="{2C9DF6D5-F289-4EA7-BBC3-EE4255211A7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8037</t>
        </r>
      </text>
    </comment>
    <comment ref="X39" authorId="0" shapeId="0" xr:uid="{ABFD16D0-59F7-40B8-B945-88A37C280A7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42940</t>
        </r>
      </text>
    </comment>
    <comment ref="W40" authorId="0" shapeId="0" xr:uid="{769B6785-D30D-444E-8936-8881BC923E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16606 </t>
        </r>
      </text>
    </comment>
    <comment ref="X40" authorId="0" shapeId="0" xr:uid="{F4602927-1794-46C7-BFED-D5DD50B6A14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00051324</t>
        </r>
      </text>
    </comment>
    <comment ref="W41" authorId="0" shapeId="0" xr:uid="{7C7D861D-BFE5-407E-9EB4-E110864C0F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114109</t>
        </r>
      </text>
    </comment>
    <comment ref="X41" authorId="0" shapeId="0" xr:uid="{53853457-67B7-4067-8542-3F565D6EA5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66798 </t>
        </r>
      </text>
    </comment>
    <comment ref="W42" authorId="0" shapeId="0" xr:uid="{14D5C5D9-BC13-4273-A73D-760540AB0F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51167
HD: 66918</t>
        </r>
      </text>
    </comment>
    <comment ref="X42" authorId="0" shapeId="0" xr:uid="{C1DD8FAF-CF5D-4521-ADA7-7F4EF4B8D1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00009439
HD: 53333</t>
        </r>
      </text>
    </comment>
    <comment ref="W46" authorId="0" shapeId="0" xr:uid="{F318C06D-6D0E-4E6D-A077-C37714E94D3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21622
HD: 21768
</t>
        </r>
      </text>
    </comment>
    <comment ref="X46" authorId="0" shapeId="0" xr:uid="{6B49809D-27B4-4C5F-A783-930D7F187F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55075
HD: 55096</t>
        </r>
      </text>
    </comment>
    <comment ref="W47" authorId="0" shapeId="0" xr:uid="{43D518D3-6B27-4409-9C77-3194FCCC56D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18623</t>
        </r>
      </text>
    </comment>
    <comment ref="X47" authorId="0" shapeId="0" xr:uid="{12E63857-426E-4C57-863B-AB00F2F86F7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57732
</t>
        </r>
      </text>
    </comment>
    <comment ref="W48" authorId="0" shapeId="0" xr:uid="{95D3F012-5BC9-48DA-AEE1-98705A4E3AE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106295 </t>
        </r>
      </text>
    </comment>
    <comment ref="X48" authorId="0" shapeId="0" xr:uid="{8807A5A0-1CDB-40F1-AF3B-984B80BAF9B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56606</t>
        </r>
      </text>
    </comment>
    <comment ref="W49" authorId="0" shapeId="0" xr:uid="{1B88D75F-DC42-44F5-84D0-6E54B5952D7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81142</t>
        </r>
      </text>
    </comment>
    <comment ref="X49" authorId="0" shapeId="0" xr:uid="{39FD73F0-56D4-49E4-965C-7C56393B6FC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58730</t>
        </r>
      </text>
    </comment>
    <comment ref="W50" authorId="0" shapeId="0" xr:uid="{49FA7703-C0D0-4BA7-A7CD-FEF9FE0DE06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59275</t>
        </r>
      </text>
    </comment>
    <comment ref="X50" authorId="0" shapeId="0" xr:uid="{F27128E1-C830-4219-A7A2-4F84EAB2C0E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64124</t>
        </r>
      </text>
    </comment>
    <comment ref="W51" authorId="0" shapeId="0" xr:uid="{032BD1BA-1C6A-416D-8CAE-80D4841F919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59650</t>
        </r>
      </text>
    </comment>
    <comment ref="X51" authorId="0" shapeId="0" xr:uid="{0150AA03-460F-4305-8263-08B1516446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60231</t>
        </r>
      </text>
    </comment>
    <comment ref="W52" authorId="0" shapeId="0" xr:uid="{96AAEE4E-5896-4F1C-AD7C-E29EFA6C10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6881
</t>
        </r>
      </text>
    </comment>
    <comment ref="X52" authorId="0" shapeId="0" xr:uid="{6633EBE6-E149-40BD-9733-50AC46B232F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68218
</t>
        </r>
      </text>
    </comment>
    <comment ref="W53" authorId="0" shapeId="0" xr:uid="{A7BEF572-9665-48DD-BE81-90D145A6D7B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20816</t>
        </r>
      </text>
    </comment>
    <comment ref="X53" authorId="0" shapeId="0" xr:uid="{3B97CD47-17FB-432A-8005-CA51A3AD19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61199</t>
        </r>
      </text>
    </comment>
    <comment ref="W55" authorId="0" shapeId="0" xr:uid="{741C4EE8-19D5-48BE-825B-0BB03B8723E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</t>
        </r>
      </text>
    </comment>
    <comment ref="X55" authorId="0" shapeId="0" xr:uid="{DDBE1C43-BFD8-43CD-8E89-53611E3D944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61961</t>
        </r>
      </text>
    </comment>
    <comment ref="W56" authorId="0" shapeId="0" xr:uid="{DC4DB838-BDF2-4DBD-BDCF-A41A08B0FC8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66596
</t>
        </r>
      </text>
    </comment>
    <comment ref="X56" authorId="0" shapeId="0" xr:uid="{77079637-A3D2-45DE-962D-50AA691931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146378</t>
        </r>
      </text>
    </comment>
    <comment ref="W58" authorId="0" shapeId="0" xr:uid="{3979AA3F-15D8-46E3-993F-E6AABA754A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148772</t>
        </r>
      </text>
    </comment>
    <comment ref="X58" authorId="0" shapeId="0" xr:uid="{456845FD-E322-41ED-9D0C-8570FF38A44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70049</t>
        </r>
      </text>
    </comment>
    <comment ref="W59" authorId="0" shapeId="0" xr:uid="{B30F2C73-7355-4990-8EAA-9D6346F8FE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00046140</t>
        </r>
      </text>
    </comment>
    <comment ref="X59" authorId="0" shapeId="0" xr:uid="{2D822D41-5DDB-4DBC-BAD3-C3A33437E0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85846</t>
        </r>
      </text>
    </comment>
    <comment ref="W60" authorId="0" shapeId="0" xr:uid="{7C29DBFA-638B-4DC8-86E2-9DDFDC4A25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117108</t>
        </r>
      </text>
    </comment>
    <comment ref="X60" authorId="0" shapeId="0" xr:uid="{0849DCD6-EC90-49EC-82D7-F65E15CED1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64287</t>
        </r>
      </text>
    </comment>
    <comment ref="W61" authorId="0" shapeId="0" xr:uid="{9F6CE9E7-1B87-4C50-8AD3-0745B2B5021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114915</t>
        </r>
      </text>
    </comment>
    <comment ref="X61" authorId="0" shapeId="0" xr:uid="{5EE10324-5421-47EF-A205-9F81016396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64978</t>
        </r>
      </text>
    </comment>
    <comment ref="V62" authorId="0" shapeId="0" xr:uid="{4DF33641-B11B-4713-BFF9-8CEF8D012C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00579263 
</t>
        </r>
      </text>
    </comment>
    <comment ref="W62" authorId="0" shapeId="0" xr:uid="{662EBDD4-567C-4D18-8D5F-AAE592C039E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00579033</t>
        </r>
      </text>
    </comment>
    <comment ref="X62" authorId="0" shapeId="0" xr:uid="{C2023649-D980-4582-877C-E5FCABCB763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00158626
HD: 00158220</t>
        </r>
      </text>
    </comment>
    <comment ref="W63" authorId="0" shapeId="0" xr:uid="{A461ED60-EBB8-4760-8957-E1BE62730BD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88453</t>
        </r>
      </text>
    </comment>
    <comment ref="X63" authorId="0" shapeId="0" xr:uid="{3B319550-C610-439B-9CB9-5E75B522CA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00595023
</t>
        </r>
      </text>
    </comment>
    <comment ref="W65" authorId="0" shapeId="0" xr:uid="{59770700-C3D0-4A65-980C-A65B265A90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90744</t>
        </r>
      </text>
    </comment>
    <comment ref="X65" authorId="0" shapeId="0" xr:uid="{F6C16578-56F9-448C-A3E8-A249BBFF7C1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00074554</t>
        </r>
      </text>
    </comment>
    <comment ref="W66" authorId="0" shapeId="0" xr:uid="{42863742-87F5-4446-82E3-C490336943C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00123024</t>
        </r>
      </text>
    </comment>
    <comment ref="X66" authorId="0" shapeId="0" xr:uid="{9EDB4983-0AFC-47FD-8F79-EDA3752A74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00074552</t>
        </r>
      </text>
    </comment>
    <comment ref="W67" authorId="0" shapeId="0" xr:uid="{9DE436B0-8882-417D-9D5C-772064724F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00063131</t>
        </r>
      </text>
    </comment>
    <comment ref="X67" authorId="0" shapeId="0" xr:uid="{A7C86A1E-BF6C-4C41-8E03-1F748E61C0E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95885</t>
        </r>
      </text>
    </comment>
    <comment ref="W68" authorId="0" shapeId="0" xr:uid="{2C6EEAAB-B322-4B5A-AC71-31596973797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24038</t>
        </r>
      </text>
    </comment>
    <comment ref="X68" authorId="0" shapeId="0" xr:uid="{751350C1-2FDA-479C-9526-7F68B73AEC6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95886
</t>
        </r>
      </text>
    </comment>
    <comment ref="W69" authorId="0" shapeId="0" xr:uid="{60E60B31-3854-43C6-840E-5EF5BB6A4A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1217</t>
        </r>
      </text>
    </comment>
    <comment ref="X69" authorId="0" shapeId="0" xr:uid="{2F67597E-1015-41BE-AE6F-C29B21D96B5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167709</t>
        </r>
      </text>
    </comment>
    <comment ref="W70" authorId="0" shapeId="0" xr:uid="{8627EEAB-A499-4370-92B2-4E83515A2D1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24814</t>
        </r>
      </text>
    </comment>
    <comment ref="X70" authorId="0" shapeId="0" xr:uid="{FB45AF4D-3507-4F9A-B628-A1B98863F0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79767</t>
        </r>
      </text>
    </comment>
    <comment ref="W72" authorId="0" shapeId="0" xr:uid="{B1B8EB15-DA57-4970-B3BC-69F9713690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99301</t>
        </r>
      </text>
    </comment>
    <comment ref="X72" authorId="0" shapeId="0" xr:uid="{C55DD69A-5941-4DC6-8E12-4B835D00220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82923</t>
        </r>
      </text>
    </comment>
    <comment ref="W73" authorId="0" shapeId="0" xr:uid="{6BC6DF97-D594-4096-9E2E-5E2D473CB4F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00015087
</t>
        </r>
      </text>
    </comment>
    <comment ref="X73" authorId="0" shapeId="0" xr:uid="{F8B18320-1453-4E65-B4CC-1A422279740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82612</t>
        </r>
      </text>
    </comment>
    <comment ref="W74" authorId="0" shapeId="0" xr:uid="{2CB8C408-1F90-4BD8-B94A-B384B0804A5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12766</t>
        </r>
      </text>
    </comment>
    <comment ref="X74" authorId="0" shapeId="0" xr:uid="{0630FE99-D142-4F53-93D4-3B5DDA1AB2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176195</t>
        </r>
      </text>
    </comment>
    <comment ref="W75" authorId="0" shapeId="0" xr:uid="{85C57B7C-524E-4E5C-BD84-045F17FE8A4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139595</t>
        </r>
      </text>
    </comment>
    <comment ref="X75" authorId="0" shapeId="0" xr:uid="{C1317AE6-3ED7-41FE-9EC4-B28ECC8B92E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128859</t>
        </r>
      </text>
    </comment>
    <comment ref="V95" authorId="0" shapeId="0" xr:uid="{0E2EDD82-6464-4064-B262-811089A644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00832390</t>
        </r>
      </text>
    </comment>
    <comment ref="W95" authorId="0" shapeId="0" xr:uid="{1A003C40-ED27-44ED-9EF9-D46ECFB71EAA}">
      <text>
        <r>
          <rPr>
            <b/>
            <sz val="9"/>
            <color indexed="81"/>
            <rFont val="Tahoma"/>
            <family val="2"/>
          </rPr>
          <t xml:space="preserve">APC:
</t>
        </r>
        <r>
          <rPr>
            <sz val="9"/>
            <color indexed="81"/>
            <rFont val="Tahoma"/>
            <family val="2"/>
          </rPr>
          <t>HD: 00822519</t>
        </r>
      </text>
    </comment>
    <comment ref="X95" authorId="0" shapeId="0" xr:uid="{739EAAE1-CC17-400F-9C61-5DE6FC6735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128466</t>
        </r>
      </text>
    </comment>
    <comment ref="W97" authorId="0" shapeId="0" xr:uid="{E320DF58-D8B0-4169-81C4-1037290C968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0016421
HD: 00164151</t>
        </r>
      </text>
    </comment>
    <comment ref="X97" authorId="0" shapeId="0" xr:uid="{256434CA-AA2A-4665-AD32-55C46ED86EE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103402
HD: 103405
</t>
        </r>
      </text>
    </comment>
    <comment ref="W98" authorId="0" shapeId="0" xr:uid="{988ED536-241F-4235-941C-20AA9C0D08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209492</t>
        </r>
      </text>
    </comment>
    <comment ref="X98" authorId="0" shapeId="0" xr:uid="{D4B5B6B0-7B96-48E5-84B8-A26FB2E13A8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95887</t>
        </r>
      </text>
    </comment>
    <comment ref="W99" authorId="0" shapeId="0" xr:uid="{D5E7665C-90A8-48AA-8291-8777024EDEB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211123</t>
        </r>
      </text>
    </comment>
    <comment ref="X99" authorId="0" shapeId="0" xr:uid="{CDAAA8D0-952B-4C55-B839-EA0583DD389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96994
</t>
        </r>
      </text>
    </comment>
    <comment ref="W100" authorId="0" shapeId="0" xr:uid="{05136AAA-9FAB-4B0F-BFE4-617B957A752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221770</t>
        </r>
      </text>
    </comment>
    <comment ref="X100" authorId="0" shapeId="0" xr:uid="{D3A25D07-03A2-4FED-8B68-C39FEED565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102094</t>
        </r>
      </text>
    </comment>
    <comment ref="W101" authorId="0" shapeId="0" xr:uid="{BEFFCC23-6951-4B8B-9820-4DCCA00196F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33231
</t>
        </r>
      </text>
    </comment>
    <comment ref="X101" authorId="0" shapeId="0" xr:uid="{9A7BECBC-11F4-421D-AD0C-B0E6F19EF9F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103605</t>
        </r>
      </text>
    </comment>
    <comment ref="W102" authorId="0" shapeId="0" xr:uid="{1D98FB74-B34C-4157-82C2-7D7E314F021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107697</t>
        </r>
      </text>
    </comment>
    <comment ref="X102" authorId="0" shapeId="0" xr:uid="{96C53495-ADCC-4739-A1E0-65E8FBDE129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112151</t>
        </r>
      </text>
    </comment>
    <comment ref="W103" authorId="0" shapeId="0" xr:uid="{0013786A-1462-4C13-B0F9-EEFEB4A6FCF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107946
</t>
        </r>
      </text>
    </comment>
    <comment ref="X103" authorId="0" shapeId="0" xr:uid="{CB288919-245B-41B1-A298-13C1695C10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112153
</t>
        </r>
      </text>
    </comment>
    <comment ref="W104" authorId="0" shapeId="0" xr:uid="{3C88BDCF-8460-4DE9-9A6C-3E1E158C38C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00007705</t>
        </r>
      </text>
    </comment>
    <comment ref="X104" authorId="0" shapeId="0" xr:uid="{671539CE-1568-43DC-B069-D38B88CACA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134404
</t>
        </r>
      </text>
    </comment>
    <comment ref="W105" authorId="0" shapeId="0" xr:uid="{107AF7BD-4851-4F33-A648-1955210A211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00020051
HD: 00020050
</t>
        </r>
      </text>
    </comment>
    <comment ref="X105" authorId="0" shapeId="0" xr:uid="{59F45C48-A6DE-4C3F-8CAD-D637B13D177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113682
HD: 113679</t>
        </r>
      </text>
    </comment>
    <comment ref="W108" authorId="0" shapeId="0" xr:uid="{9C8CB083-6673-4496-A702-74F0D1FFD43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186962
</t>
        </r>
      </text>
    </comment>
    <comment ref="X108" authorId="0" shapeId="0" xr:uid="{B5FAD060-0656-406F-976E-7048B012A78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109892</t>
        </r>
      </text>
    </comment>
    <comment ref="W109" authorId="0" shapeId="0" xr:uid="{47D59C5E-2B19-4027-93E0-53346ECCDD9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37493
</t>
        </r>
      </text>
    </comment>
    <comment ref="X109" authorId="0" shapeId="0" xr:uid="{AAC4827C-E1C7-44FD-B645-B3395CC5E54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119729</t>
        </r>
      </text>
    </comment>
    <comment ref="W110" authorId="0" shapeId="0" xr:uid="{FAB27305-6F32-4D5D-BA88-EDEFC10FD3D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37864</t>
        </r>
      </text>
    </comment>
    <comment ref="X110" authorId="0" shapeId="0" xr:uid="{0FD9FCA2-D777-4CA8-8C1F-5C9385025E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115957
</t>
        </r>
      </text>
    </comment>
    <comment ref="V115" authorId="0" shapeId="0" xr:uid="{39F8EAC3-C3D5-4C06-B051-45DB27FE140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00965725</t>
        </r>
      </text>
    </comment>
    <comment ref="W115" authorId="0" shapeId="0" xr:uid="{D9F686D2-0080-45A7-B152-558812633A0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00961068</t>
        </r>
      </text>
    </comment>
    <comment ref="X115" authorId="0" shapeId="0" xr:uid="{BC2A1B73-EF4A-40FE-AB31-218A6A0E978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00006965
HD: 00071844</t>
        </r>
      </text>
    </comment>
    <comment ref="W116" authorId="0" shapeId="0" xr:uid="{D281862F-5604-4E5F-BAD6-17B63169CCF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245545</t>
        </r>
      </text>
    </comment>
    <comment ref="X116" authorId="0" shapeId="0" xr:uid="{C426EC67-09EC-43A4-810E-C20C62154B7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119522
</t>
        </r>
      </text>
    </comment>
    <comment ref="W117" authorId="0" shapeId="0" xr:uid="{AA1E68F1-F621-4AC9-AE68-63BB955C77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195693</t>
        </r>
      </text>
    </comment>
    <comment ref="X117" authorId="0" shapeId="0" xr:uid="{747003FE-3C23-48F7-B16B-22537EFBE1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175342</t>
        </r>
      </text>
    </comment>
    <comment ref="W118" authorId="0" shapeId="0" xr:uid="{8344D113-2663-456A-87EB-B4165E26B6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114422
</t>
        </r>
      </text>
    </comment>
    <comment ref="X118" authorId="0" shapeId="0" xr:uid="{8CD1ECE2-B983-4BAD-BD5E-5E279F3AAA5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114695
</t>
        </r>
      </text>
    </comment>
    <comment ref="W119" authorId="0" shapeId="0" xr:uid="{7B5A7280-0D69-4D7E-95FC-23D3BE9CC10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120827</t>
        </r>
      </text>
    </comment>
    <comment ref="X119" authorId="0" shapeId="0" xr:uid="{DB2B50CE-2305-47B1-963F-DDBA158F49D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121037</t>
        </r>
      </text>
    </comment>
    <comment ref="W120" authorId="0" shapeId="0" xr:uid="{03758E69-D30C-4C6C-9C0E-086865BE199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00007313</t>
        </r>
      </text>
    </comment>
    <comment ref="X120" authorId="0" shapeId="0" xr:uid="{DD085CD2-9C3E-4E00-9FEC-D8FC643EC6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151351
</t>
        </r>
      </text>
    </comment>
    <comment ref="W121" authorId="0" shapeId="0" xr:uid="{1A0B560F-3F01-4F75-B4BD-BF1F31B1E72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252839</t>
        </r>
      </text>
    </comment>
    <comment ref="X121" authorId="0" shapeId="0" xr:uid="{E90BF52D-F4A9-4BF6-9A24-FAC32AA1DC6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117727</t>
        </r>
      </text>
    </comment>
    <comment ref="W122" authorId="0" shapeId="0" xr:uid="{51BC0EE3-66E7-43BD-ACB4-AFB26EE1FA1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117871</t>
        </r>
      </text>
    </comment>
    <comment ref="X122" authorId="0" shapeId="0" xr:uid="{65DB2163-665A-4E46-81A7-498B5D7F7F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18177</t>
        </r>
      </text>
    </comment>
    <comment ref="W123" authorId="0" shapeId="0" xr:uid="{CDEBDBDE-702C-46AB-810B-6497D556E6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00027316</t>
        </r>
      </text>
    </comment>
    <comment ref="X123" authorId="0" shapeId="0" xr:uid="{3C9291F6-7B48-4A30-B1AE-52512771E3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183795</t>
        </r>
      </text>
    </comment>
    <comment ref="W124" authorId="0" shapeId="0" xr:uid="{631D39DD-0D96-41AA-BE3D-4A6B5D759B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258830</t>
        </r>
      </text>
    </comment>
    <comment ref="X124" authorId="0" shapeId="0" xr:uid="{C936A4C0-6883-454A-89BF-B34F267D616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121283</t>
        </r>
      </text>
    </comment>
    <comment ref="W125" authorId="0" shapeId="0" xr:uid="{ED16A927-FE4E-4D52-ABF6-D6209AF2DB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15892
</t>
        </r>
      </text>
    </comment>
    <comment ref="X125" authorId="0" shapeId="0" xr:uid="{7BA049F2-0349-46B7-A400-330F8E6D0C5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156426</t>
        </r>
      </text>
    </comment>
    <comment ref="W126" authorId="0" shapeId="0" xr:uid="{92624C2D-1F3B-4ACE-9D0D-A37BE8FE14E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54227</t>
        </r>
      </text>
    </comment>
    <comment ref="X126" authorId="0" shapeId="0" xr:uid="{4F1DE7CF-4D01-4823-B62C-6E0338DBF14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01034881</t>
        </r>
      </text>
    </comment>
    <comment ref="W127" authorId="0" shapeId="0" xr:uid="{F27915D2-2F28-4C67-8D77-79C7E1E22CB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38078</t>
        </r>
      </text>
    </comment>
    <comment ref="W128" authorId="0" shapeId="0" xr:uid="{3106BD0A-B77D-4EFA-99E9-B08D7C37EB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19570</t>
        </r>
      </text>
    </comment>
    <comment ref="X128" authorId="0" shapeId="0" xr:uid="{714193E1-46EF-4515-9ED2-F3DAB56D3A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162044</t>
        </r>
      </text>
    </comment>
    <comment ref="W129" authorId="0" shapeId="0" xr:uid="{3963E47A-F7D2-42A4-86EA-D8BA5D47C5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58115</t>
        </r>
      </text>
    </comment>
    <comment ref="X129" authorId="0" shapeId="0" xr:uid="{A3FA1FB0-2D78-46CE-A044-1C7635FD42C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01070746</t>
        </r>
      </text>
    </comment>
    <comment ref="W130" authorId="0" shapeId="0" xr:uid="{A8422607-699A-4461-905B-C3AC84968AE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01027166</t>
        </r>
      </text>
    </comment>
    <comment ref="X130" authorId="0" shapeId="0" xr:uid="{B97172A5-4278-4CE9-805C-A70F70AA8FB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</t>
        </r>
      </text>
    </comment>
    <comment ref="W132" authorId="0" shapeId="0" xr:uid="{AA00BAEA-8231-4F53-B451-05D6E78722D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01066665</t>
        </r>
      </text>
    </comment>
    <comment ref="X132" authorId="0" shapeId="0" xr:uid="{014FC1EB-D2B5-4C80-89A8-96A41CBDE3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00154817 </t>
        </r>
      </text>
    </comment>
    <comment ref="W133" authorId="0" shapeId="0" xr:uid="{6503B682-53B0-4D3C-AA85-7717546FF2B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01074772</t>
        </r>
      </text>
    </comment>
    <comment ref="X133" authorId="0" shapeId="0" xr:uid="{9F55B712-BFEA-458C-A32A-7280FE54BD5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00286642</t>
        </r>
      </text>
    </comment>
    <comment ref="W137" authorId="0" shapeId="0" xr:uid="{94FC6E82-B17E-4807-84F4-76A3EC4D38A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01186804</t>
        </r>
      </text>
    </comment>
    <comment ref="W138" authorId="0" shapeId="0" xr:uid="{8E11B0AE-7CAD-4401-8EE6-2DBFC642AFA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01196056</t>
        </r>
      </text>
    </comment>
    <comment ref="W139" authorId="0" shapeId="0" xr:uid="{9EDD7B36-548A-4865-8B8E-A894653F412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01219103</t>
        </r>
      </text>
    </comment>
    <comment ref="W140" authorId="0" shapeId="0" xr:uid="{4722E62A-F25E-492D-9B16-7A9E540D51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136936
</t>
        </r>
      </text>
    </comment>
    <comment ref="X140" authorId="0" shapeId="0" xr:uid="{D75AE843-61B8-4EC5-826D-392F7CECAB0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132385</t>
        </r>
      </text>
    </comment>
    <comment ref="W141" authorId="0" shapeId="0" xr:uid="{4AC76C32-5411-46AF-8A7D-2AD877FE8E4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20810</t>
        </r>
      </text>
    </comment>
    <comment ref="X141" authorId="0" shapeId="0" xr:uid="{E7A04B6F-E6D2-4930-9AEB-288D8B7F71F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133877</t>
        </r>
      </text>
    </comment>
    <comment ref="W142" authorId="0" shapeId="0" xr:uid="{56A1225B-1B02-4BDF-B0B2-89C34F311A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205033</t>
        </r>
      </text>
    </comment>
    <comment ref="X142" authorId="0" shapeId="0" xr:uid="{4B7F019B-DC0A-4C7D-957B-966925A57B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175786
</t>
        </r>
      </text>
    </comment>
    <comment ref="W144" authorId="0" shapeId="0" xr:uid="{79980807-99B5-4003-8622-81692543938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00228793</t>
        </r>
      </text>
    </comment>
    <comment ref="X144" authorId="0" shapeId="0" xr:uid="{E8EA33BA-74FB-47FD-98C0-3FE2EF6C9C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210137</t>
        </r>
      </text>
    </comment>
    <comment ref="X150" authorId="0" shapeId="0" xr:uid="{9CAFED75-4F9D-4B53-8229-22E85707E7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218827</t>
        </r>
      </text>
    </comment>
    <comment ref="W151" authorId="0" shapeId="0" xr:uid="{7D263D62-6FD5-4ACE-A6C4-5CA549F3E4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01253822</t>
        </r>
      </text>
    </comment>
    <comment ref="X151" authorId="0" shapeId="0" xr:uid="{40DFE732-3966-4711-907C-97FC11160F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00079023</t>
        </r>
      </text>
    </comment>
    <comment ref="W152" authorId="0" shapeId="0" xr:uid="{7E432995-C446-43DA-B18D-98C28FA55CD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01253862</t>
        </r>
      </text>
    </comment>
    <comment ref="X152" authorId="0" shapeId="0" xr:uid="{0FB9ED6A-3AF0-42BA-9D21-B6C242164CB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00085680
</t>
        </r>
      </text>
    </comment>
    <comment ref="W153" authorId="0" shapeId="0" xr:uid="{8E0C02E1-976C-4F28-A99F-41F4F5D588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64527</t>
        </r>
      </text>
    </comment>
    <comment ref="X153" authorId="0" shapeId="0" xr:uid="{4E9B7595-AD4C-458A-97F0-7E7B439BFDA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221972
</t>
        </r>
      </text>
    </comment>
    <comment ref="W154" authorId="0" shapeId="0" xr:uid="{64068B03-3595-4680-8A42-FAD55E45D5F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24073</t>
        </r>
      </text>
    </comment>
    <comment ref="X154" authorId="0" shapeId="0" xr:uid="{C6BEFE72-D68C-4227-AF2B-E4BBBC6378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152999</t>
        </r>
      </text>
    </comment>
    <comment ref="W156" authorId="0" shapeId="0" xr:uid="{42F16607-345D-4BEB-B3D9-83FE2A5E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29559</t>
        </r>
      </text>
    </comment>
    <comment ref="X156" authorId="0" shapeId="0" xr:uid="{9FECCD66-0BB6-499E-BDF1-74647977E1E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199977</t>
        </r>
      </text>
    </comment>
    <comment ref="W157" authorId="0" shapeId="0" xr:uid="{D6E46542-90FE-4D99-B7EC-2E8816688D0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00026611</t>
        </r>
      </text>
    </comment>
    <comment ref="X157" authorId="0" shapeId="0" xr:uid="{C339255B-8E3E-42AA-A9E3-8DAD7EF8F26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01303135</t>
        </r>
      </text>
    </comment>
    <comment ref="W158" authorId="0" shapeId="0" xr:uid="{86A0BDD7-E336-4894-A475-E7A661F4B12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00070275</t>
        </r>
      </text>
    </comment>
    <comment ref="X158" authorId="0" shapeId="0" xr:uid="{F1EF6814-4D76-452F-B4A7-8303917E6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00179914</t>
        </r>
      </text>
    </comment>
    <comment ref="W159" authorId="0" shapeId="0" xr:uid="{A2ECDF8A-0515-44CF-A373-F2B0612BDC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01335411</t>
        </r>
      </text>
    </comment>
    <comment ref="W160" authorId="0" shapeId="0" xr:uid="{9F2DB34F-B106-4FDF-8AEF-011FA60629F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00030349</t>
        </r>
      </text>
    </comment>
    <comment ref="W162" authorId="0" shapeId="0" xr:uid="{756EAA24-6BE5-4E7E-B089-EB3819E3478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01430546</t>
        </r>
      </text>
    </comment>
    <comment ref="X162" authorId="0" shapeId="0" xr:uid="{1A117BAB-F7FF-42ED-8709-2C9C4A1B1F2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00095890
</t>
        </r>
      </text>
    </comment>
    <comment ref="W163" authorId="0" shapeId="0" xr:uid="{F875143F-7AB3-4FCA-9AC1-3081924F5F5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01432261</t>
        </r>
      </text>
    </comment>
    <comment ref="X163" authorId="0" shapeId="0" xr:uid="{CFE32321-0FCF-488B-9770-F06E287D263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00096328</t>
        </r>
      </text>
    </comment>
    <comment ref="W164" authorId="0" shapeId="0" xr:uid="{87B5D8B4-CD15-487E-B4CA-589571C08D1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173112</t>
        </r>
      </text>
    </comment>
    <comment ref="X164" authorId="0" shapeId="0" xr:uid="{BD394A9C-8180-4A4B-BFA0-0C39579FFC2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317835</t>
        </r>
      </text>
    </comment>
    <comment ref="W165" authorId="0" shapeId="0" xr:uid="{BF70E39C-8231-4009-A15A-5DFD707698F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00275261
HD: 00274819</t>
        </r>
      </text>
    </comment>
    <comment ref="X165" authorId="0" shapeId="0" xr:uid="{FAFB3668-54DD-4FCE-89FB-2CA81EEDCEA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176563
HD: 175851
</t>
        </r>
      </text>
    </comment>
    <comment ref="W166" authorId="0" shapeId="0" xr:uid="{B23E3899-C3CF-4248-8B86-1351F07A784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52100</t>
        </r>
      </text>
    </comment>
    <comment ref="X166" authorId="0" shapeId="0" xr:uid="{E2A8C1A6-C945-4706-9693-7638806A315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225734
</t>
        </r>
      </text>
    </comment>
    <comment ref="W167" authorId="0" shapeId="0" xr:uid="{50E5752B-EF34-41DE-A4FB-25FE9020714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43773</t>
        </r>
      </text>
    </comment>
    <comment ref="X167" authorId="0" shapeId="0" xr:uid="{E4649F98-4444-43B7-8FF7-948A465FBE0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176999
</t>
        </r>
      </text>
    </comment>
    <comment ref="W168" authorId="0" shapeId="0" xr:uid="{668E61A9-E803-4413-8381-992C255A433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00043924
HD: 00043837
</t>
        </r>
      </text>
    </comment>
    <comment ref="X168" authorId="0" shapeId="0" xr:uid="{FEDEDC28-6CC3-4660-94CA-DD8B01B26CE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176986
HD: 177076
</t>
        </r>
      </text>
    </comment>
    <comment ref="W169" authorId="0" shapeId="0" xr:uid="{1D8D8711-3C06-481E-BA0B-67475333E5E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227274</t>
        </r>
      </text>
    </comment>
    <comment ref="X169" authorId="0" shapeId="0" xr:uid="{4E4F2AA5-7418-4F28-9038-8147A0B1892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0" authorId="0" shapeId="0" xr:uid="{1F05199D-D6A2-465E-898B-E7A8D510312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227185
</t>
        </r>
      </text>
    </comment>
    <comment ref="X170" authorId="0" shapeId="0" xr:uid="{70D027EA-943C-434F-A2C4-11777DC67D5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227439</t>
        </r>
      </text>
    </comment>
    <comment ref="W171" authorId="0" shapeId="0" xr:uid="{6BEB7363-A2FF-4771-9FB9-B8D17603C6B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227203</t>
        </r>
      </text>
    </comment>
    <comment ref="W172" authorId="0" shapeId="0" xr:uid="{766D12F2-F2E8-4914-A1F8-174896A082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54560</t>
        </r>
      </text>
    </comment>
    <comment ref="X172" authorId="0" shapeId="0" xr:uid="{E01E13E4-B5AE-447C-9D6B-1D242703411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3" authorId="0" shapeId="0" xr:uid="{38F97E6E-CEAE-401F-918E-FA6D08F938A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00101239
</t>
        </r>
      </text>
    </comment>
    <comment ref="X173" authorId="0" shapeId="0" xr:uid="{0E56611F-B5D8-4125-A984-8E3B9DC1A06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228870
</t>
        </r>
      </text>
    </comment>
    <comment ref="W176" authorId="0" shapeId="0" xr:uid="{CEE9E156-6BCE-4886-85C1-48DEBA0F236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2535</t>
        </r>
      </text>
    </comment>
    <comment ref="X176" authorId="0" shapeId="0" xr:uid="{2B9AF321-13F3-4373-AF29-540B2BC62EC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1693</t>
        </r>
      </text>
    </comment>
    <comment ref="W177" authorId="0" shapeId="0" xr:uid="{F93CD993-C5EE-4DA8-A661-26D049CDF43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3133
HD: 3325
</t>
        </r>
      </text>
    </comment>
    <comment ref="X177" authorId="0" shapeId="0" xr:uid="{931C164B-2F00-4D98-A33C-0A669DF912F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2367
HD: 2268
</t>
        </r>
      </text>
    </comment>
    <comment ref="W178" authorId="0" shapeId="0" xr:uid="{4CB20F9A-139C-45A1-9418-FC8B9DA8278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5523</t>
        </r>
      </text>
    </comment>
    <comment ref="X178" authorId="0" shapeId="0" xr:uid="{39ACB348-D166-4D1D-98C6-92D43C77463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3944
</t>
        </r>
      </text>
    </comment>
    <comment ref="W179" authorId="0" shapeId="0" xr:uid="{B49664AB-D764-4FE0-85E0-BFD63040D4C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3869
</t>
        </r>
      </text>
    </comment>
    <comment ref="X179" authorId="0" shapeId="0" xr:uid="{9118356E-8891-497F-859F-ED4FCE64C31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00001244
</t>
        </r>
      </text>
    </comment>
    <comment ref="W180" authorId="0" shapeId="0" xr:uid="{1A9560E0-DB45-4B32-9EE0-3157CA50F2D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00010698</t>
        </r>
      </text>
    </comment>
    <comment ref="X180" authorId="0" shapeId="0" xr:uid="{AF14B123-AF5B-4E69-9240-E4C8140D718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11316
</t>
        </r>
      </text>
    </comment>
    <comment ref="W181" authorId="0" shapeId="0" xr:uid="{05DF4DE1-2DB9-4F64-A887-DB16F41E2A2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00008428
HD: 00008260
</t>
        </r>
      </text>
    </comment>
    <comment ref="X181" authorId="0" shapeId="0" xr:uid="{13814568-C4F5-4032-9086-33682C6DED6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10350
HD: 10202
</t>
        </r>
      </text>
    </comment>
    <comment ref="W182" authorId="0" shapeId="0" xr:uid="{EC2EE95F-7F69-4473-8E79-61468608B69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3889</t>
        </r>
      </text>
    </comment>
    <comment ref="X182" authorId="0" shapeId="0" xr:uid="{C93D6500-AD68-4053-B528-0010F8B47089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 00015492</t>
        </r>
      </text>
    </comment>
    <comment ref="W183" authorId="0" shapeId="0" xr:uid="{1CA9BCAB-3FE1-46C4-AFA9-315D02662B4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17341</t>
        </r>
      </text>
    </comment>
    <comment ref="X183" authorId="0" shapeId="0" xr:uid="{5081F1D2-4E20-4170-8D37-013ECCC0EE7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16237</t>
        </r>
      </text>
    </comment>
    <comment ref="W184" authorId="0" shapeId="0" xr:uid="{8B0B58AF-9E2C-4BB2-AD44-0C2C2D48C85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00010046
HD: 00010171</t>
        </r>
      </text>
    </comment>
    <comment ref="X184" authorId="0" shapeId="0" xr:uid="{95D0EEE6-1B82-4F87-8E42-DCEB6BDA04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12643
HD: 12709
</t>
        </r>
      </text>
    </comment>
    <comment ref="W186" authorId="0" shapeId="0" xr:uid="{D873739A-ADC2-42CB-8A29-C713E9A0CCE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00124011</t>
        </r>
      </text>
    </comment>
    <comment ref="X186" authorId="0" shapeId="0" xr:uid="{3622844B-8A2F-4968-BEAC-2A53D220118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9566
</t>
        </r>
      </text>
    </comment>
    <comment ref="W187" authorId="0" shapeId="0" xr:uid="{057DB708-8209-44B0-ABEE-51A40B4D141A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00128350</t>
        </r>
      </text>
    </comment>
    <comment ref="X187" authorId="0" shapeId="0" xr:uid="{0F9BD399-80EF-40FD-8051-BF352188A667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20372</t>
        </r>
      </text>
    </comment>
    <comment ref="X189" authorId="0" shapeId="0" xr:uid="{307796AE-09F9-44EE-A9CC-A045FB3C9598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19248</t>
        </r>
      </text>
    </comment>
    <comment ref="W201" authorId="0" shapeId="0" xr:uid="{85C0EFCE-0813-4355-9CA5-5815B0A819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30166</t>
        </r>
      </text>
    </comment>
    <comment ref="X201" authorId="0" shapeId="0" xr:uid="{0FCE31B7-D984-487F-AEC9-C35052349404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24824</t>
        </r>
      </text>
    </comment>
    <comment ref="W216" authorId="0" shapeId="0" xr:uid="{B65BC8D5-365A-45B3-8A77-F16A61EAE6A2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67072
</t>
        </r>
      </text>
    </comment>
    <comment ref="W218" authorId="0" shapeId="0" xr:uid="{D45861BF-02C6-402D-912F-CA46F6ECCA90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00293977</t>
        </r>
      </text>
    </comment>
    <comment ref="X221" authorId="0" shapeId="0" xr:uid="{684B4A6C-D2C3-4D8A-9688-1C4A89731215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50610
HD: 00006816</t>
        </r>
      </text>
    </comment>
    <comment ref="X222" authorId="0" shapeId="0" xr:uid="{403A9394-A1BB-4BD8-8727-583BF965335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00055005</t>
        </r>
      </text>
    </comment>
    <comment ref="W224" authorId="0" shapeId="0" xr:uid="{2926B705-1FF5-45D8-ADDC-894756FCA3FB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36400</t>
        </r>
      </text>
    </comment>
    <comment ref="X224" authorId="0" shapeId="0" xr:uid="{EC018037-68D9-4C7C-B148-AFE5842EA2F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55004</t>
        </r>
      </text>
    </comment>
    <comment ref="W225" authorId="0" shapeId="0" xr:uid="{8867EE6F-DA7B-48F8-A054-9FDE2421F591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5345
</t>
        </r>
      </text>
    </comment>
    <comment ref="X227" authorId="0" shapeId="0" xr:uid="{63A403D9-C006-4426-B837-524068FB2423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99694
</t>
        </r>
      </text>
    </comment>
    <comment ref="X229" authorId="0" shapeId="0" xr:uid="{11DEC4E0-F8A1-42DA-82D3-6203758CABCE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00018820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Z92" authorId="0" shapeId="0" xr:uid="{87D8E133-7F39-4E17-B185-35C727B31DA2}">
      <text>
        <r>
          <rPr>
            <b/>
            <sz val="9"/>
            <color indexed="81"/>
            <rFont val="Tahoma"/>
            <charset val="1"/>
          </rPr>
          <t>Kim Ngan:</t>
        </r>
        <r>
          <rPr>
            <sz val="9"/>
            <color indexed="81"/>
            <rFont val="Tahoma"/>
            <charset val="1"/>
          </rPr>
          <t xml:space="preserve">
giám định TT3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Kim Ngan</author>
  </authors>
  <commentList>
    <comment ref="P21" authorId="0" shapeId="0" xr:uid="{C0740A6D-B5A6-4621-880B-50AAD5294FE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2" authorId="0" shapeId="0" xr:uid="{46965FD0-47A8-4E04-9864-435CA882D1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10/08/2025</t>
        </r>
      </text>
    </comment>
    <comment ref="P23" authorId="0" shapeId="0" xr:uid="{A19BF110-BEA0-43E3-AC12-86E01F34A7E6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26" authorId="0" shapeId="0" xr:uid="{C186CD18-7127-4DD6-A219-5A0EFFF5AF9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27" authorId="0" shapeId="0" xr:uid="{DB48A654-F5D9-4550-B7EB-E08337A0BB4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
</t>
        </r>
      </text>
    </comment>
    <comment ref="P29" authorId="0" shapeId="0" xr:uid="{5A875EFB-F481-4831-A502-AC02DD9133FB}">
      <text>
        <r>
          <rPr>
            <b/>
            <sz val="9"/>
            <color indexed="81"/>
            <rFont val="Tahoma"/>
            <family val="2"/>
          </rPr>
          <t>Kim Ngan:
ETD: 21/08/2025</t>
        </r>
      </text>
    </comment>
    <comment ref="P31" authorId="0" shapeId="0" xr:uid="{AC1466CB-CE7F-4B4B-8A4F-D23B5B0BEFBE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P36" authorId="0" shapeId="0" xr:uid="{3246F380-7DEE-45BA-B074-BF43684F505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08/08/2025</t>
        </r>
      </text>
    </comment>
    <comment ref="P37" authorId="0" shapeId="0" xr:uid="{62BC8790-EDAE-4D21-9A73-42F67C5F259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13/08/2025</t>
        </r>
      </text>
    </comment>
    <comment ref="P38" authorId="0" shapeId="0" xr:uid="{A6C9B4FE-D200-4003-B2D1-B2AE76A38D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28/08/2025</t>
        </r>
      </text>
    </comment>
    <comment ref="O51" authorId="0" shapeId="0" xr:uid="{EA06AFEE-3C47-43A2-8FF7-2E4AB89E6D42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2" authorId="0" shapeId="0" xr:uid="{84C4543B-ECF8-432F-BD66-C248AE201281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O59" authorId="0" shapeId="0" xr:uid="{1B699F87-92FA-4B61-9F6D-4AACC860F26D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O66" authorId="0" shapeId="0" xr:uid="{F6F1668D-B7A9-4838-8916-6FD9BD5FF31A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14/09/2025</t>
        </r>
      </text>
    </comment>
    <comment ref="N67" authorId="0" shapeId="0" xr:uid="{6529AF05-BB8A-41BC-9DFB-F170548C046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03/10/2025
</t>
        </r>
      </text>
    </comment>
    <comment ref="O67" authorId="0" shapeId="0" xr:uid="{8A710742-3026-4FCA-A22C-E8FE35BF0280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30/09/2025</t>
        </r>
      </text>
    </comment>
    <comment ref="N69" authorId="0" shapeId="0" xr:uid="{CEF736FB-320F-43FC-84C9-9A7DAA177D04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ETD: 04/10/2025</t>
        </r>
      </text>
    </comment>
    <comment ref="N70" authorId="0" shapeId="0" xr:uid="{CA26B156-21FE-4218-9024-C54885FB3FC8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  <comment ref="N84" authorId="0" shapeId="0" xr:uid="{3E673B98-D7B0-46F9-9DF5-AF4618ED9867}">
      <text>
        <r>
          <rPr>
            <b/>
            <sz val="9"/>
            <color indexed="81"/>
            <rFont val="Tahoma"/>
            <family val="2"/>
          </rPr>
          <t>Kim Ngan:</t>
        </r>
        <r>
          <rPr>
            <sz val="9"/>
            <color indexed="81"/>
            <rFont val="Tahoma"/>
            <family val="2"/>
          </rPr>
          <t xml:space="preserve">
04/10/2025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APC</author>
  </authors>
  <commentList>
    <comment ref="T9" authorId="0" shapeId="0" xr:uid="{A27BF77E-D5C5-43FD-9C47-3C22635FE67D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1546
</t>
        </r>
      </text>
    </comment>
    <comment ref="N10" authorId="0" shapeId="0" xr:uid="{987C8485-D266-4492-AB6D-1E05CDA1DDFC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00019883
</t>
        </r>
      </text>
    </comment>
    <comment ref="S16" authorId="0" shapeId="0" xr:uid="{23B42095-0526-4AA1-BA83-85D4A137ED26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00014619</t>
        </r>
      </text>
    </comment>
    <comment ref="S17" authorId="0" shapeId="0" xr:uid="{8331A3F3-98CB-4C74-B314-E3E6C830279F}">
      <text>
        <r>
          <rPr>
            <b/>
            <sz val="9"/>
            <color indexed="81"/>
            <rFont val="Tahoma"/>
            <family val="2"/>
          </rPr>
          <t>APC:</t>
        </r>
        <r>
          <rPr>
            <sz val="9"/>
            <color indexed="81"/>
            <rFont val="Tahoma"/>
            <family val="2"/>
          </rPr>
          <t xml:space="preserve">
HD: 00015052
</t>
        </r>
      </text>
    </comment>
  </commentList>
</comments>
</file>

<file path=xl/sharedStrings.xml><?xml version="1.0" encoding="utf-8"?>
<sst xmlns="http://schemas.openxmlformats.org/spreadsheetml/2006/main" count="16181" uniqueCount="8395">
  <si>
    <t xml:space="preserve">Chi phí làm hàng </t>
  </si>
  <si>
    <t>BÁO CÁO TỜ KHAI XUẤT NHẬP KHẨU</t>
  </si>
  <si>
    <t>STT</t>
  </si>
  <si>
    <t>Số TK</t>
  </si>
  <si>
    <t>Ngày ĐK</t>
  </si>
  <si>
    <t>Tạo Job</t>
  </si>
  <si>
    <t>Note</t>
  </si>
  <si>
    <t>Ngày tạm ứmg</t>
  </si>
  <si>
    <t>20'</t>
  </si>
  <si>
    <t>40'</t>
  </si>
  <si>
    <t>LCL / CONT NO.</t>
  </si>
  <si>
    <t>Nâng/hạ/
CSHT</t>
  </si>
  <si>
    <t xml:space="preserve">Chi phí 
làm hàng </t>
  </si>
  <si>
    <t>LCC/ CO</t>
  </si>
  <si>
    <t xml:space="preserve">Estimate tạm ứng </t>
  </si>
  <si>
    <t>Vận đơn/ BOOKING</t>
  </si>
  <si>
    <t>Ngày vận đơn</t>
  </si>
  <si>
    <t>Số lượng kiện</t>
  </si>
  <si>
    <t>Tổng trọng lượng hàng (Gross)</t>
  </si>
  <si>
    <t>Địa điểm lưu kho</t>
  </si>
  <si>
    <t>Tên địa điểm lưu kho</t>
  </si>
  <si>
    <t>Mã phương tiện vận chuyển</t>
  </si>
  <si>
    <t>Ngày đến</t>
  </si>
  <si>
    <t>Mã địa điểm dỡ hàng</t>
  </si>
  <si>
    <t>Tên địa điểm dỡ hàng</t>
  </si>
  <si>
    <t>Mã địa điểm xếp hàng</t>
  </si>
  <si>
    <t>Tên địa điểm xếp hàng</t>
  </si>
  <si>
    <t>Số lượng cont</t>
  </si>
  <si>
    <t>Số giấy phép</t>
  </si>
  <si>
    <t>Số hóa đơn TM</t>
  </si>
  <si>
    <t>Ngày HĐTM</t>
  </si>
  <si>
    <t>Tổng trị giá hóa đơn</t>
  </si>
  <si>
    <t>Phương thức thanh toán</t>
  </si>
  <si>
    <t>Điều kiện giá hóa đơn</t>
  </si>
  <si>
    <t>Ng.Tệ hóa đơn</t>
  </si>
  <si>
    <t>Tỷ giá VNĐ</t>
  </si>
  <si>
    <t>Phí BH</t>
  </si>
  <si>
    <t>Phí VC</t>
  </si>
  <si>
    <t>Người nộp thuế</t>
  </si>
  <si>
    <t>Trị giá KB</t>
  </si>
  <si>
    <t>Tổng trị giá TT</t>
  </si>
  <si>
    <t>Tổng tiền thuế</t>
  </si>
  <si>
    <t>Khoản điều chỉnh 1</t>
  </si>
  <si>
    <t>Khoản điều chỉnh 2</t>
  </si>
  <si>
    <t>Khoản điều chỉnh 3</t>
  </si>
  <si>
    <t>Khoản điều chỉnh 4</t>
  </si>
  <si>
    <t>Khoản điều chỉnh 5</t>
  </si>
  <si>
    <t>Lý do đề nghị BP</t>
  </si>
  <si>
    <t>Mã ngân hàng trả thuế</t>
  </si>
  <si>
    <t>Tên ngân hàng trả thuế</t>
  </si>
  <si>
    <t>Năm phát hành hạn mức</t>
  </si>
  <si>
    <t>Ký hiệu CT hạn mức</t>
  </si>
  <si>
    <t>Số CT hạn mức</t>
  </si>
  <si>
    <t>Mã xđ thời hạn nộp thuế</t>
  </si>
  <si>
    <t>Mã ngân hàng bảo lãnh</t>
  </si>
  <si>
    <t>Tên ngân hàng bảo lãnh</t>
  </si>
  <si>
    <t>Năm phát hành bảo lãnh</t>
  </si>
  <si>
    <t>Ký hiệu CT bảo lãnh</t>
  </si>
  <si>
    <t>Số hiệu CT bảo lãnh</t>
  </si>
  <si>
    <t>Số hợp đồng</t>
  </si>
  <si>
    <t>Ngày hợp đồng</t>
  </si>
  <si>
    <t>Ngày HHHĐ</t>
  </si>
  <si>
    <t>Trạng thái</t>
  </si>
  <si>
    <t>Phân luồng</t>
  </si>
  <si>
    <t>Ngày thông quan</t>
  </si>
  <si>
    <t>Tổng thuế XNK</t>
  </si>
  <si>
    <t>Tổng Thuế TV</t>
  </si>
  <si>
    <t>Số tiền miễn thuế XNK</t>
  </si>
  <si>
    <t>Tổng thuế PBĐX</t>
  </si>
  <si>
    <t>Tổng thuế TTĐB</t>
  </si>
  <si>
    <t>Tổng thuế MT</t>
  </si>
  <si>
    <t>Tổng thuế VAT</t>
  </si>
  <si>
    <t>Tổng lượng hàng</t>
  </si>
  <si>
    <t>Số hồ sơ TK</t>
  </si>
  <si>
    <t>Ghi chú</t>
  </si>
  <si>
    <t>Số điện thoại</t>
  </si>
  <si>
    <t>Mã doanh nghiệp</t>
  </si>
  <si>
    <t>Tên doanh nghiệp</t>
  </si>
  <si>
    <t>Mã phân loại khai trị giá</t>
  </si>
  <si>
    <t>Số hợp đồng xuất khẩu</t>
  </si>
  <si>
    <t>Số Record</t>
  </si>
  <si>
    <t>Nhà cung cấp</t>
  </si>
  <si>
    <t>Số chứng từ thanh toán</t>
  </si>
  <si>
    <t>Ngày chứng từ thanh toán</t>
  </si>
  <si>
    <t>Mã tiền tệ phí bảo hiểm</t>
  </si>
  <si>
    <t>Mã tiền tệ phí vận chuyển</t>
  </si>
  <si>
    <t>Địa chỉ đối tác 1</t>
  </si>
  <si>
    <t>Địa chỉ đối tác 2</t>
  </si>
  <si>
    <t>Địa chỉ đối tác 3</t>
  </si>
  <si>
    <t>Địa chỉ đối tác 4</t>
  </si>
  <si>
    <t>Ký hiệu và số bao bì</t>
  </si>
  <si>
    <t>Chi tiết khai trị giá</t>
  </si>
  <si>
    <t>Tariif</t>
  </si>
  <si>
    <t>Nâng</t>
  </si>
  <si>
    <t>Hạ</t>
  </si>
  <si>
    <t xml:space="preserve">Làm hàng </t>
  </si>
  <si>
    <t>Cơ sở hạ tầng</t>
  </si>
  <si>
    <t>C/O</t>
  </si>
  <si>
    <t>bộ</t>
  </si>
  <si>
    <t>Note:</t>
  </si>
  <si>
    <t>Chi phí làm hàng, chi hộ thuế</t>
  </si>
  <si>
    <t>KGN-23011165</t>
  </si>
  <si>
    <t>LCL</t>
  </si>
  <si>
    <t>GXSAG23014749</t>
  </si>
  <si>
    <t>KGN-23010881</t>
  </si>
  <si>
    <t>TEMU0499180</t>
  </si>
  <si>
    <t>Tên phương tiện vận chuyển</t>
  </si>
  <si>
    <t>OREA 033N</t>
  </si>
  <si>
    <t>XANH</t>
  </si>
  <si>
    <t>KGN-23010890</t>
  </si>
  <si>
    <t>HMMU6455630</t>
  </si>
  <si>
    <t>SGNE95488800</t>
  </si>
  <si>
    <t>ONE CYGNUS 013W</t>
  </si>
  <si>
    <t>KGN-23010900</t>
  </si>
  <si>
    <t>CULVSGN2300006</t>
  </si>
  <si>
    <t>CULU1924155</t>
  </si>
  <si>
    <t>ZHONG LIAN SHAN TOU 2249N</t>
  </si>
  <si>
    <t>305262991520</t>
  </si>
  <si>
    <t>305258522500</t>
  </si>
  <si>
    <t>305263342920</t>
  </si>
  <si>
    <t>KGN-23010127</t>
  </si>
  <si>
    <t>EGLV091230734256</t>
  </si>
  <si>
    <t xml:space="preserve">EGHU3209614
EITU0601582
EITU0611847
EITU3020621
EITU3088088 </t>
  </si>
  <si>
    <t>VÀNG</t>
  </si>
  <si>
    <t>KGN-23010147</t>
  </si>
  <si>
    <t>CMAU4185078
CMAU6460646
CMAU6971780</t>
  </si>
  <si>
    <t>XDQD906107</t>
  </si>
  <si>
    <t>KGN-23010636</t>
  </si>
  <si>
    <t>AIR</t>
  </si>
  <si>
    <t>625044315044</t>
  </si>
  <si>
    <t>KGN-23010438</t>
  </si>
  <si>
    <t>046CX04159</t>
  </si>
  <si>
    <t>WHSU4010385
WHSU4014122
WHSU4021060
WHSU4061989</t>
  </si>
  <si>
    <t>KGN-23010634</t>
  </si>
  <si>
    <t>TRHU4201790
BMOU5842873
CSNU8035111</t>
  </si>
  <si>
    <t>TAOHCM2479JHL12</t>
  </si>
  <si>
    <t>ĐỎ</t>
  </si>
  <si>
    <t>305274320100</t>
  </si>
  <si>
    <t>305280758550</t>
  </si>
  <si>
    <t>105216212840</t>
  </si>
  <si>
    <t>105216070740</t>
  </si>
  <si>
    <t>105216603700</t>
  </si>
  <si>
    <t xml:space="preserve">O22120116 </t>
  </si>
  <si>
    <t>VEJA18879</t>
  </si>
  <si>
    <t>VEJA18885</t>
  </si>
  <si>
    <t>XDQD906109</t>
  </si>
  <si>
    <t>OBLU8811520</t>
  </si>
  <si>
    <t>OOCU8561204
FFAU3543128</t>
  </si>
  <si>
    <t>CMAU7849817
CXDU1822749
SEKU5794524</t>
  </si>
  <si>
    <t>KGN-23010547</t>
  </si>
  <si>
    <t>KGN-23010635</t>
  </si>
  <si>
    <t>KGN-23010421</t>
  </si>
  <si>
    <t>KGN-23010419</t>
  </si>
  <si>
    <t>KGN-23010475</t>
  </si>
  <si>
    <t>305298946760</t>
  </si>
  <si>
    <t>28/01/2023</t>
  </si>
  <si>
    <t>305299496300</t>
  </si>
  <si>
    <t>30/01/2023</t>
  </si>
  <si>
    <t>TWCU2149130</t>
  </si>
  <si>
    <t>BSIU9382431
SEGU6915605</t>
  </si>
  <si>
    <t>JJS230010000253</t>
  </si>
  <si>
    <t>2712927350</t>
  </si>
  <si>
    <t>KGN-23011083</t>
  </si>
  <si>
    <t>KGN-23011084</t>
  </si>
  <si>
    <t>13/01/2023</t>
  </si>
  <si>
    <t>KGN-23010991</t>
  </si>
  <si>
    <t>105237755010</t>
  </si>
  <si>
    <t>A17CX12100</t>
  </si>
  <si>
    <t>BHCU3233988
IAAU2827590 
IAAU2872943</t>
  </si>
  <si>
    <t>KGN-23020023</t>
  </si>
  <si>
    <t>305303984920</t>
  </si>
  <si>
    <t>KHAI TK + THANH LÝ</t>
  </si>
  <si>
    <t>HASLS21221201107</t>
  </si>
  <si>
    <t>TRIU8095638</t>
  </si>
  <si>
    <t>SỐ
 ISO</t>
  </si>
  <si>
    <t>TKHQ</t>
  </si>
  <si>
    <t>NGÀY
TKHQ</t>
  </si>
  <si>
    <t>TẠO JOB</t>
  </si>
  <si>
    <t>SELLING + OBH
PENDING</t>
  </si>
  <si>
    <t>X/N</t>
  </si>
  <si>
    <t>MỨC</t>
  </si>
  <si>
    <t>Số kiện</t>
  </si>
  <si>
    <t xml:space="preserve">Estimate
 tạm ứng </t>
  </si>
  <si>
    <t>G.W
(KGS)</t>
  </si>
  <si>
    <t xml:space="preserve">Tên hàng </t>
  </si>
  <si>
    <t xml:space="preserve">Số Bill/ Booking </t>
  </si>
  <si>
    <t>Ngày 
ETA/ Cut off</t>
  </si>
  <si>
    <t>CẢNG</t>
  </si>
  <si>
    <t>Số cont/
seal</t>
  </si>
  <si>
    <t>Ngày giao/Xếp hàng</t>
  </si>
  <si>
    <t>PHÍ NÂNG</t>
  </si>
  <si>
    <t>PHÍ HẠ</t>
  </si>
  <si>
    <t>PHÍ CHỨNG TỪ
(TM)</t>
  </si>
  <si>
    <t>PHÍ CHỨNG TỪ
(ST CK)</t>
  </si>
  <si>
    <t>PHÍ DEM/DET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</si>
  <si>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</si>
  <si>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</si>
  <si>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</si>
  <si>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</si>
  <si>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</si>
  <si>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</si>
  <si>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 xml:space="preserve">CƯỢC CONT </t>
  </si>
  <si>
    <t>TẠM THU HÃNG TÀU/ SỬA CHỮA CONT</t>
  </si>
  <si>
    <t>CHUYỂN CƯỢC</t>
  </si>
  <si>
    <t>GHI CHÚ</t>
  </si>
  <si>
    <t>PHÍ CƯỢC</t>
  </si>
  <si>
    <t>N</t>
  </si>
  <si>
    <t>PTXCLP2310001</t>
  </si>
  <si>
    <t>Dest</t>
  </si>
  <si>
    <t>PHÍ KHÁC</t>
  </si>
  <si>
    <t>X</t>
  </si>
  <si>
    <t>THEO DÕI HÀNG HÓA TẠM ỨNG, THANH TOÁN, ĐIỀU XE 2023 - FOLIOT</t>
  </si>
  <si>
    <t>ZIMUHCM80319515</t>
  </si>
  <si>
    <t>ZIMUHCM80319516</t>
  </si>
  <si>
    <t>Chi hộ TM</t>
  </si>
  <si>
    <t>KGN-23020104</t>
  </si>
  <si>
    <t>VẬN CHUYỂN NỘI ĐỊA</t>
  </si>
  <si>
    <t>305312255050</t>
  </si>
  <si>
    <t>APHU6733845</t>
  </si>
  <si>
    <t>THÁNG 02/2023</t>
  </si>
  <si>
    <t>1Z6W7881D958280958</t>
  </si>
  <si>
    <t>1Z6W7881D958048147</t>
  </si>
  <si>
    <t>105255211500</t>
  </si>
  <si>
    <t>105255551550</t>
  </si>
  <si>
    <t>KGN-23020271</t>
  </si>
  <si>
    <t>KGN-23020272</t>
  </si>
  <si>
    <t>305314148330</t>
  </si>
  <si>
    <t>305314199210</t>
  </si>
  <si>
    <t>305314463660</t>
  </si>
  <si>
    <t>305314372810</t>
  </si>
  <si>
    <t>305316872620</t>
  </si>
  <si>
    <t>TMC23020574SIN</t>
  </si>
  <si>
    <t>039DX02312</t>
  </si>
  <si>
    <t>HLCUSGN230216610</t>
  </si>
  <si>
    <t>PB2301310131</t>
  </si>
  <si>
    <t>339LN2300145</t>
  </si>
  <si>
    <t>WHSU5558820
WHSU6517213</t>
  </si>
  <si>
    <t>HLBU2871720</t>
  </si>
  <si>
    <t>TEMU7812969</t>
  </si>
  <si>
    <t>MSDU1699994</t>
  </si>
  <si>
    <t>KGN-23020273</t>
  </si>
  <si>
    <t>KGN-23020274</t>
  </si>
  <si>
    <t>KGN-23020278</t>
  </si>
  <si>
    <t>KGN-23020275</t>
  </si>
  <si>
    <t>KGN-23020277</t>
  </si>
  <si>
    <t>305316656100</t>
  </si>
  <si>
    <t>305316623310</t>
  </si>
  <si>
    <t>CSNU6720543</t>
  </si>
  <si>
    <t>WHSU6054232</t>
  </si>
  <si>
    <t>039DX02313</t>
  </si>
  <si>
    <t>KGN-23020308</t>
  </si>
  <si>
    <t>KGN-23020307</t>
  </si>
  <si>
    <t>305320724500</t>
  </si>
  <si>
    <t>305320811630</t>
  </si>
  <si>
    <t>105260265720</t>
  </si>
  <si>
    <t>305323385530</t>
  </si>
  <si>
    <t>305323727940/E62
305323756900/H21</t>
  </si>
  <si>
    <t>305326861510</t>
  </si>
  <si>
    <t>305327614230</t>
  </si>
  <si>
    <t xml:space="preserve">NYKU3790150 
NYKU3868942 </t>
  </si>
  <si>
    <t>TRHU4779135
TEMU7296918
NYKU5270667</t>
  </si>
  <si>
    <t>WHSU6347272</t>
  </si>
  <si>
    <t>YMLU3438714</t>
  </si>
  <si>
    <t>YMMU6314259
YMMU6578415</t>
  </si>
  <si>
    <t>ONEYPKGC65985600</t>
  </si>
  <si>
    <t>SGND07030700</t>
  </si>
  <si>
    <t>YMLUI490462827</t>
  </si>
  <si>
    <t>YMLUI490462648</t>
  </si>
  <si>
    <t>105260336160</t>
  </si>
  <si>
    <t>TLLYHCJH23025101</t>
  </si>
  <si>
    <t>FCIU6408242
FBIU0199502</t>
  </si>
  <si>
    <t>KGN-23020573</t>
  </si>
  <si>
    <t>KGN-23020574</t>
  </si>
  <si>
    <t>KGN-23020345</t>
  </si>
  <si>
    <t>KGN-23020568</t>
  </si>
  <si>
    <t>KGN-23020569</t>
  </si>
  <si>
    <t>KGN-23020570</t>
  </si>
  <si>
    <t>KGN-23020571</t>
  </si>
  <si>
    <t>KGN-23020346</t>
  </si>
  <si>
    <t>14/02/2023</t>
  </si>
  <si>
    <t>KGN-23020782</t>
  </si>
  <si>
    <t>SNLDXMVL000136</t>
  </si>
  <si>
    <t>làm GCN mẫu X cho HĐ 0000005</t>
  </si>
  <si>
    <t>16/02/23</t>
  </si>
  <si>
    <t>GXSAG23024061</t>
  </si>
  <si>
    <t>KGN-23021001</t>
  </si>
  <si>
    <t>235300095836</t>
  </si>
  <si>
    <t>CÁT LÁI</t>
  </si>
  <si>
    <t>EMCU8572843</t>
  </si>
  <si>
    <t>305341955610</t>
  </si>
  <si>
    <t>LCL /
 CONT NO.</t>
  </si>
  <si>
    <t>21/02/2023</t>
  </si>
  <si>
    <t>KGN-23021175</t>
  </si>
  <si>
    <t>NOSNB23CL40073I</t>
  </si>
  <si>
    <t>305330306760</t>
  </si>
  <si>
    <t>305331839060</t>
  </si>
  <si>
    <t>15/02/2023</t>
  </si>
  <si>
    <t>305332601950/E62
305332614810/B11</t>
  </si>
  <si>
    <t>105272334900</t>
  </si>
  <si>
    <t>16/02/2023</t>
  </si>
  <si>
    <t>305336634540</t>
  </si>
  <si>
    <t>305334566960</t>
  </si>
  <si>
    <t>305336352330</t>
  </si>
  <si>
    <t>305336425130</t>
  </si>
  <si>
    <t>17/02/2023</t>
  </si>
  <si>
    <t>105272733900</t>
  </si>
  <si>
    <t>305339629950</t>
  </si>
  <si>
    <t>18/02/2023</t>
  </si>
  <si>
    <t>305341861810</t>
  </si>
  <si>
    <t>105276566400</t>
  </si>
  <si>
    <t>105280989330</t>
  </si>
  <si>
    <t>305345280460</t>
  </si>
  <si>
    <t>305344838540</t>
  </si>
  <si>
    <t>105283295130</t>
  </si>
  <si>
    <t>305348121060</t>
  </si>
  <si>
    <t>305350027160</t>
  </si>
  <si>
    <t>305350095430</t>
  </si>
  <si>
    <t>105283308100</t>
  </si>
  <si>
    <t>WHSU6578332</t>
  </si>
  <si>
    <t>039DX06289</t>
  </si>
  <si>
    <t>PKGCB23001257</t>
  </si>
  <si>
    <t>SUDUVICGPCAA0617</t>
  </si>
  <si>
    <t>JJCSGSHHNC230297</t>
  </si>
  <si>
    <t>ZIMUHCM80320397</t>
  </si>
  <si>
    <t>EGLV070300012863</t>
  </si>
  <si>
    <t>WHSU5161410</t>
  </si>
  <si>
    <t xml:space="preserve">WHSU6661914 </t>
  </si>
  <si>
    <t>REGU3268870</t>
  </si>
  <si>
    <t>SIKU3112453</t>
  </si>
  <si>
    <t>OOLU0353561</t>
  </si>
  <si>
    <t>SEKU9099310
SEKU9090210</t>
  </si>
  <si>
    <t>ZIMU3142271</t>
  </si>
  <si>
    <t>EGHU3936721</t>
  </si>
  <si>
    <t>TGBU8594711</t>
  </si>
  <si>
    <t>YMLUI490463482</t>
  </si>
  <si>
    <t>ONEYPKGD01188600</t>
  </si>
  <si>
    <t>235300159613</t>
  </si>
  <si>
    <t>BSGNC23002219</t>
  </si>
  <si>
    <t>BLWCB23000097</t>
  </si>
  <si>
    <t>039DX08546</t>
  </si>
  <si>
    <t>039DX10074</t>
  </si>
  <si>
    <t>EGLV091330046611</t>
  </si>
  <si>
    <t>FFAU1386565</t>
  </si>
  <si>
    <t xml:space="preserve">MRSU0082094
PONU0281900 
MSKU4457876 
MSKU3850030 </t>
  </si>
  <si>
    <t xml:space="preserve">BSIU2798094 
NYKU9787637 </t>
  </si>
  <si>
    <t>EITU3171633</t>
  </si>
  <si>
    <t>FFAU4016672</t>
  </si>
  <si>
    <t>SEGU3400479</t>
  </si>
  <si>
    <t>HLBU2934921</t>
  </si>
  <si>
    <t>WHSU6451203</t>
  </si>
  <si>
    <t>WHSU6245331</t>
  </si>
  <si>
    <t>EISU3970488</t>
  </si>
  <si>
    <t>KGN-23020634</t>
  </si>
  <si>
    <t>KGN-23020646</t>
  </si>
  <si>
    <t>KGN-23020988</t>
  </si>
  <si>
    <t>KGN-23020989</t>
  </si>
  <si>
    <t>KGN-23020987</t>
  </si>
  <si>
    <t>KGN-23020967</t>
  </si>
  <si>
    <t>KGN-23020786</t>
  </si>
  <si>
    <t>KGN-23020741</t>
  </si>
  <si>
    <t>KGN-23020738</t>
  </si>
  <si>
    <t>KGN-23020780</t>
  </si>
  <si>
    <t>KGN-23020739</t>
  </si>
  <si>
    <t>KGN-23020779</t>
  </si>
  <si>
    <t>KGN-23020990</t>
  </si>
  <si>
    <t>KGN-23020991</t>
  </si>
  <si>
    <t>KGN-23020994</t>
  </si>
  <si>
    <t>KGN-23020997</t>
  </si>
  <si>
    <t>KGN-23021188</t>
  </si>
  <si>
    <t>KGN-23021189</t>
  </si>
  <si>
    <t>KGN-23021190</t>
  </si>
  <si>
    <t>KGN-23021191</t>
  </si>
  <si>
    <t>305352978950</t>
  </si>
  <si>
    <t>NSSU0072078</t>
  </si>
  <si>
    <t>SGN23B01084</t>
  </si>
  <si>
    <t>EGLV149300264194</t>
  </si>
  <si>
    <t>HTAHCM23023092</t>
  </si>
  <si>
    <t>Không ứng</t>
  </si>
  <si>
    <t>KGN-23021193</t>
  </si>
  <si>
    <t>KGN-23020781</t>
  </si>
  <si>
    <t>039DX08344</t>
  </si>
  <si>
    <t>PHÍ XIN C/O:
 31300568, 31300594</t>
  </si>
  <si>
    <t>20/02/2023</t>
  </si>
  <si>
    <t xml:space="preserve">2 KIỆN/ 2080 KGS
/ 3.4 CBM </t>
  </si>
  <si>
    <t xml:space="preserve">1 KIỆN/ 190 KGS
/ 0.37 CBM </t>
  </si>
  <si>
    <t xml:space="preserve">3 KIỆN/ 2380 KGS
/ 0.38 CBM </t>
  </si>
  <si>
    <t>XE ĐẨY TÚI GOLF</t>
  </si>
  <si>
    <t>305361003860</t>
  </si>
  <si>
    <t>24/02/23</t>
  </si>
  <si>
    <t>305317456200</t>
  </si>
  <si>
    <t>305287582630</t>
  </si>
  <si>
    <t>14/01/2023</t>
  </si>
  <si>
    <t>305291802930</t>
  </si>
  <si>
    <t>16/01/2023</t>
  </si>
  <si>
    <t>Phí khai hquan</t>
  </si>
  <si>
    <t>Phí vận chuyển</t>
  </si>
  <si>
    <t>GAOU6109936</t>
  </si>
  <si>
    <t>TCNU3880944</t>
  </si>
  <si>
    <t>JZPU8023588</t>
  </si>
  <si>
    <t>ZIMU1379156</t>
  </si>
  <si>
    <t>ZIMUHCM80317138</t>
  </si>
  <si>
    <t>XUẤT/NHẬP</t>
  </si>
  <si>
    <t>235300081992</t>
  </si>
  <si>
    <t>CAAU5779612</t>
  </si>
  <si>
    <t>LUỒNG</t>
  </si>
  <si>
    <t>2 C/O</t>
  </si>
  <si>
    <t>KGN-23030404</t>
  </si>
  <si>
    <t>COAU8035412290E</t>
  </si>
  <si>
    <t>305372133640
305372110060</t>
  </si>
  <si>
    <t>HLBU2080083</t>
  </si>
  <si>
    <t>305376039750
305376026120</t>
  </si>
  <si>
    <t>HLXU8471190</t>
  </si>
  <si>
    <t>305378247330</t>
  </si>
  <si>
    <t>BSIU9355605</t>
  </si>
  <si>
    <t>305381304450</t>
  </si>
  <si>
    <t>CMAU8210121</t>
  </si>
  <si>
    <t>C/O AANZ</t>
  </si>
  <si>
    <t xml:space="preserve">2 TK </t>
  </si>
  <si>
    <t>V</t>
  </si>
  <si>
    <t>305363939000</t>
  </si>
  <si>
    <t>MSMU4614662</t>
  </si>
  <si>
    <t>EBKG04983162</t>
  </si>
  <si>
    <t>305367082550</t>
  </si>
  <si>
    <t>CAIU4224546
HLXU8614537</t>
  </si>
  <si>
    <t>305380228330</t>
  </si>
  <si>
    <t>1KT825629</t>
  </si>
  <si>
    <t>MSKU5205539</t>
  </si>
  <si>
    <t>TLLU2441450</t>
  </si>
  <si>
    <t>KGN-23010807</t>
  </si>
  <si>
    <t>KGN-23010735</t>
  </si>
  <si>
    <t>Ms. Thẩm</t>
  </si>
  <si>
    <t>DFSU3093090
SNBU2278474
SNBU2304830
SNBU2343374
SNCU2962407</t>
  </si>
  <si>
    <t>KGN-23030589</t>
  </si>
  <si>
    <t>WHSU6615647
WHSU5713989</t>
  </si>
  <si>
    <t>KGN-23030166</t>
  </si>
  <si>
    <t>305363949240</t>
  </si>
  <si>
    <t>THÁNG 03/2023</t>
  </si>
  <si>
    <t>305365933260</t>
  </si>
  <si>
    <t>305367883940</t>
  </si>
  <si>
    <t>305372301310</t>
  </si>
  <si>
    <t>305373272430</t>
  </si>
  <si>
    <t>305374899930</t>
  </si>
  <si>
    <t>305374354630</t>
  </si>
  <si>
    <t>305377524600</t>
  </si>
  <si>
    <t>305379624820</t>
  </si>
  <si>
    <t>305379936430</t>
  </si>
  <si>
    <t>305387599810</t>
  </si>
  <si>
    <t>305389726740</t>
  </si>
  <si>
    <t>305389361120</t>
  </si>
  <si>
    <t>305393989630</t>
  </si>
  <si>
    <t>305395842200</t>
  </si>
  <si>
    <t>305396692810</t>
  </si>
  <si>
    <t>13/03/2023</t>
  </si>
  <si>
    <t>15/03/2023</t>
  </si>
  <si>
    <t>16/03/2023</t>
  </si>
  <si>
    <t>KGN-23030168</t>
  </si>
  <si>
    <t>KGN-23030167</t>
  </si>
  <si>
    <t>KGN-23030170</t>
  </si>
  <si>
    <t>KGN-23030448</t>
  </si>
  <si>
    <t>KGN-23030447</t>
  </si>
  <si>
    <t>KGN-23030445</t>
  </si>
  <si>
    <t>KGN-23030446</t>
  </si>
  <si>
    <t>KGN-23030588</t>
  </si>
  <si>
    <t>KGN-23030955</t>
  </si>
  <si>
    <t>KGN-23030956</t>
  </si>
  <si>
    <t>KGN-23030957</t>
  </si>
  <si>
    <t>KGN-23030962</t>
  </si>
  <si>
    <t>KGN-23031053</t>
  </si>
  <si>
    <t>KGN-23030169</t>
  </si>
  <si>
    <t>KGN-23030449</t>
  </si>
  <si>
    <t>305399146160</t>
  </si>
  <si>
    <t>17/03/2023</t>
  </si>
  <si>
    <t>KGN-23031071</t>
  </si>
  <si>
    <t>WHSU5481760</t>
  </si>
  <si>
    <t>MRSU4201951</t>
  </si>
  <si>
    <t>TRHU8093837</t>
  </si>
  <si>
    <t>CULU1937846</t>
  </si>
  <si>
    <t>TGBU3765977</t>
  </si>
  <si>
    <t>BEAU5802243</t>
  </si>
  <si>
    <t>TWCU2128142</t>
  </si>
  <si>
    <t>TLLU2648581</t>
  </si>
  <si>
    <t>MSMU6606497</t>
  </si>
  <si>
    <t>WHSU5627200
WHSU6452642</t>
  </si>
  <si>
    <t>TGBU3709227</t>
  </si>
  <si>
    <t>MRSU4346657</t>
  </si>
  <si>
    <t>VUTHAM136993V</t>
  </si>
  <si>
    <t>CULVSGN2301062</t>
  </si>
  <si>
    <t>CULVSGN2301281</t>
  </si>
  <si>
    <t>BSGNC23003421</t>
  </si>
  <si>
    <t>GSGNHKGB300502</t>
  </si>
  <si>
    <t>039DX08349</t>
  </si>
  <si>
    <t>T2303871</t>
  </si>
  <si>
    <t xml:space="preserve">JJS230010001525 </t>
  </si>
  <si>
    <t>339LN2300321</t>
  </si>
  <si>
    <t>BSGNC23003423</t>
  </si>
  <si>
    <t>105302519450</t>
  </si>
  <si>
    <t>EGHU3823453 
EISU2138869 
EISU2274119
TCLU7575113</t>
  </si>
  <si>
    <t>KGN-23021310</t>
  </si>
  <si>
    <t>EGLV091330052203</t>
  </si>
  <si>
    <t>105317932640</t>
  </si>
  <si>
    <t>EISU2060420</t>
  </si>
  <si>
    <t>EGLV091330065313</t>
  </si>
  <si>
    <t>105316006240</t>
  </si>
  <si>
    <t>TGBU3532384
TGBU3696963</t>
  </si>
  <si>
    <t>780310000906</t>
  </si>
  <si>
    <t>105320610250</t>
  </si>
  <si>
    <t>105322741160</t>
  </si>
  <si>
    <t>105322883150</t>
  </si>
  <si>
    <t>105322976030</t>
  </si>
  <si>
    <t>105327455920</t>
  </si>
  <si>
    <t>KGN-23030310</t>
  </si>
  <si>
    <t>KGN-23030311</t>
  </si>
  <si>
    <t>KGN-23030512</t>
  </si>
  <si>
    <t>KGN-23030582</t>
  </si>
  <si>
    <t>KGN-23030953</t>
  </si>
  <si>
    <t>KGN-23030575</t>
  </si>
  <si>
    <t>KGN-23030954</t>
  </si>
  <si>
    <t>SZXEF23020041031A</t>
  </si>
  <si>
    <t>SZXEF23020041031B</t>
  </si>
  <si>
    <t>305399437250</t>
  </si>
  <si>
    <t>14/03/2023</t>
  </si>
  <si>
    <t>SITAUSG2300297</t>
  </si>
  <si>
    <t>SITGBWSG001125</t>
  </si>
  <si>
    <t>OOLU8893074980</t>
  </si>
  <si>
    <t>SITWPSG2300499</t>
  </si>
  <si>
    <t xml:space="preserve">TCLU2402265
MRSU0230102 
MSKU7325702 </t>
  </si>
  <si>
    <t>SITU2843948
FTAU1227107
GAOU2069244</t>
  </si>
  <si>
    <t>SITU2780161</t>
  </si>
  <si>
    <t>UETU2547766
TLLU2656400</t>
  </si>
  <si>
    <t>SITU2770055</t>
  </si>
  <si>
    <t>AHA0259892</t>
  </si>
  <si>
    <t>KGN-23031096</t>
  </si>
  <si>
    <t>KGN-23031097</t>
  </si>
  <si>
    <t>KGN-23031098</t>
  </si>
  <si>
    <t>KGN-23031099</t>
  </si>
  <si>
    <t>18/03/23</t>
  </si>
  <si>
    <t>132300019676513</t>
  </si>
  <si>
    <t>M2418751041</t>
  </si>
  <si>
    <t>KHAI TK K VC</t>
  </si>
  <si>
    <r>
      <rPr>
        <b/>
        <sz val="12"/>
        <color rgb="FFFF0000"/>
        <rFont val="Times New Roman"/>
        <family val="1"/>
      </rPr>
      <t>CHI MIỄN KIỂM,</t>
    </r>
    <r>
      <rPr>
        <b/>
        <sz val="12"/>
        <rFont val="Times New Roman"/>
        <family val="1"/>
      </rPr>
      <t xml:space="preserve"> KHAI TK K VC</t>
    </r>
  </si>
  <si>
    <t>KGN-23031285</t>
  </si>
  <si>
    <t>KGN-23031286</t>
  </si>
  <si>
    <t>039DX12884</t>
  </si>
  <si>
    <t>039DX13479</t>
  </si>
  <si>
    <t>EBKG05144834</t>
  </si>
  <si>
    <t>235300261264</t>
  </si>
  <si>
    <t>23/03/2023</t>
  </si>
  <si>
    <t>24/03/2023</t>
  </si>
  <si>
    <t>HCM-SBK-2303276</t>
  </si>
  <si>
    <t>235300277896</t>
  </si>
  <si>
    <t xml:space="preserve">2 KIỆN/ 2080 KGS
/ 3.73 CBM </t>
  </si>
  <si>
    <t>PHÍ XIN C/O T03.2023</t>
  </si>
  <si>
    <t>9 C/O</t>
  </si>
  <si>
    <t>25/03/2023</t>
  </si>
  <si>
    <t>EBKG05169566</t>
  </si>
  <si>
    <t>THEO DÕI HÀNG HÓA TẠM ỨNG, THANH TOÁN, ĐIỀU XE 2023 - SUNAGRO</t>
  </si>
  <si>
    <t>Phí KDTV</t>
  </si>
  <si>
    <t>Phí CO</t>
  </si>
  <si>
    <t>20/03/2023</t>
  </si>
  <si>
    <t>27/03/2023</t>
  </si>
  <si>
    <t>BSGNC23005629</t>
  </si>
  <si>
    <t>MRSU3932524</t>
  </si>
  <si>
    <t>TXGU5412544</t>
  </si>
  <si>
    <t>305392741750</t>
  </si>
  <si>
    <t>WHSU5683117</t>
  </si>
  <si>
    <t>305391642050</t>
  </si>
  <si>
    <t>WHSU5804630</t>
  </si>
  <si>
    <t>305394297520</t>
  </si>
  <si>
    <t>MEDU5172561</t>
  </si>
  <si>
    <t>EITU9219652</t>
  </si>
  <si>
    <t>305408821230</t>
  </si>
  <si>
    <t>305415486410
305415453730</t>
  </si>
  <si>
    <t>TCKU4262400</t>
  </si>
  <si>
    <t>305416989530</t>
  </si>
  <si>
    <t>305418583320</t>
  </si>
  <si>
    <t>TXGU6694191</t>
  </si>
  <si>
    <t>MEDU6526021</t>
  </si>
  <si>
    <t>KGN-23031526</t>
  </si>
  <si>
    <t>KGN-23031527</t>
  </si>
  <si>
    <t>105338133240</t>
  </si>
  <si>
    <t>105338142340</t>
  </si>
  <si>
    <t>105338148310</t>
  </si>
  <si>
    <t>105341336660</t>
  </si>
  <si>
    <t>305409483650</t>
  </si>
  <si>
    <t>305409879630</t>
  </si>
  <si>
    <t>305409469430</t>
  </si>
  <si>
    <t>305409934450</t>
  </si>
  <si>
    <t>305410155800</t>
  </si>
  <si>
    <t>105347570420</t>
  </si>
  <si>
    <t>305412652920</t>
  </si>
  <si>
    <t>305412112740/E62
305412179460/B11</t>
  </si>
  <si>
    <t>105350101140</t>
  </si>
  <si>
    <t>305415453840</t>
  </si>
  <si>
    <t>305418719820</t>
  </si>
  <si>
    <t>305418643850</t>
  </si>
  <si>
    <t>305418499430</t>
  </si>
  <si>
    <t>21/03/2023</t>
  </si>
  <si>
    <t>22/03/2023</t>
  </si>
  <si>
    <t>KGN-23031452</t>
  </si>
  <si>
    <t>KGN-23031451</t>
  </si>
  <si>
    <t>KGN-23031453</t>
  </si>
  <si>
    <t>KGN-23031450</t>
  </si>
  <si>
    <t>KGN-23031449</t>
  </si>
  <si>
    <t>KGN-23031454</t>
  </si>
  <si>
    <t>KGN-23031455</t>
  </si>
  <si>
    <t>KGN-23031448</t>
  </si>
  <si>
    <t>KGN-23031500</t>
  </si>
  <si>
    <t>KGN-23031501</t>
  </si>
  <si>
    <t>KGN-23031502</t>
  </si>
  <si>
    <t>235300290183</t>
  </si>
  <si>
    <t>SGN300238700</t>
  </si>
  <si>
    <t>PB2303140216</t>
  </si>
  <si>
    <t>039DX15726</t>
  </si>
  <si>
    <t>YMLUZ490311127</t>
  </si>
  <si>
    <t>235300266738</t>
  </si>
  <si>
    <t>EBKG05248089</t>
  </si>
  <si>
    <t>YMLUI490466822</t>
  </si>
  <si>
    <t>EGHU8277490</t>
  </si>
  <si>
    <t>EITU9322260</t>
  </si>
  <si>
    <t>PCIU0154032</t>
  </si>
  <si>
    <t>OOCU8362141</t>
  </si>
  <si>
    <t>OOCU7376454</t>
  </si>
  <si>
    <t>FESU5343367</t>
  </si>
  <si>
    <t>WHSU6579935</t>
  </si>
  <si>
    <t>YMMU6501990</t>
  </si>
  <si>
    <t>TRHU7371487</t>
  </si>
  <si>
    <t>MEDU5616183</t>
  </si>
  <si>
    <t>YMMU1176033</t>
  </si>
  <si>
    <t>KGN-23031051</t>
  </si>
  <si>
    <t>MRKU7449620
MRKU9117096
TTNU1028989</t>
  </si>
  <si>
    <t xml:space="preserve">MRKU7229630 </t>
  </si>
  <si>
    <t>FCIU6409505
FCIU5577741</t>
  </si>
  <si>
    <t xml:space="preserve">TCKU1547631 </t>
  </si>
  <si>
    <t>TLLYHCJR23035103</t>
  </si>
  <si>
    <t>A56DX05641</t>
  </si>
  <si>
    <t>TXGU5051483</t>
  </si>
  <si>
    <t>KMTCSUB2109748</t>
  </si>
  <si>
    <t>CMAU6148617
SEGU5154158</t>
  </si>
  <si>
    <t>NAM6048407</t>
  </si>
  <si>
    <t>KGN-23031050</t>
  </si>
  <si>
    <t>KGN-23031049</t>
  </si>
  <si>
    <t>KGN-23031052</t>
  </si>
  <si>
    <t>KGN-23030960</t>
  </si>
  <si>
    <t>KGN-23031279</t>
  </si>
  <si>
    <t>KGN-23031528</t>
  </si>
  <si>
    <t>27/03/23</t>
  </si>
  <si>
    <t>THEO DÕI HÀNG HÓA TẠM ỨNG, THANH TOÁN, ĐIỀU XE 2023 - SONG LONG</t>
  </si>
  <si>
    <t>2 LÔ</t>
  </si>
  <si>
    <t>305420239040</t>
  </si>
  <si>
    <t>MRSU3128706</t>
  </si>
  <si>
    <t>Phí CSHT</t>
  </si>
  <si>
    <t>C/O E, PHYTO 031554</t>
  </si>
  <si>
    <t>C/O E, PHYTO 026691</t>
  </si>
  <si>
    <t>C/O E, PHYTO 033449</t>
  </si>
  <si>
    <t>THÁNG 04/2023</t>
  </si>
  <si>
    <t>COAU8036156890</t>
  </si>
  <si>
    <t xml:space="preserve">DRYU2794345 
FCIU4977825 
TLLU2608070 
UETU2256740 
UETU2274152 </t>
  </si>
  <si>
    <t>MST: 3702721103</t>
  </si>
  <si>
    <t xml:space="preserve">MST: </t>
  </si>
  <si>
    <t>MST:</t>
  </si>
  <si>
    <t>105305611830
105305733300</t>
  </si>
  <si>
    <t>THEO DÕI HÀNG HÓA LABEL</t>
  </si>
  <si>
    <t>Vàng</t>
  </si>
  <si>
    <t xml:space="preserve">ĐỎ </t>
  </si>
  <si>
    <t>305381479120</t>
  </si>
  <si>
    <t>305403931510</t>
  </si>
  <si>
    <t>EBKG05169602</t>
  </si>
  <si>
    <t>04/04/2023</t>
  </si>
  <si>
    <t>YMLUE490365834</t>
  </si>
  <si>
    <t>305437842900</t>
  </si>
  <si>
    <t>FFAU2578583</t>
  </si>
  <si>
    <t>305438410600</t>
  </si>
  <si>
    <t>FCIU4703357</t>
  </si>
  <si>
    <t>305438298600</t>
  </si>
  <si>
    <t>HMMU6531299</t>
  </si>
  <si>
    <t>KGN-23040123</t>
  </si>
  <si>
    <t>305440475930
305440459500</t>
  </si>
  <si>
    <t>TGBU5547383</t>
  </si>
  <si>
    <t>KGN-23040171</t>
  </si>
  <si>
    <t>03/4/2023</t>
  </si>
  <si>
    <t>305440600420</t>
  </si>
  <si>
    <t>105363250420</t>
  </si>
  <si>
    <t>105365218010</t>
  </si>
  <si>
    <t>305434698460</t>
  </si>
  <si>
    <t>305436067660</t>
  </si>
  <si>
    <t>105366990630</t>
  </si>
  <si>
    <t>105366994460</t>
  </si>
  <si>
    <t>105367414020</t>
  </si>
  <si>
    <t>105367484350</t>
  </si>
  <si>
    <t>105368199160</t>
  </si>
  <si>
    <t>105370922900</t>
  </si>
  <si>
    <t>105371491960</t>
  </si>
  <si>
    <t>105371175600</t>
  </si>
  <si>
    <t>31/03/2023</t>
  </si>
  <si>
    <t>HDMUSUBA62386600</t>
  </si>
  <si>
    <t>BSGNC23006078</t>
  </si>
  <si>
    <t>BSGNC23004568</t>
  </si>
  <si>
    <t>EGLV091330089034</t>
  </si>
  <si>
    <t>RTM1305064</t>
  </si>
  <si>
    <t>CAIU6086750</t>
  </si>
  <si>
    <t xml:space="preserve">OOLU8893277350   </t>
  </si>
  <si>
    <t>EGLV070300043424</t>
  </si>
  <si>
    <t>SITGBWSG001171</t>
  </si>
  <si>
    <t>HDMUSUBA90002700</t>
  </si>
  <si>
    <t xml:space="preserve"> </t>
  </si>
  <si>
    <t>KOCU4377093</t>
  </si>
  <si>
    <t>TXGU6771750</t>
  </si>
  <si>
    <t>TEMU5150740</t>
  </si>
  <si>
    <t>EGHU3489243</t>
  </si>
  <si>
    <t>TCKU7610114</t>
  </si>
  <si>
    <t>MRKU8273704 
MRKU8397536
TCLU2702344
MRSU0185744</t>
  </si>
  <si>
    <t>CBHU4170521
CAIU2998266</t>
  </si>
  <si>
    <t>EITU0256315
EITU0600694</t>
  </si>
  <si>
    <t>TLLU3621775</t>
  </si>
  <si>
    <t>KOCU4769999</t>
  </si>
  <si>
    <t>KGN-23031858</t>
  </si>
  <si>
    <t>KGN-23031529</t>
  </si>
  <si>
    <t>KGN-23040040</t>
  </si>
  <si>
    <t>KGN-23040122</t>
  </si>
  <si>
    <t>105351685350</t>
  </si>
  <si>
    <t>305420554960</t>
  </si>
  <si>
    <t>305419625840</t>
  </si>
  <si>
    <t>305432757840</t>
  </si>
  <si>
    <t>KGN-23031377</t>
  </si>
  <si>
    <t>KGN-23031571</t>
  </si>
  <si>
    <t>KGN-23031565</t>
  </si>
  <si>
    <t>KGN-23031897</t>
  </si>
  <si>
    <t>LGHCMSIN23033001</t>
  </si>
  <si>
    <t>BSGNC23006143</t>
  </si>
  <si>
    <t>SUDU7951274
TTNU1094260
MRKU9777335</t>
  </si>
  <si>
    <t>BMOU1554586</t>
  </si>
  <si>
    <t>TGBU3682614</t>
  </si>
  <si>
    <t>CSNU8336120</t>
  </si>
  <si>
    <t>KGN-23031861</t>
  </si>
  <si>
    <t>KGN-23031878</t>
  </si>
  <si>
    <t>KGN-23031862</t>
  </si>
  <si>
    <t>KGN-23040041</t>
  </si>
  <si>
    <t>KGN-23031860</t>
  </si>
  <si>
    <t>KGN-23031898</t>
  </si>
  <si>
    <t>KGN-23031863</t>
  </si>
  <si>
    <t>105360601510</t>
  </si>
  <si>
    <t>29/03/2023</t>
  </si>
  <si>
    <t>KGN-23031621</t>
  </si>
  <si>
    <t>PKGCB2300488501</t>
  </si>
  <si>
    <t>FFAU4021771</t>
  </si>
  <si>
    <t>05/04/23</t>
  </si>
  <si>
    <t>KGN-23040193</t>
  </si>
  <si>
    <t>5/4/2023</t>
  </si>
  <si>
    <t>x</t>
  </si>
  <si>
    <t>122300020322541</t>
  </si>
  <si>
    <t>122300020321696</t>
  </si>
  <si>
    <t>305443514300</t>
  </si>
  <si>
    <t>HLBU1264872</t>
  </si>
  <si>
    <t>305433920320</t>
  </si>
  <si>
    <t>MST: 3702373463</t>
  </si>
  <si>
    <t>THEO DÕI HÀNG HÓA TẠM ỨNG, THANH TOÁN, ĐIỀU XE 2023 - ĐẠI HÀO</t>
  </si>
  <si>
    <t>ACMD110624</t>
  </si>
  <si>
    <t xml:space="preserve">CMAU8546369 </t>
  </si>
  <si>
    <t xml:space="preserve"> NOSNB23CL40592E</t>
  </si>
  <si>
    <t>KGN-23040501</t>
  </si>
  <si>
    <t>305453199610</t>
  </si>
  <si>
    <t>10/04/2023</t>
  </si>
  <si>
    <t>235300348459</t>
  </si>
  <si>
    <t>EGHU8345260</t>
  </si>
  <si>
    <t>KGN-23040503</t>
  </si>
  <si>
    <t>08/04/2023</t>
  </si>
  <si>
    <t>HMTL028371</t>
  </si>
  <si>
    <t>KGN-23040527</t>
  </si>
  <si>
    <t>11/04/2023</t>
  </si>
  <si>
    <t>305444497060</t>
  </si>
  <si>
    <t>HLBU1142771</t>
  </si>
  <si>
    <t>305445690560</t>
  </si>
  <si>
    <t>YMLUE490365835</t>
  </si>
  <si>
    <t>11/4/2023</t>
  </si>
  <si>
    <t>305455469340</t>
  </si>
  <si>
    <t>KGN-23040597</t>
  </si>
  <si>
    <t>07/04/2023</t>
  </si>
  <si>
    <t>132300020351328</t>
  </si>
  <si>
    <t>KGN-23040598</t>
  </si>
  <si>
    <t>305441536650</t>
  </si>
  <si>
    <t>305441917010</t>
  </si>
  <si>
    <t>305447772840</t>
  </si>
  <si>
    <t>305447229310</t>
  </si>
  <si>
    <t>305448183410</t>
  </si>
  <si>
    <t>305447290060</t>
  </si>
  <si>
    <t>305451532760</t>
  </si>
  <si>
    <t>105383466160</t>
  </si>
  <si>
    <t>305451737310</t>
  </si>
  <si>
    <t>305455689730</t>
  </si>
  <si>
    <t>305454301040</t>
  </si>
  <si>
    <t>305456975520</t>
  </si>
  <si>
    <t>WHLU5707110
WHSU5351597</t>
  </si>
  <si>
    <t>WHSU6683430</t>
  </si>
  <si>
    <t>CULU6304120</t>
  </si>
  <si>
    <t>TSSU2097790</t>
  </si>
  <si>
    <t>TLLU2919934</t>
  </si>
  <si>
    <t>CAAU2028156</t>
  </si>
  <si>
    <t>CCLU5281350</t>
  </si>
  <si>
    <t>DFSU3158246
DFSU3109391</t>
  </si>
  <si>
    <t>SMCU1117409</t>
  </si>
  <si>
    <t>CMAU3165164</t>
  </si>
  <si>
    <t>WHSU6203552</t>
  </si>
  <si>
    <t>WHSU6011312</t>
  </si>
  <si>
    <t>039DX18251</t>
  </si>
  <si>
    <t>CULVSGN2301799</t>
  </si>
  <si>
    <t>341BK3003550</t>
  </si>
  <si>
    <t>341BK3003551</t>
  </si>
  <si>
    <t>341BK3003553</t>
  </si>
  <si>
    <t>TLLYHCJU23045103</t>
  </si>
  <si>
    <t>SGN3A2248400</t>
  </si>
  <si>
    <t>SGN1819738</t>
  </si>
  <si>
    <t>039DX19678</t>
  </si>
  <si>
    <t>039DX16967</t>
  </si>
  <si>
    <t>KGN-23040446</t>
  </si>
  <si>
    <t>KGN-23040385</t>
  </si>
  <si>
    <t>KGN-23040384</t>
  </si>
  <si>
    <t>KGN-23040386</t>
  </si>
  <si>
    <t>KGN-23040387</t>
  </si>
  <si>
    <t>KGN-23040390</t>
  </si>
  <si>
    <t>KGN-23040388</t>
  </si>
  <si>
    <t>KGN-23040608</t>
  </si>
  <si>
    <t>KGN-23040627</t>
  </si>
  <si>
    <t>KGN-23040628</t>
  </si>
  <si>
    <t>KGN-23040629</t>
  </si>
  <si>
    <t>KGN-23040630</t>
  </si>
  <si>
    <t>KGN-23040649</t>
  </si>
  <si>
    <t>305458536630</t>
  </si>
  <si>
    <t>TCNU1984580</t>
  </si>
  <si>
    <t>KGN-23040650</t>
  </si>
  <si>
    <t>305458698440
305458713360</t>
  </si>
  <si>
    <t>TEMU7681811</t>
  </si>
  <si>
    <t>KGN-23040651</t>
  </si>
  <si>
    <t>305458718850</t>
  </si>
  <si>
    <t>HCM-SBK-2304331</t>
  </si>
  <si>
    <t>305461134330</t>
  </si>
  <si>
    <t>EBKG05393156</t>
  </si>
  <si>
    <t>MEDU4632174</t>
  </si>
  <si>
    <t>SZXEF23030054796</t>
  </si>
  <si>
    <t>105385151060
105385196820
105385153530</t>
  </si>
  <si>
    <t>305466217030</t>
  </si>
  <si>
    <t>15/04/2023</t>
  </si>
  <si>
    <t>CBHU9168954</t>
  </si>
  <si>
    <t>305464358310</t>
  </si>
  <si>
    <t>OOCU8763340</t>
  </si>
  <si>
    <t>305464268340</t>
  </si>
  <si>
    <t>14/04/2023</t>
  </si>
  <si>
    <t>KGN-23040875</t>
  </si>
  <si>
    <t>KGN-23040877</t>
  </si>
  <si>
    <t>KGN-23040876</t>
  </si>
  <si>
    <t>305469653810</t>
  </si>
  <si>
    <t>17/04/2023</t>
  </si>
  <si>
    <t>OOCU6527962</t>
  </si>
  <si>
    <t>KGN-23040968</t>
  </si>
  <si>
    <t>305468151610</t>
  </si>
  <si>
    <t>TLLU4342899</t>
  </si>
  <si>
    <t>305469700820</t>
  </si>
  <si>
    <t>YMLUW490429137</t>
  </si>
  <si>
    <t>BMOU6325290</t>
  </si>
  <si>
    <t>KGN-23040972</t>
  </si>
  <si>
    <t xml:space="preserve">TEMU6468930 </t>
  </si>
  <si>
    <t>DRYU4107155</t>
  </si>
  <si>
    <t>SGND48129700</t>
  </si>
  <si>
    <t>305472349950
305472372240</t>
  </si>
  <si>
    <t>KGN-23040997</t>
  </si>
  <si>
    <t>KGN-23041124</t>
  </si>
  <si>
    <t>PHÍ XIN C/O T04.2023</t>
  </si>
  <si>
    <t>2 C/O, CHỨNG THỰC INV VCCI</t>
  </si>
  <si>
    <t>THÁNG 05/2023</t>
  </si>
  <si>
    <t>1 LÔ</t>
  </si>
  <si>
    <t>KGN-23041185</t>
  </si>
  <si>
    <t>KGN-23040195</t>
  </si>
  <si>
    <t>YMMU6115658</t>
  </si>
  <si>
    <t>21/04/2023</t>
  </si>
  <si>
    <t xml:space="preserve">CSLU6141550 </t>
  </si>
  <si>
    <t>KGN-23041463</t>
  </si>
  <si>
    <t>305481031721
305481073940</t>
  </si>
  <si>
    <t>305481601300
305481624400</t>
  </si>
  <si>
    <t>KGN-23041464</t>
  </si>
  <si>
    <t>24/04/2023.</t>
  </si>
  <si>
    <t>KGN-23041466</t>
  </si>
  <si>
    <t>305484616160</t>
  </si>
  <si>
    <t>24/04/2023</t>
  </si>
  <si>
    <t>039DX23527</t>
  </si>
  <si>
    <t>WHLU5707363</t>
  </si>
  <si>
    <t>305484472810</t>
  </si>
  <si>
    <t>HLBU2173925</t>
  </si>
  <si>
    <t>13/04/23</t>
  </si>
  <si>
    <t>305463333030</t>
  </si>
  <si>
    <t>305463459250</t>
  </si>
  <si>
    <t>305463026540</t>
  </si>
  <si>
    <t>305462722740</t>
  </si>
  <si>
    <t>305467879640</t>
  </si>
  <si>
    <t>305468564460</t>
  </si>
  <si>
    <t>105397701400</t>
  </si>
  <si>
    <t>105397685040</t>
  </si>
  <si>
    <t>105401453730</t>
  </si>
  <si>
    <t>105403157860</t>
  </si>
  <si>
    <t>305474118260</t>
  </si>
  <si>
    <t>305476480800</t>
  </si>
  <si>
    <t>305479464860
305479534050</t>
  </si>
  <si>
    <t>305480360420</t>
  </si>
  <si>
    <t>105401573760</t>
  </si>
  <si>
    <t>105407780810</t>
  </si>
  <si>
    <t>305481476920</t>
  </si>
  <si>
    <t>305484936100</t>
  </si>
  <si>
    <t>305485288200</t>
  </si>
  <si>
    <t>18/04/2023</t>
  </si>
  <si>
    <t>19/04/2023</t>
  </si>
  <si>
    <t>20/04/2023</t>
  </si>
  <si>
    <t>22/04/2023</t>
  </si>
  <si>
    <t>25/04/2023</t>
  </si>
  <si>
    <t>341BK3003718</t>
  </si>
  <si>
    <t>039DX16958</t>
  </si>
  <si>
    <t>BSGNC23007702</t>
  </si>
  <si>
    <t>235300416284</t>
  </si>
  <si>
    <t>TLLYHCJR23045101</t>
  </si>
  <si>
    <t xml:space="preserve">LCLSINSGN2300174 </t>
  </si>
  <si>
    <t>HDMUSUBA59400600</t>
  </si>
  <si>
    <t>339LN2300629</t>
  </si>
  <si>
    <t>CULVSGN2302286</t>
  </si>
  <si>
    <t>SMLMSGN3A2454300</t>
  </si>
  <si>
    <t>EGLV091330137012</t>
  </si>
  <si>
    <t>YMLUI490468930</t>
  </si>
  <si>
    <t>CULVSGN2302038</t>
  </si>
  <si>
    <t>KGN-23040887</t>
  </si>
  <si>
    <t>KGN-23040886</t>
  </si>
  <si>
    <t>KGN-23040885</t>
  </si>
  <si>
    <t>KGN-23040884</t>
  </si>
  <si>
    <t>KGN-23041024</t>
  </si>
  <si>
    <t>KGN-23041025</t>
  </si>
  <si>
    <t>KGN-23041107</t>
  </si>
  <si>
    <t>KGN-23041199</t>
  </si>
  <si>
    <t>KGN-23041437</t>
  </si>
  <si>
    <t>KGN-23041438</t>
  </si>
  <si>
    <t>KGN-23041439</t>
  </si>
  <si>
    <t xml:space="preserve">	KGN-23041495</t>
  </si>
  <si>
    <t xml:space="preserve">	KGN-23041550</t>
  </si>
  <si>
    <t>KGN-23040669</t>
  </si>
  <si>
    <t>KGN-23040609</t>
  </si>
  <si>
    <t>KGN-23040915</t>
  </si>
  <si>
    <t>KGN-23040883</t>
  </si>
  <si>
    <t>KGN-23040967</t>
  </si>
  <si>
    <t>KGN-23040966</t>
  </si>
  <si>
    <t>BSIU9364000</t>
  </si>
  <si>
    <t>SGND46860700</t>
  </si>
  <si>
    <t>NYKU0847571</t>
  </si>
  <si>
    <t xml:space="preserve">YMLUE490366006 </t>
  </si>
  <si>
    <t>XANH/VÀNG</t>
  </si>
  <si>
    <t>HLBU2304706</t>
  </si>
  <si>
    <t>COAU8037166610</t>
  </si>
  <si>
    <t>305486913230
305486802850</t>
  </si>
  <si>
    <t>305486621550
305486636950</t>
  </si>
  <si>
    <t>CAIU9503097</t>
  </si>
  <si>
    <t>305488907200
305488952700</t>
  </si>
  <si>
    <t>ONEYSGND52089700</t>
  </si>
  <si>
    <t>BMOU5719956</t>
  </si>
  <si>
    <t>KGN-23041574</t>
  </si>
  <si>
    <t>KGN-23041575</t>
  </si>
  <si>
    <t>KGN-23041576</t>
  </si>
  <si>
    <t>039DX23528</t>
  </si>
  <si>
    <t>WHSU6541077</t>
  </si>
  <si>
    <t>305487825550</t>
  </si>
  <si>
    <t>305493261530</t>
  </si>
  <si>
    <t>26/04/2023</t>
  </si>
  <si>
    <t>TRHU6488334</t>
  </si>
  <si>
    <t>25/04/23</t>
  </si>
  <si>
    <t>27/04/2023</t>
  </si>
  <si>
    <t>105422242110</t>
  </si>
  <si>
    <t>DGML23040084</t>
  </si>
  <si>
    <t xml:space="preserve">105355638140	</t>
  </si>
  <si>
    <t xml:space="preserve">3 KIỆN/ 1260 KGS
/ 1.51 CBM </t>
  </si>
  <si>
    <t>305495046860</t>
  </si>
  <si>
    <t>KHÔNG ỨNG</t>
  </si>
  <si>
    <t>1</t>
  </si>
  <si>
    <t>105433530420</t>
  </si>
  <si>
    <t>05/05/2023</t>
  </si>
  <si>
    <t>HTAHCM23043190</t>
  </si>
  <si>
    <t>305511979750</t>
  </si>
  <si>
    <t>08/05/2023</t>
  </si>
  <si>
    <t>BMOU4538995
CBHU9057375</t>
  </si>
  <si>
    <t>305515154950</t>
  </si>
  <si>
    <t>09/05/2023</t>
  </si>
  <si>
    <t>039DX23525</t>
  </si>
  <si>
    <t>105410297640</t>
  </si>
  <si>
    <t>105424750910</t>
  </si>
  <si>
    <t>105423839620</t>
  </si>
  <si>
    <t>105424910620</t>
  </si>
  <si>
    <t>105428835300</t>
  </si>
  <si>
    <t>305504045140</t>
  </si>
  <si>
    <t>305506587540</t>
  </si>
  <si>
    <t>305508064430</t>
  </si>
  <si>
    <t>305507165300</t>
  </si>
  <si>
    <t>305508509850</t>
  </si>
  <si>
    <t>305509888040</t>
  </si>
  <si>
    <t>28/04/2023</t>
  </si>
  <si>
    <t>305511613430</t>
  </si>
  <si>
    <t>305514375410</t>
  </si>
  <si>
    <t>105437620260</t>
  </si>
  <si>
    <t>105439656450</t>
  </si>
  <si>
    <t>105445466340</t>
  </si>
  <si>
    <t>305517062600
305518199950</t>
  </si>
  <si>
    <t>TLLYHCJH23045101</t>
  </si>
  <si>
    <t>PKGCB23006395</t>
  </si>
  <si>
    <t>JTHCM23S04012</t>
  </si>
  <si>
    <t>EGLV091330128757</t>
  </si>
  <si>
    <t>LX-SGNBNE23015</t>
  </si>
  <si>
    <t>039DX22192</t>
  </si>
  <si>
    <t xml:space="preserve">JJS230010002861 </t>
  </si>
  <si>
    <t>ZIMUHCM80332663</t>
  </si>
  <si>
    <t>CULVSGN2302492</t>
  </si>
  <si>
    <t>YMLUI490469632</t>
  </si>
  <si>
    <t>EGLV091330122015</t>
  </si>
  <si>
    <t>PKG2304006887</t>
  </si>
  <si>
    <t xml:space="preserve">LCLSINSGN2300202 </t>
  </si>
  <si>
    <t>039DX22243</t>
  </si>
  <si>
    <t>KGN-23050322</t>
  </si>
  <si>
    <t>KGN-23050320</t>
  </si>
  <si>
    <t>KGN-23050371</t>
  </si>
  <si>
    <t>KGN-23050321</t>
  </si>
  <si>
    <t>KGN-23050369</t>
  </si>
  <si>
    <t>KGN-23050372</t>
  </si>
  <si>
    <t>KGN-23050619</t>
  </si>
  <si>
    <t>KGN-23050668</t>
  </si>
  <si>
    <t>KGN-23041106</t>
  </si>
  <si>
    <t>KGN-23041849</t>
  </si>
  <si>
    <t>KGN-23041231</t>
  </si>
  <si>
    <t>KGN-23050116</t>
  </si>
  <si>
    <t>KGN-23050006</t>
  </si>
  <si>
    <t>KGN-23050305</t>
  </si>
  <si>
    <t>KGN-23050366</t>
  </si>
  <si>
    <t>KGN-23050508</t>
  </si>
  <si>
    <t>10/05/23</t>
  </si>
  <si>
    <t>PHÍ XIN C/O T05.2023</t>
  </si>
  <si>
    <t>1 C/O, CHỨNG THỰC INV VCCI</t>
  </si>
  <si>
    <t>KGN-23051250</t>
  </si>
  <si>
    <t>16/05/2023</t>
  </si>
  <si>
    <t>THÁNG 06/2023</t>
  </si>
  <si>
    <t>122300021426171</t>
  </si>
  <si>
    <t>KGN-23051252</t>
  </si>
  <si>
    <t>122300021426802</t>
  </si>
  <si>
    <t>KGN-23051253</t>
  </si>
  <si>
    <t>122300021428983</t>
  </si>
  <si>
    <t>KGN-23051254</t>
  </si>
  <si>
    <t>EBKG05577834</t>
  </si>
  <si>
    <t>18/05/2023</t>
  </si>
  <si>
    <t>MSMU4695129</t>
  </si>
  <si>
    <t>305520295310</t>
  </si>
  <si>
    <t>105448496310</t>
  </si>
  <si>
    <t>305523975540</t>
  </si>
  <si>
    <t>HASLS21230500056</t>
  </si>
  <si>
    <t>HDMUSUBA53723000</t>
  </si>
  <si>
    <t>105448450440</t>
  </si>
  <si>
    <t>15/05/2023</t>
  </si>
  <si>
    <t>105455061610</t>
  </si>
  <si>
    <t>105455052950</t>
  </si>
  <si>
    <t>305524374540</t>
  </si>
  <si>
    <t>305528636250</t>
  </si>
  <si>
    <t>105455291320</t>
  </si>
  <si>
    <t>105458164010</t>
  </si>
  <si>
    <t>105456090500</t>
  </si>
  <si>
    <t>17/05/2023</t>
  </si>
  <si>
    <t>305532792630</t>
  </si>
  <si>
    <t>305536412660</t>
  </si>
  <si>
    <t>105455743150</t>
  </si>
  <si>
    <t>105462865540</t>
  </si>
  <si>
    <t>105462997030</t>
  </si>
  <si>
    <t>TLLYHCJH23055101</t>
  </si>
  <si>
    <t xml:space="preserve">SLOGJKT-2023127/HCM </t>
  </si>
  <si>
    <t>CNB0224221</t>
  </si>
  <si>
    <t>TAOHCM2761JHL1</t>
  </si>
  <si>
    <t>039DX26785</t>
  </si>
  <si>
    <t>1KT873059</t>
  </si>
  <si>
    <t>HDMUDELA62605300</t>
  </si>
  <si>
    <t>EGLV091330156042</t>
  </si>
  <si>
    <t>EGLV091330148294</t>
  </si>
  <si>
    <t>KGN-23050773</t>
  </si>
  <si>
    <t>KGN-23051024</t>
  </si>
  <si>
    <t>KGN-23051361</t>
  </si>
  <si>
    <t>KGN-23051025</t>
  </si>
  <si>
    <t>KGN-23051251</t>
  </si>
  <si>
    <t>KGN-23050695</t>
  </si>
  <si>
    <t>KGN-23050694</t>
  </si>
  <si>
    <t>KGN-23050688</t>
  </si>
  <si>
    <t>KGN-23050280</t>
  </si>
  <si>
    <t>KGN-23050749</t>
  </si>
  <si>
    <t>KGN-23050748</t>
  </si>
  <si>
    <t>KGN-23051003</t>
  </si>
  <si>
    <t>KGN-23050746</t>
  </si>
  <si>
    <t>KGN-23051164</t>
  </si>
  <si>
    <t>KGN-23051163</t>
  </si>
  <si>
    <t>KGN-23051162</t>
  </si>
  <si>
    <t>18/05/23</t>
  </si>
  <si>
    <t>TGCU0159100</t>
  </si>
  <si>
    <t>22/05/2023</t>
  </si>
  <si>
    <t>TRHU8921320</t>
  </si>
  <si>
    <t>305546306460</t>
  </si>
  <si>
    <t>23/05/2023</t>
  </si>
  <si>
    <t>TCLU7296675</t>
  </si>
  <si>
    <t>122300021610391</t>
  </si>
  <si>
    <t xml:space="preserve">	KGN-23051664</t>
  </si>
  <si>
    <t>122300021629053</t>
  </si>
  <si>
    <t>KGN-23051665</t>
  </si>
  <si>
    <t>122300021630298</t>
  </si>
  <si>
    <t xml:space="preserve">	KGN-23051666</t>
  </si>
  <si>
    <t>72690981</t>
  </si>
  <si>
    <t>305549183500</t>
  </si>
  <si>
    <t>24/05/2023</t>
  </si>
  <si>
    <t>HLBU1652501</t>
  </si>
  <si>
    <t>305543781710</t>
  </si>
  <si>
    <t>305538509640</t>
  </si>
  <si>
    <t>25/05/2023</t>
  </si>
  <si>
    <t>305552691750</t>
  </si>
  <si>
    <t>BEAU4297907</t>
  </si>
  <si>
    <t>305552215750</t>
  </si>
  <si>
    <t>EBKG05750370</t>
  </si>
  <si>
    <t>TRHU8634973</t>
  </si>
  <si>
    <t>305540652710</t>
  </si>
  <si>
    <t>105462805560</t>
  </si>
  <si>
    <t>305543624540</t>
  </si>
  <si>
    <t>305543756950</t>
  </si>
  <si>
    <t>305543905830</t>
  </si>
  <si>
    <t>305544261100</t>
  </si>
  <si>
    <t>305544395940</t>
  </si>
  <si>
    <t>305546507400
305546544500</t>
  </si>
  <si>
    <t>305546687410</t>
  </si>
  <si>
    <t>305546719500</t>
  </si>
  <si>
    <t>305547343640</t>
  </si>
  <si>
    <t>305546600130</t>
  </si>
  <si>
    <t>305547313800</t>
  </si>
  <si>
    <t>305548738150</t>
  </si>
  <si>
    <t>305549763060</t>
  </si>
  <si>
    <t>305548720540/E62
305549320110/B11</t>
  </si>
  <si>
    <t>305553017730</t>
  </si>
  <si>
    <t>20/05/2023</t>
  </si>
  <si>
    <t>KGN-23050747</t>
  </si>
  <si>
    <t>KGN-23051524</t>
  </si>
  <si>
    <t>KGN-23051527</t>
  </si>
  <si>
    <t>KGN-23051555</t>
  </si>
  <si>
    <t>KGN-23051526</t>
  </si>
  <si>
    <t>KGN-23051536</t>
  </si>
  <si>
    <t>KGN-23051537</t>
  </si>
  <si>
    <t>KGN-23051615</t>
  </si>
  <si>
    <t>KGN-23051612</t>
  </si>
  <si>
    <t>KGN-23051611</t>
  </si>
  <si>
    <t>KGN-23051610</t>
  </si>
  <si>
    <t>KGN-23051613</t>
  </si>
  <si>
    <t>KGN-23051631</t>
  </si>
  <si>
    <t>KGN-23051783</t>
  </si>
  <si>
    <t>KGN-23051784</t>
  </si>
  <si>
    <t>KGN-23051781</t>
  </si>
  <si>
    <t>KGN-23051798</t>
  </si>
  <si>
    <t>NAM6136391</t>
  </si>
  <si>
    <t>YMLUI490470278</t>
  </si>
  <si>
    <t>SGN23E01387</t>
  </si>
  <si>
    <t>341BK3005500</t>
  </si>
  <si>
    <t>235300453678</t>
  </si>
  <si>
    <t>SITSGXMG320346</t>
  </si>
  <si>
    <t>039DX29957</t>
  </si>
  <si>
    <t>SITSGXMG320345</t>
  </si>
  <si>
    <t>SITSGXMG320347</t>
  </si>
  <si>
    <t>SITSGXMG320344</t>
  </si>
  <si>
    <t>SITSGXMG320348</t>
  </si>
  <si>
    <t>180 13028175</t>
  </si>
  <si>
    <t>HCM/BTL23050001</t>
  </si>
  <si>
    <t>039DX22244</t>
  </si>
  <si>
    <t>039DX27195</t>
  </si>
  <si>
    <t>DHL</t>
  </si>
  <si>
    <t>KGN-23051538</t>
  </si>
  <si>
    <t>PKGCB23007198</t>
  </si>
  <si>
    <t>26/05/2023</t>
  </si>
  <si>
    <t>BAO GIẤY</t>
  </si>
  <si>
    <t>105479034030</t>
  </si>
  <si>
    <t>305555637240</t>
  </si>
  <si>
    <t xml:space="preserve">	EBKG05661048</t>
  </si>
  <si>
    <t>105477868750</t>
  </si>
  <si>
    <t>305555949661</t>
  </si>
  <si>
    <t>FCIU9505396</t>
  </si>
  <si>
    <t>305560155040</t>
  </si>
  <si>
    <t>29/05/2023</t>
  </si>
  <si>
    <t>122300021766571</t>
  </si>
  <si>
    <t>KGN-23051969</t>
  </si>
  <si>
    <t>305560351410</t>
  </si>
  <si>
    <t>TRHU7086258</t>
  </si>
  <si>
    <t>235300568009</t>
  </si>
  <si>
    <t>SKYU8146822</t>
  </si>
  <si>
    <t>30/05/2023</t>
  </si>
  <si>
    <t>MSMU5079920</t>
  </si>
  <si>
    <t>EBKG05693005</t>
  </si>
  <si>
    <t>31/05/2023</t>
  </si>
  <si>
    <t>105483285350</t>
  </si>
  <si>
    <t>220310096535</t>
  </si>
  <si>
    <t>GAOU6769919
TLLU8711613</t>
  </si>
  <si>
    <t>YMLUZ490311317</t>
  </si>
  <si>
    <t>02/6/2023</t>
  </si>
  <si>
    <t>CAIU6578512</t>
  </si>
  <si>
    <t>2632/ 6.184 CBM</t>
  </si>
  <si>
    <t>213.96/1.06CBM</t>
  </si>
  <si>
    <t>HCM-SBK-2306439</t>
  </si>
  <si>
    <t>05/06/2023</t>
  </si>
  <si>
    <t>KGN-23060353</t>
  </si>
  <si>
    <t>06/06/2023</t>
  </si>
  <si>
    <t>BSIU9647628</t>
  </si>
  <si>
    <t>EBKG05783191</t>
  </si>
  <si>
    <t>MSMU8022785</t>
  </si>
  <si>
    <t>08/06/2023</t>
  </si>
  <si>
    <t>122300022067229</t>
  </si>
  <si>
    <t>KGN-23060509</t>
  </si>
  <si>
    <t>09/06/2023</t>
  </si>
  <si>
    <t>122300022113620</t>
  </si>
  <si>
    <t>122300022115366</t>
  </si>
  <si>
    <t>KGN-23060628</t>
  </si>
  <si>
    <t>BỔ SUNG CHI HỘ</t>
  </si>
  <si>
    <t>PHÍ XIN C/O T06.2023</t>
  </si>
  <si>
    <t>COAU7884807200</t>
  </si>
  <si>
    <t>KGN-23060627</t>
  </si>
  <si>
    <t>14/06/2023</t>
  </si>
  <si>
    <t>OOCU9079820</t>
  </si>
  <si>
    <t>EBKG05806348</t>
  </si>
  <si>
    <t>MSMU6295369</t>
  </si>
  <si>
    <t>15/06/2023</t>
  </si>
  <si>
    <t>039DX35238</t>
  </si>
  <si>
    <t>WHSU6028249</t>
  </si>
  <si>
    <t>GCXU5918223</t>
  </si>
  <si>
    <t>039DX35139</t>
  </si>
  <si>
    <t>TCLU1582500</t>
  </si>
  <si>
    <t>12</t>
  </si>
  <si>
    <t>13</t>
  </si>
  <si>
    <t>14</t>
  </si>
  <si>
    <t>15</t>
  </si>
  <si>
    <t>16</t>
  </si>
  <si>
    <t>17</t>
  </si>
  <si>
    <t>HLXU6590797</t>
  </si>
  <si>
    <t>TGBU2104020
FCIU4815188
CSLU1884779
TGBU2317453
OOLU0594872
CSLU2391015
UETU2661721
CSNU1993376
TEMU5432086
CBHU4190554</t>
  </si>
  <si>
    <t>TGBU5976578</t>
  </si>
  <si>
    <t>OOLU2140741820G</t>
  </si>
  <si>
    <t>KGN-23061252</t>
  </si>
  <si>
    <t>CSLU1797329
SLDU2001919
OOLU2928731
OOLU1390359
TEMU3458712
FBIU0384877
BSIU2885244
FTAU1573774
CBHU4434650
OOLU0542014</t>
  </si>
  <si>
    <t>KGN-23061065</t>
  </si>
  <si>
    <t>19/06/2023</t>
  </si>
  <si>
    <t>THÁNG 07/2023</t>
  </si>
  <si>
    <t>122300022354910</t>
  </si>
  <si>
    <t>KGN-23061544</t>
  </si>
  <si>
    <t>KGN-23061545</t>
  </si>
  <si>
    <t>305608238260</t>
  </si>
  <si>
    <t>20/06/2023</t>
  </si>
  <si>
    <t>CMAU8648210</t>
  </si>
  <si>
    <t>TGBU4321909</t>
  </si>
  <si>
    <t>18</t>
  </si>
  <si>
    <t>19</t>
  </si>
  <si>
    <t>GOSUNGB20086958R</t>
  </si>
  <si>
    <t>KGN-23061596</t>
  </si>
  <si>
    <t>21/06/2023</t>
  </si>
  <si>
    <t>22/06/2023</t>
  </si>
  <si>
    <t>24/06/2023</t>
  </si>
  <si>
    <t>HLBU2881415</t>
  </si>
  <si>
    <t>20</t>
  </si>
  <si>
    <t>21</t>
  </si>
  <si>
    <t>122300022356433</t>
  </si>
  <si>
    <t>235300659365</t>
  </si>
  <si>
    <t>TRHU5846053</t>
  </si>
  <si>
    <t>27/06/2023</t>
  </si>
  <si>
    <t>TGBU6066079</t>
  </si>
  <si>
    <t>28/06/2023</t>
  </si>
  <si>
    <t>TGBU4161755</t>
  </si>
  <si>
    <t>KGN-23062232</t>
  </si>
  <si>
    <t>29/06/2023</t>
  </si>
  <si>
    <t>BEAU5480281</t>
  </si>
  <si>
    <t>COAU7244446280L</t>
  </si>
  <si>
    <t>TCLU7826034</t>
  </si>
  <si>
    <t>TGHU6369884</t>
  </si>
  <si>
    <t>ZIMUHCM80342741</t>
  </si>
  <si>
    <t>ZIMUHCM80341144</t>
  </si>
  <si>
    <t>ZCSU6900801</t>
  </si>
  <si>
    <t>SE23060066</t>
  </si>
  <si>
    <t>BMOU6035346</t>
  </si>
  <si>
    <t>OOLU2720166200</t>
  </si>
  <si>
    <t>OOCU6999022</t>
  </si>
  <si>
    <t>PHÍ DEM</t>
  </si>
  <si>
    <t>PHÍ DET</t>
  </si>
  <si>
    <t>001DA97683</t>
  </si>
  <si>
    <t>122300022944713</t>
  </si>
  <si>
    <t>122300022945957</t>
  </si>
  <si>
    <t>122300022947009</t>
  </si>
  <si>
    <t>122300022948083</t>
  </si>
  <si>
    <t>122300022958232</t>
  </si>
  <si>
    <t>122300022961907</t>
  </si>
  <si>
    <t>KGN-23070605</t>
  </si>
  <si>
    <t>KGN-23070607</t>
  </si>
  <si>
    <t>KGN-23070609</t>
  </si>
  <si>
    <t>KGN-23070623</t>
  </si>
  <si>
    <t>KGN-23070624</t>
  </si>
  <si>
    <t>PHỤ PHÍ NÂNG</t>
  </si>
  <si>
    <t>COAU7884860960</t>
  </si>
  <si>
    <t>OOLU2721381400E</t>
  </si>
  <si>
    <t>513,29</t>
  </si>
  <si>
    <t>KGN-23070696</t>
  </si>
  <si>
    <t>04/07/2023</t>
  </si>
  <si>
    <t>06/07/2023</t>
  </si>
  <si>
    <t>17/07/2023</t>
  </si>
  <si>
    <t>XUẤT</t>
  </si>
  <si>
    <t>NHẬP</t>
  </si>
  <si>
    <t>CULVSGN2303129</t>
  </si>
  <si>
    <t>CULVSGN2303647</t>
  </si>
  <si>
    <t>PTNCLP2360004</t>
  </si>
  <si>
    <t>PKECLP2360126</t>
  </si>
  <si>
    <t>CULVSGN2303648</t>
  </si>
  <si>
    <t>TLLU7945345</t>
  </si>
  <si>
    <t>FFAU4253036</t>
  </si>
  <si>
    <t>TEMU5626163</t>
  </si>
  <si>
    <t>IAAU2884590</t>
  </si>
  <si>
    <t>105564026410 105564149501</t>
  </si>
  <si>
    <t>305642302250
305642305900</t>
  </si>
  <si>
    <t>305626091320
305626224210</t>
  </si>
  <si>
    <t>PHÍ CSHT</t>
  </si>
  <si>
    <t>THEO DÕI HÀNG HÓA TẠM ỨNG, THANH TOÁN, ĐIỀU XE 2023 - HIGHPOINT</t>
  </si>
  <si>
    <t>TCLU4439622</t>
  </si>
  <si>
    <t>105587149510
105587026050</t>
  </si>
  <si>
    <t>OOLU6836320</t>
  </si>
  <si>
    <t>305670154220
305670600120</t>
  </si>
  <si>
    <t>PTNCLP2370001</t>
  </si>
  <si>
    <t>DFSU7242000</t>
  </si>
  <si>
    <t>13/07/2023</t>
  </si>
  <si>
    <t>KGN-23070944</t>
  </si>
  <si>
    <t>2 PK/ 3100 KGS / 0.9 CBM</t>
  </si>
  <si>
    <t>1 PK / 290 KGS / 2 CBM</t>
  </si>
  <si>
    <t>1 PK/ 720 KGS/ 0.76 CBM</t>
  </si>
  <si>
    <t>305673633660
305673692240</t>
  </si>
  <si>
    <t>18/07/2023</t>
  </si>
  <si>
    <t>CULVSGN2303681</t>
  </si>
  <si>
    <t>CULU6023479</t>
  </si>
  <si>
    <t>DFSU2984027
FCIU5859241
TGBU3001198
OOLU1923566
TLLU3013970
CSLU2315530
TEMU2692990
TGHU1938041
CSLU1421481
OOLU0567882</t>
  </si>
  <si>
    <t>PHÍ XIN C/O T07.2023</t>
  </si>
  <si>
    <t>KGN-23071046</t>
  </si>
  <si>
    <t>WHSU5446732
WHSU5598041</t>
  </si>
  <si>
    <t>039DX37910</t>
  </si>
  <si>
    <t>039DX37913</t>
  </si>
  <si>
    <t>WHSU6770134
WHSU5638524</t>
  </si>
  <si>
    <t>HCM-SBK-2307540</t>
  </si>
  <si>
    <t>AMIGL230273796A</t>
  </si>
  <si>
    <t>BMOU6930536</t>
  </si>
  <si>
    <t>KGN-23071091</t>
  </si>
  <si>
    <t>KGN-PR-2307404</t>
  </si>
  <si>
    <t>KGN-PR-2306183</t>
  </si>
  <si>
    <t>20/07/2023</t>
  </si>
  <si>
    <t>21/07/2023</t>
  </si>
  <si>
    <t>n</t>
  </si>
  <si>
    <t>CTAHCM23073122</t>
  </si>
  <si>
    <t>1.902,82</t>
  </si>
  <si>
    <t>305677870760</t>
  </si>
  <si>
    <t>122300023197278</t>
  </si>
  <si>
    <t>305680357900</t>
  </si>
  <si>
    <t>122300023224499</t>
  </si>
  <si>
    <t>KGN-23071178</t>
  </si>
  <si>
    <t>KGN-23071179</t>
  </si>
  <si>
    <t>122300023221166</t>
  </si>
  <si>
    <t>FCIU7374785</t>
  </si>
  <si>
    <t>EBKG06131084</t>
  </si>
  <si>
    <t>24/07/2023</t>
  </si>
  <si>
    <t>EBKG06228096</t>
  </si>
  <si>
    <t>TCLU5899812
MSMU6122661</t>
  </si>
  <si>
    <t>ZIMUHCM80347555</t>
  </si>
  <si>
    <t>TEMU4296112</t>
  </si>
  <si>
    <t>25/07/2023</t>
  </si>
  <si>
    <t>GCXU5017755</t>
  </si>
  <si>
    <t>SGNM82771700</t>
  </si>
  <si>
    <t>CULVSGN2304140</t>
  </si>
  <si>
    <t>SEKU6488236</t>
  </si>
  <si>
    <t>305692048600
305691900200</t>
  </si>
  <si>
    <t>PHÍ SỬA TK AMA</t>
  </si>
  <si>
    <t>CHI HỘ OBH</t>
  </si>
  <si>
    <t>KGN-PR-2307507</t>
  </si>
  <si>
    <t>039DX39584</t>
  </si>
  <si>
    <t>EBKG06201552</t>
  </si>
  <si>
    <t>MSMU7249516</t>
  </si>
  <si>
    <t>THÁNG 08/2023</t>
  </si>
  <si>
    <t>GXSAG23075802</t>
  </si>
  <si>
    <t>2 PK/ 2100 KGS / 3.4 CBM</t>
  </si>
  <si>
    <t>KGN-23071425</t>
  </si>
  <si>
    <t>26/07/2023</t>
  </si>
  <si>
    <t>WHSU6604658
WHSU6036769
WHSU6709010</t>
  </si>
  <si>
    <t>KGN-23071455</t>
  </si>
  <si>
    <t>810 KGS/ 2.35 CBM</t>
  </si>
  <si>
    <t>3207.8 KGS/ 6 CBM</t>
  </si>
  <si>
    <t>27/07/2023</t>
  </si>
  <si>
    <t>CULU1909910
CULU1926883
CULU1926918
CULU1930918
GESU1257929
TEMU0548710
TEMU0549742
TLLU2939587
TRHU3123230
UETU2276432</t>
  </si>
  <si>
    <t>KGN-23071495</t>
  </si>
  <si>
    <t>EBKG06226381</t>
  </si>
  <si>
    <t>TLLU5540688</t>
  </si>
  <si>
    <t>FLXT-00002100146A</t>
  </si>
  <si>
    <t>NYKU5234952</t>
  </si>
  <si>
    <t>KGN-23071511</t>
  </si>
  <si>
    <t>KGN-23071512</t>
  </si>
  <si>
    <t>KGN-23071514</t>
  </si>
  <si>
    <t>105609763230
105609811050</t>
  </si>
  <si>
    <t>OOCU8820861</t>
  </si>
  <si>
    <t xml:space="preserve">LCL </t>
  </si>
  <si>
    <t>SE0715</t>
  </si>
  <si>
    <t>SE0714</t>
  </si>
  <si>
    <t>KGN-23071522</t>
  </si>
  <si>
    <t>KGN-23071525</t>
  </si>
  <si>
    <t>6.240 CBM</t>
  </si>
  <si>
    <t>KGN-23071526</t>
  </si>
  <si>
    <t>KGN-23071528</t>
  </si>
  <si>
    <t>X-V</t>
  </si>
  <si>
    <t>KGN-23071545</t>
  </si>
  <si>
    <t>KGN-23071549</t>
  </si>
  <si>
    <t>KGN-23071550</t>
  </si>
  <si>
    <t>KGN-23071551</t>
  </si>
  <si>
    <t>KGN-23071552</t>
  </si>
  <si>
    <t>KGN-23071553</t>
  </si>
  <si>
    <t>CTOHCM2307540</t>
  </si>
  <si>
    <t>KGN-23071554</t>
  </si>
  <si>
    <t>Công Ty TNHH Ngũ Kim Chính Nguyên Việt Nam</t>
  </si>
  <si>
    <t>Công Ty TNHH HIGH POINT FURNITURE GLOBAL (Việt Nam)</t>
  </si>
  <si>
    <t>Tờ khai thứ 2</t>
  </si>
  <si>
    <t>G.W</t>
  </si>
  <si>
    <t>CƯỚC SOTRANS</t>
  </si>
  <si>
    <t>GW</t>
  </si>
  <si>
    <t>TỜ KHAI THỨ 2</t>
  </si>
  <si>
    <t>21.931,1</t>
  </si>
  <si>
    <t>11.222,08</t>
  </si>
  <si>
    <t>9.057</t>
  </si>
  <si>
    <t>Chi 1 triệu Kiểm hóa</t>
  </si>
  <si>
    <t xml:space="preserve">CHI HỘ OBH </t>
  </si>
  <si>
    <t>CSHT</t>
  </si>
  <si>
    <t>KGN-PR-2307587</t>
  </si>
  <si>
    <t>KGN-PR-2307589</t>
  </si>
  <si>
    <t>105609685313
105609485442</t>
  </si>
  <si>
    <t>CMAU2440106</t>
  </si>
  <si>
    <t>SZXEF23070099720
SZXEF23070099720B</t>
  </si>
  <si>
    <r>
      <rPr>
        <sz val="12"/>
        <rFont val="Times New Roman"/>
        <family val="1"/>
      </rPr>
      <t>WHSU5827338</t>
    </r>
    <r>
      <rPr>
        <sz val="12"/>
        <color theme="1"/>
        <rFont val="Times New Roman"/>
        <family val="1"/>
      </rPr>
      <t xml:space="preserve">
WHSU6088206</t>
    </r>
  </si>
  <si>
    <t>PTNCLP2370003</t>
  </si>
  <si>
    <t>OOCU8973710</t>
  </si>
  <si>
    <t>105620231360
105620140510</t>
  </si>
  <si>
    <t>TEMU5787065</t>
  </si>
  <si>
    <t>FLXT-00002100123A</t>
  </si>
  <si>
    <t>CULVSGN2304255</t>
  </si>
  <si>
    <t>FFAU4642249</t>
  </si>
  <si>
    <t>305710789810
305710373750</t>
  </si>
  <si>
    <t>KGN-23080086</t>
  </si>
  <si>
    <t>KGN-23080087</t>
  </si>
  <si>
    <t>KGN-23080092</t>
  </si>
  <si>
    <t>NBHCM23053886</t>
  </si>
  <si>
    <t>KGN-23080117</t>
  </si>
  <si>
    <t>6PK/ 961 KGS / 0.51 CBM</t>
  </si>
  <si>
    <t>CÁI MÉP PHỤ THU 3TR</t>
  </si>
  <si>
    <t>KGN-23070603</t>
  </si>
  <si>
    <t>KGN-23070606</t>
  </si>
  <si>
    <t>KGN-23070604</t>
  </si>
  <si>
    <t>KGN-23071177</t>
  </si>
  <si>
    <t>KGN-23071180</t>
  </si>
  <si>
    <r>
      <t xml:space="preserve">CÁI MÉP PHỤ THU 3TR 
</t>
    </r>
    <r>
      <rPr>
        <b/>
        <sz val="12"/>
        <color rgb="FFFF0000"/>
        <rFont val="Times New Roman"/>
        <family val="1"/>
      </rPr>
      <t>Chi 1 triệu Kiểm hóa</t>
    </r>
  </si>
  <si>
    <t>1pk /1,400 KGS/0.8 CBM</t>
  </si>
  <si>
    <t>NOSNB23CL41485B</t>
  </si>
  <si>
    <t>KGN-23080187</t>
  </si>
  <si>
    <t>KGN-23080277</t>
  </si>
  <si>
    <t>GOSUNGB20087344H</t>
  </si>
  <si>
    <t>2 PK/1500 KGS/0.39 CBM</t>
  </si>
  <si>
    <t>GOSUNGB20087344C</t>
  </si>
  <si>
    <t>KGN-23080278</t>
  </si>
  <si>
    <t>1PK /480 KGS/0.5 CBM</t>
  </si>
  <si>
    <t>AMFU8839788</t>
  </si>
  <si>
    <t>OOLU9193870</t>
  </si>
  <si>
    <t>HLBU2025430</t>
  </si>
  <si>
    <t>305727820810
305727905510</t>
  </si>
  <si>
    <t>CULVSGN2304256</t>
  </si>
  <si>
    <t>TRHU7405798</t>
  </si>
  <si>
    <t>KGN-23080410</t>
  </si>
  <si>
    <t>SEKU4562798</t>
  </si>
  <si>
    <t>14/08/2023</t>
  </si>
  <si>
    <t>229572641</t>
  </si>
  <si>
    <t>TGBU6321261</t>
  </si>
  <si>
    <t>KGN-23080713</t>
  </si>
  <si>
    <t>PHÍ SỬA CHỮA</t>
  </si>
  <si>
    <t>16/08/2023</t>
  </si>
  <si>
    <t>122300023922887</t>
  </si>
  <si>
    <t>KGN-23080826</t>
  </si>
  <si>
    <t>KGN-23080827</t>
  </si>
  <si>
    <t>305739832660</t>
  </si>
  <si>
    <t>122300023922549</t>
  </si>
  <si>
    <t>CULVXMN2301884</t>
  </si>
  <si>
    <t>TGBU5022158
CCLU7965835</t>
  </si>
  <si>
    <t>15/08/2023</t>
  </si>
  <si>
    <t>KGN-23080875</t>
  </si>
  <si>
    <t>122300023969380</t>
  </si>
  <si>
    <r>
      <t xml:space="preserve">MSMU5838991
</t>
    </r>
    <r>
      <rPr>
        <sz val="12"/>
        <rFont val="Times New Roman"/>
        <family val="1"/>
      </rPr>
      <t>TRHU3537327</t>
    </r>
  </si>
  <si>
    <t>NOSNB23CL41661I</t>
  </si>
  <si>
    <t>KGN-23080927</t>
  </si>
  <si>
    <t>1PK/ 300 KGS/ 0.08 CBM</t>
  </si>
  <si>
    <t>17/08/2023</t>
  </si>
  <si>
    <t>ZIMUHCM80349202</t>
  </si>
  <si>
    <t>BSIU3269393</t>
  </si>
  <si>
    <t>BỔ SUNG PHÍ SỬA HD</t>
  </si>
  <si>
    <t>21/08/2023</t>
  </si>
  <si>
    <t>SE0815</t>
  </si>
  <si>
    <t>SE0816</t>
  </si>
  <si>
    <t>305754340050
305754482520</t>
  </si>
  <si>
    <t>CULVSGN2304166</t>
  </si>
  <si>
    <t>TRHU7404425</t>
  </si>
  <si>
    <t>KGN-23081132</t>
  </si>
  <si>
    <t>KGN-23081133</t>
  </si>
  <si>
    <t>22/08/2023</t>
  </si>
  <si>
    <t>CULVSGN2304167</t>
  </si>
  <si>
    <t>FFAU4360688</t>
  </si>
  <si>
    <t>305756654140
305756903930</t>
  </si>
  <si>
    <t>KGN-23081245</t>
  </si>
  <si>
    <t>KGN-PR-2308390 
KGN-PR-23080475 (263,158 VND)</t>
  </si>
  <si>
    <t>THÁNG 09/2023</t>
  </si>
  <si>
    <t>KGN-23081342</t>
  </si>
  <si>
    <t>COAU8042516610L</t>
  </si>
  <si>
    <t>1PK/ 550 KGS/ 0.57 CBM</t>
  </si>
  <si>
    <t>BSIU9867509</t>
  </si>
  <si>
    <t>EBKG06404563</t>
  </si>
  <si>
    <t>MSDU7673024</t>
  </si>
  <si>
    <t>KGN-23081355</t>
  </si>
  <si>
    <t>23/08/2023</t>
  </si>
  <si>
    <t>TRHU4304232</t>
  </si>
  <si>
    <t>KGN-23081463</t>
  </si>
  <si>
    <t>122300024192412</t>
  </si>
  <si>
    <t>24/08/2023</t>
  </si>
  <si>
    <t>PKECLP2380027</t>
  </si>
  <si>
    <t>IAAU4685556</t>
  </si>
  <si>
    <t>PKECLP2380026</t>
  </si>
  <si>
    <t>IAAU2816826</t>
  </si>
  <si>
    <t>KGN-23081519</t>
  </si>
  <si>
    <t>KGN-23081521</t>
  </si>
  <si>
    <t>6.230 CBM</t>
  </si>
  <si>
    <t>0.810 CBM</t>
  </si>
  <si>
    <t>GLDU5761575</t>
  </si>
  <si>
    <t>039DX51497</t>
  </si>
  <si>
    <t>WHSU0039919</t>
  </si>
  <si>
    <t>25/08/2023</t>
  </si>
  <si>
    <t>SGNDC5565700</t>
  </si>
  <si>
    <t>GLDU7539309</t>
  </si>
  <si>
    <t>KGN-23081543</t>
  </si>
  <si>
    <t>KGN-PR-23080475</t>
  </si>
  <si>
    <t>4458</t>
  </si>
  <si>
    <t xml:space="preserve"> 1,720.08/ 4.14 CBM </t>
  </si>
  <si>
    <t>HTAHCM23083180</t>
  </si>
  <si>
    <t>26/08/2023</t>
  </si>
  <si>
    <t>COAU7884973180</t>
  </si>
  <si>
    <t>KGN-23081616</t>
  </si>
  <si>
    <t>CSLU2267262
CSLU2316460
CBHU4259481
OOLU0659675
FTAU1490617
CXDU2362484
OOLU0919237
OOLU1799748
FCIU5700100
UETU2358510</t>
  </si>
  <si>
    <t>305771318700</t>
  </si>
  <si>
    <t>28/08/2023</t>
  </si>
  <si>
    <t>SGNDC8207300</t>
  </si>
  <si>
    <t>GCXU5270969</t>
  </si>
  <si>
    <t>KGN-23081740</t>
  </si>
  <si>
    <t>039DX52247</t>
  </si>
  <si>
    <t>305775160630
305775028550</t>
  </si>
  <si>
    <t>29/08/2023</t>
  </si>
  <si>
    <t>WHLU5662696</t>
  </si>
  <si>
    <t>KGN-23081798</t>
  </si>
  <si>
    <t>FCIU8462319</t>
  </si>
  <si>
    <t>CMZ1132903</t>
  </si>
  <si>
    <t>BEAU4154700
CMAU2763520</t>
  </si>
  <si>
    <t>235300961967</t>
  </si>
  <si>
    <t>EITU0279394</t>
  </si>
  <si>
    <t>30/08/2023</t>
  </si>
  <si>
    <t>HLXU8188344</t>
  </si>
  <si>
    <t>31/08/2023</t>
  </si>
  <si>
    <t>HLXU8227190</t>
  </si>
  <si>
    <t>KGN-23092914</t>
  </si>
  <si>
    <t>NOSNB23CL41772J</t>
  </si>
  <si>
    <t>NBHCM23059097</t>
  </si>
  <si>
    <t>KGN-23092923</t>
  </si>
  <si>
    <t>CULVSGN2304867</t>
  </si>
  <si>
    <t>KGN-23092986</t>
  </si>
  <si>
    <t>2 pk / 2080 kg /4 cbm</t>
  </si>
  <si>
    <t>2 pk /452 kg / 0.24 cbm</t>
  </si>
  <si>
    <t>HAMU1242554</t>
  </si>
  <si>
    <t>CAIU9428183</t>
  </si>
  <si>
    <t>GCXU5994590</t>
  </si>
  <si>
    <t>GXSAG23087208</t>
  </si>
  <si>
    <t>CULVSGN2304978</t>
  </si>
  <si>
    <t>SGNDD2078400</t>
  </si>
  <si>
    <t>KGN-23093297</t>
  </si>
  <si>
    <t>TRHU5856196</t>
  </si>
  <si>
    <t>KGN-23093331</t>
  </si>
  <si>
    <t>1 PK/ 1050 KGS/ 1.9 CBM</t>
  </si>
  <si>
    <t>PHÍ XIN C/O T09.2023</t>
  </si>
  <si>
    <t>KGN-23093334</t>
  </si>
  <si>
    <t>LINH KIỆN</t>
  </si>
  <si>
    <t>TÊN HÀNG</t>
  </si>
  <si>
    <t>305803595810
305803348010</t>
  </si>
  <si>
    <t>TRHU5040622</t>
  </si>
  <si>
    <t>KGN-23093394</t>
  </si>
  <si>
    <t>UETU5558635</t>
  </si>
  <si>
    <t>305786698250
305786922030
305786963700</t>
  </si>
  <si>
    <t>FTAU1673789</t>
  </si>
  <si>
    <t>13/09/2023</t>
  </si>
  <si>
    <t>SEGU4518701</t>
  </si>
  <si>
    <t>FFAU1802220</t>
  </si>
  <si>
    <t>SZXEF23080122661A/B</t>
  </si>
  <si>
    <t>FCIU3229710</t>
  </si>
  <si>
    <t>105714539560
105714416841</t>
  </si>
  <si>
    <t>KIỂM HÓA</t>
  </si>
  <si>
    <t>305818714410
305818680330</t>
  </si>
  <si>
    <t>19/09/2023</t>
  </si>
  <si>
    <t>SGNDD6642500</t>
  </si>
  <si>
    <t>NYKU5105908</t>
  </si>
  <si>
    <t>18/09/2023</t>
  </si>
  <si>
    <t>PKECLP2390048</t>
  </si>
  <si>
    <t>IAAU2697373</t>
  </si>
  <si>
    <t>KGN-23093772</t>
  </si>
  <si>
    <t>KGN-23093774</t>
  </si>
  <si>
    <t>HTAHCM23093090</t>
  </si>
  <si>
    <t xml:space="preserve"> 857.50 kg/  2.13 cbm</t>
  </si>
  <si>
    <t>PCIU1129630</t>
  </si>
  <si>
    <t>TRỪ 20K LPHQ</t>
  </si>
  <si>
    <t>20/09/2023</t>
  </si>
  <si>
    <t>122300024942413</t>
  </si>
  <si>
    <t>KGN-23093983</t>
  </si>
  <si>
    <t>122300024945698</t>
  </si>
  <si>
    <t>KGN-23093984</t>
  </si>
  <si>
    <t>ONEYSGNDE9259600</t>
  </si>
  <si>
    <t>TCLU6834502</t>
  </si>
  <si>
    <t>305822436900
305822493560</t>
  </si>
  <si>
    <t>305823898020
305824128760</t>
  </si>
  <si>
    <t>CULVSGN2304979</t>
  </si>
  <si>
    <t>BEAU5550769</t>
  </si>
  <si>
    <t>BMOU1380437</t>
  </si>
  <si>
    <t>I490480076</t>
  </si>
  <si>
    <t>KGN-23094063</t>
  </si>
  <si>
    <t>KGN-23094064</t>
  </si>
  <si>
    <t>21/09/2023</t>
  </si>
  <si>
    <t>THÁNG 10/2023</t>
  </si>
  <si>
    <t>KGN-23092987</t>
  </si>
  <si>
    <t>TJNS23080118</t>
  </si>
  <si>
    <t>KGN-23094302</t>
  </si>
  <si>
    <t>KGN-PR-2309475</t>
  </si>
  <si>
    <t>305835359120
305835438660</t>
  </si>
  <si>
    <t>25/09/2023</t>
  </si>
  <si>
    <t>SGNDE2198800</t>
  </si>
  <si>
    <t>KKFU7803770</t>
  </si>
  <si>
    <t>105737273940
105738181950</t>
  </si>
  <si>
    <t>SZXEF23090131108A/B</t>
  </si>
  <si>
    <t>CMAU2454938</t>
  </si>
  <si>
    <t>KGN-23094376</t>
  </si>
  <si>
    <t>Chi 500k Kiểm hóa</t>
  </si>
  <si>
    <t>PCIU9532180</t>
  </si>
  <si>
    <t>23/09/2023</t>
  </si>
  <si>
    <t>712310445531</t>
  </si>
  <si>
    <t>DFSU1914447</t>
  </si>
  <si>
    <t>22/09/2023</t>
  </si>
  <si>
    <t>KGN-PR-2309541</t>
  </si>
  <si>
    <t>KGN-PR-2309539</t>
  </si>
  <si>
    <t>KGN-23094531</t>
  </si>
  <si>
    <t>132300025023618</t>
  </si>
  <si>
    <t>122300025024920</t>
  </si>
  <si>
    <t>122300025024952</t>
  </si>
  <si>
    <t>KGN-23094532</t>
  </si>
  <si>
    <t>KGN-23094533</t>
  </si>
  <si>
    <t>27/09/2023</t>
  </si>
  <si>
    <t>SGNDD6701800</t>
  </si>
  <si>
    <t>SEGU5052310</t>
  </si>
  <si>
    <t>KGN-23094544</t>
  </si>
  <si>
    <t>105747323140
105746217400</t>
  </si>
  <si>
    <t>CTOHCM2309546OFS</t>
  </si>
  <si>
    <t>KGN-23094551</t>
  </si>
  <si>
    <t>CSNU6270889
FFAU2447921</t>
  </si>
  <si>
    <t>305848032730
305847923530</t>
  </si>
  <si>
    <t>28/09/2023</t>
  </si>
  <si>
    <t>CULVSGN2304980</t>
  </si>
  <si>
    <t>UETU2453775</t>
  </si>
  <si>
    <t>KGN-23094719</t>
  </si>
  <si>
    <t>305859380760
305859399110
305859442030</t>
  </si>
  <si>
    <t>3/10/2023</t>
  </si>
  <si>
    <t>WHSU6229048</t>
  </si>
  <si>
    <t>039DX59006</t>
  </si>
  <si>
    <t>305856633520
305856770020</t>
  </si>
  <si>
    <t>02/10/2023</t>
  </si>
  <si>
    <t>SE231002</t>
  </si>
  <si>
    <t>KGN-23101745</t>
  </si>
  <si>
    <t>KGN-23101746</t>
  </si>
  <si>
    <t>DPSE23090058</t>
  </si>
  <si>
    <t>3226KGS/3.739CBM</t>
  </si>
  <si>
    <t>KGN-23101837</t>
  </si>
  <si>
    <t>305863436230</t>
  </si>
  <si>
    <t>122300025372405</t>
  </si>
  <si>
    <t>KGN-23101838</t>
  </si>
  <si>
    <t>122300025540362</t>
  </si>
  <si>
    <t>KGN-23102020</t>
  </si>
  <si>
    <t>KGN-23102021</t>
  </si>
  <si>
    <t>122300025542262</t>
  </si>
  <si>
    <t>305876341800
305876487140</t>
  </si>
  <si>
    <t>KGN-23102024</t>
  </si>
  <si>
    <t>WHSU6245136</t>
  </si>
  <si>
    <t>039DX59007</t>
  </si>
  <si>
    <t>KGN-23102080</t>
  </si>
  <si>
    <t>GXSAG23098020</t>
  </si>
  <si>
    <t>1 PK/ 75 KGS/ 0.2 CBM</t>
  </si>
  <si>
    <t>SGNDF0622600</t>
  </si>
  <si>
    <t>KGN-23102204</t>
  </si>
  <si>
    <t>SEGU5050810</t>
  </si>
  <si>
    <t>ONEU1002935</t>
  </si>
  <si>
    <t>KGN-23102287</t>
  </si>
  <si>
    <t>305877960310</t>
  </si>
  <si>
    <t>305877765120</t>
  </si>
  <si>
    <t>BEAU5396587</t>
  </si>
  <si>
    <t>SEKU4405171</t>
  </si>
  <si>
    <t>HLBU2802870</t>
  </si>
  <si>
    <t>PKECLP23A0012</t>
  </si>
  <si>
    <t>KGN-23102370</t>
  </si>
  <si>
    <t>16/10/2023</t>
  </si>
  <si>
    <t>SE231008</t>
  </si>
  <si>
    <t>KGN-23102464</t>
  </si>
  <si>
    <t xml:space="preserve">3,983.60 KGS/ 10.96 CBM </t>
  </si>
  <si>
    <t>HTAHCM23103031</t>
  </si>
  <si>
    <t>18/10/2023</t>
  </si>
  <si>
    <t>305894920130
305895584100</t>
  </si>
  <si>
    <t>17/10/2023</t>
  </si>
  <si>
    <t>039DX61859</t>
  </si>
  <si>
    <t>KGN-23102578</t>
  </si>
  <si>
    <t>WHSU2797538</t>
  </si>
  <si>
    <t>PHÍ XIN C/O T10.2023</t>
  </si>
  <si>
    <t>SUDU7580722
MRKU8832206
TCLU6144981 
MRKU7732120
MSKU3403920
TTNU1291423
TCKU1808437
MRKU7055009</t>
  </si>
  <si>
    <t>235301173865</t>
  </si>
  <si>
    <t>19/10/2023</t>
  </si>
  <si>
    <t>IAAU2835322</t>
  </si>
  <si>
    <t>HLCUHA3231003575</t>
  </si>
  <si>
    <t>THÁNG 11/2023</t>
  </si>
  <si>
    <t>122300025757419</t>
  </si>
  <si>
    <t>KGN-23102773</t>
  </si>
  <si>
    <t>GAOU6304784</t>
  </si>
  <si>
    <t>KGN-23102723</t>
  </si>
  <si>
    <t>CMZ1154383</t>
  </si>
  <si>
    <t>24/10/2023</t>
  </si>
  <si>
    <t>CMAU2474657</t>
  </si>
  <si>
    <t>25/10/2023</t>
  </si>
  <si>
    <t>039DX65082</t>
  </si>
  <si>
    <t>KGN-23103117</t>
  </si>
  <si>
    <t>WHSU5950888</t>
  </si>
  <si>
    <t>305915376450
305915638620</t>
  </si>
  <si>
    <t>OOLU2992751</t>
  </si>
  <si>
    <t>21/10/2023</t>
  </si>
  <si>
    <t>OOLU0681010</t>
  </si>
  <si>
    <t>122300025925700</t>
  </si>
  <si>
    <t>KGN-23103121</t>
  </si>
  <si>
    <t>122300025923062</t>
  </si>
  <si>
    <t>KGN-23103123</t>
  </si>
  <si>
    <t>CMZ1154382</t>
  </si>
  <si>
    <t>SEGU4860416</t>
  </si>
  <si>
    <t>ESDU1206873</t>
  </si>
  <si>
    <t>KGN-23103127</t>
  </si>
  <si>
    <t>105809315400
105810880710</t>
  </si>
  <si>
    <t>EPIRCHNCWA246979
EPIRCHNCWA246982</t>
  </si>
  <si>
    <t>SGNDF7931900</t>
  </si>
  <si>
    <t>TRHU7003192</t>
  </si>
  <si>
    <t>KGN-23103148</t>
  </si>
  <si>
    <t>12269,02</t>
  </si>
  <si>
    <t>12126,34</t>
  </si>
  <si>
    <t>COAU7245991250L</t>
  </si>
  <si>
    <t>1 PK/ 720 KGS/ 0.65 CBM</t>
  </si>
  <si>
    <t>KGN-23103164</t>
  </si>
  <si>
    <t>NOSNB23CL42220J</t>
  </si>
  <si>
    <t>KGN-23103168</t>
  </si>
  <si>
    <t>5 PK/ 4980 KGS / 3.4 CBM</t>
  </si>
  <si>
    <t>305901165200</t>
  </si>
  <si>
    <t>305914337210</t>
  </si>
  <si>
    <t>305913902400</t>
  </si>
  <si>
    <t>CỘNG 560K PHỤ PHÍ NÂNG</t>
  </si>
  <si>
    <t>KGN-23103268</t>
  </si>
  <si>
    <t>26/10/2023</t>
  </si>
  <si>
    <t>DFSU7313356</t>
  </si>
  <si>
    <t>13208,56</t>
  </si>
  <si>
    <t>FCIU5826910</t>
  </si>
  <si>
    <t>ZIMUHCM80364007</t>
  </si>
  <si>
    <t>ZCSU7279176</t>
  </si>
  <si>
    <t>30/10/2023</t>
  </si>
  <si>
    <t>001DAF3362</t>
  </si>
  <si>
    <t>WHSU6014902
WHSU6213761
WHSU6948503</t>
  </si>
  <si>
    <t>27/10/2023</t>
  </si>
  <si>
    <t>ONEYSGNDF7654400</t>
  </si>
  <si>
    <t>31/10/2023</t>
  </si>
  <si>
    <t>KGN-23103663</t>
  </si>
  <si>
    <t>GCXU5415173</t>
  </si>
  <si>
    <t>KGN-PR-2310523</t>
  </si>
  <si>
    <t>CKEHCM2310561OFS</t>
  </si>
  <si>
    <t>CCLU5297001</t>
  </si>
  <si>
    <t>KGN-23110006</t>
  </si>
  <si>
    <t>305941735430
305941752230</t>
  </si>
  <si>
    <t>039DX65068</t>
  </si>
  <si>
    <t>WHLU5700965</t>
  </si>
  <si>
    <t>KGN-23110060</t>
  </si>
  <si>
    <t>NOSNB23CL42394F</t>
  </si>
  <si>
    <t>2 PK/ 2080 KGS / 4 CBM</t>
  </si>
  <si>
    <t>KGN-23110133</t>
  </si>
  <si>
    <t>CCL002725</t>
  </si>
  <si>
    <t>PTNCLP23A0006</t>
  </si>
  <si>
    <t>TSSU5024782</t>
  </si>
  <si>
    <t>105834333950
105834400340</t>
  </si>
  <si>
    <t>KGN-23110279</t>
  </si>
  <si>
    <t>105845867740
105845926540</t>
  </si>
  <si>
    <t>03/11/2023</t>
  </si>
  <si>
    <t>SZXEF23100148585</t>
  </si>
  <si>
    <t>CMAU9579120</t>
  </si>
  <si>
    <t>105847027310
105846984720</t>
  </si>
  <si>
    <t>SZXEF23100150414A</t>
  </si>
  <si>
    <t>TRHU1950199</t>
  </si>
  <si>
    <t>JT2314SSG357</t>
  </si>
  <si>
    <t>KGN-23110414</t>
  </si>
  <si>
    <t>305957625430
305957477730</t>
  </si>
  <si>
    <t>039DX68850</t>
  </si>
  <si>
    <t>KGN-23110416</t>
  </si>
  <si>
    <t>WHSU2409632</t>
  </si>
  <si>
    <t>235301237766</t>
  </si>
  <si>
    <t>EITU0010384</t>
  </si>
  <si>
    <t>08/11/2023</t>
  </si>
  <si>
    <t>TCLU5724500</t>
  </si>
  <si>
    <t>09/11/2023</t>
  </si>
  <si>
    <t>DPSE23100105</t>
  </si>
  <si>
    <t>13/11/2023</t>
  </si>
  <si>
    <t>TGBU4588670</t>
  </si>
  <si>
    <t>SGNDF7663400</t>
  </si>
  <si>
    <t>KGN-23110685</t>
  </si>
  <si>
    <t>AMIGL230482318A</t>
  </si>
  <si>
    <t>14/11/2023</t>
  </si>
  <si>
    <t>122300026560879</t>
  </si>
  <si>
    <t>KGN-23110936</t>
  </si>
  <si>
    <t>122300026564346</t>
  </si>
  <si>
    <t>KGN-23110937</t>
  </si>
  <si>
    <t>122300026568439</t>
  </si>
  <si>
    <t>KGN-23110938</t>
  </si>
  <si>
    <t>122300026569150</t>
  </si>
  <si>
    <t>KGN-23110939</t>
  </si>
  <si>
    <t>3328 KGS/ 3.72 CBM</t>
  </si>
  <si>
    <t>15/11/2023</t>
  </si>
  <si>
    <t>ZIMUHCM80365998</t>
  </si>
  <si>
    <t>RFCU4056512</t>
  </si>
  <si>
    <t>KGN-23110983</t>
  </si>
  <si>
    <t>039DX68849</t>
  </si>
  <si>
    <t>305978541540
305978393510</t>
  </si>
  <si>
    <t>BSIU3186940</t>
  </si>
  <si>
    <t>KGN-23110984</t>
  </si>
  <si>
    <t>105867124310
105862693750</t>
  </si>
  <si>
    <t>KGN-23110985</t>
  </si>
  <si>
    <t>16/11/2023</t>
  </si>
  <si>
    <t>PKECLP23B0026</t>
  </si>
  <si>
    <t>TGBU3676340</t>
  </si>
  <si>
    <t>305977157160</t>
  </si>
  <si>
    <t>305977438120</t>
  </si>
  <si>
    <t>305977766530</t>
  </si>
  <si>
    <t>305977819840</t>
  </si>
  <si>
    <t>ZIMUHCM80368193</t>
  </si>
  <si>
    <t>BSIU9545143</t>
  </si>
  <si>
    <t>17/11/2023</t>
  </si>
  <si>
    <t>20/11/2023</t>
  </si>
  <si>
    <t>122300026705084</t>
  </si>
  <si>
    <t>KGN-23111211</t>
  </si>
  <si>
    <t>122300026715532</t>
  </si>
  <si>
    <t>KGN-23111213</t>
  </si>
  <si>
    <t>122300026713576</t>
  </si>
  <si>
    <t>KGN-23111214</t>
  </si>
  <si>
    <t>SMCU2014600</t>
  </si>
  <si>
    <t>KGN-23111219</t>
  </si>
  <si>
    <t>305997306110
305996527820</t>
  </si>
  <si>
    <t>SE231107</t>
  </si>
  <si>
    <t>KGN-23111376</t>
  </si>
  <si>
    <t>039DX73462</t>
  </si>
  <si>
    <t>WHLU5829525</t>
  </si>
  <si>
    <t>22/11/2023</t>
  </si>
  <si>
    <t>306007019640
306007484810</t>
  </si>
  <si>
    <t>039DX71222</t>
  </si>
  <si>
    <t>WHSU5302925</t>
  </si>
  <si>
    <t>KGN-23111491</t>
  </si>
  <si>
    <t>305996293210</t>
  </si>
  <si>
    <t>305997194700</t>
  </si>
  <si>
    <t>305996916760</t>
  </si>
  <si>
    <t>THÁNG 12/2023</t>
  </si>
  <si>
    <t>PHÍ XIN C/O T11.2023</t>
  </si>
  <si>
    <r>
      <rPr>
        <sz val="10"/>
        <color theme="1"/>
        <rFont val="Times New Roman"/>
        <family val="1"/>
      </rPr>
      <t>BEAU2726495
BEAU2878440
FCIU3574701
SEGU1402575
SITU2662580
TGBU3155589
TLLU3548102
UETU2435365</t>
    </r>
  </si>
  <si>
    <t>KGN-23111551</t>
  </si>
  <si>
    <t>KGN-PR-2311739</t>
  </si>
  <si>
    <t>23/11/2023</t>
  </si>
  <si>
    <t>SGNDG5773500</t>
  </si>
  <si>
    <t>TCLU6518340</t>
  </si>
  <si>
    <t>10753,02</t>
  </si>
  <si>
    <t>KGN-23111556</t>
  </si>
  <si>
    <t>12994,22</t>
  </si>
  <si>
    <t>27/11/2023</t>
  </si>
  <si>
    <t>105894306711
105894636740</t>
  </si>
  <si>
    <t>CMZ1174454</t>
  </si>
  <si>
    <t>CMAU2753013</t>
  </si>
  <si>
    <t>KGN-23111657</t>
  </si>
  <si>
    <t>122300026873501</t>
  </si>
  <si>
    <t>306021047420</t>
  </si>
  <si>
    <t>24/11/2023</t>
  </si>
  <si>
    <t>SỐ INV</t>
  </si>
  <si>
    <t>CCL/YKJ/2023/SI2311229</t>
  </si>
  <si>
    <t>CCL/YKJ/2023/SI2311095</t>
  </si>
  <si>
    <t>CCL/YTC/2023/SI2311094</t>
  </si>
  <si>
    <t>CCL/YKJ/2023/SI2311097</t>
  </si>
  <si>
    <t>CCL/YKJ/2023/SI2311096</t>
  </si>
  <si>
    <t>CCL/YKJ/2023/SI2311164</t>
  </si>
  <si>
    <t>CCL/YKJ/2023/SI2311167</t>
  </si>
  <si>
    <t>CCL/YKJ/2023/SI2311163</t>
  </si>
  <si>
    <t>122300026729517</t>
  </si>
  <si>
    <t>CCL/YTC/2023/SI2311166</t>
  </si>
  <si>
    <t>KGN-23111699</t>
  </si>
  <si>
    <t>122300026730837</t>
  </si>
  <si>
    <t>CCL/YTC/2023/SI2311165</t>
  </si>
  <si>
    <t>KGN-23111700</t>
  </si>
  <si>
    <t>305999006260</t>
  </si>
  <si>
    <t>305999239030</t>
  </si>
  <si>
    <t>28/11/2023</t>
  </si>
  <si>
    <t>10719,92</t>
  </si>
  <si>
    <t>SGNDJ8612800</t>
  </si>
  <si>
    <t>TCLU9727278</t>
  </si>
  <si>
    <t>122300026954858</t>
  </si>
  <si>
    <t>KGN-23111814</t>
  </si>
  <si>
    <t>122300026955211</t>
  </si>
  <si>
    <t>KGN-23111815</t>
  </si>
  <si>
    <t>KGN-23111817</t>
  </si>
  <si>
    <t>PKECLP23B0043</t>
  </si>
  <si>
    <t>KGN-23111892</t>
  </si>
  <si>
    <t>DFSU4366408</t>
  </si>
  <si>
    <t>306027917810</t>
  </si>
  <si>
    <t>306027949050</t>
  </si>
  <si>
    <t>CCL/YKJ/2023/SI2311252</t>
  </si>
  <si>
    <t>CCL/YKJ/2023/SI2311251</t>
  </si>
  <si>
    <t>KGN-23111932</t>
  </si>
  <si>
    <t>306030082760</t>
  </si>
  <si>
    <t>122300026981092</t>
  </si>
  <si>
    <t>CCL/YKJ/2023/SI2311253</t>
  </si>
  <si>
    <t>306030251500</t>
  </si>
  <si>
    <t>122300026982037</t>
  </si>
  <si>
    <t>KGN-23111933</t>
  </si>
  <si>
    <t>CCL/YTC/2023/SI2311254</t>
  </si>
  <si>
    <t>SGNDG5777900</t>
  </si>
  <si>
    <t>KGN-23112016</t>
  </si>
  <si>
    <t>TCLU6450410</t>
  </si>
  <si>
    <t>29/11/2023</t>
  </si>
  <si>
    <t>039DX71293</t>
  </si>
  <si>
    <t>306031948300
306032036020</t>
  </si>
  <si>
    <t>WHSU2384581</t>
  </si>
  <si>
    <t>KGN-23112085</t>
  </si>
  <si>
    <t>ZIMUHCM80368196</t>
  </si>
  <si>
    <t>ZCSU7693709</t>
  </si>
  <si>
    <t>CTOHCM2311604</t>
  </si>
  <si>
    <t>KGN-23120353</t>
  </si>
  <si>
    <t>OOCU8492850</t>
  </si>
  <si>
    <t>306048432600
306048531300</t>
  </si>
  <si>
    <t>WHSU6755000</t>
  </si>
  <si>
    <t>KGN-23120355</t>
  </si>
  <si>
    <t>039DX74974</t>
  </si>
  <si>
    <t>105941408900
105941958511</t>
  </si>
  <si>
    <t>KGN-23120357</t>
  </si>
  <si>
    <t>CSSGN23B0261</t>
  </si>
  <si>
    <t>SEGU5629130</t>
  </si>
  <si>
    <t>ONEYSGNDK5739900</t>
  </si>
  <si>
    <t>KGN-23120361</t>
  </si>
  <si>
    <t>TLLU4815137</t>
  </si>
  <si>
    <t>122300027400655</t>
  </si>
  <si>
    <t>KGN-23120777</t>
  </si>
  <si>
    <t>KGN-23120778</t>
  </si>
  <si>
    <t>KGN-23120779</t>
  </si>
  <si>
    <t>KGN-23120780</t>
  </si>
  <si>
    <t>KGN-23120781</t>
  </si>
  <si>
    <t>PKECLP23C0016</t>
  </si>
  <si>
    <t>13/12/2023</t>
  </si>
  <si>
    <t>KGN-23120800</t>
  </si>
  <si>
    <t>SLSU2087443</t>
  </si>
  <si>
    <t>306064374950
306064336230</t>
  </si>
  <si>
    <t xml:space="preserve">039DX76563 </t>
  </si>
  <si>
    <t>KGN-23120801</t>
  </si>
  <si>
    <t>WHSU2404538</t>
  </si>
  <si>
    <t>16954,49</t>
  </si>
  <si>
    <t>039DX78076</t>
  </si>
  <si>
    <t>KGN-23120802</t>
  </si>
  <si>
    <t>WHSU2220741</t>
  </si>
  <si>
    <t>OOLU2728920750</t>
  </si>
  <si>
    <t xml:space="preserve">CMZ1183574 </t>
  </si>
  <si>
    <t>CAIU3711853</t>
  </si>
  <si>
    <t>105955669040
105955602911</t>
  </si>
  <si>
    <t>CMAU0340279</t>
  </si>
  <si>
    <t>CMZ1183835</t>
  </si>
  <si>
    <t>10865,5</t>
  </si>
  <si>
    <t>CCL/YKJ/2023/SI2312094</t>
  </si>
  <si>
    <t>CCL/YKJ/2023/SI2312096</t>
  </si>
  <si>
    <t>CCL/YKJ/2023/SI2312095</t>
  </si>
  <si>
    <t>CCL/YTC/2023/SI2312097</t>
  </si>
  <si>
    <t>306075055000
306075024420</t>
  </si>
  <si>
    <t>18/12/2023</t>
  </si>
  <si>
    <t>SE231212</t>
  </si>
  <si>
    <t>KGN-23121068</t>
  </si>
  <si>
    <t>SE231211</t>
  </si>
  <si>
    <t>KGN-23121070</t>
  </si>
  <si>
    <t>SEGU6411498</t>
  </si>
  <si>
    <t>PHÍ XIN C/O T12.2023</t>
  </si>
  <si>
    <t>19/12/2023</t>
  </si>
  <si>
    <t>THÁNG 01/2024</t>
  </si>
  <si>
    <t>KGN-23121341</t>
  </si>
  <si>
    <t>KGN-PR-2312538</t>
  </si>
  <si>
    <t>306080964840
306081095410</t>
  </si>
  <si>
    <t>20/12/2023</t>
  </si>
  <si>
    <t>039DX76605</t>
  </si>
  <si>
    <t>WHSU5705216</t>
  </si>
  <si>
    <t>KGN-23121351</t>
  </si>
  <si>
    <t>YMJAI221066521</t>
  </si>
  <si>
    <t>TCNU4754133</t>
  </si>
  <si>
    <t>KGN-23121353</t>
  </si>
  <si>
    <t>PHỤ TÙNG</t>
  </si>
  <si>
    <t>ONEYSGNDK9549500</t>
  </si>
  <si>
    <t>TCNU5992624</t>
  </si>
  <si>
    <t>21/12/2023</t>
  </si>
  <si>
    <t>KKFU7602482</t>
  </si>
  <si>
    <t>KGN-23121391</t>
  </si>
  <si>
    <t>KGN-23121392</t>
  </si>
  <si>
    <t>22/12/2023</t>
  </si>
  <si>
    <t>344,38</t>
  </si>
  <si>
    <t>132300027357138</t>
  </si>
  <si>
    <t>KGN-23121430</t>
  </si>
  <si>
    <t>TK THANH LÝ HỢP ĐỒNG</t>
  </si>
  <si>
    <t>23/12/2023</t>
  </si>
  <si>
    <t>25/12/2023</t>
  </si>
  <si>
    <t>26/12/2023</t>
  </si>
  <si>
    <t>27/12/2023</t>
  </si>
  <si>
    <t>DRYU9692237
GCXU5635331</t>
  </si>
  <si>
    <t>KOCU4084238</t>
  </si>
  <si>
    <t>OOCU8957303</t>
  </si>
  <si>
    <t>DFSU7505739
OOLU4942533</t>
  </si>
  <si>
    <t>23/12/23</t>
  </si>
  <si>
    <t>CCL/YKJ/2023/SI2312195</t>
  </si>
  <si>
    <t>KGN-23121644</t>
  </si>
  <si>
    <t>122300027741319</t>
  </si>
  <si>
    <t>CCL/YKJ/2023/SI2312196</t>
  </si>
  <si>
    <t>KGN-23121646</t>
  </si>
  <si>
    <t>CCL/YKJ/2023/SI2312218</t>
  </si>
  <si>
    <t>KGN-23121699</t>
  </si>
  <si>
    <t>GAOU6342320</t>
  </si>
  <si>
    <t>KOCU4534280</t>
  </si>
  <si>
    <t>KOCU5256394</t>
  </si>
  <si>
    <t>306099179800
306099261920</t>
  </si>
  <si>
    <t>039DX80036</t>
  </si>
  <si>
    <t>WHSU6460078</t>
  </si>
  <si>
    <t>TGBU6356530</t>
  </si>
  <si>
    <t>HMMU6566799</t>
  </si>
  <si>
    <t>CCL/YKJ/2023/SI2312182</t>
  </si>
  <si>
    <t>KGN-23121855</t>
  </si>
  <si>
    <t>KGN-23121856</t>
  </si>
  <si>
    <t>CCL/YTC/2023/SI12312183-S12312217</t>
  </si>
  <si>
    <t>KGN-23121899</t>
  </si>
  <si>
    <t>OOLU1863174</t>
  </si>
  <si>
    <t>28/12/2023</t>
  </si>
  <si>
    <t>KGN-23121901</t>
  </si>
  <si>
    <t>29/12/2023</t>
  </si>
  <si>
    <t xml:space="preserve">NYKU4062210		</t>
  </si>
  <si>
    <t>SEGU4926914</t>
  </si>
  <si>
    <t>ONEYSGNDM3518400</t>
  </si>
  <si>
    <t>10828,04</t>
  </si>
  <si>
    <t>11419,04</t>
  </si>
  <si>
    <t>KGN-24010054</t>
  </si>
  <si>
    <t>KGN-24010056</t>
  </si>
  <si>
    <t>02/01/2024</t>
  </si>
  <si>
    <t>DHCM312055310</t>
  </si>
  <si>
    <t>306112210260
306112305610</t>
  </si>
  <si>
    <t>03/01/2024</t>
  </si>
  <si>
    <t>039DX80038</t>
  </si>
  <si>
    <t>WHSU5037992</t>
  </si>
  <si>
    <t>MD2324SSG3504</t>
  </si>
  <si>
    <t>KGN-24010248</t>
  </si>
  <si>
    <t>SITU2862070
SITU2811468
GAOU2061428
FTAU1177412
TGBU2668340
BEAU2885497
SITU2854310
TLLU3258401
TGBU3154047
SITU2666950</t>
  </si>
  <si>
    <t>KGN-24010266</t>
  </si>
  <si>
    <t>06/1/2024</t>
  </si>
  <si>
    <t>08/01/2024</t>
  </si>
  <si>
    <t>CCLU7499085
TEMU7571584</t>
  </si>
  <si>
    <t>FFAU1795120</t>
  </si>
  <si>
    <t>09/01/2024</t>
  </si>
  <si>
    <t>OOCU7319330</t>
  </si>
  <si>
    <t>PTNCLP23C0005</t>
  </si>
  <si>
    <t>106001873940
106000404160
106000322740</t>
  </si>
  <si>
    <t>KGN-24010530</t>
  </si>
  <si>
    <t>TSSU5000986</t>
  </si>
  <si>
    <t>PKECLP2410012</t>
  </si>
  <si>
    <t>FCIU5293853</t>
  </si>
  <si>
    <t>KGN-24010648</t>
  </si>
  <si>
    <t>15/01/2024</t>
  </si>
  <si>
    <t>KGN-24010890</t>
  </si>
  <si>
    <t>16/01/2024</t>
  </si>
  <si>
    <t>KGN-24010891</t>
  </si>
  <si>
    <t>KGN-24010892</t>
  </si>
  <si>
    <t>KGN-24010893</t>
  </si>
  <si>
    <t>TLLU4186250</t>
  </si>
  <si>
    <t>YMJAW490445682</t>
  </si>
  <si>
    <t>KGN-24010948</t>
  </si>
  <si>
    <t>306146791700
306146705600</t>
  </si>
  <si>
    <t>17/01/2024</t>
  </si>
  <si>
    <t>039DX82795</t>
  </si>
  <si>
    <t>WHSU6005351</t>
  </si>
  <si>
    <t>306145774820
306145802930</t>
  </si>
  <si>
    <t>306145841210
306145872120</t>
  </si>
  <si>
    <t>SE240107</t>
  </si>
  <si>
    <t>SE240108</t>
  </si>
  <si>
    <t>EBKG07686200</t>
  </si>
  <si>
    <t>TRHU2357172</t>
  </si>
  <si>
    <t>KGN-24011036</t>
  </si>
  <si>
    <t>KGN-24011037</t>
  </si>
  <si>
    <t>KGN-24011039</t>
  </si>
  <si>
    <t>CKEHCM2401011OFS</t>
  </si>
  <si>
    <t>CSNU6672131</t>
  </si>
  <si>
    <t>MÁY MÓC</t>
  </si>
  <si>
    <t>CAIU3520570
CSLU1583570
CSNU1846673
DRYU2481588
FCIU3171645
TEMU3057453 
FCIU5243976
TEMU4886211</t>
  </si>
  <si>
    <t>PHÍ XIN C/O T01.2024</t>
  </si>
  <si>
    <t>THÁNG 02/2024</t>
  </si>
  <si>
    <t>KGN-24011063</t>
  </si>
  <si>
    <t>306128676400
306128604260</t>
  </si>
  <si>
    <t>039DX82790</t>
  </si>
  <si>
    <t>WHSU5580700</t>
  </si>
  <si>
    <t>KGN-24011076</t>
  </si>
  <si>
    <t>22/01/2024</t>
  </si>
  <si>
    <t>19/01/2024</t>
  </si>
  <si>
    <t>QDWJ231257209</t>
  </si>
  <si>
    <t>20/01/2024</t>
  </si>
  <si>
    <t>KGN-24011326</t>
  </si>
  <si>
    <t>KGN-24011328</t>
  </si>
  <si>
    <t>106028600530
106028608340</t>
  </si>
  <si>
    <t>KGN-24011337</t>
  </si>
  <si>
    <t>TRHU5526609
DFSU6912642</t>
  </si>
  <si>
    <t>039EX06181</t>
  </si>
  <si>
    <t>WHSU4013830</t>
  </si>
  <si>
    <t>23/01/2024</t>
  </si>
  <si>
    <t>KGN-24011524</t>
  </si>
  <si>
    <t>106045014830
106044970400</t>
  </si>
  <si>
    <t>24/01/2024</t>
  </si>
  <si>
    <t>KGN-24011525</t>
  </si>
  <si>
    <t>PTNCLP2410001</t>
  </si>
  <si>
    <t>FFAU2798232</t>
  </si>
  <si>
    <t>CAIU4415970</t>
  </si>
  <si>
    <t>TGBU9680223
FSCU8760903</t>
  </si>
  <si>
    <t>18/01/2024</t>
  </si>
  <si>
    <t>25/01/2024</t>
  </si>
  <si>
    <t>KAZ00083Y06MFI</t>
  </si>
  <si>
    <t>316.36 KGS/ 2.250 CBM</t>
  </si>
  <si>
    <t>ZIMUHCM80374930</t>
  </si>
  <si>
    <t>CHUYỂN KHO - NEO MOOC 1 NGÀY</t>
  </si>
  <si>
    <t>SGN6272914</t>
  </si>
  <si>
    <t>YMJAE490374223</t>
  </si>
  <si>
    <t>KGN-24011569</t>
  </si>
  <si>
    <t>10998,6</t>
  </si>
  <si>
    <t>TLLU4086375
SEGU6186606</t>
  </si>
  <si>
    <t>22420,8</t>
  </si>
  <si>
    <t>KGN-24011608</t>
  </si>
  <si>
    <t>EBKG07739933</t>
  </si>
  <si>
    <t>27/01/2024</t>
  </si>
  <si>
    <t>MSDU5050848
BSIU2960651</t>
  </si>
  <si>
    <t>WHSU5610240</t>
  </si>
  <si>
    <t>SZXEF24010189075B
SZXEF24010189075A</t>
  </si>
  <si>
    <t>106047475330
106047306740</t>
  </si>
  <si>
    <t>WHLU5589743</t>
  </si>
  <si>
    <t>SZXEF24010190490B
SZXEF24010190490A</t>
  </si>
  <si>
    <t>106053518210
106053474660</t>
  </si>
  <si>
    <t>CCL/YTC/2024/SI2401138</t>
  </si>
  <si>
    <t>CCL/YKJ/2024/SI2401139</t>
  </si>
  <si>
    <t>CCL/YKJ/2024/SI2401141</t>
  </si>
  <si>
    <t>CCL/YKJ/2024/SI2401140</t>
  </si>
  <si>
    <t>CCL/YKJ/2024/SI2401207</t>
  </si>
  <si>
    <t>CCL/YKJ/2024/SI2401208</t>
  </si>
  <si>
    <t>ZIMUHCM80378614</t>
  </si>
  <si>
    <t>29/01/2024</t>
  </si>
  <si>
    <t>WFHU5170164</t>
  </si>
  <si>
    <t>TCKU7787028</t>
  </si>
  <si>
    <t>30/01/2024</t>
  </si>
  <si>
    <t>122400024637226</t>
  </si>
  <si>
    <t>KGN-24020204</t>
  </si>
  <si>
    <t>KGN-24020206</t>
  </si>
  <si>
    <t>BỔ SUNG PHÍ LÀM CO</t>
  </si>
  <si>
    <t>KGN-24020287</t>
  </si>
  <si>
    <t>YMLU3577643</t>
  </si>
  <si>
    <t>GXSAG24016114</t>
  </si>
  <si>
    <t>COAU7247505240I</t>
  </si>
  <si>
    <t>KGN-24020347</t>
  </si>
  <si>
    <t>KGN-24020348</t>
  </si>
  <si>
    <t>TGBU4571106</t>
  </si>
  <si>
    <t>HLBU2140768</t>
  </si>
  <si>
    <t>235400188632</t>
  </si>
  <si>
    <t>TLLU7539259
MAGU5392090
BSIU9455190</t>
  </si>
  <si>
    <t>MRSU5046715</t>
  </si>
  <si>
    <t>COAU7247551920J</t>
  </si>
  <si>
    <t>KGN-24020637</t>
  </si>
  <si>
    <t>KGN-24020638</t>
  </si>
  <si>
    <t>COAU7247551920C</t>
  </si>
  <si>
    <t>NOSNB24CL40404J</t>
  </si>
  <si>
    <t>KGN-24020639</t>
  </si>
  <si>
    <t>20/02/2024</t>
  </si>
  <si>
    <t>21/02/2024</t>
  </si>
  <si>
    <t>PHÍ XIN C/O T02.2024</t>
  </si>
  <si>
    <t>2 PK / 2080 KG /3.49 CBM</t>
  </si>
  <si>
    <t>1 PK/ 120 KG/ 0.38 CBM</t>
  </si>
  <si>
    <t>1 PK/ 720 KG/ 0.65 CBM</t>
  </si>
  <si>
    <t>1 PK/ 3380 KG/ 1.33 CBM</t>
  </si>
  <si>
    <t>2 PK / 960 KG /0.65 CBM</t>
  </si>
  <si>
    <t>THÁNG 03/2024</t>
  </si>
  <si>
    <t>KGN-24020962</t>
  </si>
  <si>
    <t>TGHU4914932</t>
  </si>
  <si>
    <t>22/02/2024</t>
  </si>
  <si>
    <t>039EX06895</t>
  </si>
  <si>
    <t>WHSU5714033</t>
  </si>
  <si>
    <t>306214356620
306214220010</t>
  </si>
  <si>
    <t>KGN-24021024</t>
  </si>
  <si>
    <t>IAAU4685983</t>
  </si>
  <si>
    <t>PKECLP2420022</t>
  </si>
  <si>
    <t>KGN-24021030</t>
  </si>
  <si>
    <t>PKECLP2420024</t>
  </si>
  <si>
    <t>BMOU1027878</t>
  </si>
  <si>
    <t>KGN-24021032</t>
  </si>
  <si>
    <t>PKECLP2420023</t>
  </si>
  <si>
    <t>106091007850
106090065060
106089322030</t>
  </si>
  <si>
    <t>KGN-24021037</t>
  </si>
  <si>
    <t>IAAU2832956</t>
  </si>
  <si>
    <t>FCIU9965302</t>
  </si>
  <si>
    <t>TCKU7663670</t>
  </si>
  <si>
    <t>TGBU5020134</t>
  </si>
  <si>
    <t>26/02/2024</t>
  </si>
  <si>
    <t>28/02/2024</t>
  </si>
  <si>
    <t>KGN-24022046</t>
  </si>
  <si>
    <t>KGN-24022048</t>
  </si>
  <si>
    <t>CCL/YKJ/2024/SI2402014</t>
  </si>
  <si>
    <t>CCL/YKJ/2024/SI2402012</t>
  </si>
  <si>
    <t>CCL/YKJ/2024/SI2402013</t>
  </si>
  <si>
    <t>CCL/YKJ/2024/SI2402123</t>
  </si>
  <si>
    <t>CCL/YKJ/2024/SI2402122</t>
  </si>
  <si>
    <t>WHSU2600588</t>
  </si>
  <si>
    <t>039EX10355</t>
  </si>
  <si>
    <t>306231796900 
306231782420</t>
  </si>
  <si>
    <t>KGN-23121901-BS1</t>
  </si>
  <si>
    <t>039EX11122</t>
  </si>
  <si>
    <t>WHSU5667332</t>
  </si>
  <si>
    <t>ZIMUHCM80385009</t>
  </si>
  <si>
    <t>TGBU5413682</t>
  </si>
  <si>
    <t>TCHCAT24020239</t>
  </si>
  <si>
    <t>624 KGM/ 7.840 CBM</t>
  </si>
  <si>
    <t>306231917410
306231939330</t>
  </si>
  <si>
    <t>039EX10353</t>
  </si>
  <si>
    <t>WHSU2613760</t>
  </si>
  <si>
    <t>5/3/2024</t>
  </si>
  <si>
    <t>KGN-24030287</t>
  </si>
  <si>
    <t>KGN-24030288</t>
  </si>
  <si>
    <t>KGN-24030289</t>
  </si>
  <si>
    <t>04/3/2024</t>
  </si>
  <si>
    <t>026E507146</t>
  </si>
  <si>
    <t>WHSU0190571
WHSU0190381
WHSU0197914
WHSU0199080
WHSU0204269
WHSU0209609
WHSU0209717
WHSU2104910</t>
  </si>
  <si>
    <t>KGN-24030290</t>
  </si>
  <si>
    <t>KGN-24030291</t>
  </si>
  <si>
    <t>KGN-24030294</t>
  </si>
  <si>
    <t>4/3/2024</t>
  </si>
  <si>
    <t>235400329723</t>
  </si>
  <si>
    <t>DFSU7461369</t>
  </si>
  <si>
    <t>039EX14027</t>
  </si>
  <si>
    <t>WHSU6618585</t>
  </si>
  <si>
    <t>05/03/2024</t>
  </si>
  <si>
    <t>06/03/2024</t>
  </si>
  <si>
    <t>306248319660
306248379200
306248476351</t>
  </si>
  <si>
    <t>039EX14424</t>
  </si>
  <si>
    <t>Đ</t>
  </si>
  <si>
    <t>KGN-24030540</t>
  </si>
  <si>
    <t>WHSU6557319</t>
  </si>
  <si>
    <t>FCIU4720776</t>
  </si>
  <si>
    <t>TCKU4628737
UETU4070158</t>
  </si>
  <si>
    <t>11/3/2024</t>
  </si>
  <si>
    <t>13/03/2024</t>
  </si>
  <si>
    <t>KGN-24030874</t>
  </si>
  <si>
    <t>122400025563808</t>
  </si>
  <si>
    <t>KGN-24030875</t>
  </si>
  <si>
    <t>12/3/2024</t>
  </si>
  <si>
    <t>GAOU6504340</t>
  </si>
  <si>
    <t>FFAU1845617</t>
  </si>
  <si>
    <t>CMZ1231758</t>
  </si>
  <si>
    <t>FFAU4206775</t>
  </si>
  <si>
    <t>306265150460
306265294440</t>
  </si>
  <si>
    <t>039EX14430</t>
  </si>
  <si>
    <t>WHSU6743632</t>
  </si>
  <si>
    <t>KGN-24030891</t>
  </si>
  <si>
    <t>1024 KGM / 2.04 CBM</t>
  </si>
  <si>
    <t>306279729510
306279752500</t>
  </si>
  <si>
    <t>19/03/2024</t>
  </si>
  <si>
    <t>039EX19349</t>
  </si>
  <si>
    <t>WHSU2879317</t>
  </si>
  <si>
    <t>KGN-24031444</t>
  </si>
  <si>
    <t>KGN-24031445</t>
  </si>
  <si>
    <t>COAU7248558000M</t>
  </si>
  <si>
    <t>039EX18525</t>
  </si>
  <si>
    <t>20/03/2024</t>
  </si>
  <si>
    <t>039EX16161</t>
  </si>
  <si>
    <t>ZIMUHCM80390615</t>
  </si>
  <si>
    <t>FXLU2077749</t>
  </si>
  <si>
    <t>306282398020
306282592840</t>
  </si>
  <si>
    <t>039EX18160</t>
  </si>
  <si>
    <t>WHSU5452226</t>
  </si>
  <si>
    <t>KGN-24031481</t>
  </si>
  <si>
    <t>PHÍ XIN C/O T03.2024</t>
  </si>
  <si>
    <t>KGN-24031538</t>
  </si>
  <si>
    <t>1 PK / 1100 KG/ 0.65 CBM</t>
  </si>
  <si>
    <t>THÁNG 04/2024</t>
  </si>
  <si>
    <t>21/03/2024</t>
  </si>
  <si>
    <t>22/03/2024</t>
  </si>
  <si>
    <t>ZIMUHCM80389241</t>
  </si>
  <si>
    <t>039EX14018</t>
  </si>
  <si>
    <t>ZCSU6853309</t>
  </si>
  <si>
    <t>25/03/2024</t>
  </si>
  <si>
    <t>ZCSU6504333</t>
  </si>
  <si>
    <t>DFSU7383923
SEGU6291290</t>
  </si>
  <si>
    <t>26/03/2024</t>
  </si>
  <si>
    <t>28/03/2024</t>
  </si>
  <si>
    <t>TEMU1363665</t>
  </si>
  <si>
    <t>CMZ1235787</t>
  </si>
  <si>
    <t>CAIU3449743</t>
  </si>
  <si>
    <t>CMAU1213598</t>
  </si>
  <si>
    <t>CMZ1233424</t>
  </si>
  <si>
    <t>CMAU7626650</t>
  </si>
  <si>
    <t>CMZ1233427</t>
  </si>
  <si>
    <t>106160214900
106160193901</t>
  </si>
  <si>
    <t>27/03/2024</t>
  </si>
  <si>
    <t>KGN-24031954</t>
  </si>
  <si>
    <t>CCL/YKJ/2024/SI2403293</t>
  </si>
  <si>
    <t>KGN-24031955</t>
  </si>
  <si>
    <t>CCL/YKJ/2024/SI2403308</t>
  </si>
  <si>
    <t>KGN-24031956</t>
  </si>
  <si>
    <t>CCL/YKJ/2024/SI2403307</t>
  </si>
  <si>
    <t>CCL/YKJ/2024/SI2403040</t>
  </si>
  <si>
    <t>CCL/YKJ/2024/SI2403042</t>
  </si>
  <si>
    <t>CCL/YKJ/2024/SI2403041</t>
  </si>
  <si>
    <t>CCL/YKJ/2024/SI2403147</t>
  </si>
  <si>
    <t>CCL/YTC/2024/SI2403148</t>
  </si>
  <si>
    <t>WHLU5783580
WHSU5222331</t>
  </si>
  <si>
    <t>306300586710
306300547840</t>
  </si>
  <si>
    <t>039EX18161</t>
  </si>
  <si>
    <t>WHSU5445823</t>
  </si>
  <si>
    <t>106166217250
106165602320</t>
  </si>
  <si>
    <t>OOLU9264721</t>
  </si>
  <si>
    <t>CTOHCM2403565</t>
  </si>
  <si>
    <t>29/03/2024</t>
  </si>
  <si>
    <r>
      <rPr>
        <sz val="12"/>
        <rFont val="Times New Roman"/>
        <family val="1"/>
      </rPr>
      <t>WHSU5698246</t>
    </r>
    <r>
      <rPr>
        <sz val="12"/>
        <color theme="1"/>
        <rFont val="Times New Roman"/>
        <family val="1"/>
      </rPr>
      <t xml:space="preserve">
WHSU5385149</t>
    </r>
  </si>
  <si>
    <r>
      <t xml:space="preserve">GCXU5354479
</t>
    </r>
    <r>
      <rPr>
        <sz val="12"/>
        <rFont val="Times New Roman"/>
        <family val="1"/>
      </rPr>
      <t>WHLU5699442</t>
    </r>
  </si>
  <si>
    <t>MRKU4844868</t>
  </si>
  <si>
    <t>KGN-24040183</t>
  </si>
  <si>
    <t>SGNM95437500</t>
  </si>
  <si>
    <t>TCLU5122648</t>
  </si>
  <si>
    <t>KGN-24040184</t>
  </si>
  <si>
    <t>FSCU8297131</t>
  </si>
  <si>
    <t>KGN-24040187</t>
  </si>
  <si>
    <t>KGN-24040190</t>
  </si>
  <si>
    <t>HMMU6385002</t>
  </si>
  <si>
    <t>CAIU4441270</t>
  </si>
  <si>
    <t>KGN-24040191</t>
  </si>
  <si>
    <t>SGNM43072000</t>
  </si>
  <si>
    <t>CAIU7455425</t>
  </si>
  <si>
    <t>KGN-24040194</t>
  </si>
  <si>
    <t>KGN-24040196</t>
  </si>
  <si>
    <t>306316001960
306316099850</t>
  </si>
  <si>
    <t>039EX21922</t>
  </si>
  <si>
    <t>WHSU5807537</t>
  </si>
  <si>
    <t>KGN-24040198</t>
  </si>
  <si>
    <t>KGN-24040199</t>
  </si>
  <si>
    <t>ZIMUHCM80388197</t>
  </si>
  <si>
    <t>KGN-24040229</t>
  </si>
  <si>
    <t>ZCSU7877080</t>
  </si>
  <si>
    <t>KGN-24040334</t>
  </si>
  <si>
    <t>SGN2115340</t>
  </si>
  <si>
    <t>APHU7009069</t>
  </si>
  <si>
    <t>KGN-24040335</t>
  </si>
  <si>
    <t>CMZ1235786</t>
  </si>
  <si>
    <t>CMAU0567832</t>
  </si>
  <si>
    <t>CMZ1239442</t>
  </si>
  <si>
    <t>TCLU7267384</t>
  </si>
  <si>
    <t>CMZ1232277</t>
  </si>
  <si>
    <t>GESU1250539</t>
  </si>
  <si>
    <t>KGN-24040336</t>
  </si>
  <si>
    <t>KGN-24040337</t>
  </si>
  <si>
    <t>KGN-24040338</t>
  </si>
  <si>
    <t>KGN-24040339</t>
  </si>
  <si>
    <t>122400025603186-1</t>
  </si>
  <si>
    <t>CCL/YTC/2024/SI2404027</t>
  </si>
  <si>
    <t>CCL/YKJ/2024/SI2404026</t>
  </si>
  <si>
    <t>CCL/YKJ/2024/SI2404028</t>
  </si>
  <si>
    <t>CCL/YKJ/2024/SI2404030</t>
  </si>
  <si>
    <t>CCL/YKJ/2024/SI2404029</t>
  </si>
  <si>
    <t>106180866520
106180799430</t>
  </si>
  <si>
    <t>PTNCLP2430006</t>
  </si>
  <si>
    <t>YMMU6645112</t>
  </si>
  <si>
    <t>KGN-24040343</t>
  </si>
  <si>
    <t>GXSAG24037000</t>
  </si>
  <si>
    <t>1 PK / 120 KG/ 0.2 CBM</t>
  </si>
  <si>
    <t>KGN-24040352</t>
  </si>
  <si>
    <t>OOLU2146701840S</t>
  </si>
  <si>
    <t>3 PK / 3120 KG/ 2.28 CBM</t>
  </si>
  <si>
    <t>KGN-24040353</t>
  </si>
  <si>
    <t>EITU9441510</t>
  </si>
  <si>
    <t>KGN-24040380</t>
  </si>
  <si>
    <t>HLBU3261384</t>
  </si>
  <si>
    <t>KGN-24040382</t>
  </si>
  <si>
    <t>FANU3879923</t>
  </si>
  <si>
    <t>KGN-24040383</t>
  </si>
  <si>
    <t>KGN-24040384</t>
  </si>
  <si>
    <t>KGN-24040386</t>
  </si>
  <si>
    <t>SZXEF24030221505</t>
  </si>
  <si>
    <t>TGHU1503814</t>
  </si>
  <si>
    <t>18737-0068-022024</t>
  </si>
  <si>
    <t>KGN-24040401</t>
  </si>
  <si>
    <t>KGN-24040402</t>
  </si>
  <si>
    <t>CMAU4323916</t>
  </si>
  <si>
    <t>SGN2085073</t>
  </si>
  <si>
    <t>DFSU6906568
CSNU8199202</t>
  </si>
  <si>
    <t>KGN-24040631</t>
  </si>
  <si>
    <t>KGN-24040633</t>
  </si>
  <si>
    <t>SGN2096982</t>
  </si>
  <si>
    <t>KGN-24040720</t>
  </si>
  <si>
    <t>CMAU5622491</t>
  </si>
  <si>
    <t>09/04/2024</t>
  </si>
  <si>
    <t>PKECLP2430122</t>
  </si>
  <si>
    <t>KGN-24040723</t>
  </si>
  <si>
    <t>TGHU5288324</t>
  </si>
  <si>
    <t>PKECLP2430123</t>
  </si>
  <si>
    <t>KGN-24040724</t>
  </si>
  <si>
    <t>TLLU6007014</t>
  </si>
  <si>
    <t>KGN-24040725</t>
  </si>
  <si>
    <t>306336594120
306336658040</t>
  </si>
  <si>
    <t>039EX21926</t>
  </si>
  <si>
    <t>WHSU5221783</t>
  </si>
  <si>
    <t>306336725240
306336746130</t>
  </si>
  <si>
    <t>039EX24091</t>
  </si>
  <si>
    <t>KGN-24040729</t>
  </si>
  <si>
    <t>WHLU0496632</t>
  </si>
  <si>
    <t>10/04/2024</t>
  </si>
  <si>
    <t>039EX18572</t>
  </si>
  <si>
    <t>SGNE49134500</t>
  </si>
  <si>
    <t>106191236431
106191304920</t>
  </si>
  <si>
    <t>122400026567597</t>
  </si>
  <si>
    <t>CCL/YKJ/2024/SI2404112</t>
  </si>
  <si>
    <t>KGN-24040971</t>
  </si>
  <si>
    <t>WHLU0561240</t>
  </si>
  <si>
    <t>KGN-24040972</t>
  </si>
  <si>
    <t>FDCU0471227</t>
  </si>
  <si>
    <t>2070 KGM/ 1.555 CBM</t>
  </si>
  <si>
    <t>SZSHCM404154604</t>
  </si>
  <si>
    <t>2 PK/ 2360 KG/ 4.091 CBM</t>
  </si>
  <si>
    <t>KGN-24041032</t>
  </si>
  <si>
    <t>KGN-24041033</t>
  </si>
  <si>
    <t>15/04/2024</t>
  </si>
  <si>
    <t>1 PK / 650 KG/ 0.18 CBM</t>
  </si>
  <si>
    <t>COAU7249121530H</t>
  </si>
  <si>
    <t>16/04/2024</t>
  </si>
  <si>
    <t>ZIMUHCM80395892</t>
  </si>
  <si>
    <t>ZCSU7320900</t>
  </si>
  <si>
    <t>KGN-24041159</t>
  </si>
  <si>
    <t>ZIMUHCM80395655</t>
  </si>
  <si>
    <t>KGN-24041162</t>
  </si>
  <si>
    <t>ZCSU7789863</t>
  </si>
  <si>
    <t>KGN-24041163</t>
  </si>
  <si>
    <t>ZIMUHCM80396843</t>
  </si>
  <si>
    <t>ZCSU7038203
TCNU2523541</t>
  </si>
  <si>
    <t>TCNU2016146</t>
  </si>
  <si>
    <t>EBKG08460223</t>
  </si>
  <si>
    <t>17/04/2024</t>
  </si>
  <si>
    <t>KGN-24041325</t>
  </si>
  <si>
    <t>306354871230
306354967350</t>
  </si>
  <si>
    <t>039EX25064</t>
  </si>
  <si>
    <t>WHSU6676787</t>
  </si>
  <si>
    <t>KGN-24041327</t>
  </si>
  <si>
    <t>YMJAI209489036</t>
  </si>
  <si>
    <t>KGN-24041330</t>
  </si>
  <si>
    <t>YMLU8920781
YMMU6222091</t>
  </si>
  <si>
    <t>KGN-24040340</t>
  </si>
  <si>
    <t>KGN-24040953</t>
  </si>
  <si>
    <t>19/04/2024</t>
  </si>
  <si>
    <t>SGN2124819</t>
  </si>
  <si>
    <t>20/04/2024</t>
  </si>
  <si>
    <t>SZHKHCM240403</t>
  </si>
  <si>
    <t>PHÍ XIN C/O T04.2024</t>
  </si>
  <si>
    <t>THÁNG 05/2024</t>
  </si>
  <si>
    <t>KGN-24041414</t>
  </si>
  <si>
    <t>AHA0285087</t>
  </si>
  <si>
    <t>APHU7379485</t>
  </si>
  <si>
    <t>KGN-24041448</t>
  </si>
  <si>
    <t>KGN-24041520</t>
  </si>
  <si>
    <t>PONU2095839</t>
  </si>
  <si>
    <t>KGN-24041522</t>
  </si>
  <si>
    <t>TCLU7430866</t>
  </si>
  <si>
    <t>NOSNB24CL41090S</t>
  </si>
  <si>
    <t>KGN-24041576</t>
  </si>
  <si>
    <t>2 PK/ 2080 KG/ 3.31 CBM</t>
  </si>
  <si>
    <t>325 KGM/ 1.178 CBM</t>
  </si>
  <si>
    <t>23/04/2024</t>
  </si>
  <si>
    <t>KGN-24041822</t>
  </si>
  <si>
    <t>SGNE62300900</t>
  </si>
  <si>
    <t>KGN-24041823</t>
  </si>
  <si>
    <t>TCNU7539052</t>
  </si>
  <si>
    <t>ZIMUHCM80396911</t>
  </si>
  <si>
    <t>KGN-24041824</t>
  </si>
  <si>
    <t>ZCSU7295541</t>
  </si>
  <si>
    <t>KGN-24041825</t>
  </si>
  <si>
    <t>BEAU5780648</t>
  </si>
  <si>
    <t>24/04/2024</t>
  </si>
  <si>
    <t>039EX25065</t>
  </si>
  <si>
    <t>306369943260
306369991710</t>
  </si>
  <si>
    <t>WHSU2777655</t>
  </si>
  <si>
    <t>306370208560
306371505810</t>
  </si>
  <si>
    <t>039EX25068</t>
  </si>
  <si>
    <t>WHSU2221650</t>
  </si>
  <si>
    <t>KGN-24041832</t>
  </si>
  <si>
    <t>KGN-24041835</t>
  </si>
  <si>
    <t>TCKU6185978</t>
  </si>
  <si>
    <t>KGN-24041840</t>
  </si>
  <si>
    <t>25/04/2024</t>
  </si>
  <si>
    <t>KKFU8024007</t>
  </si>
  <si>
    <t>SGNE62320400</t>
  </si>
  <si>
    <t>SGNEA0372400</t>
  </si>
  <si>
    <t>KGN-24041930</t>
  </si>
  <si>
    <t>PKECLP2440082</t>
  </si>
  <si>
    <t>IAAU4683445</t>
  </si>
  <si>
    <t>KGN-24042003</t>
  </si>
  <si>
    <t>26/04/2024</t>
  </si>
  <si>
    <t>TCLU5548000</t>
  </si>
  <si>
    <t>KGN-24042011</t>
  </si>
  <si>
    <t>COAU7249470590F</t>
  </si>
  <si>
    <t>3 PK/ 5180 KGM/ 1.49 CBM</t>
  </si>
  <si>
    <t>SGNE95936900</t>
  </si>
  <si>
    <t>SGN2122788</t>
  </si>
  <si>
    <t>TCKU2876400</t>
  </si>
  <si>
    <t>TRHU5627137</t>
  </si>
  <si>
    <t>238013269</t>
  </si>
  <si>
    <t>KGN-24050248</t>
  </si>
  <si>
    <t>KGN-24050249</t>
  </si>
  <si>
    <t>KGN-24050281</t>
  </si>
  <si>
    <t>COAU7249470590C</t>
  </si>
  <si>
    <t>KGN-24050496</t>
  </si>
  <si>
    <t>5 PK/ 5160 KGM/ 3.44 CBM</t>
  </si>
  <si>
    <t xml:space="preserve"> TEMU3238662</t>
  </si>
  <si>
    <t>106255913850
106255719360</t>
  </si>
  <si>
    <t>SZXEF24040235645B
SZXEF24040235645A</t>
  </si>
  <si>
    <t>KGN-24050866</t>
  </si>
  <si>
    <t>OOLU2736800090</t>
  </si>
  <si>
    <t>106252236750/E31
106252352030/A12</t>
  </si>
  <si>
    <t>PTNCLP2440003</t>
  </si>
  <si>
    <t>OOLU6984498</t>
  </si>
  <si>
    <t>LLLHCM24417449HK</t>
  </si>
  <si>
    <t>10 PK/ 134.4 KGM/ 0.708 CBM</t>
  </si>
  <si>
    <t>106252995550
106253141961</t>
  </si>
  <si>
    <t>SZXEF24040235646B
SZXEF24040235646A</t>
  </si>
  <si>
    <t xml:space="preserve">GESU3869878 </t>
  </si>
  <si>
    <t>CMAU3427789</t>
  </si>
  <si>
    <t>EBKG08781510</t>
  </si>
  <si>
    <t>BSIU2742990</t>
  </si>
  <si>
    <t>TGCU0223934</t>
  </si>
  <si>
    <t>235400701631</t>
  </si>
  <si>
    <t>TGBU6893781</t>
  </si>
  <si>
    <t>TEMU4359822</t>
  </si>
  <si>
    <t>235400727702</t>
  </si>
  <si>
    <t>235400749056</t>
  </si>
  <si>
    <t>EISU2258890</t>
  </si>
  <si>
    <t>106237227350/E31</t>
  </si>
  <si>
    <t>306403653900/E62
306403706030/B11</t>
  </si>
  <si>
    <t>039EX32633</t>
  </si>
  <si>
    <t>WHSU5599264</t>
  </si>
  <si>
    <t>KGN-24050875</t>
  </si>
  <si>
    <t>KGN-24050876</t>
  </si>
  <si>
    <t>KGN-24050877</t>
  </si>
  <si>
    <t>KGN-24050878</t>
  </si>
  <si>
    <t>KGN-24050879</t>
  </si>
  <si>
    <t>KGN-24050880</t>
  </si>
  <si>
    <t>KGN-24050881</t>
  </si>
  <si>
    <t>KGN-24050882</t>
  </si>
  <si>
    <t>KGN-24050883</t>
  </si>
  <si>
    <t>KGN-24050884</t>
  </si>
  <si>
    <t>KGN-24050885</t>
  </si>
  <si>
    <t>KGN-24050914</t>
  </si>
  <si>
    <t>OOLU2735819320J</t>
  </si>
  <si>
    <t>1 PK / 610 KG/ 0.43 CBM</t>
  </si>
  <si>
    <t>PHÍ XIN C/O T05.2024</t>
  </si>
  <si>
    <t>SGN2116675</t>
  </si>
  <si>
    <t>14/05/2024</t>
  </si>
  <si>
    <t>16/05/2024</t>
  </si>
  <si>
    <t>FCIU9944790</t>
  </si>
  <si>
    <t>15/05/2024</t>
  </si>
  <si>
    <t>306421823800/E62
306422090610/B11</t>
  </si>
  <si>
    <t>039EX32624</t>
  </si>
  <si>
    <t>WHSU6925365</t>
  </si>
  <si>
    <t>KGN-24051273</t>
  </si>
  <si>
    <t>KGN-24051331</t>
  </si>
  <si>
    <t>INKU2642850</t>
  </si>
  <si>
    <t>17/05/2024</t>
  </si>
  <si>
    <t>CCL/YKJ/2024/SI2405175</t>
  </si>
  <si>
    <t>KGN-24051402</t>
  </si>
  <si>
    <t>KGN-24051403</t>
  </si>
  <si>
    <t>CCL/YKJ/2024/SI2405174</t>
  </si>
  <si>
    <t>KGN-24051481</t>
  </si>
  <si>
    <t>THÁNG 06/2024</t>
  </si>
  <si>
    <t>KGN-24051577</t>
  </si>
  <si>
    <t>1 PK/ 450 KGM/ 0.1 CBM</t>
  </si>
  <si>
    <t>EGLV143451685769G</t>
  </si>
  <si>
    <t>21/05/2024</t>
  </si>
  <si>
    <t>SGNM02199800</t>
  </si>
  <si>
    <t>KGN-24051684</t>
  </si>
  <si>
    <t>SEGU5835228</t>
  </si>
  <si>
    <t>KGN-24051685</t>
  </si>
  <si>
    <t>GAOU6157488</t>
  </si>
  <si>
    <t>KGN-24051686</t>
  </si>
  <si>
    <t>TCNU1764077</t>
  </si>
  <si>
    <t>306430693610/E62
306430762540/B11</t>
  </si>
  <si>
    <t>SGN2405042</t>
  </si>
  <si>
    <t>22/05/2024</t>
  </si>
  <si>
    <t>039EX35187</t>
  </si>
  <si>
    <t>306439321810/E62
306439898460/B11</t>
  </si>
  <si>
    <t>WHLU5791348</t>
  </si>
  <si>
    <t>KGN-24051875</t>
  </si>
  <si>
    <t>KGN-24051876</t>
  </si>
  <si>
    <t>KGN-24051877</t>
  </si>
  <si>
    <t>039EX33616</t>
  </si>
  <si>
    <t>ZIMUHCM80399235</t>
  </si>
  <si>
    <t>KGN-24051878</t>
  </si>
  <si>
    <t>106299033520/E31</t>
  </si>
  <si>
    <t>23/05/2024</t>
  </si>
  <si>
    <t>PKECLP2450052</t>
  </si>
  <si>
    <t>IAAU4685670</t>
  </si>
  <si>
    <t>KGN-24051917</t>
  </si>
  <si>
    <t>039EX37422</t>
  </si>
  <si>
    <t>27/05/2024</t>
  </si>
  <si>
    <t>24/05/2024</t>
  </si>
  <si>
    <t>GXSAG24055706</t>
  </si>
  <si>
    <t>KGN-24052323</t>
  </si>
  <si>
    <t>KGN-24052393</t>
  </si>
  <si>
    <t>KSSU1002913</t>
  </si>
  <si>
    <t>KGN-24052394</t>
  </si>
  <si>
    <t>WHSU6762479
WHSU6823574</t>
  </si>
  <si>
    <t>28/05/2024</t>
  </si>
  <si>
    <t>339IN2428759</t>
  </si>
  <si>
    <t>KGN-24052397</t>
  </si>
  <si>
    <t>MSMU5749791</t>
  </si>
  <si>
    <t>LLLHCM24514070HK</t>
  </si>
  <si>
    <t>29/05/2024</t>
  </si>
  <si>
    <t>12 CARTONS/ 161.00 KGS/ 0.742 CBM</t>
  </si>
  <si>
    <t>XUN2405CLI8532</t>
  </si>
  <si>
    <t>1CARTONS/ 877.00 KGS/ 3.612 CBM</t>
  </si>
  <si>
    <t>31/05/2024</t>
  </si>
  <si>
    <t>COAU7250402730K</t>
  </si>
  <si>
    <t>KGN-24052512</t>
  </si>
  <si>
    <t>AHA0288359</t>
  </si>
  <si>
    <t>CMZ1289538</t>
  </si>
  <si>
    <t>TCLU7385793</t>
  </si>
  <si>
    <t>ĐI XE 8T (XEM BÁO GIÁ)</t>
  </si>
  <si>
    <t>306450233150/E62
306458520340/B11</t>
  </si>
  <si>
    <t>039EX35439</t>
  </si>
  <si>
    <t>WHLU5512130</t>
  </si>
  <si>
    <t>039EX42812</t>
  </si>
  <si>
    <t>039EX42813</t>
  </si>
  <si>
    <t>SGN2178847</t>
  </si>
  <si>
    <t>CHUYỂN 1 HĐ 59907 TỪ CÔNG NỢ T03.25 SANG</t>
  </si>
  <si>
    <r>
      <t xml:space="preserve">WHLU5833989
</t>
    </r>
    <r>
      <rPr>
        <sz val="12"/>
        <rFont val="Times New Roman"/>
        <family val="1"/>
      </rPr>
      <t>WHSU5436755</t>
    </r>
  </si>
  <si>
    <t>KGN-24060161</t>
  </si>
  <si>
    <t>APZU3644140</t>
  </si>
  <si>
    <t xml:space="preserve">CULVSHK2422687 </t>
  </si>
  <si>
    <t>TEMU0549001</t>
  </si>
  <si>
    <t>039EX45081</t>
  </si>
  <si>
    <t>KGN-24060212</t>
  </si>
  <si>
    <t>KGN-24060214</t>
  </si>
  <si>
    <t>KGN-24060215</t>
  </si>
  <si>
    <t>HLXU8321821</t>
  </si>
  <si>
    <t>KGN-24060216</t>
  </si>
  <si>
    <t>KGN-24060218</t>
  </si>
  <si>
    <t>WHLU5673941
WHSU5043634</t>
  </si>
  <si>
    <t>KGN-24060219</t>
  </si>
  <si>
    <t>KGN-24060236</t>
  </si>
  <si>
    <t>WHSU5336648
WHSU6119185</t>
  </si>
  <si>
    <t>THÊM PHÍ PS 1TR</t>
  </si>
  <si>
    <t>TRHU4921240</t>
  </si>
  <si>
    <t>039EX45311</t>
  </si>
  <si>
    <t>KGN-24060485</t>
  </si>
  <si>
    <t>TEMU6974369</t>
  </si>
  <si>
    <t>WHSU6630868
WHSU5327013</t>
  </si>
  <si>
    <t>KGN-24060486</t>
  </si>
  <si>
    <t>CMAU4286664</t>
  </si>
  <si>
    <t>KGN-24060488</t>
  </si>
  <si>
    <t>DFSU7645704</t>
  </si>
  <si>
    <t>306476603660/E62
306477202640/B11</t>
  </si>
  <si>
    <t>039EX40829</t>
  </si>
  <si>
    <t>KGN-24060492</t>
  </si>
  <si>
    <t>KGN-24060489</t>
  </si>
  <si>
    <t>KGN-24060493</t>
  </si>
  <si>
    <t>KGN-24060494</t>
  </si>
  <si>
    <t>CSNU6693026</t>
  </si>
  <si>
    <t>PTNCLP2450001</t>
  </si>
  <si>
    <t>NOSNB24CL41810Y</t>
  </si>
  <si>
    <t>NOSNB24CL41810Z</t>
  </si>
  <si>
    <t>11/06/2024</t>
  </si>
  <si>
    <t>MATS7444493000</t>
  </si>
  <si>
    <t>13/06/2024</t>
  </si>
  <si>
    <t>SGN2215649</t>
  </si>
  <si>
    <t>EBKG08979358</t>
  </si>
  <si>
    <t>14/06/2024</t>
  </si>
  <si>
    <t>KGN-24060567</t>
  </si>
  <si>
    <t>KGN-24060571</t>
  </si>
  <si>
    <t>039EX40828</t>
  </si>
  <si>
    <t>12/06/2024</t>
  </si>
  <si>
    <t>MATU2686913</t>
  </si>
  <si>
    <t>ZIMUHCM80415789</t>
  </si>
  <si>
    <t>KGN-24060788</t>
  </si>
  <si>
    <t>306494407500/B11
306494412030/E62</t>
  </si>
  <si>
    <t>WHSU6007950</t>
  </si>
  <si>
    <t>18/06/2024</t>
  </si>
  <si>
    <t>08/06/2024</t>
  </si>
  <si>
    <t>CMZ1289523</t>
  </si>
  <si>
    <t>TRHU6377135</t>
  </si>
  <si>
    <t>KGN-24060841</t>
  </si>
  <si>
    <t>CMAU9502262</t>
  </si>
  <si>
    <t>BEAU6332782</t>
  </si>
  <si>
    <t>NGÀY ĐÓNG/GIAO HÀNG</t>
  </si>
  <si>
    <t>THEO DÕI HÀNG HÓA TẠM ỨNG, THANH TOÁN, ĐIỀU XE  - CHÍNH NGUYÊN</t>
  </si>
  <si>
    <t>WHSU6538427</t>
  </si>
  <si>
    <t>CSSGN2460055</t>
  </si>
  <si>
    <t>KGN-24060887</t>
  </si>
  <si>
    <t>KGN-24060889</t>
  </si>
  <si>
    <t>KGN-24060891</t>
  </si>
  <si>
    <t>039EX41006</t>
  </si>
  <si>
    <t>039EX41005</t>
  </si>
  <si>
    <t>106353989600/E31
106354090620/A12</t>
  </si>
  <si>
    <t>YMJAI209493945</t>
  </si>
  <si>
    <t>17/06/2024</t>
  </si>
  <si>
    <t>306509727330/E62
306509761150/B11</t>
  </si>
  <si>
    <t>WHSU2639980</t>
  </si>
  <si>
    <t>KGN-24061157</t>
  </si>
  <si>
    <t>306509367530/E62
306509355630/B11</t>
  </si>
  <si>
    <t>WHSU2021544</t>
  </si>
  <si>
    <t>KGN-24061162</t>
  </si>
  <si>
    <t>KGN-24061165</t>
  </si>
  <si>
    <t>KGN-24061168</t>
  </si>
  <si>
    <t>CULU1944995</t>
  </si>
  <si>
    <t>20/06/2024</t>
  </si>
  <si>
    <t>SZXEF24060259694A
 SZXEF24060259694B</t>
  </si>
  <si>
    <t>106358415000
 106358325621</t>
  </si>
  <si>
    <t>19/06/2024</t>
  </si>
  <si>
    <t>306511950530/E62</t>
  </si>
  <si>
    <t>SGN2406028</t>
  </si>
  <si>
    <t>MSMU8717062</t>
  </si>
  <si>
    <t>KGN-24061325</t>
  </si>
  <si>
    <t>KGN-24061327</t>
  </si>
  <si>
    <t>PHÍ XIN C/O T06.2024</t>
  </si>
  <si>
    <t>KGN-24061334</t>
  </si>
  <si>
    <t>1 PK / 140 KGM / 0.38 CBM</t>
  </si>
  <si>
    <t>1 PK/ 1020 KGM / 0.28 CBM</t>
  </si>
  <si>
    <t>1 PK / 800 KGM / 0.13 CBM</t>
  </si>
  <si>
    <t>2 PK / 2180 KGM / 1.8 CBM</t>
  </si>
  <si>
    <t>FSCU8569517</t>
  </si>
  <si>
    <t>KGN-24061449</t>
  </si>
  <si>
    <t>KGN-24061446</t>
  </si>
  <si>
    <t>21/06/2024</t>
  </si>
  <si>
    <t>CMZ1334398</t>
  </si>
  <si>
    <t>CMAU2206130</t>
  </si>
  <si>
    <t>TRỪ 1,428,000 PHÍ BỐC XẾP</t>
  </si>
  <si>
    <t>KGN-24061528</t>
  </si>
  <si>
    <t xml:space="preserve">039EX50633 </t>
  </si>
  <si>
    <t>24/06/2024</t>
  </si>
  <si>
    <t>039EX49221</t>
  </si>
  <si>
    <t>25/06/2024</t>
  </si>
  <si>
    <t>26/06/2024</t>
  </si>
  <si>
    <t>106316020900/E31
106319515151/A12</t>
  </si>
  <si>
    <t>A59E016779</t>
  </si>
  <si>
    <t>THÁNG 07/2024</t>
  </si>
  <si>
    <t>WHSU6016058</t>
  </si>
  <si>
    <t>KGN-24061680</t>
  </si>
  <si>
    <t>10H 02/07/2024 CÁT LÁI</t>
  </si>
  <si>
    <t>CL</t>
  </si>
  <si>
    <t>08H 27/06/2024</t>
  </si>
  <si>
    <t>08H 28/06/2024</t>
  </si>
  <si>
    <t>10H 30/06/2024</t>
  </si>
  <si>
    <t>KGN-24061747</t>
  </si>
  <si>
    <t>KGN-24061748</t>
  </si>
  <si>
    <t>TEMU2558147</t>
  </si>
  <si>
    <t>306529261420/E62
306529255010/B11</t>
  </si>
  <si>
    <r>
      <t xml:space="preserve">WHSU6654746
</t>
    </r>
    <r>
      <rPr>
        <sz val="12"/>
        <color rgb="FFFF0000"/>
        <rFont val="Times New Roman"/>
        <family val="1"/>
      </rPr>
      <t>WHSU5763486</t>
    </r>
  </si>
  <si>
    <t>IAAU1781176</t>
  </si>
  <si>
    <t>UETU2500666</t>
  </si>
  <si>
    <t>KGN-24061821</t>
  </si>
  <si>
    <t>HWNBCLI2400016</t>
  </si>
  <si>
    <t>NGÀY GIAO HÀNG</t>
  </si>
  <si>
    <t>5 PK/ 5830 KGM/ 3.470 CBM</t>
  </si>
  <si>
    <t>PÁT TAY CẦM</t>
  </si>
  <si>
    <t>CHI TIẾT</t>
  </si>
  <si>
    <t>ETA</t>
  </si>
  <si>
    <t>01/07/2024</t>
  </si>
  <si>
    <t>27/06/2024</t>
  </si>
  <si>
    <t>SE240703</t>
  </si>
  <si>
    <t>306532510340/E62
306532550240/B11</t>
  </si>
  <si>
    <t>09H 28/06/2024 CL-K5</t>
  </si>
  <si>
    <t>02/07/2024</t>
  </si>
  <si>
    <t>03/07/2024</t>
  </si>
  <si>
    <t>SGNEJ2356800</t>
  </si>
  <si>
    <t xml:space="preserve">17H 03/07/2024 </t>
  </si>
  <si>
    <t>22H 05/07/2024</t>
  </si>
  <si>
    <r>
      <rPr>
        <sz val="12"/>
        <rFont val="Times New Roman"/>
        <family val="1"/>
      </rPr>
      <t>BMOU6333171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SEGU6466274</t>
    </r>
    <r>
      <rPr>
        <sz val="12"/>
        <color rgb="FFFF0000"/>
        <rFont val="Times New Roman"/>
        <family val="1"/>
      </rPr>
      <t xml:space="preserve">
</t>
    </r>
    <r>
      <rPr>
        <sz val="12"/>
        <color theme="1"/>
        <rFont val="Times New Roman"/>
        <family val="1"/>
      </rPr>
      <t>YMMU6631905</t>
    </r>
  </si>
  <si>
    <t>KGN-24070057</t>
  </si>
  <si>
    <t xml:space="preserve">Xuất </t>
  </si>
  <si>
    <t>INV NO</t>
  </si>
  <si>
    <t>SL-CU.009/2024</t>
  </si>
  <si>
    <t>KHÁCH HÀNG</t>
  </si>
  <si>
    <t>CONG TY TNHH CUORI VIETNAM</t>
  </si>
  <si>
    <t>Xuất</t>
  </si>
  <si>
    <t>CONG TY TNHH VACPRO VIETNAM</t>
  </si>
  <si>
    <t>LLLHCM24617065HK</t>
  </si>
  <si>
    <t>CL-K3</t>
  </si>
  <si>
    <t>28/06/2024</t>
  </si>
  <si>
    <t>UACU5706872</t>
  </si>
  <si>
    <t xml:space="preserve">FFAU3124836 </t>
  </si>
  <si>
    <t>039EX57654</t>
  </si>
  <si>
    <t xml:space="preserve">10H 09/07/2024 </t>
  </si>
  <si>
    <t>MEL24070109</t>
  </si>
  <si>
    <t>10H 08/07/2024 CL-K1</t>
  </si>
  <si>
    <t>08/07/2024</t>
  </si>
  <si>
    <t xml:space="preserve"> SL-LD.018/2024 </t>
  </si>
  <si>
    <t>CÔNG TY TNHH LEADER ELECTRIC APPLIANCE </t>
  </si>
  <si>
    <t>MPKECLP2460075</t>
  </si>
  <si>
    <t>YMMU4083309 TGCU5037953</t>
  </si>
  <si>
    <t xml:space="preserve">10H 16/07/2024 </t>
  </si>
  <si>
    <t>09/07/2024</t>
  </si>
  <si>
    <t>09H 11/07/2024</t>
  </si>
  <si>
    <t>SZXEF24060263848A
SZXEF24060263848B</t>
  </si>
  <si>
    <t>GLDU3527737</t>
  </si>
  <si>
    <t>106397112362
106397322251</t>
  </si>
  <si>
    <t>306552629960/B11</t>
  </si>
  <si>
    <t>KGN-24070480</t>
  </si>
  <si>
    <t>KGN-24070481</t>
  </si>
  <si>
    <t>KGN-24070482</t>
  </si>
  <si>
    <t>KGN-24070483</t>
  </si>
  <si>
    <t>KGN-24070492</t>
  </si>
  <si>
    <t>KGN-24070494</t>
  </si>
  <si>
    <t>KGN-24070495</t>
  </si>
  <si>
    <t>KGN-24070496</t>
  </si>
  <si>
    <t>06/07/2024</t>
  </si>
  <si>
    <t>04/07/2024</t>
  </si>
  <si>
    <t>YMJAI209497659</t>
  </si>
  <si>
    <t>CAIU6551487</t>
  </si>
  <si>
    <t>10/07/2024</t>
  </si>
  <si>
    <t>WHSU6538140</t>
  </si>
  <si>
    <t>KGN-24070551</t>
  </si>
  <si>
    <t>306560481530/E62
306560455410/B11</t>
  </si>
  <si>
    <t>106399009250/A12  
106400886210/E31 
106400966600/E31</t>
  </si>
  <si>
    <t>SE240705</t>
  </si>
  <si>
    <t>12H 11/07/2024</t>
  </si>
  <si>
    <t>PTNCLP2460004</t>
  </si>
  <si>
    <t>YMMU6894162</t>
  </si>
  <si>
    <t>KGN-24070664</t>
  </si>
  <si>
    <t>HẠT NHỰA ABS</t>
  </si>
  <si>
    <t>306562392160/E62
306562396400/B11</t>
  </si>
  <si>
    <t>KGN-24070666</t>
  </si>
  <si>
    <t>TCKU4384878</t>
  </si>
  <si>
    <t>KGN-24070722</t>
  </si>
  <si>
    <t xml:space="preserve">15/07/2024 </t>
  </si>
  <si>
    <t>12/07/2024</t>
  </si>
  <si>
    <t>11/07/2024</t>
  </si>
  <si>
    <t>SL-LD.019/2024</t>
  </si>
  <si>
    <t>EBKG09506617</t>
  </si>
  <si>
    <t>13/07/2024</t>
  </si>
  <si>
    <t>039EX53350</t>
  </si>
  <si>
    <t>SZXEF24060263847</t>
  </si>
  <si>
    <t>TCLU6949630</t>
  </si>
  <si>
    <t>17H 13/07/2024</t>
  </si>
  <si>
    <t>ICD PL</t>
  </si>
  <si>
    <t>306574996950</t>
  </si>
  <si>
    <t>ICD PL3</t>
  </si>
  <si>
    <t>KGN-24070921</t>
  </si>
  <si>
    <t>039EX55106</t>
  </si>
  <si>
    <t>039EX55107</t>
  </si>
  <si>
    <t>WHSU5398980</t>
  </si>
  <si>
    <t xml:space="preserve">TK TÁI NHẬP </t>
  </si>
  <si>
    <t>NGÀY TK</t>
  </si>
  <si>
    <t>NGƯỜI SỬA CHỮA</t>
  </si>
  <si>
    <t>TK TẠM XUẤT</t>
  </si>
  <si>
    <t xml:space="preserve">NGÀY TK </t>
  </si>
  <si>
    <t>Chính Nguyên</t>
  </si>
  <si>
    <t>CHÚ Ý: HÀNG TÁI XUẤT SỬA CHỮA, KHI TÁI NHẬP NẾU CÓ PHÍ SỬA CHƯA THÌ CHỈ TÍNH THUẾ NHẬP KHẨU PHẦN PHÍ SỬA CHỮA, VAT MIỄN</t>
  </si>
  <si>
    <t>TRƯỜNG HỢP CÓ THAY THẾ LINH KIỆN VÀ CÓ GIÁ LINH KIỆN THÌ TÁCH TỜ KHAI KHAI A12 CHO LINH KIỆN THAY THẾ ĐÓ.</t>
  </si>
  <si>
    <t xml:space="preserve">106415838910/G51 
</t>
  </si>
  <si>
    <t>106415748720/G51</t>
  </si>
  <si>
    <t>306063563540</t>
  </si>
  <si>
    <t>31/12/2023</t>
  </si>
  <si>
    <t>13/12/2024</t>
  </si>
  <si>
    <t>QUÁ THỜI HẠN</t>
  </si>
  <si>
    <t>THỜI HẠN ĐẾN</t>
  </si>
  <si>
    <t>05/03/2025</t>
  </si>
  <si>
    <t>306248476351</t>
  </si>
  <si>
    <t>6/3/2024</t>
  </si>
  <si>
    <t>KGN-24071042</t>
  </si>
  <si>
    <t>306576238420/E62
306576264060/B11</t>
  </si>
  <si>
    <t>15/07/2024</t>
  </si>
  <si>
    <t>SỐ KIỆN</t>
  </si>
  <si>
    <t>PNK</t>
  </si>
  <si>
    <t>SL-VA.020/2024</t>
  </si>
  <si>
    <t>SL-VA.019/2024</t>
  </si>
  <si>
    <t>19/07/2024</t>
  </si>
  <si>
    <t>KGN-24071097</t>
  </si>
  <si>
    <t>SEGU5575814</t>
  </si>
  <si>
    <t>00000061</t>
  </si>
  <si>
    <t>Xanh</t>
  </si>
  <si>
    <t>00000058</t>
  </si>
  <si>
    <t>00000059</t>
  </si>
  <si>
    <t>00000057</t>
  </si>
  <si>
    <t>00000056</t>
  </si>
  <si>
    <t>00000060</t>
  </si>
  <si>
    <t>SL-CU.010/2024</t>
  </si>
  <si>
    <t>SL-VA.021/2024</t>
  </si>
  <si>
    <t>17/07/2024</t>
  </si>
  <si>
    <t xml:space="preserve">1PK / 75KGM / 0.3CBM </t>
  </si>
  <si>
    <t>HWCLI2401128</t>
  </si>
  <si>
    <t xml:space="preserve">1PK / 940KGM / 0.25CBM </t>
  </si>
  <si>
    <t>KHUÔN THÉP</t>
  </si>
  <si>
    <t>HWNBCLI2400019</t>
  </si>
  <si>
    <t>HWNBCLI2400018</t>
  </si>
  <si>
    <t>KGN-24071230</t>
  </si>
  <si>
    <t>18/07/2024</t>
  </si>
  <si>
    <t>00000062</t>
  </si>
  <si>
    <t>16/07/2024</t>
  </si>
  <si>
    <t>KGN-24071212</t>
  </si>
  <si>
    <t>KGN-24071309</t>
  </si>
  <si>
    <t>KGN-24071343</t>
  </si>
  <si>
    <t>ZIMUHCM80429902</t>
  </si>
  <si>
    <t>235401401550</t>
  </si>
  <si>
    <t>22/07/2024</t>
  </si>
  <si>
    <t>GHOC24061439</t>
  </si>
  <si>
    <t>WHSU2974227</t>
  </si>
  <si>
    <t>WHSU5117737</t>
  </si>
  <si>
    <t>15H 22/07/2024</t>
  </si>
  <si>
    <t>20/07/2024</t>
  </si>
  <si>
    <t xml:space="preserve">KGN-24071460 </t>
  </si>
  <si>
    <t>SL-LD.020/2024</t>
  </si>
  <si>
    <t>SL-VA.022/2024</t>
  </si>
  <si>
    <t>00000063</t>
  </si>
  <si>
    <t>23/07/2024</t>
  </si>
  <si>
    <t>KGN-24071509</t>
  </si>
  <si>
    <t>306588051950/ E62
306588118600/B11</t>
  </si>
  <si>
    <t>KGN-24071510</t>
  </si>
  <si>
    <t>KGN-24071511</t>
  </si>
  <si>
    <t>SNLEXMVL001526</t>
  </si>
  <si>
    <t>DFSU3096000
SNBU2381559
SNCU2925980
SNBU2278664
DFSU1990750
SNBU2375828
SNBU2312795
SNCU2922615
SNCU2947207
TEMU0604074
SNBU2297999
SNBU2286166</t>
  </si>
  <si>
    <t>EITU0078208</t>
  </si>
  <si>
    <t>PTNCLP2470003</t>
  </si>
  <si>
    <t>FFAU1504061</t>
  </si>
  <si>
    <t>24/07/2024</t>
  </si>
  <si>
    <t>039EX58201</t>
  </si>
  <si>
    <t>KEO</t>
  </si>
  <si>
    <t xml:space="preserve">5PK / 5200KGM / 8.75CBM </t>
  </si>
  <si>
    <t>00000064</t>
  </si>
  <si>
    <t>PHÍ XIN C/O T07.2024</t>
  </si>
  <si>
    <t>THÁNG 08/2024</t>
  </si>
  <si>
    <t>PHÍ TK XUẤT TC</t>
  </si>
  <si>
    <t>PHÍ CHUYỂN CONT T07.2024</t>
  </si>
  <si>
    <t>KGN-24071636</t>
  </si>
  <si>
    <t>KGN-24071637</t>
  </si>
  <si>
    <t>HẠT NHỰA</t>
  </si>
  <si>
    <t>SP ITC</t>
  </si>
  <si>
    <t>26 CT/ 255 KGM/ 1.373 CBM</t>
  </si>
  <si>
    <t>`</t>
  </si>
  <si>
    <t>106414765110
106414735820</t>
  </si>
  <si>
    <t>3 XE - TÍNH XE 8T</t>
  </si>
  <si>
    <t>KGN-24071683</t>
  </si>
  <si>
    <t>25/07/2024</t>
  </si>
  <si>
    <t>ZIMUHCM80429909</t>
  </si>
  <si>
    <t>EBKG09647537</t>
  </si>
  <si>
    <t>22H 28/07/2024</t>
  </si>
  <si>
    <t>MEDU3958715</t>
  </si>
  <si>
    <t>306590283660/ B11
306590284400/E62</t>
  </si>
  <si>
    <t>306601570350/E62
306601576650/B11</t>
  </si>
  <si>
    <t>HWNBCLI2400020</t>
  </si>
  <si>
    <t>1 PK/ 1350 KGM/ 0.8 CBM</t>
  </si>
  <si>
    <t>WHSU5461784</t>
  </si>
  <si>
    <t>KGN-24071780</t>
  </si>
  <si>
    <t>9H 27/07/2024</t>
  </si>
  <si>
    <t>FSCU8095110</t>
  </si>
  <si>
    <t>CLGN</t>
  </si>
  <si>
    <t xml:space="preserve">14H 26/07/2024 </t>
  </si>
  <si>
    <t>106445213453/A12
106445257440/H11</t>
  </si>
  <si>
    <t>KGN-24071891</t>
  </si>
  <si>
    <t>KGN-24071898</t>
  </si>
  <si>
    <t>KGN-24071899</t>
  </si>
  <si>
    <t>KGN-24071900</t>
  </si>
  <si>
    <t>26/07/2024 - CFS PHÚ HỮU</t>
  </si>
  <si>
    <t>KGN-24071912</t>
  </si>
  <si>
    <t>KGN-24071913</t>
  </si>
  <si>
    <t>MSDU8853761</t>
  </si>
  <si>
    <t>2 XE - TÍNH XE 8T</t>
  </si>
  <si>
    <t>02/08/2024</t>
  </si>
  <si>
    <t>31/07/2024</t>
  </si>
  <si>
    <t>039EX63022</t>
  </si>
  <si>
    <t>29/07/2024</t>
  </si>
  <si>
    <t>00000065</t>
  </si>
  <si>
    <t>SL-VA.023/2024</t>
  </si>
  <si>
    <t>116</t>
  </si>
  <si>
    <r>
      <t xml:space="preserve">ZCSU7123352
</t>
    </r>
    <r>
      <rPr>
        <sz val="12"/>
        <rFont val="Times New Roman"/>
        <family val="1"/>
      </rPr>
      <t>TRHU6115644</t>
    </r>
  </si>
  <si>
    <t>GLNL24072464</t>
  </si>
  <si>
    <t>HWNBCLI2400021</t>
  </si>
  <si>
    <t>1 PK/ 100 KGM/ 0.3 CBM</t>
  </si>
  <si>
    <t>SL-CU.011/2024</t>
  </si>
  <si>
    <t>WHSU6284488
WHSU5895862</t>
  </si>
  <si>
    <t>21H 04/08/2024</t>
  </si>
  <si>
    <t>KGN-24072355</t>
  </si>
  <si>
    <t>KGN-24080004</t>
  </si>
  <si>
    <t>02/08/2024 - CFS PHÚ HỮU</t>
  </si>
  <si>
    <t>01 CO</t>
  </si>
  <si>
    <t>9 TK</t>
  </si>
  <si>
    <t>YMJAW490461624</t>
  </si>
  <si>
    <t>039EX61755</t>
  </si>
  <si>
    <t>YMLU3555428</t>
  </si>
  <si>
    <t xml:space="preserve">22H 04/08/2024 </t>
  </si>
  <si>
    <t>ICD PL 3</t>
  </si>
  <si>
    <t>KGN-24080075</t>
  </si>
  <si>
    <t>07/08/2024</t>
  </si>
  <si>
    <t>00000066</t>
  </si>
  <si>
    <t>00000068</t>
  </si>
  <si>
    <t>SL-VA.024/2024</t>
  </si>
  <si>
    <t>05/08/2024</t>
  </si>
  <si>
    <t xml:space="preserve">ZIMUHCM80436061 </t>
  </si>
  <si>
    <t>06/08/2024</t>
  </si>
  <si>
    <t>ZIMUHCM80440240</t>
  </si>
  <si>
    <t>08/08/2024</t>
  </si>
  <si>
    <t>ZIMUHCM80440672</t>
  </si>
  <si>
    <t>SGNEP5745500</t>
  </si>
  <si>
    <t>22h 07/08/2024</t>
  </si>
  <si>
    <t xml:space="preserve">18H 09/08/2024  </t>
  </si>
  <si>
    <t>12/08/2024</t>
  </si>
  <si>
    <t>039EX61753</t>
  </si>
  <si>
    <t>039EX61756</t>
  </si>
  <si>
    <t>SL-VA.025/2024</t>
  </si>
  <si>
    <t>CONG TY YONGJIN VIET NAM</t>
  </si>
  <si>
    <t>00001084</t>
  </si>
  <si>
    <t>YJZY-240701</t>
  </si>
  <si>
    <t>21 PP</t>
  </si>
  <si>
    <t>NHÀ XUẤT KHẨU</t>
  </si>
  <si>
    <t>THEO DÕI HÀNG NHẬP TẠI CHỖ 2024 - CHÍNH NGUYÊN</t>
  </si>
  <si>
    <t>MST: 3700650295</t>
  </si>
  <si>
    <t>106415748721/G51
106415838911/G51 
106415974341/A12
106416028240/E31</t>
  </si>
  <si>
    <t>106451222953/A12
106451244430/E31</t>
  </si>
  <si>
    <t>00000069</t>
  </si>
  <si>
    <t>106476232660/A12</t>
  </si>
  <si>
    <t>CAAU5440280</t>
  </si>
  <si>
    <t>SEGU5679608
ZCSU7335921</t>
  </si>
  <si>
    <t>KGN-24080437</t>
  </si>
  <si>
    <t>KGN-24080440</t>
  </si>
  <si>
    <t>CONG TY TNHH DECHANG VIETNAM</t>
  </si>
  <si>
    <t>SL-DE.009 2024</t>
  </si>
  <si>
    <t>SL-LD.021.2024</t>
  </si>
  <si>
    <t>11H 10/08/2024</t>
  </si>
  <si>
    <t>TLLU5462780</t>
  </si>
  <si>
    <t>ZCSU7254286</t>
  </si>
  <si>
    <t>00000070</t>
  </si>
  <si>
    <t>KGN-24080541</t>
  </si>
  <si>
    <t>KGN-24080542</t>
  </si>
  <si>
    <t>7/8/2024</t>
  </si>
  <si>
    <t>10/08/2024</t>
  </si>
  <si>
    <t>15/08/2024</t>
  </si>
  <si>
    <t>PTNCLP2470006</t>
  </si>
  <si>
    <t>22H 16/08/2024</t>
  </si>
  <si>
    <t>09/08/2024</t>
  </si>
  <si>
    <t>SL-LD.022.2024</t>
  </si>
  <si>
    <t>00000071</t>
  </si>
  <si>
    <t>LINH KIỆN KHUÔN</t>
  </si>
  <si>
    <t>WHSU5554130</t>
  </si>
  <si>
    <t>WHSU5174510</t>
  </si>
  <si>
    <t>9H 15/08/2024</t>
  </si>
  <si>
    <t>306647885040/B11
306647924020/E62</t>
  </si>
  <si>
    <t>306650256900/B11
306650261910/E62</t>
  </si>
  <si>
    <t>00000072</t>
  </si>
  <si>
    <t>13/08/2024</t>
  </si>
  <si>
    <t>CXGSEHCM24070316</t>
  </si>
  <si>
    <t>KGN-24080442</t>
  </si>
  <si>
    <t>KGN-24080689</t>
  </si>
  <si>
    <t>KGN-24080690</t>
  </si>
  <si>
    <t>KGN-24080691</t>
  </si>
  <si>
    <t>XE 8T</t>
  </si>
  <si>
    <t>KGN-24080735</t>
  </si>
  <si>
    <t xml:space="preserve">YMJAN490386803 </t>
  </si>
  <si>
    <t>039EX65067</t>
  </si>
  <si>
    <t>14/08/2024</t>
  </si>
  <si>
    <t xml:space="preserve">16H 17/08/2024 </t>
  </si>
  <si>
    <t xml:space="preserve">23H 17/08/2024  </t>
  </si>
  <si>
    <t>KGN-24080753</t>
  </si>
  <si>
    <t>039EX64939</t>
  </si>
  <si>
    <t>106493939200/E31
106493920741/A12</t>
  </si>
  <si>
    <t>WHSU6452051</t>
  </si>
  <si>
    <t>BỔ SUNG PHÍ LÀM C/O AANZ</t>
  </si>
  <si>
    <t>BỔ SUNG PHÍ LÀM C/O B</t>
  </si>
  <si>
    <t>BEAU4301735
YMMU6755275</t>
  </si>
  <si>
    <t>COAU7252402200</t>
  </si>
  <si>
    <t>FCIU5593228
CSNU1274773
OOLU0629855
CSLU2346470
TEMU3078950
FCIU5059064
DFSU2917728
CBHU4260590
TGBU3127870
FCIU4767140
FCIU5848817
TEMU3517008
FCIU5115300</t>
  </si>
  <si>
    <t>00000073</t>
  </si>
  <si>
    <t>SL-VA.026.2024</t>
  </si>
  <si>
    <t>WHLU5776596
WHSU6368151</t>
  </si>
  <si>
    <t>TGHU5324442</t>
  </si>
  <si>
    <t>306659814220/E62
306659834960/B11</t>
  </si>
  <si>
    <t>WHSU5750895</t>
  </si>
  <si>
    <t>KGN-24080944</t>
  </si>
  <si>
    <t>KGN-24080945</t>
  </si>
  <si>
    <t>KGN-24080946</t>
  </si>
  <si>
    <t>KGN-24080948</t>
  </si>
  <si>
    <t>TÍNH 500K NEO + 530 PHÍ GRAB</t>
  </si>
  <si>
    <t>16/08/2024</t>
  </si>
  <si>
    <t>SZXEF24070274261</t>
  </si>
  <si>
    <t>106497623410
106496854221</t>
  </si>
  <si>
    <t>CMAU0343004</t>
  </si>
  <si>
    <t>KGN-24081060</t>
  </si>
  <si>
    <t>PTNCLP2480005</t>
  </si>
  <si>
    <t>19/08/2024</t>
  </si>
  <si>
    <t>SL-CU.012/2024</t>
  </si>
  <si>
    <t>SGNEQ1616600</t>
  </si>
  <si>
    <t>ICD PHÚC LONG</t>
  </si>
  <si>
    <t>17/08/2024</t>
  </si>
  <si>
    <t>00000074</t>
  </si>
  <si>
    <t>039EX67925</t>
  </si>
  <si>
    <t>23/08/2024</t>
  </si>
  <si>
    <t>20/08/2024</t>
  </si>
  <si>
    <t>FFAU3630351</t>
  </si>
  <si>
    <t>00000075</t>
  </si>
  <si>
    <t>SL-VA.027.2024</t>
  </si>
  <si>
    <t>CÔNG TY TNHH SẢN XUấT THƯƠNG MẠI NHỰA SONG LONG VIệT NAM</t>
  </si>
  <si>
    <t>21/08/2024</t>
  </si>
  <si>
    <t>ZIMUHCM80443903</t>
  </si>
  <si>
    <t>22H 21/08/2024</t>
  </si>
  <si>
    <t>18H 28/08/2024</t>
  </si>
  <si>
    <t>106507780630/E31
106507783800/A12</t>
  </si>
  <si>
    <t>SEGU5389240</t>
  </si>
  <si>
    <t>KGN-24081266</t>
  </si>
  <si>
    <t>KGN-24081267</t>
  </si>
  <si>
    <t>00000076</t>
  </si>
  <si>
    <t>SL-LD.023.2024</t>
  </si>
  <si>
    <t>00000077</t>
  </si>
  <si>
    <t>SL-DE.0102024</t>
  </si>
  <si>
    <t>KGN-24081340</t>
  </si>
  <si>
    <t>TCNU4422308
FCIU8929893</t>
  </si>
  <si>
    <t>KGN-24081343</t>
  </si>
  <si>
    <t>PHÍ TK XUẤT TC T08.24</t>
  </si>
  <si>
    <t>PHÍ CHUYỂN CONT T08.2024</t>
  </si>
  <si>
    <t>PHÍ XIN C/O T08.2024</t>
  </si>
  <si>
    <t>KGN-24081361</t>
  </si>
  <si>
    <t>KGN-24081375</t>
  </si>
  <si>
    <t>12 TK</t>
  </si>
  <si>
    <t>THÁNG 09/2024</t>
  </si>
  <si>
    <t>22/08/2024</t>
  </si>
  <si>
    <t>SL-LD.024.2024</t>
  </si>
  <si>
    <t>OOCU0702610</t>
  </si>
  <si>
    <t>COAU7252314750</t>
  </si>
  <si>
    <t>KGN-24081443</t>
  </si>
  <si>
    <t>KGN-24081189</t>
  </si>
  <si>
    <t>306678295950/E62
306678333200/B11</t>
  </si>
  <si>
    <t>WHSU5934233</t>
  </si>
  <si>
    <t>SL-VA.028.2024</t>
  </si>
  <si>
    <t>00000078</t>
  </si>
  <si>
    <t>306684638650</t>
  </si>
  <si>
    <t>KHO TCS</t>
  </si>
  <si>
    <t>KGN-24081497</t>
  </si>
  <si>
    <t>26/08/2024</t>
  </si>
  <si>
    <t>039EX71072</t>
  </si>
  <si>
    <t xml:space="preserve">8AM 30/08/2024 </t>
  </si>
  <si>
    <t>27/08/2024</t>
  </si>
  <si>
    <t>039EX71073</t>
  </si>
  <si>
    <t>039EX67980</t>
  </si>
  <si>
    <t>ICD TANAMEXCO</t>
  </si>
  <si>
    <t>106523820650</t>
  </si>
  <si>
    <t>106525323920</t>
  </si>
  <si>
    <t>WH2408005</t>
  </si>
  <si>
    <t>KGN-24081557</t>
  </si>
  <si>
    <t>KGN-24081558</t>
  </si>
  <si>
    <t>1PP/71KG/0.46 CBM</t>
  </si>
  <si>
    <t>8PK/103 KGM</t>
  </si>
  <si>
    <t>CHỈ KHAI TK K VẬN CHUYỂN</t>
  </si>
  <si>
    <t>KGN-24070495-BS1</t>
  </si>
  <si>
    <t>KGN-24070494-BS1</t>
  </si>
  <si>
    <t>KGN-24070666-BS1</t>
  </si>
  <si>
    <t>28/08/2024</t>
  </si>
  <si>
    <t>039EX67926</t>
  </si>
  <si>
    <t>18H 02/09/2024</t>
  </si>
  <si>
    <t>CFS NGỌC KHANH</t>
  </si>
  <si>
    <t>WHSU5186893
WHSU5037159</t>
  </si>
  <si>
    <t>KGN-24081863</t>
  </si>
  <si>
    <t>Lấy trái tuyến</t>
  </si>
  <si>
    <t>KGN-24081920</t>
  </si>
  <si>
    <t>BSIU9900490</t>
  </si>
  <si>
    <t>WHSU5033940
WHSU5728952</t>
  </si>
  <si>
    <t>TÍNH 1TR PHÍ HỦY XE (ĐÃ THANH TOÁN RIÊNG)</t>
  </si>
  <si>
    <t>306695271320/E62
306695318550/B11</t>
  </si>
  <si>
    <t>DFSU7758320</t>
  </si>
  <si>
    <t>KGN-24082066</t>
  </si>
  <si>
    <t>TRỤC VÍT</t>
  </si>
  <si>
    <t>29/08/2024</t>
  </si>
  <si>
    <t>CCL/YKJ/2024/SI2408264</t>
  </si>
  <si>
    <t>CCL/YKJ/2024/SI2408263</t>
  </si>
  <si>
    <t>CCL/YKJ/2024/SI2408261</t>
  </si>
  <si>
    <t>00000079</t>
  </si>
  <si>
    <t>122400031223151</t>
  </si>
  <si>
    <t>KGN-24082144</t>
  </si>
  <si>
    <t>KGN-24082146</t>
  </si>
  <si>
    <t>KGN-24082149</t>
  </si>
  <si>
    <t>306703350240/B11</t>
  </si>
  <si>
    <t>SSGN24151934</t>
  </si>
  <si>
    <t>02/09/2024</t>
  </si>
  <si>
    <t>KGN-24082167</t>
  </si>
  <si>
    <t>039EX72593</t>
  </si>
  <si>
    <t>039EX74126</t>
  </si>
  <si>
    <t>04/09/2024</t>
  </si>
  <si>
    <t xml:space="preserve">ZIMUHCM80445135 </t>
  </si>
  <si>
    <t>KGN-24082218</t>
  </si>
  <si>
    <t>ZIMUHCM80450692</t>
  </si>
  <si>
    <t>6H 05/09/2024</t>
  </si>
  <si>
    <t>14H 06/09/2024</t>
  </si>
  <si>
    <t>SL-VA.029.2024</t>
  </si>
  <si>
    <t>SL-CU.013/2024</t>
  </si>
  <si>
    <t>KGN-24082234</t>
  </si>
  <si>
    <t>30/08/2024</t>
  </si>
  <si>
    <t>31/08/2024</t>
  </si>
  <si>
    <t>00000080</t>
  </si>
  <si>
    <t>07/8/2024</t>
  </si>
  <si>
    <t>106474210140/E31</t>
  </si>
  <si>
    <t>09/09/2024</t>
  </si>
  <si>
    <t>CCL/YKJ/2024/SI2409069</t>
  </si>
  <si>
    <t>CCL/YKJ/2024/SI2409067</t>
  </si>
  <si>
    <t>CCL/YKJ/2024/SI2409066</t>
  </si>
  <si>
    <t>ZIMUHCM80451396</t>
  </si>
  <si>
    <t>23H 11/09/2024</t>
  </si>
  <si>
    <t>06/09/2024</t>
  </si>
  <si>
    <t>00000082</t>
  </si>
  <si>
    <t>SL-VA.030.2024</t>
  </si>
  <si>
    <t>00000081</t>
  </si>
  <si>
    <t>486</t>
  </si>
  <si>
    <t>306720535940/E62
306720622410/B11</t>
  </si>
  <si>
    <t>BMOU1218149</t>
  </si>
  <si>
    <t>306720728000/E62
306720759610/B11</t>
  </si>
  <si>
    <t>KGN-24090410</t>
  </si>
  <si>
    <t>Số Kiện</t>
  </si>
  <si>
    <t xml:space="preserve">HANA KOVI </t>
  </si>
  <si>
    <t>MICHIGAN</t>
  </si>
  <si>
    <t>KGN-24090411</t>
  </si>
  <si>
    <t>YAKJIN</t>
  </si>
  <si>
    <t>KGN-24090412</t>
  </si>
  <si>
    <t>ZCSU7350042</t>
  </si>
  <si>
    <t>TCNU4253872</t>
  </si>
  <si>
    <t>KGN-24090415</t>
  </si>
  <si>
    <t>KGN-24090413</t>
  </si>
  <si>
    <t>KGN-24090417</t>
  </si>
  <si>
    <t>KGN-24090419</t>
  </si>
  <si>
    <t>KGN-24090420</t>
  </si>
  <si>
    <t>WHSU2631085</t>
  </si>
  <si>
    <t>10/09/2024</t>
  </si>
  <si>
    <t>106551501820
106551610650</t>
  </si>
  <si>
    <t>05/09/2024</t>
  </si>
  <si>
    <t>SZXEF24080284616</t>
  </si>
  <si>
    <t>BSIU8176586</t>
  </si>
  <si>
    <t>12H 13/09/2024</t>
  </si>
  <si>
    <t>KGN-24090461</t>
  </si>
  <si>
    <t>13/09/2024</t>
  </si>
  <si>
    <t>039EX72609</t>
  </si>
  <si>
    <t>TCNU5349135</t>
  </si>
  <si>
    <t>MÁY ÉP NHỰA</t>
  </si>
  <si>
    <t>14/09/2024</t>
  </si>
  <si>
    <t>GXSAG24080573</t>
  </si>
  <si>
    <t>SL-LD.025.2024</t>
  </si>
  <si>
    <t>NLLU4135052
NBYU8122922
NBYU8028705</t>
  </si>
  <si>
    <t xml:space="preserve">HẠT NHỰA </t>
  </si>
  <si>
    <t>BMOU4986881
TRHU4462285</t>
  </si>
  <si>
    <t>KGN-24090671</t>
  </si>
  <si>
    <t>SNBU2304296
SLPU2004047
SLPU2006712
BHCU3215285
SLPU2000720
TEMU0866618
SNBU2349222
SNBU2279233
TIIU2360757
FCIU5567506
FCIU6224625
SNCU2922066</t>
  </si>
  <si>
    <t xml:space="preserve">HUN TRÙNG </t>
  </si>
  <si>
    <t>11/09/2024</t>
  </si>
  <si>
    <t>12/09/2024</t>
  </si>
  <si>
    <t>CỘNG CHI HQ 2TR, MÁY MÓC</t>
  </si>
  <si>
    <t>106565710420/A12
106565731900/E31</t>
  </si>
  <si>
    <t>KGN-24090726</t>
  </si>
  <si>
    <t>KGN-24090728</t>
  </si>
  <si>
    <t>00000083</t>
  </si>
  <si>
    <t>TRỤC VÍT MÁY ÉP</t>
  </si>
  <si>
    <t xml:space="preserve">LCL /
</t>
  </si>
  <si>
    <t xml:space="preserve"> CONT NO.</t>
  </si>
  <si>
    <t>CSNU1983341
CSNU1809031
OOCU0386091
MAGU2290264
TLLU2990085
CSLU1771833
OOLU1892064
OOLU1349062
OOLU0655200
OOLU1630090
TEMU5795179
OOCU0560840</t>
  </si>
  <si>
    <t>MSKU7837910
MRSU0176660
HASU1037280
CRSU1016332
MSKU5664970
MSKU5125752
CAIU6203882
TEMU5616606
BMOU2435473
MSKU4405960
MRKU7683242
MRKU7296942
MSKU4275742</t>
  </si>
  <si>
    <t>BEAU2726495
BEAU2878440
FCIU3574701
SEGU1402575
SITU2662580
TGBU3155589
TLLU3548102
UETU2435365</t>
  </si>
  <si>
    <t>03/09/2024</t>
  </si>
  <si>
    <t>NÚM TAY CẦM</t>
  </si>
  <si>
    <t>KGN-24090744</t>
  </si>
  <si>
    <t>306733403340/E62
306733492610/B11</t>
  </si>
  <si>
    <t>WHSU5098004</t>
  </si>
  <si>
    <t>10H 17/09/2024</t>
  </si>
  <si>
    <t>14/09/2024
CFS PHÚ HỮU</t>
  </si>
  <si>
    <t>13/09/2024
14/09/2024</t>
  </si>
  <si>
    <t>KGN-24090815</t>
  </si>
  <si>
    <t>16/09/2024</t>
  </si>
  <si>
    <t>PKHCLP2490003</t>
  </si>
  <si>
    <t>18/09/2024</t>
  </si>
  <si>
    <t>039EX76888</t>
  </si>
  <si>
    <t>PTNCLP2490003</t>
  </si>
  <si>
    <t>6H 22/09/2024</t>
  </si>
  <si>
    <t>4 PK/ 1120 KGM/ 0.47 CBM</t>
  </si>
  <si>
    <t>200 PK/ 2780 KGM/ 5.47 CBM</t>
  </si>
  <si>
    <t>1 PK/ 400 KGM/ 0.14 CBM</t>
  </si>
  <si>
    <t>OOLU2151968200H
(WAN HAI 335 006S)</t>
  </si>
  <si>
    <t>LNBHCM24082662
(WAN HAI 335 006S)</t>
  </si>
  <si>
    <t xml:space="preserve">EGLV143456617559
(EVER OUTWIT 0024-023S) </t>
  </si>
  <si>
    <t>HWNBCLI2400026
(XIN MING ZHOU 102 2412S)</t>
  </si>
  <si>
    <t>NOSNB24CL42901
(XIN MING ZHOU 102 2412S)</t>
  </si>
  <si>
    <t>SNLEXMVL002040
(MILD ORCHID 2435S)</t>
  </si>
  <si>
    <t>MÁY CUỘN BIÊN</t>
  </si>
  <si>
    <t>00000084</t>
  </si>
  <si>
    <t>SL-VA.031.2024</t>
  </si>
  <si>
    <t>KGN-24090940</t>
  </si>
  <si>
    <t>17/09/2024</t>
  </si>
  <si>
    <t>039EX75385</t>
  </si>
  <si>
    <t>0H 19/09/2024</t>
  </si>
  <si>
    <t>ZIMUHCM80455869</t>
  </si>
  <si>
    <t>16H 20/09/2024</t>
  </si>
  <si>
    <t>14H 20/09/2024</t>
  </si>
  <si>
    <t>YMMU6885598</t>
  </si>
  <si>
    <t>SL-LD.026.2024</t>
  </si>
  <si>
    <t>SL-VA.032.2024</t>
  </si>
  <si>
    <t>SZHCM24061560
(WAN HAI 289 S046)</t>
  </si>
  <si>
    <t>KGN-24091086</t>
  </si>
  <si>
    <t>KGN-24091089</t>
  </si>
  <si>
    <t>WHSU5433484
WHSU6729589</t>
  </si>
  <si>
    <t>KGN-24091091</t>
  </si>
  <si>
    <t>KGN-24091092</t>
  </si>
  <si>
    <t>BHCU4982764
TCLU2278811</t>
  </si>
  <si>
    <t>WHSU6713936</t>
  </si>
  <si>
    <t>19/09/2024</t>
  </si>
  <si>
    <t>SITGNBCLE004324
(SITC SHUNDE 2418S)</t>
  </si>
  <si>
    <t>22/09/2024</t>
  </si>
  <si>
    <t>KGN-24091124</t>
  </si>
  <si>
    <t>TCNU2317577</t>
  </si>
  <si>
    <t>20/09/2024</t>
  </si>
  <si>
    <t>306746757940/B11
306746771460/E62</t>
  </si>
  <si>
    <t>CMZ1406527</t>
  </si>
  <si>
    <t>TEMU2720237</t>
  </si>
  <si>
    <t>KGN-24091154</t>
  </si>
  <si>
    <t>00000085</t>
  </si>
  <si>
    <t>PONU8143467</t>
  </si>
  <si>
    <t>KGN-24091163</t>
  </si>
  <si>
    <t>KGN-24091179</t>
  </si>
  <si>
    <t>2 PK/2020 KGM/9.984 CBM</t>
  </si>
  <si>
    <t>THÁNG 10/2024</t>
  </si>
  <si>
    <t>PHÍ TK XUẤT TC T09.24</t>
  </si>
  <si>
    <t>KGN-24091207</t>
  </si>
  <si>
    <t>106577692320/E31</t>
  </si>
  <si>
    <t>039EX83741</t>
  </si>
  <si>
    <t>039EX83743</t>
  </si>
  <si>
    <t>6H 11/10/2024</t>
  </si>
  <si>
    <t>6H 04/10/2024</t>
  </si>
  <si>
    <t>KGN-24091220</t>
  </si>
  <si>
    <t>SL-LD.027.2024</t>
  </si>
  <si>
    <t>SL-DE.0112024</t>
  </si>
  <si>
    <t>PTNCLP2480015</t>
  </si>
  <si>
    <t>TSSU2262107/20GP
TSSU5189416/40HQ</t>
  </si>
  <si>
    <t>21/09/2024</t>
  </si>
  <si>
    <t>PTXCLP2490003</t>
  </si>
  <si>
    <t>23/09/2024</t>
  </si>
  <si>
    <t>039EX82047</t>
  </si>
  <si>
    <t>SGNEU5837300</t>
  </si>
  <si>
    <t>SMCU7011482</t>
  </si>
  <si>
    <t>106587711750/E31
106587922010/A12</t>
  </si>
  <si>
    <t>106589155630/E31</t>
  </si>
  <si>
    <t xml:space="preserve">ICD PHUC LONG </t>
  </si>
  <si>
    <t>25/09/2024</t>
  </si>
  <si>
    <t>106577819022/A12</t>
  </si>
  <si>
    <t>00000088</t>
  </si>
  <si>
    <t>00000086</t>
  </si>
  <si>
    <t>PHÍ XIN C/O T09.2024</t>
  </si>
  <si>
    <t>KGN-24091341</t>
  </si>
  <si>
    <t>HỦY TK 306752727100</t>
  </si>
  <si>
    <t>039EX76889</t>
  </si>
  <si>
    <t>30/09/2024</t>
  </si>
  <si>
    <t>24/09/2024</t>
  </si>
  <si>
    <t>IAAU2686281</t>
  </si>
  <si>
    <t>KGN-24091460</t>
  </si>
  <si>
    <t>00000089</t>
  </si>
  <si>
    <t>KGN-24091473</t>
  </si>
  <si>
    <t>KGN-24091497</t>
  </si>
  <si>
    <t>WHSU5417992</t>
  </si>
  <si>
    <t>11H59 24/09/2024</t>
  </si>
  <si>
    <t>EMCU9493610</t>
  </si>
  <si>
    <t>PKHCLP2490004</t>
  </si>
  <si>
    <t>TGBU2565207</t>
  </si>
  <si>
    <t>26/09/2024</t>
  </si>
  <si>
    <t>MÁY MÓC XE 5T</t>
  </si>
  <si>
    <t>SSGN24157285</t>
  </si>
  <si>
    <t>16H 26/09/2024</t>
  </si>
  <si>
    <t>106598184120/A12</t>
  </si>
  <si>
    <t>BMOU1489752</t>
  </si>
  <si>
    <t>11H 27/09/2024</t>
  </si>
  <si>
    <t>KGN-24091706</t>
  </si>
  <si>
    <t>306768351060/B11</t>
  </si>
  <si>
    <t>PHÍ C/O</t>
  </si>
  <si>
    <t>KGN-24091847</t>
  </si>
  <si>
    <t>CONG TY TNHH LEADER ELECTRIC APPLIANCE </t>
  </si>
  <si>
    <t>ZIMUHCM80456056</t>
  </si>
  <si>
    <t>22H 03/10/2024</t>
  </si>
  <si>
    <t>SGNEW6165700</t>
  </si>
  <si>
    <t>ICD Phuc Long</t>
  </si>
  <si>
    <t>27/09/2024</t>
  </si>
  <si>
    <t>CAIU3539451</t>
  </si>
  <si>
    <t>KGN-24091956</t>
  </si>
  <si>
    <t>EDASUN202409112</t>
  </si>
  <si>
    <t>CXGSEHCM24090148</t>
  </si>
  <si>
    <t>4PP/ 4028.5 KGM/ 4.028 CBM</t>
  </si>
  <si>
    <t>KGN-24091974</t>
  </si>
  <si>
    <t>16 PP/4,373.62 KGM/ 15.790 CBM</t>
  </si>
  <si>
    <t>KGN-24091978</t>
  </si>
  <si>
    <t>28/09/2024</t>
  </si>
  <si>
    <t>XE 15T</t>
  </si>
  <si>
    <t>KGN-24091847-BS1</t>
  </si>
  <si>
    <t>BỔ SUNG LỆ PHÍ CO</t>
  </si>
  <si>
    <t>WHSU6025609</t>
  </si>
  <si>
    <t>306779185550/E62
306779203750/B11</t>
  </si>
  <si>
    <t>SL-CU.014/2024</t>
  </si>
  <si>
    <t>SL-VA.033.2024</t>
  </si>
  <si>
    <t>GXSAG24091394
(POS BANGKOK 1058S)</t>
  </si>
  <si>
    <t>HWNBCLI2400030
(AS PAMELA 069W)</t>
  </si>
  <si>
    <t>HWNBCLI2400031
(AS PAMELA 069W)</t>
  </si>
  <si>
    <t>NHỰA POLYPROPYLENE</t>
  </si>
  <si>
    <t>KGN-24092147</t>
  </si>
  <si>
    <t>TCNU8933477</t>
  </si>
  <si>
    <t>KGN-24092219</t>
  </si>
  <si>
    <t>04/10/2024</t>
  </si>
  <si>
    <t>EGLV149408232536</t>
  </si>
  <si>
    <t>GLDU9741324</t>
  </si>
  <si>
    <t>02/10/2024</t>
  </si>
  <si>
    <t>03/10/2024</t>
  </si>
  <si>
    <t>YMJAN490389108</t>
  </si>
  <si>
    <t>SGNEV5970900</t>
  </si>
  <si>
    <t>22H 05/10/2024</t>
  </si>
  <si>
    <t>GIA HẠN DEM 3 LẦN</t>
  </si>
  <si>
    <t>SL-LD.028.2024</t>
  </si>
  <si>
    <t>01/10/2024</t>
  </si>
  <si>
    <t>HỦY</t>
  </si>
  <si>
    <t>07/10/2024</t>
  </si>
  <si>
    <t>WHSU5453990</t>
  </si>
  <si>
    <t>306787097100/B11
306787089030/E62</t>
  </si>
  <si>
    <t>KGN-24100082</t>
  </si>
  <si>
    <t>KGN-24100087</t>
  </si>
  <si>
    <t>5 PK/5200 KGM/11.736 CBM</t>
  </si>
  <si>
    <t>TLLU5580422</t>
  </si>
  <si>
    <t>KGN-24100123</t>
  </si>
  <si>
    <t>00000090</t>
  </si>
  <si>
    <t>00000091</t>
  </si>
  <si>
    <t>3/10/2024</t>
  </si>
  <si>
    <t>00000092</t>
  </si>
  <si>
    <t>YMJAN490388094</t>
  </si>
  <si>
    <t>SE241002</t>
  </si>
  <si>
    <t>KGN-24100233</t>
  </si>
  <si>
    <t>KGN-24100234</t>
  </si>
  <si>
    <t>306792939260/E62
306792983950/B11</t>
  </si>
  <si>
    <t>KGN-24100247</t>
  </si>
  <si>
    <t>6H 08/10/2024</t>
  </si>
  <si>
    <t>04/10/2024
CFS PHÚ HỮU</t>
  </si>
  <si>
    <t>3 PK/ 3630 KGM/ 1.6 CBM</t>
  </si>
  <si>
    <t>1 PK/ 50 KGM/ 0.1 CBM</t>
  </si>
  <si>
    <t>SL-LD.029.2024</t>
  </si>
  <si>
    <t>SL-LD.030.2024</t>
  </si>
  <si>
    <t>SL-VA.034.2024</t>
  </si>
  <si>
    <t>07/10/2024
08/10/2024</t>
  </si>
  <si>
    <t>09/10/2024</t>
  </si>
  <si>
    <t>21H 10/10/2024</t>
  </si>
  <si>
    <t>KGN-24100360</t>
  </si>
  <si>
    <t>CXDU1154043</t>
  </si>
  <si>
    <t>KGN-24100361</t>
  </si>
  <si>
    <t>YMJAW490465845</t>
  </si>
  <si>
    <t>20H 12/10/2024</t>
  </si>
  <si>
    <t>YMLU5169656</t>
  </si>
  <si>
    <t>CCL/YKJ/2024/SI2410054</t>
  </si>
  <si>
    <t>CCL/YKJ/2024/SI2410053</t>
  </si>
  <si>
    <t>CCL/YKJ/2024/SI2410052</t>
  </si>
  <si>
    <t>CCL/YKJ/2024/SI2410055-72</t>
  </si>
  <si>
    <t>08/10/2024</t>
  </si>
  <si>
    <t xml:space="preserve">YAKJIN </t>
  </si>
  <si>
    <t xml:space="preserve">MICHIGAN </t>
  </si>
  <si>
    <t>191 CTNS</t>
  </si>
  <si>
    <t>HANA KOVI</t>
  </si>
  <si>
    <t>81 CTNS</t>
  </si>
  <si>
    <t xml:space="preserve">CAMBODIA </t>
  </si>
  <si>
    <t xml:space="preserve">1 CTNS </t>
  </si>
  <si>
    <t>17 CTNS</t>
  </si>
  <si>
    <t>KGN-24100412</t>
  </si>
  <si>
    <t>KGN-24100413</t>
  </si>
  <si>
    <t>KGN-24100419</t>
  </si>
  <si>
    <t>KGN-24100421</t>
  </si>
  <si>
    <t>DHCM409065313</t>
  </si>
  <si>
    <t>3 CS / 1431 KGM/ 0.49 CBM</t>
  </si>
  <si>
    <t>10/10/2024</t>
  </si>
  <si>
    <t>WHSU6029707</t>
  </si>
  <si>
    <t>306805199910/B11
306805173900/E62</t>
  </si>
  <si>
    <t>KGN-24100559</t>
  </si>
  <si>
    <t>00000093</t>
  </si>
  <si>
    <t>00000094</t>
  </si>
  <si>
    <t>00000095</t>
  </si>
  <si>
    <t>KGN-24100564</t>
  </si>
  <si>
    <t>12H 08/10/2024</t>
  </si>
  <si>
    <t>30/09/2024
DEM 14/10</t>
  </si>
  <si>
    <t>YMMU6023931</t>
  </si>
  <si>
    <t>KGN-24100592</t>
  </si>
  <si>
    <t>11/10/2024</t>
  </si>
  <si>
    <t>12/10/2024</t>
  </si>
  <si>
    <t>YMJAI228463846 
(GSL AFRICA 957S)</t>
  </si>
  <si>
    <t>BEAU2340558
FCIU6258055
MAGU2437606
SEGU2734445
TCKU1259893
TCKU1263553
TCLU7616629
TEMU4930926
YMLU3484129
YMMU1117262</t>
  </si>
  <si>
    <t>CL KHO 2</t>
  </si>
  <si>
    <t>106633300210/A12</t>
  </si>
  <si>
    <t>21H 13/10/2024</t>
  </si>
  <si>
    <t>039EX88622</t>
  </si>
  <si>
    <t>039EX88624</t>
  </si>
  <si>
    <t>KGN-24100710</t>
  </si>
  <si>
    <t>FCIU4921277</t>
  </si>
  <si>
    <t>18/10/2024</t>
  </si>
  <si>
    <t>KGN-24100717</t>
  </si>
  <si>
    <t>15/10/2024</t>
  </si>
  <si>
    <t>SL-LD.031.2024</t>
  </si>
  <si>
    <t>SL-LD.032.2024</t>
  </si>
  <si>
    <t>SL-LD.033.2024</t>
  </si>
  <si>
    <t>PTNCLP2490008</t>
  </si>
  <si>
    <t>17/10/2024</t>
  </si>
  <si>
    <t>14/10/2024</t>
  </si>
  <si>
    <t>SL-CU.015/2024</t>
  </si>
  <si>
    <t>00000096</t>
  </si>
  <si>
    <t>10H 22/10/2024</t>
  </si>
  <si>
    <t>PHÁT SINH 500K</t>
  </si>
  <si>
    <t>16/10/2024</t>
  </si>
  <si>
    <t>EBKG10166353</t>
  </si>
  <si>
    <t>13H 18/10/2024</t>
  </si>
  <si>
    <t>EBKG10409889</t>
  </si>
  <si>
    <t>10H 19/10/2024</t>
  </si>
  <si>
    <t>35 CTNS</t>
  </si>
  <si>
    <t>17/10/2024
18/10/2024</t>
  </si>
  <si>
    <t>KGN-24101053</t>
  </si>
  <si>
    <t>TGHU4750680
MSDU4072760</t>
  </si>
  <si>
    <t>KGN-24101125</t>
  </si>
  <si>
    <t>00000097</t>
  </si>
  <si>
    <t>00000098</t>
  </si>
  <si>
    <t>00000099</t>
  </si>
  <si>
    <t>TTNU4272849</t>
  </si>
  <si>
    <t>HLXU1363661</t>
  </si>
  <si>
    <t>CCL/YKJ/2024/SI2410160</t>
  </si>
  <si>
    <t>19/10/2024</t>
  </si>
  <si>
    <t>SL-LD.034.2024</t>
  </si>
  <si>
    <t>SL-LD.035.2024</t>
  </si>
  <si>
    <t>SL-LD.036.2024</t>
  </si>
  <si>
    <t>306828881830</t>
  </si>
  <si>
    <t>306828906550</t>
  </si>
  <si>
    <t>306828948220</t>
  </si>
  <si>
    <t>WHSU2409777</t>
  </si>
  <si>
    <t>WHSU2354530</t>
  </si>
  <si>
    <t>ZIMUHCM80464290</t>
  </si>
  <si>
    <t>21/10/2024</t>
  </si>
  <si>
    <t>ZIMUHCM80462583</t>
  </si>
  <si>
    <t>ZIMUHCM80460274</t>
  </si>
  <si>
    <t>22/10/2024</t>
  </si>
  <si>
    <t>306830032520/B11
306830038600/E62</t>
  </si>
  <si>
    <t>306831650440/B11
306831693950/E62</t>
  </si>
  <si>
    <t>TSSU5139544
UETU2793008</t>
  </si>
  <si>
    <t>4H 24/10/2024
SI: 22H 23/10/2024</t>
  </si>
  <si>
    <t>KGN-24101199</t>
  </si>
  <si>
    <t>SL-VA.035.2024</t>
  </si>
  <si>
    <t>KGN-24101221</t>
  </si>
  <si>
    <t>KGN-24101223</t>
  </si>
  <si>
    <t>KGN-24101224</t>
  </si>
  <si>
    <t>039EX90150</t>
  </si>
  <si>
    <t>23/10/2024</t>
  </si>
  <si>
    <t>KGN-24101226</t>
  </si>
  <si>
    <t>00000100</t>
  </si>
  <si>
    <t>00000101</t>
  </si>
  <si>
    <t>00000102</t>
  </si>
  <si>
    <t>106647375110/E31
106647398761/A12</t>
  </si>
  <si>
    <t>PHÍ TK XUẤT TC T10.24</t>
  </si>
  <si>
    <t>THÁNG 11/2024</t>
  </si>
  <si>
    <t>KGN-24101364</t>
  </si>
  <si>
    <t>BEAU5043276</t>
  </si>
  <si>
    <t>4H 24/10/2024
SI: 10H 23/10/2024</t>
  </si>
  <si>
    <t>00000103</t>
  </si>
  <si>
    <t>SL-VA.036.2024</t>
  </si>
  <si>
    <t>24/10/2024</t>
  </si>
  <si>
    <t>YJZY-240902</t>
  </si>
  <si>
    <t>13 PP</t>
  </si>
  <si>
    <t>NHẬP TC</t>
  </si>
  <si>
    <t>KGN-24101436</t>
  </si>
  <si>
    <t>NHẬPHẬP/X</t>
  </si>
  <si>
    <t xml:space="preserve">TêNHẬPHẬP hàNHẬPHẬPg </t>
  </si>
  <si>
    <t>PHÍ CHỨNHẬPHẬPG TỪ
(TM)</t>
  </si>
  <si>
    <t>PHÍ CHỨNHẬPHẬPG TỪ
(ST CK)</t>
  </si>
  <si>
    <t xml:space="preserve">CƯỢC CONHẬPHẬPT </t>
  </si>
  <si>
    <t>TẠM THU HÃNHẬPHẬPG TÀU/ SỬA CHỮA CONHẬPHẬPT</t>
  </si>
  <si>
    <t>CHUYỂNHẬPHẬP CƯỢC</t>
  </si>
  <si>
    <t>KGNHẬPHẬP-23020090</t>
  </si>
  <si>
    <t>NHẬPHẬP</t>
  </si>
  <si>
    <t xml:space="preserve"> NHẬPHẬPHỰA POM/ ACETAL RESINHẬPHẬP</t>
  </si>
  <si>
    <t>KGNHẬPHẬP-23020235</t>
  </si>
  <si>
    <t>SGNHẬPHẬP1789850</t>
  </si>
  <si>
    <t>GEMALINHẬPHẬPK</t>
  </si>
  <si>
    <t>KGNHẬPHẬP-23020347</t>
  </si>
  <si>
    <t>KGNHẬPHẬP-23021000</t>
  </si>
  <si>
    <t>KGNHẬPHẬP-23021192</t>
  </si>
  <si>
    <t>DRYU9791461
TCNHẬPHẬPU2088824</t>
  </si>
  <si>
    <t>CHỈ TRUCKINHẬPHẬPG</t>
  </si>
  <si>
    <t>KGNHẬPHẬP-23030587</t>
  </si>
  <si>
    <t>THÁNHẬPHẬPG 03/2023</t>
  </si>
  <si>
    <t>HOÀNHẬPHẬP THUẾ
105039263822 + 105039290640</t>
  </si>
  <si>
    <t>KGNHẬPHẬP-23041159</t>
  </si>
  <si>
    <t>KGNHẬPHẬP-23030164</t>
  </si>
  <si>
    <t>450K THANHẬPHẬPH LÝ T 02</t>
  </si>
  <si>
    <t>KGNHẬPHẬP-23030165</t>
  </si>
  <si>
    <t>KGNHẬPHẬP-23041165</t>
  </si>
  <si>
    <t>CHỈ TRUCKINHẬPHẬPG + THANHẬPHẬPH LÝ</t>
  </si>
  <si>
    <t>KGNHẬPHẬP-23030083</t>
  </si>
  <si>
    <t>KGNHẬPHẬP-23030108</t>
  </si>
  <si>
    <t>KGNHẬPHẬP-23041168</t>
  </si>
  <si>
    <t>KGNHẬPHẬP-23041173</t>
  </si>
  <si>
    <t>KGNHẬPHẬP-23041175</t>
  </si>
  <si>
    <t>KGNHẬPHẬP-23031072</t>
  </si>
  <si>
    <t>KGNHẬPHẬP-23041176</t>
  </si>
  <si>
    <t>KGNHẬPHẬP-23041178</t>
  </si>
  <si>
    <t>YMLUNHẬPHẬP490370865</t>
  </si>
  <si>
    <t>KGNHẬPHẬP-23041180</t>
  </si>
  <si>
    <t>KGNHẬPHẬP-23041182</t>
  </si>
  <si>
    <t>THÁNHẬPHẬPG 04/2023</t>
  </si>
  <si>
    <t>HOÀNHẬPHẬP THUẾ
105223429361</t>
  </si>
  <si>
    <t>KGNHẬPHẬP-23050356</t>
  </si>
  <si>
    <t>KGNHẬPHẬP-23040124</t>
  </si>
  <si>
    <t xml:space="preserve">
 CHỈ TRUCKINHẬPHẬPG + THANHẬPHẬPH LÝ</t>
  </si>
  <si>
    <t>KGNHẬPHẬP-23040125</t>
  </si>
  <si>
    <t>339INHẬPHẬP2309437</t>
  </si>
  <si>
    <t>KGNHẬPHẬP-23040126</t>
  </si>
  <si>
    <t>SGNHẬPHẬPM86009000</t>
  </si>
  <si>
    <t>KGNHẬPHẬP-23040175</t>
  </si>
  <si>
    <t>SGNHẬPHẬP1825531</t>
  </si>
  <si>
    <t>TCNHẬPHẬPU2827591</t>
  </si>
  <si>
    <t>KGNHẬPHẬP-23040234</t>
  </si>
  <si>
    <t>KGNHẬPHẬP-23040558</t>
  </si>
  <si>
    <t>KGNHẬPHẬP-23040563</t>
  </si>
  <si>
    <t>KGNHẬPHẬP-23040790</t>
  </si>
  <si>
    <t>KGNHẬPHẬP-23040791</t>
  </si>
  <si>
    <t>KGNHẬPHẬP-23040792</t>
  </si>
  <si>
    <t>NHẬPHẬPLLU4209237</t>
  </si>
  <si>
    <t>TÍNHẬPHẬPH PHÍ CHI MIỄNHẬPHẬP KIỂM 500K -  CHỈ TRUCKINHẬPHẬPG + THANHẬPHẬPH LÝ</t>
  </si>
  <si>
    <t>KGNHẬPHẬP-23040969</t>
  </si>
  <si>
    <t>SGNHẬPHẬP1829764</t>
  </si>
  <si>
    <t>KGNHẬPHẬP-23041545</t>
  </si>
  <si>
    <t>KGNHẬPHẬP-23041546</t>
  </si>
  <si>
    <t>KGNHẬPHẬP-23041714</t>
  </si>
  <si>
    <t>KGNHẬPHẬP-23041716</t>
  </si>
  <si>
    <t>SGNHẬPHẬPD53705300</t>
  </si>
  <si>
    <t>KGNHẬPHẬP-23050218</t>
  </si>
  <si>
    <t>SGNHẬPHẬPD32046509</t>
  </si>
  <si>
    <t>ONHẬPHẬPEU0125724</t>
  </si>
  <si>
    <t>TÍNHẬPHẬPH PHÍ LÀM HÀNHẬPHẬPG 1700K + VC CÁI MÉP +
 CHỈ TRUCKINHẬPHẬPG + THANHẬPHẬPH LÝ</t>
  </si>
  <si>
    <t>KGNHẬPHẬP-23041850</t>
  </si>
  <si>
    <t>THÁNHẬPHẬPG 05/2023</t>
  </si>
  <si>
    <t>KGNHẬPHẬP-23050462</t>
  </si>
  <si>
    <t>KGNHẬPHẬP-23050509</t>
  </si>
  <si>
    <t>KGNHẬPHẬP-23050621</t>
  </si>
  <si>
    <t>KGNHẬPHẬP-23051380</t>
  </si>
  <si>
    <t>KGNHẬPHẬP-23051530</t>
  </si>
  <si>
    <t>SGNHẬPHẬP1844681</t>
  </si>
  <si>
    <t>KGNHẬPHẬP-23051567</t>
  </si>
  <si>
    <t>KGNHẬPHẬP-23051670</t>
  </si>
  <si>
    <t>KGNHẬPHẬP-23051804</t>
  </si>
  <si>
    <t>YMLUNHẬPHẬP490372554</t>
  </si>
  <si>
    <t>KGNHẬPHẬP-23051805</t>
  </si>
  <si>
    <t>THÁNHẬPHẬPG 06/2023</t>
  </si>
  <si>
    <t>KGNHẬPHẬP-23051895</t>
  </si>
  <si>
    <t>CHỈ TRUCKINHẬPHẬPG + THANHẬPHẬPH LÝ
+ 150K PHÍ THANHẬPHẬPH LÝ T05.23</t>
  </si>
  <si>
    <t xml:space="preserve">KGNHẬPHẬP-PR-2306188 </t>
  </si>
  <si>
    <t>KGNHẬPHẬP-23051974</t>
  </si>
  <si>
    <t>KGNHẬPHẬP-23051897</t>
  </si>
  <si>
    <t xml:space="preserve"> CZVNHẬPHẬPSGNHẬPHẬP3E055</t>
  </si>
  <si>
    <t>KGNHẬPHẬP-23052003</t>
  </si>
  <si>
    <t>KGNHẬPHẬP-23052002</t>
  </si>
  <si>
    <t>KGNHẬPHẬP-23052095</t>
  </si>
  <si>
    <t>KGNHẬPHẬP-23052121</t>
  </si>
  <si>
    <t>KGNHẬPHẬP-23060035</t>
  </si>
  <si>
    <t>KGNHẬPHẬP-23060079</t>
  </si>
  <si>
    <t>KGNHẬPHẬP-23060207</t>
  </si>
  <si>
    <t>KGNHẬPHẬP-23060360</t>
  </si>
  <si>
    <t>KGNHẬPHẬP-23060361</t>
  </si>
  <si>
    <t>KGNHẬPHẬP-23060997</t>
  </si>
  <si>
    <t>KGNHẬPHẬP-23060999</t>
  </si>
  <si>
    <t>KGNHẬPHẬP-23061106</t>
  </si>
  <si>
    <t>KGNHẬPHẬP-23061109</t>
  </si>
  <si>
    <t>KGNHẬPHẬP-23061110</t>
  </si>
  <si>
    <t>KGNHẬPHẬP-23061546</t>
  </si>
  <si>
    <t>SGNHẬPHẬP1862771</t>
  </si>
  <si>
    <t>KGNHẬPHẬP-23061552</t>
  </si>
  <si>
    <t>SGNHẬPHẬP1867023</t>
  </si>
  <si>
    <t>KGNHẬPHẬP-23061759</t>
  </si>
  <si>
    <t>KGNHẬPHẬP-23062015</t>
  </si>
  <si>
    <t>THÁNHẬPHẬPG 07/2023</t>
  </si>
  <si>
    <t>KGNHẬPHẬP-23062135</t>
  </si>
  <si>
    <t>SGNHẬPHẬP1871417</t>
  </si>
  <si>
    <t>TCNHẬPHẬPU2837434</t>
  </si>
  <si>
    <t>KGNHẬPHẬP-23062229</t>
  </si>
  <si>
    <t>KGNHẬPHẬP-23062231</t>
  </si>
  <si>
    <t>SGNHẬPHẬP1872515</t>
  </si>
  <si>
    <t>KGNHẬPHẬP-23062290</t>
  </si>
  <si>
    <t>SGNHẬPHẬPD88359900</t>
  </si>
  <si>
    <t>KGNHẬPHẬP-23070171</t>
  </si>
  <si>
    <t>SGNHẬPHẬPD92837500</t>
  </si>
  <si>
    <t>KGNHẬPHẬP-23070325</t>
  </si>
  <si>
    <t>SGNHẬPHẬP1880299</t>
  </si>
  <si>
    <t>KGNHẬPHẬP-23070326</t>
  </si>
  <si>
    <t>TCNHẬPHẬPU2508613</t>
  </si>
  <si>
    <t>KGNHẬPHẬP-23070371</t>
  </si>
  <si>
    <t>KGNHẬPHẬP-23070827</t>
  </si>
  <si>
    <t>SGNHẬPHẬPD99318600</t>
  </si>
  <si>
    <t>KGNHẬPHẬP-23070516</t>
  </si>
  <si>
    <t>KGNHẬPHẬP-PR-2307507</t>
  </si>
  <si>
    <t>KGNHẬPHẬP-23071062</t>
  </si>
  <si>
    <t>KGNHẬPHẬP-23071059</t>
  </si>
  <si>
    <t>KGNHẬPHẬP-23071060</t>
  </si>
  <si>
    <t>KGNHẬPHẬP-23071181</t>
  </si>
  <si>
    <t>KGNHẬPHẬP-23071176</t>
  </si>
  <si>
    <t>KGNHẬPHẬP-23071312</t>
  </si>
  <si>
    <t>KGNHẬPHẬP-23071419</t>
  </si>
  <si>
    <t>KGNHẬPHẬP-23071422</t>
  </si>
  <si>
    <t>KGNHẬPHẬP-23071802</t>
  </si>
  <si>
    <t>KGNHẬPHẬP-PR-2307587</t>
  </si>
  <si>
    <t>THÁNHẬPHẬPG 08/2023</t>
  </si>
  <si>
    <t>KGNHẬPHẬP-23071496</t>
  </si>
  <si>
    <t>KGNHẬPHẬP-23071497</t>
  </si>
  <si>
    <t>ONHẬPHẬPEYSGNHẬPHẬPDA6344800</t>
  </si>
  <si>
    <t>KGNHẬPHẬP-23071503</t>
  </si>
  <si>
    <t>SGNHẬPHẬPDA9710800</t>
  </si>
  <si>
    <t>NHẬPHẬPYKU3273116</t>
  </si>
  <si>
    <t>KGNHẬPHẬP-23080406</t>
  </si>
  <si>
    <t>KGNHẬPHẬP-23080408</t>
  </si>
  <si>
    <t>KGNHẬPHẬP-23080409</t>
  </si>
  <si>
    <t>KGNHẬPHẬP-23080478</t>
  </si>
  <si>
    <t>FANHẬPHẬPU1605902</t>
  </si>
  <si>
    <t>KGNHẬPHẬP-23080480</t>
  </si>
  <si>
    <t>KGNHẬPHẬP-23080876</t>
  </si>
  <si>
    <t>KGNHẬPHẬP-23080951</t>
  </si>
  <si>
    <t>SGNHẬPHẬPDC5570300</t>
  </si>
  <si>
    <t>TCNHẬPHẬPU6429261
SEGU2070243</t>
  </si>
  <si>
    <t>KGNHẬPHẬP-23080949</t>
  </si>
  <si>
    <t>KGNHẬPHẬP-23081356</t>
  </si>
  <si>
    <t>KGNHẬPHẬP-23081357</t>
  </si>
  <si>
    <t>KGNHẬPHẬP-23081462</t>
  </si>
  <si>
    <t>KGNHẬPHẬP-23081536</t>
  </si>
  <si>
    <t>KGNHẬPHẬP-23081537</t>
  </si>
  <si>
    <t>KGNHẬPHẬP-23081606</t>
  </si>
  <si>
    <t>THÁNHẬPHẬPG 09/2023</t>
  </si>
  <si>
    <t>KGNHẬPHẬP-23081962</t>
  </si>
  <si>
    <t>KIỂM HÓA
SOTRANHẬPHẬPS KHAI TK</t>
  </si>
  <si>
    <t>KGNHẬPHẬP-PR-2309541</t>
  </si>
  <si>
    <t>KGNHẬPHẬP-23081799</t>
  </si>
  <si>
    <t>KGNHẬPHẬP-23082016</t>
  </si>
  <si>
    <t>KGNHẬPHẬP-23082017</t>
  </si>
  <si>
    <t>KGNHẬPHẬP-23082018</t>
  </si>
  <si>
    <t>KGNHẬPHẬP-23093034</t>
  </si>
  <si>
    <t>KGNHẬPHẬP-23093090</t>
  </si>
  <si>
    <t>KGNHẬPHẬP-23093091</t>
  </si>
  <si>
    <t>KGNHẬPHẬP-23093405</t>
  </si>
  <si>
    <t>SGNHẬPHẬP1925994</t>
  </si>
  <si>
    <t>KGNHẬPHẬP-23093481</t>
  </si>
  <si>
    <t>ONHẬPHẬPEYSGNHẬPHẬPDE0432400</t>
  </si>
  <si>
    <t>KGNHẬPHẬP-23093482</t>
  </si>
  <si>
    <t>SGNHẬPHẬPDD7521900</t>
  </si>
  <si>
    <t>KGNHẬPHẬP-23093808</t>
  </si>
  <si>
    <t>SGNHẬPHẬP300954200</t>
  </si>
  <si>
    <t>KGNHẬPHẬP-23094062</t>
  </si>
  <si>
    <t>KGNHẬPHẬP-23094079</t>
  </si>
  <si>
    <t>FANHẬPHẬPU1869206</t>
  </si>
  <si>
    <t>KGNHẬPHẬP-23094382</t>
  </si>
  <si>
    <t>SGNHẬPHẬP300957500</t>
  </si>
  <si>
    <t>KGNHẬPHẬP-23093621</t>
  </si>
  <si>
    <t>VÀNHẬPHẬPG
/ĐỎ</t>
  </si>
  <si>
    <t>KGNHẬPHẬP-23093803</t>
  </si>
  <si>
    <t>KGNHẬPHẬP-23094380</t>
  </si>
  <si>
    <t>KGNHẬPHẬP-23094381</t>
  </si>
  <si>
    <t>THÁNHẬPHẬPG 10/2023</t>
  </si>
  <si>
    <t>KGNHẬPHẬP-23101840</t>
  </si>
  <si>
    <t>KGNHẬPHẬP-23102465</t>
  </si>
  <si>
    <t>KGNHẬPHẬP-23103019</t>
  </si>
  <si>
    <t>KGNHẬPHẬP-23103125</t>
  </si>
  <si>
    <t>KGNHẬPHẬP-23103487</t>
  </si>
  <si>
    <t>KGNHẬPHẬP-23102337</t>
  </si>
  <si>
    <t>SGNHẬPHẬPDF1959600</t>
  </si>
  <si>
    <t>KGNHẬPHẬP-23102022</t>
  </si>
  <si>
    <t>KGNHẬPHẬP-23102308</t>
  </si>
  <si>
    <t>SGNHẬPHẬP1953097</t>
  </si>
  <si>
    <t>KGNHẬPHẬP-23102577</t>
  </si>
  <si>
    <t>ONHẬPHẬPEYSGNHẬPHẬPDG3276800</t>
  </si>
  <si>
    <t>NHẬPHẬPYKU5134892</t>
  </si>
  <si>
    <t>KGNHẬPHẬP-23102781</t>
  </si>
  <si>
    <t>KGNHẬPHẬP-23103124</t>
  </si>
  <si>
    <t>KGNHẬPHẬP-23103120</t>
  </si>
  <si>
    <t>KGNHẬPHẬP-23103306</t>
  </si>
  <si>
    <t>KGNHẬPHẬP-23103314</t>
  </si>
  <si>
    <t>THÁNHẬPHẬPG 11/2023</t>
  </si>
  <si>
    <t>KGNHẬPHẬP-23110280</t>
  </si>
  <si>
    <t>UNHẬPHẬPXU3190448</t>
  </si>
  <si>
    <t>CHARGE 500K LẤY CONHẬPHẬPT ĐỒNHẬPHẬPG NHẬPHẬPAI</t>
  </si>
  <si>
    <t>KGNHẬPHẬP-PR-2311770</t>
  </si>
  <si>
    <t>KGNHẬPHẬP-23110281</t>
  </si>
  <si>
    <t>KGNHẬPHẬP-23110282</t>
  </si>
  <si>
    <t>KGNHẬPHẬP-23110417</t>
  </si>
  <si>
    <t>KGNHẬPHẬP-23110487</t>
  </si>
  <si>
    <t>KGNHẬPHẬP-23110684</t>
  </si>
  <si>
    <t>KGNHẬPHẬP-23111061</t>
  </si>
  <si>
    <t>KGNHẬPHẬP-23111215</t>
  </si>
  <si>
    <t>SGNHẬPHẬP3A9517300</t>
  </si>
  <si>
    <t>KGNHẬPHẬP-23111488</t>
  </si>
  <si>
    <t>KGNHẬPHẬP-23111607</t>
  </si>
  <si>
    <t>KGNHẬPHẬP-23112087</t>
  </si>
  <si>
    <t>THÁNHẬPHẬPG 12/2023</t>
  </si>
  <si>
    <t>KGNHẬPHẬP-23120905</t>
  </si>
  <si>
    <t>KGNHẬPHẬP-23120956</t>
  </si>
  <si>
    <t>KGNHẬPHẬP-23121224</t>
  </si>
  <si>
    <t>KGNHẬPHẬP-23121586</t>
  </si>
  <si>
    <t>KGNHẬPHẬP-23121587</t>
  </si>
  <si>
    <t xml:space="preserve">SGNHẬPHẬPM71404500 </t>
  </si>
  <si>
    <t>KGNHẬPHẬP-23121621</t>
  </si>
  <si>
    <t>KGNHẬPHẬP-23121623</t>
  </si>
  <si>
    <t>KGNHẬPHẬP-23121770</t>
  </si>
  <si>
    <t>KGNHẬPHẬP-23121772</t>
  </si>
  <si>
    <t>KGNHẬPHẬP-23121773</t>
  </si>
  <si>
    <t>KGNHẬPHẬP-23121857</t>
  </si>
  <si>
    <t>KGNHẬPHẬP-23121858</t>
  </si>
  <si>
    <t>THÁNHẬPHẬPG 01/2024</t>
  </si>
  <si>
    <t>KGNHẬPHẬP-24010267</t>
  </si>
  <si>
    <t>KGNHẬPHẬP-24010337</t>
  </si>
  <si>
    <t>CSNHẬPHẬPU6456678</t>
  </si>
  <si>
    <t>KGNHẬPHẬP-24010486</t>
  </si>
  <si>
    <t>KGNHẬPHẬP-24010492</t>
  </si>
  <si>
    <t>ONHẬPHẬPEYSGNHẬPHẬPDNHẬPHẬP7053300</t>
  </si>
  <si>
    <t>KGNHẬPHẬP-24010494</t>
  </si>
  <si>
    <t>KGNHẬPHẬP-24011034</t>
  </si>
  <si>
    <t>KGNHẬPHẬP-24011341</t>
  </si>
  <si>
    <t>KGNHẬPHẬP-24011342</t>
  </si>
  <si>
    <t>KGNHẬPHẬP-24011526</t>
  </si>
  <si>
    <t>KGNHẬPHẬP-24011527</t>
  </si>
  <si>
    <t>KGNHẬPHẬP-24011561</t>
  </si>
  <si>
    <t>KGNHẬPHẬP-24011772</t>
  </si>
  <si>
    <t>KGNHẬPHẬP-24011783</t>
  </si>
  <si>
    <t>THÁNHẬPHẬPG 02/2024</t>
  </si>
  <si>
    <t>KGNHẬPHẬP-24011756</t>
  </si>
  <si>
    <t>KGNHẬPHẬP-24011858</t>
  </si>
  <si>
    <t>KGNHẬPHẬP-24011855</t>
  </si>
  <si>
    <t>TCNHẬPHẬPU4219374</t>
  </si>
  <si>
    <t>KGNHẬPHẬP-24020073</t>
  </si>
  <si>
    <t>KGNHẬPHẬP-24020203</t>
  </si>
  <si>
    <t>FANHẬPHẬPU3274254</t>
  </si>
  <si>
    <t>KGNHẬPHẬP-24020208</t>
  </si>
  <si>
    <t>HLCUSGNHẬPHẬP2312ASYG6</t>
  </si>
  <si>
    <t>FANHẬPHẬPU3369299</t>
  </si>
  <si>
    <t>KGNHẬPHẬP-24020209</t>
  </si>
  <si>
    <t>HLCUSGNHẬPHẬP2312AQGG1</t>
  </si>
  <si>
    <t>FANHẬPHẬPU1961610</t>
  </si>
  <si>
    <t>KGNHẬPHẬP-24020288</t>
  </si>
  <si>
    <t>SGNHẬPHẬP2037689</t>
  </si>
  <si>
    <t>XINHẬPHẬPU1536560</t>
  </si>
  <si>
    <t>KGNHẬPHẬP-24020349</t>
  </si>
  <si>
    <t>SGNHẬPHẬPE31710300</t>
  </si>
  <si>
    <t>KGNHẬPHẬP-24020350</t>
  </si>
  <si>
    <t>HLCUSGNHẬPHẬP240155240</t>
  </si>
  <si>
    <t>KGNHẬPHẬP-24020351</t>
  </si>
  <si>
    <t>KGNHẬPHẬP-24020555</t>
  </si>
  <si>
    <t>KGNHẬPHẬP-24021022</t>
  </si>
  <si>
    <t>SGNHẬPHẬPE13110400</t>
  </si>
  <si>
    <t>THÁNHẬPHẬPG 03/2024</t>
  </si>
  <si>
    <t>KGNHẬPHẬP-24021949</t>
  </si>
  <si>
    <t>KGNHẬPHẬP-24021950</t>
  </si>
  <si>
    <t>KGNHẬPHẬP-24021951</t>
  </si>
  <si>
    <t>KGNHẬPHẬP-24030065</t>
  </si>
  <si>
    <t>KGNHẬPHẬP-24030067</t>
  </si>
  <si>
    <t>KGNHẬPHẬP-24030068</t>
  </si>
  <si>
    <t>KGNHẬPHẬP-24030300</t>
  </si>
  <si>
    <t>KGNHẬPHẬP-24030303</t>
  </si>
  <si>
    <t>KGNHẬPHẬP-24030547</t>
  </si>
  <si>
    <t>SGNHẬPHẬPE39633800</t>
  </si>
  <si>
    <t>NHẬPHẬPYKU5723911
GLDU9480560
TCNHẬPHẬPU6655700</t>
  </si>
  <si>
    <t>KGNHẬPHẬP-24030535</t>
  </si>
  <si>
    <t>KGNHẬPHẬP-24030537</t>
  </si>
  <si>
    <t>CKSGNHẬPHẬP2420140</t>
  </si>
  <si>
    <t>KGNHẬPHẬP-24030876</t>
  </si>
  <si>
    <t>KGNHẬPHẬP-24030880</t>
  </si>
  <si>
    <t>SGNHẬPHẬPE45960800</t>
  </si>
  <si>
    <t>KGNHẬPHẬP-24030882</t>
  </si>
  <si>
    <t>ONHẬPHẬPEYSGNHẬPHẬPE32529500</t>
  </si>
  <si>
    <t>KGNHẬPHẬP-24030883</t>
  </si>
  <si>
    <t>KGNHẬPHẬP-24030888</t>
  </si>
  <si>
    <t>KGNHẬPHẬP-24031483</t>
  </si>
  <si>
    <t>KGNHẬPHẬP-24031484</t>
  </si>
  <si>
    <t>KGNHẬPHẬP-24031486</t>
  </si>
  <si>
    <t>KÉO CONHẬPHẬPT VỀ TỪ CÁI MÉP</t>
  </si>
  <si>
    <t>KGNHẬPHẬP-24031855</t>
  </si>
  <si>
    <t>KÉO CONHẬPHẬPT VỀ</t>
  </si>
  <si>
    <t>CHUYỂNHẬPHẬP 1 HĐ 59907 SANHẬPHẬPG CÔNHẬPHẬPG NHẬPHẬPỢ T05.25</t>
  </si>
  <si>
    <t>KGNHẬPHẬP-24031715</t>
  </si>
  <si>
    <t>KGNHẬPHẬP-24031716</t>
  </si>
  <si>
    <t>KGNHẬPHẬP-24031883</t>
  </si>
  <si>
    <t>KGNHẬPHẬP-24031882</t>
  </si>
  <si>
    <t>KGNHẬPHẬP-24031884</t>
  </si>
  <si>
    <t>KGNHẬPHẬP-24031886</t>
  </si>
  <si>
    <t>KGNHẬPHẬP-24031885</t>
  </si>
  <si>
    <t>THÁNHẬPHẬPG 04/2024</t>
  </si>
  <si>
    <t>KGN-24101437</t>
  </si>
  <si>
    <t>SEGU6181116
TCNU6734178</t>
  </si>
  <si>
    <t>YMJAI216489999</t>
  </si>
  <si>
    <t>ETA: 18/10/2024
DEM: 31/10/2024</t>
  </si>
  <si>
    <t>SL-DE.0122024</t>
  </si>
  <si>
    <t>00000104</t>
  </si>
  <si>
    <t>16TK</t>
  </si>
  <si>
    <t>00001623</t>
  </si>
  <si>
    <t xml:space="preserve"> JXLU6194285</t>
  </si>
  <si>
    <t xml:space="preserve"> ZCSU6847142</t>
  </si>
  <si>
    <t>306842273900/E62
306842270360/B11</t>
  </si>
  <si>
    <t>WHSU5629498</t>
  </si>
  <si>
    <t>KGN-24101623</t>
  </si>
  <si>
    <t>00000105</t>
  </si>
  <si>
    <t>KGN-24101668</t>
  </si>
  <si>
    <t>SZNSGN24A5012</t>
  </si>
  <si>
    <t>25 BG/757.5 KGM/3.935 CBM</t>
  </si>
  <si>
    <t>KGN-24101671</t>
  </si>
  <si>
    <t>KGN-24101672</t>
  </si>
  <si>
    <t>KGN-24101674</t>
  </si>
  <si>
    <t>KGN-24101676</t>
  </si>
  <si>
    <t xml:space="preserve">6H 25/10/2024  </t>
  </si>
  <si>
    <t>1 PK/550 KGM/0.1 CBM</t>
  </si>
  <si>
    <t>039EX94444</t>
  </si>
  <si>
    <t>26/10/2024
CFS PHÚ HỮU</t>
  </si>
  <si>
    <t>29/10/2024</t>
  </si>
  <si>
    <t>HWNBCLI2400032</t>
  </si>
  <si>
    <t>25/10/2024</t>
  </si>
  <si>
    <t>YMJAI209504387</t>
  </si>
  <si>
    <t>TCNU1977832
YMMU6445541
YMMU6842908</t>
  </si>
  <si>
    <t>KGN-24101954</t>
  </si>
  <si>
    <t>28/10/2024</t>
  </si>
  <si>
    <t>NGÀY GIAO MPF</t>
  </si>
  <si>
    <t>30/10/2024</t>
  </si>
  <si>
    <t>6H 01/11/2024</t>
  </si>
  <si>
    <t>ZIMUHCM80462479</t>
  </si>
  <si>
    <t>ZIMUHCM80465018</t>
  </si>
  <si>
    <t>ICD Phước Long 3</t>
  </si>
  <si>
    <t>6H 31/10/2024
SI: 16H 29/10/2024</t>
  </si>
  <si>
    <t>6H 31/10/2024
SI: 10H 30/10/2024</t>
  </si>
  <si>
    <t>LDGHCM24A1601PH</t>
  </si>
  <si>
    <t>27/10/2024</t>
  </si>
  <si>
    <t>SL-VA.037.2024</t>
  </si>
  <si>
    <t>26/10/2024</t>
  </si>
  <si>
    <t>31/10/2024</t>
  </si>
  <si>
    <t>00000106</t>
  </si>
  <si>
    <t>KGN-24102282</t>
  </si>
  <si>
    <t>SL-LD.037.2024</t>
  </si>
  <si>
    <t>SL-LD.038.2024</t>
  </si>
  <si>
    <t>SL-LD.039.2024</t>
  </si>
  <si>
    <t>UETU5938321</t>
  </si>
  <si>
    <t>KGN-24102353</t>
  </si>
  <si>
    <t>ZCSU2759444</t>
  </si>
  <si>
    <t>KGN-24102354</t>
  </si>
  <si>
    <t>EBKG10615763</t>
  </si>
  <si>
    <t>SGN2406897</t>
  </si>
  <si>
    <t>SI: 16H 01/10/2024
8H 05/11/2024</t>
  </si>
  <si>
    <t>SI: 11H 01/10/2024
11H 03/11/2024</t>
  </si>
  <si>
    <t>WHSU2559329</t>
  </si>
  <si>
    <t>306861777260/B11
306861760020/E62</t>
  </si>
  <si>
    <t>SL-CU.016/2024</t>
  </si>
  <si>
    <t>SL-VA.038.2024</t>
  </si>
  <si>
    <t>00000107</t>
  </si>
  <si>
    <t>1/11/2024</t>
  </si>
  <si>
    <t>106664043250/E31</t>
  </si>
  <si>
    <t>106679251600/A12</t>
  </si>
  <si>
    <t>MEDU9460226</t>
  </si>
  <si>
    <t>CMAU4991978</t>
  </si>
  <si>
    <t>KGN-24102485</t>
  </si>
  <si>
    <t>KGN-24102486</t>
  </si>
  <si>
    <t>00000108</t>
  </si>
  <si>
    <t>01/11/2024</t>
  </si>
  <si>
    <t>TRỤC MÁY ÉP</t>
  </si>
  <si>
    <t>06/11/2024</t>
  </si>
  <si>
    <t>6 PK/ 1688 KGM/ 0.48 CBM</t>
  </si>
  <si>
    <t>04/11/2024</t>
  </si>
  <si>
    <t>15H 06/11/2024</t>
  </si>
  <si>
    <t>KGN-24110135</t>
  </si>
  <si>
    <t>00000110</t>
  </si>
  <si>
    <t>00000111</t>
  </si>
  <si>
    <t>00000112</t>
  </si>
  <si>
    <t>08/11/2024</t>
  </si>
  <si>
    <t>5 PK/ 5200 KGS/ 9 CBM</t>
  </si>
  <si>
    <t>SGNEAV219800</t>
  </si>
  <si>
    <t>SI: 15H 06/11/2024
5H 11/11/2024</t>
  </si>
  <si>
    <t xml:space="preserve">ICD Phúc Long </t>
  </si>
  <si>
    <t>HANY24100254
(XIN MING ZHOU 108 2425S)</t>
  </si>
  <si>
    <t>HWNBCLI2400035
(AS PAMELA 070W)</t>
  </si>
  <si>
    <t>SL-VA.039.2024</t>
  </si>
  <si>
    <t>KKFU8153386</t>
  </si>
  <si>
    <t>KGN-24110321</t>
  </si>
  <si>
    <t>039EX97048</t>
  </si>
  <si>
    <t>03H 16/11/2024</t>
  </si>
  <si>
    <t>039EX97058</t>
  </si>
  <si>
    <t>13/11/2024</t>
  </si>
  <si>
    <t>KGN-24110371</t>
  </si>
  <si>
    <t>KGN-24110372</t>
  </si>
  <si>
    <t>00000113</t>
  </si>
  <si>
    <t>11/11/2024</t>
  </si>
  <si>
    <t>SGNEX3140501</t>
  </si>
  <si>
    <t>SI: 16H 12/1/2024
12H 13/11/2024</t>
  </si>
  <si>
    <t>SE241109</t>
  </si>
  <si>
    <t>12H 12/11/2024</t>
  </si>
  <si>
    <t>5T + 1T</t>
  </si>
  <si>
    <t>306892388520/E62
306892457930/B11</t>
  </si>
  <si>
    <t>PTNCLP24A0001</t>
  </si>
  <si>
    <t>12/11/2024</t>
  </si>
  <si>
    <t>KGN-24110575</t>
  </si>
  <si>
    <t>NYKU4723943</t>
  </si>
  <si>
    <t>14/11/2024</t>
  </si>
  <si>
    <t>KGN-24110653</t>
  </si>
  <si>
    <t>KGN-24110654</t>
  </si>
  <si>
    <t>WHSU5523320</t>
  </si>
  <si>
    <t>WHSU2521004</t>
  </si>
  <si>
    <t>SL-LD.040.2024</t>
  </si>
  <si>
    <t>SL-LD.041.2024</t>
  </si>
  <si>
    <t>SL-LD.042.2024</t>
  </si>
  <si>
    <t>SL-LD.043.2024</t>
  </si>
  <si>
    <t>306900395230/E62
306900409230/B11</t>
  </si>
  <si>
    <t>306899828340/E62
306899854460/B11</t>
  </si>
  <si>
    <t>KGN-24110973</t>
  </si>
  <si>
    <t>KGN-24110979</t>
  </si>
  <si>
    <t>039EY00608</t>
  </si>
  <si>
    <t>21H 23/11/2024</t>
  </si>
  <si>
    <t>SL-VA.040.2024</t>
  </si>
  <si>
    <t>SL-CU.017/2024</t>
  </si>
  <si>
    <t>18/11/2024</t>
  </si>
  <si>
    <t>16/11/2024</t>
  </si>
  <si>
    <t>22/11/2024</t>
  </si>
  <si>
    <t>00000114</t>
  </si>
  <si>
    <t>00000115</t>
  </si>
  <si>
    <t>00000116</t>
  </si>
  <si>
    <t>00000117</t>
  </si>
  <si>
    <t>00000118</t>
  </si>
  <si>
    <t>19/11/2024</t>
  </si>
  <si>
    <t>CHÚ Ý: SỐ QUẢN LÝ NỘI BỘ DOANH NGHIỆP - #&amp;NKTC#&amp;số tờ khai xuất đối ứng(bỏ số cuối)</t>
  </si>
  <si>
    <t>SGNEBG895800</t>
  </si>
  <si>
    <t>SI: 10H 23/11/2024
10H 24/11/2024</t>
  </si>
  <si>
    <t>00000119</t>
  </si>
  <si>
    <t>20/11/2024</t>
  </si>
  <si>
    <t>SL-LD.044.2024</t>
  </si>
  <si>
    <t>SL-LD.045.2024</t>
  </si>
  <si>
    <t>SL-LD.046.2024</t>
  </si>
  <si>
    <t>122400034017884</t>
  </si>
  <si>
    <t>CCL/YTC/2024/SI2411149</t>
  </si>
  <si>
    <t>CCL/YKJ/2024/SI2411148</t>
  </si>
  <si>
    <t>KGN-24111449</t>
  </si>
  <si>
    <t>PHÍ TK XUẤT TC T11.24</t>
  </si>
  <si>
    <t>OOLU4281135</t>
  </si>
  <si>
    <t>21/11/2024</t>
  </si>
  <si>
    <t>82 CTNS</t>
  </si>
  <si>
    <t>513 CTNS</t>
  </si>
  <si>
    <t>CAMBODIA - YTC</t>
  </si>
  <si>
    <t>23/11/2024</t>
  </si>
  <si>
    <t>16H 23/11/2024</t>
  </si>
  <si>
    <t>KGN-24111478</t>
  </si>
  <si>
    <t>KGN-24111479</t>
  </si>
  <si>
    <t>WHLU0365988</t>
  </si>
  <si>
    <t>SSGN24169089</t>
  </si>
  <si>
    <t>106712467150/A12
106712472420/E31</t>
  </si>
  <si>
    <t>306925176260/E62
306926224640/B11</t>
  </si>
  <si>
    <t>CHI HỘ</t>
  </si>
  <si>
    <t>25/11/2024</t>
  </si>
  <si>
    <t>26/11/2024</t>
  </si>
  <si>
    <t>3700884575</t>
  </si>
  <si>
    <t>00000120</t>
  </si>
  <si>
    <t>SL-DE.0132024</t>
  </si>
  <si>
    <t>SL-VA.041.2024</t>
  </si>
  <si>
    <t>KGN-24111558</t>
  </si>
  <si>
    <t>NYKU3605648</t>
  </si>
  <si>
    <t>17TK</t>
  </si>
  <si>
    <t>KGN-24111572</t>
  </si>
  <si>
    <t>KGN-24102424</t>
  </si>
  <si>
    <t>PTNCLP24B0002</t>
  </si>
  <si>
    <t>YMLU8771986</t>
  </si>
  <si>
    <t>306929927900/B11</t>
  </si>
  <si>
    <t>KGN-24111591</t>
  </si>
  <si>
    <t>TIIU4292332</t>
  </si>
  <si>
    <t>29/11/2024</t>
  </si>
  <si>
    <t>039EY00623</t>
  </si>
  <si>
    <t xml:space="preserve">ZIMUHCM80473345 </t>
  </si>
  <si>
    <t>00000124</t>
  </si>
  <si>
    <t>00000122</t>
  </si>
  <si>
    <t>00000123</t>
  </si>
  <si>
    <t>00000121</t>
  </si>
  <si>
    <t>106752919710/E31
106752994720/A12</t>
  </si>
  <si>
    <t>CRXU4786663</t>
  </si>
  <si>
    <t>8H 26/11/2024</t>
  </si>
  <si>
    <t>ICD SOTRANS</t>
  </si>
  <si>
    <t>12H 03/12/2024</t>
  </si>
  <si>
    <t>KGN-24111808</t>
  </si>
  <si>
    <t>SEGU6518681</t>
  </si>
  <si>
    <t>PTNCLP24B0005</t>
  </si>
  <si>
    <t>TRHU8117348
EMCU1676682</t>
  </si>
  <si>
    <t>KGN-24111839</t>
  </si>
  <si>
    <t>27/11/2024</t>
  </si>
  <si>
    <r>
      <t>THÁNG 12/2024 (</t>
    </r>
    <r>
      <rPr>
        <b/>
        <sz val="10"/>
        <color rgb="FFFF0000"/>
        <rFont val="Times New Roman"/>
        <family val="1"/>
      </rPr>
      <t>SERVICE DAY TỪ NGÀY 1/12</t>
    </r>
    <r>
      <rPr>
        <b/>
        <sz val="10"/>
        <rFont val="Times New Roman"/>
        <family val="1"/>
      </rPr>
      <t>)</t>
    </r>
  </si>
  <si>
    <r>
      <t>THÁNG 12/2024</t>
    </r>
    <r>
      <rPr>
        <b/>
        <sz val="10"/>
        <color rgb="FFFF0000"/>
        <rFont val="Times New Roman"/>
        <family val="1"/>
      </rPr>
      <t xml:space="preserve"> (SERVICE DAY TỪ NGÀY 1/12)</t>
    </r>
  </si>
  <si>
    <t>EBKG10643799</t>
  </si>
  <si>
    <t>2TR PHÍ PHÁT SINH</t>
  </si>
  <si>
    <t>039EY06121</t>
  </si>
  <si>
    <t>ICD Phúc Long</t>
  </si>
  <si>
    <t>SI: 11H 27/11/2024
3H 30/11/2024</t>
  </si>
  <si>
    <t>SI: 10H 28/11/2024
1H 01/12/2024</t>
  </si>
  <si>
    <t>ZCSU7905813</t>
  </si>
  <si>
    <t>YMJAS490316955</t>
  </si>
  <si>
    <t>28/11/2024</t>
  </si>
  <si>
    <t>GESU6382013</t>
  </si>
  <si>
    <t>WHSU5043070</t>
  </si>
  <si>
    <t>KGN-24112051</t>
  </si>
  <si>
    <t>KGN-24112052</t>
  </si>
  <si>
    <t>KGN-24112053</t>
  </si>
  <si>
    <t>SI: 8H 26/11/2024 
19H 26/11/2024</t>
  </si>
  <si>
    <t>SI: 10H 27/11/2024 
13H 28/11/2024</t>
  </si>
  <si>
    <t>KGN-24112055</t>
  </si>
  <si>
    <t>SL-VA.042.2024</t>
  </si>
  <si>
    <t>00000125</t>
  </si>
  <si>
    <t>BEAU2474705</t>
  </si>
  <si>
    <t>MDGHCM24B152</t>
  </si>
  <si>
    <t>30 BAGS/ 914 KGM/ 4.29 CBM (156m/bao)</t>
  </si>
  <si>
    <t>KGN-24112221</t>
  </si>
  <si>
    <t>THÁNG 12/2024</t>
  </si>
  <si>
    <t>KGN-24112261</t>
  </si>
  <si>
    <t>KGN-24112262</t>
  </si>
  <si>
    <t>WHSU2268262</t>
  </si>
  <si>
    <t>306946227140/E62
306946249060/B11</t>
  </si>
  <si>
    <t>106755868441/E31
106755931220/A12</t>
  </si>
  <si>
    <t>KGN-24112359</t>
  </si>
  <si>
    <t>039EY05239</t>
  </si>
  <si>
    <t>BHTPRHKM0061</t>
  </si>
  <si>
    <t>SL-CU.018/2024</t>
  </si>
  <si>
    <t>SE241202</t>
  </si>
  <si>
    <t>30/11/2024</t>
  </si>
  <si>
    <t>00000126</t>
  </si>
  <si>
    <t>306952626650/E62
306952633320/B11</t>
  </si>
  <si>
    <t>12H 04/12/2024</t>
  </si>
  <si>
    <t>COAU7254900670
(MIYUNHE 443S)</t>
  </si>
  <si>
    <t>03/12/2024</t>
  </si>
  <si>
    <t>ETA/ETD
CUT OFF</t>
  </si>
  <si>
    <t>HẠT NHỰA PHENOLIC</t>
  </si>
  <si>
    <t>02/12/2024</t>
  </si>
  <si>
    <t>KGN-24120095</t>
  </si>
  <si>
    <t>TEMU2370437</t>
  </si>
  <si>
    <t>KGN-24120106</t>
  </si>
  <si>
    <t>SL-VA.043.2024</t>
  </si>
  <si>
    <t>EGHU9627606</t>
  </si>
  <si>
    <t>KGN-24120175</t>
  </si>
  <si>
    <t>04/12/2024</t>
  </si>
  <si>
    <t>00000127</t>
  </si>
  <si>
    <t>06/12/2024
07/12/2024</t>
  </si>
  <si>
    <t>WHSU2914716</t>
  </si>
  <si>
    <t>306961908650/E62
306961894910/B11</t>
  </si>
  <si>
    <t>KGN-24120296</t>
  </si>
  <si>
    <t>KGN-24120298</t>
  </si>
  <si>
    <t>PKECLP24B0123</t>
  </si>
  <si>
    <t>PTNCLP24B0006</t>
  </si>
  <si>
    <t>08/12/2024</t>
  </si>
  <si>
    <t>DHCM411053613</t>
  </si>
  <si>
    <t>1 PK/570 KGM/2.610 CBM</t>
  </si>
  <si>
    <t>06/12/2024</t>
  </si>
  <si>
    <t>KGN-24120302</t>
  </si>
  <si>
    <t>SGNM15559100</t>
  </si>
  <si>
    <t>XE 5T-PHÁT SINH 500K</t>
  </si>
  <si>
    <t>6H 09/12/2024</t>
  </si>
  <si>
    <t>12/12/2024</t>
  </si>
  <si>
    <t>039EY05241</t>
  </si>
  <si>
    <t>09/12/2024</t>
  </si>
  <si>
    <t>EBKG10842495</t>
  </si>
  <si>
    <t>EBKG10900747</t>
  </si>
  <si>
    <t>TGBU2073233
FCIU5044383
OOLU0636540
DFSU1545689
UETU2929347
CSNU1604849
OOLU2986527
UETU2932274
CSNU1368321
CSLU1930787</t>
  </si>
  <si>
    <t>47PK/1035 KGM/2.301 CBM</t>
  </si>
  <si>
    <t>BOSHCM24110575</t>
  </si>
  <si>
    <t>XE 2T</t>
  </si>
  <si>
    <t>07/12/2024</t>
  </si>
  <si>
    <t>HMMU6423870
CXDU2276236</t>
  </si>
  <si>
    <t>KGN-24120377</t>
  </si>
  <si>
    <t>KGN-24120381</t>
  </si>
  <si>
    <t>SL-LD.047.2024</t>
  </si>
  <si>
    <t>SL-LD.048.2024</t>
  </si>
  <si>
    <t>SL-LD.049.2024</t>
  </si>
  <si>
    <t>106785145830/E31</t>
  </si>
  <si>
    <t>106785187610/A12
106785188860/E31</t>
  </si>
  <si>
    <t>11/12/2024</t>
  </si>
  <si>
    <t>KGN-24120433</t>
  </si>
  <si>
    <t>KGN-24120435</t>
  </si>
  <si>
    <t xml:space="preserve">SI,VGM: 10H 09/12/2024 
11H 10/12/2024 </t>
  </si>
  <si>
    <t>10/12/2024</t>
  </si>
  <si>
    <t>SGNEBA821500</t>
  </si>
  <si>
    <t>039EY10736</t>
  </si>
  <si>
    <t>SGN2493216</t>
  </si>
  <si>
    <t>ZIMUHCM80479535</t>
  </si>
  <si>
    <t>ICD PHUOC LONG 3</t>
  </si>
  <si>
    <t>SI,VGM: 11H 12/12/2024 
 4H 15/12/2024</t>
  </si>
  <si>
    <t>05/12/2024</t>
  </si>
  <si>
    <t>MSMU5588531</t>
  </si>
  <si>
    <t>TCLU2085160</t>
  </si>
  <si>
    <t>SI: 13H 29/11/2024
1H 29/11/2024</t>
  </si>
  <si>
    <t xml:space="preserve">SI,VGM: 10H 02/12/2024
23H 03/12/2024 </t>
  </si>
  <si>
    <t xml:space="preserve">SI,VGM: 09H 04/12/2024 
15H 05/12/2024 </t>
  </si>
  <si>
    <t xml:space="preserve">SI,VGM: 8H 06/12/2024 
13H 07/12/2024 </t>
  </si>
  <si>
    <t>509 CTNS</t>
  </si>
  <si>
    <t>CAMBODIA</t>
  </si>
  <si>
    <t>KGN-24120506</t>
  </si>
  <si>
    <t>KGN-24120507</t>
  </si>
  <si>
    <t>TCLU3190290</t>
  </si>
  <si>
    <t>WHLU0661803</t>
  </si>
  <si>
    <t>KGN-24120628</t>
  </si>
  <si>
    <t>KGN-24120629</t>
  </si>
  <si>
    <t>CCL/YKJ/2024/SI2412099</t>
  </si>
  <si>
    <t>00000128</t>
  </si>
  <si>
    <t>00000129</t>
  </si>
  <si>
    <t>00000130</t>
  </si>
  <si>
    <t>12h 16/12/2024</t>
  </si>
  <si>
    <t>HNSU5027461</t>
  </si>
  <si>
    <t>CMAU7935010</t>
  </si>
  <si>
    <t>306979902740/E62
306979878020/B11</t>
  </si>
  <si>
    <t>KGN-24120792</t>
  </si>
  <si>
    <t>KGN-24120793</t>
  </si>
  <si>
    <t>WHSU6798574</t>
  </si>
  <si>
    <t>CONT</t>
  </si>
  <si>
    <t>MSCU6971057</t>
  </si>
  <si>
    <t>SL-CU.019/2024</t>
  </si>
  <si>
    <t>KGN-24120862</t>
  </si>
  <si>
    <t>NOTE: 16h là k cho xuống hàng, 18h là k cho nhập hàng nữa</t>
  </si>
  <si>
    <t>00000131</t>
  </si>
  <si>
    <t>SEGU6886127</t>
  </si>
  <si>
    <t>TCKU4363155</t>
  </si>
  <si>
    <t>KGN-24120880</t>
  </si>
  <si>
    <t>19/12/2024</t>
  </si>
  <si>
    <t>039EY11091</t>
  </si>
  <si>
    <t>16/12/2024</t>
  </si>
  <si>
    <t>18/12/2024</t>
  </si>
  <si>
    <t>17/12/2024</t>
  </si>
  <si>
    <t>SGN2470762</t>
  </si>
  <si>
    <t>339IN2488818</t>
  </si>
  <si>
    <t>039EY12329</t>
  </si>
  <si>
    <t>00000132</t>
  </si>
  <si>
    <t>HWCLI2402440
(SM JAKARTA 2416)</t>
  </si>
  <si>
    <t>TCNU3507057</t>
  </si>
  <si>
    <t>KGN-24121093</t>
  </si>
  <si>
    <t>KGN-24121108</t>
  </si>
  <si>
    <t>SL-LD.50.2024</t>
  </si>
  <si>
    <t>SL-LD.51.2024</t>
  </si>
  <si>
    <t>SL-LD.52.2024</t>
  </si>
  <si>
    <t>ZIMUHCM80484056</t>
  </si>
  <si>
    <t xml:space="preserve">SI,VGM: 11H 16/12/2024 
19H 17/12/2024 </t>
  </si>
  <si>
    <t xml:space="preserve">SI,VGM: 10H 12/12/2024 
8H 13/12/2024 </t>
  </si>
  <si>
    <t>SI: 9H 12/12/2024 
1H 15/12/2024</t>
  </si>
  <si>
    <t xml:space="preserve">SI: 11H 11/12/2024
3H 13/12/2024 </t>
  </si>
  <si>
    <t>TRHU5068804
TGBU7956190</t>
  </si>
  <si>
    <t>KGN-24121286</t>
  </si>
  <si>
    <t>1 PK/ 75 KGM/ 0.35 CBM</t>
  </si>
  <si>
    <t>00000133</t>
  </si>
  <si>
    <t>00000134</t>
  </si>
  <si>
    <t>00000135</t>
  </si>
  <si>
    <t>SL-LD.53.2024</t>
  </si>
  <si>
    <t>SL-LD.54.2024</t>
  </si>
  <si>
    <t>SL-LD.55.2024</t>
  </si>
  <si>
    <t>ZCSU6119281</t>
  </si>
  <si>
    <t xml:space="preserve">SI,VGM: 8H 18/12/2024
23H 19/12/2024 </t>
  </si>
  <si>
    <t xml:space="preserve">SI,VGM:8H 19/12/2024
14H 20/12/2024 </t>
  </si>
  <si>
    <t>WHSU2238268</t>
  </si>
  <si>
    <t>306997581610/B11
306997614620/E62</t>
  </si>
  <si>
    <t>MỚI: 18H 21/12/2024</t>
  </si>
  <si>
    <t>SILICONE SEALANT</t>
  </si>
  <si>
    <t>WHSU5168272</t>
  </si>
  <si>
    <t>KGN-24121457</t>
  </si>
  <si>
    <t>KGN-24121458</t>
  </si>
  <si>
    <t>KGN-24121461</t>
  </si>
  <si>
    <t>21/12/2024</t>
  </si>
  <si>
    <t>20/12/2024</t>
  </si>
  <si>
    <t xml:space="preserve">CL </t>
  </si>
  <si>
    <t>SL-DE.0142024</t>
  </si>
  <si>
    <t>039EY11105</t>
  </si>
  <si>
    <r>
      <t>THÁNG 01/2025</t>
    </r>
    <r>
      <rPr>
        <b/>
        <sz val="10"/>
        <color rgb="FFFF0000"/>
        <rFont val="Times New Roman"/>
        <family val="1"/>
      </rPr>
      <t xml:space="preserve"> (SERVICE DAY TỪ NGÀY /01/25)</t>
    </r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</si>
  <si>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/01/25)</t>
    </r>
  </si>
  <si>
    <t>PHÍ TK XUẤT TC T12.24</t>
  </si>
  <si>
    <r>
      <t xml:space="preserve">THÁNG 01/2025 </t>
    </r>
    <r>
      <rPr>
        <b/>
        <sz val="10"/>
        <color rgb="FFFF0000"/>
        <rFont val="Times New Roman"/>
        <family val="1"/>
      </rPr>
      <t>(SERVICE DAY TỪ NGÀY /1/25)</t>
    </r>
  </si>
  <si>
    <r>
      <t xml:space="preserve">THÁNG 12/2024 </t>
    </r>
    <r>
      <rPr>
        <b/>
        <sz val="10"/>
        <color rgb="FFFF0000"/>
        <rFont val="Times New Roman"/>
        <family val="1"/>
      </rPr>
      <t>(SERVICE DAY TỪ NGÀY 01/12/24)</t>
    </r>
  </si>
  <si>
    <t>KGN-24121578</t>
  </si>
  <si>
    <t>MRSU4297070</t>
  </si>
  <si>
    <t>KGN-24121605</t>
  </si>
  <si>
    <t>00000136</t>
  </si>
  <si>
    <t>00000137</t>
  </si>
  <si>
    <t>00000138</t>
  </si>
  <si>
    <t>SL-VA.044.2024</t>
  </si>
  <si>
    <t>SL-VA.045.2024</t>
  </si>
  <si>
    <t>23/12/2024</t>
  </si>
  <si>
    <t>00000139</t>
  </si>
  <si>
    <t>24/12/2024</t>
  </si>
  <si>
    <t>ZIMUHCM80485360</t>
  </si>
  <si>
    <r>
      <t>THÁNG 1/2025 (</t>
    </r>
    <r>
      <rPr>
        <b/>
        <sz val="10"/>
        <color rgb="FFFF0000"/>
        <rFont val="Times New Roman"/>
        <family val="1"/>
      </rPr>
      <t>SERVICE DAY TỪ NGÀY 1/1</t>
    </r>
    <r>
      <rPr>
        <b/>
        <sz val="10"/>
        <rFont val="Times New Roman"/>
        <family val="1"/>
      </rPr>
      <t>)</t>
    </r>
  </si>
  <si>
    <t>30/12/2024</t>
  </si>
  <si>
    <t>25/12/2024</t>
  </si>
  <si>
    <t>26/12/2024</t>
  </si>
  <si>
    <t>EBKG11156028</t>
  </si>
  <si>
    <t>SGNECW784400</t>
  </si>
  <si>
    <t>ZCSU6969860</t>
  </si>
  <si>
    <t>KGN-24121866</t>
  </si>
  <si>
    <t>MSDU4365542</t>
  </si>
  <si>
    <t>00000140</t>
  </si>
  <si>
    <t>UETU6389397</t>
  </si>
  <si>
    <t>KGN-24121989</t>
  </si>
  <si>
    <t>KGN-24122025</t>
  </si>
  <si>
    <t>SI,VGM: 10H 26/12/2024 
 3H 28/12/2024</t>
  </si>
  <si>
    <t>SI,VGM: 14H 27/12/2024 
 10H 29/12/2024 
CY: 04:30 29/12/2024</t>
  </si>
  <si>
    <t xml:space="preserve">SI,VGM: 11H 19/12/2024
1H 22/12/2024 
</t>
  </si>
  <si>
    <t>SI/VGM: 14H30 20/12/2024
11H 21/12/2024</t>
  </si>
  <si>
    <t xml:space="preserve">SI,VGM: 8H 25/12/2024 
 5H 26/12/2024 </t>
  </si>
  <si>
    <t xml:space="preserve">SI,VGM:  11H 25/12/2024
3H 27/12/2024 </t>
  </si>
  <si>
    <t>TCLU2450751</t>
  </si>
  <si>
    <t>KGN-24122050</t>
  </si>
  <si>
    <t>THÁNG 1/2025</t>
  </si>
  <si>
    <t>TL TSCD</t>
  </si>
  <si>
    <t>SL-VA.046.2024</t>
  </si>
  <si>
    <t>106831687650/A42</t>
  </si>
  <si>
    <t>00000141</t>
  </si>
  <si>
    <t>27/12/2024</t>
  </si>
  <si>
    <t>YMJAN490392153</t>
  </si>
  <si>
    <t>ZIMUHCM80489357</t>
  </si>
  <si>
    <t>339IN2499460</t>
  </si>
  <si>
    <t>AHA0312115</t>
  </si>
  <si>
    <t xml:space="preserve">ZIMUHCM80490332 </t>
  </si>
  <si>
    <t>31/12/2024</t>
  </si>
  <si>
    <t>ZIMUHCM80490323</t>
  </si>
  <si>
    <t xml:space="preserve">SI,VGM: 10H 31/12/2024 
6H 02/01/2025 </t>
  </si>
  <si>
    <t>307026825950/E62
307026810810/B11</t>
  </si>
  <si>
    <t>TCHCAT24120189</t>
  </si>
  <si>
    <t>5 PP/ 780 KGM/ 12.1 CBM</t>
  </si>
  <si>
    <t>KGN-24122443</t>
  </si>
  <si>
    <t>FYCU7125104</t>
  </si>
  <si>
    <t>ZCSU6822479
TCNU5550290</t>
  </si>
  <si>
    <t>TEMU5563276</t>
  </si>
  <si>
    <t>5T</t>
  </si>
  <si>
    <t>MSNU7461133
MSDU8512390</t>
  </si>
  <si>
    <t>TCLU7343490</t>
  </si>
  <si>
    <t>TCNU4952930</t>
  </si>
  <si>
    <t>SI,VGM: 9H 31/12/2024 
23H 02/01/2025</t>
  </si>
  <si>
    <t xml:space="preserve">SI,VGM: 14H 30/12/2024 
6H 01/01/2025 </t>
  </si>
  <si>
    <t xml:space="preserve">SI,VGM: 16H 30/12/2024
6H 02/01/2024 </t>
  </si>
  <si>
    <t>039EY19194</t>
  </si>
  <si>
    <t>039EY17647</t>
  </si>
  <si>
    <t>SL-VA.01.2025</t>
  </si>
  <si>
    <t>SI,VGM: 15H 31/12/2024 
23H 31/12/2024 
CY: 16H 02/01/2025</t>
  </si>
  <si>
    <t>03/01/2025</t>
  </si>
  <si>
    <t>SGN2541883</t>
  </si>
  <si>
    <t>02/01/2025</t>
  </si>
  <si>
    <t>SGNECA710300</t>
  </si>
  <si>
    <t>GHOC24121076</t>
  </si>
  <si>
    <t>5820.7</t>
  </si>
  <si>
    <t>106851294100/A12
106850945350/H11</t>
  </si>
  <si>
    <t>TRHU5479235</t>
  </si>
  <si>
    <t>KGN-25010121</t>
  </si>
  <si>
    <t>KGN-25010122</t>
  </si>
  <si>
    <t>KGN-25010124</t>
  </si>
  <si>
    <t>KGN-25010127</t>
  </si>
  <si>
    <t>KGN-25010128</t>
  </si>
  <si>
    <t>ZCSU6757537</t>
  </si>
  <si>
    <t>KGN-25010130</t>
  </si>
  <si>
    <t>KGN-25010131</t>
  </si>
  <si>
    <t>KGN-25010135</t>
  </si>
  <si>
    <t>KGN-25010136</t>
  </si>
  <si>
    <t>KGN-25010137</t>
  </si>
  <si>
    <t>00000001</t>
  </si>
  <si>
    <t>KGN-25010149</t>
  </si>
  <si>
    <t>CMAU7918625</t>
  </si>
  <si>
    <t xml:space="preserve">SI,VGM: 17H 02/01/2025 
22H 05/01/2025 </t>
  </si>
  <si>
    <t xml:space="preserve">SI,VGM: 10H 03/01/2025 
1H 04/01/2025 </t>
  </si>
  <si>
    <t>06/01/2025</t>
  </si>
  <si>
    <t>WHSU6958292</t>
  </si>
  <si>
    <t>DEM/DET</t>
  </si>
  <si>
    <t>307046137440/E62
307046080960/B11</t>
  </si>
  <si>
    <t>SL-LD.01.2025</t>
  </si>
  <si>
    <t>SL-LD.02.2025</t>
  </si>
  <si>
    <t>SL-LD.03.2025</t>
  </si>
  <si>
    <t>SL-LD.04.2025</t>
  </si>
  <si>
    <t>THEO DÕI HÀNG HÓA TẠM ỨNG, THANH TOÁN, ĐIỀU XE  - MPF</t>
  </si>
  <si>
    <t>THEO DÕI HÀNG HÓA TẠM ỨNG, THANH TOÁN, ĐIỀU XE  - LIÊN Á</t>
  </si>
  <si>
    <t>SỐ CONT/SEAL</t>
  </si>
  <si>
    <t>ZIMUHCM80493786</t>
  </si>
  <si>
    <t>MST: 3703185737</t>
  </si>
  <si>
    <t>EGLV147401581423</t>
  </si>
  <si>
    <t>08/01/2025</t>
  </si>
  <si>
    <t>THEO DÕI HÀNG HÓA TẠM ỨNG, THANH TOÁN, ĐIỀU XE  - NOVA</t>
  </si>
  <si>
    <t>07/01/2025</t>
  </si>
  <si>
    <t>MST: 3701926362</t>
  </si>
  <si>
    <t>JZPU4102333</t>
  </si>
  <si>
    <t>TRHU3614526</t>
  </si>
  <si>
    <t>ZIMU3079667</t>
  </si>
  <si>
    <t>SI,VGM: 00H 09/01/2025 
08H 09/01/2025</t>
  </si>
  <si>
    <t>CUT OFF
ETA/ETD</t>
  </si>
  <si>
    <t>KGN-25010273</t>
  </si>
  <si>
    <t>ETA: 02/01/2025</t>
  </si>
  <si>
    <t>EGHU3570870
EGSU3361385
EGSU3605368</t>
  </si>
  <si>
    <t>SITSGOSW405262</t>
  </si>
  <si>
    <t>ZIMUHCM80493787</t>
  </si>
  <si>
    <t>ETA: 05/01/2025</t>
  </si>
  <si>
    <t xml:space="preserve">SP ITC 
</t>
  </si>
  <si>
    <t>THU PHÍ BOT</t>
  </si>
  <si>
    <t>10/01/2025
FREE 5 DEM</t>
  </si>
  <si>
    <t>ETA: 6H 07/01/2025</t>
  </si>
  <si>
    <t>09/01/2025</t>
  </si>
  <si>
    <r>
      <rPr>
        <b/>
        <sz val="10"/>
        <color rgb="FF000000"/>
        <rFont val="Times New Roman"/>
        <family val="1"/>
      </rPr>
      <t>MEDUYD015341</t>
    </r>
    <r>
      <rPr>
        <sz val="10"/>
        <color rgb="FF000000"/>
        <rFont val="Times New Roman"/>
        <family val="1"/>
      </rPr>
      <t xml:space="preserve">
(MSC HAILEY ANN III / HZ452A)</t>
    </r>
  </si>
  <si>
    <t>WHSU5729706</t>
  </si>
  <si>
    <t>10/01/2024</t>
  </si>
  <si>
    <t>JJCXMSGAYD40530</t>
  </si>
  <si>
    <t>ETA: 17H 07/01/2025</t>
  </si>
  <si>
    <t>CẢNG HẠ</t>
  </si>
  <si>
    <t>CẢNG ĐẾN</t>
  </si>
  <si>
    <t>JOB</t>
  </si>
  <si>
    <t>NHÀ NK</t>
  </si>
  <si>
    <t>JINJIANG XILIN</t>
  </si>
  <si>
    <t>ETA/ETD</t>
  </si>
  <si>
    <t>339IN25000058</t>
  </si>
  <si>
    <t>339IN25000059</t>
  </si>
  <si>
    <t>SGN2539969</t>
  </si>
  <si>
    <t xml:space="preserve">SI,VGM: 11H 09/01/2025 
17H 09/01/2025 </t>
  </si>
  <si>
    <t>NGÀY ĐÓNG HÀNG</t>
  </si>
  <si>
    <t>BOOKING</t>
  </si>
  <si>
    <t>Vận đơn</t>
  </si>
  <si>
    <t>SI,VGM: 00H 09/01/2025
'22H 08/01/2025</t>
  </si>
  <si>
    <t>CUT OFF</t>
  </si>
  <si>
    <t>307049605610/B11
307049780610/E62</t>
  </si>
  <si>
    <t>PTNCLP24C0006</t>
  </si>
  <si>
    <t>EISU8581940/EMCLJL6243</t>
  </si>
  <si>
    <t>23,418</t>
  </si>
  <si>
    <t>Vessel: YM CONSTANCY 045A
ETA: 15H 09/01/2025</t>
  </si>
  <si>
    <t>Cut off: 22H 03/01/2025</t>
  </si>
  <si>
    <t>Cut off: 12H 10/01/2025</t>
  </si>
  <si>
    <t>FTAU1564221</t>
  </si>
  <si>
    <t xml:space="preserve">SI,VGM: 11H 07/01/2025 
16H 08/01/2025 </t>
  </si>
  <si>
    <t>10/01/2025</t>
  </si>
  <si>
    <t>SITC</t>
  </si>
  <si>
    <t>FUJIAN JINGFENG</t>
  </si>
  <si>
    <t>20/01/2025
14 DEM, 7 DET</t>
  </si>
  <si>
    <t>TLLU2039142/SJJA693866</t>
  </si>
  <si>
    <t>TCKU2872549</t>
  </si>
  <si>
    <t>SI,VGM: 9H 10/01/2025 
3H 10/01/2025</t>
  </si>
  <si>
    <t>13/01/2025</t>
  </si>
  <si>
    <t>14/01/2025</t>
  </si>
  <si>
    <t>SEKU6228671</t>
  </si>
  <si>
    <t>CLHU4761062</t>
  </si>
  <si>
    <t>WAN HAI</t>
  </si>
  <si>
    <t>SITSGOSW409270</t>
  </si>
  <si>
    <t>SITSGNGW405671</t>
  </si>
  <si>
    <t xml:space="preserve">SI,VGM: 11H 20/01/2025
13H 21/01/2025 </t>
  </si>
  <si>
    <t>SITU2565298</t>
  </si>
  <si>
    <t>SL-VA.02/2025</t>
  </si>
  <si>
    <t>00000002</t>
  </si>
  <si>
    <t>00000003</t>
  </si>
  <si>
    <t>00000004</t>
  </si>
  <si>
    <t>00000005</t>
  </si>
  <si>
    <t>SL-LD.05.2025</t>
  </si>
  <si>
    <t>SL-LD.06.2025</t>
  </si>
  <si>
    <t>GUANGDONG BAOYUN</t>
  </si>
  <si>
    <t>CAM KẾT BSUNG HD VAT ĐẾN HẾT T4/25</t>
  </si>
  <si>
    <t>039FX00951</t>
  </si>
  <si>
    <t>SGN2556894</t>
  </si>
  <si>
    <t>SGN2548753</t>
  </si>
  <si>
    <t>07:59 18/01/2025</t>
  </si>
  <si>
    <t>NHẬP TẠI CHỖ</t>
  </si>
  <si>
    <t>PXK: 00000006</t>
  </si>
  <si>
    <t>KGN-25010522</t>
  </si>
  <si>
    <t>KGN-25010523</t>
  </si>
  <si>
    <t>KGN-25010524</t>
  </si>
  <si>
    <t>KGN-25010525</t>
  </si>
  <si>
    <t>KGN-25010526</t>
  </si>
  <si>
    <t>KGN-25010527</t>
  </si>
  <si>
    <t>ICD PHUC LONG</t>
  </si>
  <si>
    <t>00000006</t>
  </si>
  <si>
    <t>00000007</t>
  </si>
  <si>
    <t>11/01/2025</t>
  </si>
  <si>
    <t>SI,VGM: 11H 15/01/2025 
07H 17/01/2025 
CY: 04:59 17/01/2025</t>
  </si>
  <si>
    <t>PKECLP24C0152</t>
  </si>
  <si>
    <t>YMMU4177162/YMAS894077</t>
  </si>
  <si>
    <t>PTNCLP24C0010</t>
  </si>
  <si>
    <t>BMOU3152014/YMAS222894</t>
  </si>
  <si>
    <t>15/01/2025</t>
  </si>
  <si>
    <t>SI: 8H30 16/01/25
CY: 09:00 18/01/2025</t>
  </si>
  <si>
    <t>ZIMUHCM80488154</t>
  </si>
  <si>
    <t>106876838830/E31</t>
  </si>
  <si>
    <t>UACU3932280</t>
  </si>
  <si>
    <t>CRSU1076239</t>
  </si>
  <si>
    <t>YMJAW490472986</t>
  </si>
  <si>
    <t>ZIMUHCM80489358</t>
  </si>
  <si>
    <t xml:space="preserve">SI,VGM: 8h 15/01/2025 
6h 16/01/2024 </t>
  </si>
  <si>
    <t>VGM,SI: 1H 13/01/2025
CY: 13:00 15/01/2025</t>
  </si>
  <si>
    <r>
      <t xml:space="preserve">23H 14/1/2025
</t>
    </r>
    <r>
      <rPr>
        <sz val="10"/>
        <color rgb="FFFF0000"/>
        <rFont val="Times New Roman"/>
        <family val="1"/>
      </rPr>
      <t>HẠ TRƯỚC 23H59 14/1</t>
    </r>
    <r>
      <rPr>
        <sz val="10"/>
        <rFont val="Times New Roman"/>
        <family val="1"/>
      </rPr>
      <t xml:space="preserve">
CY: 20:00 16/01/2025</t>
    </r>
  </si>
  <si>
    <t>16/01/2025</t>
  </si>
  <si>
    <t>COAU7255856780
(BAL PEACE 020S)</t>
  </si>
  <si>
    <t>OOCU0344270
FCIU5203314
UETU2479764
OOLU0216147
TEMU3261148
OOLU1763215
TIIU2459478
CSNU1470550
OOCU0590295
CSLU1842639
OOLU0535798
CBHU4409431</t>
  </si>
  <si>
    <t>HWNBCLI2400056</t>
  </si>
  <si>
    <t>106871272102/A12
106871329350/E31</t>
  </si>
  <si>
    <t>17/01/2025</t>
  </si>
  <si>
    <t>335 CTNS</t>
  </si>
  <si>
    <t>00000008</t>
  </si>
  <si>
    <t>SI: 16H 16/01/2025
22h 19/01/2025</t>
  </si>
  <si>
    <t>SGNF00574800</t>
  </si>
  <si>
    <t>SGNF00575900</t>
  </si>
  <si>
    <t>SGN2563279</t>
  </si>
  <si>
    <t>SL-LD.07.2025</t>
  </si>
  <si>
    <t>SL-LD.08.2025</t>
  </si>
  <si>
    <t>BEAU2717338</t>
  </si>
  <si>
    <t>TCNU2306295
TRHU6108542</t>
  </si>
  <si>
    <t>18/01/2025</t>
  </si>
  <si>
    <t>KGN-25010777</t>
  </si>
  <si>
    <t>CSNU1497632</t>
  </si>
  <si>
    <t>KHỐI LƯỢNG</t>
  </si>
  <si>
    <t xml:space="preserve">18H 20/01/2025 </t>
  </si>
  <si>
    <t>19/01/2025</t>
  </si>
  <si>
    <t>20/01/2025</t>
  </si>
  <si>
    <t>Vessel: SPIL NIRMALA 085A
DEM 26/01/25
ETA: 10:30 13/01/2025</t>
  </si>
  <si>
    <t>Vessel: SPIL NIRMALA 085A
ETA: 10:30 13/01/2025
DEM 26/01/25</t>
  </si>
  <si>
    <t>SGN4B2751503</t>
  </si>
  <si>
    <t>CY: 22:00 22/01/2025</t>
  </si>
  <si>
    <t>GESU1050361</t>
  </si>
  <si>
    <t>HASLS21241202614</t>
  </si>
  <si>
    <t>HEUNG A LINE</t>
  </si>
  <si>
    <t>BMOU3185131/YMAS220077</t>
  </si>
  <si>
    <t>PKECLP2510006</t>
  </si>
  <si>
    <t>KGN-25011029</t>
  </si>
  <si>
    <t>CMAU7642265</t>
  </si>
  <si>
    <t>307078087760/E62</t>
  </si>
  <si>
    <t>16/1/2025</t>
  </si>
  <si>
    <t>307072574600/B11</t>
  </si>
  <si>
    <t>21/01/2025</t>
  </si>
  <si>
    <t>12H 22/01/2025</t>
  </si>
  <si>
    <t>307079339840/B11
307079330630/E62</t>
  </si>
  <si>
    <t>22H 25/01/2025</t>
  </si>
  <si>
    <t>TEMU8305320
ZCSU6612554</t>
  </si>
  <si>
    <t>TWCU2132040</t>
  </si>
  <si>
    <t>KGN-25011169</t>
  </si>
  <si>
    <t>KGN-25011170</t>
  </si>
  <si>
    <t>KGN-25011171</t>
  </si>
  <si>
    <t>KGN-25011172</t>
  </si>
  <si>
    <t>KGN-25011174</t>
  </si>
  <si>
    <t>KGN-25011175</t>
  </si>
  <si>
    <t>KGN-25011176</t>
  </si>
  <si>
    <t>KGN-25011178</t>
  </si>
  <si>
    <t>106888411230/E31</t>
  </si>
  <si>
    <t>KGN-25011179</t>
  </si>
  <si>
    <t>DEM</t>
  </si>
  <si>
    <t>20/1/2025</t>
  </si>
  <si>
    <t>STT CONT</t>
  </si>
  <si>
    <t xml:space="preserve">TEMU4387300 </t>
  </si>
  <si>
    <t>TDTU7866547</t>
  </si>
  <si>
    <t xml:space="preserve">CAIU6457634 </t>
  </si>
  <si>
    <t>R6429552</t>
  </si>
  <si>
    <t>SỐ SEAL</t>
  </si>
  <si>
    <t>SỐ CONT</t>
  </si>
  <si>
    <t>R6429551</t>
  </si>
  <si>
    <t>WHAB650217</t>
  </si>
  <si>
    <t>WHAB650211</t>
  </si>
  <si>
    <t>CMAU0522524</t>
  </si>
  <si>
    <t>TRHU3049913</t>
  </si>
  <si>
    <t>WHSU2681764</t>
  </si>
  <si>
    <t>WHSU2601732</t>
  </si>
  <si>
    <t>WHAB650132</t>
  </si>
  <si>
    <t>WHSU2656951</t>
  </si>
  <si>
    <t>SEGU3023550</t>
  </si>
  <si>
    <t>R1797041</t>
  </si>
  <si>
    <t>R1796997</t>
  </si>
  <si>
    <t>SEGU1639398</t>
  </si>
  <si>
    <t>R1797095</t>
  </si>
  <si>
    <t>CMAU3276506</t>
  </si>
  <si>
    <t>R1797094</t>
  </si>
  <si>
    <t>TEMU2858186</t>
  </si>
  <si>
    <t>YMAR983925</t>
  </si>
  <si>
    <t>SEGU5358399</t>
  </si>
  <si>
    <t>FCIU5558398</t>
  </si>
  <si>
    <t>VN53166AJ</t>
  </si>
  <si>
    <t>VN30052AJ</t>
  </si>
  <si>
    <t>VN30058AJ</t>
  </si>
  <si>
    <t>VN53214AJ</t>
  </si>
  <si>
    <t>VN53230AJ</t>
  </si>
  <si>
    <t>VN55726AJ</t>
  </si>
  <si>
    <t>TRHU2747463</t>
  </si>
  <si>
    <t>CAIU3695691</t>
  </si>
  <si>
    <t>GAOU6634826</t>
  </si>
  <si>
    <t>SM698506</t>
  </si>
  <si>
    <t>SMCU2015361</t>
  </si>
  <si>
    <t>307083069550
307083079830</t>
  </si>
  <si>
    <t>307071271420/B11</t>
  </si>
  <si>
    <t>307057206060/B11</t>
  </si>
  <si>
    <t>GHI CHÚ: 100% FCL HUN TRÙNG - LCL HỎI LẠI + LÀM PKL HẠ/ VGM 
HÀNG ĐI MỸ HẠ TRƯỚC NGÀY 14 VÀ 31 HẰNG THÁNG</t>
  </si>
  <si>
    <t>039FX06155</t>
  </si>
  <si>
    <t>KGN-25011231</t>
  </si>
  <si>
    <t>BSUNG CO FORM B</t>
  </si>
  <si>
    <t>306881757731
306881769631
306881783852</t>
  </si>
  <si>
    <t>EBKG10676895</t>
  </si>
  <si>
    <t>KP-20250106-1</t>
  </si>
  <si>
    <t>KP-20250106-2</t>
  </si>
  <si>
    <t>KP-20250106-3</t>
  </si>
  <si>
    <t>KP-20250107-4</t>
  </si>
  <si>
    <t>KP-20250107-5</t>
  </si>
  <si>
    <t>KP-20250107-6</t>
  </si>
  <si>
    <t>DH-20240805-6</t>
  </si>
  <si>
    <t>DH-20240805-7</t>
  </si>
  <si>
    <t>DH-20220620-5</t>
  </si>
  <si>
    <t>DH-20220620-6</t>
  </si>
  <si>
    <t>DH-20220620-7</t>
  </si>
  <si>
    <t>DH-20241125-1</t>
  </si>
  <si>
    <t>DH-20241125-2</t>
  </si>
  <si>
    <t>DH-20241125-3</t>
  </si>
  <si>
    <t>DH-20241125-4</t>
  </si>
  <si>
    <t>DLNV-20250115</t>
  </si>
  <si>
    <t>LEVA-20250116-4</t>
  </si>
  <si>
    <t>LEVA-20250116-5</t>
  </si>
  <si>
    <t>LEVA-20250116-6</t>
  </si>
  <si>
    <t>LEVA-20250116-3</t>
  </si>
  <si>
    <t>LEVA-20250117-2</t>
  </si>
  <si>
    <t>LEVA-20250117-1</t>
  </si>
  <si>
    <t>DH-20241120</t>
  </si>
  <si>
    <t>TRHU2369574</t>
  </si>
  <si>
    <t>KKTU7862490</t>
  </si>
  <si>
    <t>307035212540/H21</t>
  </si>
  <si>
    <t>SGN2511387M3</t>
  </si>
  <si>
    <t xml:space="preserve">16/01/2025 
17/01/2025 </t>
  </si>
  <si>
    <t>DLNV20241231</t>
  </si>
  <si>
    <t>FX34903771 
FX34903779
FX34903789</t>
  </si>
  <si>
    <t>MEDU6461553
MEDU5000222
FCIU3083966</t>
  </si>
  <si>
    <t>BN-20241106-1
BN-20241106-2
BN-20241106-3</t>
  </si>
  <si>
    <t>SỐ INVOICE</t>
  </si>
  <si>
    <t>XL-NV241229</t>
  </si>
  <si>
    <t>XL-HD241230</t>
  </si>
  <si>
    <t>NV-20250108</t>
  </si>
  <si>
    <t>LHY59+60-24</t>
  </si>
  <si>
    <t>DET</t>
  </si>
  <si>
    <t>QUARTZ</t>
  </si>
  <si>
    <t>ARTIFICIAL STONE</t>
  </si>
  <si>
    <t>BỒN RỬA</t>
  </si>
  <si>
    <t>106879784801/A12
106879789550/E31</t>
  </si>
  <si>
    <t>00000009</t>
  </si>
  <si>
    <t>00000010</t>
  </si>
  <si>
    <t>SEGU3494668</t>
  </si>
  <si>
    <t>307086666300/B11</t>
  </si>
  <si>
    <t xml:space="preserve">SI,VGM: 11H 13/01/2025 
7H 15/01/2025 </t>
  </si>
  <si>
    <t xml:space="preserve">SI,VGM: 16h 14/01/2025
6h 16/01/2024 </t>
  </si>
  <si>
    <t>KGN-25011268</t>
  </si>
  <si>
    <t>2 PK/1480 KGM/ 0.4 CBM</t>
  </si>
  <si>
    <t>PHÍ TK XUẤT TC T1.2</t>
  </si>
  <si>
    <t>KGN-25011271</t>
  </si>
  <si>
    <t>KGN-25011272</t>
  </si>
  <si>
    <t>KGN-25011273</t>
  </si>
  <si>
    <t>KGN-25011274</t>
  </si>
  <si>
    <t>KGN-25011275</t>
  </si>
  <si>
    <t>KGN-25011276</t>
  </si>
  <si>
    <t>KGN-25011277</t>
  </si>
  <si>
    <t>KGN-25011278</t>
  </si>
  <si>
    <t>KGN-25011279</t>
  </si>
  <si>
    <t>KGN-25011280</t>
  </si>
  <si>
    <t>KGN-25011281</t>
  </si>
  <si>
    <t>KGN-25011282</t>
  </si>
  <si>
    <t>KGN-25011283</t>
  </si>
  <si>
    <t>KGN-25011284</t>
  </si>
  <si>
    <t>KGN-25011285</t>
  </si>
  <si>
    <t>KGN-25011286</t>
  </si>
  <si>
    <t>KGN-25011287</t>
  </si>
  <si>
    <t>KGN-25011288</t>
  </si>
  <si>
    <t>KGN-25011289</t>
  </si>
  <si>
    <t>MSDU2120807/FJ21926560
AXIU2934815/FJ21926646
MSBU3009025/FJ21926551
GLDU9456590/FJ21926645
MSMU2368317/FJ21926648
MEDU3000476/FJ21926693</t>
  </si>
  <si>
    <t>PHÍ SỬA CHỮA CONT</t>
  </si>
  <si>
    <t>PHÍ SỮA CHỮA CONT</t>
  </si>
  <si>
    <t>JW STONE</t>
  </si>
  <si>
    <t>PHỤ THU VC HÀNG NẶNG
 &gt; 25 TẤN</t>
  </si>
  <si>
    <t>PHÍ TTHQ</t>
  </si>
  <si>
    <t>PHỤ THU VC HÀNG NẶNG 
( từ 21.8 tấn - 25 tấn)</t>
  </si>
  <si>
    <t>Phụ thu lấy cont xa 
(cảng CÁI MÉP)</t>
  </si>
  <si>
    <t>Phí BOT</t>
  </si>
  <si>
    <t>Phí Hóa chất</t>
  </si>
  <si>
    <t>Phụ thu 
Kiểm hóa</t>
  </si>
  <si>
    <t>PHÍ TK THỨ 2</t>
  </si>
  <si>
    <t>Phí hun trùng</t>
  </si>
  <si>
    <t>PHÍ VC LCL</t>
  </si>
  <si>
    <t>PHÍ TK THÊM</t>
  </si>
  <si>
    <t>PHÍ CO</t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</si>
  <si>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21/01/25)</t>
    </r>
  </si>
  <si>
    <r>
      <t>THÁNG 02/2025</t>
    </r>
    <r>
      <rPr>
        <b/>
        <sz val="10"/>
        <color rgb="FFFF0000"/>
        <rFont val="Times New Roman"/>
        <family val="1"/>
      </rPr>
      <t xml:space="preserve"> (SERVICE DAY TỪ NGÀY 21/01/25)</t>
    </r>
  </si>
  <si>
    <r>
      <t>THÁNG 2/2025 (</t>
    </r>
    <r>
      <rPr>
        <b/>
        <sz val="10"/>
        <color rgb="FFFF0000"/>
        <rFont val="Times New Roman"/>
        <family val="1"/>
      </rPr>
      <t>SERVICE DAY TỪ NGÀY 03/2</t>
    </r>
    <r>
      <rPr>
        <b/>
        <sz val="10"/>
        <rFont val="Times New Roman"/>
        <family val="1"/>
      </rPr>
      <t>)</t>
    </r>
  </si>
  <si>
    <r>
      <t xml:space="preserve">THÁNG 02/2025 </t>
    </r>
    <r>
      <rPr>
        <b/>
        <sz val="10"/>
        <color rgb="FFFF0000"/>
        <rFont val="Times New Roman"/>
        <family val="1"/>
      </rPr>
      <t>(SERVICE DAY TỪ NGÀY 3/2/25)</t>
    </r>
  </si>
  <si>
    <t>CS195000724N</t>
  </si>
  <si>
    <t>XE 3T5</t>
  </si>
  <si>
    <t>01/02/2025
14 DEM</t>
  </si>
  <si>
    <t>25/01/2025
7 DET</t>
  </si>
  <si>
    <t>307089701940/B11</t>
  </si>
  <si>
    <t>THÁNG 2/2025</t>
  </si>
  <si>
    <t>C/O VJ</t>
  </si>
  <si>
    <t>C/O TR</t>
  </si>
  <si>
    <t>LẤY BILL GỐC</t>
  </si>
  <si>
    <t>003/11/24-CJSL-TFUC</t>
  </si>
  <si>
    <t>TK MƯỢN KHUÔN</t>
  </si>
  <si>
    <t>KGN-25011422</t>
  </si>
  <si>
    <t>SL-VA.03/2025</t>
  </si>
  <si>
    <t>SI,VGM: 12H 23/01/2025
8H 24/01/25
CY: 14:00 27/01/2025</t>
  </si>
  <si>
    <t>SI,VGM: 15H 22/1/25
21H 24/01/25
CY: 12:00 24/01/2025</t>
  </si>
  <si>
    <t>19-20/01/2025</t>
  </si>
  <si>
    <t>22/01/2025</t>
  </si>
  <si>
    <t>CCL/YKJ/2025/SI2501128</t>
  </si>
  <si>
    <t>00000011</t>
  </si>
  <si>
    <t>EGLV530400103294</t>
  </si>
  <si>
    <t>EITU1532552
EITU9375465
EMCU1583424
EMCU8608822
FDCU0168798
TIIU4673175</t>
  </si>
  <si>
    <t>6H 23/01/2025</t>
  </si>
  <si>
    <t>BMOU1217076
WHSU2755609</t>
  </si>
  <si>
    <t>307101572800/E62
307101577110/B11</t>
  </si>
  <si>
    <t xml:space="preserve">10,815,200 </t>
  </si>
  <si>
    <t>039FX05937</t>
  </si>
  <si>
    <t>106897908941/ G12</t>
  </si>
  <si>
    <t>23/01/2025</t>
  </si>
  <si>
    <t>KGN-25011695</t>
  </si>
  <si>
    <t>NCC
LINE</t>
  </si>
  <si>
    <t>SKLU2024580</t>
  </si>
  <si>
    <t>307103752820/B11</t>
  </si>
  <si>
    <t>KGN-25011701</t>
  </si>
  <si>
    <t>DEM: 05/02/2025
DET: 15/02/2025</t>
  </si>
  <si>
    <t>C/O VJ
RCEP</t>
  </si>
  <si>
    <t xml:space="preserve">SI,VGM: 09/01/2024
CY: 02:59 10/01/2025 </t>
  </si>
  <si>
    <t>KGN-25011582</t>
  </si>
  <si>
    <t>LẤY BILL GỐC, C/O TR</t>
  </si>
  <si>
    <t>LẤY BILL GỐC, C/O VJ</t>
  </si>
  <si>
    <t>C/O VJ
C/O RCEP</t>
  </si>
  <si>
    <t>COAU7256583780
(KANWAY LUCKY 006S)</t>
  </si>
  <si>
    <t>01/02/2025</t>
  </si>
  <si>
    <t>KGN-25020012</t>
  </si>
  <si>
    <t>OOCU9450442
OOCU9449565
OOCU9523343
OOCU9523472</t>
  </si>
  <si>
    <t>SL-LD.09.2025</t>
  </si>
  <si>
    <t>SL-LD.11.2025</t>
  </si>
  <si>
    <t>SL-LD.10.2025</t>
  </si>
  <si>
    <t>24/01/2025</t>
  </si>
  <si>
    <t>KGN-25020049</t>
  </si>
  <si>
    <t>04/02/2025
05/02/2025</t>
  </si>
  <si>
    <t>GOSUSNH22071570</t>
  </si>
  <si>
    <t>JXJU3223835</t>
  </si>
  <si>
    <t>02/02/2025</t>
  </si>
  <si>
    <t>KGN-25020056</t>
  </si>
  <si>
    <t>Vessel: EVER OMNI 034A
ETA: 10/02/2025</t>
  </si>
  <si>
    <r>
      <t xml:space="preserve">09/01/2025
</t>
    </r>
    <r>
      <rPr>
        <sz val="10"/>
        <color rgb="FFFF0000"/>
        <rFont val="Times New Roman"/>
        <family val="1"/>
      </rPr>
      <t>11/01/2025</t>
    </r>
  </si>
  <si>
    <t>KHO DHL</t>
  </si>
  <si>
    <t xml:space="preserve">1 KIỆN/ 2.40 KGM/ </t>
  </si>
  <si>
    <t>CHỈ MỞ TỜ KHAI</t>
  </si>
  <si>
    <t>KGN-25020103</t>
  </si>
  <si>
    <t>Lệ phí hải quan bổ sung</t>
  </si>
  <si>
    <t>KS1125010029</t>
  </si>
  <si>
    <t>TODO SEISAKUSHO</t>
  </si>
  <si>
    <t>05/02/2025</t>
  </si>
  <si>
    <t>TOYOTO</t>
  </si>
  <si>
    <t>SUZHOU GEDO</t>
  </si>
  <si>
    <t>PICANOL NV</t>
  </si>
  <si>
    <t>Lệ phí hải quan T11</t>
  </si>
  <si>
    <t>Lệ phí hải quan T12</t>
  </si>
  <si>
    <t>Lệ phí hải quan JW STONE</t>
  </si>
  <si>
    <t>KGN-25020154</t>
  </si>
  <si>
    <t>15h 05/02/2025</t>
  </si>
  <si>
    <t>CL KHO 3</t>
  </si>
  <si>
    <t>MÁY MÓC (8 MÁY)</t>
  </si>
  <si>
    <t>PTNCLP2510005</t>
  </si>
  <si>
    <t>YMMU6346359/YMAS900845</t>
  </si>
  <si>
    <t>SL-VA.04/2025</t>
  </si>
  <si>
    <t>DEM: 07/02/2025</t>
  </si>
  <si>
    <t>07/02/2025</t>
  </si>
  <si>
    <t>106904572940/A12</t>
  </si>
  <si>
    <t>106919712430/A12</t>
  </si>
  <si>
    <t>106914771130/A12</t>
  </si>
  <si>
    <t>106919809951/A12</t>
  </si>
  <si>
    <t>339IN25002385</t>
  </si>
  <si>
    <t>SI,VGM: 10H 10/02/2025 
 5H 10/02/2025</t>
  </si>
  <si>
    <t>CONG TY TNHH CHUNJU ELECTRIC VIET NAM</t>
  </si>
  <si>
    <t>MSMU4195503</t>
  </si>
  <si>
    <t>BOSHCM25010221</t>
  </si>
  <si>
    <t>08/02/2025</t>
  </si>
  <si>
    <t>06/02/2025</t>
  </si>
  <si>
    <t>97 PK/ 2079 KGM/ 4.865 CBM</t>
  </si>
  <si>
    <t>3 PK/ 3,367.500 KGM/ 11.290 CBM</t>
  </si>
  <si>
    <t>SZHTHCM2501079</t>
  </si>
  <si>
    <t>13/02/2025</t>
  </si>
  <si>
    <t>039FX05944</t>
  </si>
  <si>
    <t>039FX05949</t>
  </si>
  <si>
    <t xml:space="preserve">039FX06594 </t>
  </si>
  <si>
    <t>106926147640/A12</t>
  </si>
  <si>
    <t>WHSU5535444</t>
  </si>
  <si>
    <t>MÁY MÓC
PHÍ PHÁT SINH 12TR</t>
  </si>
  <si>
    <t>307127524340/B11
307127565860/E62</t>
  </si>
  <si>
    <t>11/02/2025</t>
  </si>
  <si>
    <t>SL-VA.05/2025</t>
  </si>
  <si>
    <t>SL-CJ.01/2025</t>
  </si>
  <si>
    <t>00000013</t>
  </si>
  <si>
    <t>00000014</t>
  </si>
  <si>
    <t>00000015</t>
  </si>
  <si>
    <t>00000012</t>
  </si>
  <si>
    <t>KGN-25020485</t>
  </si>
  <si>
    <t>339IN25006920</t>
  </si>
  <si>
    <t>KGN-25020486</t>
  </si>
  <si>
    <t>106933023850/E31
106933020940/A12</t>
  </si>
  <si>
    <t>12/02/2025</t>
  </si>
  <si>
    <t>KGN-25020522</t>
  </si>
  <si>
    <t>WHSU0049630
WHSU2586828</t>
  </si>
  <si>
    <t>307133024830/ E62
307133026930/B11</t>
  </si>
  <si>
    <t>CY: 01:00 17/02/2025</t>
  </si>
  <si>
    <t>MSBU5062944</t>
  </si>
  <si>
    <t>SL-DE.012025</t>
  </si>
  <si>
    <t>00000017</t>
  </si>
  <si>
    <t>10/02/2025</t>
  </si>
  <si>
    <t>SL-CU.01.2025</t>
  </si>
  <si>
    <t>00000016</t>
  </si>
  <si>
    <t>12/12/2025</t>
  </si>
  <si>
    <t>12/2/2025</t>
  </si>
  <si>
    <t>WHSU5240422</t>
  </si>
  <si>
    <t>KGN-25020675</t>
  </si>
  <si>
    <t>KGN-25020674</t>
  </si>
  <si>
    <t>KGN-25020676</t>
  </si>
  <si>
    <t>KGN-25020678</t>
  </si>
  <si>
    <t>00000018</t>
  </si>
  <si>
    <t>KGN-25020694</t>
  </si>
  <si>
    <t>WHSU2216905</t>
  </si>
  <si>
    <t>307131512460/E62</t>
  </si>
  <si>
    <t>307133679330/B11
307133746860/E62</t>
  </si>
  <si>
    <t>STAEUBLI SARGANS</t>
  </si>
  <si>
    <t>KGN-25020789</t>
  </si>
  <si>
    <t>KGN-25020790</t>
  </si>
  <si>
    <t>00000019
00000020</t>
  </si>
  <si>
    <t>12:00 21/02/2025</t>
  </si>
  <si>
    <t>039FX07196</t>
  </si>
  <si>
    <t>SNKO101250201397</t>
  </si>
  <si>
    <t xml:space="preserve">SINOKOR </t>
  </si>
  <si>
    <t>CAT LAI</t>
  </si>
  <si>
    <t>CY: 00:00 21/02/2025</t>
  </si>
  <si>
    <t xml:space="preserve">SI,VGM:  8H 18/02/2025
1H 19/02/2025 </t>
  </si>
  <si>
    <t>XL-HD250219</t>
  </si>
  <si>
    <t>106943440921/A12</t>
  </si>
  <si>
    <t>14/02/2025</t>
  </si>
  <si>
    <t>2 PK/1,7 KGM</t>
  </si>
  <si>
    <t>18/02/2025</t>
  </si>
  <si>
    <t>KGN-25020982</t>
  </si>
  <si>
    <t>17/02/2025</t>
  </si>
  <si>
    <t>KGN-25021003</t>
  </si>
  <si>
    <t>TRHU4088160</t>
  </si>
  <si>
    <t>SITSGOSW414413</t>
  </si>
  <si>
    <t>19/02/2025</t>
  </si>
  <si>
    <t>SKLU2357935</t>
  </si>
  <si>
    <t>307147566260/B11</t>
  </si>
  <si>
    <t>KGN-25021166</t>
  </si>
  <si>
    <t>CY 18:00 25/02/2025</t>
  </si>
  <si>
    <t>307149922350/B11
307149977650/E62</t>
  </si>
  <si>
    <t>SL-LD.12.2025</t>
  </si>
  <si>
    <t>SL-LD.13.2025</t>
  </si>
  <si>
    <t>SL-LD.14.2025</t>
  </si>
  <si>
    <t>SL-LD.15.2025</t>
  </si>
  <si>
    <t>SL-CJ.02/2025</t>
  </si>
  <si>
    <t>69 CTNS</t>
  </si>
  <si>
    <t>YTC CORPORATION</t>
  </si>
  <si>
    <t>230 CTNS</t>
  </si>
  <si>
    <t>25/02/2025</t>
  </si>
  <si>
    <t>22/02/2025</t>
  </si>
  <si>
    <t>HC2504SSGT451</t>
  </si>
  <si>
    <t>SEGU3453632
TRHU2721999</t>
  </si>
  <si>
    <t>WHLU5814757</t>
  </si>
  <si>
    <t>122500029514136</t>
  </si>
  <si>
    <t>CCL/YKJ/2025/SI2502138</t>
  </si>
  <si>
    <t>CCL/YTC/2025/SI2502137</t>
  </si>
  <si>
    <t>VJ
RCEP</t>
  </si>
  <si>
    <t>SGN2561013</t>
  </si>
  <si>
    <t>ZIMUHCM80503558</t>
  </si>
  <si>
    <t xml:space="preserve">SI,VGM: 11H 25/02/2025
13H 26/02/2025 </t>
  </si>
  <si>
    <t xml:space="preserve">SI,VGM: 16H 25/02/2025 
03H 27/02/2025 </t>
  </si>
  <si>
    <t>SL-VA.06/2025</t>
  </si>
  <si>
    <t>647</t>
  </si>
  <si>
    <t>1392</t>
  </si>
  <si>
    <t>KGN-25021279</t>
  </si>
  <si>
    <t>SNLFSKVLF4A838</t>
  </si>
  <si>
    <t xml:space="preserve">JINJIANG XILIN </t>
  </si>
  <si>
    <t>KGN-25021294</t>
  </si>
  <si>
    <t xml:space="preserve">4 tờ </t>
  </si>
  <si>
    <t>XL-HD250221</t>
  </si>
  <si>
    <t>INV XL-NV2501</t>
  </si>
  <si>
    <t>PHÍ TK XUẤT TC T2.25</t>
  </si>
  <si>
    <t>15 TK</t>
  </si>
  <si>
    <r>
      <t>THÁNG 03/2025</t>
    </r>
    <r>
      <rPr>
        <b/>
        <sz val="10"/>
        <color rgb="FFFF0000"/>
        <rFont val="Times New Roman"/>
        <family val="1"/>
      </rPr>
      <t xml:space="preserve"> (SERVICE DAY TỪ NGÀY 01/03/25)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</si>
  <si>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3/3/25)</t>
    </r>
  </si>
  <si>
    <t>SHHCM25022935</t>
  </si>
  <si>
    <t>3 PP/ 1920 KGM/ 6 CBM</t>
  </si>
  <si>
    <t>WUXI KAI</t>
  </si>
  <si>
    <t>ETA: 22/02/2025</t>
  </si>
  <si>
    <t>KGN-25021341</t>
  </si>
  <si>
    <t>KGN-25021343</t>
  </si>
  <si>
    <t>039FX08342</t>
  </si>
  <si>
    <t>6H 28/02/2025</t>
  </si>
  <si>
    <t>GOSUXIA8462394
(WAN HAI 335 014S)</t>
  </si>
  <si>
    <t>KGN-25021468</t>
  </si>
  <si>
    <t>KGN-25021469</t>
  </si>
  <si>
    <t>190 CTNS</t>
  </si>
  <si>
    <t>Đỏ</t>
  </si>
  <si>
    <t>23/02/2025</t>
  </si>
  <si>
    <t>KHO NGOẠI QUAN U&amp;I</t>
  </si>
  <si>
    <t>JJCSKSGY500864</t>
  </si>
  <si>
    <t>TWCU2208145
TWCU2138433
CAAU2543367
TWCU2167853
BMOU1671520
TIIU2344099
TLLU3636857
TWCU2153736</t>
  </si>
  <si>
    <t>106960336560/E31</t>
  </si>
  <si>
    <t>21/02/2025</t>
  </si>
  <si>
    <t>00000021</t>
  </si>
  <si>
    <t>7 NGÀY</t>
  </si>
  <si>
    <t>24/02/2025</t>
  </si>
  <si>
    <t>Phí C/O</t>
  </si>
  <si>
    <t>KGN-25011174-BS1</t>
  </si>
  <si>
    <t>01/03/2025</t>
  </si>
  <si>
    <t>FSCU8154763</t>
  </si>
  <si>
    <t>KGN-25011422-BS1</t>
  </si>
  <si>
    <t>A59F004500</t>
  </si>
  <si>
    <t>04H 28/02/2025 
CY: 12H 28/02/2025</t>
  </si>
  <si>
    <t>307164544760/B11</t>
  </si>
  <si>
    <t>TLLU3136450</t>
  </si>
  <si>
    <t>TCNU5966440</t>
  </si>
  <si>
    <t>2</t>
  </si>
  <si>
    <t>ZIMUHCM80504958</t>
  </si>
  <si>
    <t xml:space="preserve">SI,VGM: 8H 26/02/2025
3H 27/03/2025 </t>
  </si>
  <si>
    <t>2 PK/ 1050 KGM/ 0.26 CBM</t>
  </si>
  <si>
    <t>HWNBCLI2500004
(XIN MING ZHOU 90 2501)</t>
  </si>
  <si>
    <t>KGN-25021801</t>
  </si>
  <si>
    <t>KGN-25021804</t>
  </si>
  <si>
    <t>YMJAE490389292C</t>
  </si>
  <si>
    <t>KIỂM HÓA 8 CONT
CHI BẤM SEAL 4 CONT
PHÁT SINH 500K -&gt; CÔNG NỢ PHÍ DV</t>
  </si>
  <si>
    <t>Hiệp Phước</t>
  </si>
  <si>
    <t>CÁT ĐÁ THẠCH ANH</t>
  </si>
  <si>
    <t>NHỰA POLYESTER</t>
  </si>
  <si>
    <t>28T/cont</t>
  </si>
  <si>
    <t>VJ</t>
  </si>
  <si>
    <t>26/02/2025</t>
  </si>
  <si>
    <t>CCL/YKJ/2025/I2502163</t>
  </si>
  <si>
    <t>JXLU6191990
ZCSU6626157</t>
  </si>
  <si>
    <t>3T5</t>
  </si>
  <si>
    <t>1 CS/ 421 KGM/ 3.660 CBM</t>
  </si>
  <si>
    <r>
      <t xml:space="preserve">1TR CHI MIỄN KIỂM
</t>
    </r>
    <r>
      <rPr>
        <b/>
        <sz val="10"/>
        <rFont val="Times New Roman"/>
        <family val="1"/>
      </rPr>
      <t>MÁY MÓC</t>
    </r>
  </si>
  <si>
    <t>KGN-25021880</t>
  </si>
  <si>
    <t>00000027</t>
  </si>
  <si>
    <t>00000023</t>
  </si>
  <si>
    <t>00000024</t>
  </si>
  <si>
    <t>00000025</t>
  </si>
  <si>
    <t>00000026</t>
  </si>
  <si>
    <t>KGN-25021921</t>
  </si>
  <si>
    <t>27/02/2025
28/02/2025</t>
  </si>
  <si>
    <t>KGN-25011288-BS1</t>
  </si>
  <si>
    <t>ĐĂNG KÝ DSQ 2tr</t>
  </si>
  <si>
    <t>WHSU5572710</t>
  </si>
  <si>
    <t>307170059250/B11
307170126710/E62</t>
  </si>
  <si>
    <t>27/02/2025</t>
  </si>
  <si>
    <t>KGN-25022076</t>
  </si>
  <si>
    <t>KGN-25022077</t>
  </si>
  <si>
    <t>KGN-25022078</t>
  </si>
  <si>
    <t>THÁNG 3/2025</t>
  </si>
  <si>
    <t>04/03/2025</t>
  </si>
  <si>
    <t>KGN-25022082</t>
  </si>
  <si>
    <t>DLNV-20250226</t>
  </si>
  <si>
    <t>3106,17</t>
  </si>
  <si>
    <t>10H 01/03/2025</t>
  </si>
  <si>
    <t>IAAU2847560</t>
  </si>
  <si>
    <t>307172725920/B11</t>
  </si>
  <si>
    <t>KGN-25022095</t>
  </si>
  <si>
    <t>07/03/2025</t>
  </si>
  <si>
    <t>039FX12939</t>
  </si>
  <si>
    <t>SI: 14H 07/03/2025
11H 09/03/2025</t>
  </si>
  <si>
    <t>8T + 5T (2 XE)</t>
  </si>
  <si>
    <t>SL-VA.07/2025</t>
  </si>
  <si>
    <t>00000028</t>
  </si>
  <si>
    <t>CHỈ KHAI TK</t>
  </si>
  <si>
    <t>FCIU6234053
SNBU2332322
SNBU2296570</t>
  </si>
  <si>
    <t>12/03/2025</t>
  </si>
  <si>
    <t>147500114564</t>
  </si>
  <si>
    <t>XL-HD250225</t>
  </si>
  <si>
    <t>KHAI BÁO HÓA CHẤT
THU TRÁI TUYẾN HIỆP PHƯỚC</t>
  </si>
  <si>
    <t>HASL007250201534</t>
  </si>
  <si>
    <t>XL-HD250229</t>
  </si>
  <si>
    <t>COAU7257463930 
(HANSA FRESENBURG 085W)</t>
  </si>
  <si>
    <t>OOLU1974877</t>
  </si>
  <si>
    <t>PRUTEX NYLON</t>
  </si>
  <si>
    <t>KGN-25022316</t>
  </si>
  <si>
    <t>03/03/2025</t>
  </si>
  <si>
    <t>KGN-25022317</t>
  </si>
  <si>
    <r>
      <t>TGCU2080236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ZIMU1159320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ZIMU1445561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ZIMU2794254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ZIMU3064970
ZIMU3076518
ZIMU3162869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ZIMU3145326
ZIMU3088735
ZIMU3168419</t>
    </r>
  </si>
  <si>
    <t>KGN-25030009</t>
  </si>
  <si>
    <t>SL-VA.08/2025</t>
  </si>
  <si>
    <t>SL-CU.02.2025</t>
  </si>
  <si>
    <t>PKECLP2520079</t>
  </si>
  <si>
    <t>YMLU5182956/YMAS899155</t>
  </si>
  <si>
    <t>ETA: 03/03/2025</t>
  </si>
  <si>
    <t>PTNCLP2520003</t>
  </si>
  <si>
    <t>FUJIAN SEALINKE
khai báo hóa chất</t>
  </si>
  <si>
    <t>EGLV147500196579</t>
  </si>
  <si>
    <t>XL-NV250308</t>
  </si>
  <si>
    <t>106984152550/E31</t>
  </si>
  <si>
    <t>INTERASIA</t>
  </si>
  <si>
    <t>A59F003755</t>
  </si>
  <si>
    <t>CUT OFF:  9H 05/03/2025</t>
  </si>
  <si>
    <t>00000029</t>
  </si>
  <si>
    <t>SL-CJ.03/2025</t>
  </si>
  <si>
    <t>HWNBCLI2500005
(XIN MING ZHOU 102 2503S)</t>
  </si>
  <si>
    <t>1 PK/ 420 KGS/ 0.6 CBM</t>
  </si>
  <si>
    <t>POT HANDLE</t>
  </si>
  <si>
    <t>YMMU6397973/YMAS903631</t>
  </si>
  <si>
    <t>307189274250/B11</t>
  </si>
  <si>
    <t>IAAU2785983</t>
  </si>
  <si>
    <t>KGN-25030140</t>
  </si>
  <si>
    <t>00000032</t>
  </si>
  <si>
    <t>00000030
00000031</t>
  </si>
  <si>
    <t>DET: 11/03/2025</t>
  </si>
  <si>
    <t>06/03/2025</t>
  </si>
  <si>
    <t>23/8/2022</t>
  </si>
  <si>
    <t>14/1/2023</t>
  </si>
  <si>
    <t>KGN-25030163</t>
  </si>
  <si>
    <t>KGN-25030165</t>
  </si>
  <si>
    <t>106984793310/A12
106984776512/A31
106984810810/E31</t>
  </si>
  <si>
    <t>KGN-25030173</t>
  </si>
  <si>
    <t>KGN-25030175</t>
  </si>
  <si>
    <t>KGN-25030176</t>
  </si>
  <si>
    <t>122500030042794</t>
  </si>
  <si>
    <t>CCL/YKJ/2025/SI2503046</t>
  </si>
  <si>
    <t>200K QUÉT TK</t>
  </si>
  <si>
    <t>106988121331/E31
106988074910/A12</t>
  </si>
  <si>
    <t>DRYU2726000
EGSU3416934
EITU3119548</t>
  </si>
  <si>
    <t>BSUNG NỢ CSHT</t>
  </si>
  <si>
    <t>307194839250/B11
307194877900/E62</t>
  </si>
  <si>
    <t>WHSU5242718</t>
  </si>
  <si>
    <t>039FX12940</t>
  </si>
  <si>
    <t>6H 17/03/2025
CY:</t>
  </si>
  <si>
    <t>SL-CJ.04/2025</t>
  </si>
  <si>
    <t>10/03/2025</t>
  </si>
  <si>
    <t>KGN-25030270</t>
  </si>
  <si>
    <t>08/03/2025
CFS PHÚ HỮU</t>
  </si>
  <si>
    <t xml:space="preserve">SITSGOSW418097 </t>
  </si>
  <si>
    <t xml:space="preserve">SITSGNGW418212 </t>
  </si>
  <si>
    <t>19H 16/03/2025
CY: 15:00 15/03/2025</t>
  </si>
  <si>
    <t>KGN-25030279</t>
  </si>
  <si>
    <t>00000034</t>
  </si>
  <si>
    <t>EBKG12020236</t>
  </si>
  <si>
    <t>22H 12/03/2025</t>
  </si>
  <si>
    <t>28/02/2025</t>
  </si>
  <si>
    <t>11/03/2025</t>
  </si>
  <si>
    <t>01/03/2025
CFS PHÚ HỮU</t>
  </si>
  <si>
    <t>Lệ phí hải quan t2</t>
  </si>
  <si>
    <t>Lệ phí hải quan t3</t>
  </si>
  <si>
    <t>KHO SCSC</t>
  </si>
  <si>
    <t>ETA: 08/03/2025</t>
  </si>
  <si>
    <t>SL-LD.16.2025</t>
  </si>
  <si>
    <t>SL-LD.17.2025</t>
  </si>
  <si>
    <t>SL-LD.18.2025</t>
  </si>
  <si>
    <t>SL-LD.19.2025</t>
  </si>
  <si>
    <t>107003417620/H21</t>
  </si>
  <si>
    <t xml:space="preserve">MSMU8171644       </t>
  </si>
  <si>
    <t>FX34983308</t>
  </si>
  <si>
    <t>LEVA-20250311</t>
  </si>
  <si>
    <t>18711.43</t>
  </si>
  <si>
    <t>13/03/2025</t>
  </si>
  <si>
    <t>SGN2622590</t>
  </si>
  <si>
    <t>4H 16/03/2025
CY: 07:59 15/03/2025</t>
  </si>
  <si>
    <t>SKLU0726973
SKLU1427811
SKLU1626161</t>
  </si>
  <si>
    <t>14/03/2025</t>
  </si>
  <si>
    <t>XL-HC250313</t>
  </si>
  <si>
    <t>SL-VA.09/2025</t>
  </si>
  <si>
    <t>KGN-25030611</t>
  </si>
  <si>
    <t>KGN-25030614</t>
  </si>
  <si>
    <t>PXK: 00000058</t>
  </si>
  <si>
    <t>LY-LHY01/02/03/04/06-25</t>
  </si>
  <si>
    <t>BỒN SỨ</t>
  </si>
  <si>
    <t>KGN-25030615</t>
  </si>
  <si>
    <t>KGN-25030616</t>
  </si>
  <si>
    <t>400 CTNS</t>
  </si>
  <si>
    <t>15/03/2025</t>
  </si>
  <si>
    <t>307211204660/B11</t>
  </si>
  <si>
    <t>SITU2716917</t>
  </si>
  <si>
    <t>TEMU1044797</t>
  </si>
  <si>
    <t>HWNBCLI2500009
(WAN HAI 335 015S)</t>
  </si>
  <si>
    <t>3 PK/ 2400 KGS/ 0.69 CBM</t>
  </si>
  <si>
    <t>SL-CU.03.2025</t>
  </si>
  <si>
    <t>00000035</t>
  </si>
  <si>
    <t>00000036</t>
  </si>
  <si>
    <t>KGN-25030731</t>
  </si>
  <si>
    <t>13/03/2025
14/03/2025</t>
  </si>
  <si>
    <t>BEAU2698536</t>
  </si>
  <si>
    <t>DRYU2769867
EGSU3242914
EITU0136840</t>
  </si>
  <si>
    <t>EBKG12004094</t>
  </si>
  <si>
    <t>CY: 22H 19/03/2025</t>
  </si>
  <si>
    <t>EBKG12091522</t>
  </si>
  <si>
    <t>SI 10H 26/03/2025
CY: 2H 28/03/2025</t>
  </si>
  <si>
    <t>307216245950/B11</t>
  </si>
  <si>
    <t>KGN-25030844</t>
  </si>
  <si>
    <t>00000037</t>
  </si>
  <si>
    <t>00000038</t>
  </si>
  <si>
    <t>00000039</t>
  </si>
  <si>
    <t>00000040</t>
  </si>
  <si>
    <t>WHSU5790178</t>
  </si>
  <si>
    <t>307217019120
307217029140</t>
  </si>
  <si>
    <t>APZU3242579</t>
  </si>
  <si>
    <t>M1024691</t>
  </si>
  <si>
    <t>CY: 12:00 21/03/2025</t>
  </si>
  <si>
    <t>307214320840/B11
307214376620/E62</t>
  </si>
  <si>
    <t>DH-20241231</t>
  </si>
  <si>
    <t>KGN-25030867</t>
  </si>
  <si>
    <t>KGN-25030871</t>
  </si>
  <si>
    <t xml:space="preserve">HASLS21250202652 </t>
  </si>
  <si>
    <t>8H 21/03/2025
CY: 23H 20/03/2025</t>
  </si>
  <si>
    <t>KGN-25030874</t>
  </si>
  <si>
    <t>039FX20598</t>
  </si>
  <si>
    <t>SI,VGM: 10H 21/03/2025
15H 22/03/2025</t>
  </si>
  <si>
    <t>46280</t>
  </si>
  <si>
    <t>84077</t>
  </si>
  <si>
    <t>84084</t>
  </si>
  <si>
    <t>84144</t>
  </si>
  <si>
    <t>Phụ thu lấy cont xa 
(cảng Hiệp Phước)</t>
  </si>
  <si>
    <t>18/03/2025</t>
  </si>
  <si>
    <t>KGN-25030992</t>
  </si>
  <si>
    <t>PKECLP2520117</t>
  </si>
  <si>
    <t>ETA: 18/03/2025</t>
  </si>
  <si>
    <t>039FX17387</t>
  </si>
  <si>
    <t>SL-LD.20.2025</t>
  </si>
  <si>
    <t>SL-LD.21.2025</t>
  </si>
  <si>
    <t>SL-LD.22.2025</t>
  </si>
  <si>
    <t>đã settle nâng/hạ</t>
  </si>
  <si>
    <t>MEDU6959280</t>
  </si>
  <si>
    <t>FX34908156</t>
  </si>
  <si>
    <t>LEVA-20250318-3</t>
  </si>
  <si>
    <t>BMOU2138433</t>
  </si>
  <si>
    <t>FX34908171</t>
  </si>
  <si>
    <t>LEVA-20250318-2</t>
  </si>
  <si>
    <t>54040</t>
  </si>
  <si>
    <t>DRYU2986688
EMCU6125790</t>
  </si>
  <si>
    <t>22/03/2025</t>
  </si>
  <si>
    <t>25/03/2025</t>
  </si>
  <si>
    <t>17/03/2025</t>
  </si>
  <si>
    <t>20/03/2025</t>
  </si>
  <si>
    <t>19/03/2025</t>
  </si>
  <si>
    <t>CAAU8815415/IAAH336677
IAAU1020428/IAAH331948</t>
  </si>
  <si>
    <t>TYDS25030008A
(HONG AN 2507S)</t>
  </si>
  <si>
    <t>21/03/2025</t>
  </si>
  <si>
    <t>1 PP/ 1000 KGS/ 1.921 CBM
144*115*116 cm</t>
  </si>
  <si>
    <t>00000041</t>
  </si>
  <si>
    <t>00000042</t>
  </si>
  <si>
    <t>00000043</t>
  </si>
  <si>
    <t>KGN-25031159</t>
  </si>
  <si>
    <t>KGN-25031160</t>
  </si>
  <si>
    <t>KGN-25031161</t>
  </si>
  <si>
    <t>039FX21532</t>
  </si>
  <si>
    <t>SI: 16H 27/03/2025
CY: 1H 30/03/2025</t>
  </si>
  <si>
    <t>107022362201/A12
107022380360/E31</t>
  </si>
  <si>
    <t>WHSU6277792</t>
  </si>
  <si>
    <t>CƯỢC 3TR/CONT</t>
  </si>
  <si>
    <t>307228859360/B11
307228898820/E62</t>
  </si>
  <si>
    <t>KGN-25031178</t>
  </si>
  <si>
    <t>039FX17388</t>
  </si>
  <si>
    <t>18H 30/03/2025</t>
  </si>
  <si>
    <r>
      <t>THÁNG 04/2025</t>
    </r>
    <r>
      <rPr>
        <b/>
        <sz val="10"/>
        <color rgb="FFFF0000"/>
        <rFont val="Times New Roman"/>
        <family val="1"/>
      </rPr>
      <t xml:space="preserve"> (SERVICE DAY TỪ NGÀY 01/04/25)</t>
    </r>
  </si>
  <si>
    <r>
      <t xml:space="preserve">THÁNG 03/2025 </t>
    </r>
    <r>
      <rPr>
        <b/>
        <sz val="10"/>
        <color rgb="FFFF0000"/>
        <rFont val="Times New Roman"/>
        <family val="1"/>
      </rPr>
      <t>(SERVICE DAY TỪ NGÀY 27/02/25)</t>
    </r>
  </si>
  <si>
    <t>PHÍ TK XUẤT TC T3.25</t>
  </si>
  <si>
    <t>14 TK</t>
  </si>
  <si>
    <t>307232347350/B11</t>
  </si>
  <si>
    <t>HALU2074908</t>
  </si>
  <si>
    <t>HEUNG A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</si>
  <si>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3/4/25)</t>
    </r>
  </si>
  <si>
    <t>EGLV147500260765</t>
  </si>
  <si>
    <t>WHSU5732968</t>
  </si>
  <si>
    <t>WHAB653958</t>
  </si>
  <si>
    <t>KP-20250320-1</t>
  </si>
  <si>
    <t>WHSU6193520</t>
  </si>
  <si>
    <t>WHAB653954</t>
  </si>
  <si>
    <t>KP-20250320-2</t>
  </si>
  <si>
    <t>KGN-25031218</t>
  </si>
  <si>
    <t>KGN-25031200</t>
  </si>
  <si>
    <t>WHSU8084051</t>
  </si>
  <si>
    <t>WHAB653942</t>
  </si>
  <si>
    <t>KP-20250320-3</t>
  </si>
  <si>
    <t>KGN-25031258</t>
  </si>
  <si>
    <t>SL-VA.10/2025</t>
  </si>
  <si>
    <t>24/03/2025</t>
  </si>
  <si>
    <t>KIỂM HÓA, TK TÁI NHẬP</t>
  </si>
  <si>
    <t>039FX22768</t>
  </si>
  <si>
    <t>12H 30/03/2025</t>
  </si>
  <si>
    <t>GLDU2240423</t>
  </si>
  <si>
    <t>FX38781143</t>
  </si>
  <si>
    <t>LEVA-20250324-4</t>
  </si>
  <si>
    <t>MEDU3646173</t>
  </si>
  <si>
    <t>FX38781145</t>
  </si>
  <si>
    <t>LEVA-20250324-5</t>
  </si>
  <si>
    <t>MEDU3312556</t>
  </si>
  <si>
    <t>FX38781208</t>
  </si>
  <si>
    <t>LEVA-20250324-6</t>
  </si>
  <si>
    <t>KGN-25031597</t>
  </si>
  <si>
    <t>00000044</t>
  </si>
  <si>
    <r>
      <t xml:space="preserve">THÁNG 04/2025 </t>
    </r>
    <r>
      <rPr>
        <b/>
        <sz val="10"/>
        <color rgb="FFFF0000"/>
        <rFont val="Times New Roman"/>
        <family val="1"/>
      </rPr>
      <t>(SERVICE DAY TỪ NGÀY 20/04/25)</t>
    </r>
  </si>
  <si>
    <t>AMIGL230000958A</t>
  </si>
  <si>
    <t>KBHCM-061-018-22JP</t>
  </si>
  <si>
    <t>JPUKB</t>
  </si>
  <si>
    <t>CNSHA</t>
  </si>
  <si>
    <t>YMJAE490390640C</t>
  </si>
  <si>
    <t>18 PK/ 2917.2 GW/ 18.72 CBM</t>
  </si>
  <si>
    <t>10H 31/03/2025</t>
  </si>
  <si>
    <t>ZIMUHCM80514940</t>
  </si>
  <si>
    <t>26/03/2025</t>
  </si>
  <si>
    <t>KGN-25031663</t>
  </si>
  <si>
    <t>KGN-25031665</t>
  </si>
  <si>
    <t>23H 31/03/2025
CY: 7H 01/04/2025</t>
  </si>
  <si>
    <t>ZIMUHCM80515448</t>
  </si>
  <si>
    <t>3H30 01/04/2025</t>
  </si>
  <si>
    <t>WHLU0457976</t>
  </si>
  <si>
    <t>WHLT177235</t>
  </si>
  <si>
    <t>DH-20230806-1</t>
  </si>
  <si>
    <t>DH-20230806-2</t>
  </si>
  <si>
    <t>WHSU2018411</t>
  </si>
  <si>
    <t>WHLW862747</t>
  </si>
  <si>
    <t>27/03/2025</t>
  </si>
  <si>
    <t>KGN-25031813</t>
  </si>
  <si>
    <t>HĐ nâng + 400K</t>
  </si>
  <si>
    <t>DH-20230806-3</t>
  </si>
  <si>
    <t>DH-20230806-4</t>
  </si>
  <si>
    <t>DH-20230806-5</t>
  </si>
  <si>
    <t>WHSU2622252</t>
  </si>
  <si>
    <t>WHLW854259</t>
  </si>
  <si>
    <t>WHSU2490109</t>
  </si>
  <si>
    <t>WHLW854266</t>
  </si>
  <si>
    <t>WHSU2893001</t>
  </si>
  <si>
    <t>WHLW854202</t>
  </si>
  <si>
    <t>28/03/2025</t>
  </si>
  <si>
    <t>2 XE 8T</t>
  </si>
  <si>
    <t>DLNV-20250328</t>
  </si>
  <si>
    <t>LEVA-20250328</t>
  </si>
  <si>
    <t>DH-20230806-6</t>
  </si>
  <si>
    <t>DH-20230806-7</t>
  </si>
  <si>
    <t>DH-20230806-8</t>
  </si>
  <si>
    <t>01/04/2025</t>
  </si>
  <si>
    <t>COAU7258050090
(BAL PEACE 029S)</t>
  </si>
  <si>
    <t>KGN-25031960</t>
  </si>
  <si>
    <t>KGN-25031961</t>
  </si>
  <si>
    <t>TIIU6283290</t>
  </si>
  <si>
    <t>307253775900/E62
307253737030/B11</t>
  </si>
  <si>
    <t>039FX22172</t>
  </si>
  <si>
    <t>Phí cho tờ khai 
thứ 2</t>
  </si>
  <si>
    <t>THÁNG 4/2025</t>
  </si>
  <si>
    <t>02/04/2025</t>
  </si>
  <si>
    <t>307258032340/B11</t>
  </si>
  <si>
    <t>WHSU2783832
WHSU2455601</t>
  </si>
  <si>
    <t>KGN-25032037</t>
  </si>
  <si>
    <t>ZIMU3012880</t>
  </si>
  <si>
    <t>A4251253838</t>
  </si>
  <si>
    <t>SHHCM25047639</t>
  </si>
  <si>
    <t>29/03/2025</t>
  </si>
  <si>
    <t>CAT LAI KHO 2</t>
  </si>
  <si>
    <t>3 PP/ 1209 KGM/ 5 CBM</t>
  </si>
  <si>
    <t>KGN-25032054</t>
  </si>
  <si>
    <t>KGN-25032062</t>
  </si>
  <si>
    <t>KGN-25032071</t>
  </si>
  <si>
    <t>KGN-25032098</t>
  </si>
  <si>
    <t>ZIMU1001968</t>
  </si>
  <si>
    <t>A4251253820</t>
  </si>
  <si>
    <t>FCIU4127734</t>
  </si>
  <si>
    <t>A4251253813</t>
  </si>
  <si>
    <t>ZCSU2598313</t>
  </si>
  <si>
    <t>A4251246435</t>
  </si>
  <si>
    <t>31/03/2025</t>
  </si>
  <si>
    <t>KGN-25032180</t>
  </si>
  <si>
    <t>039FX24352</t>
  </si>
  <si>
    <t>252045381</t>
  </si>
  <si>
    <t>252045736</t>
  </si>
  <si>
    <t>1H 09/04/2025</t>
  </si>
  <si>
    <t>11H 08/03/2025</t>
  </si>
  <si>
    <t>SL-VA.11/2025</t>
  </si>
  <si>
    <t>CHI HỘ DSQ 38 USD
(tỷ giá 28/3: 25,760)</t>
  </si>
  <si>
    <t>SL-CJ.05/2025</t>
  </si>
  <si>
    <t>CƯỢC CONT 3TR</t>
  </si>
  <si>
    <t>KGN-25040088</t>
  </si>
  <si>
    <t>SZHCM25033178
(WAN HAI 286 S081)</t>
  </si>
  <si>
    <t>5 PK/ 5100 KGM/ 8.337 CBM</t>
  </si>
  <si>
    <t>HWNBCLI2500014
(PHOENIX D V. 513S)</t>
  </si>
  <si>
    <t>4 PK/ 4200 KGM/ 7.2 CBM</t>
  </si>
  <si>
    <t xml:space="preserve">18/03/2025	</t>
  </si>
  <si>
    <t>LPHQ</t>
  </si>
  <si>
    <t>KGN-25040152</t>
  </si>
  <si>
    <t>01/04/2025
DEM 06/04/2025
DET 08/04/2025</t>
  </si>
  <si>
    <t>BEAU2120316
CSNU1702151
DFSU1822192
FTAU1571597
OOCU0775940
OOLU1164198
OOLU1594413
OOLU1602041
OOLU1723320
OOLU1915560
TGBU3241028
TLLU3105402</t>
  </si>
  <si>
    <t>03/04/2025
04/04/2025</t>
  </si>
  <si>
    <t>107060531541/A12</t>
  </si>
  <si>
    <t>339IN25022316</t>
  </si>
  <si>
    <t>03/04/2025</t>
  </si>
  <si>
    <t>KGN-25040198</t>
  </si>
  <si>
    <t>00000045</t>
  </si>
  <si>
    <t>00000046</t>
  </si>
  <si>
    <t xml:space="preserve">SI,VGM: 09H 04/04/2025  CY:  20H 05/04/2025 </t>
  </si>
  <si>
    <t xml:space="preserve">MSDU4181268 </t>
  </si>
  <si>
    <r>
      <t>THÁNG 4/2025 (</t>
    </r>
    <r>
      <rPr>
        <b/>
        <sz val="10"/>
        <color rgb="FFFF0000"/>
        <rFont val="Times New Roman"/>
        <family val="1"/>
      </rPr>
      <t>SERVICE DAY TỪ NGÀY 03/4</t>
    </r>
    <r>
      <rPr>
        <b/>
        <sz val="10"/>
        <rFont val="Times New Roman"/>
        <family val="1"/>
      </rPr>
      <t>)</t>
    </r>
  </si>
  <si>
    <t>09/04/2025</t>
  </si>
  <si>
    <t>05/04/2025</t>
  </si>
  <si>
    <t>04/04/2025</t>
  </si>
  <si>
    <t>BSIU3184552</t>
  </si>
  <si>
    <t>KGN-25040331</t>
  </si>
  <si>
    <t>KGN-25040332</t>
  </si>
  <si>
    <t>MRKU2070947</t>
  </si>
  <si>
    <t>ML-VN0063984</t>
  </si>
  <si>
    <t>LEVA-20250404-2</t>
  </si>
  <si>
    <t>MSKU5042663</t>
  </si>
  <si>
    <t>ML-VN0063845</t>
  </si>
  <si>
    <t>LEVA-20250404-1</t>
  </si>
  <si>
    <t>08/04/2025</t>
  </si>
  <si>
    <t>SZHCM25036735
(SITC TIANJIN 2510S)</t>
  </si>
  <si>
    <t>2 PW CASE/ 998 KGM/ 10.603 CBM</t>
  </si>
  <si>
    <t>06/04/2025</t>
  </si>
  <si>
    <t>SL-CU.04.2025</t>
  </si>
  <si>
    <t>00000047</t>
  </si>
  <si>
    <t xml:space="preserve">039FX26390 </t>
  </si>
  <si>
    <t>WHSU6639741</t>
  </si>
  <si>
    <t>307286813910/B11
307286832440/E62</t>
  </si>
  <si>
    <t>ZIMUHCM80517213</t>
  </si>
  <si>
    <t>EBKG12347330</t>
  </si>
  <si>
    <t>JXLU7805748</t>
  </si>
  <si>
    <t>A4251239034</t>
  </si>
  <si>
    <t>LF01P-20250408</t>
  </si>
  <si>
    <t>TGHU0548028</t>
  </si>
  <si>
    <t>FX38777142</t>
  </si>
  <si>
    <t>DH-20231112</t>
  </si>
  <si>
    <t>EGLV147500231889</t>
  </si>
  <si>
    <t>INV HD250327</t>
  </si>
  <si>
    <t>DRYU2663350
EGHU3936660</t>
  </si>
  <si>
    <t>GXSAG25032420</t>
  </si>
  <si>
    <t>ETA: 09/04/2025</t>
  </si>
  <si>
    <t>2 PP/ 1260 KGM/ 1.26 CBM</t>
  </si>
  <si>
    <t>CHI BẤM SEAL</t>
  </si>
  <si>
    <t>KGN-25040656</t>
  </si>
  <si>
    <t>KGN-25040659</t>
  </si>
  <si>
    <t>10/04/2025</t>
  </si>
  <si>
    <t>17H 12/04/2025</t>
  </si>
  <si>
    <t>EBKG12023062</t>
  </si>
  <si>
    <t>039FX22170</t>
  </si>
  <si>
    <t>107080732141/A12 107080757340/E31</t>
  </si>
  <si>
    <t>SI,VGM: 09H 11/04/2025   10H 12/04/2025  
CY: 15H 11/04/2025</t>
  </si>
  <si>
    <t>SI,VGM: 09H 14/04/2025  15H 13/04/2025  
CY: 15:29 13/04/2025</t>
  </si>
  <si>
    <t>SL-LD.23.2025</t>
  </si>
  <si>
    <t>SL-LD.24.2025</t>
  </si>
  <si>
    <t>SL-LD.25.2025</t>
  </si>
  <si>
    <t>SL-LD.26.2025</t>
  </si>
  <si>
    <t>WHSU5728844</t>
  </si>
  <si>
    <t>307292907410/E62
307292899340/B11</t>
  </si>
  <si>
    <t>251899508</t>
  </si>
  <si>
    <t>KGN-25040813</t>
  </si>
  <si>
    <t>KGN-25040816</t>
  </si>
  <si>
    <t>KGN-25040820</t>
  </si>
  <si>
    <t>TRHU4047601</t>
  </si>
  <si>
    <t>W251603</t>
  </si>
  <si>
    <t>10H 15/03/2025</t>
  </si>
  <si>
    <t>UACU3875277</t>
  </si>
  <si>
    <t>WHSU2922250</t>
  </si>
  <si>
    <t>16/04/2025</t>
  </si>
  <si>
    <t>20/04/2025</t>
  </si>
  <si>
    <t>XL-NV250405</t>
  </si>
  <si>
    <t>18/04/2025</t>
  </si>
  <si>
    <t>KGN-25040889</t>
  </si>
  <si>
    <t>11/04/2025</t>
  </si>
  <si>
    <t>1 PK/ 1430.60 KGM/ 1.08 CBM</t>
  </si>
  <si>
    <t>CAT LAI KHO 5</t>
  </si>
  <si>
    <t>KGN-25040891</t>
  </si>
  <si>
    <t>KGN-25040892</t>
  </si>
  <si>
    <t>KGN-25040893</t>
  </si>
  <si>
    <t>KGN-25040895</t>
  </si>
  <si>
    <t>KGN-25040896</t>
  </si>
  <si>
    <t>KGN-25040931</t>
  </si>
  <si>
    <t>2 NHÀ CUNG CẤP THƯỜNG KHAI BÁO HÓA CHẤT: FUJIAN SEALINKE + XIAMEN INMAIIN
JINJIANG XILIN - ĐÁ NHÂN TẠO PHẢI GIÁM ĐỊNH HỢP QUY XÂY DỰNG</t>
  </si>
  <si>
    <t>TEMU4170166</t>
  </si>
  <si>
    <t>SITSGNGW425208</t>
  </si>
  <si>
    <t xml:space="preserve">12734308 </t>
  </si>
  <si>
    <t>17H 19/04/2025
CY: 16:59 20/04/2025</t>
  </si>
  <si>
    <t>14/04/2025</t>
  </si>
  <si>
    <t>024F529206</t>
  </si>
  <si>
    <t>XL-SY250412</t>
  </si>
  <si>
    <t>WHSU2864533</t>
  </si>
  <si>
    <t>KGN-25041028</t>
  </si>
  <si>
    <t>KGN-25041029</t>
  </si>
  <si>
    <t>KGN-25040897</t>
  </si>
  <si>
    <t>HWCLI2500854 
(ASL QINGDAO 2504S)</t>
  </si>
  <si>
    <t>1 PK/ 100 KGM/ 0.35 CBM</t>
  </si>
  <si>
    <t>SL-VA.12/2025</t>
  </si>
  <si>
    <t>1381</t>
  </si>
  <si>
    <t>252365298</t>
  </si>
  <si>
    <t>MRKU7604691
MRKU6950909</t>
  </si>
  <si>
    <t>XL-NV2502A</t>
  </si>
  <si>
    <t>KGN-25041043</t>
  </si>
  <si>
    <t>MÁY MÓC
XE 8T
CHI KIỂM HÓA 1tr2</t>
  </si>
  <si>
    <t>00000048</t>
  </si>
  <si>
    <t>00000049</t>
  </si>
  <si>
    <t>00000050</t>
  </si>
  <si>
    <t>00000051</t>
  </si>
  <si>
    <t>16/04/205</t>
  </si>
  <si>
    <t>00000052</t>
  </si>
  <si>
    <t>DH-20240829C</t>
  </si>
  <si>
    <t>15/04/2025</t>
  </si>
  <si>
    <t xml:space="preserve">039FX31487 </t>
  </si>
  <si>
    <t>CY: 17:00 19/04/2025
BK: 6H 20/04/2025</t>
  </si>
  <si>
    <t>HPL</t>
  </si>
  <si>
    <t>KGN-25041208</t>
  </si>
  <si>
    <t>Tính phí lấy hàng ở Cái Mép</t>
  </si>
  <si>
    <t>6 CTNS</t>
  </si>
  <si>
    <t xml:space="preserve">134 CTNS </t>
  </si>
  <si>
    <t xml:space="preserve">YAKJIN CAMBODIA </t>
  </si>
  <si>
    <t>115 CTNS</t>
  </si>
  <si>
    <t>FANU5042598</t>
  </si>
  <si>
    <t>KGN-25041280</t>
  </si>
  <si>
    <t>EBKG12512943</t>
  </si>
  <si>
    <t>17/04/2025</t>
  </si>
  <si>
    <t>CCL/YTC/2025/SI2504141</t>
  </si>
  <si>
    <t>CCL/YKJ/2025/SI2504142</t>
  </si>
  <si>
    <t>CCL/YKJ/2025/SI2504143</t>
  </si>
  <si>
    <t xml:space="preserve"> 11:59 20/04/2025 
CY: 09:00 22/04/2025</t>
  </si>
  <si>
    <t>12:00 22/04/2025</t>
  </si>
  <si>
    <t>21/04/2025</t>
  </si>
  <si>
    <t>WHSU2439391</t>
  </si>
  <si>
    <t>WHSU6162638</t>
  </si>
  <si>
    <t>307318123360/E62
307318111460/B11</t>
  </si>
  <si>
    <t>ZIMUHCM80519520</t>
  </si>
  <si>
    <t>235500599064</t>
  </si>
  <si>
    <t>307314124260/B11
307314182400/E62</t>
  </si>
  <si>
    <t>039FX28352</t>
  </si>
  <si>
    <t>MI250407</t>
  </si>
  <si>
    <t>252145541</t>
  </si>
  <si>
    <t>KGN-25041382</t>
  </si>
  <si>
    <t xml:space="preserve">20H 19/04/2025  </t>
  </si>
  <si>
    <t>TCLU4466720</t>
  </si>
  <si>
    <t xml:space="preserve">SI,VGM: 11H 21/04/2025  11H 23/04/2025  </t>
  </si>
  <si>
    <t>TEMU5000267</t>
  </si>
  <si>
    <t>SL-LD.27.2025</t>
  </si>
  <si>
    <t>SL-LD.28.2025</t>
  </si>
  <si>
    <t>SL-LD.29.2025</t>
  </si>
  <si>
    <t>SL-LD.30.2025</t>
  </si>
  <si>
    <t>573</t>
  </si>
  <si>
    <t>1.417</t>
  </si>
  <si>
    <t>KGN-25041426</t>
  </si>
  <si>
    <t>KGN-25041428</t>
  </si>
  <si>
    <t>KGN-25041429</t>
  </si>
  <si>
    <t>KGN-25041430</t>
  </si>
  <si>
    <t>KGN-25041431</t>
  </si>
  <si>
    <t>MRKU3958589</t>
  </si>
  <si>
    <r>
      <t>THÁNG 05/2025</t>
    </r>
    <r>
      <rPr>
        <b/>
        <sz val="10"/>
        <color rgb="FFFF0000"/>
        <rFont val="Times New Roman"/>
        <family val="1"/>
      </rPr>
      <t xml:space="preserve"> (SERVICE DAY TỪ NGÀY 01/05/25)</t>
    </r>
  </si>
  <si>
    <t>PHÍ TK XUẤT TC T4.25</t>
  </si>
  <si>
    <t>13 TK</t>
  </si>
  <si>
    <t>SG2504412</t>
  </si>
  <si>
    <t>CY: 2H 26/04/2025</t>
  </si>
  <si>
    <t xml:space="preserve">039FX31562 </t>
  </si>
  <si>
    <t>CK LINE</t>
  </si>
  <si>
    <t>039FX28351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</si>
  <si>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3/5/25)</t>
    </r>
  </si>
  <si>
    <t>3 PP/ 1109 KGM / 3.440 CBM</t>
  </si>
  <si>
    <t>Tan Cang Nhon Trach</t>
  </si>
  <si>
    <t>22/04/2025</t>
  </si>
  <si>
    <t>DEM: 25/04/2025
DET: 7 days</t>
  </si>
  <si>
    <t>ETA: 22/01/2025</t>
  </si>
  <si>
    <t>A59F010795</t>
  </si>
  <si>
    <t xml:space="preserve">SI,VGM: 16H 22/04/2025  06H 24/04/2025  </t>
  </si>
  <si>
    <t>EITU9055630</t>
  </si>
  <si>
    <t>307326038740
307325971060</t>
  </si>
  <si>
    <t>TCLU7909503 
TGBU7128909</t>
  </si>
  <si>
    <t>KGN-25041586</t>
  </si>
  <si>
    <t>KGN-25041587</t>
  </si>
  <si>
    <t>KGN-25041590</t>
  </si>
  <si>
    <t>KGN-25041593</t>
  </si>
  <si>
    <t>KGN-25041594</t>
  </si>
  <si>
    <t>KGN-25041595</t>
  </si>
  <si>
    <t>00000053</t>
  </si>
  <si>
    <t>00000054</t>
  </si>
  <si>
    <t>00000055</t>
  </si>
  <si>
    <t>23/04/2025</t>
  </si>
  <si>
    <t>26/04/2025</t>
  </si>
  <si>
    <t>ZIMUHCM80522062</t>
  </si>
  <si>
    <t>SI,VGM: 16H 25/04/2025
16H 28/04/2025</t>
  </si>
  <si>
    <t>KGN-25041728</t>
  </si>
  <si>
    <t>SKHU6313264</t>
  </si>
  <si>
    <t>SGNFB1324400</t>
  </si>
  <si>
    <t>235500544693</t>
  </si>
  <si>
    <t>AHA0322647</t>
  </si>
  <si>
    <t xml:space="preserve">SI,VGM: 11H 24/04/2025  23H 26/04/2025  </t>
  </si>
  <si>
    <t xml:space="preserve">SI,VGM: 10H 25/04/2025  06H 27/04/2025  </t>
  </si>
  <si>
    <t>SI,VGM: 9H 28/04/2025  
9H 28/04/2025 
CY: 13H 27/04/2025</t>
  </si>
  <si>
    <t>24/04/2025</t>
  </si>
  <si>
    <t>CY: 17H 26/04/2025</t>
  </si>
  <si>
    <t>HWNBCLI2500022 
(HMM MASTER 0005W)</t>
  </si>
  <si>
    <t>1 PK/400 KGS/ 0.7 CBM</t>
  </si>
  <si>
    <t>EGHU9764785</t>
  </si>
  <si>
    <t>CKSU2202912</t>
  </si>
  <si>
    <t>KGN-25041835</t>
  </si>
  <si>
    <t>KGN-25041836</t>
  </si>
  <si>
    <t>25/04/2025</t>
  </si>
  <si>
    <t>465</t>
  </si>
  <si>
    <t>SL-VA.13/2025</t>
  </si>
  <si>
    <t>SL-CU.05.2025</t>
  </si>
  <si>
    <t>10H 29/04/2025
SI: 11H 29/04/2025</t>
  </si>
  <si>
    <t>039FX34210</t>
  </si>
  <si>
    <t>LN-LHN14-25</t>
  </si>
  <si>
    <t>PXK: 00000101</t>
  </si>
  <si>
    <t>PXK: 00000105</t>
  </si>
  <si>
    <t>LY-LHY10/11/12/13/13-25</t>
  </si>
  <si>
    <t>27/04/2025</t>
  </si>
  <si>
    <t>TCLU3713261</t>
  </si>
  <si>
    <t>Phí chứng nhận hợp quy</t>
  </si>
  <si>
    <t>107129733910</t>
  </si>
  <si>
    <t>KGN-25041928</t>
  </si>
  <si>
    <t>WHSU2035701
WHLU0319318</t>
  </si>
  <si>
    <t>KGN-25041981</t>
  </si>
  <si>
    <t>THÁNG 5/2025</t>
  </si>
  <si>
    <t>KGN-25041986</t>
  </si>
  <si>
    <t>KGN-25042013</t>
  </si>
  <si>
    <t>KGN-25042018</t>
  </si>
  <si>
    <t>AJ</t>
  </si>
  <si>
    <t>TR</t>
  </si>
  <si>
    <t>RCEP</t>
  </si>
  <si>
    <t>TCNU2503925</t>
  </si>
  <si>
    <t>A4251266250</t>
  </si>
  <si>
    <t>LF01P-20250425</t>
  </si>
  <si>
    <t>Tính phí hạ Hiệp Phước</t>
  </si>
  <si>
    <t>ECMU1979190</t>
  </si>
  <si>
    <t>KGN-25042074</t>
  </si>
  <si>
    <t>KGN-25042082</t>
  </si>
  <si>
    <t>KGN-25042090</t>
  </si>
  <si>
    <t>KGN-25042091</t>
  </si>
  <si>
    <t>28/04/2025</t>
  </si>
  <si>
    <t>LẤY BILL</t>
  </si>
  <si>
    <r>
      <t>THÁNG 5/2025 (</t>
    </r>
    <r>
      <rPr>
        <b/>
        <sz val="10"/>
        <color rgb="FFFF0000"/>
        <rFont val="Times New Roman"/>
        <family val="1"/>
      </rPr>
      <t>SERVICE DAY TỪ NGÀY 26/4</t>
    </r>
    <r>
      <rPr>
        <b/>
        <sz val="10"/>
        <rFont val="Times New Roman"/>
        <family val="1"/>
      </rPr>
      <t>)</t>
    </r>
  </si>
  <si>
    <t>PKECLP2540070</t>
  </si>
  <si>
    <t>ETA: 26/04/2025</t>
  </si>
  <si>
    <t>SE25050013-01</t>
  </si>
  <si>
    <t>10H 05/05/2025</t>
  </si>
  <si>
    <t>307347692650/E62
307347723710/B11</t>
  </si>
  <si>
    <t>PTNCLP2540002</t>
  </si>
  <si>
    <t>WHSU5620546</t>
  </si>
  <si>
    <t>6H 02/05/2025</t>
  </si>
  <si>
    <t>29/04/2025</t>
  </si>
  <si>
    <t>KGN-25041591
KGN-25042281</t>
  </si>
  <si>
    <t>WHSU5251345</t>
  </si>
  <si>
    <t>107136282520/E31</t>
  </si>
  <si>
    <t>307354321760/E62
307354319220/B11</t>
  </si>
  <si>
    <t xml:space="preserve">28/04/2025 </t>
  </si>
  <si>
    <t>107140876511/A12
107140984200/E31</t>
  </si>
  <si>
    <t>307353443150/E62
307353421710/B11</t>
  </si>
  <si>
    <t>02/05/2025</t>
  </si>
  <si>
    <t>SL-CJ.06/2025</t>
  </si>
  <si>
    <t>SL-VA.14/2025</t>
  </si>
  <si>
    <t>KGN-25050078</t>
  </si>
  <si>
    <t>KGN-25050079</t>
  </si>
  <si>
    <t>039FX37387</t>
  </si>
  <si>
    <t>07/05/2025</t>
  </si>
  <si>
    <t>235500544898</t>
  </si>
  <si>
    <t xml:space="preserve">SI,VGM:10H 08/05/2025  
02H 08/05/2025  </t>
  </si>
  <si>
    <t>SL-LD.31.2025</t>
  </si>
  <si>
    <t>SL-LD.32.2025</t>
  </si>
  <si>
    <t>SL-LD.33.2025</t>
  </si>
  <si>
    <t>SL-LD.34.2025</t>
  </si>
  <si>
    <t>PLASTIC PELLETS</t>
  </si>
  <si>
    <t>JJCSHSGB500523
(MILD SYMPHONY 2518S)</t>
  </si>
  <si>
    <t>WHSU6104380</t>
  </si>
  <si>
    <t>WHSU4041848</t>
  </si>
  <si>
    <t>6H 09/05/2025</t>
  </si>
  <si>
    <t>KGN-25050124</t>
  </si>
  <si>
    <t>KGN-25050125</t>
  </si>
  <si>
    <t>KGN-25050126</t>
  </si>
  <si>
    <t>YMLU8944090</t>
  </si>
  <si>
    <t>ETA: 05/05/2025</t>
  </si>
  <si>
    <t>FUJIAN SEALINKE</t>
  </si>
  <si>
    <t xml:space="preserve">MST: 3703240385 </t>
  </si>
  <si>
    <t>THEO DÕI HÀNG HÓA TẠM ỨNG, THANH TOÁN, ĐIỀU XE  - ZASI</t>
  </si>
  <si>
    <t>NSASGNG204947</t>
  </si>
  <si>
    <t>SITU2828223/SITF590026</t>
  </si>
  <si>
    <t xml:space="preserve">DEM: 13/05/2025
DET: 3 </t>
  </si>
  <si>
    <t>30/04/2025</t>
  </si>
  <si>
    <t>CSSGN2540248</t>
  </si>
  <si>
    <t>SL-CU.06.2025</t>
  </si>
  <si>
    <t>05/05/2025</t>
  </si>
  <si>
    <t>KHAI TK CÁT LÁI</t>
  </si>
  <si>
    <t>ZIMUHCM80527174</t>
  </si>
  <si>
    <t>KGN-25050198</t>
  </si>
  <si>
    <t>NSASGNG206194</t>
  </si>
  <si>
    <t>SITU2641823/SITF564098</t>
  </si>
  <si>
    <t>KGN-25042236</t>
  </si>
  <si>
    <t>KGN-25050221</t>
  </si>
  <si>
    <t>ASH-25050101</t>
  </si>
  <si>
    <t>07/05/2025
CFS Phú Hữu</t>
  </si>
  <si>
    <t>5 PK/ 2584 KGS/ 12.140 CBM</t>
  </si>
  <si>
    <t>307368028130/E62
307368008200/B11</t>
  </si>
  <si>
    <t>107153088820/E31
107153077620/A12</t>
  </si>
  <si>
    <t>06/05/2025</t>
  </si>
  <si>
    <t>JJCNSSGY501048</t>
  </si>
  <si>
    <t>BMOU1671330</t>
  </si>
  <si>
    <t>BY20250427</t>
  </si>
  <si>
    <t>WLL2505/0358</t>
  </si>
  <si>
    <t>WHSU2598290</t>
  </si>
  <si>
    <t>039FX38657</t>
  </si>
  <si>
    <t>20H 10/05/2025</t>
  </si>
  <si>
    <t>14H 09/05/2025</t>
  </si>
  <si>
    <t>08/05/2025</t>
  </si>
  <si>
    <t>09/05/2025</t>
  </si>
  <si>
    <t>22h 11/05/2025</t>
  </si>
  <si>
    <t>EMCU8490030</t>
  </si>
  <si>
    <t>ZIMU2939614</t>
  </si>
  <si>
    <t>A4251251641</t>
  </si>
  <si>
    <t>DH-20240505-1</t>
  </si>
  <si>
    <t>ZIMU1435199</t>
  </si>
  <si>
    <t>A4251251532</t>
  </si>
  <si>
    <t>DH-20240505-2</t>
  </si>
  <si>
    <t>ZIMU1101355</t>
  </si>
  <si>
    <t>A4251254889</t>
  </si>
  <si>
    <t>DH-20240505-3</t>
  </si>
  <si>
    <t>UESU2451104</t>
  </si>
  <si>
    <t>A4251254881</t>
  </si>
  <si>
    <t>DH-20240505-4</t>
  </si>
  <si>
    <t>SEGU2097033</t>
  </si>
  <si>
    <t>A4251251683</t>
  </si>
  <si>
    <t>DH-20240505-5</t>
  </si>
  <si>
    <t>SG2506088</t>
  </si>
  <si>
    <t>DEM: 21/05/2025
DET: 3</t>
  </si>
  <si>
    <t>KHO TRANSIMEX</t>
  </si>
  <si>
    <t>14H 14/05/2025
CY: 17:00 13/05/2025</t>
  </si>
  <si>
    <t>ZIMU2774392</t>
  </si>
  <si>
    <t>A4251239940</t>
  </si>
  <si>
    <t>DH-20240505-6</t>
  </si>
  <si>
    <t>NSASGNG206478A</t>
  </si>
  <si>
    <t>UETU2333229/SITF563275</t>
  </si>
  <si>
    <t>13/05/2025</t>
  </si>
  <si>
    <t>NSASGNG207685</t>
  </si>
  <si>
    <t>TGBU2542773/SITF564216</t>
  </si>
  <si>
    <t>WHSU2450019</t>
  </si>
  <si>
    <t>107157437660/A12</t>
  </si>
  <si>
    <t>12/05/2025</t>
  </si>
  <si>
    <t>TWCU2187320</t>
  </si>
  <si>
    <t>JJCNSSGY501121</t>
  </si>
  <si>
    <t>UETU2937574
BMOU1671793
FCIU6349108
FTAU1981122
TWCU2125415
TWCU2171869
HAHU2035101</t>
  </si>
  <si>
    <t>XL-NV250501</t>
  </si>
  <si>
    <t>KGN-25050539</t>
  </si>
  <si>
    <t>KGN-25050540</t>
  </si>
  <si>
    <t>KGN-25050541</t>
  </si>
  <si>
    <t>KGN-25050544</t>
  </si>
  <si>
    <t>SNLFNSVLF42019</t>
  </si>
  <si>
    <t>XL-HD250511</t>
  </si>
  <si>
    <t>HWNBCLI2500025
(MILD PEONY 2519S)</t>
  </si>
  <si>
    <t>2 PK/ 1055 KGS/ 0.41 CBM</t>
  </si>
  <si>
    <t>039FX37386</t>
  </si>
  <si>
    <t>039FX37385</t>
  </si>
  <si>
    <t>06H 16/05/2025</t>
  </si>
  <si>
    <t>EMCU6375784</t>
  </si>
  <si>
    <t>GAOU2018930</t>
  </si>
  <si>
    <t>SGN2687001</t>
  </si>
  <si>
    <t>02H 20/05/2025</t>
  </si>
  <si>
    <t>KGN-25050772</t>
  </si>
  <si>
    <t>107165011550/A12
107164961040/A12</t>
  </si>
  <si>
    <t>EGLV149502516950
'EGLV149502223103</t>
  </si>
  <si>
    <t>17/05/2025</t>
  </si>
  <si>
    <t>WLL2505/1293</t>
  </si>
  <si>
    <t>13H 14/05/2025</t>
  </si>
  <si>
    <t>15/05/2025</t>
  </si>
  <si>
    <t>KGN-25050812</t>
  </si>
  <si>
    <t>KGN-25050813</t>
  </si>
  <si>
    <t>KGN-25050815</t>
  </si>
  <si>
    <t>WORLDWIDE LINK</t>
  </si>
  <si>
    <t>14/05/2025</t>
  </si>
  <si>
    <t>KGN-25050837</t>
  </si>
  <si>
    <t>KGN-25050842</t>
  </si>
  <si>
    <t>32 ROLLS/ 839.284 KGM/ 3 CBM</t>
  </si>
  <si>
    <t>32 ROLL/ 911.48 KGM/ 3 CBM</t>
  </si>
  <si>
    <t>KGN-25050871</t>
  </si>
  <si>
    <t>KGN-25051032</t>
  </si>
  <si>
    <t>MAGU2501048</t>
  </si>
  <si>
    <t>M1040989</t>
  </si>
  <si>
    <t>TRHU3546669</t>
  </si>
  <si>
    <t>M1042810</t>
  </si>
  <si>
    <t>ECMU2675910</t>
  </si>
  <si>
    <t>M1040878</t>
  </si>
  <si>
    <t>DH-20250317-1</t>
  </si>
  <si>
    <t>DH-20250317-2</t>
  </si>
  <si>
    <t>DH-20250317-3</t>
  </si>
  <si>
    <t>16/05/2025</t>
  </si>
  <si>
    <t>19/05/2025</t>
  </si>
  <si>
    <t>21/05/2025</t>
  </si>
  <si>
    <t>27/05/2025</t>
  </si>
  <si>
    <t>EGHU3258183
EITU0322891</t>
  </si>
  <si>
    <t>WHLU0706385</t>
  </si>
  <si>
    <t>WHLU0573235</t>
  </si>
  <si>
    <t>307393533700/B11
307393540000/E62</t>
  </si>
  <si>
    <t>SỐ HĐ</t>
  </si>
  <si>
    <t xml:space="preserve"> JS-250410-1</t>
  </si>
  <si>
    <t>JS-250410-2B</t>
  </si>
  <si>
    <t>JS-250410-2A</t>
  </si>
  <si>
    <t xml:space="preserve"> JS-250410-3</t>
  </si>
  <si>
    <t>JS-250429-1</t>
  </si>
  <si>
    <t>KGN-25051095</t>
  </si>
  <si>
    <t>307393432750/E62
307393420740/B11</t>
  </si>
  <si>
    <t>KGN-25051116</t>
  </si>
  <si>
    <t>KGN-25051117</t>
  </si>
  <si>
    <t>KGN-25051118</t>
  </si>
  <si>
    <t>039FX40976</t>
  </si>
  <si>
    <t>6H 23/05/2025</t>
  </si>
  <si>
    <t>KGN-25051147</t>
  </si>
  <si>
    <t>SL-LD.35.2025</t>
  </si>
  <si>
    <t>SL-LD.36.2025</t>
  </si>
  <si>
    <t>SL-LD.37.2025</t>
  </si>
  <si>
    <t>Phí Tham vấn giá</t>
  </si>
  <si>
    <t>HWCLI2501488
(SAWASDEE ALTAIR 2505S)</t>
  </si>
  <si>
    <t>1 PK/ 100 KGS/ 0.35 CBM</t>
  </si>
  <si>
    <t>16/05/2025
17/05/2025
18/05/2025</t>
  </si>
  <si>
    <t>SGN2643692</t>
  </si>
  <si>
    <t>15H 24/05/2025</t>
  </si>
  <si>
    <t>20/05/2025</t>
  </si>
  <si>
    <t>KGN-25051175</t>
  </si>
  <si>
    <t>CMAU6827768</t>
  </si>
  <si>
    <t>MO937961</t>
  </si>
  <si>
    <t xml:space="preserve">DEM: 30/05/2025 </t>
  </si>
  <si>
    <t>DEM: 27/05/2025</t>
  </si>
  <si>
    <t>SHHCM25087852</t>
  </si>
  <si>
    <t>KGN-25051358</t>
  </si>
  <si>
    <t>DLNV-20250519</t>
  </si>
  <si>
    <t>FTAU2122230
SLPU2004200
SNBU2300475</t>
  </si>
  <si>
    <t>2 PL/ 880 KGM/ 3.8 CBM</t>
  </si>
  <si>
    <t>KGN-25051397</t>
  </si>
  <si>
    <t>21/05/2025
PHÚ HỮU</t>
  </si>
  <si>
    <t>TẤM ĐÁ NHÂN TẠO</t>
  </si>
  <si>
    <t>ICD NHƠN TRẠCH</t>
  </si>
  <si>
    <t>JJCNSSGY501298</t>
  </si>
  <si>
    <t>XL-NV250515</t>
  </si>
  <si>
    <t>TWCU2241333
TWCU2221131
DFSU1944056</t>
  </si>
  <si>
    <t>SGNFD7298800</t>
  </si>
  <si>
    <t>WLL2505/1606</t>
  </si>
  <si>
    <t>14H 23/05/25</t>
  </si>
  <si>
    <t>KGN-25051464</t>
  </si>
  <si>
    <t>NSASGNG208508</t>
  </si>
  <si>
    <t>BEAU2877275/SITF561876</t>
  </si>
  <si>
    <t>SITU2707319
SITU2753000</t>
  </si>
  <si>
    <t>WHSU5101601</t>
  </si>
  <si>
    <t>JJCNSSGY501253</t>
  </si>
  <si>
    <t>CAAU2541322
TWCU2161053</t>
  </si>
  <si>
    <t>BY20250514</t>
  </si>
  <si>
    <t>22/05/2025</t>
  </si>
  <si>
    <t>SD2510SSG6915</t>
  </si>
  <si>
    <t>GAOU2064176</t>
  </si>
  <si>
    <t>23/05/2025</t>
  </si>
  <si>
    <t>Phụ phí thu hàng nặng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</si>
  <si>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  <r>
      <rPr>
        <sz val="10"/>
        <color rgb="FFFF0000"/>
        <rFont val="Times New Roman"/>
        <family val="1"/>
      </rPr>
      <t xml:space="preserve">
3TR CHI KIỂM HÓA (Đã trả)</t>
    </r>
  </si>
  <si>
    <t>00000067</t>
  </si>
  <si>
    <t>SL-VA.15/2025</t>
  </si>
  <si>
    <t>307412119730/B11
307412799101/E62</t>
  </si>
  <si>
    <t>PHÍ TK XUẤT TC T5.25</t>
  </si>
  <si>
    <r>
      <t>THÁNG 06/2025</t>
    </r>
    <r>
      <rPr>
        <b/>
        <sz val="10"/>
        <color rgb="FFFF0000"/>
        <rFont val="Times New Roman"/>
        <family val="1"/>
      </rPr>
      <t xml:space="preserve"> (SERVICE DAY TỪ NGÀY 01/06/25)</t>
    </r>
  </si>
  <si>
    <t>KGN-25051548</t>
  </si>
  <si>
    <t>KGN-25051570</t>
  </si>
  <si>
    <t>KGN-25050542</t>
  </si>
  <si>
    <t>KGN-25041428-BS1</t>
  </si>
  <si>
    <t>SE250517</t>
  </si>
  <si>
    <t>9 PP/ 4,239.5 KGM/ 11.410 CBM</t>
  </si>
  <si>
    <t>SE250516</t>
  </si>
  <si>
    <t>9 PP/ 4,039.5 KGM/ 10.970 CBM</t>
  </si>
  <si>
    <t>12H30 22/05/2025</t>
  </si>
  <si>
    <t>04/06/2025</t>
  </si>
  <si>
    <t>SGN2715342</t>
  </si>
  <si>
    <t>PTNCLP2550003</t>
  </si>
  <si>
    <t>MÁY MÓC
CƯỚC SOTRANS
XE 5T</t>
  </si>
  <si>
    <t>SL-CU.07.2025</t>
  </si>
  <si>
    <r>
      <t xml:space="preserve">THÁNG 05/2025 </t>
    </r>
    <r>
      <rPr>
        <b/>
        <sz val="10"/>
        <color rgb="FFFF0000"/>
        <rFont val="Times New Roman"/>
        <family val="1"/>
      </rPr>
      <t>(SERVICE DAY TỪ NGÀY 20/04/25)</t>
    </r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</si>
  <si>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23/04/25)</t>
    </r>
  </si>
  <si>
    <t>6418817300</t>
  </si>
  <si>
    <t>SI 17H 26/05/2025</t>
  </si>
  <si>
    <t>KGN-25051606</t>
  </si>
  <si>
    <t>KGN-25051607</t>
  </si>
  <si>
    <t>39 RO/ 1077.27 KGM/ 4 CBM</t>
  </si>
  <si>
    <t>KGN-25051608</t>
  </si>
  <si>
    <t>307418540500/B11
307418542340/E62</t>
  </si>
  <si>
    <t>307418561020/B11
307418565220.E62</t>
  </si>
  <si>
    <t>24/05/2025</t>
  </si>
  <si>
    <t>XL-NV2503</t>
  </si>
  <si>
    <t>MRKU7259960
MRKU6542888</t>
  </si>
  <si>
    <t>DEM: 06/06/2025</t>
  </si>
  <si>
    <t>2 XE 5T</t>
  </si>
  <si>
    <t>DLNV-20250523</t>
  </si>
  <si>
    <t>CMAU3451390</t>
  </si>
  <si>
    <t>R9452270</t>
  </si>
  <si>
    <t>JJCSHSGB500591
(MILD ORCHID 2520S)</t>
  </si>
  <si>
    <t>26/05/2025</t>
  </si>
  <si>
    <t>TWCU8139714
UETU2922614</t>
  </si>
  <si>
    <t>VN61796AH</t>
  </si>
  <si>
    <t>KGN-25051710</t>
  </si>
  <si>
    <t>KGN-25051711</t>
  </si>
  <si>
    <t>TTTCLT151875V</t>
  </si>
  <si>
    <t xml:space="preserve">10:00 28/05/25 </t>
  </si>
  <si>
    <t xml:space="preserve">CAT LAI </t>
  </si>
  <si>
    <t>02:30 28/05/2025</t>
  </si>
  <si>
    <t>08H 26/05/2025</t>
  </si>
  <si>
    <t>KGN-25051787</t>
  </si>
  <si>
    <t>KGN-25051788</t>
  </si>
  <si>
    <t>KGN-25051789</t>
  </si>
  <si>
    <t xml:space="preserve">039FX42850 </t>
  </si>
  <si>
    <t>SG2506621</t>
  </si>
  <si>
    <t xml:space="preserve">	17:00 31/05/2025</t>
  </si>
  <si>
    <t>SP-ITC</t>
  </si>
  <si>
    <t>14h 01/06/2025
CY: 09 02/06/2025</t>
  </si>
  <si>
    <t>THÁNG 6/2025</t>
  </si>
  <si>
    <t>039FX40975</t>
  </si>
  <si>
    <t>KGN-25051874</t>
  </si>
  <si>
    <t>DH-20250312-1</t>
  </si>
  <si>
    <t>TLLU8395285</t>
  </si>
  <si>
    <t>DH-20250312-2</t>
  </si>
  <si>
    <t>CSLU1366532</t>
  </si>
  <si>
    <t>DH-20250312-3</t>
  </si>
  <si>
    <t>DH-20250312-4</t>
  </si>
  <si>
    <t>BSIU2673040</t>
  </si>
  <si>
    <t>DH-20250312-5</t>
  </si>
  <si>
    <t>CBHU4262000</t>
  </si>
  <si>
    <t>DH-20250312-6</t>
  </si>
  <si>
    <t>DH-20250306</t>
  </si>
  <si>
    <t>5 PK/ 5374.91 KGM/ 4.81 CBM</t>
  </si>
  <si>
    <t>19:00 27/05/2025</t>
  </si>
  <si>
    <t xml:space="preserve">SI,VGM: 13H 29/05/2025
11H 30/05/2025  </t>
  </si>
  <si>
    <t>KGN-25051942</t>
  </si>
  <si>
    <t>KGN-25051945</t>
  </si>
  <si>
    <t>KGN-25051947</t>
  </si>
  <si>
    <t>KGN-25051948</t>
  </si>
  <si>
    <t>SNLFNSILF42206</t>
  </si>
  <si>
    <t>29/05/2025</t>
  </si>
  <si>
    <t>307420596250
307420592420
307420594410</t>
  </si>
  <si>
    <t>KGN-25051955</t>
  </si>
  <si>
    <t>KGN-25051956</t>
  </si>
  <si>
    <t>28/05/2025</t>
  </si>
  <si>
    <t>12:00 30/05/2025
18H 31/05/2025</t>
  </si>
  <si>
    <t>DFSU1219213</t>
  </si>
  <si>
    <t>TGHU0130399</t>
  </si>
  <si>
    <t>KGN-25052052</t>
  </si>
  <si>
    <t>1067058829/618-43900485</t>
  </si>
  <si>
    <t>KHAI TK CÁT LÁI
THAM VẤN GIÁ - ĐĂNG KÝ SỞ XÂY DỰNG
GRAB 260K</t>
  </si>
  <si>
    <r>
      <t xml:space="preserve">KHAI TK CÁT LÁI
ĐK SỞ XÂY DỰNG
THAM VẤN GIÁ
</t>
    </r>
    <r>
      <rPr>
        <b/>
        <sz val="10"/>
        <color rgb="FFFF0000"/>
        <rFont val="Times New Roman"/>
        <family val="1"/>
      </rPr>
      <t>CHI MIỄN KIỂM 1TR</t>
    </r>
    <r>
      <rPr>
        <b/>
        <sz val="10"/>
        <rFont val="Times New Roman"/>
        <family val="1"/>
      </rPr>
      <t xml:space="preserve">
GRAB 246K</t>
    </r>
  </si>
  <si>
    <r>
      <rPr>
        <b/>
        <sz val="10"/>
        <rFont val="Times New Roman"/>
        <family val="1"/>
      </rPr>
      <t xml:space="preserve">KHAI TK CÁT LÁI
ĐK SỞ XÂY DỰNG
</t>
    </r>
    <r>
      <rPr>
        <b/>
        <sz val="10"/>
        <color rgb="FFFF0000"/>
        <rFont val="Times New Roman"/>
        <family val="1"/>
      </rPr>
      <t>CHI MIỄN KIỂM 1TR
GRAB 246K</t>
    </r>
  </si>
  <si>
    <t>xe 8t</t>
  </si>
  <si>
    <t>WHSU5910458</t>
  </si>
  <si>
    <t>307433018010/E62
307433017200/B11</t>
  </si>
  <si>
    <t>HLBU2217880</t>
  </si>
  <si>
    <t>107217237260/H11
107208039150/E31
107216751460/A12</t>
  </si>
  <si>
    <t>DEM: 08/06/2025</t>
  </si>
  <si>
    <t>BEAU4322110
TCLU8963880
TCNU2327894
YMMU6448978
BMOU6195350</t>
  </si>
  <si>
    <t>KGN-25052137</t>
  </si>
  <si>
    <t>EBKG12781762</t>
  </si>
  <si>
    <t>22H 02/06/2025</t>
  </si>
  <si>
    <t>TÍNH PHÍ ĐỔI CONT</t>
  </si>
  <si>
    <t>PHÚC LONG</t>
  </si>
  <si>
    <t>SSGN25206113</t>
  </si>
  <si>
    <t>1 PP/154.5 KGM/0.871 CBM
1100*1100*715</t>
  </si>
  <si>
    <t>WHSU0296389</t>
  </si>
  <si>
    <t>30/05/2025</t>
  </si>
  <si>
    <t>TEMU7870034
TRLU9761754</t>
  </si>
  <si>
    <t>PG01P-20250523</t>
  </si>
  <si>
    <t>DFSU2876676</t>
  </si>
  <si>
    <t>FX38865996</t>
  </si>
  <si>
    <t>HI250504-1P-1</t>
  </si>
  <si>
    <t>TRHU3573941</t>
  </si>
  <si>
    <t>FX38865813</t>
  </si>
  <si>
    <t>HI250504-1P-2</t>
  </si>
  <si>
    <t>SCSC</t>
  </si>
  <si>
    <t>307440758350/B11</t>
  </si>
  <si>
    <t>31/05/2025</t>
  </si>
  <si>
    <t>KGN-25052368</t>
  </si>
  <si>
    <t>BEAU2734572</t>
  </si>
  <si>
    <t>KGN-25052410</t>
  </si>
  <si>
    <t>KGN-25052423</t>
  </si>
  <si>
    <t>1 PP/ 2.3 KGM. 0.082 CBM</t>
  </si>
  <si>
    <t>CỘNG PHÍ BOT</t>
  </si>
  <si>
    <t>XL-HD250601</t>
  </si>
  <si>
    <t>EGLV147500623060</t>
  </si>
  <si>
    <t>EGHU3575608
EITU0551938
EMCU6180674</t>
  </si>
  <si>
    <r>
      <t>THÁNG 6/2025 (</t>
    </r>
    <r>
      <rPr>
        <b/>
        <sz val="10"/>
        <color rgb="FFFF0000"/>
        <rFont val="Times New Roman"/>
        <family val="1"/>
      </rPr>
      <t>SERVICE DAY TỪ NGÀY 01/6</t>
    </r>
    <r>
      <rPr>
        <b/>
        <sz val="10"/>
        <rFont val="Times New Roman"/>
        <family val="1"/>
      </rPr>
      <t>)</t>
    </r>
  </si>
  <si>
    <t>02/06/2025</t>
  </si>
  <si>
    <t>039FX47411</t>
  </si>
  <si>
    <t>18H 06/06/2025</t>
  </si>
  <si>
    <t>039FX47909</t>
  </si>
  <si>
    <t>6H 06/06/2025</t>
  </si>
  <si>
    <t>SL-CJ.07/2025</t>
  </si>
  <si>
    <t>SL-CJ.08/2025</t>
  </si>
  <si>
    <t>SL-CU.08.2025</t>
  </si>
  <si>
    <t>SL-LD.38.2025</t>
  </si>
  <si>
    <t>SL-LD.39.2025</t>
  </si>
  <si>
    <t>SL-LD.40.2025</t>
  </si>
  <si>
    <t>YMJAN490397618</t>
  </si>
  <si>
    <t>SGNFD3157500</t>
  </si>
  <si>
    <t xml:space="preserve">SI: 10H 03/06/2025  
15H 04/06/2025  </t>
  </si>
  <si>
    <t xml:space="preserve"> ICD TAY NAM</t>
  </si>
  <si>
    <t>HWNBCLI2500032
(XIN MING ZHOU 108 2506S)</t>
  </si>
  <si>
    <t>03/06/2025</t>
  </si>
  <si>
    <t>1 PK/ 510 KGS/ 0.6 CBM</t>
  </si>
  <si>
    <t>KGN-25060084</t>
  </si>
  <si>
    <r>
      <t xml:space="preserve">THÁNG 06/2025 </t>
    </r>
    <r>
      <rPr>
        <b/>
        <sz val="10"/>
        <color rgb="FFFF0000"/>
        <rFont val="Times New Roman"/>
        <family val="1"/>
      </rPr>
      <t>(SERVICE DAY TỪ NGÀY 3/6/25)</t>
    </r>
  </si>
  <si>
    <t>KGN-25060098</t>
  </si>
  <si>
    <t>908</t>
  </si>
  <si>
    <t xml:space="preserve">SI,VGM: 14H 05/06/2025  13H 07/06/2025  </t>
  </si>
  <si>
    <t>NSASGNG211976</t>
  </si>
  <si>
    <t>BEAU2700124
UETU2775004</t>
  </si>
  <si>
    <t>JS-250429-2</t>
  </si>
  <si>
    <t>KGN-25060191</t>
  </si>
  <si>
    <t>05/06/2025</t>
  </si>
  <si>
    <t>09/06/2025</t>
  </si>
  <si>
    <t>NSASGNG213155</t>
  </si>
  <si>
    <t>WHSU0001446</t>
  </si>
  <si>
    <t>01:00 11/06/2025</t>
  </si>
  <si>
    <t>Phí phát sinh TVG 1tr</t>
  </si>
  <si>
    <t>SITSGNGW432819</t>
  </si>
  <si>
    <t>TLLU6075826</t>
  </si>
  <si>
    <t>WHSU6411448</t>
  </si>
  <si>
    <t>05/06/2025
PHU HUU</t>
  </si>
  <si>
    <t>307457561740/B11
307457574120/E62</t>
  </si>
  <si>
    <t>COAU7259812980
(BAL PEACE 034S)</t>
  </si>
  <si>
    <t>10/06/2025</t>
  </si>
  <si>
    <t>OOLU0780943
CSLU2390343
CSNU1513585
DFSU1665956
CSNU1485436
TLLU3185007
CSNU1988019
TRHU3161939
FCIU5482414
CSLU1986153
OOLU1822508
DFSU1351092</t>
  </si>
  <si>
    <t>SEGU6834057
TCNU3659065</t>
  </si>
  <si>
    <t>KGN-25060338</t>
  </si>
  <si>
    <t>SL-DE.022025</t>
  </si>
  <si>
    <t>KGN-25060339</t>
  </si>
  <si>
    <t>Phí phát sinh TVG 6tr</t>
  </si>
  <si>
    <t>BỔ SUNG PHÍ CO</t>
  </si>
  <si>
    <r>
      <t xml:space="preserve">4H 14/06/2025
</t>
    </r>
    <r>
      <rPr>
        <sz val="10"/>
        <color rgb="FFFF0000"/>
        <rFont val="Times New Roman"/>
        <family val="1"/>
      </rPr>
      <t>SI: 8H-16H 12/06/2025</t>
    </r>
  </si>
  <si>
    <t>DEM: 18/06/2025</t>
  </si>
  <si>
    <t>PHƯỚC AN -&gt; CÁT LÁI</t>
  </si>
  <si>
    <t>06/06/2025</t>
  </si>
  <si>
    <t>KGN-25060362</t>
  </si>
  <si>
    <t>KGN-25060363</t>
  </si>
  <si>
    <t>KGN-25060364</t>
  </si>
  <si>
    <t>KGN-25060365</t>
  </si>
  <si>
    <t>KGN-25060366</t>
  </si>
  <si>
    <t>MO2523SSGT401</t>
  </si>
  <si>
    <t>FTAU1251417
CAAU2156922</t>
  </si>
  <si>
    <t>SNBU2282387
SNBU2458100
SNBU2458202</t>
  </si>
  <si>
    <t>XL-NV250529</t>
  </si>
  <si>
    <t>XL-HD250606</t>
  </si>
  <si>
    <t>039FX47415</t>
  </si>
  <si>
    <t>6H 13/06/2025</t>
  </si>
  <si>
    <t xml:space="preserve">039FX50267 </t>
  </si>
  <si>
    <t>80570</t>
  </si>
  <si>
    <t>07/06/2025</t>
  </si>
  <si>
    <t xml:space="preserve"> CONG TY TNHH VACPRO VIETNAM </t>
  </si>
  <si>
    <t>945</t>
  </si>
  <si>
    <t>09/06/2026</t>
  </si>
  <si>
    <t>LEVA-20250609-1</t>
  </si>
  <si>
    <t>MSKU7857747</t>
  </si>
  <si>
    <t>ML-VN0145729</t>
  </si>
  <si>
    <t>LEVA-20250609-2</t>
  </si>
  <si>
    <t>MRSU8031318</t>
  </si>
  <si>
    <t>ML-VN0118316</t>
  </si>
  <si>
    <t>1067277574</t>
  </si>
  <si>
    <t>1 PP/ 3 KGM. 0.072 CBM</t>
  </si>
  <si>
    <t>BỔ SUNG CHI HỘ LPHQ</t>
  </si>
  <si>
    <t>10671172961
10677471642</t>
  </si>
  <si>
    <t>09/11/2024
03/12/2024</t>
  </si>
  <si>
    <t>KGN-25060461</t>
  </si>
  <si>
    <t>KGN-25060464</t>
  </si>
  <si>
    <t>11/06/2025</t>
  </si>
  <si>
    <t>13/06/2025</t>
  </si>
  <si>
    <t>KGN-25060494</t>
  </si>
  <si>
    <t>OSOSYD25060001</t>
  </si>
  <si>
    <t>CÁT LÁI KHO 01</t>
  </si>
  <si>
    <t>10H 13/06/2025</t>
  </si>
  <si>
    <t>DLNV-20250611</t>
  </si>
  <si>
    <t>WHSU2847705</t>
  </si>
  <si>
    <t>ICD PHƯỚC LONG 3</t>
  </si>
  <si>
    <t>SỐ XE</t>
  </si>
  <si>
    <t>SL-CU.09/2025</t>
  </si>
  <si>
    <t>BIỂN SỐ XE</t>
  </si>
  <si>
    <t>50H29647</t>
  </si>
  <si>
    <t>50H12451</t>
  </si>
  <si>
    <t>50H17748</t>
  </si>
  <si>
    <t>2 PK/ 1791 KGM / 4.61 CBM</t>
  </si>
  <si>
    <t>51C78329</t>
  </si>
  <si>
    <t>51C78547</t>
  </si>
  <si>
    <t>50H35760</t>
  </si>
  <si>
    <t>50E14277
50H02728</t>
  </si>
  <si>
    <t>KGN-25060725</t>
  </si>
  <si>
    <t>KGN-25060726</t>
  </si>
  <si>
    <t>KGN-25060727</t>
  </si>
  <si>
    <t>108214</t>
  </si>
  <si>
    <t>THEO DÕI HÀNG XUẤT TẠI CHỖ - SONG LONG</t>
  </si>
  <si>
    <t>50H58361</t>
  </si>
  <si>
    <t>60C35324</t>
  </si>
  <si>
    <t>15/06/2025</t>
  </si>
  <si>
    <t>51C23338</t>
  </si>
  <si>
    <t>PHÍ NEO XE 500k</t>
  </si>
  <si>
    <t>SKYU3694016</t>
  </si>
  <si>
    <t>OOLKLW2976</t>
  </si>
  <si>
    <t>OOLKLW2984</t>
  </si>
  <si>
    <t>OOLKLW2972</t>
  </si>
  <si>
    <t>OOLKLW3072</t>
  </si>
  <si>
    <t>SKYU3694443</t>
  </si>
  <si>
    <t>12/06/2025</t>
  </si>
  <si>
    <t>XL-NV2504</t>
  </si>
  <si>
    <t>EGSU3745420
EGSU3747188
EMCU6397340
EMCU6417940</t>
  </si>
  <si>
    <t xml:space="preserve">EGLV147500652842 </t>
  </si>
  <si>
    <t>SKYU3694510</t>
  </si>
  <si>
    <t>SKYU3694398</t>
  </si>
  <si>
    <t>50H05655</t>
  </si>
  <si>
    <t>SL-LD.41.2025</t>
  </si>
  <si>
    <t>SL-LD.42.2025</t>
  </si>
  <si>
    <t>SL-LD.43.2025</t>
  </si>
  <si>
    <t>SL-LD.44.2025</t>
  </si>
  <si>
    <t>TIIU2283115
SITU2591614</t>
  </si>
  <si>
    <t>JS-250429-3</t>
  </si>
  <si>
    <t>KGN-25060854</t>
  </si>
  <si>
    <t>JJCSHSGB500730
(MILD ORCHID 2523S)</t>
  </si>
  <si>
    <t>06:00 14/06/2025</t>
  </si>
  <si>
    <t>FTAU1971130</t>
  </si>
  <si>
    <t>51C62954
50H75526
50H75526</t>
  </si>
  <si>
    <t>ĐI XE MÁY 350k
NHẮC KT GHI PHÍ DỊCH VỤ TK</t>
  </si>
  <si>
    <t>KGN-25060872</t>
  </si>
  <si>
    <t>KP-20250612-1</t>
  </si>
  <si>
    <t>KP-20250612-2</t>
  </si>
  <si>
    <t>KP-20250612-3</t>
  </si>
  <si>
    <t>KP-20250612-4</t>
  </si>
  <si>
    <t>KGN-25060873</t>
  </si>
  <si>
    <t>KGN-25060874</t>
  </si>
  <si>
    <t>13/06/2025
14/06/2025</t>
  </si>
  <si>
    <t>WHSU6431130</t>
  </si>
  <si>
    <t>19/06/2025</t>
  </si>
  <si>
    <t>TAN CANG HIEP PHUOC</t>
  </si>
  <si>
    <r>
      <t xml:space="preserve">FUJIAN SEALINKE
</t>
    </r>
    <r>
      <rPr>
        <sz val="10"/>
        <color rgb="FFFF0000"/>
        <rFont val="Times New Roman"/>
        <family val="1"/>
      </rPr>
      <t>khai báo hóa chất</t>
    </r>
  </si>
  <si>
    <t>039FX53063</t>
  </si>
  <si>
    <t>SI: 10H 20/06/2025
CY: 11H 21/06/2025</t>
  </si>
  <si>
    <t>SG2507714</t>
  </si>
  <si>
    <t>'11H 19/06/2025</t>
  </si>
  <si>
    <t>SGNFJ5069600</t>
  </si>
  <si>
    <t>ICD TAY NAM</t>
  </si>
  <si>
    <t>KGN-25060926</t>
  </si>
  <si>
    <t>307480739660/B11
307480752850/E62</t>
  </si>
  <si>
    <t>LY-LHY19/21-25</t>
  </si>
  <si>
    <t>00000169</t>
  </si>
  <si>
    <t>KGN-25060948</t>
  </si>
  <si>
    <t>SGNFF7221304</t>
  </si>
  <si>
    <t xml:space="preserve">SI,VGM: 9H 18/06/2025  
8H 20/06/2025  </t>
  </si>
  <si>
    <t xml:space="preserve">SI,VGM: 11H 19/06/2025  9H 21/06/2025  </t>
  </si>
  <si>
    <t>81067</t>
  </si>
  <si>
    <t>NHỰA POLYESTE</t>
  </si>
  <si>
    <t>KGN-25061028</t>
  </si>
  <si>
    <t>63H05554
63H05554
63H05554
70C10230</t>
  </si>
  <si>
    <t>50H29647
50H05655</t>
  </si>
  <si>
    <t>12/06/2025
13/06/2025</t>
  </si>
  <si>
    <t>KGN-25061049</t>
  </si>
  <si>
    <t>18/06/2025</t>
  </si>
  <si>
    <t>16/06/2025</t>
  </si>
  <si>
    <t>17/06/2025</t>
  </si>
  <si>
    <t>51C23338
51C23338</t>
  </si>
  <si>
    <t>50H45712</t>
  </si>
  <si>
    <t>51D09945
50H25696
50H53705
50H53705
50LD19472
51D09945
50H14405
51D09945
50H61112
50H14405
50H24342
50H61112</t>
  </si>
  <si>
    <t>50H05655
50H29647</t>
  </si>
  <si>
    <t>GCXU5261360
ONEU5410405</t>
  </si>
  <si>
    <t>KGN-25061165</t>
  </si>
  <si>
    <t>EGLV147500684158</t>
  </si>
  <si>
    <t>EGSU3738777
EGSU3749848</t>
  </si>
  <si>
    <t>BY20250608</t>
  </si>
  <si>
    <t>50H23338</t>
  </si>
  <si>
    <t>TCLU4532592</t>
  </si>
  <si>
    <t>54350</t>
  </si>
  <si>
    <t>23/06/2025</t>
  </si>
  <si>
    <t>KHAI TK CÁT LÁI
ĐK SỞ XÂY DỰNG
GRAB 234k</t>
  </si>
  <si>
    <t>51C78366</t>
  </si>
  <si>
    <t>KGN-25061293</t>
  </si>
  <si>
    <t>63H05554
63H05554
51C62954</t>
  </si>
  <si>
    <t>KGN-25051397-BS1</t>
  </si>
  <si>
    <t>KGN-25051787-BS1</t>
  </si>
  <si>
    <t>KGN-25051788-BS1</t>
  </si>
  <si>
    <t>KGN-25051710-BS1</t>
  </si>
  <si>
    <t>KGN-25051711-BS1</t>
  </si>
  <si>
    <t>C/O B</t>
  </si>
  <si>
    <r>
      <t xml:space="preserve">XE 3T5, </t>
    </r>
    <r>
      <rPr>
        <b/>
        <sz val="12"/>
        <color rgb="FFFF0000"/>
        <rFont val="Times New Roman"/>
        <family val="1"/>
      </rPr>
      <t>C/O B</t>
    </r>
  </si>
  <si>
    <t>C/O EUR</t>
  </si>
  <si>
    <t>GAOU2548490</t>
  </si>
  <si>
    <t>039FX51861</t>
  </si>
  <si>
    <t>CCL/YKJ/2025/SI2506137</t>
  </si>
  <si>
    <t xml:space="preserve">37 CTNS </t>
  </si>
  <si>
    <t>251</t>
  </si>
  <si>
    <t>SL-VA.17/2025</t>
  </si>
  <si>
    <t>2175</t>
  </si>
  <si>
    <t>02/07/2025</t>
  </si>
  <si>
    <t>đã settle nâng hạ</t>
  </si>
  <si>
    <r>
      <t xml:space="preserve">BSUNG PHÍ CHI HO C.O
</t>
    </r>
    <r>
      <rPr>
        <b/>
        <sz val="10"/>
        <color rgb="FFFF0000"/>
        <rFont val="Times New Roman"/>
        <family val="1"/>
      </rPr>
      <t>đã settle</t>
    </r>
  </si>
  <si>
    <t>50E15635</t>
  </si>
  <si>
    <t>50E15635
51C94961</t>
  </si>
  <si>
    <t>SL-VA.16/2025</t>
  </si>
  <si>
    <t>JJCSHSGB500814
(MILD CONCERTO 2525S)</t>
  </si>
  <si>
    <t>25/06/2025</t>
  </si>
  <si>
    <t>NOSNB25CL73830
(XIN MING ZHOU 108 2507S)</t>
  </si>
  <si>
    <t>16:00 19/06/2025</t>
  </si>
  <si>
    <t xml:space="preserve">20/06/2025 </t>
  </si>
  <si>
    <t>50H05655
50H15635</t>
  </si>
  <si>
    <t>MÁY MÓC
Tính phí neo xe</t>
  </si>
  <si>
    <t>WHSU6290367
WHSU5833080</t>
  </si>
  <si>
    <t xml:space="preserve">SI,VGM: 13H 19/06/2025  01H 22/06/2025  </t>
  </si>
  <si>
    <t>KGN-25061445</t>
  </si>
  <si>
    <t>KGN-25061446</t>
  </si>
  <si>
    <t>TWCU2213922
UETU2922147</t>
  </si>
  <si>
    <t>KGN-25061447</t>
  </si>
  <si>
    <t>50H17748
50H29647
51C23338
51C70406
50H05655</t>
  </si>
  <si>
    <t>20/06/2025</t>
  </si>
  <si>
    <t>WHSU6785772</t>
  </si>
  <si>
    <t>KGN-25061529</t>
  </si>
  <si>
    <t>PHÍ DEM/DET/CƯỢC</t>
  </si>
  <si>
    <r>
      <t>THÁNG 07/2025</t>
    </r>
    <r>
      <rPr>
        <b/>
        <sz val="10"/>
        <color rgb="FFFF0000"/>
        <rFont val="Times New Roman"/>
        <family val="1"/>
      </rPr>
      <t xml:space="preserve"> (SERVICE DAY TỪ NGÀY 01/07/25)</t>
    </r>
  </si>
  <si>
    <t>PHÍ TK XUẤT TC T6.25</t>
  </si>
  <si>
    <t>16 TK</t>
  </si>
  <si>
    <t>307500582560/B11
307500629130/E62</t>
  </si>
  <si>
    <t>039FX53067</t>
  </si>
  <si>
    <t>SI: 16H 26/06/2025
5H 27/06/2025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</si>
  <si>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3/7/25)</t>
    </r>
  </si>
  <si>
    <t>00000087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</si>
  <si>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23/04/25)</t>
    </r>
  </si>
  <si>
    <t>KGN-25061559</t>
  </si>
  <si>
    <t>A78FX26086</t>
  </si>
  <si>
    <t>IAAU2734456
IAAU2872033
IAAU2957465</t>
  </si>
  <si>
    <t>72395.300</t>
  </si>
  <si>
    <t>24/06/2025</t>
  </si>
  <si>
    <t>KGN-25061576</t>
  </si>
  <si>
    <t>KGN-25050871-BS1</t>
  </si>
  <si>
    <r>
      <t xml:space="preserve">KHAI TK CÁT LÁI
</t>
    </r>
    <r>
      <rPr>
        <b/>
        <sz val="10"/>
        <color rgb="FFFF0000"/>
        <rFont val="Times New Roman"/>
        <family val="1"/>
      </rPr>
      <t>THAM VẤN GIÁ</t>
    </r>
  </si>
  <si>
    <r>
      <rPr>
        <sz val="10"/>
        <color rgb="FFFF0000"/>
        <rFont val="Times New Roman"/>
        <family val="1"/>
      </rPr>
      <t>KHAI TK CÁT LÁI</t>
    </r>
    <r>
      <rPr>
        <b/>
        <sz val="10"/>
        <color rgb="FFFF0000"/>
        <rFont val="Times New Roman"/>
        <family val="1"/>
      </rPr>
      <t xml:space="preserve">
THAM VẤN GIÁ</t>
    </r>
  </si>
  <si>
    <t xml:space="preserve">KHAI TK CÁT LÁI </t>
  </si>
  <si>
    <t>SGNFF0163800</t>
  </si>
  <si>
    <t>SGNFJ4121800</t>
  </si>
  <si>
    <t>235500984553</t>
  </si>
  <si>
    <t xml:space="preserve">SI,VGM: 11H 29/06/2025 
1H 01/07/2025  </t>
  </si>
  <si>
    <t>THÁNG 7/2025</t>
  </si>
  <si>
    <r>
      <t>THÁNG 7/2025 (</t>
    </r>
    <r>
      <rPr>
        <b/>
        <sz val="10"/>
        <color rgb="FFFF0000"/>
        <rFont val="Times New Roman"/>
        <family val="1"/>
      </rPr>
      <t>SERVICE DAY TỪ NGÀY 01/7</t>
    </r>
    <r>
      <rPr>
        <b/>
        <sz val="10"/>
        <rFont val="Times New Roman"/>
        <family val="1"/>
      </rPr>
      <t>)</t>
    </r>
  </si>
  <si>
    <t>253684102</t>
  </si>
  <si>
    <t>SUDU7554981</t>
  </si>
  <si>
    <t>KGN-25061813</t>
  </si>
  <si>
    <t>đã settle</t>
  </si>
  <si>
    <r>
      <rPr>
        <b/>
        <sz val="10"/>
        <rFont val="Times New Roman"/>
        <family val="1"/>
      </rPr>
      <t>PHÍ HUN TRÙNG 2TR - XE 5T</t>
    </r>
    <r>
      <rPr>
        <b/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PHÍ NEO XE 700K</t>
    </r>
    <r>
      <rPr>
        <b/>
        <sz val="10"/>
        <color rgb="FFFF0000"/>
        <rFont val="Times New Roman"/>
        <family val="1"/>
      </rPr>
      <t xml:space="preserve">
đã settle</t>
    </r>
  </si>
  <si>
    <r>
      <rPr>
        <b/>
        <sz val="10"/>
        <rFont val="Times New Roman"/>
        <family val="1"/>
      </rPr>
      <t>CẤN TRỪ PHÍ ĐỔI CONT 4,920,00 + LCL 1,153,600 = 6,037,600</t>
    </r>
    <r>
      <rPr>
        <b/>
        <sz val="10"/>
        <color rgb="FFFF0000"/>
        <rFont val="Times New Roman"/>
        <family val="1"/>
      </rPr>
      <t xml:space="preserve">
đã settle</t>
    </r>
  </si>
  <si>
    <t>50H25696
51C62954</t>
  </si>
  <si>
    <t>XL-NV250617</t>
  </si>
  <si>
    <t>GCXU2296091</t>
  </si>
  <si>
    <t>VN61846AH</t>
  </si>
  <si>
    <t>DH-20250320</t>
  </si>
  <si>
    <t>16H 25/06/2025
SI: 14H 24/06/2025</t>
  </si>
  <si>
    <t>CONG TY TNHH NEW WIDE (VIET NAM)</t>
  </si>
  <si>
    <t>33</t>
  </si>
  <si>
    <t>VSNW250623</t>
  </si>
  <si>
    <t>667</t>
  </si>
  <si>
    <t>50H24342
50H24342</t>
  </si>
  <si>
    <t xml:space="preserve">SI, VGM: 10H 26/06/2025  23H 28/06/2025  </t>
  </si>
  <si>
    <t>KGN-25061928</t>
  </si>
  <si>
    <t>PTNCLP2560003</t>
  </si>
  <si>
    <t>27/06/2025</t>
  </si>
  <si>
    <t>HWNBCLI2500501
(TS KAOHSIUNG 2503S)</t>
  </si>
  <si>
    <t>26/06/2025</t>
  </si>
  <si>
    <t>THEO DÕI HÀNG HÓA TẠM ỨNG, THANH TOÁN, ĐIỀU XE  - VIỆT STAR</t>
  </si>
  <si>
    <t>MST: 3703167689</t>
  </si>
  <si>
    <t>JS25062001</t>
  </si>
  <si>
    <t>24/6/2025</t>
  </si>
  <si>
    <t>EGLV143580713670</t>
  </si>
  <si>
    <t>GAOU6266880</t>
  </si>
  <si>
    <t>U25061213</t>
  </si>
  <si>
    <t>27/6/2025</t>
  </si>
  <si>
    <t>OHOC25060314</t>
  </si>
  <si>
    <t>EMCU8888030</t>
  </si>
  <si>
    <t>JS25061701</t>
  </si>
  <si>
    <t>THEO DÕI HÀNG XUẤT TẠI CHỖ - VIỆT STAR</t>
  </si>
  <si>
    <t>25/6/2025</t>
  </si>
  <si>
    <t>VTNW250625</t>
  </si>
  <si>
    <t>CONG TY TNHH BAIKAI INDUSTRY VIET NAM</t>
  </si>
  <si>
    <t>00002362
TKX: 30751166404</t>
  </si>
  <si>
    <t>WHSU5932210</t>
  </si>
  <si>
    <t>HWNBCLI2500504
(SITC HAODE 2512S)</t>
  </si>
  <si>
    <t>28/06/2025</t>
  </si>
  <si>
    <t>TRHU4876557</t>
  </si>
  <si>
    <t>KGN-25062218</t>
  </si>
  <si>
    <t>SL-VA.18/2025</t>
  </si>
  <si>
    <r>
      <t xml:space="preserve">THÁNG 07/2025 </t>
    </r>
    <r>
      <rPr>
        <b/>
        <sz val="10"/>
        <color rgb="FFFF0000"/>
        <rFont val="Times New Roman"/>
        <family val="1"/>
      </rPr>
      <t>(SERVICE DAY TỪ NGÀY 23/07/25)</t>
    </r>
  </si>
  <si>
    <t>51C23338
50H29647</t>
  </si>
  <si>
    <t>WHSU0011193
WHSU2455896</t>
  </si>
  <si>
    <t>039FX50268</t>
  </si>
  <si>
    <t>00:00 30/06/2025</t>
  </si>
  <si>
    <t>50H02072
50H02072</t>
  </si>
  <si>
    <t>KGN-25062329</t>
  </si>
  <si>
    <t>KGN-25062360</t>
  </si>
  <si>
    <t>KGN-25062361</t>
  </si>
  <si>
    <t>KGN-25062387</t>
  </si>
  <si>
    <t>KGN-25062413</t>
  </si>
  <si>
    <t>09/07/2025</t>
  </si>
  <si>
    <t>50E15635
51C17748
50H05655</t>
  </si>
  <si>
    <t>VTNW250626</t>
  </si>
  <si>
    <t>8</t>
  </si>
  <si>
    <t>35</t>
  </si>
  <si>
    <t>295</t>
  </si>
  <si>
    <t>107301079541</t>
  </si>
  <si>
    <t>307520548440/B11
307520582850/E62</t>
  </si>
  <si>
    <t>107303806850/A12
107303801361/E31</t>
  </si>
  <si>
    <t>SEGU5245767</t>
  </si>
  <si>
    <t>039FX59559</t>
  </si>
  <si>
    <t>9h 07/07/2025</t>
  </si>
  <si>
    <t>30/06/2025</t>
  </si>
  <si>
    <t>EGHU9311990</t>
  </si>
  <si>
    <t>36</t>
  </si>
  <si>
    <t>VTSS250628</t>
  </si>
  <si>
    <t>SUE’S INTERNATIONAL CORP</t>
  </si>
  <si>
    <t>VTNW250630</t>
  </si>
  <si>
    <t>KGN-25050837-BS1</t>
  </si>
  <si>
    <t>KGN-25051942-BS1</t>
  </si>
  <si>
    <t>KGN-25062587</t>
  </si>
  <si>
    <t>039FX61400</t>
  </si>
  <si>
    <t>6H 08/07/2025</t>
  </si>
  <si>
    <t>KGN-25062668</t>
  </si>
  <si>
    <t>KGN-25062589</t>
  </si>
  <si>
    <t>XL-NY250621</t>
  </si>
  <si>
    <t>06/07/2025</t>
  </si>
  <si>
    <t>JS25062301</t>
  </si>
  <si>
    <t>OHOC25060395</t>
  </si>
  <si>
    <t>OOCU1147893</t>
  </si>
  <si>
    <t>107312340700</t>
  </si>
  <si>
    <t>01/07/2025</t>
  </si>
  <si>
    <t>039FX58473</t>
  </si>
  <si>
    <t>WHSU2402812</t>
  </si>
  <si>
    <t>03/07/2025</t>
  </si>
  <si>
    <t>dc: Khu phố Ông Đông, Phường Tân Hiệp, Thành Phố Hồ Chí Minh</t>
  </si>
  <si>
    <t>Địa chỉ : Lô CN 18, Đường số 4, KCN Sóng Thần 3, Phường Bình Dương, Thành Phố Hồ Chí Minh, Việt Nam.</t>
  </si>
  <si>
    <t xml:space="preserve">Địa chỉ: Lô E5-1 (khu B4), Đường D9, Khu công nghiệp Rạch Bắp, Phường Tây Nam, Thành phố Hồ Chí Minh, Việt Nam </t>
  </si>
  <si>
    <t>Địa chỉ : Lô G1, G2 (khu B2) đường D9, Khu công Nghiệp Rạch Bắp, Phường Tây Nam, Tp Hồ Chí Minh</t>
  </si>
  <si>
    <t>30/06/2025
PHÚ HỮU</t>
  </si>
  <si>
    <t>WHSU0189966</t>
  </si>
  <si>
    <t>T213481</t>
  </si>
  <si>
    <t>DH-20230426-5</t>
  </si>
  <si>
    <t>WHSU2436833</t>
  </si>
  <si>
    <t>T213475</t>
  </si>
  <si>
    <t>DH-20230426-6</t>
  </si>
  <si>
    <t>WHSU2477977</t>
  </si>
  <si>
    <t>T213447</t>
  </si>
  <si>
    <t>DH-20230426-7</t>
  </si>
  <si>
    <t>WHSU2134284</t>
  </si>
  <si>
    <t>07/07/2025</t>
  </si>
  <si>
    <t>T213449</t>
  </si>
  <si>
    <t>DH-20230426-8</t>
  </si>
  <si>
    <t>WHSU2270824</t>
  </si>
  <si>
    <t>WHLU0531076</t>
  </si>
  <si>
    <t>WHLU0549835</t>
  </si>
  <si>
    <t>23:59 07/07/2025</t>
  </si>
  <si>
    <t>T231126</t>
  </si>
  <si>
    <t>DH-20230426- 1</t>
  </si>
  <si>
    <t>T231122</t>
  </si>
  <si>
    <t>DH-20230426-2</t>
  </si>
  <si>
    <t>WHA1524213</t>
  </si>
  <si>
    <t>DH-20230426-3</t>
  </si>
  <si>
    <t>WHA1524244</t>
  </si>
  <si>
    <t>DH-20230426-4</t>
  </si>
  <si>
    <t>50H89361</t>
  </si>
  <si>
    <t>50H54155</t>
  </si>
  <si>
    <t>12840</t>
  </si>
  <si>
    <t>THEO DÕI CHUYỂN KHO  - VIỆT STAR</t>
  </si>
  <si>
    <t>NGÀY CHUYỂN KHO</t>
  </si>
  <si>
    <t>ĐỊA ĐIỂM NHẬN</t>
  </si>
  <si>
    <t>ĐỊA ĐIỂM GIAO</t>
  </si>
  <si>
    <t>Số cont</t>
  </si>
  <si>
    <t>Số xe</t>
  </si>
  <si>
    <t>Trọng lượng</t>
  </si>
  <si>
    <t>Công ty TNHH sản xuất sợi Nam Việt - Tân Uyên</t>
  </si>
  <si>
    <t>TRLU5851567
WHLU5436343</t>
  </si>
  <si>
    <t>61C25646
50H02556</t>
  </si>
  <si>
    <t>Kho Việt Stars - Bàu Bàng</t>
  </si>
  <si>
    <t>SL-DE.03025</t>
  </si>
  <si>
    <t>SL-CJ.09/2025</t>
  </si>
  <si>
    <t>KGN-25070193</t>
  </si>
  <si>
    <t>KGN-25070194</t>
  </si>
  <si>
    <t>339IN25048809</t>
  </si>
  <si>
    <t>EBKG13196152</t>
  </si>
  <si>
    <t>SI,VGM: 8H 08/07/2025  
10H 10/07/2025  
CY: 00:00 10/07/2025</t>
  </si>
  <si>
    <t>08/07/2025</t>
  </si>
  <si>
    <t>WHSU2648025</t>
  </si>
  <si>
    <t>51C78116</t>
  </si>
  <si>
    <t>107325810910</t>
  </si>
  <si>
    <t>04/07/2025</t>
  </si>
  <si>
    <t>107322987660</t>
  </si>
  <si>
    <t>039FX55150</t>
  </si>
  <si>
    <t>SG2508481</t>
  </si>
  <si>
    <t>WHSU2428376</t>
  </si>
  <si>
    <t>307544643360/B11
307544648300/E62</t>
  </si>
  <si>
    <t>60C18029</t>
  </si>
  <si>
    <t>50H54376</t>
  </si>
  <si>
    <t>CULVNAS2527079</t>
  </si>
  <si>
    <t>05/07/2025</t>
  </si>
  <si>
    <t>SL-VA.19/2025</t>
  </si>
  <si>
    <t>SL-CU.10/2025</t>
  </si>
  <si>
    <t>SL-CU.11/2025</t>
  </si>
  <si>
    <t>KGN-25070302</t>
  </si>
  <si>
    <t>VTNW250705</t>
  </si>
  <si>
    <t xml:space="preserve">039FX59560 </t>
  </si>
  <si>
    <t>11/07/2025</t>
  </si>
  <si>
    <t>PHƯỚC LONG 3</t>
  </si>
  <si>
    <t>DC: Lô A - 14E-CN, Khu công nghiệp Bàu Bàng, Xã Bàu Bàng, Thành phố Hồ Chí Minh, Việt Nam</t>
  </si>
  <si>
    <t>SL-LD.45.2025</t>
  </si>
  <si>
    <t>SL-LD.46.2025</t>
  </si>
  <si>
    <t>SL-LD.47.2025</t>
  </si>
  <si>
    <t>SL-LD.48.2025</t>
  </si>
  <si>
    <t>PSSHA257037</t>
  </si>
  <si>
    <t>JS25070101</t>
  </si>
  <si>
    <t>107330155330</t>
  </si>
  <si>
    <t>TCNU1142730</t>
  </si>
  <si>
    <t>50E13964</t>
  </si>
  <si>
    <t>SHHCM25125951</t>
  </si>
  <si>
    <t>CÁT LÁI KHO 2</t>
  </si>
  <si>
    <t>KGN-25070374</t>
  </si>
  <si>
    <t>SUZHOU</t>
  </si>
  <si>
    <t>APXOE-25061756</t>
  </si>
  <si>
    <t>KGN-25070379</t>
  </si>
  <si>
    <t>9H 13/07/2025</t>
  </si>
  <si>
    <t>256475705</t>
  </si>
  <si>
    <t>39</t>
  </si>
  <si>
    <t>VTNW250707</t>
  </si>
  <si>
    <t>40</t>
  </si>
  <si>
    <t>37</t>
  </si>
  <si>
    <t xml:space="preserve">50H35760 </t>
  </si>
  <si>
    <t>VTNW250708</t>
  </si>
  <si>
    <t>EBKG13481236</t>
  </si>
  <si>
    <t>41</t>
  </si>
  <si>
    <t>7 CT/ 168 KGM/ 0.545 CBM</t>
  </si>
  <si>
    <t>14 CT/ 410 KGM/ 1.313 CBM</t>
  </si>
  <si>
    <t xml:space="preserve">CƯỢC CONT 2TR
</t>
  </si>
  <si>
    <t>MSBU8303665</t>
  </si>
  <si>
    <t>307559713220
307559690010</t>
  </si>
  <si>
    <t>50H01568</t>
  </si>
  <si>
    <t>KGN-25070568</t>
  </si>
  <si>
    <t>KGN-25070569</t>
  </si>
  <si>
    <t>KGN-25070570</t>
  </si>
  <si>
    <t>10/07/2025</t>
  </si>
  <si>
    <t>VTNW250710</t>
  </si>
  <si>
    <t>VTNW250710-1</t>
  </si>
  <si>
    <t>PSSHA257055</t>
  </si>
  <si>
    <t>JS25070701</t>
  </si>
  <si>
    <t xml:space="preserve">EGSU9366471 </t>
  </si>
  <si>
    <t>U25070313</t>
  </si>
  <si>
    <r>
      <t xml:space="preserve">EGLV143580716075
</t>
    </r>
    <r>
      <rPr>
        <sz val="10"/>
        <rFont val="Times New Roman"/>
        <family val="1"/>
      </rPr>
      <t>(EVER OUTWIT 0068 034S</t>
    </r>
    <r>
      <rPr>
        <b/>
        <sz val="10"/>
        <rFont val="Times New Roman"/>
        <family val="1"/>
      </rPr>
      <t>)</t>
    </r>
  </si>
  <si>
    <t>YMJAW490480310</t>
  </si>
  <si>
    <t>TRHU2290171</t>
  </si>
  <si>
    <t>FX34978116</t>
  </si>
  <si>
    <t>DH- 20250312-1-1</t>
  </si>
  <si>
    <t>18:00 13/07/2025</t>
  </si>
  <si>
    <t>107341543960</t>
  </si>
  <si>
    <t>ITOCHU</t>
  </si>
  <si>
    <t>ITCSHB022807</t>
  </si>
  <si>
    <t>5 PL/ 3384.820 KGM/ 11 CBM</t>
  </si>
  <si>
    <t>13/07/2025</t>
  </si>
  <si>
    <t>KGN-25070694</t>
  </si>
  <si>
    <t>XL-HD20250709</t>
  </si>
  <si>
    <t>KGN-25062413-BS1</t>
  </si>
  <si>
    <t>WHLU0697468</t>
  </si>
  <si>
    <t>KGN-25070773</t>
  </si>
  <si>
    <t>12/07/2025</t>
  </si>
  <si>
    <t>51D65135</t>
  </si>
  <si>
    <t>YMLU8783117</t>
  </si>
  <si>
    <t>YMAU411007</t>
  </si>
  <si>
    <t xml:space="preserve">KCN NHƠN TRẠCH II, NHƠN TRẠCH, ĐỒNG NAI </t>
  </si>
  <si>
    <t xml:space="preserve">SI,VGM : 15H 10/07/2025  20H 12/07/2025  
CY: 06:00 12/07/2025	</t>
  </si>
  <si>
    <t>CCL/HNK/2025/SI2507050</t>
  </si>
  <si>
    <t>163 CTNS</t>
  </si>
  <si>
    <t>307568288700</t>
  </si>
  <si>
    <t>19h 14/07/2025</t>
  </si>
  <si>
    <t>ZIMUHCM80553552</t>
  </si>
  <si>
    <t>SI: 10H 12/07/2025
16H 14/07/2025</t>
  </si>
  <si>
    <t>235501139997</t>
  </si>
  <si>
    <t xml:space="preserve">SI,VGM:  10H 17/07/2025  4H 19/07/2025  </t>
  </si>
  <si>
    <t>POVT000038</t>
  </si>
  <si>
    <t>BMOU1072244
FTAU1175153
SEGU1584084</t>
  </si>
  <si>
    <t>Đồng Nai</t>
  </si>
  <si>
    <t>Hạ cảng đồng nai + 500k</t>
  </si>
  <si>
    <t>14/07/2025</t>
  </si>
  <si>
    <t>KGN-25070828</t>
  </si>
  <si>
    <t>KGN-25070829</t>
  </si>
  <si>
    <t>VTNW250712</t>
  </si>
  <si>
    <t>EISU9911836</t>
  </si>
  <si>
    <t>61E03452</t>
  </si>
  <si>
    <t>KGN-25070841</t>
  </si>
  <si>
    <t>BỘT ĐÁ THẠCH ANH</t>
  </si>
  <si>
    <t>79736</t>
  </si>
  <si>
    <t>KGN-25070842</t>
  </si>
  <si>
    <t>KGN-25070843</t>
  </si>
  <si>
    <t>KGN-25070844</t>
  </si>
  <si>
    <t>KGN-25070845</t>
  </si>
  <si>
    <t>KGN-25070846</t>
  </si>
  <si>
    <t>KGN-25070847</t>
  </si>
  <si>
    <t>4 CT/ 108 KGM/ 0.391 CBM</t>
  </si>
  <si>
    <t>CULVNAS2528522</t>
  </si>
  <si>
    <t>50H24401</t>
  </si>
  <si>
    <t>ZCSU6783990</t>
  </si>
  <si>
    <t>Khấu trừ 500k</t>
  </si>
  <si>
    <t>Khấu trừ 433.230</t>
  </si>
  <si>
    <t>15h 14/07/2025</t>
  </si>
  <si>
    <t>039FX61399</t>
  </si>
  <si>
    <t>17h 19/07/2025</t>
  </si>
  <si>
    <t>307572493230</t>
  </si>
  <si>
    <t>EMCU8706222</t>
  </si>
  <si>
    <t>CKSU2203082</t>
  </si>
  <si>
    <t>22h 17/07/2025</t>
  </si>
  <si>
    <t>50H02072</t>
  </si>
  <si>
    <t>50H54511
51D60867</t>
  </si>
  <si>
    <t>KCN TÂY NINH, TÂY NINH</t>
  </si>
  <si>
    <t>15/07/2025</t>
  </si>
  <si>
    <t>MSKU5980449
MSKU7766652</t>
  </si>
  <si>
    <t>17/07/2025</t>
  </si>
  <si>
    <t>XL-NV2505</t>
  </si>
  <si>
    <t>KGN-25070925</t>
  </si>
  <si>
    <t>KGN-25070926</t>
  </si>
  <si>
    <t>KGN-25070928</t>
  </si>
  <si>
    <t>VTNW250714-1</t>
  </si>
  <si>
    <t>VTNW250714-2</t>
  </si>
  <si>
    <t>00002580
TKX: 307563395110</t>
  </si>
  <si>
    <t>16/07/2025</t>
  </si>
  <si>
    <t>WHLU5567180</t>
  </si>
  <si>
    <t>61H20016</t>
  </si>
  <si>
    <t>CCL/MCG/2025/SI2507094</t>
  </si>
  <si>
    <t xml:space="preserve">100 CTNS </t>
  </si>
  <si>
    <t>MICHIGAN HD</t>
  </si>
  <si>
    <t>VTNW250715_1</t>
  </si>
  <si>
    <t>YMJAW490481307</t>
  </si>
  <si>
    <t>50E15635
50H05655
50H17748</t>
  </si>
  <si>
    <t>25/07/2025</t>
  </si>
  <si>
    <t>HCM-SBK-25071049</t>
  </si>
  <si>
    <t>95 CT/ 3025.4 KGM/ 9.38 CBM</t>
  </si>
  <si>
    <t>Cut off 19/07/2025</t>
  </si>
  <si>
    <t>CÁT LÁI KHO 5</t>
  </si>
  <si>
    <t>NOSZP25CL00377</t>
  </si>
  <si>
    <t>SEGU3535860</t>
  </si>
  <si>
    <t>U25070414</t>
  </si>
  <si>
    <t>18/07/2025</t>
  </si>
  <si>
    <t>50H03585</t>
  </si>
  <si>
    <t>KGN-25071291</t>
  </si>
  <si>
    <t>VTNW250715</t>
  </si>
  <si>
    <t>WHSU0173933
WHSU0068959</t>
  </si>
  <si>
    <t>50F03585</t>
  </si>
  <si>
    <t>307586307510</t>
  </si>
  <si>
    <t>TEMU0729235</t>
  </si>
  <si>
    <t>YMAU331841</t>
  </si>
  <si>
    <t>CF20250718-1</t>
  </si>
  <si>
    <t>CF20250718-2</t>
  </si>
  <si>
    <t>TEMU0232090</t>
  </si>
  <si>
    <t>YMAU331852</t>
  </si>
  <si>
    <t>YMLU3443644</t>
  </si>
  <si>
    <t>YMAU331890</t>
  </si>
  <si>
    <t>CF20250718-3</t>
  </si>
  <si>
    <t>50H-54376</t>
  </si>
  <si>
    <t>8H 22/07/2025</t>
  </si>
  <si>
    <t>NHƠN TRẠCH</t>
  </si>
  <si>
    <t>20/07/2025</t>
  </si>
  <si>
    <t xml:space="preserve">SHAZLS215200 </t>
  </si>
  <si>
    <t>KGN-25071412</t>
  </si>
  <si>
    <t>VTNW250718</t>
  </si>
  <si>
    <t>CƯỢC CONT 1TR</t>
  </si>
  <si>
    <t>VTJS250716</t>
  </si>
  <si>
    <t>KGN-25071448</t>
  </si>
  <si>
    <t>KGN-25071449</t>
  </si>
  <si>
    <t>VTNW250719</t>
  </si>
  <si>
    <t>Jiangsu Niupai</t>
  </si>
  <si>
    <t>BUYU4102408</t>
  </si>
  <si>
    <t>KGN-25071559</t>
  </si>
  <si>
    <t>107365960110</t>
  </si>
  <si>
    <t>107370317940</t>
  </si>
  <si>
    <t>KNQ SOTRANS</t>
  </si>
  <si>
    <t>VSKH250715</t>
  </si>
  <si>
    <t>21/07/2025</t>
  </si>
  <si>
    <t>KNQ SOTRANS
CHỈ MỞ TK + CƯỚC KNQ</t>
  </si>
  <si>
    <t>23/07/2025</t>
  </si>
  <si>
    <t>VTNW250721</t>
  </si>
  <si>
    <t>1 PK/ 200 KGM/ 2.66 CBM</t>
  </si>
  <si>
    <t>6 PP/ 2750 KGM/ 11 CBM</t>
  </si>
  <si>
    <t>24/07/2025</t>
  </si>
  <si>
    <t>KGN-25071589</t>
  </si>
  <si>
    <t>KGN-25071590</t>
  </si>
  <si>
    <t>122500035013599</t>
  </si>
  <si>
    <t>KGN-25071591</t>
  </si>
  <si>
    <t>KGN-25071593</t>
  </si>
  <si>
    <t xml:space="preserve">SI,VGM: 10H 25/07/2025  
17H 26/07/2025 </t>
  </si>
  <si>
    <t xml:space="preserve">SI,VGM: 15H 28/07/2025  
8AM 30/07/2025 </t>
  </si>
  <si>
    <t>22/07/2025</t>
  </si>
  <si>
    <t>50H17748
50E15685</t>
  </si>
  <si>
    <t>VTNW250722</t>
  </si>
  <si>
    <t>10/08/2025</t>
  </si>
  <si>
    <t>52</t>
  </si>
  <si>
    <t>JS25072001</t>
  </si>
  <si>
    <t>FTAU1659820
FTAU1660400</t>
  </si>
  <si>
    <t>26/07/2025</t>
  </si>
  <si>
    <t>KGN-25071872</t>
  </si>
  <si>
    <t>KGN-25071873</t>
  </si>
  <si>
    <t>KGN-25071874</t>
  </si>
  <si>
    <t>SEGU3483637 &amp; NBYU0168552</t>
  </si>
  <si>
    <t>CCL/MCG/2025/SI2507143</t>
  </si>
  <si>
    <t>DC: Lô B6_D_CN, đường N13, Khu công nghiệp Bàu Bàng, Xã Bàu Bàng, Thành Phố Hồ Chí Minh</t>
  </si>
  <si>
    <t>XL-HC250716</t>
  </si>
  <si>
    <t>107376084210</t>
  </si>
  <si>
    <t>HLBU3657098</t>
  </si>
  <si>
    <t>PSSHA257448</t>
  </si>
  <si>
    <t>107381814150</t>
  </si>
  <si>
    <t>50H87514</t>
  </si>
  <si>
    <t>VTSS250723</t>
  </si>
  <si>
    <t>HUGE ROCK TEXTILE CO.,LTD</t>
  </si>
  <si>
    <t>VTHR250724</t>
  </si>
  <si>
    <t>VTNW250724</t>
  </si>
  <si>
    <t>VTNW250724-1</t>
  </si>
  <si>
    <t>53</t>
  </si>
  <si>
    <t>357 CTNS</t>
  </si>
  <si>
    <t>244 CTNS</t>
  </si>
  <si>
    <t>YARKIN VIET NAM</t>
  </si>
  <si>
    <t>CCL/YKJ/2025/SI2507144</t>
  </si>
  <si>
    <t>039FX69778</t>
  </si>
  <si>
    <t>21H 02/08/2025</t>
  </si>
  <si>
    <r>
      <t xml:space="preserve">THÁNG 08/2025 </t>
    </r>
    <r>
      <rPr>
        <b/>
        <sz val="10"/>
        <color rgb="FFFF0000"/>
        <rFont val="Times New Roman"/>
        <family val="1"/>
      </rPr>
      <t>(SERVICE DAY TỪ NGÀY 23/08/25)</t>
    </r>
  </si>
  <si>
    <t>KGN-25072034</t>
  </si>
  <si>
    <r>
      <t>THÁNG 8/2025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</si>
  <si>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28/07/2025</t>
  </si>
  <si>
    <t>THÁNG 8/2025</t>
  </si>
  <si>
    <t>MRKU0419731</t>
  </si>
  <si>
    <t>51C76340</t>
  </si>
  <si>
    <t>54</t>
  </si>
  <si>
    <t>KGN-25072015</t>
  </si>
  <si>
    <t>KGN-25072016</t>
  </si>
  <si>
    <t>JS25072102</t>
  </si>
  <si>
    <t>00002745
TKX: 307602439230</t>
  </si>
  <si>
    <t>29/07/2025</t>
  </si>
  <si>
    <t>KGN-25072098</t>
  </si>
  <si>
    <t>OHOC25070403</t>
  </si>
  <si>
    <t>235501206180</t>
  </si>
  <si>
    <t>SI: 9H 30/07/2025
10AM 31/07/2025</t>
  </si>
  <si>
    <t>JS25072101</t>
  </si>
  <si>
    <t>30/07/2025</t>
  </si>
  <si>
    <t>HANGZHOU JISHENG NEW MATERIALS</t>
  </si>
  <si>
    <t xml:space="preserve">ZHEJIANG RECYCLE NEW MATERIAL INSTITUTE </t>
  </si>
  <si>
    <t>HANGZHOU JISHENG NEW MATERIAL</t>
  </si>
  <si>
    <r>
      <t xml:space="preserve">HUZHOU ZHONGYUE CHEMICAL FIBER
</t>
    </r>
    <r>
      <rPr>
        <b/>
        <sz val="8"/>
        <color rgb="FFFF0000"/>
        <rFont val="Times New Roman"/>
        <family val="1"/>
      </rPr>
      <t>(TBCPG: 8.05%)</t>
    </r>
  </si>
  <si>
    <t>ZHEJIANG RECYCLE NEW MATERIA</t>
  </si>
  <si>
    <t>11/08/2025</t>
  </si>
  <si>
    <t>Phụ thi phí BOT</t>
  </si>
  <si>
    <t>EITU0321555</t>
  </si>
  <si>
    <t>55</t>
  </si>
  <si>
    <t>VTNW250729</t>
  </si>
  <si>
    <t>350</t>
  </si>
  <si>
    <t>600</t>
  </si>
  <si>
    <t>KAM HING PIECE WORK LIMITED</t>
  </si>
  <si>
    <t>FFAU1071249</t>
  </si>
  <si>
    <t>Phụ phí 500k</t>
  </si>
  <si>
    <t>KGN-25072213</t>
  </si>
  <si>
    <t>VSKH250729</t>
  </si>
  <si>
    <t>50H05655
50H54376</t>
  </si>
  <si>
    <t>107393372440</t>
  </si>
  <si>
    <t>257336092</t>
  </si>
  <si>
    <t>9H 05/08/2025</t>
  </si>
  <si>
    <t>KHAI TK CASRT LÁI
ĐK SỞ XÂY DỰNG
PHÍ GRAB 491K</t>
  </si>
  <si>
    <t>KGN-25072385</t>
  </si>
  <si>
    <t>KGN-25072386</t>
  </si>
  <si>
    <t>KGN-25072387</t>
  </si>
  <si>
    <t>KGN-25072388</t>
  </si>
  <si>
    <t>ETD: 06/08/2025
CY: 04/08/2025</t>
  </si>
  <si>
    <t>13/08/2025</t>
  </si>
  <si>
    <r>
      <rPr>
        <b/>
        <sz val="10"/>
        <color rgb="FFFF0000"/>
        <rFont val="Times New Roman"/>
        <family val="1"/>
      </rPr>
      <t xml:space="preserve">WAN HAI </t>
    </r>
    <r>
      <rPr>
        <b/>
        <sz val="10"/>
        <rFont val="Times New Roman"/>
        <family val="1"/>
      </rPr>
      <t xml:space="preserve">
HCM - KEELUNG</t>
    </r>
  </si>
  <si>
    <t>039FX72395</t>
  </si>
  <si>
    <t>ETD: 08/08/2025
CY: 06/08/2025</t>
  </si>
  <si>
    <t>VTNW250801</t>
  </si>
  <si>
    <t>01/08/2025</t>
  </si>
  <si>
    <t>56</t>
  </si>
  <si>
    <t>130</t>
  </si>
  <si>
    <t>VTNW250801-1</t>
  </si>
  <si>
    <t>150</t>
  </si>
  <si>
    <t xml:space="preserve">51C75929 </t>
  </si>
  <si>
    <r>
      <rPr>
        <b/>
        <sz val="10"/>
        <color rgb="FFFF0000"/>
        <rFont val="Times New Roman"/>
        <family val="1"/>
      </rPr>
      <t>EMC</t>
    </r>
    <r>
      <rPr>
        <b/>
        <sz val="10"/>
        <rFont val="Times New Roman"/>
        <family val="1"/>
      </rPr>
      <t xml:space="preserve"> 
HCM - KAOSIUNG</t>
    </r>
  </si>
  <si>
    <t>235501261776</t>
  </si>
  <si>
    <t>VST25070014</t>
  </si>
  <si>
    <t>SGNFM0514601</t>
  </si>
  <si>
    <t xml:space="preserve">SI,VGM:  8H  05/08/2025  
1H 07/08/2025   </t>
  </si>
  <si>
    <t>51D62522</t>
  </si>
  <si>
    <t>BSUNG PHÍ HẠ</t>
  </si>
  <si>
    <t>57</t>
  </si>
  <si>
    <t>307629128830</t>
  </si>
  <si>
    <t>02/08/2025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</si>
  <si>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</t>
    </r>
  </si>
  <si>
    <t>CONT: WHSU6250852
SEAL: WHA1541482</t>
  </si>
  <si>
    <t>KGN-25080087</t>
  </si>
  <si>
    <t>KGN-25080094</t>
  </si>
  <si>
    <t>KGN-25080095</t>
  </si>
  <si>
    <t>WHSU2924606</t>
  </si>
  <si>
    <t>JJCNSSGY501898</t>
  </si>
  <si>
    <t>09/08/2025</t>
  </si>
  <si>
    <t>MSKU7792841</t>
  </si>
  <si>
    <t>MSKU7709544</t>
  </si>
  <si>
    <t>ML-VN1081038</t>
  </si>
  <si>
    <t>CF20250718-5</t>
  </si>
  <si>
    <t>CF20250718-4</t>
  </si>
  <si>
    <t>ML-VN1078487</t>
  </si>
  <si>
    <t>Cont No.: TXGU5739711
Seal No.: EMCSPW3394</t>
  </si>
  <si>
    <t>VTJS250804</t>
  </si>
  <si>
    <t>51D64813</t>
  </si>
  <si>
    <t>04/08/2025</t>
  </si>
  <si>
    <t>307635295240</t>
  </si>
  <si>
    <t>KGN-25080308</t>
  </si>
  <si>
    <t>KGN-25080324</t>
  </si>
  <si>
    <t>KGN-25080326</t>
  </si>
  <si>
    <t>257780015</t>
  </si>
  <si>
    <t>04H 10/08/2025</t>
  </si>
  <si>
    <t>MAERSK</t>
  </si>
  <si>
    <t>SITSGOSW447475</t>
  </si>
  <si>
    <t>58</t>
  </si>
  <si>
    <t>05/08/2025</t>
  </si>
  <si>
    <t>98</t>
  </si>
  <si>
    <t>VN01052807</t>
  </si>
  <si>
    <t>ETD:  09/08/2025
CY: 12H 07/08/2025
SI: 16H 06/08/2025</t>
  </si>
  <si>
    <r>
      <rPr>
        <b/>
        <sz val="10"/>
        <color rgb="FFFF0000"/>
        <rFont val="Times New Roman"/>
        <family val="1"/>
      </rPr>
      <t>KMTC</t>
    </r>
    <r>
      <rPr>
        <b/>
        <sz val="10"/>
        <rFont val="Times New Roman"/>
        <family val="1"/>
      </rPr>
      <t xml:space="preserve">
HCM - BANGKOK</t>
    </r>
  </si>
  <si>
    <t>12H 12/08/2025</t>
  </si>
  <si>
    <t>KGN-25080388</t>
  </si>
  <si>
    <t>TWCU2161670
TWCU2195161</t>
  </si>
  <si>
    <t>MRKU7973560</t>
  </si>
  <si>
    <t>257540853</t>
  </si>
  <si>
    <t>TCKU6078579
EGHU9572020</t>
  </si>
  <si>
    <t>OHOC25070568</t>
  </si>
  <si>
    <t>U25072311</t>
  </si>
  <si>
    <r>
      <t xml:space="preserve">EGLV143580716202
</t>
    </r>
    <r>
      <rPr>
        <sz val="10"/>
        <rFont val="Times New Roman"/>
        <family val="1"/>
      </rPr>
      <t>(EVER OUTDO 0071-047S)</t>
    </r>
  </si>
  <si>
    <t>KGN-25080434</t>
  </si>
  <si>
    <t>Cont No: SEGU1303572
Seal No: KM B784703</t>
  </si>
  <si>
    <t>307643689200
307643691850</t>
  </si>
  <si>
    <t>VET250806
VET250806-1</t>
  </si>
  <si>
    <t>51D64847</t>
  </si>
  <si>
    <t>VTNW250805</t>
  </si>
  <si>
    <t>06/08/2025</t>
  </si>
  <si>
    <t>SNLFNSVLF43216</t>
  </si>
  <si>
    <t>235501293279</t>
  </si>
  <si>
    <t>CY: 22H 11/08/2025
SI: 17H 11/08/2025</t>
  </si>
  <si>
    <t>TGHU1640273</t>
  </si>
  <si>
    <t>CONG TY TNHH BILLION INDUSTRIAL VIET NAM</t>
  </si>
  <si>
    <t>07/08/2025</t>
  </si>
  <si>
    <t>00007531
TKX: 307645948430</t>
  </si>
  <si>
    <t>157</t>
  </si>
  <si>
    <t>595</t>
  </si>
  <si>
    <t>107421401140</t>
  </si>
  <si>
    <t>PSSHA258017</t>
  </si>
  <si>
    <t>ETA: 08/08/2025</t>
  </si>
  <si>
    <t>BỔ SUNG PHÍ DV + CH C/O</t>
  </si>
  <si>
    <t>039FX74764</t>
  </si>
  <si>
    <t>ZIMUHCM80561533</t>
  </si>
  <si>
    <t>08/08/2025</t>
  </si>
  <si>
    <t>YMJAI490557957</t>
  </si>
  <si>
    <r>
      <rPr>
        <b/>
        <sz val="10"/>
        <color rgb="FFFF0000"/>
        <rFont val="Times New Roman"/>
        <family val="1"/>
      </rPr>
      <t xml:space="preserve">YANGMING </t>
    </r>
    <r>
      <rPr>
        <b/>
        <sz val="10"/>
        <rFont val="Times New Roman"/>
        <family val="1"/>
      </rPr>
      <t xml:space="preserve">
HCM - KAOSIUNG</t>
    </r>
  </si>
  <si>
    <t>CY: 22H 11/08/2025</t>
  </si>
  <si>
    <t xml:space="preserve">CONT: TXGU7229661
SEAL: EMCSPY7194 </t>
  </si>
  <si>
    <t>307651045610</t>
  </si>
  <si>
    <t>FFAU3964214</t>
  </si>
  <si>
    <t>SEKU1575805
BEAU2702786</t>
  </si>
  <si>
    <t>307654366960/E62
307654415040/B11</t>
  </si>
  <si>
    <t>107417643100</t>
  </si>
  <si>
    <t>VTNW250807</t>
  </si>
  <si>
    <t>59</t>
  </si>
  <si>
    <t>00002900
TKX: 307640067510</t>
  </si>
  <si>
    <t>PHÍ BẢO HIỂM</t>
  </si>
  <si>
    <t>50H24423</t>
  </si>
  <si>
    <t>51C78156</t>
  </si>
  <si>
    <t>SITSGOSW447979</t>
  </si>
  <si>
    <t>06H 15/08/2025</t>
  </si>
  <si>
    <t>307654967450</t>
  </si>
  <si>
    <t>09/8/2025</t>
  </si>
  <si>
    <t>KGN-25080779</t>
  </si>
  <si>
    <t>CONT: TLLU3584579
SEAL: YMAU329615</t>
  </si>
  <si>
    <t>KGN-25080780</t>
  </si>
  <si>
    <t>KGN-25080781</t>
  </si>
  <si>
    <t>KGN-25080782</t>
  </si>
  <si>
    <t>JS25080101</t>
  </si>
  <si>
    <t>VET250808</t>
  </si>
  <si>
    <t>VTJS250809</t>
  </si>
  <si>
    <t>KGN-25080785</t>
  </si>
  <si>
    <t>KGN-25080787</t>
  </si>
  <si>
    <t>JS25080401</t>
  </si>
  <si>
    <t>22/08/2025</t>
  </si>
  <si>
    <t>23/08/2025</t>
  </si>
  <si>
    <t xml:space="preserve">22h 14/08/2025 </t>
  </si>
  <si>
    <t>KGN-25080840</t>
  </si>
  <si>
    <t>EBKG13803057</t>
  </si>
  <si>
    <t>22:00 18/08/2025</t>
  </si>
  <si>
    <t>60</t>
  </si>
  <si>
    <t>VTNW250811</t>
  </si>
  <si>
    <t>687</t>
  </si>
  <si>
    <t xml:space="preserve">KGN-25080911 </t>
  </si>
  <si>
    <t>Lệ phí hải quan T1-4-5-6</t>
  </si>
  <si>
    <t>15/08/2025</t>
  </si>
  <si>
    <t>12/08/2025</t>
  </si>
  <si>
    <t>50H25399</t>
  </si>
  <si>
    <t>107434091220</t>
  </si>
  <si>
    <t xml:space="preserve">SI,VGM: 10H 15/08/2025  
16H 16/08/2025   </t>
  </si>
  <si>
    <t>FT01P</t>
  </si>
  <si>
    <t>TCKU1252203</t>
  </si>
  <si>
    <t>A4251343267</t>
  </si>
  <si>
    <t>50H91510</t>
  </si>
  <si>
    <t>01H 17/08/2025</t>
  </si>
  <si>
    <t>21/08/2025</t>
  </si>
  <si>
    <t>BY20250729</t>
  </si>
  <si>
    <t>BEAU2693703</t>
  </si>
  <si>
    <t>51C76342</t>
  </si>
  <si>
    <t>KHAI TK CÁT LÁI
ĐK SỞ XÂY DỰNG
Phí grab 231k</t>
  </si>
  <si>
    <t>107419761740/E62
107419858822/A12</t>
  </si>
  <si>
    <t>KGN-25081105</t>
  </si>
  <si>
    <t>KGN-25081106</t>
  </si>
  <si>
    <t>KGN-25081107</t>
  </si>
  <si>
    <t>KGN-25081108</t>
  </si>
  <si>
    <t>XL-NV250807</t>
  </si>
  <si>
    <t>SNBU2259833</t>
  </si>
  <si>
    <t>27,020</t>
  </si>
  <si>
    <t>YMJAW490486900</t>
  </si>
  <si>
    <t>PHUOC LONG 3</t>
  </si>
  <si>
    <t>14/08/2025</t>
  </si>
  <si>
    <t>KGN-25081206</t>
  </si>
  <si>
    <t>KGN-25081211</t>
  </si>
  <si>
    <t>50H17748
50H91877</t>
  </si>
  <si>
    <t>50H83365
50H74085</t>
  </si>
  <si>
    <t>16h 14/08/2025</t>
  </si>
  <si>
    <t>51D44643</t>
  </si>
  <si>
    <t>KGN-25070828-BS1</t>
  </si>
  <si>
    <t>KGN-25072213-BS1</t>
  </si>
  <si>
    <t>51C46577</t>
  </si>
  <si>
    <t>TCLU8123611</t>
  </si>
  <si>
    <t>KGN-25081277</t>
  </si>
  <si>
    <t>WHSU5805154</t>
  </si>
  <si>
    <t>WHLT240584</t>
  </si>
  <si>
    <t>POVT000038-2</t>
  </si>
  <si>
    <t>1TR PHÍ HỦY XE -&gt; PHÍ LẤY CONT XA HIỆP PHƯỚC</t>
  </si>
  <si>
    <t>27/08/2025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</si>
  <si>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LÀM 2 C/O FORM AJ</t>
    </r>
  </si>
  <si>
    <t>6 PK/ 161 KGM/ 0.633 CBM</t>
  </si>
  <si>
    <t>KGN-25081323</t>
  </si>
  <si>
    <t>8H 19/08/2025</t>
  </si>
  <si>
    <t>6</t>
  </si>
  <si>
    <t>VTSS250815</t>
  </si>
  <si>
    <t>00000279</t>
  </si>
  <si>
    <t>LD-SC-LG28-25</t>
  </si>
  <si>
    <t>039FX77977</t>
  </si>
  <si>
    <t>MSMU4701047</t>
  </si>
  <si>
    <t>TCLU9826650</t>
  </si>
  <si>
    <t>FX40402987</t>
  </si>
  <si>
    <t>KJ020405P
KJ020405P-1</t>
  </si>
  <si>
    <t>307674252450/H21
307674262400/B11</t>
  </si>
  <si>
    <t>50H02728</t>
  </si>
  <si>
    <t>KGN-25081449</t>
  </si>
  <si>
    <t>KGN-25081450</t>
  </si>
  <si>
    <t>Cấn trừ 350k chưa VAT phí hun trùng T1</t>
  </si>
  <si>
    <t>Cấn trừ 300k chưa VAT phí hun trùng T1</t>
  </si>
  <si>
    <t>16/08/2025</t>
  </si>
  <si>
    <t>18/08/2025</t>
  </si>
  <si>
    <t>COAU7261581870</t>
  </si>
  <si>
    <t>OOCU8691511</t>
  </si>
  <si>
    <t>SNLFNSVLF43318</t>
  </si>
  <si>
    <t>SNBU2362604
SNBU2257893</t>
  </si>
  <si>
    <t>54396</t>
  </si>
  <si>
    <t>20/08/2025</t>
  </si>
  <si>
    <t>U25080212</t>
  </si>
  <si>
    <t>50H26346</t>
  </si>
  <si>
    <t>CONT: TIIU4723384
SEAL: WHLT217897</t>
  </si>
  <si>
    <t>VTJS250818</t>
  </si>
  <si>
    <t xml:space="preserve">12:00 20/08/2025	</t>
  </si>
  <si>
    <t>FTAU1008921</t>
  </si>
  <si>
    <t>CF20250718-6</t>
  </si>
  <si>
    <t>YMAU415706</t>
  </si>
  <si>
    <t xml:space="preserve">50E15635 </t>
  </si>
  <si>
    <t>027F676221</t>
  </si>
  <si>
    <t>307677499640</t>
  </si>
  <si>
    <r>
      <t xml:space="preserve">JIANGSU HENGKE ADVANCED MATERIAL
</t>
    </r>
    <r>
      <rPr>
        <b/>
        <sz val="8"/>
        <color rgb="FFFF0000"/>
        <rFont val="Times New Roman"/>
        <family val="1"/>
      </rPr>
      <t>(TCBPG: 11.45%)</t>
    </r>
  </si>
  <si>
    <t>SNLFNSVLF43510</t>
  </si>
  <si>
    <t>WHLU5621819
WHSU6820045</t>
  </si>
  <si>
    <t>VTSS250818</t>
  </si>
  <si>
    <t>107450198700</t>
  </si>
  <si>
    <t>039FX75296</t>
  </si>
  <si>
    <t>6H 22/08/2025</t>
  </si>
  <si>
    <t>19/08/2025</t>
  </si>
  <si>
    <t>KGN-25081692</t>
  </si>
  <si>
    <t>2764349590B</t>
  </si>
  <si>
    <t>KGN-25081693</t>
  </si>
  <si>
    <t>KGN-25081694</t>
  </si>
  <si>
    <t>XL-HD250812</t>
  </si>
  <si>
    <t>HKEXP2508008A</t>
  </si>
  <si>
    <t>2 xe 8T</t>
  </si>
  <si>
    <t>STHCM2508008</t>
  </si>
  <si>
    <t>STHCM2508046</t>
  </si>
  <si>
    <t>STHCM2508079</t>
  </si>
  <si>
    <t>STHCM2508136</t>
  </si>
  <si>
    <t>235501358800</t>
  </si>
  <si>
    <t>SI: 11H 25/08/2025
CY: 12H 25/08/2025</t>
  </si>
  <si>
    <t>123040062311</t>
  </si>
  <si>
    <t>WHSU0011193</t>
  </si>
  <si>
    <t>KGN-25081754</t>
  </si>
  <si>
    <t>ICHIMURA</t>
  </si>
  <si>
    <t xml:space="preserve">SI,VGM: 10H 22/08/2025  
CY: 15H 22/08/2025   </t>
  </si>
  <si>
    <t>51C76393</t>
  </si>
  <si>
    <t>50H34920
50H58640</t>
  </si>
  <si>
    <t xml:space="preserve">19/08/2025 </t>
  </si>
  <si>
    <t>3374,56</t>
  </si>
  <si>
    <t>21 PK/ 3374,56 KGM/ 21.16 CBM</t>
  </si>
  <si>
    <t>16H 22/08/2025</t>
  </si>
  <si>
    <t>00003132
TKX: 307681938820</t>
  </si>
  <si>
    <t>KGN-25081833</t>
  </si>
  <si>
    <t>DLNV-20250820</t>
  </si>
  <si>
    <t>WHSU2753144</t>
  </si>
  <si>
    <t>TẠM NHẬP</t>
  </si>
  <si>
    <t>OOCU1002288</t>
  </si>
  <si>
    <t>COAU7261767670</t>
  </si>
  <si>
    <t>KGN-25081855</t>
  </si>
  <si>
    <t xml:space="preserve">SUZHOU SHENGZHENGXIN </t>
  </si>
  <si>
    <t>RCEP
VJ</t>
  </si>
  <si>
    <t>KGN-25081858</t>
  </si>
  <si>
    <t>ASSNLFSHVL0252548</t>
  </si>
  <si>
    <t>KGN-25081898</t>
  </si>
  <si>
    <t>SNBU2441175</t>
  </si>
  <si>
    <t>50H34793</t>
  </si>
  <si>
    <r>
      <rPr>
        <b/>
        <sz val="10"/>
        <rFont val="Times New Roman"/>
        <family val="1"/>
      </rPr>
      <t>CƯỚC SOTRANS</t>
    </r>
    <r>
      <rPr>
        <b/>
        <sz val="10"/>
        <color rgb="FFFF0000"/>
        <rFont val="Times New Roman"/>
        <family val="1"/>
      </rPr>
      <t xml:space="preserve">
CÓ BẢO HIỂM
C/O FORM B</t>
    </r>
  </si>
  <si>
    <t>TOYOSHIMA&amp;CO</t>
  </si>
  <si>
    <t>VTNW250821</t>
  </si>
  <si>
    <t>854</t>
  </si>
  <si>
    <t>61</t>
  </si>
  <si>
    <t>307693771730
307693773020</t>
  </si>
  <si>
    <t>CAIU4217824</t>
  </si>
  <si>
    <t>EGSU9350264
EITU1688191
TXGU5995945</t>
  </si>
  <si>
    <t>24/08/2025</t>
  </si>
  <si>
    <r>
      <t xml:space="preserve">EGLV143580716679
</t>
    </r>
    <r>
      <rPr>
        <sz val="10"/>
        <rFont val="Times New Roman"/>
        <family val="1"/>
      </rPr>
      <t>(EVER OPUS 0073-058S)</t>
    </r>
  </si>
  <si>
    <r>
      <t xml:space="preserve">EGLV143580716598
</t>
    </r>
    <r>
      <rPr>
        <sz val="10"/>
        <rFont val="Times New Roman"/>
        <family val="1"/>
      </rPr>
      <t>(EVER OPUS 0073-058S)</t>
    </r>
  </si>
  <si>
    <t>EMCU8535860</t>
  </si>
  <si>
    <t>JS25081101</t>
  </si>
  <si>
    <t>OHOC25080170</t>
  </si>
  <si>
    <t>KMTU9315347</t>
  </si>
  <si>
    <t>00003139
TKX: 307683965320</t>
  </si>
  <si>
    <r>
      <t xml:space="preserve">TONGXIANG ZHONGWEI CHEMICAL FIBER
</t>
    </r>
    <r>
      <rPr>
        <b/>
        <sz val="10"/>
        <color rgb="FFFF0000"/>
        <rFont val="Times New Roman"/>
        <family val="1"/>
      </rPr>
      <t>(TCBPG: 10.85%)</t>
    </r>
  </si>
  <si>
    <t>U25081211</t>
  </si>
  <si>
    <t>JS2508130</t>
  </si>
  <si>
    <t>25/08/2025</t>
  </si>
  <si>
    <t>OHOC25080155</t>
  </si>
  <si>
    <t>U25080911</t>
  </si>
  <si>
    <t>107466317930</t>
  </si>
  <si>
    <t>61H13547
61H13547</t>
  </si>
  <si>
    <t>107466908250</t>
  </si>
  <si>
    <t>KGN-25082066</t>
  </si>
  <si>
    <t>KGN-25082068</t>
  </si>
  <si>
    <t>02/09/2025</t>
  </si>
  <si>
    <t>LN-LHN27-25</t>
  </si>
  <si>
    <t>00000286</t>
  </si>
  <si>
    <t>00000287</t>
  </si>
  <si>
    <t>LY-LHY26/28-25</t>
  </si>
  <si>
    <t>CONT: GAOU6309240
SEAL: EMCSPU8934</t>
  </si>
  <si>
    <t>VET250823</t>
  </si>
  <si>
    <t>SGN2508041</t>
  </si>
  <si>
    <t>14H 25/08/2025</t>
  </si>
  <si>
    <t>HCM - TAIPEI</t>
  </si>
  <si>
    <t>307700048850</t>
  </si>
  <si>
    <t>50H91044</t>
  </si>
  <si>
    <t>KGN-25082148</t>
  </si>
  <si>
    <t>307696995341</t>
  </si>
  <si>
    <t>BMOU6472095</t>
  </si>
  <si>
    <t>TSHGSGN25000108</t>
  </si>
  <si>
    <t>SI: 19H 27/08/2025
CY: 19H 28/08/2025</t>
  </si>
  <si>
    <r>
      <rPr>
        <b/>
        <sz val="10"/>
        <color rgb="FFFF0000"/>
        <rFont val="Times New Roman"/>
        <family val="1"/>
      </rPr>
      <t>KB LINE</t>
    </r>
    <r>
      <rPr>
        <b/>
        <sz val="10"/>
        <rFont val="Times New Roman"/>
        <family val="1"/>
      </rPr>
      <t xml:space="preserve">
HCM - CHATTOGRAM</t>
    </r>
  </si>
  <si>
    <t>28/08/2025</t>
  </si>
  <si>
    <t>26/08/2025</t>
  </si>
  <si>
    <t>CƯỚC SOTRANS
CÓ BẢO HIỂM
KIỂM HÓA</t>
  </si>
  <si>
    <r>
      <t xml:space="preserve">THÁNG 09/2025 </t>
    </r>
    <r>
      <rPr>
        <b/>
        <sz val="10"/>
        <color rgb="FFFF0000"/>
        <rFont val="Times New Roman"/>
        <family val="1"/>
      </rPr>
      <t>(SERVICE DAY TỪ NGÀY 23/08/25)</t>
    </r>
  </si>
  <si>
    <t>06/09/2025</t>
  </si>
  <si>
    <t>027F681680</t>
  </si>
  <si>
    <t>TCKU7314175
WHSU6257585</t>
  </si>
  <si>
    <t>VTGS250826</t>
  </si>
  <si>
    <t>BY20250816</t>
  </si>
  <si>
    <t>SNBU2366596
FTAU2040419</t>
  </si>
  <si>
    <t>54560</t>
  </si>
  <si>
    <t>KGN-25082409</t>
  </si>
  <si>
    <t>KGN-25082410</t>
  </si>
  <si>
    <t>13h 27/08/2025</t>
  </si>
  <si>
    <t>ZIMUHCM80563072</t>
  </si>
  <si>
    <t>ZIMUHCM80565766</t>
  </si>
  <si>
    <t xml:space="preserve">SI,VGM: 09H 29/08/2025  
CY: 2H 03/09/2025   </t>
  </si>
  <si>
    <t xml:space="preserve">SI,VGM: 10H 29/08/2025  
CY: 16H 01/09/2025  </t>
  </si>
  <si>
    <t>PSSHA258428</t>
  </si>
  <si>
    <t>KGN-25082515</t>
  </si>
  <si>
    <t>VTNW250827</t>
  </si>
  <si>
    <t>62</t>
  </si>
  <si>
    <t>01/09/2025</t>
  </si>
  <si>
    <t>THÁNG 9/2025</t>
  </si>
  <si>
    <t>KGN-25082632</t>
  </si>
  <si>
    <t>KGN-25082630</t>
  </si>
  <si>
    <t>KGN-25082633</t>
  </si>
  <si>
    <t>TAWU4166676
TAWU4160976
'TAWU4028888
TAWU4105032</t>
  </si>
  <si>
    <t>50E15635
51C23619
'50H29647
50H17748</t>
  </si>
  <si>
    <t>26/08/2025
'27/08/2025</t>
  </si>
  <si>
    <t>307704551840
307709198330</t>
  </si>
  <si>
    <t>039FX81589</t>
  </si>
  <si>
    <t>10/09/2025</t>
  </si>
  <si>
    <r>
      <t>THÁNG 9/2025 (</t>
    </r>
    <r>
      <rPr>
        <b/>
        <sz val="10"/>
        <color rgb="FFFF0000"/>
        <rFont val="Times New Roman"/>
        <family val="1"/>
      </rPr>
      <t>SERVICE DAY TỪ NGÀY 01/8</t>
    </r>
    <r>
      <rPr>
        <b/>
        <sz val="10"/>
        <rFont val="Times New Roman"/>
        <family val="1"/>
      </rPr>
      <t>)</t>
    </r>
  </si>
  <si>
    <t>29/08/2025</t>
  </si>
  <si>
    <t>107481856640</t>
  </si>
  <si>
    <t>Địa chỉ : Nhà xưởng A-17A2-CN-A,A-17A2-CN-B,Đường NX3,KCN Bàu Bàng,Xã Bàu Bàng,Thành phố Hồ Chí Minh, Việt Nam</t>
  </si>
  <si>
    <t>UNIVERSAL STAR CORPARATION CO.,LTD</t>
  </si>
  <si>
    <t>VTUS250828</t>
  </si>
  <si>
    <t>STHCM2508305</t>
  </si>
  <si>
    <t>STHCM2508137</t>
  </si>
  <si>
    <t>STHCM2508225</t>
  </si>
  <si>
    <t>Hạ rỗng cảng đồng nai</t>
  </si>
  <si>
    <t>TCNU8779551</t>
  </si>
  <si>
    <t xml:space="preserve"> FSCU8219503</t>
  </si>
  <si>
    <t>EMCU8340051
TIIU5875205
TRHU5640822</t>
  </si>
  <si>
    <r>
      <t xml:space="preserve">EGLV143580716822
</t>
    </r>
    <r>
      <rPr>
        <sz val="10"/>
        <rFont val="Times New Roman"/>
        <family val="1"/>
      </rPr>
      <t>(EVER OWN 0074-051S)</t>
    </r>
  </si>
  <si>
    <t>388 KGM</t>
  </si>
  <si>
    <t>VTNW250829</t>
  </si>
  <si>
    <t>107483558120</t>
  </si>
  <si>
    <t>30/08/2025</t>
  </si>
  <si>
    <t>30/09/2025</t>
  </si>
  <si>
    <t>CƯỚC SOTRANS
ĐÃ XUẤT HD DỊCH VỤ</t>
  </si>
  <si>
    <t>KGN-25090009</t>
  </si>
  <si>
    <t>KGN-25090010</t>
  </si>
  <si>
    <t>KGN-25090011</t>
  </si>
  <si>
    <t>YMJAI490560714</t>
  </si>
  <si>
    <t>CY: 12H 08/09/2025</t>
  </si>
  <si>
    <t>03/09/2025</t>
  </si>
  <si>
    <t>HKEXP2508008B</t>
  </si>
  <si>
    <t>50H54376
50H17748</t>
  </si>
  <si>
    <t>VTNW250903</t>
  </si>
  <si>
    <t>KGN-25090128</t>
  </si>
  <si>
    <t>17:00 06/09/2025</t>
  </si>
  <si>
    <t>04/09/2025</t>
  </si>
  <si>
    <t>107492516020</t>
  </si>
  <si>
    <t>EGLV147501235136</t>
  </si>
  <si>
    <t>EGSU3302802
EGSU3587290
EGSU3685527
EMCU6306150</t>
  </si>
  <si>
    <t>CULVSHK2545634</t>
  </si>
  <si>
    <t>FTAU1175298</t>
  </si>
  <si>
    <t>27020</t>
  </si>
  <si>
    <t>XL-NV250828</t>
  </si>
  <si>
    <t>64</t>
  </si>
  <si>
    <t>63</t>
  </si>
  <si>
    <t>VTSS250904</t>
  </si>
  <si>
    <t>107494170600</t>
  </si>
  <si>
    <t>05/09/2025</t>
  </si>
  <si>
    <t>BY20250825</t>
  </si>
  <si>
    <t>KHAI TK CÁT LÁI
ĐK SỞ XÂY DỰNG
Phí grab 255k</t>
  </si>
  <si>
    <t>ASCKCOSHA4109323</t>
  </si>
  <si>
    <t>CKSU4022442</t>
  </si>
  <si>
    <t>KGN-25090277</t>
  </si>
  <si>
    <t>CONT: YMLU8867558
SEAL: YMAU433778</t>
  </si>
  <si>
    <t>307734437310</t>
  </si>
  <si>
    <t>CƯỚC SOTRANS
CÓ BẢO HIỂM</t>
  </si>
  <si>
    <t>MST: 3702679349</t>
  </si>
  <si>
    <t>DC: Số 675 đường Lai Hưng 56, Tổ 20, ấp Lai Khê,Phường Bến Cát, Thành phố Hồ Chí Minh, Việt Nam</t>
  </si>
  <si>
    <t>PSSHA259020</t>
  </si>
  <si>
    <t>NBOZ98972700</t>
  </si>
  <si>
    <t>JS25090301</t>
  </si>
  <si>
    <t>JS25082501</t>
  </si>
  <si>
    <t>65</t>
  </si>
  <si>
    <t>VTNW250905</t>
  </si>
  <si>
    <t>51C23619
50E15635
50H17748</t>
  </si>
  <si>
    <t>FCIU6232446
WHSU2441151</t>
  </si>
  <si>
    <t>PHÍ SỬA TỜ KHAI</t>
  </si>
  <si>
    <t>PHÍ NEO XE 1TR</t>
  </si>
  <si>
    <t>KGN-25090364</t>
  </si>
  <si>
    <t>KGN-25090365</t>
  </si>
  <si>
    <t>KGN-25090366</t>
  </si>
  <si>
    <t>KGN-25090368</t>
  </si>
  <si>
    <t>08/09/2025</t>
  </si>
  <si>
    <t>KGN-25090369</t>
  </si>
  <si>
    <t>KGN-25090370</t>
  </si>
  <si>
    <t>KGN-25081449-BS1</t>
  </si>
  <si>
    <t>KGN-25081833-BS1</t>
  </si>
  <si>
    <t>KGN-25081105-BS1</t>
  </si>
  <si>
    <t>107505303510</t>
  </si>
  <si>
    <t>CCL/HNK/2025/SI2509041</t>
  </si>
  <si>
    <t>125 CTNS</t>
  </si>
  <si>
    <t>SGNFU4569500</t>
  </si>
  <si>
    <t xml:space="preserve">SI,VGM: 10H 10/09/2025  
CY: 23H 11/09/2025  </t>
  </si>
  <si>
    <t>09/09/2025</t>
  </si>
  <si>
    <t>OHOC25080433</t>
  </si>
  <si>
    <t>U25081811</t>
  </si>
  <si>
    <t>039FX85728B</t>
  </si>
  <si>
    <t>45 PK/ 8063.76 KGM/ 45.04 CBM</t>
  </si>
  <si>
    <t>11H 11/09/2025</t>
  </si>
  <si>
    <t>KMTCSHAO499968</t>
  </si>
  <si>
    <t>BEAU4934749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</si>
  <si>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12.39%)</t>
    </r>
  </si>
  <si>
    <t>GWI-VNVS-250801</t>
  </si>
  <si>
    <t>VET250905</t>
  </si>
  <si>
    <t xml:space="preserve">PSSHA259032 </t>
  </si>
  <si>
    <t>JS25090501</t>
  </si>
  <si>
    <t>107508752740</t>
  </si>
  <si>
    <t>KGN-25090527</t>
  </si>
  <si>
    <t>KGN-25090528</t>
  </si>
  <si>
    <t>51D16472</t>
  </si>
  <si>
    <t>027F686109</t>
  </si>
  <si>
    <t>107511654240</t>
  </si>
  <si>
    <t>TRHU2196611</t>
  </si>
  <si>
    <t>17/09/2025</t>
  </si>
  <si>
    <t>TÁI XUẤT</t>
  </si>
  <si>
    <t>039FX84443</t>
  </si>
  <si>
    <t>YMJAI490561756</t>
  </si>
  <si>
    <t>20:00 14/09/2025</t>
  </si>
  <si>
    <t>10/09/2025
11/09/2025</t>
  </si>
  <si>
    <t>PSSHA259040</t>
  </si>
  <si>
    <t>CÁT LÁI KHO 3</t>
  </si>
  <si>
    <t>KGN-25090712</t>
  </si>
  <si>
    <t>51D10144
51D11392
50H34920
50F02247</t>
  </si>
  <si>
    <t>RU2520SSGT417</t>
  </si>
  <si>
    <t>KGN-25090717</t>
  </si>
  <si>
    <t>DLNV-20250910</t>
  </si>
  <si>
    <t>107260</t>
  </si>
  <si>
    <t>YMJAI490561804</t>
  </si>
  <si>
    <t>VTNW250910</t>
  </si>
  <si>
    <t>VTNW250911</t>
  </si>
  <si>
    <t>11/09/2025</t>
  </si>
  <si>
    <t>107514506740</t>
  </si>
  <si>
    <t>JS25090802</t>
  </si>
  <si>
    <t>12/09/2025</t>
  </si>
  <si>
    <t>50H54376
50E15635
50E15635</t>
  </si>
  <si>
    <t>KGN-25090852</t>
  </si>
  <si>
    <t>KGN-25090853</t>
  </si>
  <si>
    <t>107521094330</t>
  </si>
  <si>
    <t>WHLU5799930
WHSU5706824</t>
  </si>
  <si>
    <t>HKEXP2508008C</t>
  </si>
  <si>
    <t>HMMU4143838
HMMU4143843
HMMU4237990</t>
  </si>
  <si>
    <t>U25082012</t>
  </si>
  <si>
    <t>Cont: YMMU7226281
Seal: YMAU433614</t>
  </si>
  <si>
    <t>50H44996
51C62954
50H44996
50H25696</t>
  </si>
  <si>
    <t>15/09/2025</t>
  </si>
  <si>
    <t xml:space="preserve">SI, VGM: 15H 15/09/2025  CY: 18H 17/09/2025  </t>
  </si>
  <si>
    <t>ICD DONG NAI</t>
  </si>
  <si>
    <t>307755247460</t>
  </si>
  <si>
    <t>VET250912</t>
  </si>
  <si>
    <t>CƯỢC CONT TRHU5640822 - 2TR7</t>
  </si>
  <si>
    <t>CƯỚC SOTRANS
CÓ BẢO HIỂM
CO FORM B</t>
  </si>
  <si>
    <r>
      <t xml:space="preserve">PHÍ SỬA TỜ KHAI
</t>
    </r>
    <r>
      <rPr>
        <b/>
        <sz val="10"/>
        <rFont val="Times New Roman"/>
        <family val="1"/>
      </rPr>
      <t>CO FORM B</t>
    </r>
  </si>
  <si>
    <t xml:space="preserve">CƯỚC SOTRANS
CÓ BẢO HIỂM
</t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</si>
  <si>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</t>
    </r>
    <r>
      <rPr>
        <b/>
        <sz val="10"/>
        <color theme="5" tint="-0.249977111117893"/>
        <rFont val="Times New Roman"/>
        <family val="1"/>
      </rPr>
      <t>(EVEREST)</t>
    </r>
  </si>
  <si>
    <r>
      <rPr>
        <b/>
        <sz val="10"/>
        <color rgb="FFFF0000"/>
        <rFont val="Times New Roman"/>
        <family val="1"/>
      </rPr>
      <t>YM LINE</t>
    </r>
    <r>
      <rPr>
        <b/>
        <sz val="10"/>
        <rFont val="Times New Roman"/>
        <family val="1"/>
      </rPr>
      <t xml:space="preserve">
HCM - KAOHSIUNG (</t>
    </r>
    <r>
      <rPr>
        <b/>
        <sz val="10"/>
        <color theme="5" tint="-0.249977111117893"/>
        <rFont val="Times New Roman"/>
        <family val="1"/>
      </rPr>
      <t>JI SUNG</t>
    </r>
    <r>
      <rPr>
        <b/>
        <sz val="10"/>
        <rFont val="Times New Roman"/>
        <family val="1"/>
      </rPr>
      <t>)</t>
    </r>
  </si>
  <si>
    <t>51D03663</t>
  </si>
  <si>
    <t>24/09/2025</t>
  </si>
  <si>
    <t>66</t>
  </si>
  <si>
    <t>68</t>
  </si>
  <si>
    <t>107523784430</t>
  </si>
  <si>
    <t>Cont: YMMU7034648
Seal: YMAU435198</t>
  </si>
  <si>
    <t>307755356660</t>
  </si>
  <si>
    <t>VTJS250912</t>
  </si>
  <si>
    <t>1069310617</t>
  </si>
  <si>
    <t>KGN-25090931</t>
  </si>
  <si>
    <t>KGN-25090932</t>
  </si>
  <si>
    <t>KGN-25090933</t>
  </si>
  <si>
    <t>KGN-25090934</t>
  </si>
  <si>
    <t>72 PK/ 1787.6 KGM/ 7.5 CBM</t>
  </si>
  <si>
    <t>KGN-25090935</t>
  </si>
  <si>
    <t>VTNW250913</t>
  </si>
  <si>
    <t>KGN-25090936</t>
  </si>
  <si>
    <t>65 KGM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</si>
  <si>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5" tint="0.39997558519241921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(EVEREST)</t>
    </r>
  </si>
  <si>
    <t>13/09/2025</t>
  </si>
  <si>
    <t>69</t>
  </si>
  <si>
    <t>12 PK/ 225 KGM/1.06 CBM</t>
  </si>
  <si>
    <t>9 PK/ 238 KGM/ 0.767 CBM</t>
  </si>
  <si>
    <t>11 PK/ 228 KGM/  1.042 CBM</t>
  </si>
  <si>
    <t>Đã settle nâng hạ</t>
  </si>
  <si>
    <t>Đã settle</t>
  </si>
  <si>
    <t>đã settle phí nâng</t>
  </si>
  <si>
    <t>KGN-25081323-BS1</t>
  </si>
  <si>
    <t>KGN-25080781-BS1</t>
  </si>
  <si>
    <t>KGN-25080785-BS1</t>
  </si>
  <si>
    <t>KGN-25082148-BS1</t>
  </si>
  <si>
    <t>KGN-25082149-BS1</t>
  </si>
  <si>
    <t>16/09/2025</t>
  </si>
  <si>
    <t>SITU2594697
SITU2486115</t>
  </si>
  <si>
    <t>46,280</t>
  </si>
  <si>
    <t xml:space="preserve">FUJIAN SEALINKE </t>
  </si>
  <si>
    <t>TẤM ĐÁ THẠCH ANH</t>
  </si>
  <si>
    <t>FANU1508163</t>
  </si>
  <si>
    <t>107528875310</t>
  </si>
  <si>
    <t>OHOC25090138</t>
  </si>
  <si>
    <t>VTNW250916</t>
  </si>
  <si>
    <t>16/9/2025</t>
  </si>
  <si>
    <t>WHSU2593299</t>
  </si>
  <si>
    <t>6H 19/09/2025</t>
  </si>
  <si>
    <t>XL-NV2506</t>
  </si>
  <si>
    <t>18/09/2025</t>
  </si>
  <si>
    <t>20/09/2025</t>
  </si>
  <si>
    <t>KGN-25091379</t>
  </si>
  <si>
    <t>KGN-25091381</t>
  </si>
  <si>
    <t>KGN-25091382</t>
  </si>
  <si>
    <t>70</t>
  </si>
  <si>
    <t>KGN-25091383</t>
  </si>
  <si>
    <t>HIỆP PHƯỚC</t>
  </si>
  <si>
    <t>KHAI TK CÁT LÁI
ĐK SỞ XÂY DỰNG
Phí grab 223k
cấn trừ 900k phí phụ thu hàng nặng</t>
  </si>
  <si>
    <t>027F693279</t>
  </si>
  <si>
    <t>22/09/2025</t>
  </si>
  <si>
    <t xml:space="preserve">BỔ SUNG PHÍ DV + CH C/O </t>
  </si>
  <si>
    <t>KGN-25091427</t>
  </si>
  <si>
    <t>51C09042
51C93075</t>
  </si>
  <si>
    <t>107532978230</t>
  </si>
  <si>
    <t>KGN-25091481</t>
  </si>
  <si>
    <t>WHSU6330032
WHSU6932343</t>
  </si>
  <si>
    <t>HKEXP2508008D</t>
  </si>
  <si>
    <t>JS25090803</t>
  </si>
  <si>
    <t>FFAU7248394</t>
  </si>
  <si>
    <t>OHOC25090166</t>
  </si>
  <si>
    <t>PSSHA259078</t>
  </si>
  <si>
    <t>039FA10007</t>
  </si>
  <si>
    <t>039FA09799</t>
  </si>
  <si>
    <t xml:space="preserve">SI,VGM: 10H 25/09/2025  
CY: 1H 28/09/2025  </t>
  </si>
  <si>
    <t>YMJAI490562865</t>
  </si>
  <si>
    <t>19/09/2025</t>
  </si>
  <si>
    <t>JS25091503</t>
  </si>
  <si>
    <t>107544051160</t>
  </si>
  <si>
    <t>107543858330</t>
  </si>
  <si>
    <t>KGN-25091575</t>
  </si>
  <si>
    <t>KGN-25091579</t>
  </si>
  <si>
    <t>KGN-25091580</t>
  </si>
  <si>
    <t>STHCM2509029</t>
  </si>
  <si>
    <t>STHCM2509127</t>
  </si>
  <si>
    <t>STHCM2509135</t>
  </si>
  <si>
    <t>23/09/2025</t>
  </si>
  <si>
    <t>50E15635
50H17748
50H05655</t>
  </si>
  <si>
    <t>KHAI BÁO HÓA CHẤT
TC HIỆP PHƯỚC</t>
  </si>
  <si>
    <t>VTNW250922</t>
  </si>
  <si>
    <t>BMOU6027700</t>
  </si>
  <si>
    <t>JS25090902</t>
  </si>
  <si>
    <t>107549877260</t>
  </si>
  <si>
    <t xml:space="preserve">SI,VGM: 8H 22/09/2025  
CY: 11H 26/09/2025  </t>
  </si>
  <si>
    <t>26/09/2025</t>
  </si>
  <si>
    <t>WHSU6406694</t>
  </si>
  <si>
    <t>3KLNGO250437</t>
  </si>
  <si>
    <t>10h 26/09/2025</t>
  </si>
  <si>
    <t>71</t>
  </si>
  <si>
    <t>VSKH250922</t>
  </si>
  <si>
    <t>EBKG14299037</t>
  </si>
  <si>
    <t>22H 25/09/2025</t>
  </si>
  <si>
    <t>THÁNG 10/2025</t>
  </si>
  <si>
    <t>21H 02/10/2025</t>
  </si>
  <si>
    <t>KGN-25091764</t>
  </si>
  <si>
    <t xml:space="preserve">THEO DÕI HÀNG HÓA TẠM ỨNG, THANH TOÁN, ĐIỀU XE  </t>
  </si>
  <si>
    <t>Phí tư vấn - kiểm tra mã HS</t>
  </si>
  <si>
    <t>KGN-25091767</t>
  </si>
  <si>
    <t>50H35760
50H91044</t>
  </si>
  <si>
    <t>KGN-25091796</t>
  </si>
  <si>
    <t>50H05655
50H05655</t>
  </si>
  <si>
    <t>87 RO/ 2900 KGM/ 9 CBM</t>
  </si>
  <si>
    <t>3 PK/ 14.4 KGM/ 0.646 CBM</t>
  </si>
  <si>
    <t>KGN-25091805</t>
  </si>
  <si>
    <t>25/09/2025</t>
  </si>
  <si>
    <t>06/10/2025</t>
  </si>
  <si>
    <t>COAU7262211510</t>
  </si>
  <si>
    <t>PSSHA259422</t>
  </si>
  <si>
    <t>27/09/2025</t>
  </si>
  <si>
    <t>039FX85434</t>
  </si>
  <si>
    <t>GLDU3954493</t>
  </si>
  <si>
    <t>FX38882958</t>
  </si>
  <si>
    <t>DH-20241126C</t>
  </si>
  <si>
    <t>KGN-25091859</t>
  </si>
  <si>
    <t>KGN-25081106-BS1</t>
  </si>
  <si>
    <t>OHOC25090422</t>
  </si>
  <si>
    <t>BEAU5557260
FFAU2440953
FCIU9555864</t>
  </si>
  <si>
    <t>CY: 22h 27/09/2025</t>
  </si>
  <si>
    <t>51D16879</t>
  </si>
  <si>
    <t>WHSU0321990</t>
  </si>
  <si>
    <t>51C66803</t>
  </si>
  <si>
    <t>KGN-25091943</t>
  </si>
  <si>
    <r>
      <t>THÁNG 10/2025 (</t>
    </r>
    <r>
      <rPr>
        <b/>
        <sz val="10"/>
        <color rgb="FFFF0000"/>
        <rFont val="Times New Roman"/>
        <family val="1"/>
      </rPr>
      <t>SERVICE DAY TỪ NGÀY 01/10</t>
    </r>
    <r>
      <rPr>
        <b/>
        <sz val="10"/>
        <rFont val="Times New Roman"/>
        <family val="1"/>
      </rPr>
      <t>)</t>
    </r>
  </si>
  <si>
    <t>039FX84442</t>
  </si>
  <si>
    <t>WHSU2068006
WHSU2101383</t>
  </si>
  <si>
    <t>50H87892
50H87892</t>
  </si>
  <si>
    <t>RCEP
AJ</t>
  </si>
  <si>
    <t>307801805160/B11
307801817800/E62</t>
  </si>
  <si>
    <t>KGN-25092067</t>
  </si>
  <si>
    <t>CONT: YMMU6501814
SEAL: YMAU417903</t>
  </si>
  <si>
    <t>50H20148</t>
  </si>
  <si>
    <t>50H43362</t>
  </si>
  <si>
    <t>307800596740</t>
  </si>
  <si>
    <t>VTSS250926</t>
  </si>
  <si>
    <t>339IN25078930</t>
  </si>
  <si>
    <t>29/09/2025</t>
  </si>
  <si>
    <t xml:space="preserve">SI,VGM: 10H 01/10/2025  
CY: 15H 01/10/2025 </t>
  </si>
  <si>
    <t>A59FX11792</t>
  </si>
  <si>
    <t>CY: 12:00 03/10/2025
Hạ 0H 30/09/2025</t>
  </si>
  <si>
    <t>22H 30/09/2025</t>
  </si>
  <si>
    <t>72</t>
  </si>
  <si>
    <t>VTNW250926</t>
  </si>
  <si>
    <t>00003375
TKX: 307732986650</t>
  </si>
  <si>
    <t>00003683
PXK: 307787183560</t>
  </si>
  <si>
    <t>205 9978 4495</t>
  </si>
  <si>
    <t>DH-20250814 SP</t>
  </si>
  <si>
    <t xml:space="preserve">50H54155 </t>
  </si>
  <si>
    <t>KGN-25092208</t>
  </si>
  <si>
    <t>VTJS250926</t>
  </si>
  <si>
    <t>KGN-25092216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</si>
  <si>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(JI SUNG)</t>
    </r>
  </si>
  <si>
    <t>YMJAI490564042</t>
  </si>
  <si>
    <t>CY: '12H 01/10/2025
HẠ: 0H 28/9/25</t>
  </si>
  <si>
    <t>WHSU2471027
WHLU0542569</t>
  </si>
  <si>
    <t>KGN-25092305</t>
  </si>
  <si>
    <t>107560530010</t>
  </si>
  <si>
    <t>26 CT/680 KGM/2.276 CBM</t>
  </si>
  <si>
    <t>JS25092202</t>
  </si>
  <si>
    <t>KGN-25092327</t>
  </si>
  <si>
    <t>VTNW250927</t>
  </si>
  <si>
    <r>
      <t xml:space="preserve">THÁNG 10/2025 </t>
    </r>
    <r>
      <rPr>
        <b/>
        <sz val="10"/>
        <color rgb="FFFF0000"/>
        <rFont val="Times New Roman"/>
        <family val="1"/>
      </rPr>
      <t>(SERVICE DAY TỪ NGÀY 23/10/25)</t>
    </r>
  </si>
  <si>
    <t>CƯỚC CONT 500K</t>
  </si>
  <si>
    <r>
      <t xml:space="preserve">CƯỚC SOTRANS
CÓ BẢO HIỂM
</t>
    </r>
    <r>
      <rPr>
        <b/>
        <sz val="10"/>
        <color rgb="FFFF0000"/>
        <rFont val="Times New Roman"/>
        <family val="1"/>
      </rPr>
      <t>PHÍ HẠ SỚM</t>
    </r>
  </si>
  <si>
    <t>04/10/2025</t>
  </si>
  <si>
    <t>09/10/2025</t>
  </si>
  <si>
    <t>EGLV147501285575</t>
  </si>
  <si>
    <t>DRYU2688343
EGSU2175679
EGSU3172252
EITU0535536</t>
  </si>
  <si>
    <t>108407</t>
  </si>
  <si>
    <t>MEDU7535012</t>
  </si>
  <si>
    <t>73</t>
  </si>
  <si>
    <t>29/9/2025</t>
  </si>
  <si>
    <t>EGLV147501337923</t>
  </si>
  <si>
    <t>51C23619</t>
  </si>
  <si>
    <t>PSSHA259446</t>
  </si>
  <si>
    <t>XL-HD250915</t>
  </si>
  <si>
    <t>107570933960</t>
  </si>
  <si>
    <t>107571855160</t>
  </si>
  <si>
    <t xml:space="preserve">50H91044 </t>
  </si>
  <si>
    <t>SEGU4597547</t>
  </si>
  <si>
    <r>
      <t xml:space="preserve">YM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</si>
  <si>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CY: '18H 02/10/2025
HẠ: 0H 28/9/25</t>
  </si>
  <si>
    <t>107573505540</t>
  </si>
  <si>
    <t>U25090911</t>
  </si>
  <si>
    <t>JS25092201</t>
  </si>
  <si>
    <t>BSUNG DEBIT CƯỚC + CHI HỘ BẢO HIỂM</t>
  </si>
  <si>
    <t>VTJS250930</t>
  </si>
  <si>
    <t>KGN-25092734</t>
  </si>
  <si>
    <t>Lệ phí hải quan T7-8</t>
  </si>
  <si>
    <t>KGN-25092736</t>
  </si>
  <si>
    <t>CONT: YMMU7207620
SEAL: YMAU417806</t>
  </si>
  <si>
    <t>YMJAI490563318</t>
  </si>
  <si>
    <t>307813607900</t>
  </si>
  <si>
    <t xml:space="preserve">51D40042 </t>
  </si>
  <si>
    <t>BSUNG PHÍ SỬA ĐƠN GIÁ 1TR/1TK</t>
  </si>
  <si>
    <t>KGN-25092847</t>
  </si>
  <si>
    <t>02/10/2025</t>
  </si>
  <si>
    <t>BSUNG PHÍ C/O</t>
  </si>
  <si>
    <t>PSSHA259463</t>
  </si>
  <si>
    <t>51C78366
51C78366</t>
  </si>
  <si>
    <t>01/10/2025</t>
  </si>
  <si>
    <t xml:space="preserve"> 51C92793</t>
  </si>
  <si>
    <t>CONT: BSIU9930514
SEAL: YMAU418649</t>
  </si>
  <si>
    <t>YMJAW490489750</t>
  </si>
  <si>
    <t>01h 10/10/2025
SI: 11H 09/10/2025</t>
  </si>
  <si>
    <t>307818434400</t>
  </si>
  <si>
    <t>HK HARMONY</t>
  </si>
  <si>
    <t>OTIMES</t>
  </si>
  <si>
    <t>74</t>
  </si>
  <si>
    <t>VTNW251001</t>
  </si>
  <si>
    <t>882</t>
  </si>
  <si>
    <t>KGN-25100109</t>
  </si>
  <si>
    <t>KGN-25100110</t>
  </si>
  <si>
    <t>KGN-25100111</t>
  </si>
  <si>
    <t>IAAU2777653
IAAU2721058</t>
  </si>
  <si>
    <t>KGN-25100158</t>
  </si>
  <si>
    <t>JS25092501</t>
  </si>
  <si>
    <t>28/09/2025</t>
  </si>
  <si>
    <t>107581394210</t>
  </si>
  <si>
    <t>8811238440</t>
  </si>
  <si>
    <t>Cát Lái Giang Nam</t>
  </si>
  <si>
    <t>03/10/2025</t>
  </si>
  <si>
    <t>PHÍ CHI HỘ TIỀN MẶT</t>
  </si>
  <si>
    <t>VTNW251002</t>
  </si>
  <si>
    <t>134</t>
  </si>
  <si>
    <t>EBKG14311641</t>
  </si>
  <si>
    <t>039FA10028</t>
  </si>
  <si>
    <t>SGN2890855</t>
  </si>
  <si>
    <t>A59FX12223</t>
  </si>
  <si>
    <t>CY: 15H 10/10/2025</t>
  </si>
  <si>
    <t>75</t>
  </si>
  <si>
    <t xml:space="preserve">SI,VGM: 10H 07/10/2025  
11H 10/10/2025  </t>
  </si>
  <si>
    <t xml:space="preserve">SI,VGM: 14H 07/10/2025  
01H 10/10/2025  </t>
  </si>
  <si>
    <t xml:space="preserve">SI, VGM: 11H 03/10/2025  CY: 16H 05/10/2025  </t>
  </si>
  <si>
    <t>SỬA TK 200K</t>
  </si>
  <si>
    <t>5 KIỆN / 3907 KGM/ 8.13 CBM</t>
  </si>
  <si>
    <t>JS25092801</t>
  </si>
  <si>
    <t>9 KIỆN / 229 KGM/ 0.778 CBM</t>
  </si>
  <si>
    <t>MSMU6271027</t>
  </si>
  <si>
    <t>TRHU1787311</t>
  </si>
  <si>
    <t>OOLKVA9499</t>
  </si>
  <si>
    <t>18H 05/10/2025</t>
  </si>
  <si>
    <t>51D05147</t>
  </si>
  <si>
    <t>KGN-25100234</t>
  </si>
  <si>
    <t>TLXMHCJU25110052</t>
  </si>
  <si>
    <t>FCIU6405198</t>
  </si>
  <si>
    <t>CƯỢC CONT 600K (marine)</t>
  </si>
  <si>
    <t>107585607840</t>
  </si>
  <si>
    <t>VTNW251003</t>
  </si>
  <si>
    <t>KGN-25100248</t>
  </si>
  <si>
    <t>KGN-25100249</t>
  </si>
  <si>
    <t>KGN-25100252</t>
  </si>
  <si>
    <t>KGN-25100253</t>
  </si>
  <si>
    <t>KGN-25100254</t>
  </si>
  <si>
    <t>07/10/2025</t>
  </si>
  <si>
    <t>EGSU3607632
EITU0132021
EMCU6154130</t>
  </si>
  <si>
    <t>BY20250916</t>
  </si>
  <si>
    <t>KGN-25100345</t>
  </si>
  <si>
    <t>76</t>
  </si>
  <si>
    <t>08/10/2025</t>
  </si>
  <si>
    <t>14/10/2025</t>
  </si>
  <si>
    <t>CHI HỘ PHẠT CHẬM NỘP</t>
  </si>
  <si>
    <t>1069829067</t>
  </si>
  <si>
    <t>05/10/2025</t>
  </si>
  <si>
    <t>NBOZPGY39600</t>
  </si>
  <si>
    <t>TEMU1673423</t>
  </si>
  <si>
    <t>SHAOXING EAST ASIA IMP.&amp;EXP.CO.,LTD.</t>
  </si>
  <si>
    <t>1 PK/ 3.6 KGM/0.016 CBM</t>
  </si>
  <si>
    <t>50H43362
50E14061</t>
  </si>
  <si>
    <t>STHCM2509376</t>
  </si>
  <si>
    <t>STHCM2510008</t>
  </si>
  <si>
    <t>IAAU2828339</t>
  </si>
  <si>
    <t>307834739720/B11
307834746350/E62</t>
  </si>
  <si>
    <t>50E32218</t>
  </si>
  <si>
    <t>DLNV-20251007</t>
  </si>
  <si>
    <t>YMMU6259681</t>
  </si>
  <si>
    <t>11/10/2025</t>
  </si>
  <si>
    <t>08-09/10/2025</t>
  </si>
  <si>
    <t>50H65144</t>
  </si>
  <si>
    <t>KHAI TK CÁT LÁI
ĐK SỞ XÂY DỰNG
Phí grab 468k</t>
  </si>
  <si>
    <t>TEMU2750381</t>
  </si>
  <si>
    <t>50C26311</t>
  </si>
  <si>
    <t>KGN-25100558</t>
  </si>
  <si>
    <t>KGN-25100559</t>
  </si>
  <si>
    <t>KGN-25100560</t>
  </si>
  <si>
    <t>KGN-25100561</t>
  </si>
  <si>
    <t>KGN-25100562</t>
  </si>
  <si>
    <t>WHSU2504394</t>
  </si>
  <si>
    <t>77</t>
  </si>
  <si>
    <t>00009070
TKX: 307830901510</t>
  </si>
  <si>
    <t>VTNW251006</t>
  </si>
  <si>
    <t>400</t>
  </si>
  <si>
    <t>00003894
TKX: 307828713160</t>
  </si>
  <si>
    <t>229</t>
  </si>
  <si>
    <t>GIAO KHO NHƠN TRẠCH - ĐỒNG NAI
HÀNG AIR TRÊN 1T</t>
  </si>
  <si>
    <t>56 CTNS</t>
  </si>
  <si>
    <t>CCL/HNK/2025/SI2510057</t>
  </si>
  <si>
    <t>KGN-25100611</t>
  </si>
  <si>
    <t>KGN-25100620</t>
  </si>
  <si>
    <t>A59FX12915</t>
  </si>
  <si>
    <t>YDI-RI-02</t>
  </si>
  <si>
    <t>COAU7262751810</t>
  </si>
  <si>
    <t>TEMU6362276
CSNU8693977
OOCU9129670</t>
  </si>
  <si>
    <t>U25091911</t>
  </si>
  <si>
    <t>NCC</t>
  </si>
  <si>
    <t>SNLFSHVLMF07781</t>
  </si>
  <si>
    <t>TXGU8833064</t>
  </si>
  <si>
    <t>ETD: 10/10/2025
ETA: 12/10/2025</t>
  </si>
  <si>
    <t>SGNFV4539300</t>
  </si>
  <si>
    <t>CY: 07H 16/10/2025</t>
  </si>
  <si>
    <t>10/10/2025</t>
  </si>
  <si>
    <t>PSSHA25A022</t>
  </si>
  <si>
    <t>10 PK/ 358 KGM/ 1.02 CBM</t>
  </si>
  <si>
    <t>KGN-25092216-BS1</t>
  </si>
  <si>
    <t>IAAU2806788</t>
  </si>
  <si>
    <t>039FX97105</t>
  </si>
  <si>
    <t xml:space="preserve">SI, VGM: 13H 14/10/2025  1H 19/10/2025  </t>
  </si>
  <si>
    <t>13/10/2025</t>
  </si>
  <si>
    <t>107604587310</t>
  </si>
  <si>
    <t>VSKH251010</t>
  </si>
  <si>
    <t>200</t>
  </si>
  <si>
    <t>00009250
TKX: 307848862440</t>
  </si>
  <si>
    <t>192</t>
  </si>
  <si>
    <t>VTNW251013</t>
  </si>
  <si>
    <t>213</t>
  </si>
  <si>
    <t>51D09750
51D09750
50H17748</t>
  </si>
  <si>
    <t>SNLFSKVLN9E254</t>
  </si>
  <si>
    <t>Công ty TNHH Lessohome</t>
  </si>
  <si>
    <t>15/10/2025</t>
  </si>
  <si>
    <t>6432048621</t>
  </si>
  <si>
    <t>SI: 10H 15/10/2025
CY: 4H 16/10/2025</t>
  </si>
  <si>
    <t>78</t>
  </si>
  <si>
    <t>EGHU3849191
EGSU3161026
GAOU2395240</t>
  </si>
  <si>
    <t>EGLV147501411805</t>
  </si>
  <si>
    <t>ONEU2086720</t>
  </si>
  <si>
    <t>VN60172AO</t>
  </si>
  <si>
    <t xml:space="preserve"> GM01P-2</t>
  </si>
  <si>
    <t>GCXU2591163</t>
  </si>
  <si>
    <t>VN60174AO</t>
  </si>
  <si>
    <t xml:space="preserve"> GM01P-3</t>
  </si>
  <si>
    <t>50H91877</t>
  </si>
  <si>
    <t>KGN-25101160</t>
  </si>
  <si>
    <t>XL-HC251001</t>
  </si>
  <si>
    <t>81060</t>
  </si>
  <si>
    <t>12/10/2025</t>
  </si>
  <si>
    <t>WHSU2674908</t>
  </si>
  <si>
    <t>OHOC25100047</t>
  </si>
  <si>
    <t>18/10/2025</t>
  </si>
  <si>
    <t>KGN-25101215</t>
  </si>
  <si>
    <t>KGN-25101216</t>
  </si>
  <si>
    <t>KGN-25101217</t>
  </si>
  <si>
    <t>KGN-25101218</t>
  </si>
  <si>
    <t>VTNW251014</t>
  </si>
  <si>
    <t>10</t>
  </si>
  <si>
    <t>SGNFZ4511400</t>
  </si>
  <si>
    <t>SI: 10H 21/10/2025
CY: 22H 21/10/2025</t>
  </si>
  <si>
    <t>XL-HC251003</t>
  </si>
  <si>
    <t>81085</t>
  </si>
  <si>
    <t>KGN-25101233</t>
  </si>
  <si>
    <t>Cảng Đồng Nai</t>
  </si>
  <si>
    <t>TLLU3548268</t>
  </si>
  <si>
    <t>31307459</t>
  </si>
  <si>
    <t>TLLU2718478</t>
  </si>
  <si>
    <t>31307410</t>
  </si>
  <si>
    <t>DH-20250508-1</t>
  </si>
  <si>
    <t>DH-20250508-2</t>
  </si>
  <si>
    <t>79</t>
  </si>
  <si>
    <t>VTNW251015</t>
  </si>
  <si>
    <t>368</t>
  </si>
  <si>
    <t>80</t>
  </si>
  <si>
    <t>17/10/2025</t>
  </si>
  <si>
    <t>JS25100901</t>
  </si>
  <si>
    <t>JS25101501</t>
  </si>
  <si>
    <t>16/10/2025</t>
  </si>
  <si>
    <t>KGN-25101443</t>
  </si>
  <si>
    <t>KGN-25101444</t>
  </si>
  <si>
    <t>KGN-25101445</t>
  </si>
  <si>
    <t>A59FX12914</t>
  </si>
  <si>
    <t>9H 25/10/2025</t>
  </si>
  <si>
    <t>MO2541SSGT397</t>
  </si>
  <si>
    <t>147501412585</t>
  </si>
  <si>
    <t>SEGU3507256
SITU2664264</t>
  </si>
  <si>
    <t>PHỤ PHÍ HẠ XA ĐỒNG NAI</t>
  </si>
  <si>
    <t>51C23619
51C69298
51D41113
50H29647</t>
  </si>
  <si>
    <t>20/10/2025</t>
  </si>
  <si>
    <t>JS25101001</t>
  </si>
  <si>
    <t>PHÍ BOT 260K</t>
  </si>
  <si>
    <t>KGN-25101470</t>
  </si>
  <si>
    <t>KGN-25101471</t>
  </si>
  <si>
    <t>PHÍ TK CHI SỬA HS 500K</t>
  </si>
  <si>
    <t>21/10/2025</t>
  </si>
  <si>
    <t>30/10/2025</t>
  </si>
  <si>
    <t>SNLFNSVLF44307</t>
  </si>
  <si>
    <t>SNBU2457171</t>
  </si>
  <si>
    <t xml:space="preserve">A33FX99445 </t>
  </si>
  <si>
    <t>IAAU2829206
IAAU2942608</t>
  </si>
  <si>
    <t>978-23071031</t>
  </si>
  <si>
    <t>18-20/10/2025</t>
  </si>
  <si>
    <t>OHOC25100052</t>
  </si>
  <si>
    <t>OHOC25100049</t>
  </si>
  <si>
    <t>TEMU7903890</t>
  </si>
  <si>
    <t>BMOU6350327</t>
  </si>
  <si>
    <t>XL-HD251005</t>
  </si>
  <si>
    <t>54017.13</t>
  </si>
  <si>
    <t>XL-NV2507</t>
  </si>
  <si>
    <t>VTNW251017</t>
  </si>
  <si>
    <t>VTNW251018</t>
  </si>
  <si>
    <t>82</t>
  </si>
  <si>
    <t>178</t>
  </si>
  <si>
    <t>81</t>
  </si>
  <si>
    <t>20-21/10/2025</t>
  </si>
  <si>
    <t>JS25100903</t>
  </si>
  <si>
    <t>51D07794</t>
  </si>
  <si>
    <t xml:space="preserve">50H45712 </t>
  </si>
  <si>
    <t>KHAI BÁO HÓA CHẤT</t>
  </si>
  <si>
    <t>KGN-25101607</t>
  </si>
  <si>
    <t>KGN-25101608</t>
  </si>
  <si>
    <t>KGN-25101673</t>
  </si>
  <si>
    <t>15:30 20/10/2025</t>
  </si>
  <si>
    <t>KKTU7724171</t>
  </si>
  <si>
    <t>GESU1251427</t>
  </si>
  <si>
    <t>KP-20251020-2</t>
  </si>
  <si>
    <t>KP-20251020-1</t>
  </si>
  <si>
    <t>KP-20251020-3</t>
  </si>
  <si>
    <t>NYKU3672250</t>
  </si>
  <si>
    <t>EBKG14564096</t>
  </si>
  <si>
    <t>VSKH251020</t>
  </si>
  <si>
    <t>210</t>
  </si>
  <si>
    <t>YMJAI490566636</t>
  </si>
  <si>
    <t>KGN-25101817</t>
  </si>
  <si>
    <t>KGN-25101818</t>
  </si>
  <si>
    <t>KGN-25101819</t>
  </si>
  <si>
    <t>BY20251012</t>
  </si>
  <si>
    <t>KGN-25101820</t>
  </si>
  <si>
    <t>KGN-25101821</t>
  </si>
  <si>
    <t>CONT: TCNU4720241
SEAL: YMAU948671</t>
  </si>
  <si>
    <t>BSUNG PHÍ SỬA CHỬA 500K</t>
  </si>
  <si>
    <t>22H 20/10/2025</t>
  </si>
  <si>
    <t>17:30 20/10/2025</t>
  </si>
  <si>
    <t>51C23619
51C62954
50H54376</t>
  </si>
  <si>
    <t>50E15635
50H17748
50H17748</t>
  </si>
  <si>
    <t>22/10/2025</t>
  </si>
  <si>
    <t>2:00 22/10/2025</t>
  </si>
  <si>
    <t>SGN/OSA/3680444</t>
  </si>
  <si>
    <t>51C92949</t>
  </si>
  <si>
    <t>51D10146
50H12451
51D40042</t>
  </si>
  <si>
    <t>03/11/2025</t>
  </si>
  <si>
    <t>KMTU9348361</t>
  </si>
  <si>
    <t>51C78547
51C78547</t>
  </si>
  <si>
    <t>YMJAI490566914</t>
  </si>
  <si>
    <t>SI: 17H 24/10/2025
CY: 14H 26/10/2025</t>
  </si>
  <si>
    <t>IAAU2893946
IAAU2909451</t>
  </si>
  <si>
    <t xml:space="preserve">SI,VGM: 14H 24/10/2025  
15H 25/10/2025  </t>
  </si>
  <si>
    <t>23/10/2025</t>
  </si>
  <si>
    <t>50H05655
50H17748</t>
  </si>
  <si>
    <t>9 RO/ 180 KGM/ 1 CBM</t>
  </si>
  <si>
    <t>KGN-25101931</t>
  </si>
  <si>
    <t>KGN-25101932</t>
  </si>
  <si>
    <t>KGN-25101933</t>
  </si>
  <si>
    <t>ECU WORLDWIDE</t>
  </si>
  <si>
    <t>15H 24/10/2025</t>
  </si>
  <si>
    <t>04/11/2025</t>
  </si>
  <si>
    <t>VET251023</t>
  </si>
  <si>
    <t>16 PK/ 398 KGM/1.52 CBM</t>
  </si>
  <si>
    <t>AJ
RCEP</t>
  </si>
  <si>
    <t>51D62774</t>
  </si>
  <si>
    <t>TEMU0865268
SNBU2437935
SNBU2298444</t>
  </si>
  <si>
    <t>CONT: BMOU5711960
SEAL: YMAU435787</t>
  </si>
  <si>
    <t>CONT: SEGU6527370 
SEAL: YMAU435734</t>
  </si>
  <si>
    <t>24/10/2025</t>
  </si>
  <si>
    <t>VTNW251023</t>
  </si>
  <si>
    <t>26</t>
  </si>
  <si>
    <t>83</t>
  </si>
  <si>
    <t>TGBU2249087</t>
  </si>
  <si>
    <t>BSUNG C/O FORM B</t>
  </si>
  <si>
    <t>KGN-25091805-BS1</t>
  </si>
  <si>
    <t>KGN-25082515-BS1</t>
  </si>
  <si>
    <t>KGN-25090365-BS1</t>
  </si>
  <si>
    <t>KGN-25090932-BS1</t>
  </si>
  <si>
    <t>25/10/2025</t>
  </si>
  <si>
    <t>BSUNG PHÍ SỬA CHỬA</t>
  </si>
  <si>
    <t>KGN-25102090</t>
  </si>
  <si>
    <t>50H45707</t>
  </si>
  <si>
    <t>00004216
TKX: 307874261830</t>
  </si>
  <si>
    <t>390</t>
  </si>
  <si>
    <t>039FA10954</t>
  </si>
  <si>
    <t>SGNFAJ451400</t>
  </si>
  <si>
    <t>SI,VGM: 10H 28/10/2025  
08H 31/10/2025</t>
  </si>
  <si>
    <t>SGNFAK388700</t>
  </si>
  <si>
    <t>PSSHA25A086</t>
  </si>
  <si>
    <t>5 PK/ 144 KGM/ 0.511 CBM</t>
  </si>
  <si>
    <t>JS25102101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</si>
  <si>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sz val="10"/>
        <rFont val="Times New Roman"/>
        <family val="1"/>
      </rPr>
      <t>HCM - CHITTAGONG</t>
    </r>
  </si>
  <si>
    <t>ITCSHB023401</t>
  </si>
  <si>
    <t>TWCU2140174</t>
  </si>
  <si>
    <t>KGN-25102112</t>
  </si>
  <si>
    <t>26/10/2025</t>
  </si>
  <si>
    <t>YMJAI490567413</t>
  </si>
  <si>
    <t>CY: '12H 29/10/2025</t>
  </si>
  <si>
    <t>VSKH251027</t>
  </si>
  <si>
    <t>50D04323</t>
  </si>
  <si>
    <t>27/10/2025</t>
  </si>
  <si>
    <t>BSIU8165494</t>
  </si>
  <si>
    <t>NGÀY GIAO</t>
  </si>
  <si>
    <t>10:00 01/11/2025</t>
  </si>
  <si>
    <t>28/10/2025</t>
  </si>
  <si>
    <t>27012</t>
  </si>
  <si>
    <t>84</t>
  </si>
  <si>
    <t>51C23619
50H29647</t>
  </si>
  <si>
    <t>5</t>
  </si>
  <si>
    <t>SNLFNSVLF44413</t>
  </si>
  <si>
    <t>EGSU2390270
EGSU2381812</t>
  </si>
  <si>
    <t>SNLFNSVLF44408</t>
  </si>
  <si>
    <t>FTAU2031588
SNBU2349644
UETU3026438
SNBU2378658</t>
  </si>
  <si>
    <t>SNBU2338697</t>
  </si>
  <si>
    <t>SNLFNSVLF44501</t>
  </si>
  <si>
    <t>SNBU2275217
SNCU2928927
SNBU2335363
SNBU2257620
FTAU2046016</t>
  </si>
  <si>
    <t>SNLFSKVLF4E524</t>
  </si>
  <si>
    <t>UETU3014822</t>
  </si>
  <si>
    <t>EGSU3614020
TRHU3709220
EGHU3803816</t>
  </si>
  <si>
    <t>OCGU2000640
EGHU3678381
EGSU2005625</t>
  </si>
  <si>
    <t>OCGU2077580
EITU0498598
EITU0441930</t>
  </si>
  <si>
    <t>EGHU3496793</t>
  </si>
  <si>
    <r>
      <rPr>
        <b/>
        <sz val="12"/>
        <color theme="1"/>
        <rFont val="Times New Roman"/>
        <family val="1"/>
      </rPr>
      <t>COAU7262665210</t>
    </r>
    <r>
      <rPr>
        <sz val="12"/>
        <color theme="1"/>
        <rFont val="Times New Roman"/>
        <family val="1"/>
      </rPr>
      <t xml:space="preserve">
(YANTIAN I 106W)</t>
    </r>
  </si>
  <si>
    <t>WHLU4277247
WHSU4022200</t>
  </si>
  <si>
    <r>
      <t>THÁNG 11/2025 (</t>
    </r>
    <r>
      <rPr>
        <b/>
        <sz val="10"/>
        <color rgb="FFFF0000"/>
        <rFont val="Times New Roman"/>
        <family val="1"/>
      </rPr>
      <t>SERVICE DAY TỪ NGÀY 01/11</t>
    </r>
    <r>
      <rPr>
        <b/>
        <sz val="10"/>
        <rFont val="Times New Roman"/>
        <family val="1"/>
      </rPr>
      <t>)</t>
    </r>
  </si>
  <si>
    <t>KGN-25102342</t>
  </si>
  <si>
    <t>KGN-25090717-BS1</t>
  </si>
  <si>
    <t>KGN-25102361</t>
  </si>
  <si>
    <t>KGN-25102371</t>
  </si>
  <si>
    <r>
      <t xml:space="preserve">EMC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</si>
  <si>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t>SI: 11H 04/11/2025
CY: 22H 03/11/2025</t>
  </si>
  <si>
    <t>50H17748
50H17748</t>
  </si>
  <si>
    <t>51D04323</t>
  </si>
  <si>
    <t>'VET251028</t>
  </si>
  <si>
    <t>SI: 16H 03/11/2025
CY: 22H 04/11/2025</t>
  </si>
  <si>
    <t>NYKU3572539</t>
  </si>
  <si>
    <t xml:space="preserve">SI,VGM: 9H 28/10/2025  
12H 29/10/2025  </t>
  </si>
  <si>
    <t>KGN-25102384</t>
  </si>
  <si>
    <t>VN19298AK</t>
  </si>
  <si>
    <t>VN73797AJ</t>
  </si>
  <si>
    <t>VN73752AJ</t>
  </si>
  <si>
    <t>THÁNG 11/2025</t>
  </si>
  <si>
    <t>CONT: YMMU7094694 
SEAL: YMAU991321</t>
  </si>
  <si>
    <t>KHAI TK CÁT LÁI
ĐK SỞ XÂY DỰNG
Phí grab 234k
PHÍ HẢI QUAN KIỂM HÓA 2TR5</t>
  </si>
  <si>
    <t>XL-ZS251010</t>
  </si>
  <si>
    <t>27620</t>
  </si>
  <si>
    <t>29/10/2025</t>
  </si>
  <si>
    <t>XL-HC251014</t>
  </si>
  <si>
    <t>81074</t>
  </si>
  <si>
    <t>EGLV147501508982</t>
  </si>
  <si>
    <t>EGLV147501412551</t>
  </si>
  <si>
    <t>81110</t>
  </si>
  <si>
    <t>XL-HD251017</t>
  </si>
  <si>
    <t xml:space="preserve">29/10/2025 </t>
  </si>
  <si>
    <t>31/10/2025</t>
  </si>
  <si>
    <t>SITGSHSGQQ23267</t>
  </si>
  <si>
    <t>SITU2832202</t>
  </si>
  <si>
    <t>16:59 31/10/2025</t>
  </si>
  <si>
    <t>PRUTEX</t>
  </si>
  <si>
    <t>KGN-25102448</t>
  </si>
  <si>
    <t>SITSGNGW462495</t>
  </si>
  <si>
    <t>17H 08/11/2025</t>
  </si>
  <si>
    <t>EGLV147501412542</t>
  </si>
  <si>
    <t>BY2025101201</t>
  </si>
  <si>
    <t>81410</t>
  </si>
  <si>
    <t>01/11/2025</t>
  </si>
  <si>
    <t>KHAI TK CÁT LÁI
ĐK SỞ XÂY DỰNG
Phí grab 247k</t>
  </si>
  <si>
    <t>A59FX15720</t>
  </si>
  <si>
    <t>PHÍ NEO 2 XE</t>
  </si>
  <si>
    <t>STHCM2510349</t>
  </si>
  <si>
    <t>4</t>
  </si>
  <si>
    <t>MEDU6718512</t>
  </si>
  <si>
    <t>FX40462600</t>
  </si>
  <si>
    <t>DFSU1518894</t>
  </si>
  <si>
    <t>FX40462591</t>
  </si>
  <si>
    <t>AXIU2207781</t>
  </si>
  <si>
    <t>FX40462592</t>
  </si>
  <si>
    <t>TCLU2737042</t>
  </si>
  <si>
    <t>FX40462593</t>
  </si>
  <si>
    <t>DH-20250912-1</t>
  </si>
  <si>
    <t>DH-20250912-2</t>
  </si>
  <si>
    <t>DH-20250912-3</t>
  </si>
  <si>
    <t>DH-20250912-4</t>
  </si>
  <si>
    <t>STHCM2510268</t>
  </si>
  <si>
    <t>KGN-25102552</t>
  </si>
  <si>
    <t>51D10587</t>
  </si>
  <si>
    <t>VTGS251029</t>
  </si>
  <si>
    <t>50H90392</t>
  </si>
  <si>
    <t>VTSS251029</t>
  </si>
  <si>
    <t>ZIMUHCM80583540</t>
  </si>
  <si>
    <t>22H 01/11/2025</t>
  </si>
  <si>
    <t>KGN-25102581</t>
  </si>
  <si>
    <t>KGN-25102582</t>
  </si>
  <si>
    <t>KGN-25102583</t>
  </si>
  <si>
    <t>KGN-25090527-BS1</t>
  </si>
  <si>
    <t>STHCM2510306</t>
  </si>
  <si>
    <t>63H05554
50H29647
50H54376</t>
  </si>
  <si>
    <r>
      <t xml:space="preserve">THÁNG 11/2025 </t>
    </r>
    <r>
      <rPr>
        <b/>
        <sz val="10"/>
        <color rgb="FFFF0000"/>
        <rFont val="Times New Roman"/>
        <family val="1"/>
      </rPr>
      <t>(SERVICE DAY TỪ NGÀY 23/11/25)</t>
    </r>
  </si>
  <si>
    <t>MUA CONT/SEAL 500K
SỬA TK 1TR (SỬA XUẤT XỨ)</t>
  </si>
  <si>
    <t>HẠ CẢNG ĐỒNG NAI</t>
  </si>
  <si>
    <t>KGN-25102747</t>
  </si>
  <si>
    <t>JINSUBAO</t>
  </si>
  <si>
    <t>VET251031</t>
  </si>
  <si>
    <t>50H54383
50E14061
50H90050</t>
  </si>
  <si>
    <t>50H76894</t>
  </si>
  <si>
    <t xml:space="preserve">50H43504 </t>
  </si>
  <si>
    <t>CONT: TXGU7248445
SEAL: EMCSTL6944</t>
  </si>
  <si>
    <t>STHCM2510398</t>
  </si>
  <si>
    <t>KGN-25102897</t>
  </si>
  <si>
    <t>51D09750
50E15635
51D09750</t>
  </si>
  <si>
    <t>00000405</t>
  </si>
  <si>
    <t>LY-LHY30/31/33-25</t>
  </si>
  <si>
    <t>KGN-25102900</t>
  </si>
  <si>
    <t>51D40042</t>
  </si>
  <si>
    <t>HQ-20253110</t>
  </si>
  <si>
    <t>SEGU5682936</t>
  </si>
  <si>
    <t>A4251331348</t>
  </si>
  <si>
    <t>KGN-25102929</t>
  </si>
  <si>
    <t>SGNM74309400</t>
  </si>
  <si>
    <t>SI,VGM: 10H 04/11/2025 
7H 05/11/2025</t>
  </si>
  <si>
    <t>HCM-SBK-25101083</t>
  </si>
  <si>
    <t xml:space="preserve">11H 05/11/2025 </t>
  </si>
  <si>
    <t>HCM-SBK-25101084</t>
  </si>
  <si>
    <t>10H 06/11/2025</t>
  </si>
  <si>
    <t>CL KHO 1</t>
  </si>
  <si>
    <t>19 PK/597.26 KGM/1.75 CBM</t>
  </si>
  <si>
    <t>14 PK/333.6 KGM/1.22 CBM</t>
  </si>
  <si>
    <t>14/11/2025</t>
  </si>
  <si>
    <t>VTNW251101</t>
  </si>
  <si>
    <t>85</t>
  </si>
  <si>
    <t>JS25102501</t>
  </si>
  <si>
    <t>OHOC25100385</t>
  </si>
  <si>
    <t>05/11/2025</t>
  </si>
  <si>
    <r>
      <rPr>
        <b/>
        <sz val="10"/>
        <rFont val="Times New Roman"/>
        <family val="1"/>
      </rPr>
      <t>HCM - TAICHUNG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TUNG DA SHEN</t>
    </r>
  </si>
  <si>
    <r>
      <rPr>
        <b/>
        <sz val="10"/>
        <rFont val="Times New Roman"/>
        <family val="1"/>
      </rPr>
      <t>HCM - KAOHISUNG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  <r>
      <rPr>
        <sz val="10"/>
        <color rgb="FFFF0000"/>
        <rFont val="Times New Roman"/>
        <family val="1"/>
      </rPr>
      <t xml:space="preserve">
CSNEE: EVEREST</t>
    </r>
  </si>
  <si>
    <t>VTJS251103-1</t>
  </si>
  <si>
    <t>VTJS251103</t>
  </si>
  <si>
    <t>BSUNG</t>
  </si>
  <si>
    <t>CƯỚC GATHER SHINE</t>
  </si>
  <si>
    <t>HCM - CHITTAGONG</t>
  </si>
  <si>
    <t>CƯỚC - GATHER SHINE
LCC - VIET STAR</t>
  </si>
  <si>
    <t>6780 USD</t>
  </si>
  <si>
    <t>CONT: ONEU5205210
SEAL: VN45189AP</t>
  </si>
  <si>
    <t>VSKH251103</t>
  </si>
  <si>
    <t>MEDU5428479
MSNU3337000
MSDU1461497
MSBU3041304</t>
  </si>
  <si>
    <t>HMMU4052131
KOCU4960407</t>
  </si>
  <si>
    <t>50H54376
50H05655</t>
  </si>
  <si>
    <t>TRHU3709220 - CƯỢC 1TR</t>
  </si>
  <si>
    <t>CHƯA TÍNH CƯỚC</t>
  </si>
  <si>
    <t>3h 06/11/2025</t>
  </si>
  <si>
    <t>235501812942</t>
  </si>
  <si>
    <t>03/11/025</t>
  </si>
  <si>
    <t>CONT: BEAU5291930
SEAL: VN63858AO</t>
  </si>
  <si>
    <t>VET251104</t>
  </si>
  <si>
    <t>KGN-25110140</t>
  </si>
  <si>
    <t>CONT: EGHU9794115
SEAL: EMCSTK8904</t>
  </si>
  <si>
    <t>CONT: BSIU9677160
SEAL: VN65696AO</t>
  </si>
  <si>
    <t>CONT: GCXU5511201
SEAL: VN65693AO</t>
  </si>
  <si>
    <t>CONT: ONEU0982959
SEAL: VN65698AO</t>
  </si>
  <si>
    <t>CONT: NYKU5122021
SEAL: VN29423AO</t>
  </si>
  <si>
    <t>STHCM2511017</t>
  </si>
  <si>
    <t>PSSHA25B010</t>
  </si>
  <si>
    <t>JS25110101</t>
  </si>
  <si>
    <t>XL-ZS251023</t>
  </si>
  <si>
    <t>108159</t>
  </si>
  <si>
    <t>XL-HD251020</t>
  </si>
  <si>
    <t>Lệ phí hải quan T9</t>
  </si>
  <si>
    <t>KGN-25110290</t>
  </si>
  <si>
    <t>TTTLAX155579V</t>
  </si>
  <si>
    <t>1 PK/ 1,780 KGM/ 1.81 CBM</t>
  </si>
  <si>
    <t>86</t>
  </si>
  <si>
    <t>VTNW251104</t>
  </si>
  <si>
    <t>334</t>
  </si>
  <si>
    <t>D251101006
TKX: 307920317740</t>
  </si>
  <si>
    <t>107</t>
  </si>
  <si>
    <t>OHOC25100386A</t>
  </si>
  <si>
    <t>09/11/2025</t>
  </si>
  <si>
    <t>JS25102502</t>
  </si>
  <si>
    <t>CAAU6656253</t>
  </si>
  <si>
    <t>OHOC25100386</t>
  </si>
  <si>
    <t>JS25102503</t>
  </si>
  <si>
    <r>
      <rPr>
        <sz val="10"/>
        <color rgb="FFFF0000"/>
        <rFont val="Times New Roman"/>
        <family val="1"/>
      </rPr>
      <t>SI: 10H 10/11/2025</t>
    </r>
    <r>
      <rPr>
        <sz val="10"/>
        <color rgb="FF000000"/>
        <rFont val="Times New Roman"/>
        <family val="1"/>
      </rPr>
      <t xml:space="preserve">
12:00 12/11/2025</t>
    </r>
  </si>
  <si>
    <t>10H 17/11/2025</t>
  </si>
  <si>
    <t>YMAU969661</t>
  </si>
  <si>
    <t>KGN-25110440</t>
  </si>
  <si>
    <t>KGN-25110441</t>
  </si>
  <si>
    <t>06/11/2025</t>
  </si>
  <si>
    <t>KGN-25110450</t>
  </si>
  <si>
    <t>KGN-25110451</t>
  </si>
  <si>
    <t>KGN-25110452</t>
  </si>
  <si>
    <t>KGN-25110453</t>
  </si>
  <si>
    <t>49 CT/ 1579 KGM/ 5.085 CBM</t>
  </si>
  <si>
    <t>18/11/2025</t>
  </si>
  <si>
    <t>STHCM2511033</t>
  </si>
  <si>
    <t>STHCM2511031</t>
  </si>
  <si>
    <t>STHCM2511025</t>
  </si>
  <si>
    <t>07/11/2025</t>
  </si>
  <si>
    <r>
      <t xml:space="preserve">CƯỢC 1TR5
</t>
    </r>
    <r>
      <rPr>
        <b/>
        <sz val="10"/>
        <color rgb="FFFF0000"/>
        <rFont val="Times New Roman"/>
        <family val="1"/>
      </rPr>
      <t>HẠ CẢNG ĐỒNG NAI</t>
    </r>
  </si>
  <si>
    <t>8/11/2025</t>
  </si>
  <si>
    <t>KGN-25110548</t>
  </si>
  <si>
    <t>KGN-25110549</t>
  </si>
  <si>
    <t>KGN-25110550</t>
  </si>
  <si>
    <t>307935032220
307935052260</t>
  </si>
  <si>
    <t>IAAU2825577</t>
  </si>
  <si>
    <t>SI: 12H 11/11/2025
CY: 18H 12/11/2025</t>
  </si>
  <si>
    <t>YMJAW490492965</t>
  </si>
  <si>
    <r>
      <t xml:space="preserve">KHAI TK CÁT LÁI
ĐK SỞ XÂY DỰNG
Phí grab 100k
</t>
    </r>
    <r>
      <rPr>
        <b/>
        <sz val="10"/>
        <color rgb="FFFF0000"/>
        <rFont val="Times New Roman"/>
        <family val="1"/>
      </rPr>
      <t>PHÍ HẢI QUAN KIỂM HÓA 9TR</t>
    </r>
  </si>
  <si>
    <t>19/11/2025</t>
  </si>
  <si>
    <t>HPCU2968692</t>
  </si>
  <si>
    <t>15H 9/11/2025</t>
  </si>
  <si>
    <t>JI SUNG INTERNATIONAL CO.LTD</t>
  </si>
  <si>
    <t>XL-NV251031</t>
  </si>
  <si>
    <t>08/11/2025
10/11/2025</t>
  </si>
  <si>
    <t>SITU9111240</t>
  </si>
  <si>
    <t>XL-HD251030</t>
  </si>
  <si>
    <t>134620</t>
  </si>
  <si>
    <t>08/11/2025</t>
  </si>
  <si>
    <t>50H77131</t>
  </si>
  <si>
    <t>ETA: 18/11/2025</t>
  </si>
  <si>
    <t>COAU7263615460</t>
  </si>
  <si>
    <t>CSLU1358265</t>
  </si>
  <si>
    <t>KGN-25110640</t>
  </si>
  <si>
    <t>10/11/2025</t>
  </si>
  <si>
    <t>FFAU1320315</t>
  </si>
  <si>
    <t>87</t>
  </si>
  <si>
    <t>VTNW251107</t>
  </si>
  <si>
    <t>97</t>
  </si>
  <si>
    <t>XL-HD251104</t>
  </si>
  <si>
    <t>108180</t>
  </si>
  <si>
    <t>KGN-25110658</t>
  </si>
  <si>
    <t>KGN-25110659</t>
  </si>
  <si>
    <t>CÁT LÁI GIANG NAM</t>
  </si>
  <si>
    <t>00004507
TKX: 307926592760</t>
  </si>
  <si>
    <t>MEDUKH953789</t>
  </si>
  <si>
    <t>PHI HUN TRUNG 1TR5 CH VAT</t>
  </si>
  <si>
    <t>TCLU2634569</t>
  </si>
  <si>
    <t>FX34994761</t>
  </si>
  <si>
    <t>DH-20250910</t>
  </si>
  <si>
    <t>11/11/2025</t>
  </si>
  <si>
    <t>50H05655
50E32047
50E32047</t>
  </si>
  <si>
    <t>73804535904</t>
  </si>
  <si>
    <t>2 CT/ 33 KGM/ 0.2 CBM</t>
  </si>
  <si>
    <t>KGN-25110745</t>
  </si>
  <si>
    <t>KGN-25110746</t>
  </si>
  <si>
    <t>JS25110401</t>
  </si>
  <si>
    <t>KGN-25110751</t>
  </si>
  <si>
    <t>23/11/2025</t>
  </si>
  <si>
    <t>JD2528SSGT414</t>
  </si>
  <si>
    <t>FTAU2344849
BEAU2902064</t>
  </si>
  <si>
    <t>XL-NV2508</t>
  </si>
  <si>
    <t>039FA115233</t>
  </si>
  <si>
    <t xml:space="preserve">SI,VGM: 10H 13/11/2025  
1H 15/11/2025  </t>
  </si>
  <si>
    <t>KGN-25110814</t>
  </si>
  <si>
    <t>KGN-25110821</t>
  </si>
  <si>
    <t>12/11/2025</t>
  </si>
  <si>
    <t>SEGU4443768</t>
  </si>
  <si>
    <t>DLNV-20251111</t>
  </si>
  <si>
    <t>YMAU985472</t>
  </si>
  <si>
    <t>50D19472</t>
  </si>
  <si>
    <t>177IETETS09371UWS</t>
  </si>
  <si>
    <t>TGBU4620807</t>
  </si>
  <si>
    <t>SUZHOU JUNHUI TEXTILE</t>
  </si>
  <si>
    <t>EGLV147501671182</t>
  </si>
  <si>
    <t>54630</t>
  </si>
  <si>
    <t>KGN-25110863</t>
  </si>
  <si>
    <t>JHI-VTMI-2510006</t>
  </si>
  <si>
    <t>16/11/2025</t>
  </si>
  <si>
    <t>88</t>
  </si>
  <si>
    <t>VTNW251111</t>
  </si>
  <si>
    <t>12/11/2025
13/11/2025</t>
  </si>
  <si>
    <t>OHOC25100481</t>
  </si>
  <si>
    <t>IAAU1762480</t>
  </si>
  <si>
    <t>13/11/2025</t>
  </si>
  <si>
    <t>VSKH251111</t>
  </si>
  <si>
    <t>KHAI TK CÁT LÁI
ĐK SỞ XÂY DỰNG
Phí grab 250k</t>
  </si>
  <si>
    <t>50H25696</t>
  </si>
  <si>
    <t>51D41113</t>
  </si>
  <si>
    <t>JS25110201</t>
  </si>
  <si>
    <t>WHSU2739953</t>
  </si>
  <si>
    <t>13/11/2025
14/11/2025</t>
  </si>
  <si>
    <t>24/11/2025</t>
  </si>
  <si>
    <t>PSSHA25B065</t>
  </si>
  <si>
    <t>8 PK/ 266 KGM/ 0.801 CBM</t>
  </si>
  <si>
    <t>JS25110702</t>
  </si>
  <si>
    <t>ASHA25110119</t>
  </si>
  <si>
    <t>JS25110602</t>
  </si>
  <si>
    <t>KGN-25111155</t>
  </si>
  <si>
    <t>KGN-25111156</t>
  </si>
  <si>
    <t>15/11/2025</t>
  </si>
  <si>
    <t>VTNW251113</t>
  </si>
  <si>
    <t>HIEP PHUOC</t>
  </si>
  <si>
    <t xml:space="preserve">SI,VGM: 11H 17/11/2025  
19H 19/11/2025  </t>
  </si>
  <si>
    <t>122</t>
  </si>
  <si>
    <t>89</t>
  </si>
  <si>
    <t>RE2510001</t>
  </si>
  <si>
    <t>50H05655
50H54376
51C23619
50E15635
63H05554</t>
  </si>
  <si>
    <t xml:space="preserve">51D07794
50E32047
50H91877
63H05554 </t>
  </si>
  <si>
    <t>COAU7263867300</t>
  </si>
  <si>
    <t>OOCU8492802</t>
  </si>
  <si>
    <t>OHOC25100452</t>
  </si>
  <si>
    <t>KGN-25111235</t>
  </si>
  <si>
    <t>KGN-25111236</t>
  </si>
  <si>
    <t>KGN-25111237</t>
  </si>
  <si>
    <t>KGN-25111238</t>
  </si>
  <si>
    <t>KGN-25111239</t>
  </si>
  <si>
    <t>ZHEJIANG RECYCLE NEW MATERIAL</t>
  </si>
  <si>
    <t>00004737
TKX: 307956920960</t>
  </si>
  <si>
    <t>50H51044</t>
  </si>
  <si>
    <t>U25110311</t>
  </si>
  <si>
    <t>17/11/2025</t>
  </si>
  <si>
    <t>KGN-25111297</t>
  </si>
  <si>
    <t>SGN2959268</t>
  </si>
  <si>
    <t>SNLFNSVLF44602</t>
  </si>
  <si>
    <t>SNBU2259520
SLPU2007597</t>
  </si>
  <si>
    <t>SNLFNSVLF44601</t>
  </si>
  <si>
    <t>SNBU2345799</t>
  </si>
  <si>
    <t>22/11/2025</t>
  </si>
  <si>
    <t>JS25110701</t>
  </si>
  <si>
    <t xml:space="preserve">PSSHA25B401 </t>
  </si>
  <si>
    <t xml:space="preserve">PSSHA25B083  </t>
  </si>
  <si>
    <t>YMJAI490569757</t>
  </si>
  <si>
    <t>12H 19/11/2025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</si>
  <si>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</si>
  <si>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theme="7" tint="0.59999389629810485"/>
        <rFont val="Times New Roman"/>
        <family val="1"/>
      </rPr>
      <t xml:space="preserve"> </t>
    </r>
    <r>
      <rPr>
        <b/>
        <sz val="10"/>
        <color theme="5"/>
        <rFont val="Times New Roman"/>
        <family val="1"/>
      </rPr>
      <t>(KUN TSUAN)</t>
    </r>
  </si>
  <si>
    <t>2 PK/ 53 KGM/ 0.183 CBM</t>
  </si>
  <si>
    <t>90</t>
  </si>
  <si>
    <t>VTNW251117</t>
  </si>
  <si>
    <t>MATU2786933</t>
  </si>
  <si>
    <t>YMJAI490569768</t>
  </si>
  <si>
    <t>AWSXMLCL25110130</t>
  </si>
  <si>
    <t xml:space="preserve">LITCHI INTERNATIONAL </t>
  </si>
  <si>
    <t>KGN-25111381</t>
  </si>
  <si>
    <t>95 CT/ 3297.40 KGS/ 9.046 CBM</t>
  </si>
  <si>
    <t>KGN-25111385</t>
  </si>
  <si>
    <t>KGN-25111386</t>
  </si>
  <si>
    <t>20/11/2025</t>
  </si>
  <si>
    <t>EBKG14882138</t>
  </si>
  <si>
    <t>A59FX17043</t>
  </si>
  <si>
    <t>A59FX18003</t>
  </si>
  <si>
    <t>KGN-25101818-BS1</t>
  </si>
  <si>
    <t>21/11/2025</t>
  </si>
  <si>
    <t>4 PK/ 134 KGM/ 0.396 CBM</t>
  </si>
  <si>
    <t>JS25111201</t>
  </si>
  <si>
    <t>JS25111401</t>
  </si>
  <si>
    <t>KGN-25111453</t>
  </si>
  <si>
    <t>KGN-25111454</t>
  </si>
  <si>
    <t>KGN-25102552-BS1</t>
  </si>
  <si>
    <t>KGN-25102361-BS1</t>
  </si>
  <si>
    <t>KGN-25102897-BS1</t>
  </si>
  <si>
    <t>50H05655
50H17748
50H54376
50H17748</t>
  </si>
  <si>
    <t>OHOC25110116</t>
  </si>
  <si>
    <t>CONT: TCNU2842976
SEAL: YMAU417579</t>
  </si>
  <si>
    <t>PHỤ THU LẤY XA - AN SƠN 300K</t>
  </si>
  <si>
    <t>TIIU6035539</t>
  </si>
  <si>
    <t>XL-SY251106-1</t>
  </si>
  <si>
    <t>20630</t>
  </si>
  <si>
    <t>XL-HC251106</t>
  </si>
  <si>
    <t>HPCU5038386</t>
  </si>
  <si>
    <t>CMAU0632922</t>
  </si>
  <si>
    <t>M0912374</t>
  </si>
  <si>
    <t>DH-20251004-1</t>
  </si>
  <si>
    <t>TCLU3968370</t>
  </si>
  <si>
    <t>M0912379</t>
  </si>
  <si>
    <t>DH-20251004-2</t>
  </si>
  <si>
    <t>VSKT251118</t>
  </si>
  <si>
    <t>KGN-25111683</t>
  </si>
  <si>
    <t>039FY13425</t>
  </si>
  <si>
    <t>22h 29/11/2025</t>
  </si>
  <si>
    <t>21/06/2025</t>
  </si>
  <si>
    <t>122500034128768</t>
  </si>
  <si>
    <t>BSUNG PHÍ CO FORM D</t>
  </si>
  <si>
    <t>KGN-25111696</t>
  </si>
  <si>
    <t>KGN-25111719</t>
  </si>
  <si>
    <t>50H17748
50H05655</t>
  </si>
  <si>
    <t>TCKU6862045</t>
  </si>
  <si>
    <t>02/11/2025</t>
  </si>
  <si>
    <r>
      <t xml:space="preserve">SI: </t>
    </r>
    <r>
      <rPr>
        <sz val="10"/>
        <color rgb="FFFF0000"/>
        <rFont val="Times New Roman"/>
        <family val="1"/>
      </rPr>
      <t>16H 20/11/2025</t>
    </r>
    <r>
      <rPr>
        <sz val="10"/>
        <rFont val="Times New Roman"/>
        <family val="1"/>
      </rPr>
      <t xml:space="preserve">
12H 21/11/2025</t>
    </r>
  </si>
  <si>
    <t>18:00 23/11/2025</t>
  </si>
  <si>
    <t>CONT: FFAU1255539
SEAL: YMAU417408</t>
  </si>
  <si>
    <t>VET251120</t>
  </si>
  <si>
    <t>CAIU2359373</t>
  </si>
  <si>
    <t>UETU6581310</t>
  </si>
  <si>
    <t>M0940978</t>
  </si>
  <si>
    <t>M1004931</t>
  </si>
  <si>
    <t>50H90050</t>
  </si>
  <si>
    <t>KGN-25111931</t>
  </si>
  <si>
    <t>KGN-25111932</t>
  </si>
  <si>
    <t>KGN-25111933</t>
  </si>
  <si>
    <t>KGN-25111934</t>
  </si>
  <si>
    <t>KGN-25111936</t>
  </si>
  <si>
    <t>KGN-25111937</t>
  </si>
  <si>
    <t>KGN-25111938</t>
  </si>
  <si>
    <t>KGN-25102339
KGN-25102339-BS1</t>
  </si>
  <si>
    <t>VTNW251120</t>
  </si>
  <si>
    <t>DH-20251004-3</t>
  </si>
  <si>
    <t>DH-20251004-5</t>
  </si>
  <si>
    <t>51C94707</t>
  </si>
  <si>
    <t>17:00 29/11/2025</t>
  </si>
  <si>
    <t>SGN/OSA/3722834</t>
  </si>
  <si>
    <t>SGN2951824</t>
  </si>
  <si>
    <t>UETU5451544</t>
  </si>
  <si>
    <t>JS25111001</t>
  </si>
  <si>
    <t>ITCSHB023586</t>
  </si>
  <si>
    <t>TWCU2231021</t>
  </si>
  <si>
    <t>CMAU3023241</t>
  </si>
  <si>
    <t>DH-20251004-4</t>
  </si>
  <si>
    <t>KGN-25112216</t>
  </si>
  <si>
    <t>04/12/2025</t>
  </si>
  <si>
    <t>KÉO CONT VỀ</t>
  </si>
  <si>
    <t>YMJAI490570509</t>
  </si>
  <si>
    <t>HỦY TK 200K MP
CHI HỦY 4TR
2 LẦN CƯỚC VC
3TR TẠM THU</t>
  </si>
  <si>
    <t>297</t>
  </si>
  <si>
    <t xml:space="preserve">50H35760 
50H54155 </t>
  </si>
  <si>
    <t>50H86961</t>
  </si>
  <si>
    <t>ETA: 26/11/2025</t>
  </si>
  <si>
    <t>CÔNG TY TNHH NỘI THẤT BLUELAKE VIỆT NAM</t>
  </si>
  <si>
    <t>MST: 0315856193</t>
  </si>
  <si>
    <t>DC: Số 20 đường số 13, KDC Hiệp Thành 3, Phường Phú Lợi, Thành phố Hồ Chí Minh, Việt Nam</t>
  </si>
  <si>
    <t>KHO ĐÓNG HÀNG</t>
  </si>
  <si>
    <t>YMJAE490401151</t>
  </si>
  <si>
    <t>YMJAE490401152</t>
  </si>
  <si>
    <r>
      <rPr>
        <sz val="12"/>
        <color rgb="FFFF0000"/>
        <rFont val="Times New Roman"/>
        <family val="1"/>
      </rPr>
      <t>SI: 09h 25/11/25</t>
    </r>
    <r>
      <rPr>
        <sz val="12"/>
        <rFont val="Times New Roman"/>
        <family val="1"/>
      </rPr>
      <t xml:space="preserve">
CY: 01h 26/11/25</t>
    </r>
  </si>
  <si>
    <t>SGNFBP629400</t>
  </si>
  <si>
    <t>CY: 19H 04/12/2025</t>
  </si>
  <si>
    <t>Số inv</t>
  </si>
  <si>
    <t>DH-20250922-1</t>
  </si>
  <si>
    <t>STHCM2511215</t>
  </si>
  <si>
    <t>IAAU2931877</t>
  </si>
  <si>
    <t>13 RO/ 350 KGM/2 CBM</t>
  </si>
  <si>
    <t>10H 26/11/2025</t>
  </si>
  <si>
    <t>DH-20250829&amp;1021</t>
  </si>
  <si>
    <t>DH-20250922-2</t>
  </si>
  <si>
    <t>VTNW251124</t>
  </si>
  <si>
    <t>KGN-25112396</t>
  </si>
  <si>
    <t>KGN-25112397</t>
  </si>
  <si>
    <t>KGN-25112398</t>
  </si>
  <si>
    <t>05/12/2025</t>
  </si>
  <si>
    <t>CONT: YMMU6834667</t>
  </si>
  <si>
    <t>VTSS251125</t>
  </si>
  <si>
    <t>EBKG14761088</t>
  </si>
  <si>
    <t>26/11/2025</t>
  </si>
  <si>
    <t>25/11/2025</t>
  </si>
  <si>
    <t>CONT 1: TCNU6683189
CONT 2: YMMU6809540</t>
  </si>
  <si>
    <t>50H17748
51c23619</t>
  </si>
  <si>
    <t>OHOC25110268</t>
  </si>
  <si>
    <t>AXEU6026339</t>
  </si>
  <si>
    <t>92</t>
  </si>
  <si>
    <t>OHOC25110269</t>
  </si>
  <si>
    <t>JS25112101</t>
  </si>
  <si>
    <t>JS25111801</t>
  </si>
  <si>
    <t>27/11/2025</t>
  </si>
  <si>
    <t>28/11/2025</t>
  </si>
  <si>
    <t>CULVNA2546237</t>
  </si>
  <si>
    <t>30/11/2025</t>
  </si>
  <si>
    <t>12H 29/11/2025</t>
  </si>
  <si>
    <t>300 PHÍ THANH TOÁN CHẬM</t>
  </si>
  <si>
    <r>
      <t>THÁNG 12/2025 (</t>
    </r>
    <r>
      <rPr>
        <b/>
        <sz val="10"/>
        <color rgb="FFFF0000"/>
        <rFont val="Times New Roman"/>
        <family val="1"/>
      </rPr>
      <t>SERVICE DAY TỪ NGÀY 01/12</t>
    </r>
    <r>
      <rPr>
        <b/>
        <sz val="10"/>
        <rFont val="Times New Roman"/>
        <family val="1"/>
      </rPr>
      <t>)</t>
    </r>
  </si>
  <si>
    <t>TGBU4252670</t>
  </si>
  <si>
    <t>FX40391758</t>
  </si>
  <si>
    <t>KS-G202504</t>
  </si>
  <si>
    <t>KGN-25112566</t>
  </si>
  <si>
    <t>KGN-25112568</t>
  </si>
  <si>
    <t>KGN-25112570</t>
  </si>
  <si>
    <t>SHASGN25N63982</t>
  </si>
  <si>
    <t>JS25111701</t>
  </si>
  <si>
    <t>EGLV142503386149</t>
  </si>
  <si>
    <t>THÁNG 12/2025</t>
  </si>
  <si>
    <t>FYCU7152060</t>
  </si>
  <si>
    <t>WHLT202280</t>
  </si>
  <si>
    <t>DH-20231124-1</t>
  </si>
  <si>
    <t>DH-20231124-2</t>
  </si>
  <si>
    <t>DH-20231124-3</t>
  </si>
  <si>
    <t>WHLU0672520</t>
  </si>
  <si>
    <t>WHLW831961</t>
  </si>
  <si>
    <t>FCIU6220553</t>
  </si>
  <si>
    <t>WHLT202274</t>
  </si>
  <si>
    <t>3</t>
  </si>
  <si>
    <t>SGNFBL413500</t>
  </si>
  <si>
    <t xml:space="preserve">SI,VGM: 10H 28/11/2025 
CY:19H 29/11/2025 </t>
  </si>
  <si>
    <t xml:space="preserve">SI,VGM: 10H 29/11/2025 
CY: 15H 03/12/2025 </t>
  </si>
  <si>
    <t xml:space="preserve">SI,VGM: 11H 29/11/2025  
CY: 23PM 02/12/2025  </t>
  </si>
  <si>
    <t>02/12/2025</t>
  </si>
  <si>
    <t>PSSHA25B448</t>
  </si>
  <si>
    <t>JS25112401</t>
  </si>
  <si>
    <t>LY-LHY37-25</t>
  </si>
  <si>
    <t>KGN-25112713</t>
  </si>
  <si>
    <t>KGN-25112717</t>
  </si>
  <si>
    <t>ICD TÂY NAM</t>
  </si>
  <si>
    <t>01/12/2025</t>
  </si>
  <si>
    <t>KGN-25112776</t>
  </si>
  <si>
    <t>KGN-25112777</t>
  </si>
  <si>
    <t>PHÍ HUN TRÙNG</t>
  </si>
  <si>
    <t>VIỆT CHÂU</t>
  </si>
  <si>
    <t>NOVA STONE</t>
  </si>
  <si>
    <t>PHÍ VẬN CHUYỂN</t>
  </si>
  <si>
    <t>PHÍ THỦ TỤC HẢI QUAN</t>
  </si>
  <si>
    <t>CONT: NYKU3702340</t>
  </si>
  <si>
    <t>CONT 45: CAIU5818711</t>
  </si>
  <si>
    <t>GOSUXIA8526287</t>
  </si>
  <si>
    <t>TRHU2711537</t>
  </si>
  <si>
    <t>29/11/2025</t>
  </si>
  <si>
    <t>KGN-25112874</t>
  </si>
  <si>
    <t>DELA TEKSTIL</t>
  </si>
  <si>
    <t>SPITC</t>
  </si>
  <si>
    <t>51C76393
51C76393</t>
  </si>
  <si>
    <t>VTNW251128</t>
  </si>
  <si>
    <t>235</t>
  </si>
  <si>
    <t>93</t>
  </si>
  <si>
    <r>
      <t xml:space="preserve">THÁNG 12/2025 </t>
    </r>
    <r>
      <rPr>
        <b/>
        <sz val="10"/>
        <color rgb="FFFF0000"/>
        <rFont val="Times New Roman"/>
        <family val="1"/>
      </rPr>
      <t>(SERVICE DAY TỪ NGÀY 23/11/25)</t>
    </r>
  </si>
  <si>
    <t>D251125041
TKX: 307995491810</t>
  </si>
  <si>
    <r>
      <t>107751287010</t>
    </r>
    <r>
      <rPr>
        <b/>
        <sz val="10"/>
        <color rgb="FF0070C0"/>
        <rFont val="Times New Roman"/>
        <family val="1"/>
      </rPr>
      <t>/E31</t>
    </r>
  </si>
  <si>
    <t>ECMU8095592</t>
  </si>
  <si>
    <t>BEAU4602050</t>
  </si>
  <si>
    <t>TLLU4816600</t>
  </si>
  <si>
    <t>C/O, KHÔNG HUN TRÙNG</t>
  </si>
  <si>
    <t>HUN TRÙNG</t>
  </si>
  <si>
    <t>ZIMUHCM80593008</t>
  </si>
  <si>
    <t>04:00 02/12/2025</t>
  </si>
  <si>
    <t>KGN-25112908</t>
  </si>
  <si>
    <t>61 CT/ 2183 KGM/ 6.09 CBM</t>
  </si>
  <si>
    <t>KGN-25112909</t>
  </si>
  <si>
    <t>308008581660
308008760640</t>
  </si>
  <si>
    <t>IAAU2809750
IAAU2836930</t>
  </si>
  <si>
    <t>KGN-25112914</t>
  </si>
  <si>
    <t>51C78256</t>
  </si>
  <si>
    <t xml:space="preserve">50E45352 </t>
  </si>
  <si>
    <t>SGNFBN060500</t>
  </si>
  <si>
    <t>SGNFBB277500</t>
  </si>
  <si>
    <t xml:space="preserve"> ICD PHUOC LONG 3</t>
  </si>
  <si>
    <t xml:space="preserve">SHASGN25N64359 </t>
  </si>
  <si>
    <t>KGN-25112873</t>
  </si>
  <si>
    <t>CONT: YMMU6189033
SEAL: YMAU984998</t>
  </si>
  <si>
    <t xml:space="preserve">PSSHA25B460 </t>
  </si>
  <si>
    <t>03/12/2025</t>
  </si>
  <si>
    <t>TCNU4418720</t>
  </si>
  <si>
    <t>CONT: SEGU6179510
SEAL: YMAU984991</t>
  </si>
  <si>
    <t>VET251021</t>
  </si>
  <si>
    <t>CẤN TRỪ PHÍ DET 798,729</t>
  </si>
  <si>
    <t>BY20251021</t>
  </si>
  <si>
    <t>A4251361845</t>
  </si>
  <si>
    <t>KJ060705P</t>
  </si>
  <si>
    <t>SNBU8337661</t>
  </si>
  <si>
    <t>TGBU6885087</t>
  </si>
  <si>
    <t>TRHU6052675</t>
  </si>
  <si>
    <t>U25111811</t>
  </si>
  <si>
    <t>JS25112402</t>
  </si>
  <si>
    <t>YMJAI490570511</t>
  </si>
  <si>
    <t>51C22751</t>
  </si>
  <si>
    <t>VSKT251201</t>
  </si>
  <si>
    <t>VET251201</t>
  </si>
  <si>
    <t>12:00 03/12/2025</t>
  </si>
  <si>
    <t xml:space="preserve">1H 04/12/2025 </t>
  </si>
  <si>
    <t>TCLU2959327</t>
  </si>
  <si>
    <t>NYKU9832910</t>
  </si>
  <si>
    <t>CÙNG HĐ NÂNG VỚI LÔ I490570511</t>
  </si>
  <si>
    <t>CÙNG HĐ NÂNG VỚI LÔ I490570509</t>
  </si>
  <si>
    <t>5 CT/ 114 KGM/0.337 CBM</t>
  </si>
  <si>
    <t>KGN-25120202</t>
  </si>
  <si>
    <t>XL-HD251123</t>
  </si>
  <si>
    <t>135,416</t>
  </si>
  <si>
    <t>CƯỢC CONT 10TR - SOTRANS CƯỢC</t>
  </si>
  <si>
    <t xml:space="preserve">15H 03/12/2025  </t>
  </si>
  <si>
    <t>VTNW251202</t>
  </si>
  <si>
    <t>VTNW251202-1</t>
  </si>
  <si>
    <t>51C78481</t>
  </si>
  <si>
    <t>EGLV143553196384</t>
  </si>
  <si>
    <t>EITU9477488</t>
  </si>
  <si>
    <t>YMJAI490571701</t>
  </si>
  <si>
    <r>
      <t>107748970600</t>
    </r>
    <r>
      <rPr>
        <b/>
        <sz val="10"/>
        <color rgb="FF0070C0"/>
        <rFont val="Times New Roman"/>
        <family val="1"/>
      </rPr>
      <t>/E31</t>
    </r>
  </si>
  <si>
    <r>
      <t>107756781530</t>
    </r>
    <r>
      <rPr>
        <b/>
        <sz val="10"/>
        <color rgb="FF0070C0"/>
        <rFont val="Times New Roman"/>
        <family val="1"/>
      </rPr>
      <t>/E31</t>
    </r>
  </si>
  <si>
    <t>LẤY CONT CẢNG BÌNH DƯƠNG</t>
  </si>
  <si>
    <t>KGN-25120307</t>
  </si>
  <si>
    <t>KGN-25120308</t>
  </si>
  <si>
    <t>KGN-25120309</t>
  </si>
  <si>
    <t>KGN-25110451-BS1</t>
  </si>
  <si>
    <t>KGN-25110452-BS1</t>
  </si>
  <si>
    <t>51C76528</t>
  </si>
  <si>
    <t>A59FX19878</t>
  </si>
  <si>
    <t>CẤN TRỪ 300K PHÍ TK THÊM</t>
  </si>
  <si>
    <t>15C31889</t>
  </si>
  <si>
    <t>YMJAI490571702</t>
  </si>
  <si>
    <t>JS25112403</t>
  </si>
  <si>
    <t>KGN-25120415</t>
  </si>
  <si>
    <t>KGN-25120416</t>
  </si>
  <si>
    <t>KGN-25120417</t>
  </si>
  <si>
    <t>BMOU1080065
CAIU3489411
FTAU1657108
SEGU1900243
SEGU3540911</t>
  </si>
  <si>
    <t>04-05/12/2025</t>
  </si>
  <si>
    <t>KGN-25120418</t>
  </si>
  <si>
    <t>KGN-25120419</t>
  </si>
  <si>
    <t>KGN-25120420</t>
  </si>
  <si>
    <t>STHCM2512007</t>
  </si>
  <si>
    <t>STHCM2512008</t>
  </si>
  <si>
    <t>NƠI LẤY/TRẢ RỖNG</t>
  </si>
  <si>
    <t>NƠI LẤY/HẠ RỖNG</t>
  </si>
  <si>
    <t>NƠI LẤY RỖNG</t>
  </si>
  <si>
    <t>NƠI TRẢ RỖNG</t>
  </si>
  <si>
    <t>KGN-25120421</t>
  </si>
  <si>
    <t>KGN-25120422</t>
  </si>
  <si>
    <t>KGN-25120423</t>
  </si>
  <si>
    <t>NAM KHÁNH DEPOT</t>
  </si>
  <si>
    <t>KGN-25120426</t>
  </si>
  <si>
    <t>D251201016
TKX: 308016101800</t>
  </si>
  <si>
    <t>TC HIỆP LỰC</t>
  </si>
  <si>
    <t>PSSHA25C016</t>
  </si>
  <si>
    <t>IAAU2947507</t>
  </si>
  <si>
    <t>17H 06/12/2025</t>
  </si>
  <si>
    <t>51C75987</t>
  </si>
  <si>
    <t>KGN-25120457</t>
  </si>
  <si>
    <t>50E15635
50H60701
50H16615
51D10031
50H91877</t>
  </si>
  <si>
    <t>08/12/2025</t>
  </si>
  <si>
    <t>4 CT/ 91 KGM/ 0.367 CBM</t>
  </si>
  <si>
    <t>SGN2959117</t>
  </si>
  <si>
    <t>SI,VGM:11H59 10/12/2025 
CY: 02H 11/12/2025 
INV: V250328</t>
  </si>
  <si>
    <r>
      <t xml:space="preserve">50H45693
</t>
    </r>
    <r>
      <rPr>
        <sz val="10"/>
        <color rgb="FFFF0000"/>
        <rFont val="Times New Roman"/>
        <family val="1"/>
      </rPr>
      <t>BẢO LONG</t>
    </r>
  </si>
  <si>
    <r>
      <t xml:space="preserve">50H45291
</t>
    </r>
    <r>
      <rPr>
        <sz val="10"/>
        <color rgb="FFFF0000"/>
        <rFont val="Times New Roman"/>
        <family val="1"/>
      </rPr>
      <t>BẢO LONG</t>
    </r>
  </si>
  <si>
    <t>50H45692
BẢO LONG</t>
  </si>
  <si>
    <t>50H45693
BẢO LONG</t>
  </si>
  <si>
    <t>EBKG15054648</t>
  </si>
  <si>
    <t>SI: 8H 08/12/2025
CY: 00:00 10/12/2025</t>
  </si>
  <si>
    <r>
      <rPr>
        <sz val="10"/>
        <rFont val="Times New Roman"/>
        <family val="1"/>
      </rPr>
      <t xml:space="preserve">CMAU8984133
CMAU3300921
</t>
    </r>
    <r>
      <rPr>
        <sz val="10"/>
        <color rgb="FFFF0000"/>
        <rFont val="Times New Roman"/>
        <family val="1"/>
      </rPr>
      <t>CMAU6324193</t>
    </r>
    <r>
      <rPr>
        <sz val="10"/>
        <rFont val="Times New Roman"/>
        <family val="1"/>
      </rPr>
      <t xml:space="preserve">
TCLU4887606
</t>
    </r>
    <r>
      <rPr>
        <sz val="10"/>
        <color rgb="FFFF0000"/>
        <rFont val="Times New Roman"/>
        <family val="1"/>
      </rPr>
      <t>TCLU8906047</t>
    </r>
    <r>
      <rPr>
        <sz val="10"/>
        <rFont val="Times New Roman"/>
        <family val="1"/>
      </rPr>
      <t xml:space="preserve">
CMAU6751678
TRHU7147986
CMAU3308820</t>
    </r>
  </si>
  <si>
    <r>
      <t xml:space="preserve">51D62774
51C78164
</t>
    </r>
    <r>
      <rPr>
        <sz val="10"/>
        <color rgb="FFFF0000"/>
        <rFont val="Times New Roman"/>
        <family val="1"/>
      </rPr>
      <t>51C76522</t>
    </r>
    <r>
      <rPr>
        <sz val="10"/>
        <rFont val="Times New Roman"/>
        <family val="1"/>
      </rPr>
      <t xml:space="preserve">
51C78570
</t>
    </r>
    <r>
      <rPr>
        <sz val="10"/>
        <color rgb="FFFF0000"/>
        <rFont val="Times New Roman"/>
        <family val="1"/>
      </rPr>
      <t>51C76528</t>
    </r>
    <r>
      <rPr>
        <sz val="10"/>
        <rFont val="Times New Roman"/>
        <family val="1"/>
      </rPr>
      <t xml:space="preserve">
51C76105
51C78256
51C76508</t>
    </r>
  </si>
  <si>
    <t>06/12/2025</t>
  </si>
  <si>
    <t>COAU7264124616</t>
  </si>
  <si>
    <t>XL-NV251126</t>
  </si>
  <si>
    <t>13/12/2025</t>
  </si>
  <si>
    <t>18690.5</t>
  </si>
  <si>
    <t>BSIU2877465</t>
  </si>
  <si>
    <t>HÀNG MÁY MÓC CŨ
NEO XE 6 CONT 1 NGÀY - 2 CONT 2 NGÀY
GIÁM ĐỊNH DQSD + ĐỒNG BỘ</t>
  </si>
  <si>
    <r>
      <t>107778560740</t>
    </r>
    <r>
      <rPr>
        <b/>
        <sz val="10"/>
        <color rgb="FF0070C0"/>
        <rFont val="Times New Roman"/>
        <family val="1"/>
      </rPr>
      <t>/E31</t>
    </r>
  </si>
  <si>
    <t>HÀNG NỘI ĐỊA</t>
  </si>
  <si>
    <t>KGN-25120848</t>
  </si>
  <si>
    <t>TGBU3170454</t>
  </si>
  <si>
    <t>U25111911</t>
  </si>
  <si>
    <t>VTNW251205</t>
  </si>
  <si>
    <t xml:space="preserve"> VTSS251205</t>
  </si>
  <si>
    <t>00005023
TKX: 308015663710</t>
  </si>
  <si>
    <t>MSOU2524401</t>
  </si>
  <si>
    <t>Suoi Tien Long Thanh My Depot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</si>
  <si>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(EVERSET)</t>
    </r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</si>
  <si>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(JI SUNG)</t>
    </r>
  </si>
  <si>
    <t>SI: 9H 11/10/2025
CY: 0H 12/12/2025
Hạ: 0H 10/12/2025</t>
  </si>
  <si>
    <t>11/12/2025</t>
  </si>
  <si>
    <t>10-11/12/2025</t>
  </si>
  <si>
    <t>JS25120201</t>
  </si>
  <si>
    <t>KGN-25121016</t>
  </si>
  <si>
    <t>KGN-25121018</t>
  </si>
  <si>
    <t>TIIU4582244
TIIU5768845</t>
  </si>
  <si>
    <t>10/12/2025</t>
  </si>
  <si>
    <t>09/12/2025</t>
  </si>
  <si>
    <t>LY-LHY32/35-25</t>
  </si>
  <si>
    <t>WD2524SSGT451</t>
  </si>
  <si>
    <t>17/12/2025</t>
  </si>
  <si>
    <t>ZIMUHCM80596065</t>
  </si>
  <si>
    <t>VTNW251209</t>
  </si>
  <si>
    <t>CONT: YMMU6963957
SEAL: YMAU419152</t>
  </si>
  <si>
    <t>CY: 0H 14/12/2025</t>
  </si>
  <si>
    <t>SITGTCSGH02792</t>
  </si>
  <si>
    <t>BEAU6443404
FFAU1653830</t>
  </si>
  <si>
    <t>GWI-VNVS-251201</t>
  </si>
  <si>
    <t>UETU5880370</t>
  </si>
  <si>
    <t>SITGTCSGH02791</t>
  </si>
  <si>
    <t>GSI-VNVS-251201</t>
  </si>
  <si>
    <t>STHCM2512106</t>
  </si>
  <si>
    <t>VET251210-KD
VET251210-SXXK</t>
  </si>
  <si>
    <t>50H28544
50H29647</t>
  </si>
  <si>
    <r>
      <t>308041542820</t>
    </r>
    <r>
      <rPr>
        <b/>
        <sz val="10"/>
        <color rgb="FF0070C0"/>
        <rFont val="Times New Roman"/>
        <family val="1"/>
      </rPr>
      <t>/B11</t>
    </r>
    <r>
      <rPr>
        <b/>
        <sz val="10"/>
        <color rgb="FFFF0000"/>
        <rFont val="Times New Roman"/>
        <family val="1"/>
      </rPr>
      <t xml:space="preserve">
308041558812</t>
    </r>
    <r>
      <rPr>
        <b/>
        <sz val="10"/>
        <color rgb="FF0070C0"/>
        <rFont val="Times New Roman"/>
        <family val="1"/>
      </rPr>
      <t>/E62</t>
    </r>
  </si>
  <si>
    <t>CONT: TCNU3919630
SEAL: YMAU419183</t>
  </si>
  <si>
    <t>BMOU2702456</t>
  </si>
  <si>
    <t>A4251353120</t>
  </si>
  <si>
    <t>DH-20231124-4</t>
  </si>
  <si>
    <t>TRHU3604467</t>
  </si>
  <si>
    <t>A4251353119</t>
  </si>
  <si>
    <t>DH-20231124-5</t>
  </si>
  <si>
    <t>15/12/2025</t>
  </si>
  <si>
    <t>Cảng bình dương</t>
  </si>
  <si>
    <t>STHCM2512116</t>
  </si>
  <si>
    <t>VTJS251211</t>
  </si>
  <si>
    <t>SI: 10H 11/12/2025
CY: 01H 13/12/2025</t>
  </si>
  <si>
    <t>14/12/2025</t>
  </si>
  <si>
    <t>OHOC25120082</t>
  </si>
  <si>
    <t>JS25120401</t>
  </si>
  <si>
    <t>50E39534</t>
  </si>
  <si>
    <t>HCM-SBK-25121038</t>
  </si>
  <si>
    <t>CÁT LÁI KHO 1</t>
  </si>
  <si>
    <t>51D64603</t>
  </si>
  <si>
    <t>VTNW251212</t>
  </si>
  <si>
    <t>83 CT/ 2,235.9 KGM/ 8.304 CBM</t>
  </si>
  <si>
    <t>PSSHA25C070</t>
  </si>
  <si>
    <t>3 CT/ 85 KGM/0.259 CBM</t>
  </si>
  <si>
    <t>JS25121102</t>
  </si>
  <si>
    <t>48 CT/ 1610.88 KGM/ 4.57 CBM</t>
  </si>
  <si>
    <t>OOLU0169446</t>
  </si>
  <si>
    <t>31299522</t>
  </si>
  <si>
    <t>SOLOG THỦ ĐỨC</t>
  </si>
  <si>
    <t>DH-20250926-1</t>
  </si>
  <si>
    <t>TEMU4816765</t>
  </si>
  <si>
    <t>DH-20250926-2</t>
  </si>
  <si>
    <t>DH-20250926-3</t>
  </si>
  <si>
    <t>DH-20250926-4</t>
  </si>
  <si>
    <t>DH-20250926-5</t>
  </si>
  <si>
    <t>UETU2536740</t>
  </si>
  <si>
    <t>CSNU1745894</t>
  </si>
  <si>
    <t>CBHU6463690</t>
  </si>
  <si>
    <t>KGN-25121341</t>
  </si>
  <si>
    <t>KGN-25121342</t>
  </si>
  <si>
    <t>KGN-25121344</t>
  </si>
  <si>
    <t>KGN-25121345</t>
  </si>
  <si>
    <t>KGN-25121346</t>
  </si>
  <si>
    <t>KGN-25121347</t>
  </si>
  <si>
    <t>KGN-25121348</t>
  </si>
  <si>
    <t>KGN-25121349</t>
  </si>
  <si>
    <t>KGN-25121350</t>
  </si>
  <si>
    <t>KGN-25121351</t>
  </si>
  <si>
    <t>KGN-25121352</t>
  </si>
  <si>
    <t>KGN-25121353</t>
  </si>
  <si>
    <t>KGN-25121354</t>
  </si>
  <si>
    <t>A59FX19733</t>
  </si>
  <si>
    <t>SITSGNGW469982</t>
  </si>
  <si>
    <t>18H 21/12/2025</t>
  </si>
  <si>
    <t>16/12/2025</t>
  </si>
  <si>
    <t>CÔNG TY TNHH VIỆT STAR SPECIAL FIBER</t>
  </si>
  <si>
    <t>50E45352</t>
  </si>
  <si>
    <t>VTJS251212</t>
  </si>
  <si>
    <t>PSSHA25C060</t>
  </si>
  <si>
    <t>3 CT/ 58 KGM/ 0.215 CBM</t>
  </si>
  <si>
    <t>MEDUYM111223</t>
  </si>
  <si>
    <t>BMOU1613101
CAAU2124210
TEMU4403756
MSBU3060393
MSNU2135978
MSMU3244368</t>
  </si>
  <si>
    <t>XL-HD251210</t>
  </si>
  <si>
    <t>162171</t>
  </si>
  <si>
    <t>TC HIỆP PHƯỚC</t>
  </si>
  <si>
    <t>BSUNG DEBIT CƯỚC</t>
  </si>
  <si>
    <t>50H45291
BẢO LONG</t>
  </si>
  <si>
    <t>OHOC25120046</t>
  </si>
  <si>
    <t>47 CT/ 1,042 KGM/ 4 CBM</t>
  </si>
  <si>
    <t>CAT LAI KHO 3</t>
  </si>
  <si>
    <t>JIAXING SKYTIME</t>
  </si>
  <si>
    <t>KGN-25121570</t>
  </si>
  <si>
    <t>100</t>
  </si>
  <si>
    <t>VTNW251215</t>
  </si>
  <si>
    <t>50H25277</t>
  </si>
  <si>
    <t>JS25121001</t>
  </si>
  <si>
    <t>KHAI TK CÁT LÁI
ĐK SỞ XÂY DỰNG
Phí grab 260k
CHI CHUYỂN BÃI KIỂM NHANH 200K</t>
  </si>
  <si>
    <t>EBKG15211712</t>
  </si>
  <si>
    <t>YMJAI490573230</t>
  </si>
  <si>
    <r>
      <t xml:space="preserve">YML LINE
</t>
    </r>
    <r>
      <rPr>
        <b/>
        <sz val="10"/>
        <rFont val="Times New Roman"/>
        <family val="1"/>
      </rPr>
      <t>HCM - KAOHSIUNG</t>
    </r>
    <r>
      <rPr>
        <b/>
        <sz val="10"/>
        <color rgb="FFFF0000"/>
        <rFont val="Times New Roman"/>
        <family val="1"/>
      </rPr>
      <t xml:space="preserve"> </t>
    </r>
  </si>
  <si>
    <t>18/12/2025</t>
  </si>
  <si>
    <t>BEAU2691001
SITU2565071</t>
  </si>
  <si>
    <t>SITC GIANG NAM</t>
  </si>
  <si>
    <t>22/12/2025</t>
  </si>
  <si>
    <t>SI: 16H 22/12/2025
CY: 10H 23/12/2025
Hạ: 0h 20/12/2025</t>
  </si>
  <si>
    <t>HÀNG LCL TRÊN 1T</t>
  </si>
  <si>
    <t>PHỤ THU HẠ TC HIỆP PHƯỚC</t>
  </si>
  <si>
    <t>PHỤ PHÍ KIỂM HÓA
TỜ KHAI THÊM</t>
  </si>
  <si>
    <r>
      <rPr>
        <b/>
        <sz val="10"/>
        <color rgb="FFFF0000"/>
        <rFont val="Times New Roman"/>
        <family val="1"/>
      </rPr>
      <t>SOTRANS</t>
    </r>
    <r>
      <rPr>
        <b/>
        <sz val="10"/>
        <rFont val="Times New Roman"/>
        <family val="1"/>
      </rPr>
      <t xml:space="preserve">
HCM - KAOHSIUNG</t>
    </r>
    <r>
      <rPr>
        <sz val="10"/>
        <color rgb="FFFF0000"/>
        <rFont val="Times New Roman"/>
        <family val="1"/>
      </rPr>
      <t xml:space="preserve"> </t>
    </r>
    <r>
      <rPr>
        <b/>
        <sz val="10"/>
        <color theme="5" tint="-0.249977111117893"/>
        <rFont val="Times New Roman"/>
        <family val="1"/>
      </rPr>
      <t>(JI SUNG)</t>
    </r>
  </si>
  <si>
    <t>STHCM2512160</t>
  </si>
  <si>
    <r>
      <rPr>
        <b/>
        <sz val="10"/>
        <color rgb="FFFF0000"/>
        <rFont val="Times New Roman"/>
        <family val="1"/>
      </rPr>
      <t>CƯỢC MARINE 2TR</t>
    </r>
    <r>
      <rPr>
        <b/>
        <sz val="10"/>
        <rFont val="Times New Roman"/>
        <family val="1"/>
      </rPr>
      <t xml:space="preserve">
DEPOT ĐÃ THU PHÍ RỬA CONT</t>
    </r>
  </si>
  <si>
    <t>XL-NV2509</t>
  </si>
  <si>
    <r>
      <t xml:space="preserve">JIANGSU GUOWANG HIGH-TECHNIQUE FIBER
</t>
    </r>
    <r>
      <rPr>
        <b/>
        <sz val="8"/>
        <color rgb="FFFF0000"/>
        <rFont val="Times New Roman"/>
        <family val="1"/>
      </rPr>
      <t>(TCBPG: 10.53% - CHECK FORM TEST)</t>
    </r>
  </si>
  <si>
    <r>
      <t xml:space="preserve">GUOWANG HIGH-TECH FIBER(SUQIAN)
</t>
    </r>
    <r>
      <rPr>
        <b/>
        <sz val="8"/>
        <color rgb="FFFF0000"/>
        <rFont val="Times New Roman"/>
        <family val="1"/>
      </rPr>
      <t>(TCBPG: 10.53% - CHECK FORM TEST)</t>
    </r>
  </si>
  <si>
    <t>29/12/2025</t>
  </si>
  <si>
    <t>CẢNG HẢI PHÒNG</t>
  </si>
  <si>
    <t>61E03727</t>
  </si>
  <si>
    <t>PASU5220810</t>
  </si>
  <si>
    <t>105675</t>
  </si>
  <si>
    <t>KGN-25121899</t>
  </si>
  <si>
    <t>VTNW251217</t>
  </si>
  <si>
    <t>101</t>
  </si>
  <si>
    <t>YMJAI490573462</t>
  </si>
  <si>
    <t>CY: 21H 24/12/2025</t>
  </si>
  <si>
    <t>SI: 16H 26/12/2025
CY: 22H 27/12/2025
HẠ: 24/12/2025</t>
  </si>
  <si>
    <t>26/12/2025
T6</t>
  </si>
  <si>
    <t>19/12/2025</t>
  </si>
  <si>
    <t>SGNFCP413300</t>
  </si>
  <si>
    <t>DEPOT TAN CANG TAN VAN</t>
  </si>
  <si>
    <t>SOLOG</t>
  </si>
  <si>
    <t>20/12/2025
22/12/2025</t>
  </si>
  <si>
    <t>039FA12894</t>
  </si>
  <si>
    <t>SGNM59729400</t>
  </si>
  <si>
    <t>SGN2959017</t>
  </si>
  <si>
    <t>SI,VGM: 15H 19/12/2025 
CY: 07H59 22/12/2025.
HẠ: 0H 19/12/2025</t>
  </si>
  <si>
    <t xml:space="preserve">SI,VGM: 10H 23/12/2025  
CY: 11H 26/12/2025     </t>
  </si>
  <si>
    <t xml:space="preserve">SI,VGM: 8H 24/12/2025  
CY: 18H 25/12/2025  </t>
  </si>
  <si>
    <t xml:space="preserve">SI,VGM: 11H 24/12/2025  
CY: 14H 25/12/2025 </t>
  </si>
  <si>
    <t>PSSHA25C082</t>
  </si>
  <si>
    <t>OHOC25120247</t>
  </si>
  <si>
    <t>JS25121201</t>
  </si>
  <si>
    <t>JS25121501</t>
  </si>
  <si>
    <t>1 PP/ 717.5 KGM/ 1.680 CBM</t>
  </si>
  <si>
    <t>23/12/2025</t>
  </si>
  <si>
    <t>10 CT/ 287 KGM/ 0.99 CBM</t>
  </si>
  <si>
    <t>GREENLOG</t>
  </si>
  <si>
    <t>CƯỚC GATHER SHINE
LCC BROTEX</t>
  </si>
  <si>
    <t>KGN-25121958</t>
  </si>
  <si>
    <t>KGN-25121959</t>
  </si>
  <si>
    <t>KGN-25121960</t>
  </si>
  <si>
    <t>308071294700
308071807060</t>
  </si>
  <si>
    <t>IAAU2047038
IAAU2998799</t>
  </si>
  <si>
    <t>Phí neo 500K</t>
  </si>
  <si>
    <t>VTNW251218</t>
  </si>
  <si>
    <t>VTUS251219</t>
  </si>
  <si>
    <t>TCLU2129504</t>
  </si>
  <si>
    <t>FX34988673</t>
  </si>
  <si>
    <t>CF20251121-1</t>
  </si>
  <si>
    <t>CF20251121-2</t>
  </si>
  <si>
    <t>MEDU5477730</t>
  </si>
  <si>
    <t>FX34988635</t>
  </si>
  <si>
    <t>PSSHA25C405</t>
  </si>
  <si>
    <t>JS25121701</t>
  </si>
  <si>
    <t>SGNM39710300</t>
  </si>
  <si>
    <t xml:space="preserve">SI,VGM:8H 23/12/2025  
CY: 5H 25/12/2025       </t>
  </si>
  <si>
    <t>MSKU1721542</t>
  </si>
  <si>
    <t>50H90191</t>
  </si>
  <si>
    <t>51C23619
50E15635</t>
  </si>
  <si>
    <t xml:space="preserve">CNA0324745E </t>
  </si>
  <si>
    <t>CMA CNC ĐKY</t>
  </si>
  <si>
    <t>51C78481
51C78481</t>
  </si>
  <si>
    <t>50LD13260
50H45693
BẢO LONG</t>
  </si>
  <si>
    <t>20/12/2025</t>
  </si>
  <si>
    <t>00011041
TKX: 308067472700</t>
  </si>
  <si>
    <t>VTUS251222</t>
  </si>
  <si>
    <r>
      <rPr>
        <b/>
        <sz val="10"/>
        <color rgb="FFFF0000"/>
        <rFont val="Times New Roman"/>
        <family val="1"/>
      </rPr>
      <t>ONE LINE</t>
    </r>
    <r>
      <rPr>
        <sz val="10"/>
        <color rgb="FFFF0000"/>
        <rFont val="Times New Roman"/>
        <family val="1"/>
      </rPr>
      <t xml:space="preserve">
</t>
    </r>
    <r>
      <rPr>
        <b/>
        <sz val="10"/>
        <rFont val="Times New Roman"/>
        <family val="1"/>
      </rPr>
      <t>HCM - CHITTAGONG</t>
    </r>
  </si>
  <si>
    <t>INV 00005387
TKX: 308067374110</t>
  </si>
  <si>
    <t>24/12/2025</t>
  </si>
  <si>
    <t xml:space="preserve">INV D251217022 </t>
  </si>
  <si>
    <t>INV D251220007</t>
  </si>
  <si>
    <t>039FY25243</t>
  </si>
  <si>
    <t>CY: 08H 26/12/2025</t>
  </si>
  <si>
    <t xml:space="preserve">A59FX19810 </t>
  </si>
  <si>
    <t>CY: 17H 27/12/2025</t>
  </si>
  <si>
    <t>VET251223-KD
VET251223-SXXK</t>
  </si>
  <si>
    <t>VTNW251222</t>
  </si>
  <si>
    <t>21/12/2025</t>
  </si>
  <si>
    <t>KOCU4874870
KOCU5044559</t>
  </si>
  <si>
    <t>WHSU8060384</t>
  </si>
  <si>
    <t>KHÔNG HUN TRÙNG</t>
  </si>
  <si>
    <t>CONT: SEGU6499719
SEAL: YMAU432551</t>
  </si>
  <si>
    <t>CONT: YMLU8926650
SEAL: YMAU432514</t>
  </si>
  <si>
    <t>107822292910</t>
  </si>
  <si>
    <t>ELF25120221</t>
  </si>
  <si>
    <t>50H44741
BẢO LONG</t>
  </si>
  <si>
    <t>HMMU4159731
HMMU6973768</t>
  </si>
  <si>
    <t>50H60291
50H45136
BẢO LONG</t>
  </si>
  <si>
    <t>50H45136
50H60291
BẢO LONG</t>
  </si>
  <si>
    <t>TIIU2283183</t>
  </si>
  <si>
    <t>PSSHA25C424</t>
  </si>
  <si>
    <t>30/12/2025</t>
  </si>
  <si>
    <t>8H 25/12/2025
HẠ: 20/12/2025</t>
  </si>
  <si>
    <t>KGN-25122598</t>
  </si>
  <si>
    <t>KGN-25122601</t>
  </si>
  <si>
    <t>KGN-25122603</t>
  </si>
  <si>
    <t>KGN-25122605</t>
  </si>
  <si>
    <t>KGN-25122608</t>
  </si>
  <si>
    <t>KGN-25122609</t>
  </si>
  <si>
    <t>KGN-25122610</t>
  </si>
  <si>
    <t>KGN-25122611</t>
  </si>
  <si>
    <t>KGN-25122612</t>
  </si>
  <si>
    <t>STHCM2512279</t>
  </si>
  <si>
    <t xml:space="preserve"> KGN-25122625</t>
  </si>
  <si>
    <r>
      <t>308082907550</t>
    </r>
    <r>
      <rPr>
        <b/>
        <sz val="10"/>
        <color rgb="FF0070C0"/>
        <rFont val="Times New Roman"/>
        <family val="1"/>
      </rPr>
      <t>/E62</t>
    </r>
    <r>
      <rPr>
        <b/>
        <sz val="10"/>
        <color rgb="FFFF0000"/>
        <rFont val="Times New Roman"/>
        <family val="1"/>
      </rPr>
      <t xml:space="preserve">
308082889610</t>
    </r>
    <r>
      <rPr>
        <b/>
        <sz val="10"/>
        <color rgb="FF0070C0"/>
        <rFont val="Times New Roman"/>
        <family val="1"/>
      </rPr>
      <t>/B11</t>
    </r>
  </si>
  <si>
    <t>KGN-25122644</t>
  </si>
  <si>
    <t>KGN-25122646</t>
  </si>
  <si>
    <t>27 PK/689 KGM/2.3 CBM</t>
  </si>
  <si>
    <t>KGN-25122647</t>
  </si>
  <si>
    <t>KGN-25122650</t>
  </si>
  <si>
    <t>WHSU6826249</t>
  </si>
  <si>
    <t>PHI HUY XE 1TR</t>
  </si>
  <si>
    <t>CANCEL</t>
  </si>
  <si>
    <t>30/12/2025
T3</t>
  </si>
  <si>
    <t>SGN2985155</t>
  </si>
  <si>
    <t>SGN501814300</t>
  </si>
  <si>
    <t>31/12/2025
T4</t>
  </si>
  <si>
    <t xml:space="preserve">SI,VGM: 10H 31/12/2025
CY: 1H 04/01/2026   </t>
  </si>
  <si>
    <t xml:space="preserve">SI,VGM: 7H 02/01/2026
CY:  2H 03/01/2025        </t>
  </si>
  <si>
    <t>25/12/2025</t>
  </si>
  <si>
    <t>VTNW251224</t>
  </si>
  <si>
    <t>27/12/2025
T7</t>
  </si>
  <si>
    <t>107832623730</t>
  </si>
  <si>
    <t>GLDU9590146</t>
  </si>
  <si>
    <t xml:space="preserve"> YDI-RI-03</t>
  </si>
  <si>
    <t>KGN-25121957
KGN-25122935</t>
  </si>
  <si>
    <t>HY10133-25-1</t>
  </si>
  <si>
    <t>ZHEJIANG HENGYI PETROCHEMICALS CO., LTD.</t>
  </si>
  <si>
    <t>BMOU6252228
FCIU7113966</t>
  </si>
  <si>
    <t>27/12/2025</t>
  </si>
  <si>
    <t>KMTCSHAO903356C</t>
  </si>
  <si>
    <t>1 PK/155 KGM/0.18 CBM</t>
  </si>
  <si>
    <t>HQ-20252512</t>
  </si>
  <si>
    <t>CY: 16H 26/12/2025</t>
  </si>
  <si>
    <t>CÁI LÁI KHO 3</t>
  </si>
  <si>
    <t>PSSHA25C438</t>
  </si>
  <si>
    <t>XH25122401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</si>
</sst>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3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#########"/>
    <numFmt numFmtId="165" formatCode="###,###,###,##0.0#####"/>
    <numFmt numFmtId="166" formatCode="_(* #,##0_);_(* \(#,##0\);_(* &quot;-&quot;??_);_(@_)"/>
    <numFmt numFmtId="167" formatCode="###,###,###,##0.######"/>
    <numFmt numFmtId="168" formatCode="dd\/mm\/yyyy"/>
    <numFmt numFmtId="169" formatCode="dd/mm/yyyy;@"/>
    <numFmt numFmtId="170" formatCode="_-* #,##0\ _₫_-;\-* #,##0\ _₫_-;_-* &quot;-&quot;??\ _₫_-;_-@_-"/>
    <numFmt numFmtId="171" formatCode="0;[Red]0"/>
    <numFmt numFmtId="172" formatCode="0.0"/>
    <numFmt numFmtId="173" formatCode="dd/mm/yy;@"/>
    <numFmt numFmtId="174" formatCode="0_);[Red]\(0\)"/>
    <numFmt numFmtId="175" formatCode="00000"/>
    <numFmt numFmtId="176" formatCode="yyyy\-mm\-dd;@"/>
    <numFmt numFmtId="177" formatCode="_-* #,##0.00_-;\-* #,##0.00_-;_-* &quot;-&quot;??_-;_-@_-"/>
    <numFmt numFmtId="178" formatCode="d/m/yyyy;@"/>
    <numFmt numFmtId="179" formatCode="dd\.mm\.yyyy;@"/>
    <numFmt numFmtId="180" formatCode="d/mm/yyyy;@"/>
    <numFmt numFmtId="181" formatCode="_(* #,##0.0_);_(* \(#,##0.0\);_(* &quot;-&quot;??_);_(@_)"/>
    <numFmt numFmtId="182" formatCode="_-&quot;$&quot;* #,##0.00_-;\-&quot;$&quot;* #,##0.00_-;_-&quot;$&quot;* &quot;-&quot;??_-;_-@_-"/>
    <numFmt numFmtId="183" formatCode="_ * #,##0.00_ ;_ * \-#,##0.00_ ;_ * &quot;-&quot;??_ ;_ @_ "/>
    <numFmt numFmtId="184" formatCode="[$-409]d/mmm;@"/>
    <numFmt numFmtId="185" formatCode="_(* #,##0.000_);_(* \(#,##0.000\);_(* &quot;-&quot;??_);_(@_)"/>
    <numFmt numFmtId="186" formatCode="d/m/yy;@"/>
    <numFmt numFmtId="187" formatCode="_(&quot;$&quot;* #,##0_);_(&quot;$&quot;* \(#,##0\);_(&quot;$&quot;* &quot;-&quot;??_);_(@_)"/>
    <numFmt numFmtId="188" formatCode="_-* #,##0.00\ _₫_-;\-* #,##0.00\ _₫_-;_-* &quot;-&quot;??\ _₫_-;_-@_-"/>
    <numFmt numFmtId="189" formatCode="###0;[Red]###0"/>
    <numFmt numFmtId="190" formatCode="[$-1010000]d/m/yy;@"/>
    <numFmt numFmtId="191" formatCode="0.0000"/>
    <numFmt numFmtId="192" formatCode="#,##0.0"/>
    <numFmt numFmtId="193" formatCode="[$USD]\ #,##0.00_);[Red]\([$USD]\ #,##0.00\)"/>
  </numFmts>
  <fonts count="2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sz val="10"/>
      <name val="Arial"/>
      <family val="2"/>
    </font>
    <font>
      <sz val="10"/>
      <color rgb="FF212529"/>
      <name val="Roboto"/>
    </font>
    <font>
      <b/>
      <sz val="10"/>
      <color rgb="FF212529"/>
      <name val="Roboto"/>
    </font>
    <font>
      <b/>
      <sz val="10"/>
      <color rgb="FF000000"/>
      <name val="Times New Roman"/>
      <family val="1"/>
    </font>
    <font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0"/>
      <color indexed="12"/>
      <name val="Times New Roman"/>
      <family val="1"/>
    </font>
    <font>
      <sz val="11"/>
      <name val="Times New Roman"/>
      <family val="1"/>
    </font>
    <font>
      <b/>
      <sz val="10"/>
      <color theme="8" tint="-0.499984740745262"/>
      <name val="Times New Roman"/>
      <family val="1"/>
    </font>
    <font>
      <b/>
      <sz val="10"/>
      <color indexed="1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  <font>
      <b/>
      <sz val="10"/>
      <color theme="1"/>
      <name val="Times New Roman"/>
      <family val="1"/>
    </font>
    <font>
      <b/>
      <sz val="12"/>
      <color indexed="12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theme="1"/>
      <name val="Times New Roman"/>
      <family val="1"/>
    </font>
    <font>
      <b/>
      <sz val="14"/>
      <color indexed="12"/>
      <name val="Times New Roman"/>
      <family val="1"/>
    </font>
    <font>
      <b/>
      <sz val="12"/>
      <color rgb="FF0070C0"/>
      <name val="Times New Roman"/>
      <family val="1"/>
    </font>
    <font>
      <sz val="12"/>
      <color theme="1" tint="4.9989318521683403E-2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theme="1" tint="4.9989318521683403E-2"/>
      <name val="Times New Roman"/>
      <family val="1"/>
    </font>
    <font>
      <b/>
      <sz val="11"/>
      <color indexed="12"/>
      <name val="Times New Roman"/>
      <family val="1"/>
    </font>
    <font>
      <sz val="11"/>
      <color rgb="FF000000"/>
      <name val="Arial"/>
      <family val="2"/>
    </font>
    <font>
      <b/>
      <sz val="14"/>
      <color rgb="FF0000FF"/>
      <name val="Times New Roman"/>
      <family val="1"/>
    </font>
    <font>
      <b/>
      <sz val="12"/>
      <color rgb="FF0000FF"/>
      <name val="Times New Roman"/>
      <family val="1"/>
    </font>
    <font>
      <sz val="10"/>
      <color indexed="8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Times New Roman"/>
      <family val="1"/>
    </font>
    <font>
      <b/>
      <sz val="11"/>
      <color indexed="8"/>
      <name val="Times New Roman"/>
      <family val="1"/>
    </font>
    <font>
      <sz val="11"/>
      <color rgb="FF000000"/>
      <name val="ArialUnicodeMS"/>
    </font>
    <font>
      <sz val="11"/>
      <color rgb="FF333333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sz val="12"/>
      <name val="新細明體"/>
      <charset val="134"/>
    </font>
    <font>
      <sz val="11"/>
      <color indexed="10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新細明體"/>
      <charset val="134"/>
    </font>
    <font>
      <sz val="11"/>
      <color indexed="9"/>
      <name val="Times New Roman"/>
      <family val="1"/>
    </font>
    <font>
      <sz val="12"/>
      <color indexed="9"/>
      <name val="新細明體"/>
      <charset val="134"/>
    </font>
    <font>
      <sz val="11"/>
      <color indexed="20"/>
      <name val="Times New Roman"/>
      <family val="1"/>
    </font>
    <font>
      <b/>
      <sz val="11"/>
      <color indexed="52"/>
      <name val="Times New Roman"/>
      <family val="1"/>
    </font>
    <font>
      <b/>
      <sz val="11"/>
      <color indexed="9"/>
      <name val="Times New Roman"/>
      <family val="1"/>
    </font>
    <font>
      <i/>
      <sz val="11"/>
      <color indexed="23"/>
      <name val="Times New Roman"/>
      <family val="1"/>
    </font>
    <font>
      <sz val="11"/>
      <color indexed="17"/>
      <name val="Times New Roman"/>
      <family val="1"/>
    </font>
    <font>
      <b/>
      <sz val="15"/>
      <color indexed="56"/>
      <name val="Times New Roman"/>
      <family val="1"/>
    </font>
    <font>
      <b/>
      <sz val="13"/>
      <color indexed="56"/>
      <name val="Times New Roman"/>
      <family val="1"/>
    </font>
    <font>
      <b/>
      <sz val="11"/>
      <color indexed="56"/>
      <name val="Times New Roman"/>
      <family val="1"/>
    </font>
    <font>
      <sz val="11"/>
      <color indexed="62"/>
      <name val="Times New Roman"/>
      <family val="1"/>
    </font>
    <font>
      <sz val="11"/>
      <color indexed="52"/>
      <name val="Times New Roman"/>
      <family val="1"/>
    </font>
    <font>
      <sz val="11"/>
      <color indexed="60"/>
      <name val="Times New Roman"/>
      <family val="1"/>
    </font>
    <font>
      <sz val="12"/>
      <name val="新細明體"/>
      <charset val="136"/>
    </font>
    <font>
      <sz val="10"/>
      <name val="微軟正黑體"/>
      <charset val="136"/>
    </font>
    <font>
      <b/>
      <sz val="11"/>
      <color indexed="63"/>
      <name val="Times New Roman"/>
      <family val="1"/>
    </font>
    <font>
      <b/>
      <sz val="18"/>
      <color indexed="56"/>
      <name val="Cambria"/>
      <family val="1"/>
    </font>
    <font>
      <sz val="12"/>
      <color theme="1"/>
      <name val="Calibri"/>
      <family val="2"/>
      <scheme val="minor"/>
    </font>
    <font>
      <sz val="12"/>
      <color indexed="20"/>
      <name val="新細明體"/>
      <charset val="134"/>
    </font>
    <font>
      <sz val="12"/>
      <color indexed="20"/>
      <name val="新細明體"/>
      <charset val="136"/>
    </font>
    <font>
      <sz val="12"/>
      <color indexed="20"/>
      <name val="Calibri"/>
      <family val="2"/>
    </font>
    <font>
      <sz val="12"/>
      <color indexed="17"/>
      <name val="新細明體"/>
      <charset val="134"/>
    </font>
    <font>
      <sz val="12"/>
      <color indexed="17"/>
      <name val="新細明體"/>
      <charset val="136"/>
    </font>
    <font>
      <sz val="12"/>
      <color indexed="17"/>
      <name val="Calibri"/>
      <family val="2"/>
    </font>
    <font>
      <b/>
      <sz val="15"/>
      <color indexed="56"/>
      <name val="新細明體"/>
      <charset val="134"/>
    </font>
    <font>
      <b/>
      <sz val="15"/>
      <color indexed="56"/>
      <name val="新細明體"/>
      <charset val="136"/>
    </font>
    <font>
      <b/>
      <sz val="15"/>
      <color indexed="56"/>
      <name val="Calibri"/>
      <family val="2"/>
    </font>
    <font>
      <b/>
      <sz val="18"/>
      <color indexed="56"/>
      <name val="新細明體"/>
      <charset val="134"/>
    </font>
    <font>
      <b/>
      <sz val="18"/>
      <color indexed="56"/>
      <name val="新細明體"/>
      <charset val="136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8"/>
      <name val="Courier New"/>
      <family val="3"/>
    </font>
    <font>
      <sz val="10"/>
      <color indexed="8"/>
      <name val="Arial"/>
      <family val="2"/>
    </font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1"/>
      <charset val="136"/>
      <scheme val="minor"/>
    </font>
    <font>
      <sz val="9"/>
      <color rgb="FF000000"/>
      <name val="Times-New-Roman"/>
    </font>
    <font>
      <sz val="9"/>
      <color rgb="FF000000"/>
      <name val="Times-New-Roman-Bold"/>
    </font>
    <font>
      <sz val="11"/>
      <color theme="1"/>
      <name val="Calibri"/>
      <family val="2"/>
      <scheme val="minor"/>
    </font>
    <font>
      <sz val="11"/>
      <color indexed="8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8"/>
      <color indexed="56"/>
      <name val="宋体"/>
      <charset val="134"/>
    </font>
    <font>
      <sz val="11"/>
      <color indexed="9"/>
      <name val="宋体"/>
      <charset val="134"/>
    </font>
    <font>
      <sz val="11"/>
      <color indexed="20"/>
      <name val="宋体"/>
      <charset val="134"/>
    </font>
    <font>
      <b/>
      <sz val="15"/>
      <color indexed="56"/>
      <name val="宋体"/>
      <charset val="134"/>
    </font>
    <font>
      <sz val="12"/>
      <color indexed="8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3"/>
      <color indexed="56"/>
      <name val="宋体"/>
      <charset val="134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sz val="12"/>
      <name val="宋体"/>
      <charset val="134"/>
    </font>
    <font>
      <sz val="11"/>
      <color indexed="60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17"/>
      <name val="宋体"/>
      <charset val="134"/>
    </font>
    <font>
      <b/>
      <sz val="12"/>
      <color indexed="9"/>
      <name val="新細明體"/>
      <charset val="134"/>
    </font>
    <font>
      <b/>
      <sz val="12"/>
      <color indexed="8"/>
      <name val="新細明體"/>
      <charset val="134"/>
    </font>
    <font>
      <sz val="10"/>
      <name val="MS Sans Serif"/>
      <charset val="134"/>
    </font>
    <font>
      <sz val="12"/>
      <color indexed="62"/>
      <name val="新細明體"/>
      <charset val="134"/>
    </font>
    <font>
      <b/>
      <sz val="12"/>
      <color indexed="63"/>
      <name val="新細明體"/>
      <charset val="134"/>
    </font>
    <font>
      <sz val="11"/>
      <color indexed="8"/>
      <name val="Tahoma"/>
      <family val="2"/>
    </font>
    <font>
      <i/>
      <sz val="12"/>
      <color indexed="23"/>
      <name val="新細明體"/>
      <charset val="134"/>
    </font>
    <font>
      <sz val="12"/>
      <color indexed="60"/>
      <name val="新細明體"/>
      <charset val="134"/>
    </font>
    <font>
      <b/>
      <sz val="12"/>
      <color indexed="52"/>
      <name val="新細明體"/>
      <charset val="134"/>
    </font>
    <font>
      <b/>
      <sz val="13"/>
      <color indexed="56"/>
      <name val="新細明體"/>
      <charset val="134"/>
    </font>
    <font>
      <b/>
      <sz val="11"/>
      <color indexed="56"/>
      <name val="新細明體"/>
      <charset val="134"/>
    </font>
    <font>
      <sz val="12"/>
      <color indexed="10"/>
      <name val="新細明體"/>
      <charset val="134"/>
    </font>
    <font>
      <sz val="12"/>
      <color indexed="52"/>
      <name val="新細明體"/>
      <charset val="134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D0D0D"/>
      <name val="Times New Roman"/>
      <family val="1"/>
    </font>
    <font>
      <sz val="10"/>
      <color rgb="FF000000"/>
      <name val="TimesNewRomanBold"/>
    </font>
    <font>
      <sz val="10"/>
      <color rgb="FFFF0000"/>
      <name val="TimesNewRomanBold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新細明體"/>
      <family val="1"/>
    </font>
    <font>
      <sz val="12"/>
      <color indexed="8"/>
      <name val="新細明體"/>
      <family val="1"/>
    </font>
    <font>
      <sz val="12"/>
      <color indexed="9"/>
      <name val="新細明體"/>
      <family val="1"/>
    </font>
    <font>
      <sz val="12"/>
      <color indexed="17"/>
      <name val="新細明體"/>
      <family val="1"/>
    </font>
    <font>
      <b/>
      <sz val="18"/>
      <color indexed="56"/>
      <name val="新細明體"/>
      <family val="1"/>
    </font>
    <font>
      <sz val="12"/>
      <color indexed="20"/>
      <name val="新細明體"/>
      <family val="1"/>
    </font>
    <font>
      <b/>
      <sz val="15"/>
      <color indexed="56"/>
      <name val="新細明體"/>
      <family val="1"/>
    </font>
    <font>
      <sz val="12"/>
      <color indexed="20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i/>
      <sz val="12"/>
      <color rgb="FF7F7F7F"/>
      <name val="新細明體"/>
      <family val="1"/>
    </font>
    <font>
      <sz val="10"/>
      <name val="Arial"/>
      <family val="2"/>
    </font>
    <font>
      <sz val="16"/>
      <name val="Times New Roman"/>
      <family val="1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color rgb="FF0000FF"/>
      <name val="Times New Roman"/>
      <family val="1"/>
    </font>
    <font>
      <sz val="10"/>
      <name val="Courier New"/>
      <family val="3"/>
    </font>
    <font>
      <sz val="11"/>
      <color theme="1"/>
      <name val="Calibri"/>
      <family val="2"/>
      <charset val="163"/>
      <scheme val="minor"/>
    </font>
    <font>
      <sz val="10"/>
      <name val=".VnArial"/>
      <family val="2"/>
    </font>
    <font>
      <sz val="11"/>
      <name val="돋움체"/>
      <family val="3"/>
      <charset val="129"/>
    </font>
    <font>
      <sz val="9"/>
      <name val="宋体"/>
    </font>
    <font>
      <sz val="11"/>
      <color rgb="FF000000"/>
      <name val="Calibri"/>
      <family val="2"/>
      <scheme val="minor"/>
    </font>
    <font>
      <sz val="12"/>
      <name val="VNI-Times"/>
    </font>
    <font>
      <sz val="10"/>
      <name val="宋体"/>
      <charset val="134"/>
    </font>
    <font>
      <sz val="8"/>
      <name val="Courier New"/>
      <family val="3"/>
    </font>
    <font>
      <sz val="10"/>
      <color theme="1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11"/>
      <color rgb="FF000000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2"/>
      <name val="宋体"/>
      <family val="3"/>
      <charset val="134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宋体"/>
    </font>
    <font>
      <sz val="10"/>
      <name val="Arial"/>
      <family val="2"/>
    </font>
    <font>
      <b/>
      <sz val="11"/>
      <name val="等线"/>
      <family val="4"/>
      <charset val="134"/>
    </font>
    <font>
      <b/>
      <sz val="9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10"/>
      <name val="等线"/>
      <family val="4"/>
      <charset val="134"/>
    </font>
    <font>
      <b/>
      <sz val="10"/>
      <name val="等线"/>
      <charset val="134"/>
    </font>
    <font>
      <sz val="8"/>
      <name val="Courier New"/>
      <family val="3"/>
    </font>
    <font>
      <sz val="11"/>
      <color theme="1"/>
      <name val="Calibri"/>
      <family val="2"/>
      <scheme val="minor"/>
    </font>
    <font>
      <sz val="12"/>
      <color indexed="12"/>
      <name val="Times New Roman"/>
      <family val="1"/>
    </font>
    <font>
      <sz val="10"/>
      <color indexed="8"/>
      <name val="Arial"/>
      <family val="2"/>
    </font>
    <font>
      <sz val="8"/>
      <name val="Courier New"/>
      <family val="3"/>
    </font>
    <font>
      <b/>
      <sz val="9"/>
      <color rgb="FFFF0000"/>
      <name val="Times New Roman"/>
      <family val="1"/>
    </font>
    <font>
      <b/>
      <sz val="8"/>
      <name val="Times New Roman"/>
      <family val="1"/>
    </font>
    <font>
      <b/>
      <sz val="8"/>
      <color rgb="FFFF0000"/>
      <name val="Times New Roman"/>
      <family val="1"/>
    </font>
    <font>
      <sz val="8"/>
      <name val="Courier New"/>
      <family val="3"/>
    </font>
    <font>
      <sz val="10"/>
      <color indexed="8"/>
      <name val="Arial"/>
      <family val="2"/>
    </font>
    <font>
      <b/>
      <sz val="8"/>
      <color rgb="FFFF0000"/>
      <name val="Courier New"/>
      <family val="3"/>
    </font>
    <font>
      <sz val="10"/>
      <name val="Arial"/>
      <family val="2"/>
    </font>
    <font>
      <sz val="12"/>
      <name val="宋体"/>
      <charset val="136"/>
    </font>
    <font>
      <u/>
      <sz val="12"/>
      <color indexed="12"/>
      <name val="宋体"/>
      <charset val="136"/>
    </font>
    <font>
      <b/>
      <sz val="10"/>
      <color theme="5" tint="-0.249977111117893"/>
      <name val="Times New Roman"/>
      <family val="1"/>
    </font>
    <font>
      <b/>
      <sz val="10"/>
      <color theme="5" tint="0.39997558519241921"/>
      <name val="Times New Roman"/>
      <family val="1"/>
    </font>
    <font>
      <sz val="8"/>
      <name val="Courier New"/>
      <family val="3"/>
    </font>
    <font>
      <b/>
      <sz val="10"/>
      <color theme="7" tint="0.59999389629810485"/>
      <name val="Times New Roman"/>
      <family val="1"/>
    </font>
    <font>
      <b/>
      <sz val="10"/>
      <color theme="5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b/>
      <sz val="12"/>
      <name val="Courier New"/>
      <family val="3"/>
    </font>
    <font>
      <b/>
      <sz val="10"/>
      <color rgb="FF0070C0"/>
      <name val="Times New Roman"/>
      <family val="1"/>
    </font>
    <font>
      <b/>
      <sz val="8"/>
      <name val="Courier New"/>
      <family val="3"/>
    </font>
    <font>
      <b/>
      <sz val="10"/>
      <color rgb="FF000000"/>
      <name val="Times-Bold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indexed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7F8F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4F5F8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92D05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auto="1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indexed="64"/>
      </right>
      <top style="thin">
        <color auto="1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000000"/>
      </left>
      <right/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</borders>
  <cellStyleXfs count="38788">
    <xf numFmtId="0" fontId="0" fillId="0" borderId="0"/>
    <xf numFmtId="43" fontId="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8" fillId="0" borderId="0"/>
    <xf numFmtId="0" fontId="50" fillId="0" borderId="0" applyNumberFormat="0" applyFill="0" applyBorder="0" applyAlignment="0" applyProtection="0"/>
    <xf numFmtId="43" fontId="7" fillId="0" borderId="0" applyFont="0" applyFill="0" applyBorder="0" applyAlignment="0" applyProtection="0"/>
    <xf numFmtId="0" fontId="55" fillId="0" borderId="0"/>
    <xf numFmtId="0" fontId="57" fillId="0" borderId="0"/>
    <xf numFmtId="177" fontId="57" fillId="0" borderId="0" applyFont="0" applyFill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27" borderId="0" applyNumberFormat="0" applyBorder="0" applyAlignment="0" applyProtection="0"/>
    <xf numFmtId="0" fontId="60" fillId="28" borderId="0" applyNumberFormat="0" applyBorder="0" applyAlignment="0" applyProtection="0">
      <alignment vertical="center"/>
    </xf>
    <xf numFmtId="0" fontId="60" fillId="29" borderId="0" applyNumberFormat="0" applyBorder="0" applyAlignment="0" applyProtection="0">
      <alignment vertical="center"/>
    </xf>
    <xf numFmtId="0" fontId="59" fillId="30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25" borderId="0" applyNumberFormat="0" applyBorder="0" applyAlignment="0" applyProtection="0"/>
    <xf numFmtId="0" fontId="59" fillId="30" borderId="0" applyNumberFormat="0" applyBorder="0" applyAlignment="0" applyProtection="0"/>
    <xf numFmtId="0" fontId="59" fillId="33" borderId="0" applyNumberFormat="0" applyBorder="0" applyAlignment="0" applyProtection="0"/>
    <xf numFmtId="0" fontId="6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1" fillId="36" borderId="0" applyNumberFormat="0" applyBorder="0" applyAlignment="0" applyProtection="0"/>
    <xf numFmtId="0" fontId="61" fillId="31" borderId="0" applyNumberFormat="0" applyBorder="0" applyAlignment="0" applyProtection="0"/>
    <xf numFmtId="0" fontId="61" fillId="32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39" borderId="0" applyNumberFormat="0" applyBorder="0" applyAlignment="0" applyProtection="0"/>
    <xf numFmtId="0" fontId="62" fillId="40" borderId="0" applyNumberFormat="0" applyBorder="0" applyAlignment="0" applyProtection="0">
      <alignment vertical="center"/>
    </xf>
    <xf numFmtId="0" fontId="62" fillId="20" borderId="0" applyNumberFormat="0" applyBorder="0" applyAlignment="0" applyProtection="0">
      <alignment vertical="center"/>
    </xf>
    <xf numFmtId="0" fontId="62" fillId="41" borderId="0" applyNumberFormat="0" applyBorder="0" applyAlignment="0" applyProtection="0">
      <alignment vertical="center"/>
    </xf>
    <xf numFmtId="0" fontId="61" fillId="42" borderId="0" applyNumberFormat="0" applyBorder="0" applyAlignment="0" applyProtection="0"/>
    <xf numFmtId="0" fontId="61" fillId="43" borderId="0" applyNumberFormat="0" applyBorder="0" applyAlignment="0" applyProtection="0"/>
    <xf numFmtId="0" fontId="61" fillId="44" borderId="0" applyNumberFormat="0" applyBorder="0" applyAlignment="0" applyProtection="0"/>
    <xf numFmtId="0" fontId="61" fillId="37" borderId="0" applyNumberFormat="0" applyBorder="0" applyAlignment="0" applyProtection="0"/>
    <xf numFmtId="0" fontId="61" fillId="38" borderId="0" applyNumberFormat="0" applyBorder="0" applyAlignment="0" applyProtection="0"/>
    <xf numFmtId="0" fontId="61" fillId="45" borderId="0" applyNumberFormat="0" applyBorder="0" applyAlignment="0" applyProtection="0"/>
    <xf numFmtId="0" fontId="63" fillId="23" borderId="0" applyNumberFormat="0" applyBorder="0" applyAlignment="0" applyProtection="0"/>
    <xf numFmtId="0" fontId="64" fillId="46" borderId="44" applyNumberFormat="0" applyAlignment="0" applyProtection="0"/>
    <xf numFmtId="0" fontId="65" fillId="47" borderId="45" applyNumberFormat="0" applyAlignment="0" applyProtection="0"/>
    <xf numFmtId="0" fontId="66" fillId="0" borderId="0" applyNumberFormat="0" applyFill="0" applyBorder="0" applyAlignment="0" applyProtection="0"/>
    <xf numFmtId="0" fontId="67" fillId="24" borderId="0" applyNumberFormat="0" applyBorder="0" applyAlignment="0" applyProtection="0"/>
    <xf numFmtId="0" fontId="68" fillId="0" borderId="46" applyNumberFormat="0" applyFill="0" applyAlignment="0" applyProtection="0"/>
    <xf numFmtId="0" fontId="69" fillId="0" borderId="47" applyNumberFormat="0" applyFill="0" applyAlignment="0" applyProtection="0"/>
    <xf numFmtId="0" fontId="70" fillId="0" borderId="48" applyNumberFormat="0" applyFill="0" applyAlignment="0" applyProtection="0"/>
    <xf numFmtId="0" fontId="70" fillId="0" borderId="0" applyNumberFormat="0" applyFill="0" applyBorder="0" applyAlignment="0" applyProtection="0"/>
    <xf numFmtId="0" fontId="71" fillId="27" borderId="44" applyNumberFormat="0" applyAlignment="0" applyProtection="0"/>
    <xf numFmtId="0" fontId="72" fillId="0" borderId="49" applyNumberFormat="0" applyFill="0" applyAlignment="0" applyProtection="0"/>
    <xf numFmtId="0" fontId="73" fillId="48" borderId="0" applyNumberFormat="0" applyBorder="0" applyAlignment="0" applyProtection="0"/>
    <xf numFmtId="0" fontId="1" fillId="0" borderId="0"/>
    <xf numFmtId="0" fontId="74" fillId="0" borderId="0"/>
    <xf numFmtId="0" fontId="75" fillId="0" borderId="0"/>
    <xf numFmtId="0" fontId="1" fillId="0" borderId="0"/>
    <xf numFmtId="0" fontId="74" fillId="0" borderId="0"/>
    <xf numFmtId="0" fontId="7" fillId="0" borderId="0"/>
    <xf numFmtId="0" fontId="75" fillId="49" borderId="50" applyNumberFormat="0" applyAlignment="0" applyProtection="0"/>
    <xf numFmtId="0" fontId="76" fillId="46" borderId="51" applyNumberFormat="0" applyAlignment="0" applyProtection="0"/>
    <xf numFmtId="0" fontId="77" fillId="0" borderId="0" applyNumberFormat="0" applyFill="0" applyBorder="0" applyAlignment="0" applyProtection="0"/>
    <xf numFmtId="0" fontId="52" fillId="0" borderId="52" applyNumberFormat="0" applyFill="0" applyAlignment="0" applyProtection="0"/>
    <xf numFmtId="0" fontId="58" fillId="0" borderId="0" applyNumberFormat="0" applyFill="0" applyBorder="0" applyAlignment="0" applyProtection="0"/>
    <xf numFmtId="0" fontId="7" fillId="0" borderId="0"/>
    <xf numFmtId="0" fontId="1" fillId="0" borderId="0"/>
    <xf numFmtId="0" fontId="78" fillId="0" borderId="0">
      <alignment vertical="center"/>
    </xf>
    <xf numFmtId="0" fontId="78" fillId="0" borderId="0">
      <alignment vertical="center"/>
    </xf>
    <xf numFmtId="0" fontId="57" fillId="50" borderId="50" applyNumberFormat="0" applyFont="0" applyAlignment="0" applyProtection="0">
      <alignment vertical="center"/>
    </xf>
    <xf numFmtId="0" fontId="57" fillId="50" borderId="50" applyNumberFormat="0" applyFont="0" applyAlignment="0" applyProtection="0">
      <alignment vertical="center"/>
    </xf>
    <xf numFmtId="0" fontId="74" fillId="50" borderId="50" applyNumberFormat="0" applyFont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57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>
      <alignment vertical="center"/>
    </xf>
    <xf numFmtId="177" fontId="74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57" fillId="0" borderId="0" applyFont="0" applyFill="0" applyBorder="0" applyAlignment="0" applyProtection="0"/>
    <xf numFmtId="177" fontId="74" fillId="0" borderId="0" applyFont="0" applyFill="0" applyBorder="0" applyAlignment="0" applyProtection="0"/>
    <xf numFmtId="43" fontId="7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81" fillId="29" borderId="0" applyNumberFormat="0" applyBorder="0" applyAlignment="0" applyProtection="0"/>
    <xf numFmtId="0" fontId="79" fillId="23" borderId="0" applyNumberFormat="0" applyBorder="0" applyAlignment="0" applyProtection="0"/>
    <xf numFmtId="0" fontId="80" fillId="23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4" fillId="51" borderId="0" applyNumberFormat="0" applyBorder="0" applyAlignment="0" applyProtection="0"/>
    <xf numFmtId="0" fontId="82" fillId="24" borderId="0" applyNumberFormat="0" applyBorder="0" applyAlignment="0" applyProtection="0"/>
    <xf numFmtId="0" fontId="83" fillId="24" borderId="0" applyNumberFormat="0" applyBorder="0" applyAlignment="0" applyProtection="0"/>
    <xf numFmtId="0" fontId="85" fillId="0" borderId="46" applyNumberFormat="0" applyFill="0" applyAlignment="0" applyProtection="0">
      <alignment vertical="center"/>
    </xf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5" fillId="0" borderId="46" applyNumberFormat="0" applyFill="0" applyAlignment="0" applyProtection="0"/>
    <xf numFmtId="0" fontId="86" fillId="0" borderId="46" applyNumberFormat="0" applyFill="0" applyAlignment="0" applyProtection="0"/>
    <xf numFmtId="0" fontId="87" fillId="0" borderId="46" applyNumberFormat="0" applyFill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90" fillId="0" borderId="0"/>
    <xf numFmtId="0" fontId="91" fillId="0" borderId="0"/>
    <xf numFmtId="177" fontId="91" fillId="0" borderId="0" applyFont="0" applyFill="0" applyBorder="0" applyAlignment="0" applyProtection="0"/>
    <xf numFmtId="0" fontId="92" fillId="0" borderId="0"/>
    <xf numFmtId="0" fontId="93" fillId="0" borderId="0"/>
    <xf numFmtId="0" fontId="95" fillId="0" borderId="0"/>
    <xf numFmtId="0" fontId="96" fillId="0" borderId="0">
      <alignment vertical="center"/>
    </xf>
    <xf numFmtId="0" fontId="96" fillId="0" borderId="0">
      <alignment vertical="center"/>
    </xf>
    <xf numFmtId="0" fontId="97" fillId="0" borderId="0">
      <alignment vertical="center"/>
    </xf>
    <xf numFmtId="0" fontId="97" fillId="0" borderId="0">
      <alignment vertical="center"/>
    </xf>
    <xf numFmtId="0" fontId="100" fillId="0" borderId="0"/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 applyNumberFormat="0" applyFont="0" applyFill="0" applyBorder="0" applyAlignment="0">
      <alignment horizontal="center"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62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20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1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43" fontId="7" fillId="0" borderId="0"/>
    <xf numFmtId="0" fontId="101" fillId="55" borderId="0" applyNumberFormat="0" applyBorder="0" applyAlignment="0" applyProtection="0">
      <alignment vertical="center"/>
    </xf>
    <xf numFmtId="43" fontId="122" fillId="0" borderId="0"/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0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25" fillId="0" borderId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8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01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25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5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1" fillId="3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1" fillId="35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60" fillId="41" borderId="0" applyNumberFormat="0" applyBorder="0" applyAlignment="0" applyProtection="0">
      <alignment vertical="center"/>
    </xf>
    <xf numFmtId="0" fontId="60" fillId="55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43" fontId="108" fillId="0" borderId="0" applyFon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2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23" fillId="58" borderId="44" applyNumberFormat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4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5" fillId="6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43" fontId="122" fillId="0" borderId="0" applyFont="0" applyFill="0" applyBorder="0" applyAlignment="0" applyProtection="0"/>
    <xf numFmtId="0" fontId="57" fillId="0" borderId="0">
      <alignment vertical="center"/>
    </xf>
    <xf numFmtId="0" fontId="103" fillId="53" borderId="45" applyNumberFormat="0" applyAlignment="0" applyProtection="0">
      <alignment vertical="center"/>
    </xf>
    <xf numFmtId="0" fontId="127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79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9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82" fillId="51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14" fillId="0" borderId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6" fillId="2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25" fillId="0" borderId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08" fillId="0" borderId="0">
      <alignment vertical="center"/>
    </xf>
    <xf numFmtId="0" fontId="1" fillId="0" borderId="0"/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1" fillId="0" borderId="0">
      <alignment vertical="center"/>
    </xf>
    <xf numFmtId="0" fontId="108" fillId="0" borderId="0">
      <alignment vertical="center"/>
    </xf>
    <xf numFmtId="0" fontId="114" fillId="0" borderId="0">
      <alignment vertical="center"/>
    </xf>
    <xf numFmtId="0" fontId="57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2" fillId="0" borderId="52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54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05" fillId="62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02" fillId="0" borderId="48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8" fillId="50" borderId="50" applyNumberFormat="0" applyFon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7" fillId="0" borderId="46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3" fillId="53" borderId="45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5" fillId="56" borderId="0" applyNumberFormat="0" applyBorder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8" fillId="0" borderId="49" applyNumberFormat="0" applyFill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09" fillId="57" borderId="51" applyNumberFormat="0" applyAlignment="0" applyProtection="0">
      <alignment vertical="center"/>
    </xf>
    <xf numFmtId="0" fontId="114" fillId="0" borderId="0">
      <alignment vertical="center"/>
    </xf>
    <xf numFmtId="0" fontId="114" fillId="0" borderId="0">
      <alignment vertical="center"/>
    </xf>
    <xf numFmtId="0" fontId="111" fillId="0" borderId="47" applyNumberFormat="0" applyFill="0" applyAlignment="0" applyProtection="0">
      <alignment vertical="center"/>
    </xf>
    <xf numFmtId="0" fontId="7" fillId="0" borderId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6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59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62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54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2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63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5" fillId="56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7" fillId="0" borderId="4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1" fillId="0" borderId="47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29" fillId="0" borderId="47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30" fillId="0" borderId="48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2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103" fillId="53" borderId="45" applyNumberFormat="0" applyAlignment="0" applyProtection="0">
      <alignment vertical="center"/>
    </xf>
    <xf numFmtId="0" fontId="88" fillId="0" borderId="0" applyNumberFormat="0" applyFill="0" applyBorder="0" applyAlignment="0" applyProtection="0">
      <alignment vertical="center"/>
    </xf>
    <xf numFmtId="0" fontId="130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08" fillId="50" borderId="50" applyNumberFormat="0" applyFon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center"/>
    </xf>
    <xf numFmtId="0" fontId="128" fillId="57" borderId="44" applyNumberFormat="0" applyAlignment="0" applyProtection="0">
      <alignment vertical="center"/>
    </xf>
    <xf numFmtId="0" fontId="131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7" fillId="0" borderId="0" applyNumberFormat="0" applyFill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0" fontId="113" fillId="57" borderId="44" applyNumberFormat="0" applyAlignment="0" applyProtection="0">
      <alignment vertical="center"/>
    </xf>
    <xf numFmtId="182" fontId="108" fillId="0" borderId="0" applyFont="0" applyFill="0" applyBorder="0" applyAlignment="0" applyProtection="0">
      <alignment vertical="center"/>
    </xf>
    <xf numFmtId="0" fontId="62" fillId="64" borderId="0" applyNumberFormat="0" applyBorder="0" applyAlignment="0" applyProtection="0">
      <alignment vertical="center"/>
    </xf>
    <xf numFmtId="0" fontId="62" fillId="59" borderId="0" applyNumberFormat="0" applyBorder="0" applyAlignment="0" applyProtection="0">
      <alignment vertical="center"/>
    </xf>
    <xf numFmtId="0" fontId="62" fillId="62" borderId="0" applyNumberFormat="0" applyBorder="0" applyAlignment="0" applyProtection="0">
      <alignment vertical="center"/>
    </xf>
    <xf numFmtId="0" fontId="62" fillId="54" borderId="0" applyNumberFormat="0" applyBorder="0" applyAlignment="0" applyProtection="0">
      <alignment vertical="center"/>
    </xf>
    <xf numFmtId="0" fontId="62" fillId="63" borderId="0" applyNumberFormat="0" applyBorder="0" applyAlignment="0" applyProtection="0">
      <alignment vertical="center"/>
    </xf>
    <xf numFmtId="0" fontId="62" fillId="56" borderId="0" applyNumberFormat="0" applyBorder="0" applyAlignment="0" applyProtection="0">
      <alignment vertical="center"/>
    </xf>
    <xf numFmtId="0" fontId="124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10" fillId="58" borderId="44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09" fillId="57" borderId="51" applyNumberFormat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15" fillId="60" borderId="0" applyNumberFormat="0" applyBorder="0" applyAlignment="0" applyProtection="0">
      <alignment vertical="center"/>
    </xf>
    <xf numFmtId="0" fontId="132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18" fillId="0" borderId="49" applyNumberFormat="0" applyFill="0" applyAlignment="0" applyProtection="0">
      <alignment vertical="center"/>
    </xf>
    <xf numFmtId="0" fontId="133" fillId="0" borderId="0" applyNumberFormat="0" applyFont="0" applyFill="0" applyBorder="0" applyAlignment="0" applyProtection="0"/>
    <xf numFmtId="177" fontId="1" fillId="0" borderId="0" applyFont="0" applyFill="0" applyBorder="0" applyAlignment="0" applyProtection="0"/>
    <xf numFmtId="184" fontId="1" fillId="0" borderId="0"/>
    <xf numFmtId="183" fontId="1" fillId="0" borderId="0" applyFont="0" applyFill="0" applyBorder="0" applyAlignment="0" applyProtection="0">
      <alignment vertical="center"/>
    </xf>
    <xf numFmtId="184" fontId="57" fillId="0" borderId="0"/>
    <xf numFmtId="177" fontId="7" fillId="0" borderId="0"/>
    <xf numFmtId="184" fontId="1" fillId="0" borderId="0"/>
    <xf numFmtId="177" fontId="7" fillId="0" borderId="0"/>
    <xf numFmtId="0" fontId="139" fillId="0" borderId="0"/>
    <xf numFmtId="0" fontId="140" fillId="0" borderId="0"/>
    <xf numFmtId="0" fontId="141" fillId="0" borderId="0"/>
    <xf numFmtId="0" fontId="142" fillId="0" borderId="0" applyNumberFormat="0" applyFont="0" applyFill="0" applyBorder="0" applyAlignment="0" applyProtection="0"/>
    <xf numFmtId="0" fontId="144" fillId="0" borderId="0"/>
    <xf numFmtId="177" fontId="7" fillId="0" borderId="0" applyFont="0" applyFill="0" applyBorder="0" applyAlignment="0" applyProtection="0"/>
    <xf numFmtId="0" fontId="145" fillId="0" borderId="0"/>
    <xf numFmtId="0" fontId="146" fillId="0" borderId="0"/>
    <xf numFmtId="0" fontId="153" fillId="0" borderId="46" applyNumberFormat="0" applyFill="0" applyAlignment="0" applyProtection="0"/>
    <xf numFmtId="0" fontId="64" fillId="46" borderId="62" applyNumberFormat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51" fillId="0" borderId="0" applyNumberFormat="0" applyFill="0" applyBorder="0" applyAlignment="0" applyProtection="0"/>
    <xf numFmtId="0" fontId="71" fillId="27" borderId="62" applyNumberFormat="0" applyAlignment="0" applyProtection="0"/>
    <xf numFmtId="0" fontId="157" fillId="0" borderId="46" applyNumberFormat="0" applyFill="0" applyAlignment="0" applyProtection="0"/>
    <xf numFmtId="0" fontId="157" fillId="0" borderId="46" applyNumberFormat="0" applyFill="0" applyAlignment="0" applyProtection="0"/>
    <xf numFmtId="0" fontId="153" fillId="0" borderId="46" applyNumberFormat="0" applyFill="0" applyAlignment="0" applyProtection="0"/>
    <xf numFmtId="0" fontId="153" fillId="0" borderId="46" applyNumberFormat="0" applyFill="0" applyAlignment="0" applyProtection="0">
      <alignment vertical="center"/>
    </xf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84" fillId="68" borderId="0" applyNumberFormat="0" applyBorder="0" applyAlignment="0" applyProtection="0"/>
    <xf numFmtId="0" fontId="75" fillId="49" borderId="63" applyNumberFormat="0" applyAlignment="0" applyProtection="0"/>
    <xf numFmtId="0" fontId="76" fillId="46" borderId="64" applyNumberFormat="0" applyAlignment="0" applyProtection="0"/>
    <xf numFmtId="0" fontId="84" fillId="68" borderId="0" applyNumberFormat="0" applyBorder="0" applyAlignment="0" applyProtection="0"/>
    <xf numFmtId="0" fontId="52" fillId="0" borderId="65" applyNumberFormat="0" applyFill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57" fillId="50" borderId="63" applyNumberFormat="0" applyFont="0" applyAlignment="0" applyProtection="0">
      <alignment vertical="center"/>
    </xf>
    <xf numFmtId="0" fontId="57" fillId="50" borderId="63" applyNumberFormat="0" applyFont="0" applyAlignment="0" applyProtection="0">
      <alignment vertical="center"/>
    </xf>
    <xf numFmtId="0" fontId="74" fillId="50" borderId="63" applyNumberFormat="0" applyFont="0" applyAlignment="0" applyProtection="0">
      <alignment vertical="center"/>
    </xf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84" fillId="68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5" fillId="24" borderId="0" applyNumberFormat="0" applyBorder="0" applyAlignment="0" applyProtection="0"/>
    <xf numFmtId="0" fontId="150" fillId="24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81" fillId="67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0" fontId="154" fillId="23" borderId="0" applyNumberFormat="0" applyBorder="0" applyAlignment="0" applyProtection="0"/>
    <xf numFmtId="0" fontId="152" fillId="23" borderId="0" applyNumberFormat="0" applyBorder="0" applyAlignment="0" applyProtection="0"/>
    <xf numFmtId="177" fontId="91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147" fillId="0" borderId="0" applyFont="0" applyFill="0" applyBorder="0" applyAlignment="0" applyProtection="0"/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91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177" fontId="147" fillId="0" borderId="0" applyFont="0" applyFill="0" applyBorder="0" applyAlignment="0" applyProtection="0">
      <alignment vertical="center"/>
    </xf>
    <xf numFmtId="0" fontId="91" fillId="66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47" fillId="50" borderId="63" applyNumberFormat="0" applyFont="0" applyAlignment="0" applyProtection="0">
      <alignment vertical="center"/>
    </xf>
    <xf numFmtId="0" fontId="158" fillId="0" borderId="0" applyNumberFormat="0" applyFill="0" applyBorder="0" applyAlignment="0" applyProtection="0">
      <alignment vertical="center"/>
    </xf>
    <xf numFmtId="177" fontId="147" fillId="0" borderId="0" applyFont="0" applyFill="0" applyBorder="0" applyAlignment="0" applyProtection="0"/>
    <xf numFmtId="0" fontId="149" fillId="41" borderId="0" applyNumberFormat="0" applyBorder="0" applyAlignment="0" applyProtection="0">
      <alignment vertical="center"/>
    </xf>
    <xf numFmtId="0" fontId="149" fillId="20" borderId="0" applyNumberFormat="0" applyBorder="0" applyAlignment="0" applyProtection="0">
      <alignment vertical="center"/>
    </xf>
    <xf numFmtId="0" fontId="149" fillId="40" borderId="0" applyNumberFormat="0" applyBorder="0" applyAlignment="0" applyProtection="0">
      <alignment vertical="center"/>
    </xf>
    <xf numFmtId="0" fontId="148" fillId="35" borderId="0" applyNumberFormat="0" applyBorder="0" applyAlignment="0" applyProtection="0">
      <alignment vertical="center"/>
    </xf>
    <xf numFmtId="0" fontId="148" fillId="34" borderId="0" applyNumberFormat="0" applyBorder="0" applyAlignment="0" applyProtection="0">
      <alignment vertical="center"/>
    </xf>
    <xf numFmtId="0" fontId="148" fillId="29" borderId="0" applyNumberFormat="0" applyBorder="0" applyAlignment="0" applyProtection="0">
      <alignment vertical="center"/>
    </xf>
    <xf numFmtId="0" fontId="148" fillId="28" borderId="0" applyNumberFormat="0" applyBorder="0" applyAlignment="0" applyProtection="0">
      <alignment vertical="center"/>
    </xf>
    <xf numFmtId="0" fontId="147" fillId="0" borderId="0"/>
    <xf numFmtId="0" fontId="84" fillId="68" borderId="0" applyNumberFormat="0" applyBorder="0" applyAlignment="0" applyProtection="0"/>
    <xf numFmtId="0" fontId="159" fillId="0" borderId="0"/>
    <xf numFmtId="0" fontId="161" fillId="0" borderId="0"/>
    <xf numFmtId="0" fontId="162" fillId="0" borderId="0"/>
    <xf numFmtId="0" fontId="163" fillId="0" borderId="0"/>
    <xf numFmtId="0" fontId="167" fillId="0" borderId="0"/>
    <xf numFmtId="0" fontId="91" fillId="0" borderId="0"/>
    <xf numFmtId="0" fontId="168" fillId="0" borderId="0"/>
    <xf numFmtId="0" fontId="169" fillId="0" borderId="0" applyFont="0" applyAlignment="0">
      <alignment vertical="center"/>
    </xf>
    <xf numFmtId="0" fontId="91" fillId="0" borderId="0"/>
    <xf numFmtId="9" fontId="91" fillId="0" borderId="0" applyFont="0" applyFill="0" applyBorder="0" applyAlignment="0" applyProtection="0"/>
    <xf numFmtId="177" fontId="91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166" fillId="0" borderId="0"/>
    <xf numFmtId="0" fontId="7" fillId="0" borderId="0"/>
    <xf numFmtId="188" fontId="166" fillId="0" borderId="0" applyFont="0" applyFill="0" applyBorder="0" applyAlignment="0" applyProtection="0"/>
    <xf numFmtId="0" fontId="170" fillId="0" borderId="0"/>
    <xf numFmtId="0" fontId="7" fillId="0" borderId="0"/>
    <xf numFmtId="43" fontId="7" fillId="0" borderId="0" applyFont="0" applyFill="0" applyBorder="0" applyAlignment="0" applyProtection="0"/>
    <xf numFmtId="177" fontId="1" fillId="0" borderId="0" applyFont="0" applyFill="0" applyBorder="0" applyAlignment="0" applyProtection="0"/>
    <xf numFmtId="0" fontId="171" fillId="0" borderId="0"/>
    <xf numFmtId="43" fontId="7" fillId="0" borderId="0" applyFont="0" applyFill="0" applyBorder="0" applyAlignment="0" applyProtection="0"/>
    <xf numFmtId="0" fontId="172" fillId="0" borderId="0"/>
    <xf numFmtId="44" fontId="1" fillId="0" borderId="0" applyFont="0" applyFill="0" applyBorder="0" applyAlignment="0" applyProtection="0"/>
    <xf numFmtId="0" fontId="174" fillId="0" borderId="0" applyNumberFormat="0" applyFont="0" applyFill="0" applyBorder="0" applyAlignment="0" applyProtection="0"/>
    <xf numFmtId="0" fontId="175" fillId="0" borderId="0"/>
    <xf numFmtId="0" fontId="176" fillId="0" borderId="0"/>
    <xf numFmtId="0" fontId="17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4" fontId="17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43" fontId="1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1" fillId="0" borderId="0" applyNumberFormat="0" applyFill="0" applyBorder="0" applyAlignment="0" applyProtection="0">
      <alignment vertical="center"/>
    </xf>
    <xf numFmtId="0" fontId="179" fillId="0" borderId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0" fillId="0" borderId="0">
      <alignment vertical="center"/>
    </xf>
    <xf numFmtId="0" fontId="182" fillId="0" borderId="0">
      <alignment vertical="center"/>
    </xf>
    <xf numFmtId="183" fontId="182" fillId="0" borderId="0" applyFont="0" applyFill="0" applyBorder="0" applyAlignment="0" applyProtection="0">
      <alignment vertical="center"/>
    </xf>
    <xf numFmtId="190" fontId="1" fillId="0" borderId="0"/>
    <xf numFmtId="190" fontId="5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78" fillId="0" borderId="0">
      <alignment vertical="center"/>
    </xf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184" fontId="1" fillId="0" borderId="0">
      <alignment vertical="center"/>
    </xf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184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76" fillId="0" borderId="0"/>
    <xf numFmtId="0" fontId="183" fillId="0" borderId="0"/>
    <xf numFmtId="0" fontId="1" fillId="0" borderId="0">
      <alignment vertical="center"/>
    </xf>
    <xf numFmtId="0" fontId="184" fillId="0" borderId="0">
      <alignment vertical="center"/>
    </xf>
    <xf numFmtId="183" fontId="184" fillId="0" borderId="0" applyFont="0" applyFill="0" applyBorder="0" applyAlignment="0" applyProtection="0">
      <alignment vertical="center"/>
    </xf>
    <xf numFmtId="0" fontId="114" fillId="0" borderId="0"/>
    <xf numFmtId="0" fontId="184" fillId="0" borderId="0">
      <alignment vertical="center"/>
    </xf>
    <xf numFmtId="0" fontId="186" fillId="0" borderId="0">
      <alignment vertical="center"/>
    </xf>
    <xf numFmtId="0" fontId="186" fillId="0" borderId="0"/>
    <xf numFmtId="43" fontId="185" fillId="0" borderId="0" applyFont="0" applyFill="0" applyBorder="0" applyAlignment="0" applyProtection="0"/>
    <xf numFmtId="0" fontId="114" fillId="0" borderId="0">
      <alignment vertical="center"/>
    </xf>
    <xf numFmtId="0" fontId="187" fillId="0" borderId="0"/>
    <xf numFmtId="0" fontId="1" fillId="0" borderId="0">
      <alignment vertical="center"/>
    </xf>
    <xf numFmtId="0" fontId="1" fillId="0" borderId="0">
      <alignment vertical="center"/>
    </xf>
    <xf numFmtId="0" fontId="64" fillId="46" borderId="133" applyNumberFormat="0" applyAlignment="0" applyProtection="0"/>
    <xf numFmtId="0" fontId="71" fillId="27" borderId="133" applyNumberFormat="0" applyAlignment="0" applyProtection="0"/>
    <xf numFmtId="0" fontId="75" fillId="49" borderId="134" applyNumberFormat="0" applyAlignment="0" applyProtection="0"/>
    <xf numFmtId="0" fontId="76" fillId="46" borderId="135" applyNumberFormat="0" applyAlignment="0" applyProtection="0"/>
    <xf numFmtId="0" fontId="52" fillId="0" borderId="136" applyNumberFormat="0" applyFill="0" applyAlignment="0" applyProtection="0"/>
    <xf numFmtId="0" fontId="57" fillId="50" borderId="134" applyNumberFormat="0" applyFont="0" applyAlignment="0" applyProtection="0">
      <alignment vertical="center"/>
    </xf>
    <xf numFmtId="0" fontId="57" fillId="50" borderId="134" applyNumberFormat="0" applyFont="0" applyAlignment="0" applyProtection="0">
      <alignment vertical="center"/>
    </xf>
    <xf numFmtId="0" fontId="74" fillId="50" borderId="134" applyNumberFormat="0" applyFont="0" applyAlignment="0" applyProtection="0">
      <alignment vertical="center"/>
    </xf>
    <xf numFmtId="0" fontId="91" fillId="0" borderId="0"/>
    <xf numFmtId="0" fontId="190" fillId="0" borderId="0"/>
    <xf numFmtId="0" fontId="147" fillId="50" borderId="134" applyNumberFormat="0" applyFont="0" applyAlignment="0" applyProtection="0">
      <alignment vertical="center"/>
    </xf>
    <xf numFmtId="0" fontId="147" fillId="50" borderId="134" applyNumberFormat="0" applyFont="0" applyAlignment="0" applyProtection="0">
      <alignment vertical="center"/>
    </xf>
    <xf numFmtId="0" fontId="91" fillId="66" borderId="134" applyNumberFormat="0" applyFont="0" applyAlignment="0" applyProtection="0">
      <alignment vertical="center"/>
    </xf>
    <xf numFmtId="0" fontId="195" fillId="0" borderId="0">
      <alignment vertical="center"/>
    </xf>
    <xf numFmtId="0" fontId="197" fillId="0" borderId="0"/>
    <xf numFmtId="0" fontId="203" fillId="0" borderId="0"/>
    <xf numFmtId="0" fontId="205" fillId="0" borderId="0"/>
    <xf numFmtId="0" fontId="206" fillId="0" borderId="0"/>
    <xf numFmtId="183" fontId="206" fillId="0" borderId="0" applyFont="0" applyFill="0" applyBorder="0" applyAlignment="0" applyProtection="0"/>
    <xf numFmtId="0" fontId="207" fillId="0" borderId="0" applyNumberFormat="0" applyFill="0" applyBorder="0" applyAlignment="0" applyProtection="0">
      <alignment vertical="top"/>
      <protection locked="0"/>
    </xf>
    <xf numFmtId="0" fontId="207" fillId="0" borderId="0" applyNumberFormat="0" applyFill="0" applyBorder="0" applyAlignment="0" applyProtection="0">
      <alignment vertical="center"/>
    </xf>
  </cellStyleXfs>
  <cellXfs count="3769">
    <xf numFmtId="0" fontId="0" fillId="0" borderId="0" xfId="0"/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2" fillId="0" borderId="0" xfId="0" applyFont="1"/>
    <xf numFmtId="3" fontId="2" fillId="0" borderId="0" xfId="1" applyNumberFormat="1" applyFont="1" applyFill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8" fillId="0" borderId="0" xfId="0" applyNumberFormat="1" applyFont="1"/>
    <xf numFmtId="0" fontId="2" fillId="0" borderId="0" xfId="0" quotePrefix="1" applyFont="1" applyAlignment="1">
      <alignment horizontal="left"/>
    </xf>
    <xf numFmtId="49" fontId="2" fillId="0" borderId="0" xfId="2" quotePrefix="1" applyNumberFormat="1" applyFont="1"/>
    <xf numFmtId="14" fontId="2" fillId="0" borderId="0" xfId="2" applyNumberFormat="1" applyFont="1" applyAlignment="1">
      <alignment horizontal="left"/>
    </xf>
    <xf numFmtId="49" fontId="2" fillId="0" borderId="0" xfId="2" quotePrefix="1" applyNumberFormat="1" applyFont="1" applyAlignment="1">
      <alignment horizontal="center"/>
    </xf>
    <xf numFmtId="49" fontId="2" fillId="0" borderId="0" xfId="2" applyNumberFormat="1" applyFont="1"/>
    <xf numFmtId="167" fontId="2" fillId="0" borderId="0" xfId="2" applyNumberFormat="1" applyFont="1" applyAlignment="1">
      <alignment horizontal="center"/>
    </xf>
    <xf numFmtId="49" fontId="2" fillId="0" borderId="0" xfId="2" applyNumberFormat="1" applyFont="1" applyAlignment="1">
      <alignment horizontal="center"/>
    </xf>
    <xf numFmtId="14" fontId="2" fillId="0" borderId="0" xfId="2" applyNumberFormat="1" applyFont="1"/>
    <xf numFmtId="3" fontId="9" fillId="0" borderId="0" xfId="0" applyNumberFormat="1" applyFont="1"/>
    <xf numFmtId="164" fontId="2" fillId="0" borderId="0" xfId="6" quotePrefix="1" applyNumberFormat="1" applyFont="1"/>
    <xf numFmtId="4" fontId="2" fillId="0" borderId="0" xfId="0" applyNumberFormat="1" applyFont="1" applyAlignment="1">
      <alignment horizontal="left"/>
    </xf>
    <xf numFmtId="0" fontId="10" fillId="0" borderId="7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14" fontId="10" fillId="0" borderId="1" xfId="0" applyNumberFormat="1" applyFont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16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14" fontId="10" fillId="0" borderId="7" xfId="0" applyNumberFormat="1" applyFont="1" applyBorder="1" applyAlignment="1">
      <alignment horizontal="center"/>
    </xf>
    <xf numFmtId="165" fontId="10" fillId="0" borderId="7" xfId="0" applyNumberFormat="1" applyFont="1" applyBorder="1" applyAlignment="1">
      <alignment horizontal="center"/>
    </xf>
    <xf numFmtId="165" fontId="10" fillId="4" borderId="7" xfId="0" applyNumberFormat="1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4" fontId="3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165" fontId="3" fillId="0" borderId="7" xfId="0" applyNumberFormat="1" applyFont="1" applyBorder="1" applyAlignment="1">
      <alignment horizontal="right"/>
    </xf>
    <xf numFmtId="0" fontId="3" fillId="0" borderId="7" xfId="0" applyFont="1" applyBorder="1" applyAlignment="1">
      <alignment horizontal="left"/>
    </xf>
    <xf numFmtId="14" fontId="2" fillId="0" borderId="7" xfId="0" applyNumberFormat="1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center"/>
    </xf>
    <xf numFmtId="165" fontId="2" fillId="0" borderId="11" xfId="0" applyNumberFormat="1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165" fontId="3" fillId="0" borderId="11" xfId="0" applyNumberFormat="1" applyFont="1" applyBorder="1" applyAlignment="1">
      <alignment horizontal="right"/>
    </xf>
    <xf numFmtId="0" fontId="3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/>
    </xf>
    <xf numFmtId="0" fontId="2" fillId="0" borderId="1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49" fontId="2" fillId="0" borderId="3" xfId="2" quotePrefix="1" applyNumberFormat="1" applyFont="1" applyBorder="1"/>
    <xf numFmtId="165" fontId="2" fillId="0" borderId="3" xfId="0" applyNumberFormat="1" applyFont="1" applyBorder="1" applyAlignment="1">
      <alignment horizontal="right"/>
    </xf>
    <xf numFmtId="167" fontId="2" fillId="0" borderId="3" xfId="2" applyNumberFormat="1" applyFont="1" applyBorder="1" applyAlignment="1">
      <alignment horizontal="center"/>
    </xf>
    <xf numFmtId="49" fontId="2" fillId="0" borderId="2" xfId="2" quotePrefix="1" applyNumberFormat="1" applyFont="1" applyBorder="1"/>
    <xf numFmtId="14" fontId="2" fillId="0" borderId="3" xfId="0" applyNumberFormat="1" applyFont="1" applyBorder="1" applyAlignment="1">
      <alignment horizontal="center"/>
    </xf>
    <xf numFmtId="49" fontId="2" fillId="0" borderId="3" xfId="2" applyNumberFormat="1" applyFont="1" applyBorder="1"/>
    <xf numFmtId="165" fontId="3" fillId="0" borderId="3" xfId="0" applyNumberFormat="1" applyFont="1" applyBorder="1" applyAlignment="1">
      <alignment horizontal="right"/>
    </xf>
    <xf numFmtId="165" fontId="3" fillId="0" borderId="4" xfId="0" applyNumberFormat="1" applyFont="1" applyBorder="1" applyAlignment="1">
      <alignment horizontal="right"/>
    </xf>
    <xf numFmtId="165" fontId="3" fillId="0" borderId="8" xfId="0" applyNumberFormat="1" applyFont="1" applyBorder="1" applyAlignment="1">
      <alignment horizontal="right"/>
    </xf>
    <xf numFmtId="49" fontId="2" fillId="0" borderId="3" xfId="2" applyNumberFormat="1" applyFont="1" applyBorder="1" applyAlignment="1">
      <alignment horizontal="center"/>
    </xf>
    <xf numFmtId="49" fontId="2" fillId="0" borderId="3" xfId="2" quotePrefix="1" applyNumberFormat="1" applyFont="1" applyBorder="1" applyAlignment="1">
      <alignment horizontal="center"/>
    </xf>
    <xf numFmtId="14" fontId="2" fillId="0" borderId="3" xfId="2" applyNumberFormat="1" applyFont="1" applyBorder="1" applyAlignment="1">
      <alignment horizontal="left"/>
    </xf>
    <xf numFmtId="14" fontId="2" fillId="0" borderId="3" xfId="2" applyNumberFormat="1" applyFont="1" applyBorder="1"/>
    <xf numFmtId="0" fontId="2" fillId="0" borderId="5" xfId="0" applyFont="1" applyBorder="1" applyAlignment="1">
      <alignment horizontal="center"/>
    </xf>
    <xf numFmtId="49" fontId="2" fillId="0" borderId="1" xfId="2" quotePrefix="1" applyNumberFormat="1" applyFont="1" applyBorder="1"/>
    <xf numFmtId="167" fontId="2" fillId="0" borderId="1" xfId="2" applyNumberFormat="1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49" fontId="2" fillId="0" borderId="1" xfId="2" applyNumberFormat="1" applyFont="1" applyBorder="1"/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49" fontId="2" fillId="0" borderId="1" xfId="2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4" fontId="2" fillId="0" borderId="1" xfId="2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0" borderId="1" xfId="2" applyNumberFormat="1" applyFont="1" applyBorder="1"/>
    <xf numFmtId="14" fontId="2" fillId="0" borderId="1" xfId="3" applyNumberFormat="1" applyFont="1" applyBorder="1" applyAlignment="1">
      <alignment horizontal="left"/>
    </xf>
    <xf numFmtId="49" fontId="2" fillId="0" borderId="1" xfId="3" quotePrefix="1" applyNumberFormat="1" applyFont="1" applyBorder="1"/>
    <xf numFmtId="49" fontId="2" fillId="0" borderId="1" xfId="3" applyNumberFormat="1" applyFont="1" applyBorder="1"/>
    <xf numFmtId="167" fontId="2" fillId="0" borderId="1" xfId="3" applyNumberFormat="1" applyFont="1" applyBorder="1" applyAlignment="1">
      <alignment horizontal="center"/>
    </xf>
    <xf numFmtId="49" fontId="2" fillId="0" borderId="1" xfId="3" applyNumberFormat="1" applyFont="1" applyBorder="1" applyAlignment="1">
      <alignment horizontal="center"/>
    </xf>
    <xf numFmtId="49" fontId="2" fillId="0" borderId="1" xfId="3" quotePrefix="1" applyNumberFormat="1" applyFont="1" applyBorder="1" applyAlignment="1">
      <alignment horizontal="center"/>
    </xf>
    <xf numFmtId="14" fontId="2" fillId="0" borderId="1" xfId="3" applyNumberFormat="1" applyFont="1" applyBorder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49" fontId="2" fillId="0" borderId="3" xfId="3" quotePrefix="1" applyNumberFormat="1" applyFont="1" applyBorder="1"/>
    <xf numFmtId="0" fontId="2" fillId="0" borderId="3" xfId="0" applyFont="1" applyBorder="1" applyAlignment="1">
      <alignment horizontal="left"/>
    </xf>
    <xf numFmtId="14" fontId="2" fillId="0" borderId="3" xfId="3" applyNumberFormat="1" applyFont="1" applyBorder="1" applyAlignment="1">
      <alignment horizontal="left"/>
    </xf>
    <xf numFmtId="49" fontId="2" fillId="0" borderId="3" xfId="3" applyNumberFormat="1" applyFont="1" applyBorder="1"/>
    <xf numFmtId="167" fontId="2" fillId="0" borderId="3" xfId="3" applyNumberFormat="1" applyFont="1" applyBorder="1" applyAlignment="1">
      <alignment horizontal="center"/>
    </xf>
    <xf numFmtId="49" fontId="2" fillId="0" borderId="3" xfId="3" applyNumberFormat="1" applyFont="1" applyBorder="1" applyAlignment="1">
      <alignment horizontal="center"/>
    </xf>
    <xf numFmtId="49" fontId="2" fillId="0" borderId="3" xfId="3" quotePrefix="1" applyNumberFormat="1" applyFont="1" applyBorder="1" applyAlignment="1">
      <alignment horizontal="center"/>
    </xf>
    <xf numFmtId="14" fontId="2" fillId="0" borderId="3" xfId="3" applyNumberFormat="1" applyFont="1" applyBorder="1"/>
    <xf numFmtId="49" fontId="2" fillId="0" borderId="6" xfId="3" applyNumberFormat="1" applyFont="1" applyBorder="1"/>
    <xf numFmtId="168" fontId="2" fillId="0" borderId="1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6" fontId="12" fillId="0" borderId="0" xfId="1" quotePrefix="1" applyNumberFormat="1" applyFont="1" applyFill="1" applyBorder="1" applyAlignment="1">
      <alignment horizontal="center"/>
    </xf>
    <xf numFmtId="3" fontId="12" fillId="0" borderId="0" xfId="1" applyNumberFormat="1" applyFont="1" applyFill="1" applyBorder="1" applyAlignment="1">
      <alignment horizontal="right"/>
    </xf>
    <xf numFmtId="3" fontId="12" fillId="0" borderId="0" xfId="1" applyNumberFormat="1" applyFont="1" applyFill="1" applyBorder="1" applyAlignment="1"/>
    <xf numFmtId="0" fontId="13" fillId="0" borderId="0" xfId="0" applyFont="1"/>
    <xf numFmtId="164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166" fontId="2" fillId="0" borderId="1" xfId="1" applyNumberFormat="1" applyFont="1" applyFill="1" applyBorder="1" applyAlignment="1"/>
    <xf numFmtId="166" fontId="12" fillId="0" borderId="1" xfId="1" applyNumberFormat="1" applyFont="1" applyFill="1" applyBorder="1" applyAlignment="1"/>
    <xf numFmtId="166" fontId="12" fillId="0" borderId="0" xfId="1" applyNumberFormat="1" applyFont="1" applyFill="1" applyBorder="1" applyAlignment="1"/>
    <xf numFmtId="166" fontId="2" fillId="0" borderId="0" xfId="1" applyNumberFormat="1" applyFont="1" applyFill="1" applyBorder="1" applyAlignment="1"/>
    <xf numFmtId="166" fontId="2" fillId="0" borderId="1" xfId="1" applyNumberFormat="1" applyFont="1" applyFill="1" applyBorder="1" applyAlignment="1">
      <alignment horizontal="center"/>
    </xf>
    <xf numFmtId="166" fontId="2" fillId="0" borderId="0" xfId="1" applyNumberFormat="1" applyFont="1" applyFill="1" applyBorder="1" applyAlignment="1">
      <alignment horizontal="center"/>
    </xf>
    <xf numFmtId="164" fontId="3" fillId="2" borderId="0" xfId="0" applyNumberFormat="1" applyFont="1" applyFill="1"/>
    <xf numFmtId="164" fontId="11" fillId="2" borderId="1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/>
    </xf>
    <xf numFmtId="3" fontId="12" fillId="5" borderId="7" xfId="1" applyNumberFormat="1" applyFont="1" applyFill="1" applyBorder="1" applyAlignment="1"/>
    <xf numFmtId="0" fontId="2" fillId="2" borderId="7" xfId="0" applyFont="1" applyFill="1" applyBorder="1" applyAlignment="1">
      <alignment horizontal="left"/>
    </xf>
    <xf numFmtId="14" fontId="2" fillId="2" borderId="7" xfId="0" applyNumberFormat="1" applyFont="1" applyFill="1" applyBorder="1" applyAlignment="1">
      <alignment horizontal="center"/>
    </xf>
    <xf numFmtId="164" fontId="11" fillId="5" borderId="1" xfId="0" applyNumberFormat="1" applyFont="1" applyFill="1" applyBorder="1" applyAlignment="1">
      <alignment horizontal="left"/>
    </xf>
    <xf numFmtId="3" fontId="12" fillId="5" borderId="11" xfId="1" applyNumberFormat="1" applyFont="1" applyFill="1" applyBorder="1" applyAlignment="1"/>
    <xf numFmtId="0" fontId="2" fillId="2" borderId="11" xfId="0" applyFont="1" applyFill="1" applyBorder="1" applyAlignment="1">
      <alignment horizontal="left"/>
    </xf>
    <xf numFmtId="14" fontId="2" fillId="2" borderId="11" xfId="0" applyNumberFormat="1" applyFont="1" applyFill="1" applyBorder="1" applyAlignment="1">
      <alignment horizontal="center"/>
    </xf>
    <xf numFmtId="3" fontId="2" fillId="2" borderId="3" xfId="2" applyNumberFormat="1" applyFont="1" applyFill="1" applyBorder="1" applyAlignment="1">
      <alignment horizontal="center" wrapText="1"/>
    </xf>
    <xf numFmtId="3" fontId="12" fillId="5" borderId="7" xfId="1" applyNumberFormat="1" applyFont="1" applyFill="1" applyBorder="1" applyAlignment="1">
      <alignment horizontal="right"/>
    </xf>
    <xf numFmtId="3" fontId="2" fillId="5" borderId="7" xfId="1" applyNumberFormat="1" applyFont="1" applyFill="1" applyBorder="1" applyAlignment="1">
      <alignment horizontal="center"/>
    </xf>
    <xf numFmtId="49" fontId="2" fillId="2" borderId="3" xfId="2" quotePrefix="1" applyNumberFormat="1" applyFont="1" applyFill="1" applyBorder="1"/>
    <xf numFmtId="3" fontId="2" fillId="2" borderId="1" xfId="2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/>
    <xf numFmtId="14" fontId="2" fillId="2" borderId="1" xfId="0" applyNumberFormat="1" applyFont="1" applyFill="1" applyBorder="1" applyAlignment="1">
      <alignment horizontal="center"/>
    </xf>
    <xf numFmtId="14" fontId="2" fillId="2" borderId="1" xfId="3" applyNumberFormat="1" applyFont="1" applyFill="1" applyBorder="1" applyAlignment="1">
      <alignment horizontal="left"/>
    </xf>
    <xf numFmtId="4" fontId="2" fillId="2" borderId="1" xfId="0" applyNumberFormat="1" applyFont="1" applyFill="1" applyBorder="1" applyAlignment="1">
      <alignment horizontal="left" wrapText="1"/>
    </xf>
    <xf numFmtId="49" fontId="2" fillId="2" borderId="1" xfId="3" quotePrefix="1" applyNumberFormat="1" applyFont="1" applyFill="1" applyBorder="1"/>
    <xf numFmtId="0" fontId="2" fillId="2" borderId="1" xfId="0" applyFont="1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wrapText="1"/>
    </xf>
    <xf numFmtId="0" fontId="2" fillId="2" borderId="1" xfId="0" quotePrefix="1" applyFont="1" applyFill="1" applyBorder="1" applyAlignment="1">
      <alignment horizontal="left"/>
    </xf>
    <xf numFmtId="49" fontId="2" fillId="2" borderId="1" xfId="2" quotePrefix="1" applyNumberFormat="1" applyFont="1" applyFill="1" applyBorder="1" applyAlignment="1">
      <alignment wrapText="1"/>
    </xf>
    <xf numFmtId="3" fontId="2" fillId="5" borderId="1" xfId="1" applyNumberFormat="1" applyFont="1" applyFill="1" applyBorder="1" applyAlignment="1">
      <alignment horizontal="center"/>
    </xf>
    <xf numFmtId="164" fontId="12" fillId="5" borderId="1" xfId="0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center"/>
    </xf>
    <xf numFmtId="3" fontId="12" fillId="5" borderId="13" xfId="1" applyNumberFormat="1" applyFont="1" applyFill="1" applyBorder="1" applyAlignment="1">
      <alignment horizontal="right"/>
    </xf>
    <xf numFmtId="3" fontId="12" fillId="5" borderId="14" xfId="1" applyNumberFormat="1" applyFont="1" applyFill="1" applyBorder="1" applyAlignment="1">
      <alignment horizontal="right"/>
    </xf>
    <xf numFmtId="3" fontId="2" fillId="5" borderId="14" xfId="1" applyNumberFormat="1" applyFont="1" applyFill="1" applyBorder="1" applyAlignment="1">
      <alignment horizontal="center"/>
    </xf>
    <xf numFmtId="3" fontId="12" fillId="5" borderId="1" xfId="1" applyNumberFormat="1" applyFont="1" applyFill="1" applyBorder="1" applyAlignment="1"/>
    <xf numFmtId="164" fontId="12" fillId="2" borderId="1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 wrapText="1"/>
    </xf>
    <xf numFmtId="4" fontId="2" fillId="2" borderId="11" xfId="0" applyNumberFormat="1" applyFont="1" applyFill="1" applyBorder="1" applyAlignment="1">
      <alignment horizontal="center" wrapText="1"/>
    </xf>
    <xf numFmtId="4" fontId="2" fillId="2" borderId="1" xfId="0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/>
    </xf>
    <xf numFmtId="49" fontId="2" fillId="2" borderId="1" xfId="3" quotePrefix="1" applyNumberFormat="1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2" borderId="7" xfId="0" applyNumberFormat="1" applyFont="1" applyFill="1" applyBorder="1" applyAlignment="1">
      <alignment horizontal="center"/>
    </xf>
    <xf numFmtId="4" fontId="2" fillId="2" borderId="3" xfId="0" applyNumberFormat="1" applyFont="1" applyFill="1" applyBorder="1" applyAlignment="1">
      <alignment horizontal="center" wrapText="1"/>
    </xf>
    <xf numFmtId="49" fontId="2" fillId="2" borderId="1" xfId="3" quotePrefix="1" applyNumberFormat="1" applyFont="1" applyFill="1" applyBorder="1" applyAlignment="1">
      <alignment horizontal="center" wrapText="1"/>
    </xf>
    <xf numFmtId="49" fontId="2" fillId="2" borderId="1" xfId="2" quotePrefix="1" applyNumberFormat="1" applyFont="1" applyFill="1" applyBorder="1" applyAlignment="1">
      <alignment horizontal="center" wrapText="1"/>
    </xf>
    <xf numFmtId="49" fontId="2" fillId="2" borderId="3" xfId="2" quotePrefix="1" applyNumberFormat="1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49" fontId="2" fillId="2" borderId="3" xfId="2" quotePrefix="1" applyNumberFormat="1" applyFont="1" applyFill="1" applyBorder="1" applyAlignment="1">
      <alignment horizontal="center" vertical="center"/>
    </xf>
    <xf numFmtId="49" fontId="2" fillId="2" borderId="1" xfId="3" quotePrefix="1" applyNumberFormat="1" applyFont="1" applyFill="1" applyBorder="1" applyAlignment="1">
      <alignment horizontal="center" vertical="center"/>
    </xf>
    <xf numFmtId="49" fontId="2" fillId="2" borderId="3" xfId="3" quotePrefix="1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64" fontId="5" fillId="0" borderId="1" xfId="0" applyNumberFormat="1" applyFont="1" applyBorder="1" applyAlignment="1">
      <alignment horizontal="center"/>
    </xf>
    <xf numFmtId="3" fontId="14" fillId="2" borderId="15" xfId="1" applyNumberFormat="1" applyFont="1" applyFill="1" applyBorder="1" applyAlignment="1">
      <alignment horizontal="right"/>
    </xf>
    <xf numFmtId="3" fontId="14" fillId="2" borderId="16" xfId="1" applyNumberFormat="1" applyFont="1" applyFill="1" applyBorder="1" applyAlignment="1">
      <alignment horizontal="right"/>
    </xf>
    <xf numFmtId="3" fontId="2" fillId="2" borderId="16" xfId="1" applyNumberFormat="1" applyFont="1" applyFill="1" applyBorder="1" applyAlignment="1">
      <alignment horizontal="center"/>
    </xf>
    <xf numFmtId="3" fontId="14" fillId="2" borderId="1" xfId="1" applyNumberFormat="1" applyFont="1" applyFill="1" applyBorder="1" applyAlignment="1"/>
    <xf numFmtId="169" fontId="16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7" fillId="0" borderId="7" xfId="0" applyFont="1" applyBorder="1" applyAlignment="1">
      <alignment horizontal="center"/>
    </xf>
    <xf numFmtId="0" fontId="17" fillId="3" borderId="7" xfId="0" applyFont="1" applyFill="1" applyBorder="1" applyAlignment="1">
      <alignment horizontal="center"/>
    </xf>
    <xf numFmtId="0" fontId="17" fillId="7" borderId="7" xfId="0" applyFont="1" applyFill="1" applyBorder="1" applyAlignment="1">
      <alignment horizontal="center"/>
    </xf>
    <xf numFmtId="169" fontId="2" fillId="6" borderId="1" xfId="0" applyNumberFormat="1" applyFont="1" applyFill="1" applyBorder="1" applyAlignment="1" applyProtection="1">
      <alignment horizontal="center" vertical="center" shrinkToFit="1"/>
      <protection locked="0"/>
    </xf>
    <xf numFmtId="49" fontId="18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" fontId="2" fillId="0" borderId="7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 vertical="center"/>
    </xf>
    <xf numFmtId="3" fontId="2" fillId="3" borderId="7" xfId="0" applyNumberFormat="1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vertical="center"/>
    </xf>
    <xf numFmtId="0" fontId="19" fillId="2" borderId="1" xfId="0" applyFont="1" applyFill="1" applyBorder="1" applyAlignment="1">
      <alignment vertical="center"/>
    </xf>
    <xf numFmtId="0" fontId="19" fillId="2" borderId="0" xfId="0" applyFont="1" applyFill="1" applyAlignment="1">
      <alignment vertical="center"/>
    </xf>
    <xf numFmtId="0" fontId="25" fillId="2" borderId="1" xfId="0" applyFont="1" applyFill="1" applyBorder="1" applyAlignment="1">
      <alignment vertical="center" wrapText="1"/>
    </xf>
    <xf numFmtId="0" fontId="26" fillId="2" borderId="1" xfId="0" applyFont="1" applyFill="1" applyBorder="1" applyAlignment="1">
      <alignment vertical="center" wrapText="1"/>
    </xf>
    <xf numFmtId="0" fontId="27" fillId="2" borderId="1" xfId="0" applyFont="1" applyFill="1" applyBorder="1" applyAlignment="1">
      <alignment vertical="center" wrapText="1"/>
    </xf>
    <xf numFmtId="169" fontId="26" fillId="2" borderId="1" xfId="0" applyNumberFormat="1" applyFont="1" applyFill="1" applyBorder="1" applyAlignment="1">
      <alignment vertical="center" wrapText="1"/>
    </xf>
    <xf numFmtId="0" fontId="28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1" xfId="0" applyFont="1" applyFill="1" applyBorder="1" applyAlignment="1">
      <alignment horizontal="center" vertical="center" wrapText="1"/>
    </xf>
    <xf numFmtId="169" fontId="25" fillId="2" borderId="1" xfId="0" applyNumberFormat="1" applyFont="1" applyFill="1" applyBorder="1" applyAlignment="1">
      <alignment vertical="center" wrapText="1"/>
    </xf>
    <xf numFmtId="0" fontId="30" fillId="2" borderId="1" xfId="0" applyFont="1" applyFill="1" applyBorder="1" applyAlignment="1">
      <alignment vertical="center" wrapText="1"/>
    </xf>
    <xf numFmtId="49" fontId="30" fillId="2" borderId="1" xfId="0" applyNumberFormat="1" applyFont="1" applyFill="1" applyBorder="1" applyAlignment="1">
      <alignment vertical="center" wrapText="1"/>
    </xf>
    <xf numFmtId="43" fontId="27" fillId="2" borderId="1" xfId="1" applyFont="1" applyFill="1" applyBorder="1" applyAlignment="1">
      <alignment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20" fillId="8" borderId="3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14" fontId="23" fillId="8" borderId="1" xfId="0" applyNumberFormat="1" applyFont="1" applyFill="1" applyBorder="1" applyAlignment="1">
      <alignment horizontal="center" vertical="center" wrapText="1"/>
    </xf>
    <xf numFmtId="170" fontId="23" fillId="8" borderId="1" xfId="1" applyNumberFormat="1" applyFont="1" applyFill="1" applyBorder="1" applyAlignment="1">
      <alignment vertical="center" wrapText="1"/>
    </xf>
    <xf numFmtId="170" fontId="23" fillId="8" borderId="1" xfId="1" applyNumberFormat="1" applyFont="1" applyFill="1" applyBorder="1" applyAlignment="1">
      <alignment horizontal="center" vertical="center" wrapText="1"/>
    </xf>
    <xf numFmtId="169" fontId="20" fillId="8" borderId="1" xfId="0" applyNumberFormat="1" applyFont="1" applyFill="1" applyBorder="1" applyAlignment="1">
      <alignment horizontal="center" vertical="center" wrapText="1"/>
    </xf>
    <xf numFmtId="169" fontId="23" fillId="8" borderId="1" xfId="0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/>
    </xf>
    <xf numFmtId="170" fontId="31" fillId="8" borderId="1" xfId="1" applyNumberFormat="1" applyFont="1" applyFill="1" applyBorder="1" applyAlignment="1">
      <alignment horizontal="center" vertical="center" wrapText="1"/>
    </xf>
    <xf numFmtId="166" fontId="31" fillId="8" borderId="1" xfId="1" applyNumberFormat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horizontal="center" vertical="center" wrapText="1"/>
    </xf>
    <xf numFmtId="43" fontId="31" fillId="8" borderId="1" xfId="1" applyFont="1" applyFill="1" applyBorder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171" fontId="32" fillId="2" borderId="1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/>
    </xf>
    <xf numFmtId="166" fontId="33" fillId="2" borderId="1" xfId="1" applyNumberFormat="1" applyFont="1" applyFill="1" applyBorder="1" applyAlignment="1" applyProtection="1">
      <alignment horizontal="center" vertical="center" shrinkToFit="1"/>
      <protection locked="0"/>
    </xf>
    <xf numFmtId="166" fontId="24" fillId="2" borderId="1" xfId="1" applyNumberFormat="1" applyFont="1" applyFill="1" applyBorder="1" applyAlignment="1" applyProtection="1">
      <alignment horizontal="center" vertical="center" shrinkToFit="1"/>
      <protection locked="0"/>
    </xf>
    <xf numFmtId="170" fontId="34" fillId="2" borderId="1" xfId="1" applyNumberFormat="1" applyFont="1" applyFill="1" applyBorder="1" applyAlignment="1" applyProtection="1">
      <alignment horizontal="left" vertical="center" shrinkToFit="1"/>
      <protection locked="0"/>
    </xf>
    <xf numFmtId="49" fontId="34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21" fillId="2" borderId="1" xfId="0" applyNumberFormat="1" applyFont="1" applyFill="1" applyBorder="1" applyAlignment="1" applyProtection="1">
      <alignment horizontal="center" vertical="center" shrinkToFit="1"/>
      <protection locked="0"/>
    </xf>
    <xf numFmtId="49" fontId="19" fillId="2" borderId="1" xfId="0" quotePrefix="1" applyNumberFormat="1" applyFont="1" applyFill="1" applyBorder="1" applyAlignment="1" applyProtection="1">
      <alignment horizontal="center" vertical="center" wrapText="1"/>
      <protection locked="0"/>
    </xf>
    <xf numFmtId="166" fontId="21" fillId="2" borderId="1" xfId="1" applyNumberFormat="1" applyFont="1" applyFill="1" applyBorder="1" applyAlignment="1">
      <alignment horizontal="center" vertical="center" wrapText="1"/>
    </xf>
    <xf numFmtId="49" fontId="3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19" fillId="2" borderId="1" xfId="0" applyFont="1" applyFill="1" applyBorder="1" applyAlignment="1">
      <alignment horizontal="center" vertical="center" wrapText="1"/>
    </xf>
    <xf numFmtId="43" fontId="21" fillId="2" borderId="1" xfId="1" quotePrefix="1" applyFont="1" applyFill="1" applyBorder="1" applyAlignment="1">
      <alignment vertical="center"/>
    </xf>
    <xf numFmtId="43" fontId="21" fillId="2" borderId="1" xfId="1" applyFont="1" applyFill="1" applyBorder="1" applyAlignment="1">
      <alignment vertical="center"/>
    </xf>
    <xf numFmtId="0" fontId="22" fillId="2" borderId="1" xfId="0" applyFont="1" applyFill="1" applyBorder="1" applyAlignment="1">
      <alignment vertical="center"/>
    </xf>
    <xf numFmtId="170" fontId="19" fillId="2" borderId="1" xfId="1" applyNumberFormat="1" applyFont="1" applyFill="1" applyBorder="1" applyAlignment="1">
      <alignment vertical="center"/>
    </xf>
    <xf numFmtId="0" fontId="23" fillId="2" borderId="1" xfId="0" applyFont="1" applyFill="1" applyBorder="1" applyAlignment="1">
      <alignment horizontal="center"/>
    </xf>
    <xf numFmtId="168" fontId="21" fillId="2" borderId="1" xfId="0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/>
    </xf>
    <xf numFmtId="170" fontId="21" fillId="2" borderId="1" xfId="1" applyNumberFormat="1" applyFont="1" applyFill="1" applyBorder="1" applyAlignment="1">
      <alignment horizontal="left" vertical="center" indent="1"/>
    </xf>
    <xf numFmtId="166" fontId="23" fillId="2" borderId="1" xfId="1" applyNumberFormat="1" applyFont="1" applyFill="1" applyBorder="1" applyAlignment="1">
      <alignment vertical="center"/>
    </xf>
    <xf numFmtId="49" fontId="24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69" fontId="21" fillId="2" borderId="1" xfId="0" applyNumberFormat="1" applyFont="1" applyFill="1" applyBorder="1" applyAlignment="1">
      <alignment horizontal="center" vertical="center"/>
    </xf>
    <xf numFmtId="2" fontId="21" fillId="2" borderId="1" xfId="1" applyNumberFormat="1" applyFont="1" applyFill="1" applyBorder="1" applyAlignment="1">
      <alignment vertical="center"/>
    </xf>
    <xf numFmtId="172" fontId="21" fillId="2" borderId="1" xfId="1" applyNumberFormat="1" applyFont="1" applyFill="1" applyBorder="1" applyAlignment="1">
      <alignment horizontal="center" vertical="center"/>
    </xf>
    <xf numFmtId="169" fontId="20" fillId="2" borderId="1" xfId="0" applyNumberFormat="1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 vertical="center"/>
    </xf>
    <xf numFmtId="14" fontId="21" fillId="2" borderId="0" xfId="0" applyNumberFormat="1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vertical="center"/>
    </xf>
    <xf numFmtId="170" fontId="21" fillId="2" borderId="0" xfId="1" applyNumberFormat="1" applyFont="1" applyFill="1" applyBorder="1" applyAlignment="1">
      <alignment horizontal="center" vertical="center"/>
    </xf>
    <xf numFmtId="169" fontId="20" fillId="2" borderId="0" xfId="0" applyNumberFormat="1" applyFont="1" applyFill="1" applyAlignment="1">
      <alignment horizontal="center" vertical="center"/>
    </xf>
    <xf numFmtId="169" fontId="21" fillId="2" borderId="0" xfId="0" applyNumberFormat="1" applyFont="1" applyFill="1" applyAlignment="1">
      <alignment horizontal="center" vertical="center"/>
    </xf>
    <xf numFmtId="166" fontId="21" fillId="2" borderId="0" xfId="1" applyNumberFormat="1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170" fontId="21" fillId="2" borderId="0" xfId="1" applyNumberFormat="1" applyFont="1" applyFill="1" applyBorder="1" applyAlignment="1">
      <alignment horizontal="left" vertical="center" indent="1"/>
    </xf>
    <xf numFmtId="166" fontId="23" fillId="2" borderId="0" xfId="1" applyNumberFormat="1" applyFont="1" applyFill="1" applyBorder="1" applyAlignment="1">
      <alignment vertical="center"/>
    </xf>
    <xf numFmtId="49" fontId="24" fillId="2" borderId="0" xfId="0" applyNumberFormat="1" applyFont="1" applyFill="1" applyAlignment="1">
      <alignment horizontal="center" vertical="center"/>
    </xf>
    <xf numFmtId="43" fontId="21" fillId="2" borderId="0" xfId="1" applyFont="1" applyFill="1" applyBorder="1" applyAlignment="1">
      <alignment vertical="center"/>
    </xf>
    <xf numFmtId="166" fontId="21" fillId="2" borderId="1" xfId="1" applyNumberFormat="1" applyFont="1" applyFill="1" applyBorder="1" applyAlignment="1">
      <alignment horizontal="center" vertical="center"/>
    </xf>
    <xf numFmtId="166" fontId="21" fillId="2" borderId="1" xfId="1" applyNumberFormat="1" applyFont="1" applyFill="1" applyBorder="1" applyAlignment="1">
      <alignment horizontal="left" vertical="center"/>
    </xf>
    <xf numFmtId="0" fontId="21" fillId="2" borderId="1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vertical="center" wrapText="1"/>
    </xf>
    <xf numFmtId="0" fontId="22" fillId="2" borderId="1" xfId="0" applyFont="1" applyFill="1" applyBorder="1" applyAlignment="1">
      <alignment vertical="center" wrapText="1"/>
    </xf>
    <xf numFmtId="0" fontId="23" fillId="2" borderId="1" xfId="0" applyFont="1" applyFill="1" applyBorder="1" applyAlignment="1">
      <alignment vertical="center" wrapText="1"/>
    </xf>
    <xf numFmtId="169" fontId="20" fillId="2" borderId="1" xfId="0" applyNumberFormat="1" applyFont="1" applyFill="1" applyBorder="1" applyAlignment="1">
      <alignment vertical="center" wrapText="1"/>
    </xf>
    <xf numFmtId="0" fontId="24" fillId="2" borderId="1" xfId="0" applyFont="1" applyFill="1" applyBorder="1" applyAlignment="1">
      <alignment vertical="center" wrapText="1"/>
    </xf>
    <xf numFmtId="49" fontId="24" fillId="2" borderId="1" xfId="0" applyNumberFormat="1" applyFont="1" applyFill="1" applyBorder="1" applyAlignment="1">
      <alignment vertical="center" wrapText="1"/>
    </xf>
    <xf numFmtId="43" fontId="19" fillId="2" borderId="1" xfId="1" applyFont="1" applyFill="1" applyBorder="1" applyAlignment="1">
      <alignment vertical="center" wrapText="1"/>
    </xf>
    <xf numFmtId="166" fontId="21" fillId="10" borderId="1" xfId="1" applyNumberFormat="1" applyFont="1" applyFill="1" applyBorder="1" applyAlignment="1">
      <alignment horizontal="center" vertical="center"/>
    </xf>
    <xf numFmtId="49" fontId="36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66" fontId="21" fillId="0" borderId="1" xfId="1" applyNumberFormat="1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 vertical="center"/>
    </xf>
    <xf numFmtId="14" fontId="21" fillId="0" borderId="1" xfId="0" applyNumberFormat="1" applyFont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 wrapText="1"/>
    </xf>
    <xf numFmtId="0" fontId="21" fillId="0" borderId="18" xfId="0" applyFont="1" applyBorder="1" applyAlignment="1">
      <alignment horizontal="center"/>
    </xf>
    <xf numFmtId="0" fontId="4" fillId="0" borderId="0" xfId="0" applyFont="1"/>
    <xf numFmtId="166" fontId="2" fillId="5" borderId="7" xfId="1" applyNumberFormat="1" applyFont="1" applyFill="1" applyBorder="1" applyAlignment="1">
      <alignment horizontal="right"/>
    </xf>
    <xf numFmtId="173" fontId="12" fillId="5" borderId="10" xfId="1" quotePrefix="1" applyNumberFormat="1" applyFont="1" applyFill="1" applyBorder="1" applyAlignment="1">
      <alignment horizontal="center"/>
    </xf>
    <xf numFmtId="4" fontId="2" fillId="3" borderId="1" xfId="0" applyNumberFormat="1" applyFont="1" applyFill="1" applyBorder="1" applyAlignment="1">
      <alignment horizontal="center" wrapText="1"/>
    </xf>
    <xf numFmtId="3" fontId="12" fillId="11" borderId="7" xfId="1" applyNumberFormat="1" applyFont="1" applyFill="1" applyBorder="1" applyAlignment="1">
      <alignment horizontal="right"/>
    </xf>
    <xf numFmtId="3" fontId="2" fillId="11" borderId="7" xfId="1" applyNumberFormat="1" applyFont="1" applyFill="1" applyBorder="1" applyAlignment="1">
      <alignment horizontal="center"/>
    </xf>
    <xf numFmtId="3" fontId="14" fillId="3" borderId="1" xfId="1" applyNumberFormat="1" applyFont="1" applyFill="1" applyBorder="1" applyAlignment="1"/>
    <xf numFmtId="49" fontId="2" fillId="3" borderId="1" xfId="3" quotePrefix="1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center"/>
    </xf>
    <xf numFmtId="1" fontId="2" fillId="3" borderId="7" xfId="0" applyNumberFormat="1" applyFont="1" applyFill="1" applyBorder="1" applyAlignment="1">
      <alignment horizontal="center"/>
    </xf>
    <xf numFmtId="165" fontId="2" fillId="3" borderId="1" xfId="0" applyNumberFormat="1" applyFont="1" applyFill="1" applyBorder="1" applyAlignment="1">
      <alignment horizontal="right"/>
    </xf>
    <xf numFmtId="0" fontId="2" fillId="3" borderId="7" xfId="0" applyFont="1" applyFill="1" applyBorder="1" applyAlignment="1">
      <alignment horizontal="center"/>
    </xf>
    <xf numFmtId="14" fontId="2" fillId="3" borderId="1" xfId="3" applyNumberFormat="1" applyFont="1" applyFill="1" applyBorder="1" applyAlignment="1">
      <alignment horizontal="left"/>
    </xf>
    <xf numFmtId="49" fontId="2" fillId="3" borderId="1" xfId="3" quotePrefix="1" applyNumberFormat="1" applyFont="1" applyFill="1" applyBorder="1"/>
    <xf numFmtId="0" fontId="2" fillId="3" borderId="1" xfId="0" applyFont="1" applyFill="1" applyBorder="1" applyAlignment="1">
      <alignment horizontal="right"/>
    </xf>
    <xf numFmtId="49" fontId="2" fillId="3" borderId="1" xfId="3" applyNumberFormat="1" applyFont="1" applyFill="1" applyBorder="1"/>
    <xf numFmtId="167" fontId="2" fillId="3" borderId="1" xfId="3" applyNumberFormat="1" applyFont="1" applyFill="1" applyBorder="1" applyAlignment="1">
      <alignment horizontal="center"/>
    </xf>
    <xf numFmtId="49" fontId="2" fillId="3" borderId="1" xfId="3" applyNumberFormat="1" applyFont="1" applyFill="1" applyBorder="1" applyAlignment="1">
      <alignment horizontal="center"/>
    </xf>
    <xf numFmtId="49" fontId="2" fillId="3" borderId="1" xfId="3" quotePrefix="1" applyNumberFormat="1" applyFont="1" applyFill="1" applyBorder="1" applyAlignment="1">
      <alignment horizontal="center"/>
    </xf>
    <xf numFmtId="0" fontId="35" fillId="2" borderId="18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" vertical="center"/>
    </xf>
    <xf numFmtId="0" fontId="35" fillId="2" borderId="18" xfId="0" quotePrefix="1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/>
    </xf>
    <xf numFmtId="49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0" fontId="5" fillId="3" borderId="7" xfId="0" applyFont="1" applyFill="1" applyBorder="1" applyAlignment="1">
      <alignment horizontal="center"/>
    </xf>
    <xf numFmtId="14" fontId="6" fillId="2" borderId="7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4" fontId="10" fillId="0" borderId="7" xfId="0" applyNumberFormat="1" applyFont="1" applyBorder="1" applyAlignment="1">
      <alignment horizontal="center" vertical="center" wrapText="1"/>
    </xf>
    <xf numFmtId="166" fontId="21" fillId="10" borderId="1" xfId="1" applyNumberFormat="1" applyFont="1" applyFill="1" applyBorder="1" applyAlignment="1">
      <alignment vertical="center"/>
    </xf>
    <xf numFmtId="170" fontId="21" fillId="12" borderId="1" xfId="1" applyNumberFormat="1" applyFont="1" applyFill="1" applyBorder="1" applyAlignment="1">
      <alignment vertical="center"/>
    </xf>
    <xf numFmtId="0" fontId="2" fillId="0" borderId="22" xfId="0" applyFont="1" applyBorder="1" applyAlignment="1">
      <alignment horizontal="center"/>
    </xf>
    <xf numFmtId="3" fontId="2" fillId="2" borderId="18" xfId="2" applyNumberFormat="1" applyFont="1" applyFill="1" applyBorder="1" applyAlignment="1">
      <alignment horizontal="center" wrapText="1"/>
    </xf>
    <xf numFmtId="3" fontId="12" fillId="5" borderId="22" xfId="1" applyNumberFormat="1" applyFont="1" applyFill="1" applyBorder="1" applyAlignment="1"/>
    <xf numFmtId="49" fontId="2" fillId="2" borderId="18" xfId="2" quotePrefix="1" applyNumberFormat="1" applyFont="1" applyFill="1" applyBorder="1" applyAlignment="1">
      <alignment horizontal="center"/>
    </xf>
    <xf numFmtId="164" fontId="3" fillId="0" borderId="18" xfId="0" applyNumberFormat="1" applyFont="1" applyBorder="1" applyAlignment="1">
      <alignment horizontal="left"/>
    </xf>
    <xf numFmtId="14" fontId="2" fillId="0" borderId="18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4" fontId="2" fillId="2" borderId="18" xfId="0" applyNumberFormat="1" applyFont="1" applyFill="1" applyBorder="1" applyAlignment="1">
      <alignment horizontal="left" wrapText="1"/>
    </xf>
    <xf numFmtId="49" fontId="2" fillId="2" borderId="18" xfId="3" quotePrefix="1" applyNumberFormat="1" applyFont="1" applyFill="1" applyBorder="1" applyAlignment="1">
      <alignment horizontal="center"/>
    </xf>
    <xf numFmtId="49" fontId="2" fillId="0" borderId="18" xfId="3" quotePrefix="1" applyNumberFormat="1" applyFont="1" applyBorder="1"/>
    <xf numFmtId="14" fontId="2" fillId="2" borderId="18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wrapText="1"/>
    </xf>
    <xf numFmtId="0" fontId="2" fillId="2" borderId="18" xfId="0" quotePrefix="1" applyFont="1" applyFill="1" applyBorder="1" applyAlignment="1">
      <alignment horizontal="left"/>
    </xf>
    <xf numFmtId="3" fontId="12" fillId="5" borderId="18" xfId="1" applyNumberFormat="1" applyFont="1" applyFill="1" applyBorder="1" applyAlignment="1"/>
    <xf numFmtId="166" fontId="21" fillId="13" borderId="1" xfId="1" applyNumberFormat="1" applyFont="1" applyFill="1" applyBorder="1" applyAlignment="1">
      <alignment vertical="center"/>
    </xf>
    <xf numFmtId="170" fontId="21" fillId="14" borderId="1" xfId="1" applyNumberFormat="1" applyFont="1" applyFill="1" applyBorder="1" applyAlignment="1">
      <alignment horizontal="left" vertical="center" indent="1"/>
    </xf>
    <xf numFmtId="166" fontId="23" fillId="15" borderId="1" xfId="1" applyNumberFormat="1" applyFont="1" applyFill="1" applyBorder="1" applyAlignment="1">
      <alignment vertical="center"/>
    </xf>
    <xf numFmtId="170" fontId="21" fillId="2" borderId="1" xfId="0" applyNumberFormat="1" applyFont="1" applyFill="1" applyBorder="1" applyAlignment="1">
      <alignment vertical="center"/>
    </xf>
    <xf numFmtId="170" fontId="21" fillId="16" borderId="1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horizontal="left" wrapText="1"/>
    </xf>
    <xf numFmtId="0" fontId="2" fillId="3" borderId="0" xfId="0" applyFont="1" applyFill="1" applyAlignment="1">
      <alignment vertical="center"/>
    </xf>
    <xf numFmtId="166" fontId="21" fillId="17" borderId="1" xfId="0" applyNumberFormat="1" applyFont="1" applyFill="1" applyBorder="1" applyAlignment="1">
      <alignment vertical="center"/>
    </xf>
    <xf numFmtId="164" fontId="5" fillId="2" borderId="1" xfId="0" applyNumberFormat="1" applyFont="1" applyFill="1" applyBorder="1" applyAlignment="1">
      <alignment horizontal="center"/>
    </xf>
    <xf numFmtId="166" fontId="43" fillId="0" borderId="1" xfId="1" applyNumberFormat="1" applyFont="1" applyFill="1" applyBorder="1" applyAlignment="1">
      <alignment vertical="center" shrinkToFit="1"/>
    </xf>
    <xf numFmtId="166" fontId="42" fillId="2" borderId="1" xfId="1" applyNumberFormat="1" applyFont="1" applyFill="1" applyBorder="1" applyAlignment="1">
      <alignment horizontal="right" vertical="center" wrapText="1"/>
    </xf>
    <xf numFmtId="166" fontId="42" fillId="2" borderId="1" xfId="1" applyNumberFormat="1" applyFont="1" applyFill="1" applyBorder="1" applyAlignment="1">
      <alignment horizontal="center" vertical="center" wrapText="1"/>
    </xf>
    <xf numFmtId="174" fontId="42" fillId="2" borderId="1" xfId="0" applyNumberFormat="1" applyFont="1" applyFill="1" applyBorder="1" applyAlignment="1">
      <alignment horizontal="center" vertical="center" wrapText="1"/>
    </xf>
    <xf numFmtId="0" fontId="20" fillId="3" borderId="0" xfId="0" applyFont="1" applyFill="1" applyAlignment="1">
      <alignment vertical="center"/>
    </xf>
    <xf numFmtId="166" fontId="20" fillId="3" borderId="1" xfId="0" applyNumberFormat="1" applyFont="1" applyFill="1" applyBorder="1" applyAlignment="1">
      <alignment vertical="center"/>
    </xf>
    <xf numFmtId="170" fontId="20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vertical="center"/>
    </xf>
    <xf numFmtId="0" fontId="2" fillId="3" borderId="0" xfId="0" applyFont="1" applyFill="1"/>
    <xf numFmtId="166" fontId="20" fillId="3" borderId="1" xfId="0" applyNumberFormat="1" applyFont="1" applyFill="1" applyBorder="1"/>
    <xf numFmtId="0" fontId="20" fillId="3" borderId="1" xfId="0" applyFont="1" applyFill="1" applyBorder="1"/>
    <xf numFmtId="170" fontId="20" fillId="3" borderId="1" xfId="0" applyNumberFormat="1" applyFont="1" applyFill="1" applyBorder="1"/>
    <xf numFmtId="14" fontId="14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/>
    </xf>
    <xf numFmtId="1" fontId="30" fillId="2" borderId="1" xfId="0" applyNumberFormat="1" applyFont="1" applyFill="1" applyBorder="1" applyAlignment="1">
      <alignment horizontal="center" vertical="center" shrinkToFit="1"/>
    </xf>
    <xf numFmtId="14" fontId="26" fillId="2" borderId="1" xfId="0" quotePrefix="1" applyNumberFormat="1" applyFont="1" applyFill="1" applyBorder="1" applyAlignment="1">
      <alignment horizontal="center" vertical="center" shrinkToFit="1"/>
    </xf>
    <xf numFmtId="1" fontId="30" fillId="2" borderId="24" xfId="0" applyNumberFormat="1" applyFont="1" applyFill="1" applyBorder="1" applyAlignment="1">
      <alignment horizontal="center" vertical="center" shrinkToFit="1"/>
    </xf>
    <xf numFmtId="0" fontId="14" fillId="0" borderId="0" xfId="0" applyFont="1" applyAlignment="1">
      <alignment vertical="center" wrapText="1"/>
    </xf>
    <xf numFmtId="0" fontId="24" fillId="9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20" fillId="3" borderId="6" xfId="0" applyFont="1" applyFill="1" applyBorder="1" applyAlignment="1">
      <alignment vertical="center" wrapText="1"/>
    </xf>
    <xf numFmtId="166" fontId="21" fillId="12" borderId="1" xfId="1" applyNumberFormat="1" applyFont="1" applyFill="1" applyBorder="1" applyAlignment="1">
      <alignment vertical="center"/>
    </xf>
    <xf numFmtId="170" fontId="22" fillId="3" borderId="1" xfId="1" applyNumberFormat="1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vertical="center"/>
    </xf>
    <xf numFmtId="0" fontId="3" fillId="3" borderId="7" xfId="0" applyFont="1" applyFill="1" applyBorder="1" applyAlignment="1">
      <alignment horizontal="center"/>
    </xf>
    <xf numFmtId="0" fontId="21" fillId="3" borderId="1" xfId="0" applyFont="1" applyFill="1" applyBorder="1" applyAlignment="1">
      <alignment horizontal="center" vertical="center"/>
    </xf>
    <xf numFmtId="170" fontId="21" fillId="3" borderId="1" xfId="1" applyNumberFormat="1" applyFont="1" applyFill="1" applyBorder="1" applyAlignment="1">
      <alignment horizontal="center" vertical="center"/>
    </xf>
    <xf numFmtId="170" fontId="21" fillId="7" borderId="1" xfId="1" applyNumberFormat="1" applyFont="1" applyFill="1" applyBorder="1" applyAlignment="1">
      <alignment horizontal="center" vertical="center"/>
    </xf>
    <xf numFmtId="168" fontId="21" fillId="2" borderId="1" xfId="0" quotePrefix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18" fillId="6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4" fontId="22" fillId="0" borderId="1" xfId="0" applyNumberFormat="1" applyFont="1" applyBorder="1" applyAlignment="1">
      <alignment horizontal="center" vertical="center"/>
    </xf>
    <xf numFmtId="49" fontId="12" fillId="5" borderId="13" xfId="1" quotePrefix="1" applyNumberFormat="1" applyFont="1" applyFill="1" applyBorder="1" applyAlignment="1">
      <alignment horizontal="center"/>
    </xf>
    <xf numFmtId="49" fontId="12" fillId="5" borderId="10" xfId="1" quotePrefix="1" applyNumberFormat="1" applyFont="1" applyFill="1" applyBorder="1" applyAlignment="1">
      <alignment horizontal="center"/>
    </xf>
    <xf numFmtId="164" fontId="10" fillId="0" borderId="18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4" fontId="2" fillId="0" borderId="1" xfId="0" quotePrefix="1" applyNumberFormat="1" applyFont="1" applyBorder="1" applyAlignment="1">
      <alignment horizontal="center"/>
    </xf>
    <xf numFmtId="0" fontId="22" fillId="2" borderId="1" xfId="0" applyFont="1" applyFill="1" applyBorder="1" applyAlignment="1">
      <alignment horizontal="center" vertical="center"/>
    </xf>
    <xf numFmtId="0" fontId="45" fillId="0" borderId="0" xfId="0" applyFont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0" fontId="46" fillId="2" borderId="1" xfId="0" quotePrefix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/>
    </xf>
    <xf numFmtId="1" fontId="30" fillId="2" borderId="18" xfId="0" applyNumberFormat="1" applyFont="1" applyFill="1" applyBorder="1" applyAlignment="1">
      <alignment horizontal="center" vertical="center" shrinkToFit="1"/>
    </xf>
    <xf numFmtId="168" fontId="21" fillId="2" borderId="18" xfId="0" quotePrefix="1" applyNumberFormat="1" applyFont="1" applyFill="1" applyBorder="1" applyAlignment="1">
      <alignment horizontal="center" vertical="center"/>
    </xf>
    <xf numFmtId="0" fontId="23" fillId="2" borderId="18" xfId="0" applyFont="1" applyFill="1" applyBorder="1" applyAlignment="1">
      <alignment horizontal="center" vertical="center"/>
    </xf>
    <xf numFmtId="170" fontId="21" fillId="2" borderId="18" xfId="1" applyNumberFormat="1" applyFont="1" applyFill="1" applyBorder="1" applyAlignment="1">
      <alignment horizontal="center" vertical="center"/>
    </xf>
    <xf numFmtId="2" fontId="21" fillId="2" borderId="18" xfId="1" applyNumberFormat="1" applyFont="1" applyFill="1" applyBorder="1" applyAlignment="1">
      <alignment vertical="center"/>
    </xf>
    <xf numFmtId="172" fontId="21" fillId="2" borderId="18" xfId="1" applyNumberFormat="1" applyFont="1" applyFill="1" applyBorder="1" applyAlignment="1">
      <alignment horizontal="center" vertical="center"/>
    </xf>
    <xf numFmtId="168" fontId="21" fillId="2" borderId="18" xfId="0" applyNumberFormat="1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 wrapText="1"/>
    </xf>
    <xf numFmtId="169" fontId="21" fillId="2" borderId="18" xfId="0" applyNumberFormat="1" applyFont="1" applyFill="1" applyBorder="1" applyAlignment="1">
      <alignment horizontal="center" vertical="center"/>
    </xf>
    <xf numFmtId="166" fontId="21" fillId="2" borderId="18" xfId="1" applyNumberFormat="1" applyFont="1" applyFill="1" applyBorder="1" applyAlignment="1">
      <alignment vertical="center"/>
    </xf>
    <xf numFmtId="170" fontId="21" fillId="2" borderId="18" xfId="1" applyNumberFormat="1" applyFont="1" applyFill="1" applyBorder="1" applyAlignment="1">
      <alignment vertical="center"/>
    </xf>
    <xf numFmtId="166" fontId="43" fillId="0" borderId="18" xfId="1" applyNumberFormat="1" applyFont="1" applyFill="1" applyBorder="1" applyAlignment="1">
      <alignment vertical="center" shrinkToFit="1"/>
    </xf>
    <xf numFmtId="166" fontId="21" fillId="13" borderId="18" xfId="1" applyNumberFormat="1" applyFont="1" applyFill="1" applyBorder="1" applyAlignment="1">
      <alignment vertical="center"/>
    </xf>
    <xf numFmtId="170" fontId="21" fillId="2" borderId="18" xfId="0" applyNumberFormat="1" applyFont="1" applyFill="1" applyBorder="1" applyAlignment="1">
      <alignment vertical="center"/>
    </xf>
    <xf numFmtId="170" fontId="21" fillId="14" borderId="18" xfId="1" applyNumberFormat="1" applyFont="1" applyFill="1" applyBorder="1" applyAlignment="1">
      <alignment horizontal="left" vertical="center" indent="1"/>
    </xf>
    <xf numFmtId="166" fontId="23" fillId="15" borderId="18" xfId="1" applyNumberFormat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0" fontId="21" fillId="2" borderId="18" xfId="0" applyFont="1" applyFill="1" applyBorder="1" applyAlignment="1">
      <alignment vertical="center"/>
    </xf>
    <xf numFmtId="0" fontId="19" fillId="2" borderId="18" xfId="0" applyFont="1" applyFill="1" applyBorder="1" applyAlignment="1">
      <alignment vertical="center"/>
    </xf>
    <xf numFmtId="0" fontId="23" fillId="2" borderId="24" xfId="0" applyFont="1" applyFill="1" applyBorder="1" applyAlignment="1">
      <alignment horizontal="center" vertical="center"/>
    </xf>
    <xf numFmtId="168" fontId="21" fillId="2" borderId="24" xfId="0" applyNumberFormat="1" applyFont="1" applyFill="1" applyBorder="1" applyAlignment="1">
      <alignment horizontal="center" vertical="center"/>
    </xf>
    <xf numFmtId="2" fontId="21" fillId="2" borderId="24" xfId="1" applyNumberFormat="1" applyFont="1" applyFill="1" applyBorder="1" applyAlignment="1">
      <alignment vertical="center"/>
    </xf>
    <xf numFmtId="172" fontId="21" fillId="2" borderId="24" xfId="1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 wrapText="1"/>
    </xf>
    <xf numFmtId="169" fontId="21" fillId="2" borderId="24" xfId="0" applyNumberFormat="1" applyFont="1" applyFill="1" applyBorder="1" applyAlignment="1">
      <alignment horizontal="center" vertical="center"/>
    </xf>
    <xf numFmtId="166" fontId="21" fillId="2" borderId="24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vertical="center"/>
    </xf>
    <xf numFmtId="0" fontId="21" fillId="2" borderId="24" xfId="0" applyFont="1" applyFill="1" applyBorder="1" applyAlignment="1">
      <alignment vertical="center"/>
    </xf>
    <xf numFmtId="43" fontId="21" fillId="2" borderId="24" xfId="1" applyFont="1" applyFill="1" applyBorder="1" applyAlignment="1">
      <alignment vertical="center"/>
    </xf>
    <xf numFmtId="0" fontId="19" fillId="2" borderId="24" xfId="0" applyFont="1" applyFill="1" applyBorder="1" applyAlignment="1">
      <alignment vertical="center"/>
    </xf>
    <xf numFmtId="0" fontId="22" fillId="2" borderId="24" xfId="0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center" vertical="center"/>
    </xf>
    <xf numFmtId="0" fontId="47" fillId="2" borderId="1" xfId="0" quotePrefix="1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/>
    </xf>
    <xf numFmtId="170" fontId="21" fillId="0" borderId="1" xfId="1" applyNumberFormat="1" applyFont="1" applyFill="1" applyBorder="1" applyAlignment="1">
      <alignment horizontal="center" vertical="center"/>
    </xf>
    <xf numFmtId="166" fontId="22" fillId="2" borderId="24" xfId="1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 vertical="center"/>
    </xf>
    <xf numFmtId="166" fontId="21" fillId="9" borderId="1" xfId="1" applyNumberFormat="1" applyFont="1" applyFill="1" applyBorder="1" applyAlignment="1">
      <alignment horizontal="center" vertical="center"/>
    </xf>
    <xf numFmtId="0" fontId="21" fillId="2" borderId="1" xfId="0" quotePrefix="1" applyFont="1" applyFill="1" applyBorder="1" applyAlignment="1">
      <alignment horizontal="center"/>
    </xf>
    <xf numFmtId="3" fontId="19" fillId="2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/>
    </xf>
    <xf numFmtId="164" fontId="5" fillId="0" borderId="1" xfId="0" quotePrefix="1" applyNumberFormat="1" applyFont="1" applyBorder="1" applyAlignment="1">
      <alignment horizontal="left"/>
    </xf>
    <xf numFmtId="164" fontId="11" fillId="2" borderId="18" xfId="0" applyNumberFormat="1" applyFont="1" applyFill="1" applyBorder="1" applyAlignment="1">
      <alignment horizontal="center"/>
    </xf>
    <xf numFmtId="3" fontId="2" fillId="2" borderId="23" xfId="0" applyNumberFormat="1" applyFont="1" applyFill="1" applyBorder="1" applyAlignment="1">
      <alignment horizontal="center"/>
    </xf>
    <xf numFmtId="4" fontId="2" fillId="2" borderId="24" xfId="0" applyNumberFormat="1" applyFont="1" applyFill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164" fontId="6" fillId="0" borderId="24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/>
    </xf>
    <xf numFmtId="3" fontId="2" fillId="2" borderId="23" xfId="0" applyNumberFormat="1" applyFont="1" applyFill="1" applyBorder="1" applyAlignment="1">
      <alignment horizontal="center" vertical="center"/>
    </xf>
    <xf numFmtId="166" fontId="22" fillId="9" borderId="1" xfId="1" applyNumberFormat="1" applyFont="1" applyFill="1" applyBorder="1" applyAlignment="1">
      <alignment vertical="center"/>
    </xf>
    <xf numFmtId="166" fontId="41" fillId="9" borderId="1" xfId="1" applyNumberFormat="1" applyFont="1" applyFill="1" applyBorder="1" applyAlignment="1">
      <alignment vertical="center"/>
    </xf>
    <xf numFmtId="0" fontId="50" fillId="18" borderId="33" xfId="8" applyFill="1" applyBorder="1" applyAlignment="1">
      <alignment vertical="center"/>
    </xf>
    <xf numFmtId="175" fontId="24" fillId="2" borderId="1" xfId="0" applyNumberFormat="1" applyFont="1" applyFill="1" applyBorder="1" applyAlignment="1">
      <alignment vertical="center" wrapText="1"/>
    </xf>
    <xf numFmtId="175" fontId="23" fillId="8" borderId="1" xfId="0" applyNumberFormat="1" applyFont="1" applyFill="1" applyBorder="1" applyAlignment="1">
      <alignment horizontal="center" vertical="center"/>
    </xf>
    <xf numFmtId="175" fontId="5" fillId="0" borderId="1" xfId="0" applyNumberFormat="1" applyFont="1" applyBorder="1" applyAlignment="1">
      <alignment horizontal="center"/>
    </xf>
    <xf numFmtId="175" fontId="15" fillId="2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24" fillId="3" borderId="1" xfId="0" applyNumberFormat="1" applyFont="1" applyFill="1" applyBorder="1" applyAlignment="1">
      <alignment horizontal="center" vertical="center" wrapText="1"/>
    </xf>
    <xf numFmtId="175" fontId="15" fillId="3" borderId="1" xfId="0" quotePrefix="1" applyNumberFormat="1" applyFont="1" applyFill="1" applyBorder="1" applyAlignment="1" applyProtection="1">
      <alignment horizontal="center" vertical="center" shrinkToFit="1"/>
      <protection locked="0"/>
    </xf>
    <xf numFmtId="175" fontId="15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44" fillId="2" borderId="1" xfId="0" quotePrefix="1" applyNumberFormat="1" applyFont="1" applyFill="1" applyBorder="1" applyAlignment="1" applyProtection="1">
      <alignment horizontal="center" vertical="center" wrapText="1" shrinkToFit="1"/>
      <protection locked="0"/>
    </xf>
    <xf numFmtId="175" fontId="23" fillId="2" borderId="1" xfId="0" applyNumberFormat="1" applyFont="1" applyFill="1" applyBorder="1" applyAlignment="1">
      <alignment horizontal="center" vertical="center" wrapText="1"/>
    </xf>
    <xf numFmtId="175" fontId="47" fillId="2" borderId="1" xfId="0" quotePrefix="1" applyNumberFormat="1" applyFont="1" applyFill="1" applyBorder="1" applyAlignment="1">
      <alignment horizontal="center" vertical="center"/>
    </xf>
    <xf numFmtId="175" fontId="23" fillId="2" borderId="1" xfId="0" quotePrefix="1" applyNumberFormat="1" applyFont="1" applyFill="1" applyBorder="1" applyAlignment="1">
      <alignment horizontal="center" vertical="center"/>
    </xf>
    <xf numFmtId="175" fontId="23" fillId="2" borderId="1" xfId="0" applyNumberFormat="1" applyFont="1" applyFill="1" applyBorder="1" applyAlignment="1">
      <alignment horizontal="center" vertical="center"/>
    </xf>
    <xf numFmtId="175" fontId="23" fillId="2" borderId="0" xfId="0" applyNumberFormat="1" applyFont="1" applyFill="1" applyAlignment="1">
      <alignment horizontal="center" vertical="center"/>
    </xf>
    <xf numFmtId="175" fontId="47" fillId="14" borderId="1" xfId="0" quotePrefix="1" applyNumberFormat="1" applyFont="1" applyFill="1" applyBorder="1" applyAlignment="1">
      <alignment horizontal="center" vertical="center"/>
    </xf>
    <xf numFmtId="175" fontId="23" fillId="14" borderId="1" xfId="0" quotePrefix="1" applyNumberFormat="1" applyFont="1" applyFill="1" applyBorder="1" applyAlignment="1">
      <alignment horizontal="center" vertical="center"/>
    </xf>
    <xf numFmtId="175" fontId="47" fillId="14" borderId="1" xfId="0" applyNumberFormat="1" applyFont="1" applyFill="1" applyBorder="1" applyAlignment="1">
      <alignment horizontal="center" vertical="center"/>
    </xf>
    <xf numFmtId="166" fontId="22" fillId="19" borderId="24" xfId="1" applyNumberFormat="1" applyFont="1" applyFill="1" applyBorder="1" applyAlignment="1">
      <alignment horizontal="center" vertical="center"/>
    </xf>
    <xf numFmtId="175" fontId="23" fillId="9" borderId="1" xfId="0" quotePrefix="1" applyNumberFormat="1" applyFont="1" applyFill="1" applyBorder="1" applyAlignment="1">
      <alignment horizontal="center" vertical="center"/>
    </xf>
    <xf numFmtId="175" fontId="47" fillId="9" borderId="1" xfId="0" quotePrefix="1" applyNumberFormat="1" applyFont="1" applyFill="1" applyBorder="1" applyAlignment="1">
      <alignment horizontal="center" vertical="center"/>
    </xf>
    <xf numFmtId="175" fontId="47" fillId="2" borderId="1" xfId="0" applyNumberFormat="1" applyFont="1" applyFill="1" applyBorder="1" applyAlignment="1">
      <alignment horizontal="center" vertical="center"/>
    </xf>
    <xf numFmtId="1" fontId="21" fillId="2" borderId="1" xfId="1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/>
    </xf>
    <xf numFmtId="49" fontId="2" fillId="0" borderId="1" xfId="2" quotePrefix="1" applyNumberFormat="1" applyFont="1" applyBorder="1" applyAlignment="1">
      <alignment vertical="center"/>
    </xf>
    <xf numFmtId="164" fontId="3" fillId="3" borderId="19" xfId="0" applyNumberFormat="1" applyFont="1" applyFill="1" applyBorder="1"/>
    <xf numFmtId="166" fontId="51" fillId="5" borderId="10" xfId="1" quotePrefix="1" applyNumberFormat="1" applyFont="1" applyFill="1" applyBorder="1" applyAlignment="1">
      <alignment horizontal="center" vertical="center"/>
    </xf>
    <xf numFmtId="0" fontId="20" fillId="9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/>
    </xf>
    <xf numFmtId="0" fontId="3" fillId="0" borderId="5" xfId="0" applyFont="1" applyBorder="1" applyAlignment="1">
      <alignment horizontal="center"/>
    </xf>
    <xf numFmtId="0" fontId="10" fillId="8" borderId="7" xfId="0" applyFont="1" applyFill="1" applyBorder="1" applyAlignment="1">
      <alignment horizontal="center" vertical="center" wrapText="1"/>
    </xf>
    <xf numFmtId="166" fontId="52" fillId="20" borderId="18" xfId="1" applyNumberFormat="1" applyFont="1" applyFill="1" applyBorder="1" applyAlignment="1">
      <alignment horizontal="center" vertical="center" wrapText="1"/>
    </xf>
    <xf numFmtId="164" fontId="3" fillId="2" borderId="1" xfId="0" applyNumberFormat="1" applyFont="1" applyFill="1" applyBorder="1" applyAlignment="1">
      <alignment horizontal="left"/>
    </xf>
    <xf numFmtId="166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vertical="center"/>
    </xf>
    <xf numFmtId="170" fontId="21" fillId="3" borderId="1" xfId="1" applyNumberFormat="1" applyFont="1" applyFill="1" applyBorder="1" applyAlignment="1">
      <alignment horizontal="left" vertical="center" indent="1"/>
    </xf>
    <xf numFmtId="170" fontId="21" fillId="3" borderId="1" xfId="0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166" fontId="23" fillId="3" borderId="1" xfId="1" applyNumberFormat="1" applyFont="1" applyFill="1" applyBorder="1" applyAlignment="1">
      <alignment vertical="center"/>
    </xf>
    <xf numFmtId="49" fontId="24" fillId="3" borderId="1" xfId="0" applyNumberFormat="1" applyFont="1" applyFill="1" applyBorder="1" applyAlignment="1">
      <alignment horizontal="center" vertical="center"/>
    </xf>
    <xf numFmtId="14" fontId="2" fillId="3" borderId="18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166" fontId="12" fillId="5" borderId="20" xfId="1" quotePrefix="1" applyNumberFormat="1" applyFont="1" applyFill="1" applyBorder="1" applyAlignment="1">
      <alignment horizontal="center" vertical="center"/>
    </xf>
    <xf numFmtId="49" fontId="3" fillId="0" borderId="1" xfId="2" quotePrefix="1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left"/>
    </xf>
    <xf numFmtId="49" fontId="2" fillId="0" borderId="1" xfId="0" applyNumberFormat="1" applyFont="1" applyBorder="1" applyAlignment="1">
      <alignment horizontal="center"/>
    </xf>
    <xf numFmtId="172" fontId="21" fillId="2" borderId="1" xfId="1" applyNumberFormat="1" applyFont="1" applyFill="1" applyBorder="1" applyAlignment="1">
      <alignment horizontal="center" vertical="center" wrapText="1"/>
    </xf>
    <xf numFmtId="166" fontId="21" fillId="3" borderId="1" xfId="1" applyNumberFormat="1" applyFont="1" applyFill="1" applyBorder="1" applyAlignment="1">
      <alignment horizontal="left" vertical="center" indent="1"/>
    </xf>
    <xf numFmtId="166" fontId="2" fillId="3" borderId="0" xfId="0" applyNumberFormat="1" applyFont="1" applyFill="1" applyAlignment="1">
      <alignment vertical="center"/>
    </xf>
    <xf numFmtId="166" fontId="2" fillId="5" borderId="37" xfId="1" applyNumberFormat="1" applyFont="1" applyFill="1" applyBorder="1" applyAlignment="1">
      <alignment vertical="center"/>
    </xf>
    <xf numFmtId="166" fontId="2" fillId="5" borderId="38" xfId="1" applyNumberFormat="1" applyFont="1" applyFill="1" applyBorder="1" applyAlignment="1">
      <alignment vertical="center"/>
    </xf>
    <xf numFmtId="175" fontId="3" fillId="0" borderId="0" xfId="0" applyNumberFormat="1" applyFont="1" applyAlignment="1">
      <alignment horizontal="left"/>
    </xf>
    <xf numFmtId="175" fontId="10" fillId="0" borderId="1" xfId="0" applyNumberFormat="1" applyFont="1" applyBorder="1" applyAlignment="1">
      <alignment horizontal="center"/>
    </xf>
    <xf numFmtId="175" fontId="5" fillId="0" borderId="1" xfId="0" quotePrefix="1" applyNumberFormat="1" applyFont="1" applyBorder="1" applyAlignment="1">
      <alignment horizontal="center" wrapText="1"/>
    </xf>
    <xf numFmtId="175" fontId="3" fillId="0" borderId="1" xfId="0" applyNumberFormat="1" applyFont="1" applyBorder="1" applyAlignment="1">
      <alignment horizontal="center" wrapText="1"/>
    </xf>
    <xf numFmtId="175" fontId="3" fillId="2" borderId="1" xfId="0" applyNumberFormat="1" applyFont="1" applyFill="1" applyBorder="1" applyAlignment="1">
      <alignment horizontal="center" wrapText="1"/>
    </xf>
    <xf numFmtId="175" fontId="3" fillId="0" borderId="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12" fillId="5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166" fontId="21" fillId="2" borderId="6" xfId="1" applyNumberFormat="1" applyFont="1" applyFill="1" applyBorder="1" applyAlignment="1">
      <alignment vertical="center"/>
    </xf>
    <xf numFmtId="4" fontId="2" fillId="2" borderId="24" xfId="0" applyNumberFormat="1" applyFont="1" applyFill="1" applyBorder="1" applyAlignment="1">
      <alignment horizontal="left" wrapText="1"/>
    </xf>
    <xf numFmtId="49" fontId="6" fillId="2" borderId="1" xfId="2" quotePrefix="1" applyNumberFormat="1" applyFont="1" applyFill="1" applyBorder="1" applyAlignment="1">
      <alignment wrapText="1"/>
    </xf>
    <xf numFmtId="175" fontId="24" fillId="2" borderId="1" xfId="0" applyNumberFormat="1" applyFont="1" applyFill="1" applyBorder="1" applyAlignment="1">
      <alignment horizontal="center" vertical="center"/>
    </xf>
    <xf numFmtId="49" fontId="2" fillId="0" borderId="18" xfId="2" quotePrefix="1" applyNumberFormat="1" applyFont="1" applyBorder="1"/>
    <xf numFmtId="49" fontId="24" fillId="2" borderId="18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right"/>
    </xf>
    <xf numFmtId="166" fontId="12" fillId="5" borderId="20" xfId="1" quotePrefix="1" applyNumberFormat="1" applyFont="1" applyFill="1" applyBorder="1" applyAlignment="1">
      <alignment horizontal="center"/>
    </xf>
    <xf numFmtId="49" fontId="24" fillId="2" borderId="1" xfId="0" applyNumberFormat="1" applyFont="1" applyFill="1" applyBorder="1" applyAlignment="1">
      <alignment horizontal="center" vertical="center" wrapText="1"/>
    </xf>
    <xf numFmtId="166" fontId="12" fillId="5" borderId="1" xfId="1" quotePrefix="1" applyNumberFormat="1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left"/>
    </xf>
    <xf numFmtId="0" fontId="22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175" fontId="23" fillId="3" borderId="1" xfId="0" applyNumberFormat="1" applyFont="1" applyFill="1" applyBorder="1" applyAlignment="1">
      <alignment horizontal="center" vertical="center"/>
    </xf>
    <xf numFmtId="175" fontId="47" fillId="3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/>
    </xf>
    <xf numFmtId="164" fontId="5" fillId="2" borderId="18" xfId="0" applyNumberFormat="1" applyFont="1" applyFill="1" applyBorder="1" applyAlignment="1">
      <alignment horizontal="left" wrapText="1"/>
    </xf>
    <xf numFmtId="0" fontId="3" fillId="3" borderId="39" xfId="0" applyFont="1" applyFill="1" applyBorder="1" applyAlignment="1">
      <alignment horizontal="center"/>
    </xf>
    <xf numFmtId="0" fontId="5" fillId="3" borderId="39" xfId="0" applyFont="1" applyFill="1" applyBorder="1" applyAlignment="1">
      <alignment horizontal="center"/>
    </xf>
    <xf numFmtId="170" fontId="21" fillId="10" borderId="1" xfId="1" applyNumberFormat="1" applyFont="1" applyFill="1" applyBorder="1" applyAlignment="1">
      <alignment vertical="center"/>
    </xf>
    <xf numFmtId="172" fontId="35" fillId="2" borderId="1" xfId="1" applyNumberFormat="1" applyFont="1" applyFill="1" applyBorder="1" applyAlignment="1">
      <alignment horizontal="center" vertical="center"/>
    </xf>
    <xf numFmtId="49" fontId="5" fillId="21" borderId="1" xfId="0" applyNumberFormat="1" applyFont="1" applyFill="1" applyBorder="1" applyAlignment="1">
      <alignment vertical="center"/>
    </xf>
    <xf numFmtId="176" fontId="2" fillId="0" borderId="0" xfId="0" applyNumberFormat="1" applyFont="1" applyAlignment="1">
      <alignment horizontal="center"/>
    </xf>
    <xf numFmtId="176" fontId="10" fillId="0" borderId="1" xfId="0" applyNumberFormat="1" applyFont="1" applyBorder="1" applyAlignment="1">
      <alignment horizontal="center"/>
    </xf>
    <xf numFmtId="176" fontId="2" fillId="2" borderId="1" xfId="0" quotePrefix="1" applyNumberFormat="1" applyFont="1" applyFill="1" applyBorder="1" applyAlignment="1">
      <alignment horizontal="center"/>
    </xf>
    <xf numFmtId="176" fontId="2" fillId="0" borderId="1" xfId="0" applyNumberFormat="1" applyFont="1" applyBorder="1" applyAlignment="1">
      <alignment horizontal="center"/>
    </xf>
    <xf numFmtId="176" fontId="2" fillId="0" borderId="1" xfId="0" quotePrefix="1" applyNumberFormat="1" applyFont="1" applyBorder="1" applyAlignment="1">
      <alignment horizontal="center"/>
    </xf>
    <xf numFmtId="173" fontId="2" fillId="0" borderId="1" xfId="0" applyNumberFormat="1" applyFont="1" applyBorder="1" applyAlignment="1">
      <alignment horizontal="center"/>
    </xf>
    <xf numFmtId="172" fontId="14" fillId="2" borderId="1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75" fontId="5" fillId="0" borderId="18" xfId="0" applyNumberFormat="1" applyFont="1" applyBorder="1" applyAlignment="1">
      <alignment horizontal="center"/>
    </xf>
    <xf numFmtId="166" fontId="23" fillId="0" borderId="1" xfId="1" applyNumberFormat="1" applyFont="1" applyFill="1" applyBorder="1" applyAlignment="1">
      <alignment vertical="center"/>
    </xf>
    <xf numFmtId="175" fontId="23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175" fontId="2" fillId="0" borderId="0" xfId="0" applyNumberFormat="1" applyFont="1" applyAlignment="1">
      <alignment horizontal="left"/>
    </xf>
    <xf numFmtId="175" fontId="4" fillId="0" borderId="0" xfId="0" applyNumberFormat="1" applyFont="1" applyAlignment="1">
      <alignment horizontal="center"/>
    </xf>
    <xf numFmtId="175" fontId="10" fillId="0" borderId="7" xfId="0" applyNumberFormat="1" applyFont="1" applyBorder="1" applyAlignment="1">
      <alignment horizontal="center"/>
    </xf>
    <xf numFmtId="175" fontId="2" fillId="3" borderId="0" xfId="0" applyNumberFormat="1" applyFont="1" applyFill="1" applyAlignment="1">
      <alignment vertical="center"/>
    </xf>
    <xf numFmtId="175" fontId="2" fillId="2" borderId="7" xfId="0" quotePrefix="1" applyNumberFormat="1" applyFont="1" applyFill="1" applyBorder="1" applyAlignment="1">
      <alignment horizontal="center"/>
    </xf>
    <xf numFmtId="175" fontId="2" fillId="2" borderId="11" xfId="0" quotePrefix="1" applyNumberFormat="1" applyFont="1" applyFill="1" applyBorder="1" applyAlignment="1">
      <alignment horizontal="center"/>
    </xf>
    <xf numFmtId="175" fontId="2" fillId="2" borderId="1" xfId="2" quotePrefix="1" applyNumberFormat="1" applyFont="1" applyFill="1" applyBorder="1" applyAlignment="1">
      <alignment horizontal="center"/>
    </xf>
    <xf numFmtId="175" fontId="2" fillId="2" borderId="1" xfId="3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left"/>
    </xf>
    <xf numFmtId="175" fontId="2" fillId="2" borderId="18" xfId="0" quotePrefix="1" applyNumberFormat="1" applyFont="1" applyFill="1" applyBorder="1" applyAlignment="1">
      <alignment horizontal="left"/>
    </xf>
    <xf numFmtId="175" fontId="2" fillId="0" borderId="1" xfId="0" applyNumberFormat="1" applyFont="1" applyBorder="1" applyAlignment="1">
      <alignment horizontal="left"/>
    </xf>
    <xf numFmtId="175" fontId="2" fillId="0" borderId="1" xfId="0" quotePrefix="1" applyNumberFormat="1" applyFont="1" applyBorder="1" applyAlignment="1">
      <alignment horizontal="left"/>
    </xf>
    <xf numFmtId="175" fontId="2" fillId="2" borderId="18" xfId="2" quotePrefix="1" applyNumberFormat="1" applyFont="1" applyFill="1" applyBorder="1" applyAlignment="1">
      <alignment horizontal="center"/>
    </xf>
    <xf numFmtId="166" fontId="12" fillId="5" borderId="13" xfId="1" quotePrefix="1" applyNumberFormat="1" applyFont="1" applyFill="1" applyBorder="1" applyAlignment="1">
      <alignment horizontal="right"/>
    </xf>
    <xf numFmtId="0" fontId="3" fillId="0" borderId="42" xfId="0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0" fillId="9" borderId="0" xfId="0" applyNumberFormat="1" applyFont="1" applyFill="1" applyAlignment="1">
      <alignment horizontal="center" vertical="center" wrapText="1"/>
    </xf>
    <xf numFmtId="49" fontId="2" fillId="3" borderId="0" xfId="0" applyNumberFormat="1" applyFont="1" applyFill="1" applyAlignment="1">
      <alignment horizontal="left"/>
    </xf>
    <xf numFmtId="49" fontId="10" fillId="0" borderId="7" xfId="0" applyNumberFormat="1" applyFont="1" applyBorder="1" applyAlignment="1">
      <alignment horizontal="center"/>
    </xf>
    <xf numFmtId="49" fontId="2" fillId="3" borderId="0" xfId="0" applyNumberFormat="1" applyFont="1" applyFill="1" applyAlignment="1">
      <alignment vertical="center"/>
    </xf>
    <xf numFmtId="49" fontId="2" fillId="2" borderId="1" xfId="0" quotePrefix="1" applyNumberFormat="1" applyFont="1" applyFill="1" applyBorder="1" applyAlignment="1">
      <alignment horizontal="center"/>
    </xf>
    <xf numFmtId="49" fontId="2" fillId="2" borderId="1" xfId="0" quotePrefix="1" applyNumberFormat="1" applyFont="1" applyFill="1" applyBorder="1" applyAlignment="1">
      <alignment horizontal="left"/>
    </xf>
    <xf numFmtId="49" fontId="2" fillId="2" borderId="18" xfId="0" quotePrefix="1" applyNumberFormat="1" applyFont="1" applyFill="1" applyBorder="1" applyAlignment="1">
      <alignment horizontal="left"/>
    </xf>
    <xf numFmtId="49" fontId="6" fillId="3" borderId="1" xfId="2" quotePrefix="1" applyNumberFormat="1" applyFont="1" applyFill="1" applyBorder="1"/>
    <xf numFmtId="175" fontId="31" fillId="0" borderId="1" xfId="0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/>
    </xf>
    <xf numFmtId="166" fontId="20" fillId="3" borderId="0" xfId="1" applyNumberFormat="1" applyFont="1" applyFill="1" applyAlignment="1">
      <alignment vertical="center"/>
    </xf>
    <xf numFmtId="49" fontId="56" fillId="0" borderId="1" xfId="5" applyNumberFormat="1" applyFont="1" applyBorder="1" applyAlignment="1">
      <alignment vertical="center"/>
    </xf>
    <xf numFmtId="49" fontId="2" fillId="2" borderId="24" xfId="2" quotePrefix="1" applyNumberFormat="1" applyFont="1" applyFill="1" applyBorder="1" applyAlignment="1">
      <alignment wrapText="1"/>
    </xf>
    <xf numFmtId="49" fontId="2" fillId="0" borderId="24" xfId="2" quotePrefix="1" applyNumberFormat="1" applyFont="1" applyBorder="1" applyAlignment="1">
      <alignment vertical="center"/>
    </xf>
    <xf numFmtId="49" fontId="56" fillId="0" borderId="1" xfId="182" applyNumberFormat="1" applyFont="1" applyBorder="1" applyAlignment="1">
      <alignment vertical="center"/>
    </xf>
    <xf numFmtId="3" fontId="2" fillId="2" borderId="5" xfId="0" applyNumberFormat="1" applyFont="1" applyFill="1" applyBorder="1" applyAlignment="1">
      <alignment horizontal="center"/>
    </xf>
    <xf numFmtId="43" fontId="12" fillId="5" borderId="1" xfId="1" quotePrefix="1" applyFont="1" applyFill="1" applyBorder="1" applyAlignment="1">
      <alignment horizontal="right"/>
    </xf>
    <xf numFmtId="0" fontId="2" fillId="0" borderId="1" xfId="11" applyFont="1" applyBorder="1" applyAlignment="1">
      <alignment horizontal="right" vertical="center"/>
    </xf>
    <xf numFmtId="4" fontId="2" fillId="0" borderId="1" xfId="184" applyNumberFormat="1" applyFont="1" applyBorder="1" applyAlignment="1">
      <alignment horizontal="right" vertical="center" wrapText="1" shrinkToFit="1"/>
    </xf>
    <xf numFmtId="2" fontId="21" fillId="2" borderId="1" xfId="1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wrapText="1"/>
    </xf>
    <xf numFmtId="11" fontId="21" fillId="2" borderId="1" xfId="0" applyNumberFormat="1" applyFont="1" applyFill="1" applyBorder="1" applyAlignment="1">
      <alignment horizontal="center" vertical="center" wrapText="1"/>
    </xf>
    <xf numFmtId="166" fontId="2" fillId="3" borderId="0" xfId="0" applyNumberFormat="1" applyFont="1" applyFill="1"/>
    <xf numFmtId="49" fontId="94" fillId="0" borderId="1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49" fontId="2" fillId="0" borderId="1" xfId="2" quotePrefix="1" applyNumberFormat="1" applyFont="1" applyBorder="1" applyAlignment="1">
      <alignment horizontal="center" vertical="center"/>
    </xf>
    <xf numFmtId="178" fontId="2" fillId="0" borderId="1" xfId="0" quotePrefix="1" applyNumberFormat="1" applyFont="1" applyBorder="1" applyAlignment="1">
      <alignment horizontal="center"/>
    </xf>
    <xf numFmtId="166" fontId="3" fillId="3" borderId="0" xfId="1" applyNumberFormat="1" applyFont="1" applyFill="1" applyAlignment="1">
      <alignment vertical="center"/>
    </xf>
    <xf numFmtId="178" fontId="2" fillId="0" borderId="1" xfId="0" quotePrefix="1" applyNumberFormat="1" applyFont="1" applyBorder="1" applyAlignment="1">
      <alignment horizontal="left"/>
    </xf>
    <xf numFmtId="179" fontId="26" fillId="2" borderId="1" xfId="0" applyNumberFormat="1" applyFont="1" applyFill="1" applyBorder="1" applyAlignment="1">
      <alignment vertical="center" wrapText="1"/>
    </xf>
    <xf numFmtId="179" fontId="23" fillId="8" borderId="1" xfId="0" applyNumberFormat="1" applyFont="1" applyFill="1" applyBorder="1" applyAlignment="1">
      <alignment horizontal="center" vertical="center" wrapText="1"/>
    </xf>
    <xf numFmtId="179" fontId="2" fillId="0" borderId="1" xfId="0" applyNumberFormat="1" applyFont="1" applyBorder="1" applyAlignment="1">
      <alignment horizontal="center"/>
    </xf>
    <xf numFmtId="179" fontId="21" fillId="2" borderId="1" xfId="0" applyNumberFormat="1" applyFont="1" applyFill="1" applyBorder="1" applyAlignment="1">
      <alignment horizontal="center" vertical="center"/>
    </xf>
    <xf numFmtId="179" fontId="21" fillId="2" borderId="1" xfId="0" quotePrefix="1" applyNumberFormat="1" applyFont="1" applyFill="1" applyBorder="1" applyAlignment="1">
      <alignment horizontal="center" vertical="center"/>
    </xf>
    <xf numFmtId="179" fontId="21" fillId="2" borderId="0" xfId="0" applyNumberFormat="1" applyFont="1" applyFill="1" applyAlignment="1">
      <alignment horizontal="center" vertical="center"/>
    </xf>
    <xf numFmtId="166" fontId="22" fillId="3" borderId="24" xfId="1" applyNumberFormat="1" applyFont="1" applyFill="1" applyBorder="1" applyAlignment="1">
      <alignment horizontal="center" vertical="center"/>
    </xf>
    <xf numFmtId="175" fontId="20" fillId="14" borderId="1" xfId="0" applyNumberFormat="1" applyFont="1" applyFill="1" applyBorder="1" applyAlignment="1">
      <alignment horizontal="center" vertical="center"/>
    </xf>
    <xf numFmtId="175" fontId="23" fillId="14" borderId="1" xfId="0" applyNumberFormat="1" applyFont="1" applyFill="1" applyBorder="1" applyAlignment="1">
      <alignment horizontal="center" vertical="center"/>
    </xf>
    <xf numFmtId="166" fontId="19" fillId="9" borderId="1" xfId="1" applyNumberFormat="1" applyFont="1" applyFill="1" applyBorder="1" applyAlignment="1">
      <alignment vertical="center"/>
    </xf>
    <xf numFmtId="0" fontId="23" fillId="3" borderId="1" xfId="0" applyFont="1" applyFill="1" applyBorder="1" applyAlignment="1">
      <alignment horizontal="center" vertical="center"/>
    </xf>
    <xf numFmtId="166" fontId="24" fillId="3" borderId="24" xfId="1" applyNumberFormat="1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 wrapText="1"/>
    </xf>
    <xf numFmtId="180" fontId="21" fillId="2" borderId="1" xfId="0" applyNumberFormat="1" applyFont="1" applyFill="1" applyBorder="1" applyAlignment="1">
      <alignment horizontal="center" vertical="center"/>
    </xf>
    <xf numFmtId="175" fontId="47" fillId="9" borderId="1" xfId="0" applyNumberFormat="1" applyFont="1" applyFill="1" applyBorder="1" applyAlignment="1">
      <alignment horizontal="center" vertical="center"/>
    </xf>
    <xf numFmtId="166" fontId="2" fillId="3" borderId="0" xfId="1" applyNumberFormat="1" applyFont="1" applyFill="1"/>
    <xf numFmtId="0" fontId="3" fillId="3" borderId="1" xfId="0" applyFont="1" applyFill="1" applyBorder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2" fillId="2" borderId="1" xfId="0" quotePrefix="1" applyFont="1" applyFill="1" applyBorder="1" applyAlignment="1">
      <alignment horizontal="left" wrapText="1"/>
    </xf>
    <xf numFmtId="166" fontId="24" fillId="2" borderId="24" xfId="1" applyNumberFormat="1" applyFont="1" applyFill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/>
    </xf>
    <xf numFmtId="164" fontId="5" fillId="2" borderId="6" xfId="0" quotePrefix="1" applyNumberFormat="1" applyFont="1" applyFill="1" applyBorder="1" applyAlignment="1">
      <alignment horizontal="left" wrapText="1"/>
    </xf>
    <xf numFmtId="164" fontId="5" fillId="3" borderId="6" xfId="0" quotePrefix="1" applyNumberFormat="1" applyFont="1" applyFill="1" applyBorder="1" applyAlignment="1">
      <alignment horizontal="left" wrapText="1"/>
    </xf>
    <xf numFmtId="164" fontId="5" fillId="0" borderId="6" xfId="0" quotePrefix="1" applyNumberFormat="1" applyFont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 wrapText="1"/>
    </xf>
    <xf numFmtId="164" fontId="3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/>
    </xf>
    <xf numFmtId="164" fontId="5" fillId="2" borderId="6" xfId="0" applyNumberFormat="1" applyFont="1" applyFill="1" applyBorder="1" applyAlignment="1">
      <alignment horizontal="left" wrapText="1"/>
    </xf>
    <xf numFmtId="164" fontId="5" fillId="0" borderId="6" xfId="0" applyNumberFormat="1" applyFont="1" applyBorder="1" applyAlignment="1">
      <alignment horizontal="left" wrapText="1"/>
    </xf>
    <xf numFmtId="164" fontId="5" fillId="0" borderId="53" xfId="0" applyNumberFormat="1" applyFont="1" applyBorder="1" applyAlignment="1">
      <alignment horizontal="left" wrapText="1"/>
    </xf>
    <xf numFmtId="164" fontId="3" fillId="0" borderId="53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/>
    </xf>
    <xf numFmtId="164" fontId="3" fillId="0" borderId="6" xfId="0" applyNumberFormat="1" applyFont="1" applyBorder="1" applyAlignment="1">
      <alignment horizontal="left" wrapText="1"/>
    </xf>
    <xf numFmtId="175" fontId="31" fillId="2" borderId="6" xfId="0" quotePrefix="1" applyNumberFormat="1" applyFont="1" applyFill="1" applyBorder="1" applyAlignment="1">
      <alignment horizontal="left" vertical="center" wrapText="1"/>
    </xf>
    <xf numFmtId="164" fontId="5" fillId="0" borderId="53" xfId="0" applyNumberFormat="1" applyFont="1" applyBorder="1" applyAlignment="1">
      <alignment horizontal="left"/>
    </xf>
    <xf numFmtId="164" fontId="3" fillId="3" borderId="6" xfId="0" applyNumberFormat="1" applyFont="1" applyFill="1" applyBorder="1" applyAlignment="1">
      <alignment horizontal="left" wrapText="1"/>
    </xf>
    <xf numFmtId="164" fontId="5" fillId="3" borderId="6" xfId="0" applyNumberFormat="1" applyFont="1" applyFill="1" applyBorder="1" applyAlignment="1">
      <alignment horizontal="left" wrapText="1"/>
    </xf>
    <xf numFmtId="164" fontId="3" fillId="2" borderId="1" xfId="0" applyNumberFormat="1" applyFont="1" applyFill="1" applyBorder="1"/>
    <xf numFmtId="0" fontId="10" fillId="0" borderId="1" xfId="0" applyFont="1" applyBorder="1" applyAlignment="1">
      <alignment horizontal="center" vertical="center" wrapText="1"/>
    </xf>
    <xf numFmtId="49" fontId="56" fillId="0" borderId="1" xfId="0" applyNumberFormat="1" applyFont="1" applyBorder="1" applyAlignment="1">
      <alignment vertical="center"/>
    </xf>
    <xf numFmtId="16" fontId="2" fillId="0" borderId="1" xfId="0" quotePrefix="1" applyNumberFormat="1" applyFont="1" applyBorder="1" applyAlignment="1">
      <alignment horizontal="center"/>
    </xf>
    <xf numFmtId="180" fontId="21" fillId="2" borderId="1" xfId="0" quotePrefix="1" applyNumberFormat="1" applyFont="1" applyFill="1" applyBorder="1" applyAlignment="1">
      <alignment horizontal="center" vertical="center"/>
    </xf>
    <xf numFmtId="43" fontId="12" fillId="5" borderId="13" xfId="1" quotePrefix="1" applyFont="1" applyFill="1" applyBorder="1" applyAlignment="1">
      <alignment horizontal="center"/>
    </xf>
    <xf numFmtId="43" fontId="20" fillId="2" borderId="1" xfId="1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5" fontId="5" fillId="3" borderId="18" xfId="0" applyNumberFormat="1" applyFont="1" applyFill="1" applyBorder="1" applyAlignment="1">
      <alignment horizontal="center" wrapText="1"/>
    </xf>
    <xf numFmtId="175" fontId="5" fillId="3" borderId="24" xfId="0" applyNumberFormat="1" applyFont="1" applyFill="1" applyBorder="1" applyAlignment="1">
      <alignment horizontal="center" wrapText="1"/>
    </xf>
    <xf numFmtId="164" fontId="3" fillId="3" borderId="0" xfId="0" applyNumberFormat="1" applyFont="1" applyFill="1"/>
    <xf numFmtId="164" fontId="5" fillId="3" borderId="0" xfId="0" applyNumberFormat="1" applyFont="1" applyFill="1" applyAlignment="1">
      <alignment horizontal="center"/>
    </xf>
    <xf numFmtId="173" fontId="12" fillId="5" borderId="8" xfId="1" quotePrefix="1" applyNumberFormat="1" applyFont="1" applyFill="1" applyBorder="1" applyAlignment="1">
      <alignment horizontal="center"/>
    </xf>
    <xf numFmtId="166" fontId="12" fillId="5" borderId="8" xfId="1" quotePrefix="1" applyNumberFormat="1" applyFont="1" applyFill="1" applyBorder="1" applyAlignment="1">
      <alignment horizontal="center"/>
    </xf>
    <xf numFmtId="49" fontId="12" fillId="5" borderId="20" xfId="1" quotePrefix="1" applyNumberFormat="1" applyFont="1" applyFill="1" applyBorder="1" applyAlignment="1">
      <alignment horizontal="center"/>
    </xf>
    <xf numFmtId="181" fontId="12" fillId="5" borderId="13" xfId="1" quotePrefix="1" applyNumberFormat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left"/>
    </xf>
    <xf numFmtId="2" fontId="21" fillId="2" borderId="1" xfId="1" quotePrefix="1" applyNumberFormat="1" applyFont="1" applyFill="1" applyBorder="1" applyAlignment="1">
      <alignment horizontal="center" vertical="center"/>
    </xf>
    <xf numFmtId="164" fontId="5" fillId="3" borderId="0" xfId="0" applyNumberFormat="1" applyFont="1" applyFill="1" applyAlignment="1">
      <alignment horizontal="left"/>
    </xf>
    <xf numFmtId="166" fontId="2" fillId="5" borderId="7" xfId="1" quotePrefix="1" applyNumberFormat="1" applyFont="1" applyFill="1" applyBorder="1" applyAlignment="1">
      <alignment horizontal="center"/>
    </xf>
    <xf numFmtId="49" fontId="2" fillId="0" borderId="18" xfId="2" quotePrefix="1" applyNumberFormat="1" applyFont="1" applyBorder="1" applyAlignment="1">
      <alignment vertical="center"/>
    </xf>
    <xf numFmtId="0" fontId="2" fillId="0" borderId="20" xfId="0" applyFont="1" applyBorder="1" applyAlignment="1">
      <alignment horizontal="center"/>
    </xf>
    <xf numFmtId="0" fontId="2" fillId="0" borderId="24" xfId="0" quotePrefix="1" applyFont="1" applyBorder="1" applyAlignment="1">
      <alignment horizontal="center"/>
    </xf>
    <xf numFmtId="164" fontId="6" fillId="0" borderId="24" xfId="0" applyNumberFormat="1" applyFont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/>
    </xf>
    <xf numFmtId="166" fontId="21" fillId="13" borderId="24" xfId="1" applyNumberFormat="1" applyFont="1" applyFill="1" applyBorder="1" applyAlignment="1">
      <alignment vertical="center"/>
    </xf>
    <xf numFmtId="170" fontId="21" fillId="16" borderId="24" xfId="0" applyNumberFormat="1" applyFont="1" applyFill="1" applyBorder="1" applyAlignment="1">
      <alignment vertical="center"/>
    </xf>
    <xf numFmtId="170" fontId="21" fillId="14" borderId="24" xfId="1" applyNumberFormat="1" applyFont="1" applyFill="1" applyBorder="1" applyAlignment="1">
      <alignment horizontal="left" vertical="center" indent="1"/>
    </xf>
    <xf numFmtId="166" fontId="23" fillId="15" borderId="24" xfId="1" applyNumberFormat="1" applyFont="1" applyFill="1" applyBorder="1" applyAlignment="1">
      <alignment vertical="center"/>
    </xf>
    <xf numFmtId="0" fontId="2" fillId="0" borderId="1" xfId="0" applyFont="1" applyBorder="1"/>
    <xf numFmtId="3" fontId="98" fillId="0" borderId="1" xfId="0" applyNumberFormat="1" applyFont="1" applyBorder="1" applyAlignment="1">
      <alignment vertical="center" wrapText="1"/>
    </xf>
    <xf numFmtId="14" fontId="3" fillId="0" borderId="1" xfId="0" applyNumberFormat="1" applyFont="1" applyBorder="1" applyAlignment="1">
      <alignment horizontal="left"/>
    </xf>
    <xf numFmtId="14" fontId="2" fillId="0" borderId="18" xfId="0" quotePrefix="1" applyNumberFormat="1" applyFont="1" applyBorder="1" applyAlignment="1">
      <alignment horizontal="center"/>
    </xf>
    <xf numFmtId="176" fontId="21" fillId="2" borderId="1" xfId="1" quotePrefix="1" applyNumberFormat="1" applyFont="1" applyFill="1" applyBorder="1" applyAlignment="1">
      <alignment horizontal="center" vertical="center"/>
    </xf>
    <xf numFmtId="164" fontId="2" fillId="0" borderId="1" xfId="0" quotePrefix="1" applyNumberFormat="1" applyFont="1" applyBorder="1" applyAlignment="1">
      <alignment horizontal="center"/>
    </xf>
    <xf numFmtId="168" fontId="21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0" fontId="0" fillId="0" borderId="1" xfId="0" applyBorder="1"/>
    <xf numFmtId="0" fontId="135" fillId="0" borderId="1" xfId="0" applyFont="1" applyBorder="1" applyAlignment="1">
      <alignment horizontal="center"/>
    </xf>
    <xf numFmtId="0" fontId="135" fillId="0" borderId="0" xfId="0" applyFont="1" applyAlignment="1">
      <alignment horizontal="center"/>
    </xf>
    <xf numFmtId="0" fontId="134" fillId="0" borderId="0" xfId="0" applyFont="1"/>
    <xf numFmtId="0" fontId="134" fillId="3" borderId="0" xfId="0" applyFont="1" applyFill="1"/>
    <xf numFmtId="0" fontId="0" fillId="3" borderId="0" xfId="0" applyFill="1"/>
    <xf numFmtId="0" fontId="0" fillId="0" borderId="1" xfId="0" quotePrefix="1" applyBorder="1" applyAlignment="1">
      <alignment wrapText="1"/>
    </xf>
    <xf numFmtId="0" fontId="0" fillId="0" borderId="1" xfId="0" quotePrefix="1" applyBorder="1"/>
    <xf numFmtId="0" fontId="0" fillId="7" borderId="1" xfId="0" applyFill="1" applyBorder="1"/>
    <xf numFmtId="14" fontId="0" fillId="0" borderId="1" xfId="0" quotePrefix="1" applyNumberFormat="1" applyBorder="1"/>
    <xf numFmtId="14" fontId="2" fillId="0" borderId="24" xfId="0" quotePrefix="1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/>
    </xf>
    <xf numFmtId="40" fontId="19" fillId="0" borderId="1" xfId="12" applyNumberFormat="1" applyFont="1" applyFill="1" applyBorder="1" applyAlignment="1">
      <alignment horizontal="center" vertical="center" shrinkToFit="1"/>
    </xf>
    <xf numFmtId="0" fontId="20" fillId="9" borderId="20" xfId="0" applyFont="1" applyFill="1" applyBorder="1" applyAlignment="1">
      <alignment vertical="center" wrapText="1"/>
    </xf>
    <xf numFmtId="0" fontId="20" fillId="9" borderId="0" xfId="0" applyFont="1" applyFill="1" applyAlignment="1">
      <alignment vertical="center" wrapText="1"/>
    </xf>
    <xf numFmtId="175" fontId="21" fillId="2" borderId="1" xfId="0" applyNumberFormat="1" applyFont="1" applyFill="1" applyBorder="1" applyAlignment="1">
      <alignment horizontal="center" vertical="center"/>
    </xf>
    <xf numFmtId="166" fontId="3" fillId="2" borderId="1" xfId="1" applyNumberFormat="1" applyFont="1" applyFill="1" applyBorder="1" applyAlignment="1">
      <alignment horizontal="right" vertical="center"/>
    </xf>
    <xf numFmtId="49" fontId="12" fillId="5" borderId="1" xfId="1" quotePrefix="1" applyNumberFormat="1" applyFont="1" applyFill="1" applyBorder="1" applyAlignment="1">
      <alignment horizontal="center"/>
    </xf>
    <xf numFmtId="49" fontId="12" fillId="5" borderId="43" xfId="1" quotePrefix="1" applyNumberFormat="1" applyFont="1" applyFill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/>
    </xf>
    <xf numFmtId="164" fontId="3" fillId="0" borderId="6" xfId="0" quotePrefix="1" applyNumberFormat="1" applyFont="1" applyBorder="1" applyAlignment="1">
      <alignment horizontal="left" wrapText="1"/>
    </xf>
    <xf numFmtId="0" fontId="20" fillId="2" borderId="1" xfId="0" applyFont="1" applyFill="1" applyBorder="1" applyAlignment="1">
      <alignment horizontal="center" vertical="center" shrinkToFit="1"/>
    </xf>
    <xf numFmtId="0" fontId="21" fillId="9" borderId="1" xfId="0" applyFont="1" applyFill="1" applyBorder="1" applyAlignment="1">
      <alignment horizontal="center" vertical="center"/>
    </xf>
    <xf numFmtId="0" fontId="138" fillId="0" borderId="56" xfId="0" applyFont="1" applyBorder="1" applyAlignment="1">
      <alignment horizontal="center"/>
    </xf>
    <xf numFmtId="175" fontId="6" fillId="2" borderId="1" xfId="0" quotePrefix="1" applyNumberFormat="1" applyFont="1" applyFill="1" applyBorder="1" applyAlignment="1">
      <alignment horizontal="left"/>
    </xf>
    <xf numFmtId="49" fontId="5" fillId="3" borderId="1" xfId="2" quotePrefix="1" applyNumberFormat="1" applyFont="1" applyFill="1" applyBorder="1" applyAlignment="1">
      <alignment horizontal="center"/>
    </xf>
    <xf numFmtId="166" fontId="19" fillId="10" borderId="1" xfId="1" applyNumberFormat="1" applyFont="1" applyFill="1" applyBorder="1" applyAlignment="1">
      <alignment horizontal="center" vertical="center"/>
    </xf>
    <xf numFmtId="164" fontId="5" fillId="0" borderId="53" xfId="0" quotePrefix="1" applyNumberFormat="1" applyFont="1" applyBorder="1" applyAlignment="1">
      <alignment horizontal="left" wrapText="1"/>
    </xf>
    <xf numFmtId="164" fontId="5" fillId="0" borderId="55" xfId="0" quotePrefix="1" applyNumberFormat="1" applyFont="1" applyBorder="1" applyAlignment="1">
      <alignment horizontal="left" wrapText="1"/>
    </xf>
    <xf numFmtId="164" fontId="3" fillId="3" borderId="1" xfId="0" quotePrefix="1" applyNumberFormat="1" applyFont="1" applyFill="1" applyBorder="1" applyAlignment="1">
      <alignment horizontal="left" wrapText="1"/>
    </xf>
    <xf numFmtId="166" fontId="2" fillId="5" borderId="7" xfId="1" quotePrefix="1" applyNumberFormat="1" applyFont="1" applyFill="1" applyBorder="1" applyAlignment="1">
      <alignment horizontal="right" shrinkToFit="1"/>
    </xf>
    <xf numFmtId="49" fontId="5" fillId="3" borderId="1" xfId="2" quotePrefix="1" applyNumberFormat="1" applyFont="1" applyFill="1" applyBorder="1" applyAlignment="1">
      <alignment horizontal="center" vertical="center"/>
    </xf>
    <xf numFmtId="175" fontId="47" fillId="0" borderId="1" xfId="0" quotePrefix="1" applyNumberFormat="1" applyFont="1" applyBorder="1" applyAlignment="1">
      <alignment horizontal="center" vertical="center"/>
    </xf>
    <xf numFmtId="175" fontId="23" fillId="0" borderId="1" xfId="0" quotePrefix="1" applyNumberFormat="1" applyFont="1" applyBorder="1" applyAlignment="1">
      <alignment horizontal="center" vertical="center" wrapText="1"/>
    </xf>
    <xf numFmtId="175" fontId="47" fillId="0" borderId="1" xfId="0" applyNumberFormat="1" applyFont="1" applyBorder="1" applyAlignment="1">
      <alignment horizontal="center" vertical="center"/>
    </xf>
    <xf numFmtId="49" fontId="56" fillId="0" borderId="0" xfId="38401" applyNumberFormat="1" applyFont="1" applyAlignment="1">
      <alignment vertical="center"/>
    </xf>
    <xf numFmtId="3" fontId="2" fillId="2" borderId="8" xfId="0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vertical="center"/>
    </xf>
    <xf numFmtId="49" fontId="2" fillId="0" borderId="1" xfId="38402" applyNumberFormat="1" applyFont="1" applyBorder="1" applyAlignment="1">
      <alignment horizontal="center" vertical="center"/>
    </xf>
    <xf numFmtId="3" fontId="12" fillId="5" borderId="58" xfId="1" applyNumberFormat="1" applyFont="1" applyFill="1" applyBorder="1" applyAlignment="1"/>
    <xf numFmtId="0" fontId="2" fillId="2" borderId="58" xfId="0" quotePrefix="1" applyFont="1" applyFill="1" applyBorder="1" applyAlignment="1">
      <alignment horizontal="left"/>
    </xf>
    <xf numFmtId="49" fontId="2" fillId="0" borderId="1" xfId="7" applyNumberFormat="1" applyFont="1" applyBorder="1" applyAlignment="1">
      <alignment vertical="top" wrapText="1"/>
    </xf>
    <xf numFmtId="49" fontId="2" fillId="0" borderId="1" xfId="7" applyNumberFormat="1" applyFont="1" applyBorder="1" applyAlignment="1">
      <alignment horizontal="center" vertical="top" wrapText="1"/>
    </xf>
    <xf numFmtId="0" fontId="14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49" fontId="5" fillId="2" borderId="1" xfId="0" applyNumberFormat="1" applyFont="1" applyFill="1" applyBorder="1" applyAlignment="1">
      <alignment vertical="center" wrapText="1"/>
    </xf>
    <xf numFmtId="0" fontId="3" fillId="0" borderId="0" xfId="0" applyFont="1"/>
    <xf numFmtId="166" fontId="14" fillId="2" borderId="0" xfId="1" applyNumberFormat="1" applyFont="1" applyFill="1" applyBorder="1" applyAlignment="1">
      <alignment vertical="center"/>
    </xf>
    <xf numFmtId="170" fontId="14" fillId="2" borderId="0" xfId="1" applyNumberFormat="1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170" fontId="14" fillId="2" borderId="0" xfId="1" applyNumberFormat="1" applyFont="1" applyFill="1" applyBorder="1" applyAlignment="1">
      <alignment horizontal="left" vertical="center" indent="1"/>
    </xf>
    <xf numFmtId="166" fontId="31" fillId="2" borderId="0" xfId="1" applyNumberFormat="1" applyFont="1" applyFill="1" applyBorder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2" fillId="0" borderId="0" xfId="7" applyNumberFormat="1" applyFont="1" applyAlignment="1">
      <alignment vertical="top" wrapText="1"/>
    </xf>
    <xf numFmtId="166" fontId="14" fillId="2" borderId="1" xfId="1" applyNumberFormat="1" applyFont="1" applyFill="1" applyBorder="1" applyAlignment="1">
      <alignment vertical="center"/>
    </xf>
    <xf numFmtId="170" fontId="14" fillId="2" borderId="1" xfId="1" applyNumberFormat="1" applyFont="1" applyFill="1" applyBorder="1" applyAlignment="1">
      <alignment vertical="center"/>
    </xf>
    <xf numFmtId="0" fontId="14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left" vertical="center" indent="1"/>
    </xf>
    <xf numFmtId="166" fontId="31" fillId="2" borderId="1" xfId="1" applyNumberFormat="1" applyFont="1" applyFill="1" applyBorder="1" applyAlignment="1">
      <alignment vertical="center"/>
    </xf>
    <xf numFmtId="49" fontId="3" fillId="3" borderId="1" xfId="2" quotePrefix="1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wrapText="1"/>
    </xf>
    <xf numFmtId="166" fontId="3" fillId="2" borderId="24" xfId="1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/>
    </xf>
    <xf numFmtId="185" fontId="12" fillId="5" borderId="13" xfId="1" quotePrefix="1" applyNumberFormat="1" applyFont="1" applyFill="1" applyBorder="1" applyAlignment="1">
      <alignment horizontal="center"/>
    </xf>
    <xf numFmtId="0" fontId="51" fillId="65" borderId="1" xfId="0" applyFont="1" applyFill="1" applyBorder="1" applyAlignment="1">
      <alignment vertical="center"/>
    </xf>
    <xf numFmtId="164" fontId="5" fillId="0" borderId="1" xfId="0" quotePrefix="1" applyNumberFormat="1" applyFont="1" applyBorder="1" applyAlignment="1">
      <alignment horizontal="center"/>
    </xf>
    <xf numFmtId="3" fontId="98" fillId="0" borderId="1" xfId="0" applyNumberFormat="1" applyFont="1" applyBorder="1" applyAlignment="1">
      <alignment wrapText="1"/>
    </xf>
    <xf numFmtId="175" fontId="23" fillId="2" borderId="1" xfId="0" quotePrefix="1" applyNumberFormat="1" applyFont="1" applyFill="1" applyBorder="1" applyAlignment="1">
      <alignment horizontal="center" vertical="center" wrapText="1"/>
    </xf>
    <xf numFmtId="0" fontId="21" fillId="2" borderId="56" xfId="0" applyFont="1" applyFill="1" applyBorder="1" applyAlignment="1">
      <alignment horizontal="center" vertical="center"/>
    </xf>
    <xf numFmtId="166" fontId="2" fillId="5" borderId="7" xfId="1" quotePrefix="1" applyNumberFormat="1" applyFont="1" applyFill="1" applyBorder="1" applyAlignment="1">
      <alignment horizontal="right" wrapText="1" shrinkToFit="1"/>
    </xf>
    <xf numFmtId="0" fontId="21" fillId="2" borderId="1" xfId="0" quotePrefix="1" applyFont="1" applyFill="1" applyBorder="1" applyAlignment="1">
      <alignment vertical="center"/>
    </xf>
    <xf numFmtId="168" fontId="21" fillId="2" borderId="58" xfId="0" applyNumberFormat="1" applyFont="1" applyFill="1" applyBorder="1" applyAlignment="1">
      <alignment horizontal="left" vertical="center"/>
    </xf>
    <xf numFmtId="0" fontId="21" fillId="2" borderId="58" xfId="0" applyFont="1" applyFill="1" applyBorder="1" applyAlignment="1">
      <alignment horizontal="center" vertical="center" wrapText="1"/>
    </xf>
    <xf numFmtId="166" fontId="21" fillId="9" borderId="1" xfId="1" applyNumberFormat="1" applyFont="1" applyFill="1" applyBorder="1" applyAlignment="1">
      <alignment horizontal="right" vertical="center"/>
    </xf>
    <xf numFmtId="166" fontId="21" fillId="0" borderId="1" xfId="1" applyNumberFormat="1" applyFont="1" applyFill="1" applyBorder="1" applyAlignment="1">
      <alignment vertical="center"/>
    </xf>
    <xf numFmtId="3" fontId="12" fillId="11" borderId="1" xfId="1" applyNumberFormat="1" applyFont="1" applyFill="1" applyBorder="1" applyAlignment="1"/>
    <xf numFmtId="0" fontId="20" fillId="2" borderId="0" xfId="0" quotePrefix="1" applyFont="1" applyFill="1" applyAlignment="1">
      <alignment horizontal="center" vertical="center"/>
    </xf>
    <xf numFmtId="172" fontId="21" fillId="3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0" fillId="2" borderId="1" xfId="0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Border="1" applyAlignment="1">
      <alignment horizontal="left"/>
    </xf>
    <xf numFmtId="170" fontId="21" fillId="12" borderId="1" xfId="1" applyNumberFormat="1" applyFont="1" applyFill="1" applyBorder="1" applyAlignment="1">
      <alignment horizontal="center" vertical="center"/>
    </xf>
    <xf numFmtId="186" fontId="2" fillId="5" borderId="7" xfId="1" quotePrefix="1" applyNumberFormat="1" applyFont="1" applyFill="1" applyBorder="1" applyAlignment="1">
      <alignment horizontal="right" vertical="center" shrinkToFit="1"/>
    </xf>
    <xf numFmtId="164" fontId="5" fillId="2" borderId="58" xfId="0" applyNumberFormat="1" applyFont="1" applyFill="1" applyBorder="1" applyAlignment="1">
      <alignment horizontal="left" wrapText="1"/>
    </xf>
    <xf numFmtId="14" fontId="2" fillId="0" borderId="58" xfId="0" applyNumberFormat="1" applyFont="1" applyBorder="1" applyAlignment="1">
      <alignment horizontal="center"/>
    </xf>
    <xf numFmtId="164" fontId="6" fillId="0" borderId="58" xfId="0" applyNumberFormat="1" applyFont="1" applyBorder="1" applyAlignment="1">
      <alignment horizontal="center"/>
    </xf>
    <xf numFmtId="164" fontId="11" fillId="2" borderId="58" xfId="0" applyNumberFormat="1" applyFont="1" applyFill="1" applyBorder="1" applyAlignment="1">
      <alignment horizontal="center"/>
    </xf>
    <xf numFmtId="49" fontId="2" fillId="2" borderId="58" xfId="2" quotePrefix="1" applyNumberFormat="1" applyFont="1" applyFill="1" applyBorder="1" applyAlignment="1">
      <alignment horizontal="center" wrapText="1"/>
    </xf>
    <xf numFmtId="49" fontId="2" fillId="0" borderId="58" xfId="2" quotePrefix="1" applyNumberFormat="1" applyFont="1" applyBorder="1"/>
    <xf numFmtId="164" fontId="3" fillId="0" borderId="24" xfId="0" applyNumberFormat="1" applyFont="1" applyBorder="1" applyAlignment="1">
      <alignment horizontal="left"/>
    </xf>
    <xf numFmtId="49" fontId="5" fillId="3" borderId="24" xfId="2" quotePrefix="1" applyNumberFormat="1" applyFont="1" applyFill="1" applyBorder="1" applyAlignment="1">
      <alignment horizontal="center"/>
    </xf>
    <xf numFmtId="164" fontId="5" fillId="0" borderId="58" xfId="0" quotePrefix="1" applyNumberFormat="1" applyFont="1" applyBorder="1" applyAlignment="1">
      <alignment horizontal="center"/>
    </xf>
    <xf numFmtId="166" fontId="3" fillId="2" borderId="58" xfId="1" applyNumberFormat="1" applyFont="1" applyFill="1" applyBorder="1" applyAlignment="1">
      <alignment horizontal="right" vertical="center"/>
    </xf>
    <xf numFmtId="49" fontId="2" fillId="0" borderId="58" xfId="2" quotePrefix="1" applyNumberFormat="1" applyFont="1" applyBorder="1" applyAlignment="1">
      <alignment horizontal="center"/>
    </xf>
    <xf numFmtId="166" fontId="21" fillId="2" borderId="58" xfId="1" applyNumberFormat="1" applyFont="1" applyFill="1" applyBorder="1" applyAlignment="1">
      <alignment vertical="center"/>
    </xf>
    <xf numFmtId="170" fontId="21" fillId="2" borderId="58" xfId="1" applyNumberFormat="1" applyFont="1" applyFill="1" applyBorder="1" applyAlignment="1">
      <alignment vertical="center"/>
    </xf>
    <xf numFmtId="0" fontId="20" fillId="2" borderId="58" xfId="0" applyFont="1" applyFill="1" applyBorder="1" applyAlignment="1">
      <alignment horizontal="center" vertical="center"/>
    </xf>
    <xf numFmtId="49" fontId="24" fillId="2" borderId="58" xfId="0" applyNumberFormat="1" applyFont="1" applyFill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/>
    </xf>
    <xf numFmtId="3" fontId="12" fillId="5" borderId="24" xfId="1" applyNumberFormat="1" applyFont="1" applyFill="1" applyBorder="1" applyAlignment="1"/>
    <xf numFmtId="0" fontId="2" fillId="2" borderId="24" xfId="0" quotePrefix="1" applyFont="1" applyFill="1" applyBorder="1" applyAlignment="1">
      <alignment horizontal="left"/>
    </xf>
    <xf numFmtId="49" fontId="24" fillId="2" borderId="24" xfId="0" applyNumberFormat="1" applyFont="1" applyFill="1" applyBorder="1" applyAlignment="1">
      <alignment horizontal="center" vertical="center"/>
    </xf>
    <xf numFmtId="0" fontId="2" fillId="5" borderId="23" xfId="1" quotePrefix="1" applyNumberFormat="1" applyFont="1" applyFill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right"/>
    </xf>
    <xf numFmtId="170" fontId="31" fillId="8" borderId="59" xfId="1" applyNumberFormat="1" applyFont="1" applyFill="1" applyBorder="1" applyAlignment="1">
      <alignment horizontal="center" vertical="center" wrapText="1"/>
    </xf>
    <xf numFmtId="0" fontId="19" fillId="2" borderId="59" xfId="0" applyFont="1" applyFill="1" applyBorder="1" applyAlignment="1">
      <alignment vertical="center" wrapText="1"/>
    </xf>
    <xf numFmtId="170" fontId="21" fillId="12" borderId="59" xfId="1" applyNumberFormat="1" applyFont="1" applyFill="1" applyBorder="1" applyAlignment="1">
      <alignment vertical="center"/>
    </xf>
    <xf numFmtId="170" fontId="21" fillId="2" borderId="59" xfId="1" applyNumberFormat="1" applyFont="1" applyFill="1" applyBorder="1" applyAlignment="1">
      <alignment vertical="center"/>
    </xf>
    <xf numFmtId="170" fontId="19" fillId="2" borderId="59" xfId="1" applyNumberFormat="1" applyFont="1" applyFill="1" applyBorder="1" applyAlignment="1">
      <alignment vertical="center"/>
    </xf>
    <xf numFmtId="170" fontId="21" fillId="12" borderId="59" xfId="1" applyNumberFormat="1" applyFont="1" applyFill="1" applyBorder="1" applyAlignment="1">
      <alignment horizontal="center" vertical="center"/>
    </xf>
    <xf numFmtId="166" fontId="19" fillId="10" borderId="1" xfId="1" applyNumberFormat="1" applyFont="1" applyFill="1" applyBorder="1" applyAlignment="1">
      <alignment vertical="center"/>
    </xf>
    <xf numFmtId="166" fontId="12" fillId="5" borderId="13" xfId="1" quotePrefix="1" applyNumberFormat="1" applyFont="1" applyFill="1" applyBorder="1" applyAlignment="1">
      <alignment horizontal="center" wrapText="1"/>
    </xf>
    <xf numFmtId="173" fontId="2" fillId="0" borderId="1" xfId="0" quotePrefix="1" applyNumberFormat="1" applyFont="1" applyBorder="1" applyAlignment="1">
      <alignment horizontal="center"/>
    </xf>
    <xf numFmtId="49" fontId="3" fillId="3" borderId="1" xfId="2" quotePrefix="1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3" fontId="2" fillId="2" borderId="0" xfId="2" applyNumberFormat="1" applyFont="1" applyFill="1" applyAlignment="1">
      <alignment horizontal="center" wrapText="1"/>
    </xf>
    <xf numFmtId="3" fontId="2" fillId="2" borderId="59" xfId="2" applyNumberFormat="1" applyFont="1" applyFill="1" applyBorder="1" applyAlignment="1">
      <alignment horizontal="center" wrapText="1"/>
    </xf>
    <xf numFmtId="3" fontId="2" fillId="2" borderId="60" xfId="2" applyNumberFormat="1" applyFont="1" applyFill="1" applyBorder="1" applyAlignment="1">
      <alignment horizontal="center" wrapText="1"/>
    </xf>
    <xf numFmtId="3" fontId="14" fillId="2" borderId="59" xfId="2" applyNumberFormat="1" applyFont="1" applyFill="1" applyBorder="1" applyAlignment="1">
      <alignment horizontal="center" wrapText="1"/>
    </xf>
    <xf numFmtId="4" fontId="2" fillId="2" borderId="0" xfId="0" applyNumberFormat="1" applyFont="1" applyFill="1" applyAlignment="1">
      <alignment horizontal="center" wrapText="1"/>
    </xf>
    <xf numFmtId="4" fontId="2" fillId="2" borderId="59" xfId="0" applyNumberFormat="1" applyFont="1" applyFill="1" applyBorder="1" applyAlignment="1">
      <alignment horizontal="center" wrapText="1"/>
    </xf>
    <xf numFmtId="49" fontId="2" fillId="2" borderId="59" xfId="3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wrapText="1"/>
    </xf>
    <xf numFmtId="49" fontId="2" fillId="2" borderId="59" xfId="2" quotePrefix="1" applyNumberFormat="1" applyFont="1" applyFill="1" applyBorder="1"/>
    <xf numFmtId="49" fontId="2" fillId="2" borderId="59" xfId="2" quotePrefix="1" applyNumberFormat="1" applyFont="1" applyFill="1" applyBorder="1" applyAlignment="1">
      <alignment wrapText="1"/>
    </xf>
    <xf numFmtId="49" fontId="2" fillId="2" borderId="59" xfId="2" quotePrefix="1" applyNumberFormat="1" applyFont="1" applyFill="1" applyBorder="1" applyAlignment="1">
      <alignment horizontal="center" wrapText="1"/>
    </xf>
    <xf numFmtId="49" fontId="2" fillId="2" borderId="0" xfId="2" quotePrefix="1" applyNumberFormat="1" applyFont="1" applyFill="1" applyAlignment="1">
      <alignment horizontal="center" wrapText="1"/>
    </xf>
    <xf numFmtId="164" fontId="10" fillId="0" borderId="7" xfId="0" applyNumberFormat="1" applyFont="1" applyBorder="1" applyAlignment="1">
      <alignment horizontal="center" wrapText="1"/>
    </xf>
    <xf numFmtId="164" fontId="2" fillId="0" borderId="59" xfId="0" applyNumberFormat="1" applyFont="1" applyBorder="1" applyAlignment="1">
      <alignment horizontal="right"/>
    </xf>
    <xf numFmtId="0" fontId="3" fillId="3" borderId="8" xfId="0" applyFont="1" applyFill="1" applyBorder="1" applyAlignment="1">
      <alignment horizontal="center"/>
    </xf>
    <xf numFmtId="49" fontId="2" fillId="0" borderId="57" xfId="2" quotePrefix="1" applyNumberFormat="1" applyFont="1" applyBorder="1"/>
    <xf numFmtId="49" fontId="2" fillId="0" borderId="53" xfId="2" quotePrefix="1" applyNumberFormat="1" applyFont="1" applyBorder="1"/>
    <xf numFmtId="0" fontId="2" fillId="2" borderId="59" xfId="0" quotePrefix="1" applyFont="1" applyFill="1" applyBorder="1" applyAlignment="1">
      <alignment horizontal="left" wrapText="1"/>
    </xf>
    <xf numFmtId="3" fontId="2" fillId="2" borderId="61" xfId="2" applyNumberFormat="1" applyFont="1" applyFill="1" applyBorder="1" applyAlignment="1">
      <alignment horizontal="center" wrapText="1"/>
    </xf>
    <xf numFmtId="0" fontId="3" fillId="3" borderId="59" xfId="0" applyFont="1" applyFill="1" applyBorder="1" applyAlignment="1">
      <alignment horizontal="center"/>
    </xf>
    <xf numFmtId="166" fontId="12" fillId="5" borderId="59" xfId="1" quotePrefix="1" applyNumberFormat="1" applyFont="1" applyFill="1" applyBorder="1" applyAlignment="1">
      <alignment horizontal="center"/>
    </xf>
    <xf numFmtId="0" fontId="3" fillId="0" borderId="59" xfId="0" applyFont="1" applyBorder="1" applyAlignment="1">
      <alignment horizontal="left"/>
    </xf>
    <xf numFmtId="0" fontId="2" fillId="0" borderId="61" xfId="0" applyFont="1" applyBorder="1" applyAlignment="1">
      <alignment horizontal="center"/>
    </xf>
    <xf numFmtId="164" fontId="5" fillId="0" borderId="60" xfId="0" applyNumberFormat="1" applyFont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 vertical="center"/>
    </xf>
    <xf numFmtId="164" fontId="6" fillId="0" borderId="60" xfId="0" applyNumberFormat="1" applyFont="1" applyBorder="1" applyAlignment="1">
      <alignment horizontal="center" vertical="center"/>
    </xf>
    <xf numFmtId="164" fontId="11" fillId="2" borderId="60" xfId="0" applyNumberFormat="1" applyFont="1" applyFill="1" applyBorder="1" applyAlignment="1">
      <alignment horizontal="center" vertical="center"/>
    </xf>
    <xf numFmtId="0" fontId="3" fillId="0" borderId="60" xfId="0" applyFont="1" applyBorder="1" applyAlignment="1">
      <alignment horizontal="left"/>
    </xf>
    <xf numFmtId="3" fontId="12" fillId="5" borderId="61" xfId="1" applyNumberFormat="1" applyFont="1" applyFill="1" applyBorder="1" applyAlignment="1"/>
    <xf numFmtId="166" fontId="21" fillId="2" borderId="60" xfId="1" applyNumberFormat="1" applyFont="1" applyFill="1" applyBorder="1" applyAlignment="1">
      <alignment vertical="center"/>
    </xf>
    <xf numFmtId="166" fontId="21" fillId="10" borderId="60" xfId="1" applyNumberFormat="1" applyFont="1" applyFill="1" applyBorder="1" applyAlignment="1">
      <alignment vertical="center"/>
    </xf>
    <xf numFmtId="166" fontId="21" fillId="9" borderId="60" xfId="1" applyNumberFormat="1" applyFont="1" applyFill="1" applyBorder="1" applyAlignment="1">
      <alignment vertical="center"/>
    </xf>
    <xf numFmtId="170" fontId="21" fillId="2" borderId="60" xfId="1" applyNumberFormat="1" applyFont="1" applyFill="1" applyBorder="1" applyAlignment="1">
      <alignment vertical="center"/>
    </xf>
    <xf numFmtId="166" fontId="21" fillId="13" borderId="60" xfId="1" applyNumberFormat="1" applyFont="1" applyFill="1" applyBorder="1" applyAlignment="1">
      <alignment vertical="center"/>
    </xf>
    <xf numFmtId="170" fontId="21" fillId="16" borderId="60" xfId="0" applyNumberFormat="1" applyFont="1" applyFill="1" applyBorder="1" applyAlignment="1">
      <alignment vertical="center"/>
    </xf>
    <xf numFmtId="0" fontId="20" fillId="2" borderId="60" xfId="0" applyFont="1" applyFill="1" applyBorder="1" applyAlignment="1">
      <alignment horizontal="center" vertical="center"/>
    </xf>
    <xf numFmtId="170" fontId="21" fillId="14" borderId="60" xfId="1" applyNumberFormat="1" applyFont="1" applyFill="1" applyBorder="1" applyAlignment="1">
      <alignment horizontal="left" vertical="center" indent="1"/>
    </xf>
    <xf numFmtId="166" fontId="23" fillId="15" borderId="60" xfId="1" applyNumberFormat="1" applyFont="1" applyFill="1" applyBorder="1" applyAlignment="1">
      <alignment vertical="center"/>
    </xf>
    <xf numFmtId="14" fontId="2" fillId="2" borderId="60" xfId="0" applyNumberFormat="1" applyFont="1" applyFill="1" applyBorder="1" applyAlignment="1">
      <alignment horizontal="center"/>
    </xf>
    <xf numFmtId="166" fontId="20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vertical="center"/>
    </xf>
    <xf numFmtId="0" fontId="2" fillId="0" borderId="59" xfId="0" applyFont="1" applyBorder="1" applyAlignment="1">
      <alignment horizontal="center"/>
    </xf>
    <xf numFmtId="166" fontId="2" fillId="5" borderId="59" xfId="1" applyNumberFormat="1" applyFont="1" applyFill="1" applyBorder="1" applyAlignment="1">
      <alignment horizontal="right"/>
    </xf>
    <xf numFmtId="164" fontId="5" fillId="0" borderId="59" xfId="0" applyNumberFormat="1" applyFont="1" applyBorder="1" applyAlignment="1">
      <alignment horizontal="left" wrapText="1"/>
    </xf>
    <xf numFmtId="14" fontId="2" fillId="0" borderId="59" xfId="0" applyNumberFormat="1" applyFont="1" applyBorder="1" applyAlignment="1">
      <alignment horizontal="center"/>
    </xf>
    <xf numFmtId="164" fontId="6" fillId="0" borderId="59" xfId="0" applyNumberFormat="1" applyFont="1" applyBorder="1" applyAlignment="1">
      <alignment horizontal="center"/>
    </xf>
    <xf numFmtId="164" fontId="11" fillId="2" borderId="59" xfId="0" applyNumberFormat="1" applyFont="1" applyFill="1" applyBorder="1" applyAlignment="1">
      <alignment horizontal="center"/>
    </xf>
    <xf numFmtId="3" fontId="2" fillId="2" borderId="59" xfId="0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/>
    <xf numFmtId="166" fontId="21" fillId="2" borderId="59" xfId="1" applyNumberFormat="1" applyFont="1" applyFill="1" applyBorder="1" applyAlignment="1">
      <alignment vertical="center"/>
    </xf>
    <xf numFmtId="166" fontId="21" fillId="10" borderId="59" xfId="1" applyNumberFormat="1" applyFont="1" applyFill="1" applyBorder="1" applyAlignment="1">
      <alignment vertical="center"/>
    </xf>
    <xf numFmtId="166" fontId="21" fillId="13" borderId="59" xfId="1" applyNumberFormat="1" applyFont="1" applyFill="1" applyBorder="1" applyAlignment="1">
      <alignment vertical="center"/>
    </xf>
    <xf numFmtId="170" fontId="21" fillId="16" borderId="59" xfId="0" applyNumberFormat="1" applyFont="1" applyFill="1" applyBorder="1" applyAlignment="1">
      <alignment vertical="center"/>
    </xf>
    <xf numFmtId="0" fontId="20" fillId="2" borderId="59" xfId="0" applyFont="1" applyFill="1" applyBorder="1" applyAlignment="1">
      <alignment horizontal="center" vertical="center"/>
    </xf>
    <xf numFmtId="170" fontId="21" fillId="14" borderId="59" xfId="1" applyNumberFormat="1" applyFont="1" applyFill="1" applyBorder="1" applyAlignment="1">
      <alignment horizontal="left" vertical="center" indent="1"/>
    </xf>
    <xf numFmtId="166" fontId="23" fillId="15" borderId="59" xfId="1" applyNumberFormat="1" applyFont="1" applyFill="1" applyBorder="1" applyAlignment="1">
      <alignment vertical="center"/>
    </xf>
    <xf numFmtId="49" fontId="24" fillId="2" borderId="59" xfId="0" applyNumberFormat="1" applyFont="1" applyFill="1" applyBorder="1" applyAlignment="1">
      <alignment horizontal="center" vertical="center"/>
    </xf>
    <xf numFmtId="14" fontId="2" fillId="2" borderId="59" xfId="3" applyNumberFormat="1" applyFont="1" applyFill="1" applyBorder="1" applyAlignment="1">
      <alignment horizontal="left"/>
    </xf>
    <xf numFmtId="0" fontId="2" fillId="0" borderId="59" xfId="0" applyFont="1" applyBorder="1"/>
    <xf numFmtId="166" fontId="20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vertical="center"/>
    </xf>
    <xf numFmtId="166" fontId="2" fillId="5" borderId="23" xfId="1" applyNumberFormat="1" applyFont="1" applyFill="1" applyBorder="1" applyAlignment="1">
      <alignment horizontal="right"/>
    </xf>
    <xf numFmtId="164" fontId="5" fillId="0" borderId="24" xfId="0" applyNumberFormat="1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3" fontId="12" fillId="5" borderId="20" xfId="1" applyNumberFormat="1" applyFont="1" applyFill="1" applyBorder="1" applyAlignment="1"/>
    <xf numFmtId="166" fontId="21" fillId="10" borderId="24" xfId="1" applyNumberFormat="1" applyFont="1" applyFill="1" applyBorder="1" applyAlignment="1">
      <alignment vertical="center"/>
    </xf>
    <xf numFmtId="166" fontId="21" fillId="9" borderId="24" xfId="1" applyNumberFormat="1" applyFont="1" applyFill="1" applyBorder="1" applyAlignment="1">
      <alignment vertical="center"/>
    </xf>
    <xf numFmtId="166" fontId="21" fillId="12" borderId="24" xfId="1" applyNumberFormat="1" applyFont="1" applyFill="1" applyBorder="1" applyAlignment="1">
      <alignment vertical="center"/>
    </xf>
    <xf numFmtId="164" fontId="5" fillId="0" borderId="59" xfId="0" applyNumberFormat="1" applyFont="1" applyBorder="1" applyAlignment="1">
      <alignment horizontal="center" vertical="center"/>
    </xf>
    <xf numFmtId="14" fontId="2" fillId="0" borderId="59" xfId="0" applyNumberFormat="1" applyFont="1" applyBorder="1" applyAlignment="1">
      <alignment horizontal="center" vertical="center"/>
    </xf>
    <xf numFmtId="164" fontId="6" fillId="0" borderId="59" xfId="0" applyNumberFormat="1" applyFont="1" applyBorder="1" applyAlignment="1">
      <alignment horizontal="center" vertical="center"/>
    </xf>
    <xf numFmtId="164" fontId="11" fillId="2" borderId="59" xfId="0" applyNumberFormat="1" applyFont="1" applyFill="1" applyBorder="1" applyAlignment="1">
      <alignment horizontal="center" vertical="center"/>
    </xf>
    <xf numFmtId="3" fontId="2" fillId="2" borderId="59" xfId="0" applyNumberFormat="1" applyFont="1" applyFill="1" applyBorder="1" applyAlignment="1">
      <alignment horizontal="center" vertical="center"/>
    </xf>
    <xf numFmtId="166" fontId="21" fillId="9" borderId="59" xfId="1" applyNumberFormat="1" applyFont="1" applyFill="1" applyBorder="1" applyAlignment="1">
      <alignment vertical="center"/>
    </xf>
    <xf numFmtId="14" fontId="3" fillId="7" borderId="59" xfId="0" applyNumberFormat="1" applyFont="1" applyFill="1" applyBorder="1" applyAlignment="1">
      <alignment horizontal="center" vertical="center"/>
    </xf>
    <xf numFmtId="14" fontId="2" fillId="0" borderId="60" xfId="0" applyNumberFormat="1" applyFont="1" applyBorder="1" applyAlignment="1">
      <alignment horizontal="center"/>
    </xf>
    <xf numFmtId="164" fontId="6" fillId="0" borderId="60" xfId="0" applyNumberFormat="1" applyFont="1" applyBorder="1" applyAlignment="1">
      <alignment horizontal="center"/>
    </xf>
    <xf numFmtId="164" fontId="11" fillId="2" borderId="60" xfId="0" applyNumberFormat="1" applyFont="1" applyFill="1" applyBorder="1" applyAlignment="1">
      <alignment horizontal="center"/>
    </xf>
    <xf numFmtId="4" fontId="2" fillId="2" borderId="60" xfId="0" applyNumberFormat="1" applyFont="1" applyFill="1" applyBorder="1" applyAlignment="1">
      <alignment horizontal="center" wrapText="1"/>
    </xf>
    <xf numFmtId="170" fontId="21" fillId="12" borderId="60" xfId="1" applyNumberFormat="1" applyFont="1" applyFill="1" applyBorder="1" applyAlignment="1">
      <alignment vertical="center"/>
    </xf>
    <xf numFmtId="49" fontId="24" fillId="2" borderId="60" xfId="0" applyNumberFormat="1" applyFont="1" applyFill="1" applyBorder="1" applyAlignment="1">
      <alignment horizontal="center" vertical="center"/>
    </xf>
    <xf numFmtId="49" fontId="2" fillId="0" borderId="59" xfId="3" quotePrefix="1" applyNumberFormat="1" applyFont="1" applyBorder="1"/>
    <xf numFmtId="0" fontId="3" fillId="3" borderId="34" xfId="0" applyFont="1" applyFill="1" applyBorder="1" applyAlignment="1">
      <alignment horizontal="center" vertical="center"/>
    </xf>
    <xf numFmtId="164" fontId="5" fillId="3" borderId="59" xfId="0" applyNumberFormat="1" applyFont="1" applyFill="1" applyBorder="1" applyAlignment="1">
      <alignment horizontal="center" vertical="center"/>
    </xf>
    <xf numFmtId="14" fontId="3" fillId="2" borderId="59" xfId="0" applyNumberFormat="1" applyFont="1" applyFill="1" applyBorder="1" applyAlignment="1">
      <alignment horizontal="center" vertical="center"/>
    </xf>
    <xf numFmtId="14" fontId="2" fillId="3" borderId="24" xfId="0" applyNumberFormat="1" applyFont="1" applyFill="1" applyBorder="1" applyAlignment="1">
      <alignment horizontal="center"/>
    </xf>
    <xf numFmtId="4" fontId="2" fillId="2" borderId="59" xfId="0" applyNumberFormat="1" applyFont="1" applyFill="1" applyBorder="1" applyAlignment="1">
      <alignment horizontal="left" wrapText="1"/>
    </xf>
    <xf numFmtId="14" fontId="2" fillId="3" borderId="34" xfId="0" applyNumberFormat="1" applyFont="1" applyFill="1" applyBorder="1" applyAlignment="1">
      <alignment horizontal="center"/>
    </xf>
    <xf numFmtId="164" fontId="3" fillId="2" borderId="59" xfId="0" applyNumberFormat="1" applyFont="1" applyFill="1" applyBorder="1" applyAlignment="1">
      <alignment horizontal="left"/>
    </xf>
    <xf numFmtId="168" fontId="2" fillId="0" borderId="59" xfId="0" applyNumberFormat="1" applyFont="1" applyBorder="1" applyAlignment="1">
      <alignment horizontal="center"/>
    </xf>
    <xf numFmtId="49" fontId="3" fillId="0" borderId="59" xfId="2" quotePrefix="1" applyNumberFormat="1" applyFont="1" applyBorder="1" applyAlignment="1">
      <alignment horizontal="center"/>
    </xf>
    <xf numFmtId="164" fontId="3" fillId="0" borderId="59" xfId="0" applyNumberFormat="1" applyFont="1" applyBorder="1" applyAlignment="1">
      <alignment horizontal="left"/>
    </xf>
    <xf numFmtId="164" fontId="3" fillId="2" borderId="60" xfId="0" applyNumberFormat="1" applyFont="1" applyFill="1" applyBorder="1" applyAlignment="1">
      <alignment horizontal="left"/>
    </xf>
    <xf numFmtId="49" fontId="2" fillId="2" borderId="60" xfId="2" quotePrefix="1" applyNumberFormat="1" applyFont="1" applyFill="1" applyBorder="1" applyAlignment="1">
      <alignment wrapText="1"/>
    </xf>
    <xf numFmtId="3" fontId="12" fillId="5" borderId="61" xfId="1" applyNumberFormat="1" applyFont="1" applyFill="1" applyBorder="1" applyAlignment="1">
      <alignment horizontal="center"/>
    </xf>
    <xf numFmtId="3" fontId="12" fillId="5" borderId="59" xfId="1" applyNumberFormat="1" applyFont="1" applyFill="1" applyBorder="1" applyAlignment="1">
      <alignment horizontal="center"/>
    </xf>
    <xf numFmtId="175" fontId="3" fillId="2" borderId="59" xfId="0" applyNumberFormat="1" applyFont="1" applyFill="1" applyBorder="1" applyAlignment="1">
      <alignment horizontal="left"/>
    </xf>
    <xf numFmtId="3" fontId="6" fillId="5" borderId="59" xfId="1" applyNumberFormat="1" applyFont="1" applyFill="1" applyBorder="1" applyAlignment="1">
      <alignment horizontal="center"/>
    </xf>
    <xf numFmtId="164" fontId="5" fillId="2" borderId="59" xfId="0" applyNumberFormat="1" applyFont="1" applyFill="1" applyBorder="1" applyAlignment="1">
      <alignment horizontal="left" wrapText="1"/>
    </xf>
    <xf numFmtId="164" fontId="12" fillId="5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/>
    <xf numFmtId="164" fontId="3" fillId="0" borderId="34" xfId="0" applyNumberFormat="1" applyFont="1" applyBorder="1" applyAlignment="1">
      <alignment horizontal="left"/>
    </xf>
    <xf numFmtId="166" fontId="23" fillId="0" borderId="59" xfId="1" applyNumberFormat="1" applyFont="1" applyFill="1" applyBorder="1" applyAlignment="1">
      <alignment vertical="center"/>
    </xf>
    <xf numFmtId="14" fontId="2" fillId="0" borderId="34" xfId="0" applyNumberFormat="1" applyFont="1" applyBorder="1" applyAlignment="1">
      <alignment horizontal="center"/>
    </xf>
    <xf numFmtId="164" fontId="6" fillId="0" borderId="34" xfId="0" applyNumberFormat="1" applyFont="1" applyBorder="1" applyAlignment="1">
      <alignment horizontal="center"/>
    </xf>
    <xf numFmtId="164" fontId="11" fillId="2" borderId="34" xfId="0" applyNumberFormat="1" applyFont="1" applyFill="1" applyBorder="1" applyAlignment="1">
      <alignment horizontal="center"/>
    </xf>
    <xf numFmtId="49" fontId="2" fillId="2" borderId="34" xfId="2" quotePrefix="1" applyNumberFormat="1" applyFont="1" applyFill="1" applyBorder="1" applyAlignment="1">
      <alignment wrapText="1"/>
    </xf>
    <xf numFmtId="3" fontId="12" fillId="5" borderId="34" xfId="1" applyNumberFormat="1" applyFont="1" applyFill="1" applyBorder="1" applyAlignment="1"/>
    <xf numFmtId="0" fontId="2" fillId="2" borderId="34" xfId="0" quotePrefix="1" applyFont="1" applyFill="1" applyBorder="1" applyAlignment="1">
      <alignment horizontal="left"/>
    </xf>
    <xf numFmtId="166" fontId="21" fillId="10" borderId="34" xfId="1" applyNumberFormat="1" applyFont="1" applyFill="1" applyBorder="1" applyAlignment="1">
      <alignment vertical="center"/>
    </xf>
    <xf numFmtId="166" fontId="21" fillId="2" borderId="34" xfId="1" applyNumberFormat="1" applyFont="1" applyFill="1" applyBorder="1" applyAlignment="1">
      <alignment vertical="center"/>
    </xf>
    <xf numFmtId="170" fontId="21" fillId="12" borderId="34" xfId="1" applyNumberFormat="1" applyFont="1" applyFill="1" applyBorder="1" applyAlignment="1">
      <alignment vertical="center"/>
    </xf>
    <xf numFmtId="166" fontId="21" fillId="13" borderId="34" xfId="1" applyNumberFormat="1" applyFont="1" applyFill="1" applyBorder="1" applyAlignment="1">
      <alignment vertical="center"/>
    </xf>
    <xf numFmtId="170" fontId="21" fillId="16" borderId="34" xfId="0" applyNumberFormat="1" applyFont="1" applyFill="1" applyBorder="1" applyAlignment="1">
      <alignment vertical="center"/>
    </xf>
    <xf numFmtId="0" fontId="20" fillId="2" borderId="34" xfId="0" applyFont="1" applyFill="1" applyBorder="1" applyAlignment="1">
      <alignment horizontal="center" vertical="center"/>
    </xf>
    <xf numFmtId="170" fontId="21" fillId="14" borderId="34" xfId="1" applyNumberFormat="1" applyFont="1" applyFill="1" applyBorder="1" applyAlignment="1">
      <alignment horizontal="left" vertical="center" indent="1"/>
    </xf>
    <xf numFmtId="166" fontId="23" fillId="15" borderId="34" xfId="1" applyNumberFormat="1" applyFont="1" applyFill="1" applyBorder="1" applyAlignment="1">
      <alignment vertical="center"/>
    </xf>
    <xf numFmtId="166" fontId="23" fillId="0" borderId="34" xfId="1" applyNumberFormat="1" applyFont="1" applyFill="1" applyBorder="1" applyAlignment="1">
      <alignment vertical="center"/>
    </xf>
    <xf numFmtId="164" fontId="12" fillId="2" borderId="59" xfId="0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 vertical="center"/>
    </xf>
    <xf numFmtId="0" fontId="2" fillId="3" borderId="59" xfId="0" applyFont="1" applyFill="1" applyBorder="1" applyAlignment="1">
      <alignment vertical="center"/>
    </xf>
    <xf numFmtId="166" fontId="2" fillId="3" borderId="59" xfId="0" applyNumberFormat="1" applyFont="1" applyFill="1" applyBorder="1" applyAlignment="1">
      <alignment vertical="center"/>
    </xf>
    <xf numFmtId="166" fontId="20" fillId="3" borderId="59" xfId="0" applyNumberFormat="1" applyFont="1" applyFill="1" applyBorder="1" applyAlignment="1">
      <alignment vertical="center"/>
    </xf>
    <xf numFmtId="0" fontId="20" fillId="3" borderId="59" xfId="0" applyFont="1" applyFill="1" applyBorder="1" applyAlignment="1">
      <alignment vertical="center"/>
    </xf>
    <xf numFmtId="14" fontId="2" fillId="3" borderId="59" xfId="0" applyNumberFormat="1" applyFont="1" applyFill="1" applyBorder="1" applyAlignment="1">
      <alignment horizontal="center"/>
    </xf>
    <xf numFmtId="164" fontId="5" fillId="2" borderId="34" xfId="0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/>
    <xf numFmtId="164" fontId="12" fillId="2" borderId="3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/>
    <xf numFmtId="170" fontId="21" fillId="2" borderId="34" xfId="1" applyNumberFormat="1" applyFont="1" applyFill="1" applyBorder="1" applyAlignment="1">
      <alignment vertical="center"/>
    </xf>
    <xf numFmtId="43" fontId="12" fillId="5" borderId="1" xfId="1" quotePrefix="1" applyFont="1" applyFill="1" applyBorder="1" applyAlignment="1">
      <alignment horizontal="center"/>
    </xf>
    <xf numFmtId="166" fontId="12" fillId="5" borderId="1" xfId="1" quotePrefix="1" applyNumberFormat="1" applyFont="1" applyFill="1" applyBorder="1" applyAlignment="1">
      <alignment horizontal="center" wrapText="1"/>
    </xf>
    <xf numFmtId="166" fontId="12" fillId="5" borderId="43" xfId="1" quotePrefix="1" applyNumberFormat="1" applyFont="1" applyFill="1" applyBorder="1" applyAlignment="1">
      <alignment horizontal="center" wrapText="1"/>
    </xf>
    <xf numFmtId="186" fontId="2" fillId="5" borderId="7" xfId="1" quotePrefix="1" applyNumberFormat="1" applyFont="1" applyFill="1" applyBorder="1" applyAlignment="1">
      <alignment horizontal="right" wrapText="1" shrinkToFit="1"/>
    </xf>
    <xf numFmtId="164" fontId="136" fillId="2" borderId="60" xfId="0" applyNumberFormat="1" applyFont="1" applyFill="1" applyBorder="1" applyAlignment="1">
      <alignment horizontal="center"/>
    </xf>
    <xf numFmtId="49" fontId="2" fillId="0" borderId="60" xfId="2" quotePrefix="1" applyNumberFormat="1" applyFont="1" applyBorder="1" applyAlignment="1">
      <alignment vertical="center"/>
    </xf>
    <xf numFmtId="3" fontId="12" fillId="5" borderId="60" xfId="1" applyNumberFormat="1" applyFont="1" applyFill="1" applyBorder="1" applyAlignment="1"/>
    <xf numFmtId="43" fontId="12" fillId="5" borderId="43" xfId="1" quotePrefix="1" applyFont="1" applyFill="1" applyBorder="1" applyAlignment="1">
      <alignment horizontal="center"/>
    </xf>
    <xf numFmtId="164" fontId="2" fillId="0" borderId="59" xfId="0" applyNumberFormat="1" applyFont="1" applyBorder="1" applyAlignment="1">
      <alignment horizontal="center"/>
    </xf>
    <xf numFmtId="0" fontId="2" fillId="0" borderId="59" xfId="0" applyFont="1" applyBorder="1" applyAlignment="1">
      <alignment horizontal="left"/>
    </xf>
    <xf numFmtId="170" fontId="21" fillId="2" borderId="59" xfId="1" applyNumberFormat="1" applyFont="1" applyFill="1" applyBorder="1" applyAlignment="1">
      <alignment horizontal="left" vertical="center" indent="1"/>
    </xf>
    <xf numFmtId="164" fontId="136" fillId="2" borderId="59" xfId="0" applyNumberFormat="1" applyFont="1" applyFill="1" applyBorder="1" applyAlignment="1">
      <alignment horizontal="center"/>
    </xf>
    <xf numFmtId="49" fontId="2" fillId="0" borderId="59" xfId="2" quotePrefix="1" applyNumberFormat="1" applyFont="1" applyBorder="1" applyAlignment="1">
      <alignment vertical="center"/>
    </xf>
    <xf numFmtId="14" fontId="2" fillId="3" borderId="0" xfId="0" applyNumberFormat="1" applyFont="1" applyFill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shrinkToFit="1"/>
    </xf>
    <xf numFmtId="164" fontId="3" fillId="0" borderId="60" xfId="0" applyNumberFormat="1" applyFont="1" applyBorder="1" applyAlignment="1">
      <alignment horizontal="left"/>
    </xf>
    <xf numFmtId="49" fontId="2" fillId="2" borderId="60" xfId="2" quotePrefix="1" applyNumberFormat="1" applyFont="1" applyFill="1" applyBorder="1" applyAlignment="1">
      <alignment horizontal="center" wrapText="1"/>
    </xf>
    <xf numFmtId="49" fontId="2" fillId="0" borderId="60" xfId="2" quotePrefix="1" applyNumberFormat="1" applyFont="1" applyBorder="1"/>
    <xf numFmtId="170" fontId="21" fillId="12" borderId="60" xfId="1" applyNumberFormat="1" applyFont="1" applyFill="1" applyBorder="1" applyAlignment="1">
      <alignment horizontal="center" vertical="center"/>
    </xf>
    <xf numFmtId="0" fontId="24" fillId="2" borderId="60" xfId="0" applyFont="1" applyFill="1" applyBorder="1" applyAlignment="1">
      <alignment horizontal="center" vertical="center"/>
    </xf>
    <xf numFmtId="164" fontId="2" fillId="0" borderId="59" xfId="0" quotePrefix="1" applyNumberFormat="1" applyFont="1" applyBorder="1" applyAlignment="1">
      <alignment horizontal="center"/>
    </xf>
    <xf numFmtId="14" fontId="2" fillId="0" borderId="60" xfId="0" quotePrefix="1" applyNumberFormat="1" applyFont="1" applyBorder="1" applyAlignment="1">
      <alignment horizontal="center"/>
    </xf>
    <xf numFmtId="0" fontId="2" fillId="0" borderId="60" xfId="0" quotePrefix="1" applyFont="1" applyBorder="1" applyAlignment="1">
      <alignment horizontal="center"/>
    </xf>
    <xf numFmtId="49" fontId="2" fillId="0" borderId="24" xfId="2" quotePrefix="1" applyNumberFormat="1" applyFont="1" applyBorder="1" applyAlignment="1">
      <alignment horizontal="center" vertical="center"/>
    </xf>
    <xf numFmtId="0" fontId="2" fillId="0" borderId="59" xfId="0" quotePrefix="1" applyFont="1" applyBorder="1" applyAlignment="1">
      <alignment horizontal="center"/>
    </xf>
    <xf numFmtId="170" fontId="24" fillId="14" borderId="1" xfId="1" applyNumberFormat="1" applyFont="1" applyFill="1" applyBorder="1" applyAlignment="1">
      <alignment horizontal="left" vertical="center" indent="1"/>
    </xf>
    <xf numFmtId="164" fontId="5" fillId="0" borderId="60" xfId="0" applyNumberFormat="1" applyFont="1" applyBorder="1" applyAlignment="1">
      <alignment horizontal="left"/>
    </xf>
    <xf numFmtId="186" fontId="2" fillId="0" borderId="7" xfId="1" quotePrefix="1" applyNumberFormat="1" applyFont="1" applyFill="1" applyBorder="1" applyAlignment="1">
      <alignment horizontal="right" shrinkToFit="1"/>
    </xf>
    <xf numFmtId="0" fontId="24" fillId="2" borderId="24" xfId="0" applyFont="1" applyFill="1" applyBorder="1" applyAlignment="1">
      <alignment horizontal="center" vertical="center"/>
    </xf>
    <xf numFmtId="166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vertical="center"/>
    </xf>
    <xf numFmtId="170" fontId="21" fillId="0" borderId="59" xfId="1" applyNumberFormat="1" applyFont="1" applyFill="1" applyBorder="1" applyAlignment="1">
      <alignment horizontal="left" vertical="center" indent="1"/>
    </xf>
    <xf numFmtId="0" fontId="20" fillId="0" borderId="59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43" fontId="12" fillId="5" borderId="60" xfId="1" quotePrefix="1" applyFont="1" applyFill="1" applyBorder="1" applyAlignment="1">
      <alignment horizontal="center"/>
    </xf>
    <xf numFmtId="166" fontId="21" fillId="3" borderId="34" xfId="1" applyNumberFormat="1" applyFont="1" applyFill="1" applyBorder="1" applyAlignment="1">
      <alignment vertical="center"/>
    </xf>
    <xf numFmtId="166" fontId="21" fillId="3" borderId="34" xfId="1" applyNumberFormat="1" applyFont="1" applyFill="1" applyBorder="1" applyAlignment="1">
      <alignment horizontal="left" vertical="center" indent="1"/>
    </xf>
    <xf numFmtId="170" fontId="21" fillId="3" borderId="34" xfId="1" applyNumberFormat="1" applyFont="1" applyFill="1" applyBorder="1" applyAlignment="1">
      <alignment vertical="center"/>
    </xf>
    <xf numFmtId="170" fontId="21" fillId="3" borderId="34" xfId="1" applyNumberFormat="1" applyFont="1" applyFill="1" applyBorder="1" applyAlignment="1">
      <alignment horizontal="left" vertical="center" indent="1"/>
    </xf>
    <xf numFmtId="170" fontId="21" fillId="3" borderId="34" xfId="0" applyNumberFormat="1" applyFont="1" applyFill="1" applyBorder="1" applyAlignment="1">
      <alignment vertical="center"/>
    </xf>
    <xf numFmtId="0" fontId="20" fillId="3" borderId="34" xfId="0" applyFont="1" applyFill="1" applyBorder="1" applyAlignment="1">
      <alignment horizontal="center" vertical="center"/>
    </xf>
    <xf numFmtId="166" fontId="2" fillId="5" borderId="43" xfId="1" quotePrefix="1" applyNumberFormat="1" applyFont="1" applyFill="1" applyBorder="1" applyAlignment="1">
      <alignment horizontal="center"/>
    </xf>
    <xf numFmtId="164" fontId="3" fillId="0" borderId="53" xfId="0" applyNumberFormat="1" applyFont="1" applyBorder="1" applyAlignment="1">
      <alignment horizontal="left" wrapText="1"/>
    </xf>
    <xf numFmtId="186" fontId="2" fillId="5" borderId="23" xfId="1" quotePrefix="1" applyNumberFormat="1" applyFont="1" applyFill="1" applyBorder="1" applyAlignment="1">
      <alignment horizontal="right" wrapText="1" shrinkToFit="1"/>
    </xf>
    <xf numFmtId="186" fontId="2" fillId="5" borderId="7" xfId="1" quotePrefix="1" applyNumberFormat="1" applyFont="1" applyFill="1" applyBorder="1" applyAlignment="1">
      <alignment horizontal="right" shrinkToFit="1"/>
    </xf>
    <xf numFmtId="173" fontId="2" fillId="0" borderId="0" xfId="0" quotePrefix="1" applyNumberFormat="1" applyFont="1" applyAlignment="1">
      <alignment horizontal="center"/>
    </xf>
    <xf numFmtId="3" fontId="5" fillId="3" borderId="1" xfId="1" applyNumberFormat="1" applyFont="1" applyFill="1" applyBorder="1" applyAlignment="1">
      <alignment horizontal="center"/>
    </xf>
    <xf numFmtId="14" fontId="2" fillId="0" borderId="59" xfId="0" quotePrefix="1" applyNumberFormat="1" applyFont="1" applyBorder="1" applyAlignment="1">
      <alignment horizontal="center"/>
    </xf>
    <xf numFmtId="49" fontId="2" fillId="0" borderId="59" xfId="2" quotePrefix="1" applyNumberFormat="1" applyFont="1" applyBorder="1" applyAlignment="1">
      <alignment horizontal="center" vertical="center"/>
    </xf>
    <xf numFmtId="164" fontId="5" fillId="0" borderId="60" xfId="0" applyNumberFormat="1" applyFont="1" applyBorder="1" applyAlignment="1">
      <alignment horizontal="center"/>
    </xf>
    <xf numFmtId="166" fontId="3" fillId="2" borderId="60" xfId="1" applyNumberFormat="1" applyFont="1" applyFill="1" applyBorder="1" applyAlignment="1">
      <alignment horizontal="right" vertical="center"/>
    </xf>
    <xf numFmtId="49" fontId="2" fillId="0" borderId="60" xfId="2" quotePrefix="1" applyNumberFormat="1" applyFont="1" applyBorder="1" applyAlignment="1">
      <alignment horizontal="center"/>
    </xf>
    <xf numFmtId="0" fontId="42" fillId="0" borderId="59" xfId="0" applyFont="1" applyBorder="1" applyAlignment="1">
      <alignment horizontal="center"/>
    </xf>
    <xf numFmtId="173" fontId="2" fillId="0" borderId="60" xfId="0" quotePrefix="1" applyNumberFormat="1" applyFont="1" applyBorder="1" applyAlignment="1">
      <alignment horizontal="center"/>
    </xf>
    <xf numFmtId="0" fontId="7" fillId="0" borderId="59" xfId="38405" applyFont="1" applyBorder="1" applyAlignment="1">
      <alignment vertical="center"/>
    </xf>
    <xf numFmtId="0" fontId="2" fillId="0" borderId="59" xfId="0" quotePrefix="1" applyFont="1" applyBorder="1" applyAlignment="1">
      <alignment vertical="center"/>
    </xf>
    <xf numFmtId="3" fontId="5" fillId="2" borderId="7" xfId="0" applyNumberFormat="1" applyFont="1" applyFill="1" applyBorder="1" applyAlignment="1">
      <alignment horizontal="center"/>
    </xf>
    <xf numFmtId="3" fontId="2" fillId="2" borderId="56" xfId="0" applyNumberFormat="1" applyFont="1" applyFill="1" applyBorder="1" applyAlignment="1">
      <alignment horizontal="center"/>
    </xf>
    <xf numFmtId="3" fontId="2" fillId="2" borderId="54" xfId="0" applyNumberFormat="1" applyFont="1" applyFill="1" applyBorder="1" applyAlignment="1">
      <alignment horizontal="center"/>
    </xf>
    <xf numFmtId="3" fontId="5" fillId="2" borderId="54" xfId="0" applyNumberFormat="1" applyFont="1" applyFill="1" applyBorder="1" applyAlignment="1">
      <alignment horizontal="center"/>
    </xf>
    <xf numFmtId="0" fontId="6" fillId="0" borderId="59" xfId="0" applyFont="1" applyBorder="1" applyAlignment="1">
      <alignment horizontal="center" vertical="center"/>
    </xf>
    <xf numFmtId="166" fontId="0" fillId="0" borderId="59" xfId="0" applyNumberFormat="1" applyBorder="1" applyAlignment="1">
      <alignment vertical="center"/>
    </xf>
    <xf numFmtId="49" fontId="12" fillId="5" borderId="59" xfId="1" quotePrefix="1" applyNumberFormat="1" applyFont="1" applyFill="1" applyBorder="1" applyAlignment="1">
      <alignment horizontal="center"/>
    </xf>
    <xf numFmtId="2" fontId="19" fillId="2" borderId="1" xfId="1" quotePrefix="1" applyNumberFormat="1" applyFont="1" applyFill="1" applyBorder="1" applyAlignment="1">
      <alignment horizontal="center" vertical="center"/>
    </xf>
    <xf numFmtId="166" fontId="2" fillId="5" borderId="59" xfId="1" applyNumberFormat="1" applyFont="1" applyFill="1" applyBorder="1" applyAlignment="1">
      <alignment horizontal="center" vertical="center"/>
    </xf>
    <xf numFmtId="166" fontId="6" fillId="11" borderId="10" xfId="1" quotePrefix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/>
    </xf>
    <xf numFmtId="173" fontId="2" fillId="0" borderId="59" xfId="0" quotePrefix="1" applyNumberFormat="1" applyFont="1" applyBorder="1" applyAlignment="1">
      <alignment horizontal="center"/>
    </xf>
    <xf numFmtId="0" fontId="24" fillId="2" borderId="59" xfId="0" applyFont="1" applyFill="1" applyBorder="1" applyAlignment="1">
      <alignment horizontal="center" vertical="center"/>
    </xf>
    <xf numFmtId="170" fontId="21" fillId="2" borderId="59" xfId="0" applyNumberFormat="1" applyFont="1" applyFill="1" applyBorder="1" applyAlignment="1">
      <alignment vertical="center"/>
    </xf>
    <xf numFmtId="166" fontId="23" fillId="2" borderId="59" xfId="1" applyNumberFormat="1" applyFont="1" applyFill="1" applyBorder="1" applyAlignment="1">
      <alignment vertical="center"/>
    </xf>
    <xf numFmtId="172" fontId="24" fillId="2" borderId="1" xfId="1" applyNumberFormat="1" applyFont="1" applyFill="1" applyBorder="1" applyAlignment="1">
      <alignment horizontal="center" vertical="center"/>
    </xf>
    <xf numFmtId="170" fontId="21" fillId="2" borderId="59" xfId="1" applyNumberFormat="1" applyFont="1" applyFill="1" applyBorder="1" applyAlignment="1">
      <alignment horizontal="center" vertical="center"/>
    </xf>
    <xf numFmtId="164" fontId="5" fillId="0" borderId="55" xfId="0" applyNumberFormat="1" applyFont="1" applyBorder="1" applyAlignment="1">
      <alignment horizontal="left" wrapText="1"/>
    </xf>
    <xf numFmtId="186" fontId="2" fillId="0" borderId="7" xfId="1" quotePrefix="1" applyNumberFormat="1" applyFont="1" applyFill="1" applyBorder="1" applyAlignment="1">
      <alignment horizontal="right" wrapText="1" shrinkToFit="1"/>
    </xf>
    <xf numFmtId="14" fontId="2" fillId="0" borderId="59" xfId="0" quotePrefix="1" applyNumberFormat="1" applyFont="1" applyBorder="1" applyAlignment="1">
      <alignment horizontal="center" wrapText="1"/>
    </xf>
    <xf numFmtId="175" fontId="2" fillId="0" borderId="24" xfId="0" applyNumberFormat="1" applyFont="1" applyBorder="1" applyAlignment="1">
      <alignment horizontal="left"/>
    </xf>
    <xf numFmtId="0" fontId="3" fillId="0" borderId="24" xfId="0" applyFont="1" applyBorder="1" applyAlignment="1">
      <alignment horizontal="left"/>
    </xf>
    <xf numFmtId="49" fontId="56" fillId="0" borderId="59" xfId="0" applyNumberFormat="1" applyFont="1" applyBorder="1" applyAlignment="1">
      <alignment vertical="center"/>
    </xf>
    <xf numFmtId="49" fontId="56" fillId="0" borderId="60" xfId="0" applyNumberFormat="1" applyFont="1" applyBorder="1" applyAlignment="1">
      <alignment vertical="center"/>
    </xf>
    <xf numFmtId="0" fontId="2" fillId="0" borderId="59" xfId="0" quotePrefix="1" applyFont="1" applyBorder="1" applyAlignment="1">
      <alignment horizontal="right" wrapText="1"/>
    </xf>
    <xf numFmtId="0" fontId="2" fillId="0" borderId="59" xfId="0" quotePrefix="1" applyFont="1" applyBorder="1" applyAlignment="1">
      <alignment horizontal="right"/>
    </xf>
    <xf numFmtId="0" fontId="24" fillId="0" borderId="1" xfId="0" applyFont="1" applyBorder="1" applyAlignment="1">
      <alignment horizontal="center" vertical="center"/>
    </xf>
    <xf numFmtId="0" fontId="21" fillId="2" borderId="59" xfId="0" applyFont="1" applyFill="1" applyBorder="1" applyAlignment="1">
      <alignment horizontal="center" vertical="center"/>
    </xf>
    <xf numFmtId="0" fontId="3" fillId="0" borderId="59" xfId="0" quotePrefix="1" applyFont="1" applyBorder="1" applyAlignment="1">
      <alignment horizontal="left" vertical="center"/>
    </xf>
    <xf numFmtId="0" fontId="2" fillId="0" borderId="59" xfId="0" quotePrefix="1" applyFont="1" applyBorder="1" applyAlignment="1">
      <alignment horizontal="center" vertical="center"/>
    </xf>
    <xf numFmtId="0" fontId="2" fillId="0" borderId="59" xfId="0" applyFont="1" applyBorder="1" applyAlignment="1">
      <alignment vertical="center" wrapText="1"/>
    </xf>
    <xf numFmtId="0" fontId="42" fillId="0" borderId="59" xfId="0" quotePrefix="1" applyFont="1" applyBorder="1" applyAlignment="1">
      <alignment horizontal="center" vertical="center"/>
    </xf>
    <xf numFmtId="43" fontId="12" fillId="5" borderId="59" xfId="1" quotePrefix="1" applyFont="1" applyFill="1" applyBorder="1" applyAlignment="1">
      <alignment horizontal="center"/>
    </xf>
    <xf numFmtId="0" fontId="23" fillId="2" borderId="67" xfId="0" applyFont="1" applyFill="1" applyBorder="1" applyAlignment="1">
      <alignment horizontal="center"/>
    </xf>
    <xf numFmtId="175" fontId="23" fillId="2" borderId="67" xfId="0" applyNumberFormat="1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/>
    </xf>
    <xf numFmtId="172" fontId="21" fillId="2" borderId="67" xfId="1" applyNumberFormat="1" applyFont="1" applyFill="1" applyBorder="1" applyAlignment="1">
      <alignment horizontal="center" vertical="center"/>
    </xf>
    <xf numFmtId="0" fontId="21" fillId="2" borderId="67" xfId="0" applyFont="1" applyFill="1" applyBorder="1" applyAlignment="1">
      <alignment horizontal="center" vertical="center" wrapText="1"/>
    </xf>
    <xf numFmtId="2" fontId="21" fillId="2" borderId="67" xfId="1" applyNumberFormat="1" applyFont="1" applyFill="1" applyBorder="1" applyAlignment="1">
      <alignment vertical="center"/>
    </xf>
    <xf numFmtId="166" fontId="21" fillId="2" borderId="67" xfId="1" applyNumberFormat="1" applyFont="1" applyFill="1" applyBorder="1" applyAlignment="1">
      <alignment vertical="center"/>
    </xf>
    <xf numFmtId="170" fontId="21" fillId="2" borderId="67" xfId="1" applyNumberFormat="1" applyFont="1" applyFill="1" applyBorder="1" applyAlignment="1">
      <alignment vertical="center"/>
    </xf>
    <xf numFmtId="0" fontId="21" fillId="2" borderId="67" xfId="0" applyFont="1" applyFill="1" applyBorder="1" applyAlignment="1">
      <alignment vertical="center"/>
    </xf>
    <xf numFmtId="0" fontId="20" fillId="2" borderId="67" xfId="0" applyFont="1" applyFill="1" applyBorder="1" applyAlignment="1">
      <alignment horizontal="center" vertical="center"/>
    </xf>
    <xf numFmtId="49" fontId="24" fillId="2" borderId="67" xfId="0" applyNumberFormat="1" applyFont="1" applyFill="1" applyBorder="1" applyAlignment="1">
      <alignment horizontal="center" vertical="center"/>
    </xf>
    <xf numFmtId="43" fontId="21" fillId="2" borderId="67" xfId="1" applyFont="1" applyFill="1" applyBorder="1" applyAlignment="1">
      <alignment vertical="center"/>
    </xf>
    <xf numFmtId="0" fontId="19" fillId="2" borderId="67" xfId="0" applyFont="1" applyFill="1" applyBorder="1" applyAlignment="1">
      <alignment vertical="center"/>
    </xf>
    <xf numFmtId="164" fontId="6" fillId="0" borderId="68" xfId="0" applyNumberFormat="1" applyFont="1" applyBorder="1" applyAlignment="1">
      <alignment horizontal="center"/>
    </xf>
    <xf numFmtId="49" fontId="2" fillId="2" borderId="66" xfId="2" quotePrefix="1" applyNumberFormat="1" applyFont="1" applyFill="1" applyBorder="1" applyAlignment="1">
      <alignment horizontal="center" wrapText="1"/>
    </xf>
    <xf numFmtId="164" fontId="5" fillId="0" borderId="3" xfId="0" applyNumberFormat="1" applyFont="1" applyBorder="1" applyAlignment="1">
      <alignment horizontal="center"/>
    </xf>
    <xf numFmtId="3" fontId="12" fillId="5" borderId="3" xfId="1" applyNumberFormat="1" applyFont="1" applyFill="1" applyBorder="1" applyAlignment="1"/>
    <xf numFmtId="0" fontId="2" fillId="2" borderId="3" xfId="0" quotePrefix="1" applyFont="1" applyFill="1" applyBorder="1" applyAlignment="1">
      <alignment horizontal="left"/>
    </xf>
    <xf numFmtId="166" fontId="21" fillId="2" borderId="3" xfId="1" applyNumberFormat="1" applyFont="1" applyFill="1" applyBorder="1" applyAlignment="1">
      <alignment vertical="center"/>
    </xf>
    <xf numFmtId="170" fontId="21" fillId="2" borderId="3" xfId="1" applyNumberFormat="1" applyFont="1" applyFill="1" applyBorder="1" applyAlignment="1">
      <alignment vertical="center"/>
    </xf>
    <xf numFmtId="0" fontId="20" fillId="2" borderId="3" xfId="0" applyFont="1" applyFill="1" applyBorder="1" applyAlignment="1">
      <alignment horizontal="center" vertical="center"/>
    </xf>
    <xf numFmtId="49" fontId="24" fillId="2" borderId="3" xfId="0" applyNumberFormat="1" applyFont="1" applyFill="1" applyBorder="1" applyAlignment="1">
      <alignment horizontal="center" vertical="center"/>
    </xf>
    <xf numFmtId="3" fontId="12" fillId="11" borderId="24" xfId="1" applyNumberFormat="1" applyFont="1" applyFill="1" applyBorder="1" applyAlignment="1"/>
    <xf numFmtId="0" fontId="2" fillId="3" borderId="24" xfId="0" quotePrefix="1" applyFont="1" applyFill="1" applyBorder="1" applyAlignment="1">
      <alignment horizontal="left"/>
    </xf>
    <xf numFmtId="166" fontId="21" fillId="3" borderId="24" xfId="1" applyNumberFormat="1" applyFont="1" applyFill="1" applyBorder="1" applyAlignment="1">
      <alignment vertical="center"/>
    </xf>
    <xf numFmtId="170" fontId="21" fillId="3" borderId="24" xfId="0" applyNumberFormat="1" applyFont="1" applyFill="1" applyBorder="1" applyAlignment="1">
      <alignment vertical="center"/>
    </xf>
    <xf numFmtId="0" fontId="20" fillId="3" borderId="24" xfId="0" applyFont="1" applyFill="1" applyBorder="1" applyAlignment="1">
      <alignment horizontal="center" vertical="center"/>
    </xf>
    <xf numFmtId="170" fontId="21" fillId="3" borderId="24" xfId="1" applyNumberFormat="1" applyFont="1" applyFill="1" applyBorder="1" applyAlignment="1">
      <alignment horizontal="left" vertical="center" indent="1"/>
    </xf>
    <xf numFmtId="166" fontId="23" fillId="3" borderId="24" xfId="1" applyNumberFormat="1" applyFont="1" applyFill="1" applyBorder="1" applyAlignment="1">
      <alignment vertical="center"/>
    </xf>
    <xf numFmtId="14" fontId="2" fillId="0" borderId="66" xfId="0" applyNumberFormat="1" applyFont="1" applyBorder="1" applyAlignment="1">
      <alignment horizontal="center"/>
    </xf>
    <xf numFmtId="49" fontId="12" fillId="5" borderId="66" xfId="1" quotePrefix="1" applyNumberFormat="1" applyFont="1" applyFill="1" applyBorder="1" applyAlignment="1">
      <alignment horizontal="center"/>
    </xf>
    <xf numFmtId="166" fontId="3" fillId="2" borderId="66" xfId="1" applyNumberFormat="1" applyFont="1" applyFill="1" applyBorder="1" applyAlignment="1">
      <alignment horizontal="right" vertical="center"/>
    </xf>
    <xf numFmtId="49" fontId="2" fillId="0" borderId="66" xfId="2" quotePrefix="1" applyNumberFormat="1" applyFont="1" applyBorder="1" applyAlignment="1">
      <alignment horizontal="center"/>
    </xf>
    <xf numFmtId="164" fontId="6" fillId="0" borderId="66" xfId="0" applyNumberFormat="1" applyFont="1" applyBorder="1" applyAlignment="1">
      <alignment horizontal="center"/>
    </xf>
    <xf numFmtId="164" fontId="11" fillId="2" borderId="66" xfId="0" applyNumberFormat="1" applyFont="1" applyFill="1" applyBorder="1" applyAlignment="1">
      <alignment horizontal="center"/>
    </xf>
    <xf numFmtId="0" fontId="51" fillId="0" borderId="67" xfId="3" applyFont="1" applyBorder="1" applyAlignment="1">
      <alignment vertical="center" wrapText="1"/>
    </xf>
    <xf numFmtId="0" fontId="51" fillId="0" borderId="67" xfId="3" applyFont="1" applyBorder="1" applyAlignment="1">
      <alignment vertical="center"/>
    </xf>
    <xf numFmtId="0" fontId="2" fillId="0" borderId="68" xfId="0" applyFont="1" applyBorder="1" applyAlignment="1">
      <alignment horizontal="center"/>
    </xf>
    <xf numFmtId="14" fontId="2" fillId="0" borderId="68" xfId="0" applyNumberFormat="1" applyFont="1" applyBorder="1" applyAlignment="1">
      <alignment horizontal="center"/>
    </xf>
    <xf numFmtId="0" fontId="2" fillId="0" borderId="68" xfId="0" applyFont="1" applyBorder="1" applyAlignment="1">
      <alignment horizontal="left"/>
    </xf>
    <xf numFmtId="0" fontId="2" fillId="0" borderId="24" xfId="0" applyFont="1" applyBorder="1" applyAlignment="1">
      <alignment horizontal="center"/>
    </xf>
    <xf numFmtId="0" fontId="24" fillId="2" borderId="67" xfId="0" applyFont="1" applyFill="1" applyBorder="1" applyAlignment="1">
      <alignment horizontal="center" vertical="center"/>
    </xf>
    <xf numFmtId="164" fontId="6" fillId="0" borderId="67" xfId="0" applyNumberFormat="1" applyFont="1" applyBorder="1" applyAlignment="1">
      <alignment horizontal="center"/>
    </xf>
    <xf numFmtId="164" fontId="11" fillId="2" borderId="67" xfId="0" applyNumberFormat="1" applyFont="1" applyFill="1" applyBorder="1" applyAlignment="1">
      <alignment horizontal="center"/>
    </xf>
    <xf numFmtId="14" fontId="2" fillId="0" borderId="67" xfId="0" applyNumberFormat="1" applyFont="1" applyBorder="1" applyAlignment="1">
      <alignment horizontal="center"/>
    </xf>
    <xf numFmtId="49" fontId="2" fillId="2" borderId="67" xfId="2" quotePrefix="1" applyNumberFormat="1" applyFont="1" applyFill="1" applyBorder="1" applyAlignment="1">
      <alignment horizontal="center" wrapText="1"/>
    </xf>
    <xf numFmtId="166" fontId="3" fillId="2" borderId="67" xfId="1" applyNumberFormat="1" applyFont="1" applyFill="1" applyBorder="1" applyAlignment="1">
      <alignment horizontal="right" vertical="center"/>
    </xf>
    <xf numFmtId="166" fontId="21" fillId="2" borderId="68" xfId="1" applyNumberFormat="1" applyFont="1" applyFill="1" applyBorder="1" applyAlignment="1">
      <alignment vertical="center"/>
    </xf>
    <xf numFmtId="170" fontId="21" fillId="2" borderId="68" xfId="1" applyNumberFormat="1" applyFont="1" applyFill="1" applyBorder="1" applyAlignment="1">
      <alignment vertical="center"/>
    </xf>
    <xf numFmtId="0" fontId="20" fillId="2" borderId="68" xfId="0" applyFont="1" applyFill="1" applyBorder="1" applyAlignment="1">
      <alignment horizontal="center" vertical="center"/>
    </xf>
    <xf numFmtId="49" fontId="24" fillId="2" borderId="68" xfId="0" applyNumberFormat="1" applyFont="1" applyFill="1" applyBorder="1" applyAlignment="1">
      <alignment horizontal="center" vertical="center"/>
    </xf>
    <xf numFmtId="0" fontId="2" fillId="0" borderId="68" xfId="0" applyFont="1" applyBorder="1"/>
    <xf numFmtId="0" fontId="2" fillId="0" borderId="67" xfId="0" applyFont="1" applyBorder="1" applyAlignment="1">
      <alignment horizontal="center"/>
    </xf>
    <xf numFmtId="0" fontId="2" fillId="0" borderId="67" xfId="0" applyFont="1" applyBorder="1" applyAlignment="1">
      <alignment horizontal="left"/>
    </xf>
    <xf numFmtId="164" fontId="2" fillId="0" borderId="67" xfId="0" applyNumberFormat="1" applyFont="1" applyBorder="1" applyAlignment="1">
      <alignment horizontal="center"/>
    </xf>
    <xf numFmtId="0" fontId="2" fillId="0" borderId="67" xfId="0" applyFont="1" applyBorder="1"/>
    <xf numFmtId="164" fontId="5" fillId="0" borderId="67" xfId="0" applyNumberFormat="1" applyFont="1" applyBorder="1" applyAlignment="1">
      <alignment horizontal="center"/>
    </xf>
    <xf numFmtId="166" fontId="21" fillId="0" borderId="1" xfId="1" applyNumberFormat="1" applyFont="1" applyFill="1" applyBorder="1" applyAlignment="1">
      <alignment horizontal="right" vertical="center"/>
    </xf>
    <xf numFmtId="170" fontId="2" fillId="3" borderId="0" xfId="0" applyNumberFormat="1" applyFont="1" applyFill="1" applyAlignment="1">
      <alignment vertical="center"/>
    </xf>
    <xf numFmtId="166" fontId="21" fillId="10" borderId="1" xfId="1" applyNumberFormat="1" applyFont="1" applyFill="1" applyBorder="1" applyAlignment="1">
      <alignment horizontal="right" vertical="center"/>
    </xf>
    <xf numFmtId="2" fontId="21" fillId="2" borderId="1" xfId="0" applyNumberFormat="1" applyFont="1" applyFill="1" applyBorder="1" applyAlignment="1">
      <alignment horizontal="center" vertical="center"/>
    </xf>
    <xf numFmtId="170" fontId="23" fillId="3" borderId="34" xfId="1" applyNumberFormat="1" applyFont="1" applyFill="1" applyBorder="1" applyAlignment="1">
      <alignment horizontal="left" vertical="center" indent="1"/>
    </xf>
    <xf numFmtId="43" fontId="21" fillId="13" borderId="1" xfId="1" applyFont="1" applyFill="1" applyBorder="1" applyAlignment="1">
      <alignment vertical="center"/>
    </xf>
    <xf numFmtId="166" fontId="2" fillId="5" borderId="67" xfId="1" applyNumberFormat="1" applyFont="1" applyFill="1" applyBorder="1" applyAlignment="1">
      <alignment horizontal="center" vertical="center"/>
    </xf>
    <xf numFmtId="164" fontId="2" fillId="0" borderId="67" xfId="0" quotePrefix="1" applyNumberFormat="1" applyFont="1" applyBorder="1" applyAlignment="1">
      <alignment horizontal="center"/>
    </xf>
    <xf numFmtId="49" fontId="12" fillId="5" borderId="67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horizontal="center"/>
    </xf>
    <xf numFmtId="164" fontId="136" fillId="2" borderId="67" xfId="0" applyNumberFormat="1" applyFont="1" applyFill="1" applyBorder="1" applyAlignment="1">
      <alignment horizontal="center"/>
    </xf>
    <xf numFmtId="164" fontId="2" fillId="0" borderId="67" xfId="0" applyNumberFormat="1" applyFont="1" applyBorder="1" applyAlignment="1">
      <alignment horizontal="center" wrapText="1"/>
    </xf>
    <xf numFmtId="2" fontId="2" fillId="0" borderId="1" xfId="0" quotePrefix="1" applyNumberFormat="1" applyFont="1" applyBorder="1" applyAlignment="1">
      <alignment horizontal="center"/>
    </xf>
    <xf numFmtId="166" fontId="19" fillId="2" borderId="0" xfId="0" applyNumberFormat="1" applyFont="1" applyFill="1" applyAlignment="1">
      <alignment vertical="center"/>
    </xf>
    <xf numFmtId="166" fontId="2" fillId="5" borderId="23" xfId="1" applyNumberFormat="1" applyFont="1" applyFill="1" applyBorder="1" applyAlignment="1">
      <alignment horizontal="center" vertical="center"/>
    </xf>
    <xf numFmtId="168" fontId="21" fillId="2" borderId="1" xfId="0" applyNumberFormat="1" applyFont="1" applyFill="1" applyBorder="1" applyAlignment="1">
      <alignment horizontal="center" vertical="center" wrapText="1"/>
    </xf>
    <xf numFmtId="179" fontId="12" fillId="5" borderId="43" xfId="1" quotePrefix="1" applyNumberFormat="1" applyFont="1" applyFill="1" applyBorder="1" applyAlignment="1">
      <alignment horizontal="center"/>
    </xf>
    <xf numFmtId="0" fontId="3" fillId="3" borderId="67" xfId="0" applyFont="1" applyFill="1" applyBorder="1" applyAlignment="1">
      <alignment horizontal="center" vertical="center"/>
    </xf>
    <xf numFmtId="166" fontId="6" fillId="11" borderId="67" xfId="1" applyNumberFormat="1" applyFont="1" applyFill="1" applyBorder="1" applyAlignment="1">
      <alignment horizontal="center"/>
    </xf>
    <xf numFmtId="164" fontId="5" fillId="2" borderId="68" xfId="0" applyNumberFormat="1" applyFont="1" applyFill="1" applyBorder="1" applyAlignment="1">
      <alignment horizontal="left" wrapText="1"/>
    </xf>
    <xf numFmtId="164" fontId="11" fillId="2" borderId="68" xfId="0" applyNumberFormat="1" applyFont="1" applyFill="1" applyBorder="1" applyAlignment="1">
      <alignment horizontal="center"/>
    </xf>
    <xf numFmtId="3" fontId="2" fillId="2" borderId="68" xfId="0" applyNumberFormat="1" applyFont="1" applyFill="1" applyBorder="1" applyAlignment="1">
      <alignment horizontal="center"/>
    </xf>
    <xf numFmtId="49" fontId="2" fillId="2" borderId="68" xfId="2" quotePrefix="1" applyNumberFormat="1" applyFont="1" applyFill="1" applyBorder="1" applyAlignment="1">
      <alignment horizontal="center" wrapText="1"/>
    </xf>
    <xf numFmtId="49" fontId="2" fillId="0" borderId="68" xfId="2" quotePrefix="1" applyNumberFormat="1" applyFont="1" applyBorder="1"/>
    <xf numFmtId="0" fontId="3" fillId="3" borderId="0" xfId="0" applyFont="1" applyFill="1" applyAlignment="1">
      <alignment horizontal="center"/>
    </xf>
    <xf numFmtId="166" fontId="10" fillId="5" borderId="43" xfId="1" quotePrefix="1" applyNumberFormat="1" applyFont="1" applyFill="1" applyBorder="1" applyAlignment="1">
      <alignment horizontal="center"/>
    </xf>
    <xf numFmtId="49" fontId="2" fillId="0" borderId="67" xfId="2" quotePrefix="1" applyNumberFormat="1" applyFont="1" applyBorder="1" applyAlignment="1">
      <alignment vertical="center"/>
    </xf>
    <xf numFmtId="3" fontId="12" fillId="5" borderId="67" xfId="1" applyNumberFormat="1" applyFont="1" applyFill="1" applyBorder="1" applyAlignment="1"/>
    <xf numFmtId="170" fontId="21" fillId="16" borderId="67" xfId="0" applyNumberFormat="1" applyFont="1" applyFill="1" applyBorder="1" applyAlignment="1">
      <alignment vertical="center"/>
    </xf>
    <xf numFmtId="14" fontId="2" fillId="0" borderId="67" xfId="0" quotePrefix="1" applyNumberFormat="1" applyFont="1" applyBorder="1" applyAlignment="1">
      <alignment horizontal="center"/>
    </xf>
    <xf numFmtId="43" fontId="12" fillId="5" borderId="10" xfId="1" quotePrefix="1" applyFont="1" applyFill="1" applyBorder="1" applyAlignment="1">
      <alignment horizontal="center"/>
    </xf>
    <xf numFmtId="40" fontId="20" fillId="0" borderId="24" xfId="12" applyNumberFormat="1" applyFont="1" applyFill="1" applyBorder="1" applyAlignment="1">
      <alignment horizontal="center" vertical="center" shrinkToFit="1"/>
    </xf>
    <xf numFmtId="3" fontId="2" fillId="2" borderId="67" xfId="0" applyNumberFormat="1" applyFont="1" applyFill="1" applyBorder="1" applyAlignment="1">
      <alignment horizontal="center"/>
    </xf>
    <xf numFmtId="43" fontId="12" fillId="5" borderId="67" xfId="1" quotePrefix="1" applyFont="1" applyFill="1" applyBorder="1" applyAlignment="1">
      <alignment horizontal="center"/>
    </xf>
    <xf numFmtId="166" fontId="21" fillId="0" borderId="67" xfId="1" applyNumberFormat="1" applyFont="1" applyFill="1" applyBorder="1" applyAlignment="1">
      <alignment vertical="center"/>
    </xf>
    <xf numFmtId="166" fontId="160" fillId="2" borderId="70" xfId="24485" quotePrefix="1" applyNumberFormat="1" applyFont="1" applyFill="1" applyBorder="1" applyAlignment="1" applyProtection="1">
      <alignment horizontal="center" vertical="center" shrinkToFit="1"/>
      <protection locked="0"/>
    </xf>
    <xf numFmtId="187" fontId="3" fillId="0" borderId="1" xfId="0" applyNumberFormat="1" applyFont="1" applyBorder="1" applyAlignment="1">
      <alignment horizontal="left"/>
    </xf>
    <xf numFmtId="0" fontId="2" fillId="2" borderId="67" xfId="0" quotePrefix="1" applyFont="1" applyFill="1" applyBorder="1" applyAlignment="1">
      <alignment horizontal="left"/>
    </xf>
    <xf numFmtId="166" fontId="2" fillId="5" borderId="68" xfId="1" applyNumberFormat="1" applyFont="1" applyFill="1" applyBorder="1" applyAlignment="1">
      <alignment horizontal="center" vertical="center"/>
    </xf>
    <xf numFmtId="164" fontId="3" fillId="0" borderId="68" xfId="0" applyNumberFormat="1" applyFont="1" applyBorder="1" applyAlignment="1">
      <alignment horizontal="left"/>
    </xf>
    <xf numFmtId="49" fontId="2" fillId="2" borderId="68" xfId="2" quotePrefix="1" applyNumberFormat="1" applyFont="1" applyFill="1" applyBorder="1" applyAlignment="1">
      <alignment wrapText="1"/>
    </xf>
    <xf numFmtId="166" fontId="3" fillId="2" borderId="68" xfId="1" applyNumberFormat="1" applyFont="1" applyFill="1" applyBorder="1" applyAlignment="1">
      <alignment horizontal="right" vertical="center"/>
    </xf>
    <xf numFmtId="166" fontId="14" fillId="2" borderId="24" xfId="1" applyNumberFormat="1" applyFont="1" applyFill="1" applyBorder="1" applyAlignment="1">
      <alignment vertical="center"/>
    </xf>
    <xf numFmtId="170" fontId="14" fillId="2" borderId="24" xfId="1" applyNumberFormat="1" applyFont="1" applyFill="1" applyBorder="1" applyAlignment="1">
      <alignment vertical="center"/>
    </xf>
    <xf numFmtId="0" fontId="14" fillId="2" borderId="24" xfId="0" applyFont="1" applyFill="1" applyBorder="1" applyAlignment="1">
      <alignment vertical="center"/>
    </xf>
    <xf numFmtId="0" fontId="3" fillId="2" borderId="24" xfId="0" applyFont="1" applyFill="1" applyBorder="1" applyAlignment="1">
      <alignment horizontal="center" vertical="center"/>
    </xf>
    <xf numFmtId="170" fontId="14" fillId="2" borderId="24" xfId="1" applyNumberFormat="1" applyFont="1" applyFill="1" applyBorder="1" applyAlignment="1">
      <alignment horizontal="left" vertical="center" indent="1"/>
    </xf>
    <xf numFmtId="166" fontId="31" fillId="2" borderId="24" xfId="1" applyNumberFormat="1" applyFont="1" applyFill="1" applyBorder="1" applyAlignment="1">
      <alignment vertical="center"/>
    </xf>
    <xf numFmtId="49" fontId="5" fillId="2" borderId="24" xfId="0" applyNumberFormat="1" applyFont="1" applyFill="1" applyBorder="1" applyAlignment="1">
      <alignment horizontal="center" vertical="center"/>
    </xf>
    <xf numFmtId="166" fontId="14" fillId="2" borderId="67" xfId="1" applyNumberFormat="1" applyFont="1" applyFill="1" applyBorder="1" applyAlignment="1">
      <alignment vertical="center"/>
    </xf>
    <xf numFmtId="170" fontId="14" fillId="2" borderId="67" xfId="1" applyNumberFormat="1" applyFont="1" applyFill="1" applyBorder="1" applyAlignment="1">
      <alignment vertical="center"/>
    </xf>
    <xf numFmtId="166" fontId="14" fillId="3" borderId="67" xfId="1" applyNumberFormat="1" applyFont="1" applyFill="1" applyBorder="1" applyAlignment="1">
      <alignment vertical="center"/>
    </xf>
    <xf numFmtId="170" fontId="14" fillId="3" borderId="67" xfId="0" applyNumberFormat="1" applyFont="1" applyFill="1" applyBorder="1" applyAlignment="1">
      <alignment vertical="center"/>
    </xf>
    <xf numFmtId="170" fontId="14" fillId="3" borderId="67" xfId="1" applyNumberFormat="1" applyFont="1" applyFill="1" applyBorder="1" applyAlignment="1">
      <alignment horizontal="left" vertical="center" indent="1"/>
    </xf>
    <xf numFmtId="166" fontId="31" fillId="3" borderId="67" xfId="1" applyNumberFormat="1" applyFont="1" applyFill="1" applyBorder="1" applyAlignment="1">
      <alignment vertical="center"/>
    </xf>
    <xf numFmtId="49" fontId="5" fillId="2" borderId="67" xfId="0" applyNumberFormat="1" applyFont="1" applyFill="1" applyBorder="1" applyAlignment="1">
      <alignment horizontal="center" vertical="center"/>
    </xf>
    <xf numFmtId="164" fontId="10" fillId="0" borderId="68" xfId="0" applyNumberFormat="1" applyFont="1" applyBorder="1" applyAlignment="1">
      <alignment horizontal="center"/>
    </xf>
    <xf numFmtId="14" fontId="10" fillId="0" borderId="68" xfId="0" applyNumberFormat="1" applyFont="1" applyBorder="1" applyAlignment="1">
      <alignment horizontal="center"/>
    </xf>
    <xf numFmtId="166" fontId="31" fillId="8" borderId="68" xfId="1" applyNumberFormat="1" applyFont="1" applyFill="1" applyBorder="1" applyAlignment="1">
      <alignment horizontal="center" vertical="center"/>
    </xf>
    <xf numFmtId="170" fontId="31" fillId="8" borderId="68" xfId="1" applyNumberFormat="1" applyFont="1" applyFill="1" applyBorder="1" applyAlignment="1">
      <alignment horizontal="center" vertical="center" wrapText="1"/>
    </xf>
    <xf numFmtId="166" fontId="31" fillId="8" borderId="68" xfId="1" applyNumberFormat="1" applyFont="1" applyFill="1" applyBorder="1" applyAlignment="1">
      <alignment horizontal="center" vertical="center" wrapText="1"/>
    </xf>
    <xf numFmtId="0" fontId="31" fillId="8" borderId="68" xfId="0" applyFont="1" applyFill="1" applyBorder="1" applyAlignment="1">
      <alignment horizontal="center" vertical="center" wrapText="1"/>
    </xf>
    <xf numFmtId="0" fontId="3" fillId="8" borderId="68" xfId="0" applyFont="1" applyFill="1" applyBorder="1" applyAlignment="1">
      <alignment horizontal="center" vertical="center" wrapText="1"/>
    </xf>
    <xf numFmtId="49" fontId="5" fillId="8" borderId="68" xfId="0" applyNumberFormat="1" applyFont="1" applyFill="1" applyBorder="1" applyAlignment="1">
      <alignment horizontal="center" vertical="center" wrapText="1"/>
    </xf>
    <xf numFmtId="14" fontId="2" fillId="0" borderId="34" xfId="0" quotePrefix="1" applyNumberFormat="1" applyFont="1" applyBorder="1" applyAlignment="1">
      <alignment horizontal="center"/>
    </xf>
    <xf numFmtId="49" fontId="2" fillId="0" borderId="34" xfId="38402" applyNumberFormat="1" applyFont="1" applyBorder="1" applyAlignment="1">
      <alignment horizontal="center" vertical="center"/>
    </xf>
    <xf numFmtId="49" fontId="2" fillId="0" borderId="34" xfId="7" applyNumberFormat="1" applyFont="1" applyBorder="1" applyAlignment="1">
      <alignment horizontal="center" vertical="top" wrapText="1"/>
    </xf>
    <xf numFmtId="49" fontId="2" fillId="0" borderId="34" xfId="7" applyNumberFormat="1" applyFont="1" applyBorder="1" applyAlignment="1">
      <alignment vertical="top" wrapText="1"/>
    </xf>
    <xf numFmtId="49" fontId="2" fillId="2" borderId="34" xfId="2" quotePrefix="1" applyNumberFormat="1" applyFont="1" applyFill="1" applyBorder="1" applyAlignment="1">
      <alignment horizontal="center" wrapText="1"/>
    </xf>
    <xf numFmtId="166" fontId="14" fillId="2" borderId="34" xfId="1" applyNumberFormat="1" applyFont="1" applyFill="1" applyBorder="1" applyAlignment="1">
      <alignment vertical="center"/>
    </xf>
    <xf numFmtId="170" fontId="14" fillId="2" borderId="34" xfId="1" applyNumberFormat="1" applyFont="1" applyFill="1" applyBorder="1" applyAlignment="1">
      <alignment vertical="center"/>
    </xf>
    <xf numFmtId="0" fontId="14" fillId="2" borderId="34" xfId="0" applyFont="1" applyFill="1" applyBorder="1" applyAlignment="1">
      <alignment vertical="center"/>
    </xf>
    <xf numFmtId="0" fontId="3" fillId="2" borderId="34" xfId="0" applyFont="1" applyFill="1" applyBorder="1" applyAlignment="1">
      <alignment horizontal="center" vertical="center"/>
    </xf>
    <xf numFmtId="170" fontId="14" fillId="2" borderId="34" xfId="1" applyNumberFormat="1" applyFont="1" applyFill="1" applyBorder="1" applyAlignment="1">
      <alignment horizontal="left" vertical="center" indent="1"/>
    </xf>
    <xf numFmtId="166" fontId="31" fillId="2" borderId="34" xfId="1" applyNumberFormat="1" applyFont="1" applyFill="1" applyBorder="1" applyAlignment="1">
      <alignment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/>
    </xf>
    <xf numFmtId="179" fontId="21" fillId="2" borderId="67" xfId="0" applyNumberFormat="1" applyFont="1" applyFill="1" applyBorder="1" applyAlignment="1">
      <alignment horizontal="center" vertical="center"/>
    </xf>
    <xf numFmtId="0" fontId="24" fillId="2" borderId="67" xfId="0" applyFont="1" applyFill="1" applyBorder="1" applyAlignment="1">
      <alignment vertical="center" wrapText="1"/>
    </xf>
    <xf numFmtId="0" fontId="3" fillId="8" borderId="67" xfId="0" applyFont="1" applyFill="1" applyBorder="1" applyAlignment="1">
      <alignment horizontal="center" vertical="center" wrapText="1"/>
    </xf>
    <xf numFmtId="0" fontId="20" fillId="2" borderId="67" xfId="0" applyFont="1" applyFill="1" applyBorder="1" applyAlignment="1">
      <alignment horizontal="center" vertical="center" wrapText="1"/>
    </xf>
    <xf numFmtId="49" fontId="94" fillId="0" borderId="67" xfId="0" applyNumberFormat="1" applyFont="1" applyBorder="1" applyAlignment="1">
      <alignment vertical="center"/>
    </xf>
    <xf numFmtId="0" fontId="20" fillId="2" borderId="67" xfId="0" applyFont="1" applyFill="1" applyBorder="1" applyAlignment="1">
      <alignment horizontal="left" vertical="center"/>
    </xf>
    <xf numFmtId="0" fontId="3" fillId="0" borderId="67" xfId="0" applyFont="1" applyBorder="1" applyAlignment="1">
      <alignment horizontal="left"/>
    </xf>
    <xf numFmtId="49" fontId="56" fillId="0" borderId="67" xfId="0" applyNumberFormat="1" applyFont="1" applyBorder="1" applyAlignment="1">
      <alignment vertical="center"/>
    </xf>
    <xf numFmtId="166" fontId="2" fillId="10" borderId="67" xfId="0" applyNumberFormat="1" applyFont="1" applyFill="1" applyBorder="1"/>
    <xf numFmtId="0" fontId="2" fillId="0" borderId="71" xfId="0" applyFont="1" applyBorder="1" applyAlignment="1">
      <alignment horizontal="center"/>
    </xf>
    <xf numFmtId="49" fontId="56" fillId="0" borderId="0" xfId="0" applyNumberFormat="1" applyFont="1" applyAlignment="1">
      <alignment vertical="center" wrapText="1"/>
    </xf>
    <xf numFmtId="2" fontId="24" fillId="2" borderId="1" xfId="0" applyNumberFormat="1" applyFont="1" applyFill="1" applyBorder="1" applyAlignment="1">
      <alignment horizontal="center" vertical="center"/>
    </xf>
    <xf numFmtId="166" fontId="160" fillId="2" borderId="67" xfId="24485" quotePrefix="1" applyNumberFormat="1" applyFont="1" applyFill="1" applyBorder="1" applyAlignment="1" applyProtection="1">
      <alignment horizontal="center" vertical="center" shrinkToFit="1"/>
      <protection locked="0"/>
    </xf>
    <xf numFmtId="0" fontId="2" fillId="0" borderId="56" xfId="0" applyFont="1" applyBorder="1" applyAlignment="1">
      <alignment horizontal="center"/>
    </xf>
    <xf numFmtId="166" fontId="2" fillId="5" borderId="72" xfId="1" applyNumberFormat="1" applyFont="1" applyFill="1" applyBorder="1" applyAlignment="1">
      <alignment horizontal="center" vertical="center"/>
    </xf>
    <xf numFmtId="166" fontId="21" fillId="12" borderId="67" xfId="1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/>
    </xf>
    <xf numFmtId="164" fontId="5" fillId="0" borderId="6" xfId="0" applyNumberFormat="1" applyFont="1" applyBorder="1" applyAlignment="1">
      <alignment horizontal="left"/>
    </xf>
    <xf numFmtId="1" fontId="21" fillId="2" borderId="1" xfId="0" applyNumberFormat="1" applyFont="1" applyFill="1" applyBorder="1" applyAlignment="1">
      <alignment horizontal="center" vertical="center"/>
    </xf>
    <xf numFmtId="14" fontId="24" fillId="2" borderId="67" xfId="0" applyNumberFormat="1" applyFont="1" applyFill="1" applyBorder="1" applyAlignment="1">
      <alignment horizontal="center" vertical="center"/>
    </xf>
    <xf numFmtId="40" fontId="2" fillId="0" borderId="67" xfId="38492" applyNumberFormat="1" applyFont="1" applyFill="1" applyBorder="1" applyAlignment="1">
      <alignment horizontal="left" shrinkToFit="1"/>
    </xf>
    <xf numFmtId="168" fontId="19" fillId="2" borderId="1" xfId="0" applyNumberFormat="1" applyFont="1" applyFill="1" applyBorder="1" applyAlignment="1">
      <alignment horizontal="center" vertical="center" wrapText="1"/>
    </xf>
    <xf numFmtId="172" fontId="24" fillId="2" borderId="1" xfId="1" applyNumberFormat="1" applyFont="1" applyFill="1" applyBorder="1" applyAlignment="1">
      <alignment horizontal="center" vertical="center" wrapText="1"/>
    </xf>
    <xf numFmtId="49" fontId="56" fillId="0" borderId="73" xfId="0" applyNumberFormat="1" applyFont="1" applyBorder="1" applyAlignment="1">
      <alignment vertical="center"/>
    </xf>
    <xf numFmtId="0" fontId="21" fillId="2" borderId="73" xfId="0" applyFont="1" applyFill="1" applyBorder="1" applyAlignment="1">
      <alignment horizontal="center"/>
    </xf>
    <xf numFmtId="0" fontId="23" fillId="2" borderId="73" xfId="0" applyFont="1" applyFill="1" applyBorder="1" applyAlignment="1">
      <alignment horizontal="center"/>
    </xf>
    <xf numFmtId="2" fontId="21" fillId="2" borderId="73" xfId="1" quotePrefix="1" applyNumberFormat="1" applyFont="1" applyFill="1" applyBorder="1" applyAlignment="1">
      <alignment horizontal="center" vertical="center"/>
    </xf>
    <xf numFmtId="166" fontId="160" fillId="2" borderId="34" xfId="24485" quotePrefix="1" applyNumberFormat="1" applyFont="1" applyFill="1" applyBorder="1" applyAlignment="1" applyProtection="1">
      <alignment horizontal="center" vertical="center" shrinkToFit="1"/>
      <protection locked="0"/>
    </xf>
    <xf numFmtId="2" fontId="24" fillId="2" borderId="73" xfId="0" applyNumberFormat="1" applyFont="1" applyFill="1" applyBorder="1" applyAlignment="1">
      <alignment horizontal="center" vertical="center"/>
    </xf>
    <xf numFmtId="0" fontId="23" fillId="2" borderId="73" xfId="0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/>
    </xf>
    <xf numFmtId="172" fontId="21" fillId="2" borderId="73" xfId="1" applyNumberFormat="1" applyFont="1" applyFill="1" applyBorder="1" applyAlignment="1">
      <alignment horizontal="center" vertical="center"/>
    </xf>
    <xf numFmtId="0" fontId="21" fillId="2" borderId="73" xfId="0" applyFont="1" applyFill="1" applyBorder="1" applyAlignment="1">
      <alignment horizontal="center" vertical="center" wrapText="1"/>
    </xf>
    <xf numFmtId="168" fontId="21" fillId="2" borderId="73" xfId="0" applyNumberFormat="1" applyFont="1" applyFill="1" applyBorder="1" applyAlignment="1">
      <alignment horizontal="center" vertical="center" wrapText="1"/>
    </xf>
    <xf numFmtId="166" fontId="21" fillId="2" borderId="73" xfId="1" applyNumberFormat="1" applyFont="1" applyFill="1" applyBorder="1" applyAlignment="1">
      <alignment vertical="center"/>
    </xf>
    <xf numFmtId="170" fontId="21" fillId="2" borderId="73" xfId="1" applyNumberFormat="1" applyFont="1" applyFill="1" applyBorder="1" applyAlignment="1">
      <alignment vertical="center"/>
    </xf>
    <xf numFmtId="166" fontId="21" fillId="13" borderId="73" xfId="1" applyNumberFormat="1" applyFont="1" applyFill="1" applyBorder="1" applyAlignment="1">
      <alignment vertical="center"/>
    </xf>
    <xf numFmtId="166" fontId="21" fillId="17" borderId="73" xfId="0" applyNumberFormat="1" applyFont="1" applyFill="1" applyBorder="1" applyAlignment="1">
      <alignment vertical="center"/>
    </xf>
    <xf numFmtId="0" fontId="20" fillId="2" borderId="73" xfId="0" applyFont="1" applyFill="1" applyBorder="1" applyAlignment="1">
      <alignment horizontal="center" vertical="center"/>
    </xf>
    <xf numFmtId="166" fontId="23" fillId="2" borderId="73" xfId="1" applyNumberFormat="1" applyFont="1" applyFill="1" applyBorder="1" applyAlignment="1">
      <alignment vertical="center"/>
    </xf>
    <xf numFmtId="43" fontId="21" fillId="2" borderId="73" xfId="1" applyFont="1" applyFill="1" applyBorder="1" applyAlignment="1">
      <alignment vertical="center"/>
    </xf>
    <xf numFmtId="0" fontId="21" fillId="2" borderId="73" xfId="0" applyFont="1" applyFill="1" applyBorder="1" applyAlignment="1">
      <alignment vertical="center"/>
    </xf>
    <xf numFmtId="0" fontId="19" fillId="2" borderId="73" xfId="0" applyFont="1" applyFill="1" applyBorder="1" applyAlignment="1">
      <alignment vertical="center"/>
    </xf>
    <xf numFmtId="175" fontId="20" fillId="0" borderId="73" xfId="0" applyNumberFormat="1" applyFont="1" applyBorder="1" applyAlignment="1">
      <alignment horizontal="center" vertical="center"/>
    </xf>
    <xf numFmtId="166" fontId="21" fillId="0" borderId="73" xfId="1" applyNumberFormat="1" applyFont="1" applyFill="1" applyBorder="1" applyAlignment="1">
      <alignment horizontal="right" vertical="center"/>
    </xf>
    <xf numFmtId="14" fontId="21" fillId="2" borderId="1" xfId="1" quotePrefix="1" applyNumberFormat="1" applyFont="1" applyFill="1" applyBorder="1" applyAlignment="1">
      <alignment horizontal="center" vertical="center"/>
    </xf>
    <xf numFmtId="164" fontId="6" fillId="0" borderId="73" xfId="0" applyNumberFormat="1" applyFont="1" applyBorder="1" applyAlignment="1">
      <alignment horizontal="center"/>
    </xf>
    <xf numFmtId="164" fontId="11" fillId="2" borderId="73" xfId="0" applyNumberFormat="1" applyFont="1" applyFill="1" applyBorder="1" applyAlignment="1">
      <alignment horizontal="center"/>
    </xf>
    <xf numFmtId="0" fontId="24" fillId="2" borderId="73" xfId="0" applyFont="1" applyFill="1" applyBorder="1" applyAlignment="1">
      <alignment horizontal="center" vertical="center"/>
    </xf>
    <xf numFmtId="14" fontId="2" fillId="0" borderId="73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left"/>
    </xf>
    <xf numFmtId="49" fontId="2" fillId="0" borderId="1" xfId="2" quotePrefix="1" applyNumberFormat="1" applyFont="1" applyBorder="1" applyAlignment="1">
      <alignment wrapText="1"/>
    </xf>
    <xf numFmtId="0" fontId="3" fillId="0" borderId="0" xfId="0" applyFont="1" applyAlignment="1">
      <alignment horizontal="center" wrapText="1"/>
    </xf>
    <xf numFmtId="3" fontId="12" fillId="5" borderId="1" xfId="1" applyNumberFormat="1" applyFont="1" applyFill="1" applyBorder="1" applyAlignment="1">
      <alignment wrapText="1"/>
    </xf>
    <xf numFmtId="14" fontId="2" fillId="0" borderId="73" xfId="0" quotePrefix="1" applyNumberFormat="1" applyFont="1" applyBorder="1" applyAlignment="1">
      <alignment horizontal="center"/>
    </xf>
    <xf numFmtId="2" fontId="24" fillId="0" borderId="1" xfId="0" applyNumberFormat="1" applyFont="1" applyBorder="1" applyAlignment="1">
      <alignment horizontal="center" vertical="center"/>
    </xf>
    <xf numFmtId="2" fontId="2" fillId="5" borderId="7" xfId="1" quotePrefix="1" applyNumberFormat="1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/>
    </xf>
    <xf numFmtId="49" fontId="2" fillId="0" borderId="73" xfId="2" quotePrefix="1" applyNumberFormat="1" applyFont="1" applyBorder="1" applyAlignment="1">
      <alignment horizontal="center"/>
    </xf>
    <xf numFmtId="175" fontId="23" fillId="2" borderId="73" xfId="0" applyNumberFormat="1" applyFont="1" applyFill="1" applyBorder="1" applyAlignment="1">
      <alignment horizontal="center" vertical="center"/>
    </xf>
    <xf numFmtId="2" fontId="21" fillId="2" borderId="73" xfId="1" applyNumberFormat="1" applyFont="1" applyFill="1" applyBorder="1" applyAlignment="1">
      <alignment vertical="center"/>
    </xf>
    <xf numFmtId="0" fontId="7" fillId="0" borderId="73" xfId="0" applyFont="1" applyBorder="1" applyAlignment="1">
      <alignment vertical="center"/>
    </xf>
    <xf numFmtId="0" fontId="51" fillId="65" borderId="76" xfId="0" applyFont="1" applyFill="1" applyBorder="1" applyAlignment="1">
      <alignment horizontal="center" vertical="center" wrapText="1"/>
    </xf>
    <xf numFmtId="0" fontId="21" fillId="2" borderId="74" xfId="0" applyFont="1" applyFill="1" applyBorder="1" applyAlignment="1">
      <alignment horizontal="center" vertical="center" wrapText="1"/>
    </xf>
    <xf numFmtId="0" fontId="51" fillId="65" borderId="73" xfId="0" applyFont="1" applyFill="1" applyBorder="1" applyAlignment="1">
      <alignment horizontal="center" vertical="center" wrapText="1"/>
    </xf>
    <xf numFmtId="180" fontId="21" fillId="2" borderId="73" xfId="0" quotePrefix="1" applyNumberFormat="1" applyFont="1" applyFill="1" applyBorder="1" applyAlignment="1">
      <alignment horizontal="center" vertical="center"/>
    </xf>
    <xf numFmtId="172" fontId="22" fillId="2" borderId="1" xfId="1" applyNumberFormat="1" applyFont="1" applyFill="1" applyBorder="1" applyAlignment="1">
      <alignment horizontal="center" vertical="center"/>
    </xf>
    <xf numFmtId="49" fontId="2" fillId="0" borderId="59" xfId="0" applyNumberFormat="1" applyFont="1" applyBorder="1" applyAlignment="1">
      <alignment horizontal="left" vertical="center"/>
    </xf>
    <xf numFmtId="175" fontId="2" fillId="3" borderId="0" xfId="0" applyNumberFormat="1" applyFont="1" applyFill="1" applyAlignment="1">
      <alignment horizontal="left" vertical="center"/>
    </xf>
    <xf numFmtId="175" fontId="2" fillId="0" borderId="73" xfId="0" applyNumberFormat="1" applyFont="1" applyBorder="1" applyAlignment="1">
      <alignment horizontal="left"/>
    </xf>
    <xf numFmtId="0" fontId="3" fillId="0" borderId="73" xfId="0" applyFont="1" applyBorder="1" applyAlignment="1">
      <alignment horizontal="left"/>
    </xf>
    <xf numFmtId="0" fontId="19" fillId="65" borderId="73" xfId="0" applyFont="1" applyFill="1" applyBorder="1" applyAlignment="1">
      <alignment horizontal="center" vertical="center" wrapText="1"/>
    </xf>
    <xf numFmtId="166" fontId="21" fillId="9" borderId="1" xfId="1" quotePrefix="1" applyNumberFormat="1" applyFont="1" applyFill="1" applyBorder="1" applyAlignment="1">
      <alignment horizontal="right" vertical="center"/>
    </xf>
    <xf numFmtId="164" fontId="5" fillId="0" borderId="74" xfId="0" applyNumberFormat="1" applyFont="1" applyBorder="1" applyAlignment="1">
      <alignment horizontal="left" wrapText="1"/>
    </xf>
    <xf numFmtId="169" fontId="19" fillId="2" borderId="1" xfId="0" applyNumberFormat="1" applyFont="1" applyFill="1" applyBorder="1" applyAlignment="1">
      <alignment horizontal="center" vertical="center" wrapText="1"/>
    </xf>
    <xf numFmtId="172" fontId="21" fillId="2" borderId="1" xfId="0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166" fontId="2" fillId="3" borderId="77" xfId="0" applyNumberFormat="1" applyFont="1" applyFill="1" applyBorder="1"/>
    <xf numFmtId="164" fontId="5" fillId="0" borderId="73" xfId="0" applyNumberFormat="1" applyFont="1" applyBorder="1" applyAlignment="1">
      <alignment horizontal="left" wrapText="1"/>
    </xf>
    <xf numFmtId="0" fontId="21" fillId="0" borderId="1" xfId="0" applyFont="1" applyBorder="1" applyAlignment="1">
      <alignment horizontal="center" vertical="center" wrapText="1"/>
    </xf>
    <xf numFmtId="164" fontId="2" fillId="0" borderId="75" xfId="0" applyNumberFormat="1" applyFont="1" applyBorder="1" applyAlignment="1">
      <alignment horizontal="center"/>
    </xf>
    <xf numFmtId="49" fontId="2" fillId="0" borderId="75" xfId="2" quotePrefix="1" applyNumberFormat="1" applyFont="1" applyBorder="1" applyAlignment="1">
      <alignment horizontal="center"/>
    </xf>
    <xf numFmtId="49" fontId="2" fillId="0" borderId="75" xfId="2" quotePrefix="1" applyNumberFormat="1" applyFont="1" applyBorder="1"/>
    <xf numFmtId="3" fontId="2" fillId="2" borderId="0" xfId="0" applyNumberFormat="1" applyFont="1" applyFill="1" applyAlignment="1">
      <alignment horizontal="center"/>
    </xf>
    <xf numFmtId="164" fontId="3" fillId="0" borderId="73" xfId="0" applyNumberFormat="1" applyFont="1" applyBorder="1" applyAlignment="1">
      <alignment horizontal="center"/>
    </xf>
    <xf numFmtId="0" fontId="2" fillId="0" borderId="73" xfId="0" applyFont="1" applyBorder="1" applyAlignment="1">
      <alignment horizontal="left"/>
    </xf>
    <xf numFmtId="0" fontId="2" fillId="0" borderId="73" xfId="0" applyFont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 wrapText="1"/>
    </xf>
    <xf numFmtId="164" fontId="3" fillId="0" borderId="24" xfId="0" applyNumberFormat="1" applyFont="1" applyBorder="1" applyAlignment="1">
      <alignment horizontal="center"/>
    </xf>
    <xf numFmtId="164" fontId="3" fillId="0" borderId="19" xfId="0" applyNumberFormat="1" applyFont="1" applyBorder="1"/>
    <xf numFmtId="166" fontId="14" fillId="0" borderId="73" xfId="1" applyNumberFormat="1" applyFont="1" applyFill="1" applyBorder="1" applyAlignment="1">
      <alignment vertical="center"/>
    </xf>
    <xf numFmtId="164" fontId="136" fillId="2" borderId="24" xfId="0" applyNumberFormat="1" applyFont="1" applyFill="1" applyBorder="1" applyAlignment="1">
      <alignment horizontal="center"/>
    </xf>
    <xf numFmtId="0" fontId="3" fillId="9" borderId="0" xfId="0" applyFont="1" applyFill="1" applyAlignment="1">
      <alignment vertical="center"/>
    </xf>
    <xf numFmtId="166" fontId="2" fillId="5" borderId="73" xfId="1" applyNumberFormat="1" applyFont="1" applyFill="1" applyBorder="1" applyAlignment="1">
      <alignment horizontal="center" vertical="center"/>
    </xf>
    <xf numFmtId="164" fontId="3" fillId="0" borderId="73" xfId="0" applyNumberFormat="1" applyFont="1" applyBorder="1" applyAlignment="1">
      <alignment horizontal="left"/>
    </xf>
    <xf numFmtId="3" fontId="2" fillId="2" borderId="14" xfId="0" applyNumberFormat="1" applyFont="1" applyFill="1" applyBorder="1" applyAlignment="1">
      <alignment horizontal="center"/>
    </xf>
    <xf numFmtId="49" fontId="2" fillId="0" borderId="73" xfId="2" quotePrefix="1" applyNumberFormat="1" applyFont="1" applyBorder="1"/>
    <xf numFmtId="166" fontId="14" fillId="2" borderId="73" xfId="1" applyNumberFormat="1" applyFont="1" applyFill="1" applyBorder="1" applyAlignment="1">
      <alignment vertical="center"/>
    </xf>
    <xf numFmtId="170" fontId="14" fillId="2" borderId="73" xfId="1" applyNumberFormat="1" applyFont="1" applyFill="1" applyBorder="1" applyAlignment="1">
      <alignment vertical="center"/>
    </xf>
    <xf numFmtId="0" fontId="3" fillId="2" borderId="73" xfId="0" applyFont="1" applyFill="1" applyBorder="1" applyAlignment="1">
      <alignment horizontal="center" vertical="center"/>
    </xf>
    <xf numFmtId="170" fontId="14" fillId="2" borderId="73" xfId="1" applyNumberFormat="1" applyFont="1" applyFill="1" applyBorder="1" applyAlignment="1">
      <alignment horizontal="left" vertical="center" indent="1"/>
    </xf>
    <xf numFmtId="166" fontId="31" fillId="2" borderId="73" xfId="1" applyNumberFormat="1" applyFont="1" applyFill="1" applyBorder="1" applyAlignment="1">
      <alignment vertical="center"/>
    </xf>
    <xf numFmtId="49" fontId="5" fillId="2" borderId="73" xfId="0" applyNumberFormat="1" applyFont="1" applyFill="1" applyBorder="1" applyAlignment="1">
      <alignment horizontal="center" vertical="center"/>
    </xf>
    <xf numFmtId="3" fontId="2" fillId="2" borderId="73" xfId="0" applyNumberFormat="1" applyFont="1" applyFill="1" applyBorder="1" applyAlignment="1">
      <alignment horizontal="center"/>
    </xf>
    <xf numFmtId="43" fontId="12" fillId="5" borderId="73" xfId="1" quotePrefix="1" applyFont="1" applyFill="1" applyBorder="1" applyAlignment="1">
      <alignment horizontal="center"/>
    </xf>
    <xf numFmtId="49" fontId="5" fillId="3" borderId="73" xfId="2" quotePrefix="1" applyNumberFormat="1" applyFont="1" applyFill="1" applyBorder="1" applyAlignment="1">
      <alignment horizontal="center"/>
    </xf>
    <xf numFmtId="164" fontId="164" fillId="0" borderId="24" xfId="0" applyNumberFormat="1" applyFont="1" applyBorder="1" applyAlignment="1">
      <alignment horizontal="center"/>
    </xf>
    <xf numFmtId="166" fontId="14" fillId="13" borderId="24" xfId="1" applyNumberFormat="1" applyFont="1" applyFill="1" applyBorder="1" applyAlignment="1">
      <alignment vertical="center"/>
    </xf>
    <xf numFmtId="0" fontId="2" fillId="2" borderId="73" xfId="0" applyFont="1" applyFill="1" applyBorder="1" applyAlignment="1">
      <alignment vertical="center" wrapText="1"/>
    </xf>
    <xf numFmtId="170" fontId="14" fillId="0" borderId="24" xfId="1" applyNumberFormat="1" applyFont="1" applyFill="1" applyBorder="1" applyAlignment="1">
      <alignment vertical="center"/>
    </xf>
    <xf numFmtId="170" fontId="14" fillId="0" borderId="1" xfId="1" applyNumberFormat="1" applyFont="1" applyFill="1" applyBorder="1" applyAlignment="1">
      <alignment vertical="center"/>
    </xf>
    <xf numFmtId="166" fontId="12" fillId="0" borderId="75" xfId="1" quotePrefix="1" applyNumberFormat="1" applyFont="1" applyFill="1" applyBorder="1" applyAlignment="1">
      <alignment horizontal="center" vertical="center"/>
    </xf>
    <xf numFmtId="170" fontId="14" fillId="0" borderId="73" xfId="1" applyNumberFormat="1" applyFont="1" applyFill="1" applyBorder="1" applyAlignment="1">
      <alignment vertical="center"/>
    </xf>
    <xf numFmtId="170" fontId="14" fillId="70" borderId="24" xfId="1" applyNumberFormat="1" applyFont="1" applyFill="1" applyBorder="1" applyAlignment="1">
      <alignment horizontal="left" vertical="center" indent="1"/>
    </xf>
    <xf numFmtId="170" fontId="14" fillId="70" borderId="1" xfId="1" applyNumberFormat="1" applyFont="1" applyFill="1" applyBorder="1" applyAlignment="1">
      <alignment horizontal="left" vertical="center" indent="1"/>
    </xf>
    <xf numFmtId="49" fontId="5" fillId="70" borderId="73" xfId="0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/>
    </xf>
    <xf numFmtId="166" fontId="31" fillId="8" borderId="75" xfId="1" applyNumberFormat="1" applyFont="1" applyFill="1" applyBorder="1" applyAlignment="1">
      <alignment horizontal="center" vertical="center" wrapText="1"/>
    </xf>
    <xf numFmtId="0" fontId="10" fillId="8" borderId="25" xfId="0" applyFont="1" applyFill="1" applyBorder="1" applyAlignment="1">
      <alignment horizontal="center" vertical="center" wrapText="1"/>
    </xf>
    <xf numFmtId="164" fontId="10" fillId="0" borderId="75" xfId="0" applyNumberFormat="1" applyFont="1" applyBorder="1" applyAlignment="1">
      <alignment horizontal="center" vertical="center"/>
    </xf>
    <xf numFmtId="14" fontId="10" fillId="0" borderId="75" xfId="0" applyNumberFormat="1" applyFont="1" applyBorder="1" applyAlignment="1">
      <alignment horizontal="center" vertical="center"/>
    </xf>
    <xf numFmtId="164" fontId="10" fillId="3" borderId="7" xfId="0" applyNumberFormat="1" applyFont="1" applyFill="1" applyBorder="1" applyAlignment="1">
      <alignment horizontal="center" vertical="center" wrapText="1"/>
    </xf>
    <xf numFmtId="170" fontId="31" fillId="8" borderId="75" xfId="1" applyNumberFormat="1" applyFont="1" applyFill="1" applyBorder="1" applyAlignment="1">
      <alignment horizontal="center" vertical="center" wrapText="1"/>
    </xf>
    <xf numFmtId="0" fontId="3" fillId="8" borderId="75" xfId="0" applyFont="1" applyFill="1" applyBorder="1" applyAlignment="1">
      <alignment horizontal="center" vertical="center" wrapText="1"/>
    </xf>
    <xf numFmtId="0" fontId="2" fillId="3" borderId="73" xfId="0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vertical="center"/>
    </xf>
    <xf numFmtId="166" fontId="21" fillId="3" borderId="73" xfId="1" applyNumberFormat="1" applyFont="1" applyFill="1" applyBorder="1" applyAlignment="1">
      <alignment horizontal="left" vertical="center" indent="1"/>
    </xf>
    <xf numFmtId="170" fontId="21" fillId="3" borderId="73" xfId="1" applyNumberFormat="1" applyFont="1" applyFill="1" applyBorder="1" applyAlignment="1">
      <alignment vertical="center"/>
    </xf>
    <xf numFmtId="170" fontId="21" fillId="3" borderId="73" xfId="1" applyNumberFormat="1" applyFont="1" applyFill="1" applyBorder="1" applyAlignment="1">
      <alignment horizontal="left" vertical="center" indent="1"/>
    </xf>
    <xf numFmtId="0" fontId="20" fillId="3" borderId="73" xfId="0" applyFont="1" applyFill="1" applyBorder="1" applyAlignment="1">
      <alignment horizontal="center" vertical="center"/>
    </xf>
    <xf numFmtId="170" fontId="23" fillId="3" borderId="73" xfId="1" applyNumberFormat="1" applyFont="1" applyFill="1" applyBorder="1" applyAlignment="1">
      <alignment horizontal="left" vertical="center" indent="1"/>
    </xf>
    <xf numFmtId="49" fontId="5" fillId="2" borderId="77" xfId="0" applyNumberFormat="1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14" fontId="10" fillId="0" borderId="0" xfId="0" applyNumberFormat="1" applyFont="1" applyAlignment="1">
      <alignment horizontal="center"/>
    </xf>
    <xf numFmtId="49" fontId="5" fillId="8" borderId="73" xfId="0" applyNumberFormat="1" applyFont="1" applyFill="1" applyBorder="1" applyAlignment="1">
      <alignment horizontal="center" vertical="center" wrapText="1"/>
    </xf>
    <xf numFmtId="166" fontId="2" fillId="5" borderId="73" xfId="1" applyNumberFormat="1" applyFont="1" applyFill="1" applyBorder="1" applyAlignment="1">
      <alignment horizontal="right"/>
    </xf>
    <xf numFmtId="3" fontId="2" fillId="0" borderId="23" xfId="0" applyNumberFormat="1" applyFont="1" applyBorder="1" applyAlignment="1">
      <alignment horizontal="center"/>
    </xf>
    <xf numFmtId="166" fontId="14" fillId="0" borderId="24" xfId="1" applyNumberFormat="1" applyFont="1" applyFill="1" applyBorder="1" applyAlignment="1">
      <alignment vertical="center"/>
    </xf>
    <xf numFmtId="166" fontId="14" fillId="0" borderId="1" xfId="1" applyNumberFormat="1" applyFont="1" applyFill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12" fillId="0" borderId="34" xfId="1" quotePrefix="1" applyNumberFormat="1" applyFont="1" applyFill="1" applyBorder="1" applyAlignment="1">
      <alignment horizontal="center" vertical="center"/>
    </xf>
    <xf numFmtId="3" fontId="2" fillId="0" borderId="73" xfId="0" applyNumberFormat="1" applyFont="1" applyBorder="1" applyAlignment="1">
      <alignment horizontal="center"/>
    </xf>
    <xf numFmtId="0" fontId="2" fillId="0" borderId="73" xfId="0" quotePrefix="1" applyFont="1" applyBorder="1" applyAlignment="1">
      <alignment horizontal="center"/>
    </xf>
    <xf numFmtId="3" fontId="2" fillId="2" borderId="81" xfId="0" applyNumberFormat="1" applyFont="1" applyFill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49" fontId="2" fillId="2" borderId="1" xfId="2" quotePrefix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6" fontId="12" fillId="5" borderId="13" xfId="1" quotePrefix="1" applyNumberFormat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wrapText="1"/>
    </xf>
    <xf numFmtId="164" fontId="10" fillId="0" borderId="8" xfId="0" applyNumberFormat="1" applyFont="1" applyBorder="1" applyAlignment="1">
      <alignment horizontal="center" vertical="center" wrapText="1"/>
    </xf>
    <xf numFmtId="14" fontId="3" fillId="0" borderId="73" xfId="0" applyNumberFormat="1" applyFont="1" applyBorder="1" applyAlignment="1">
      <alignment horizontal="center" vertical="center"/>
    </xf>
    <xf numFmtId="164" fontId="3" fillId="0" borderId="73" xfId="0" applyNumberFormat="1" applyFont="1" applyBorder="1" applyAlignment="1">
      <alignment horizontal="center" wrapText="1"/>
    </xf>
    <xf numFmtId="0" fontId="2" fillId="0" borderId="82" xfId="0" applyFont="1" applyBorder="1" applyAlignment="1">
      <alignment horizontal="center" wrapText="1"/>
    </xf>
    <xf numFmtId="164" fontId="164" fillId="0" borderId="0" xfId="0" applyNumberFormat="1" applyFont="1" applyAlignment="1">
      <alignment horizontal="center"/>
    </xf>
    <xf numFmtId="164" fontId="164" fillId="3" borderId="0" xfId="0" applyNumberFormat="1" applyFont="1" applyFill="1" applyAlignment="1">
      <alignment horizontal="center"/>
    </xf>
    <xf numFmtId="164" fontId="164" fillId="0" borderId="1" xfId="0" applyNumberFormat="1" applyFont="1" applyBorder="1" applyAlignment="1">
      <alignment horizontal="center"/>
    </xf>
    <xf numFmtId="164" fontId="3" fillId="0" borderId="75" xfId="0" applyNumberFormat="1" applyFont="1" applyBorder="1" applyAlignment="1">
      <alignment horizontal="center" vertical="center"/>
    </xf>
    <xf numFmtId="166" fontId="14" fillId="2" borderId="75" xfId="1" applyNumberFormat="1" applyFont="1" applyFill="1" applyBorder="1" applyAlignment="1">
      <alignment vertical="center"/>
    </xf>
    <xf numFmtId="170" fontId="14" fillId="2" borderId="75" xfId="1" applyNumberFormat="1" applyFont="1" applyFill="1" applyBorder="1" applyAlignment="1">
      <alignment vertical="center"/>
    </xf>
    <xf numFmtId="0" fontId="3" fillId="2" borderId="75" xfId="0" applyFont="1" applyFill="1" applyBorder="1" applyAlignment="1">
      <alignment horizontal="center" vertical="center"/>
    </xf>
    <xf numFmtId="164" fontId="164" fillId="0" borderId="75" xfId="0" applyNumberFormat="1" applyFont="1" applyBorder="1" applyAlignment="1">
      <alignment horizontal="center"/>
    </xf>
    <xf numFmtId="164" fontId="136" fillId="2" borderId="75" xfId="0" applyNumberFormat="1" applyFont="1" applyFill="1" applyBorder="1" applyAlignment="1">
      <alignment horizontal="center"/>
    </xf>
    <xf numFmtId="0" fontId="10" fillId="0" borderId="67" xfId="0" applyFont="1" applyBorder="1" applyAlignment="1">
      <alignment horizontal="center"/>
    </xf>
    <xf numFmtId="166" fontId="12" fillId="5" borderId="61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 wrapText="1"/>
    </xf>
    <xf numFmtId="166" fontId="12" fillId="5" borderId="75" xfId="1" quotePrefix="1" applyNumberFormat="1" applyFont="1" applyFill="1" applyBorder="1" applyAlignment="1">
      <alignment horizontal="center"/>
    </xf>
    <xf numFmtId="166" fontId="12" fillId="5" borderId="73" xfId="1" quotePrefix="1" applyNumberFormat="1" applyFont="1" applyFill="1" applyBorder="1" applyAlignment="1">
      <alignment horizontal="center"/>
    </xf>
    <xf numFmtId="14" fontId="2" fillId="0" borderId="73" xfId="0" quotePrefix="1" applyNumberFormat="1" applyFont="1" applyBorder="1" applyAlignment="1">
      <alignment horizontal="right"/>
    </xf>
    <xf numFmtId="0" fontId="2" fillId="0" borderId="73" xfId="0" applyFont="1" applyBorder="1" applyAlignment="1">
      <alignment horizontal="left" wrapText="1"/>
    </xf>
    <xf numFmtId="166" fontId="21" fillId="3" borderId="83" xfId="1" applyNumberFormat="1" applyFont="1" applyFill="1" applyBorder="1" applyAlignment="1">
      <alignment vertical="center"/>
    </xf>
    <xf numFmtId="0" fontId="2" fillId="2" borderId="83" xfId="0" quotePrefix="1" applyFont="1" applyFill="1" applyBorder="1" applyAlignment="1">
      <alignment horizontal="left"/>
    </xf>
    <xf numFmtId="166" fontId="12" fillId="5" borderId="83" xfId="1" quotePrefix="1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center" wrapText="1"/>
    </xf>
    <xf numFmtId="0" fontId="2" fillId="2" borderId="83" xfId="0" quotePrefix="1" applyFont="1" applyFill="1" applyBorder="1" applyAlignment="1">
      <alignment horizontal="left" wrapText="1"/>
    </xf>
    <xf numFmtId="164" fontId="136" fillId="0" borderId="73" xfId="0" applyNumberFormat="1" applyFont="1" applyBorder="1" applyAlignment="1">
      <alignment horizontal="center"/>
    </xf>
    <xf numFmtId="166" fontId="12" fillId="0" borderId="73" xfId="1" quotePrefix="1" applyNumberFormat="1" applyFont="1" applyFill="1" applyBorder="1" applyAlignment="1">
      <alignment horizontal="center"/>
    </xf>
    <xf numFmtId="166" fontId="12" fillId="0" borderId="67" xfId="1" quotePrefix="1" applyNumberFormat="1" applyFont="1" applyFill="1" applyBorder="1" applyAlignment="1">
      <alignment horizontal="center"/>
    </xf>
    <xf numFmtId="49" fontId="2" fillId="0" borderId="73" xfId="0" applyNumberFormat="1" applyFont="1" applyBorder="1" applyAlignment="1">
      <alignment horizontal="center"/>
    </xf>
    <xf numFmtId="49" fontId="165" fillId="0" borderId="73" xfId="0" applyNumberFormat="1" applyFont="1" applyBorder="1"/>
    <xf numFmtId="166" fontId="14" fillId="0" borderId="73" xfId="1" applyNumberFormat="1" applyFont="1" applyFill="1" applyBorder="1" applyAlignment="1"/>
    <xf numFmtId="166" fontId="14" fillId="0" borderId="1" xfId="1" applyNumberFormat="1" applyFont="1" applyFill="1" applyBorder="1" applyAlignment="1"/>
    <xf numFmtId="166" fontId="14" fillId="0" borderId="24" xfId="1" applyNumberFormat="1" applyFont="1" applyFill="1" applyBorder="1" applyAlignment="1"/>
    <xf numFmtId="166" fontId="14" fillId="13" borderId="24" xfId="1" applyNumberFormat="1" applyFont="1" applyFill="1" applyBorder="1" applyAlignment="1"/>
    <xf numFmtId="170" fontId="14" fillId="70" borderId="1" xfId="1" applyNumberFormat="1" applyFont="1" applyFill="1" applyBorder="1" applyAlignment="1">
      <alignment horizontal="left"/>
    </xf>
    <xf numFmtId="166" fontId="23" fillId="8" borderId="24" xfId="1" applyNumberFormat="1" applyFont="1" applyFill="1" applyBorder="1" applyAlignment="1"/>
    <xf numFmtId="166" fontId="12" fillId="0" borderId="73" xfId="1" quotePrefix="1" applyNumberFormat="1" applyFont="1" applyFill="1" applyBorder="1" applyAlignment="1">
      <alignment horizontal="center" wrapText="1"/>
    </xf>
    <xf numFmtId="49" fontId="2" fillId="0" borderId="73" xfId="0" quotePrefix="1" applyNumberFormat="1" applyFont="1" applyBorder="1" applyAlignment="1">
      <alignment horizontal="center"/>
    </xf>
    <xf numFmtId="49" fontId="2" fillId="0" borderId="73" xfId="0" applyNumberFormat="1" applyFont="1" applyBorder="1" applyAlignment="1">
      <alignment horizontal="center" wrapText="1"/>
    </xf>
    <xf numFmtId="0" fontId="3" fillId="0" borderId="24" xfId="0" applyFont="1" applyBorder="1" applyAlignment="1">
      <alignment horizontal="center"/>
    </xf>
    <xf numFmtId="164" fontId="6" fillId="0" borderId="83" xfId="0" applyNumberFormat="1" applyFont="1" applyBorder="1" applyAlignment="1">
      <alignment horizontal="center"/>
    </xf>
    <xf numFmtId="166" fontId="12" fillId="0" borderId="83" xfId="1" quotePrefix="1" applyNumberFormat="1" applyFont="1" applyFill="1" applyBorder="1" applyAlignment="1">
      <alignment horizontal="center" wrapText="1"/>
    </xf>
    <xf numFmtId="49" fontId="56" fillId="0" borderId="83" xfId="0" applyNumberFormat="1" applyFont="1" applyBorder="1" applyAlignment="1">
      <alignment vertical="center"/>
    </xf>
    <xf numFmtId="49" fontId="56" fillId="0" borderId="83" xfId="5" applyNumberFormat="1" applyFont="1" applyBorder="1" applyAlignment="1">
      <alignment vertical="center"/>
    </xf>
    <xf numFmtId="2" fontId="21" fillId="0" borderId="1" xfId="1" quotePrefix="1" applyNumberFormat="1" applyFont="1" applyFill="1" applyBorder="1" applyAlignment="1">
      <alignment horizontal="center" vertical="center"/>
    </xf>
    <xf numFmtId="164" fontId="2" fillId="0" borderId="73" xfId="0" applyNumberFormat="1" applyFont="1" applyBorder="1" applyAlignment="1">
      <alignment horizontal="center" vertical="center" wrapText="1"/>
    </xf>
    <xf numFmtId="166" fontId="2" fillId="0" borderId="73" xfId="1" quotePrefix="1" applyNumberFormat="1" applyFont="1" applyFill="1" applyBorder="1" applyAlignment="1">
      <alignment horizontal="center"/>
    </xf>
    <xf numFmtId="164" fontId="164" fillId="0" borderId="83" xfId="0" applyNumberFormat="1" applyFont="1" applyBorder="1" applyAlignment="1">
      <alignment horizontal="center"/>
    </xf>
    <xf numFmtId="166" fontId="14" fillId="2" borderId="83" xfId="1" applyNumberFormat="1" applyFont="1" applyFill="1" applyBorder="1" applyAlignment="1">
      <alignment vertical="center"/>
    </xf>
    <xf numFmtId="170" fontId="14" fillId="0" borderId="83" xfId="1" applyNumberFormat="1" applyFont="1" applyFill="1" applyBorder="1" applyAlignment="1">
      <alignment vertical="center"/>
    </xf>
    <xf numFmtId="0" fontId="3" fillId="2" borderId="83" xfId="0" applyFont="1" applyFill="1" applyBorder="1" applyAlignment="1">
      <alignment horizontal="center" vertical="center"/>
    </xf>
    <xf numFmtId="49" fontId="2" fillId="0" borderId="43" xfId="2" quotePrefix="1" applyNumberFormat="1" applyFont="1" applyBorder="1" applyAlignment="1">
      <alignment horizontal="center"/>
    </xf>
    <xf numFmtId="3" fontId="6" fillId="2" borderId="83" xfId="0" applyNumberFormat="1" applyFont="1" applyFill="1" applyBorder="1" applyAlignment="1">
      <alignment vertical="center"/>
    </xf>
    <xf numFmtId="164" fontId="3" fillId="0" borderId="73" xfId="0" applyNumberFormat="1" applyFont="1" applyBorder="1" applyAlignment="1">
      <alignment horizontal="left" wrapText="1"/>
    </xf>
    <xf numFmtId="164" fontId="2" fillId="0" borderId="73" xfId="0" quotePrefix="1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 wrapText="1"/>
    </xf>
    <xf numFmtId="166" fontId="2" fillId="0" borderId="73" xfId="0" applyNumberFormat="1" applyFont="1" applyBorder="1" applyAlignment="1">
      <alignment horizontal="right"/>
    </xf>
    <xf numFmtId="49" fontId="12" fillId="5" borderId="83" xfId="1" quotePrefix="1" applyNumberFormat="1" applyFont="1" applyFill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vertical="center" wrapText="1"/>
    </xf>
    <xf numFmtId="3" fontId="2" fillId="2" borderId="83" xfId="0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 vertical="center"/>
    </xf>
    <xf numFmtId="2" fontId="2" fillId="0" borderId="73" xfId="0" quotePrefix="1" applyNumberFormat="1" applyFont="1" applyBorder="1" applyAlignment="1">
      <alignment horizontal="right"/>
    </xf>
    <xf numFmtId="164" fontId="3" fillId="0" borderId="55" xfId="0" applyNumberFormat="1" applyFont="1" applyBorder="1" applyAlignment="1">
      <alignment horizontal="left" wrapText="1"/>
    </xf>
    <xf numFmtId="3" fontId="2" fillId="2" borderId="95" xfId="0" applyNumberFormat="1" applyFont="1" applyFill="1" applyBorder="1" applyAlignment="1">
      <alignment horizontal="center"/>
    </xf>
    <xf numFmtId="3" fontId="2" fillId="2" borderId="94" xfId="0" applyNumberFormat="1" applyFont="1" applyFill="1" applyBorder="1" applyAlignment="1">
      <alignment horizontal="center"/>
    </xf>
    <xf numFmtId="166" fontId="2" fillId="0" borderId="91" xfId="1" quotePrefix="1" applyNumberFormat="1" applyFont="1" applyFill="1" applyBorder="1" applyAlignment="1">
      <alignment horizontal="center" vertical="center" wrapText="1"/>
    </xf>
    <xf numFmtId="166" fontId="12" fillId="5" borderId="83" xfId="1" quotePrefix="1" applyNumberFormat="1" applyFont="1" applyFill="1" applyBorder="1" applyAlignment="1">
      <alignment vertical="center"/>
    </xf>
    <xf numFmtId="185" fontId="12" fillId="5" borderId="43" xfId="1" quotePrefix="1" applyNumberFormat="1" applyFont="1" applyFill="1" applyBorder="1" applyAlignment="1">
      <alignment horizontal="center"/>
    </xf>
    <xf numFmtId="166" fontId="2" fillId="0" borderId="73" xfId="1" quotePrefix="1" applyNumberFormat="1" applyFont="1" applyFill="1" applyBorder="1" applyAlignment="1">
      <alignment horizontal="center" wrapText="1"/>
    </xf>
    <xf numFmtId="0" fontId="2" fillId="0" borderId="73" xfId="0" applyFont="1" applyBorder="1" applyAlignment="1">
      <alignment horizontal="center" wrapText="1"/>
    </xf>
    <xf numFmtId="0" fontId="2" fillId="0" borderId="1" xfId="0" quotePrefix="1" applyFont="1" applyBorder="1" applyAlignment="1">
      <alignment horizontal="center" wrapText="1"/>
    </xf>
    <xf numFmtId="2" fontId="19" fillId="0" borderId="1" xfId="1" quotePrefix="1" applyNumberFormat="1" applyFont="1" applyFill="1" applyBorder="1" applyAlignment="1">
      <alignment horizontal="center" vertical="center"/>
    </xf>
    <xf numFmtId="14" fontId="2" fillId="0" borderId="75" xfId="0" quotePrefix="1" applyNumberFormat="1" applyFont="1" applyBorder="1" applyAlignment="1">
      <alignment horizontal="center"/>
    </xf>
    <xf numFmtId="166" fontId="12" fillId="5" borderId="43" xfId="1" quotePrefix="1" applyNumberFormat="1" applyFont="1" applyFill="1" applyBorder="1" applyAlignment="1">
      <alignment horizontal="center" vertical="center"/>
    </xf>
    <xf numFmtId="0" fontId="2" fillId="0" borderId="77" xfId="0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/>
    </xf>
    <xf numFmtId="164" fontId="5" fillId="0" borderId="73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wrapText="1"/>
    </xf>
    <xf numFmtId="1" fontId="2" fillId="0" borderId="83" xfId="0" applyNumberFormat="1" applyFont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horizontal="center" vertical="center" wrapText="1"/>
    </xf>
    <xf numFmtId="1" fontId="12" fillId="5" borderId="83" xfId="1" quotePrefix="1" applyNumberFormat="1" applyFont="1" applyFill="1" applyBorder="1" applyAlignment="1">
      <alignment horizontal="center" vertical="center"/>
    </xf>
    <xf numFmtId="1" fontId="12" fillId="5" borderId="83" xfId="1" quotePrefix="1" applyNumberFormat="1" applyFont="1" applyFill="1" applyBorder="1" applyAlignment="1">
      <alignment vertical="center"/>
    </xf>
    <xf numFmtId="1" fontId="12" fillId="5" borderId="43" xfId="1" quotePrefix="1" applyNumberFormat="1" applyFont="1" applyFill="1" applyBorder="1" applyAlignment="1">
      <alignment horizontal="center" vertical="center"/>
    </xf>
    <xf numFmtId="1" fontId="3" fillId="0" borderId="83" xfId="0" applyNumberFormat="1" applyFont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left"/>
    </xf>
    <xf numFmtId="164" fontId="164" fillId="0" borderId="73" xfId="0" applyNumberFormat="1" applyFont="1" applyBorder="1" applyAlignment="1">
      <alignment horizontal="left" wrapText="1"/>
    </xf>
    <xf numFmtId="0" fontId="12" fillId="0" borderId="67" xfId="3" applyFont="1" applyBorder="1" applyAlignment="1">
      <alignment horizontal="center" vertical="center" wrapText="1"/>
    </xf>
    <xf numFmtId="0" fontId="2" fillId="0" borderId="32" xfId="0" applyFont="1" applyBorder="1" applyAlignment="1">
      <alignment horizontal="left"/>
    </xf>
    <xf numFmtId="14" fontId="2" fillId="0" borderId="32" xfId="0" applyNumberFormat="1" applyFont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 vertical="center"/>
    </xf>
    <xf numFmtId="14" fontId="2" fillId="0" borderId="83" xfId="0" applyNumberFormat="1" applyFont="1" applyBorder="1" applyAlignment="1">
      <alignment horizontal="center"/>
    </xf>
    <xf numFmtId="164" fontId="136" fillId="2" borderId="83" xfId="0" applyNumberFormat="1" applyFont="1" applyFill="1" applyBorder="1" applyAlignment="1">
      <alignment horizontal="center"/>
    </xf>
    <xf numFmtId="166" fontId="3" fillId="2" borderId="83" xfId="1" applyNumberFormat="1" applyFont="1" applyFill="1" applyBorder="1" applyAlignment="1">
      <alignment horizontal="right" vertical="center"/>
    </xf>
    <xf numFmtId="166" fontId="12" fillId="5" borderId="83" xfId="1" quotePrefix="1" applyNumberFormat="1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3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83" xfId="0" applyFont="1" applyBorder="1" applyAlignment="1">
      <alignment vertical="center"/>
    </xf>
    <xf numFmtId="166" fontId="12" fillId="5" borderId="73" xfId="1" quotePrefix="1" applyNumberFormat="1" applyFont="1" applyFill="1" applyBorder="1" applyAlignment="1">
      <alignment vertical="center" wrapText="1"/>
    </xf>
    <xf numFmtId="14" fontId="2" fillId="0" borderId="73" xfId="0" applyNumberFormat="1" applyFont="1" applyBorder="1" applyAlignment="1">
      <alignment horizontal="left" vertical="center"/>
    </xf>
    <xf numFmtId="166" fontId="12" fillId="5" borderId="73" xfId="1" quotePrefix="1" applyNumberFormat="1" applyFont="1" applyFill="1" applyBorder="1" applyAlignment="1">
      <alignment horizontal="left" vertical="center" wrapText="1"/>
    </xf>
    <xf numFmtId="166" fontId="12" fillId="5" borderId="73" xfId="1" quotePrefix="1" applyNumberFormat="1" applyFont="1" applyFill="1" applyBorder="1" applyAlignment="1">
      <alignment horizontal="left" vertical="center"/>
    </xf>
    <xf numFmtId="0" fontId="5" fillId="0" borderId="83" xfId="0" applyFont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/>
    </xf>
    <xf numFmtId="0" fontId="2" fillId="0" borderId="73" xfId="0" applyFont="1" applyBorder="1" applyAlignment="1">
      <alignment horizontal="left" vertical="center"/>
    </xf>
    <xf numFmtId="0" fontId="2" fillId="0" borderId="83" xfId="0" applyFont="1" applyBorder="1" applyAlignment="1">
      <alignment horizontal="center" vertical="center" wrapText="1"/>
    </xf>
    <xf numFmtId="164" fontId="5" fillId="0" borderId="83" xfId="0" applyNumberFormat="1" applyFont="1" applyBorder="1" applyAlignment="1">
      <alignment horizontal="center" vertical="center"/>
    </xf>
    <xf numFmtId="170" fontId="14" fillId="10" borderId="73" xfId="1" applyNumberFormat="1" applyFont="1" applyFill="1" applyBorder="1" applyAlignment="1">
      <alignment vertical="center"/>
    </xf>
    <xf numFmtId="170" fontId="14" fillId="12" borderId="24" xfId="1" applyNumberFormat="1" applyFont="1" applyFill="1" applyBorder="1" applyAlignment="1"/>
    <xf numFmtId="170" fontId="14" fillId="12" borderId="73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/>
    </xf>
    <xf numFmtId="0" fontId="5" fillId="0" borderId="83" xfId="0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/>
    </xf>
    <xf numFmtId="166" fontId="14" fillId="9" borderId="73" xfId="1" applyNumberFormat="1" applyFont="1" applyFill="1" applyBorder="1" applyAlignment="1"/>
    <xf numFmtId="166" fontId="5" fillId="0" borderId="83" xfId="1" quotePrefix="1" applyNumberFormat="1" applyFont="1" applyFill="1" applyBorder="1" applyAlignment="1">
      <alignment horizontal="center"/>
    </xf>
    <xf numFmtId="164" fontId="164" fillId="0" borderId="73" xfId="0" applyNumberFormat="1" applyFont="1" applyBorder="1" applyAlignment="1">
      <alignment horizontal="center"/>
    </xf>
    <xf numFmtId="49" fontId="2" fillId="5" borderId="43" xfId="1" quotePrefix="1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41" fontId="2" fillId="0" borderId="0" xfId="0" applyNumberFormat="1" applyFont="1" applyAlignment="1">
      <alignment horizontal="left"/>
    </xf>
    <xf numFmtId="41" fontId="2" fillId="0" borderId="0" xfId="0" applyNumberFormat="1" applyFont="1" applyAlignment="1">
      <alignment horizontal="center"/>
    </xf>
    <xf numFmtId="41" fontId="2" fillId="0" borderId="0" xfId="0" applyNumberFormat="1" applyFont="1"/>
    <xf numFmtId="164" fontId="164" fillId="15" borderId="75" xfId="0" applyNumberFormat="1" applyFont="1" applyFill="1" applyBorder="1" applyAlignment="1">
      <alignment horizontal="center" wrapText="1"/>
    </xf>
    <xf numFmtId="0" fontId="2" fillId="0" borderId="102" xfId="0" applyFont="1" applyBorder="1" applyAlignment="1">
      <alignment horizontal="left"/>
    </xf>
    <xf numFmtId="0" fontId="2" fillId="0" borderId="103" xfId="0" applyFont="1" applyBorder="1" applyAlignment="1">
      <alignment horizontal="left"/>
    </xf>
    <xf numFmtId="14" fontId="2" fillId="0" borderId="103" xfId="0" applyNumberFormat="1" applyFont="1" applyBorder="1" applyAlignment="1">
      <alignment horizontal="center"/>
    </xf>
    <xf numFmtId="41" fontId="2" fillId="0" borderId="99" xfId="0" applyNumberFormat="1" applyFont="1" applyBorder="1" applyAlignment="1">
      <alignment horizontal="center"/>
    </xf>
    <xf numFmtId="41" fontId="2" fillId="0" borderId="98" xfId="0" applyNumberFormat="1" applyFont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/>
    </xf>
    <xf numFmtId="41" fontId="3" fillId="3" borderId="0" xfId="38525" applyNumberFormat="1" applyFont="1" applyFill="1" applyBorder="1" applyAlignment="1">
      <alignment horizontal="center" wrapText="1"/>
    </xf>
    <xf numFmtId="166" fontId="3" fillId="3" borderId="0" xfId="1" applyNumberFormat="1" applyFont="1" applyFill="1" applyBorder="1"/>
    <xf numFmtId="166" fontId="14" fillId="10" borderId="73" xfId="1" applyNumberFormat="1" applyFont="1" applyFill="1" applyBorder="1" applyAlignment="1"/>
    <xf numFmtId="14" fontId="2" fillId="0" borderId="83" xfId="0" quotePrefix="1" applyNumberFormat="1" applyFont="1" applyBorder="1" applyAlignment="1">
      <alignment horizontal="center"/>
    </xf>
    <xf numFmtId="0" fontId="3" fillId="3" borderId="10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166" fontId="12" fillId="0" borderId="34" xfId="1" quotePrefix="1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wrapText="1"/>
    </xf>
    <xf numFmtId="0" fontId="2" fillId="0" borderId="105" xfId="0" applyFont="1" applyBorder="1" applyAlignment="1">
      <alignment horizontal="center"/>
    </xf>
    <xf numFmtId="166" fontId="14" fillId="72" borderId="24" xfId="1" applyNumberFormat="1" applyFont="1" applyFill="1" applyBorder="1" applyAlignment="1">
      <alignment vertical="center"/>
    </xf>
    <xf numFmtId="166" fontId="2" fillId="72" borderId="24" xfId="1" applyNumberFormat="1" applyFont="1" applyFill="1" applyBorder="1" applyAlignment="1">
      <alignment vertical="center"/>
    </xf>
    <xf numFmtId="166" fontId="2" fillId="0" borderId="7" xfId="1" applyNumberFormat="1" applyFont="1" applyFill="1" applyBorder="1" applyAlignment="1">
      <alignment horizontal="center"/>
    </xf>
    <xf numFmtId="186" fontId="2" fillId="0" borderId="7" xfId="1" quotePrefix="1" applyNumberFormat="1" applyFont="1" applyFill="1" applyBorder="1" applyAlignment="1">
      <alignment horizontal="right" vertical="center" wrapText="1" shrinkToFit="1"/>
    </xf>
    <xf numFmtId="0" fontId="2" fillId="2" borderId="83" xfId="0" applyFont="1" applyFill="1" applyBorder="1" applyAlignment="1">
      <alignment vertical="center" wrapText="1"/>
    </xf>
    <xf numFmtId="170" fontId="21" fillId="3" borderId="83" xfId="1" applyNumberFormat="1" applyFont="1" applyFill="1" applyBorder="1" applyAlignment="1">
      <alignment vertical="center"/>
    </xf>
    <xf numFmtId="170" fontId="14" fillId="70" borderId="83" xfId="1" applyNumberFormat="1" applyFont="1" applyFill="1" applyBorder="1" applyAlignment="1">
      <alignment horizontal="left"/>
    </xf>
    <xf numFmtId="170" fontId="14" fillId="70" borderId="24" xfId="1" applyNumberFormat="1" applyFont="1" applyFill="1" applyBorder="1" applyAlignment="1">
      <alignment horizontal="left"/>
    </xf>
    <xf numFmtId="170" fontId="14" fillId="2" borderId="83" xfId="1" applyNumberFormat="1" applyFont="1" applyFill="1" applyBorder="1" applyAlignment="1">
      <alignment vertical="center"/>
    </xf>
    <xf numFmtId="164" fontId="5" fillId="0" borderId="0" xfId="0" applyNumberFormat="1" applyFont="1" applyAlignment="1">
      <alignment horizontal="left"/>
    </xf>
    <xf numFmtId="49" fontId="56" fillId="0" borderId="83" xfId="0" applyNumberFormat="1" applyFont="1" applyBorder="1" applyAlignment="1">
      <alignment vertical="top" wrapText="1"/>
    </xf>
    <xf numFmtId="14" fontId="2" fillId="0" borderId="106" xfId="0" applyNumberFormat="1" applyFont="1" applyBorder="1" applyAlignment="1">
      <alignment horizontal="center"/>
    </xf>
    <xf numFmtId="164" fontId="164" fillId="0" borderId="107" xfId="0" applyNumberFormat="1" applyFont="1" applyBorder="1" applyAlignment="1">
      <alignment horizontal="center" wrapText="1"/>
    </xf>
    <xf numFmtId="166" fontId="14" fillId="2" borderId="96" xfId="1" applyNumberFormat="1" applyFont="1" applyFill="1" applyBorder="1" applyAlignment="1">
      <alignment vertical="center"/>
    </xf>
    <xf numFmtId="166" fontId="14" fillId="2" borderId="93" xfId="1" applyNumberFormat="1" applyFont="1" applyFill="1" applyBorder="1" applyAlignment="1">
      <alignment vertical="center"/>
    </xf>
    <xf numFmtId="166" fontId="14" fillId="72" borderId="107" xfId="1" applyNumberFormat="1" applyFont="1" applyFill="1" applyBorder="1" applyAlignment="1">
      <alignment vertical="center"/>
    </xf>
    <xf numFmtId="166" fontId="14" fillId="2" borderId="107" xfId="1" applyNumberFormat="1" applyFont="1" applyFill="1" applyBorder="1" applyAlignment="1">
      <alignment vertical="center"/>
    </xf>
    <xf numFmtId="166" fontId="14" fillId="2" borderId="43" xfId="1" applyNumberFormat="1" applyFont="1" applyFill="1" applyBorder="1" applyAlignment="1">
      <alignment vertical="center"/>
    </xf>
    <xf numFmtId="166" fontId="14" fillId="10" borderId="55" xfId="1" applyNumberFormat="1" applyFont="1" applyFill="1" applyBorder="1" applyAlignment="1">
      <alignment vertical="center"/>
    </xf>
    <xf numFmtId="166" fontId="14" fillId="72" borderId="108" xfId="1" applyNumberFormat="1" applyFont="1" applyFill="1" applyBorder="1" applyAlignment="1">
      <alignment vertical="center"/>
    </xf>
    <xf numFmtId="166" fontId="14" fillId="2" borderId="61" xfId="1" applyNumberFormat="1" applyFont="1" applyFill="1" applyBorder="1" applyAlignment="1">
      <alignment vertical="center"/>
    </xf>
    <xf numFmtId="166" fontId="14" fillId="2" borderId="53" xfId="1" applyNumberFormat="1" applyFont="1" applyFill="1" applyBorder="1" applyAlignment="1">
      <alignment vertical="center"/>
    </xf>
    <xf numFmtId="166" fontId="14" fillId="10" borderId="93" xfId="1" applyNumberFormat="1" applyFont="1" applyFill="1" applyBorder="1" applyAlignment="1">
      <alignment vertical="center"/>
    </xf>
    <xf numFmtId="166" fontId="14" fillId="10" borderId="53" xfId="1" applyNumberFormat="1" applyFont="1" applyFill="1" applyBorder="1" applyAlignment="1">
      <alignment vertical="center"/>
    </xf>
    <xf numFmtId="166" fontId="14" fillId="2" borderId="21" xfId="1" applyNumberFormat="1" applyFont="1" applyFill="1" applyBorder="1" applyAlignment="1">
      <alignment vertical="center"/>
    </xf>
    <xf numFmtId="166" fontId="14" fillId="10" borderId="34" xfId="1" applyNumberFormat="1" applyFont="1" applyFill="1" applyBorder="1" applyAlignment="1">
      <alignment vertical="center"/>
    </xf>
    <xf numFmtId="166" fontId="12" fillId="0" borderId="24" xfId="1" quotePrefix="1" applyNumberFormat="1" applyFont="1" applyFill="1" applyBorder="1" applyAlignment="1">
      <alignment horizontal="center" wrapText="1"/>
    </xf>
    <xf numFmtId="49" fontId="56" fillId="0" borderId="107" xfId="0" applyNumberFormat="1" applyFont="1" applyBorder="1" applyAlignment="1">
      <alignment vertical="center"/>
    </xf>
    <xf numFmtId="43" fontId="2" fillId="0" borderId="0" xfId="1" applyFont="1" applyAlignment="1">
      <alignment horizontal="center"/>
    </xf>
    <xf numFmtId="164" fontId="2" fillId="0" borderId="73" xfId="0" applyNumberFormat="1" applyFont="1" applyBorder="1" applyAlignment="1">
      <alignment horizontal="center" wrapText="1"/>
    </xf>
    <xf numFmtId="164" fontId="5" fillId="0" borderId="73" xfId="0" applyNumberFormat="1" applyFont="1" applyBorder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/>
    </xf>
    <xf numFmtId="164" fontId="10" fillId="0" borderId="75" xfId="0" applyNumberFormat="1" applyFont="1" applyBorder="1" applyAlignment="1">
      <alignment horizontal="center" vertical="center" wrapText="1"/>
    </xf>
    <xf numFmtId="49" fontId="173" fillId="0" borderId="107" xfId="0" applyNumberFormat="1" applyFont="1" applyBorder="1" applyAlignment="1">
      <alignment vertical="center"/>
    </xf>
    <xf numFmtId="0" fontId="12" fillId="0" borderId="67" xfId="3" applyFont="1" applyBorder="1" applyAlignment="1">
      <alignment horizontal="center" wrapText="1"/>
    </xf>
    <xf numFmtId="1" fontId="14" fillId="2" borderId="1" xfId="1" applyNumberFormat="1" applyFont="1" applyFill="1" applyBorder="1" applyAlignment="1">
      <alignment vertical="center"/>
    </xf>
    <xf numFmtId="49" fontId="2" fillId="0" borderId="73" xfId="2" quotePrefix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49" fontId="2" fillId="0" borderId="1" xfId="2" quotePrefix="1" applyNumberFormat="1" applyFont="1" applyBorder="1" applyAlignment="1">
      <alignment vertical="center" wrapText="1"/>
    </xf>
    <xf numFmtId="164" fontId="2" fillId="0" borderId="83" xfId="0" applyNumberFormat="1" applyFont="1" applyBorder="1" applyAlignment="1">
      <alignment horizontal="center"/>
    </xf>
    <xf numFmtId="49" fontId="56" fillId="0" borderId="107" xfId="0" applyNumberFormat="1" applyFont="1" applyBorder="1" applyAlignment="1">
      <alignment vertical="top" wrapText="1"/>
    </xf>
    <xf numFmtId="0" fontId="12" fillId="5" borderId="13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vertical="center"/>
    </xf>
    <xf numFmtId="166" fontId="2" fillId="0" borderId="7" xfId="1" applyNumberFormat="1" applyFont="1" applyFill="1" applyBorder="1" applyAlignment="1">
      <alignment horizontal="center" wrapText="1"/>
    </xf>
    <xf numFmtId="186" fontId="2" fillId="5" borderId="23" xfId="1" quotePrefix="1" applyNumberFormat="1" applyFont="1" applyFill="1" applyBorder="1" applyAlignment="1">
      <alignment horizontal="right" vertical="center" shrinkToFit="1"/>
    </xf>
    <xf numFmtId="173" fontId="2" fillId="0" borderId="24" xfId="0" applyNumberFormat="1" applyFont="1" applyBorder="1" applyAlignment="1">
      <alignment horizontal="center"/>
    </xf>
    <xf numFmtId="186" fontId="2" fillId="5" borderId="107" xfId="1" quotePrefix="1" applyNumberFormat="1" applyFont="1" applyFill="1" applyBorder="1" applyAlignment="1">
      <alignment vertical="center" shrinkToFit="1"/>
    </xf>
    <xf numFmtId="166" fontId="12" fillId="5" borderId="107" xfId="1" quotePrefix="1" applyNumberFormat="1" applyFont="1" applyFill="1" applyBorder="1" applyAlignment="1">
      <alignment horizontal="center"/>
    </xf>
    <xf numFmtId="1" fontId="2" fillId="0" borderId="1" xfId="2" quotePrefix="1" applyNumberFormat="1" applyFont="1" applyBorder="1" applyAlignment="1">
      <alignment horizontal="center"/>
    </xf>
    <xf numFmtId="49" fontId="2" fillId="0" borderId="108" xfId="2" quotePrefix="1" applyNumberFormat="1" applyFont="1" applyBorder="1"/>
    <xf numFmtId="3" fontId="12" fillId="5" borderId="108" xfId="1" applyNumberFormat="1" applyFont="1" applyFill="1" applyBorder="1" applyAlignment="1"/>
    <xf numFmtId="0" fontId="2" fillId="2" borderId="108" xfId="0" quotePrefix="1" applyFont="1" applyFill="1" applyBorder="1" applyAlignment="1">
      <alignment horizontal="left"/>
    </xf>
    <xf numFmtId="166" fontId="21" fillId="2" borderId="108" xfId="1" applyNumberFormat="1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vertical="center"/>
    </xf>
    <xf numFmtId="0" fontId="20" fillId="2" borderId="108" xfId="0" applyFont="1" applyFill="1" applyBorder="1" applyAlignment="1">
      <alignment horizontal="center" vertical="center"/>
    </xf>
    <xf numFmtId="49" fontId="24" fillId="2" borderId="108" xfId="0" applyNumberFormat="1" applyFont="1" applyFill="1" applyBorder="1" applyAlignment="1">
      <alignment horizontal="center" vertical="center"/>
    </xf>
    <xf numFmtId="49" fontId="56" fillId="0" borderId="107" xfId="0" applyNumberFormat="1" applyFont="1" applyBorder="1" applyAlignment="1">
      <alignment vertical="top"/>
    </xf>
    <xf numFmtId="166" fontId="21" fillId="19" borderId="1" xfId="1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center"/>
    </xf>
    <xf numFmtId="14" fontId="2" fillId="0" borderId="107" xfId="0" applyNumberFormat="1" applyFont="1" applyBorder="1" applyAlignment="1">
      <alignment horizontal="center"/>
    </xf>
    <xf numFmtId="164" fontId="11" fillId="2" borderId="107" xfId="0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vertical="center"/>
    </xf>
    <xf numFmtId="166" fontId="21" fillId="2" borderId="107" xfId="1" applyNumberFormat="1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vertical="center"/>
    </xf>
    <xf numFmtId="3" fontId="12" fillId="5" borderId="107" xfId="1" applyNumberFormat="1" applyFont="1" applyFill="1" applyBorder="1" applyAlignment="1"/>
    <xf numFmtId="49" fontId="24" fillId="2" borderId="107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3" fontId="21" fillId="2" borderId="1" xfId="0" applyNumberFormat="1" applyFont="1" applyFill="1" applyBorder="1" applyAlignment="1">
      <alignment horizontal="center" vertical="center"/>
    </xf>
    <xf numFmtId="49" fontId="5" fillId="3" borderId="1" xfId="2" quotePrefix="1" applyNumberFormat="1" applyFont="1" applyFill="1" applyBorder="1"/>
    <xf numFmtId="169" fontId="19" fillId="2" borderId="1" xfId="0" applyNumberFormat="1" applyFont="1" applyFill="1" applyBorder="1" applyAlignment="1">
      <alignment horizontal="center" vertical="center"/>
    </xf>
    <xf numFmtId="0" fontId="2" fillId="0" borderId="109" xfId="0" applyFont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left"/>
    </xf>
    <xf numFmtId="0" fontId="20" fillId="2" borderId="107" xfId="0" applyFont="1" applyFill="1" applyBorder="1" applyAlignment="1">
      <alignment horizontal="center" vertical="center"/>
    </xf>
    <xf numFmtId="2" fontId="19" fillId="2" borderId="1" xfId="1" quotePrefix="1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vertical="center" wrapText="1"/>
    </xf>
    <xf numFmtId="49" fontId="12" fillId="5" borderId="43" xfId="1" quotePrefix="1" applyNumberFormat="1" applyFont="1" applyFill="1" applyBorder="1" applyAlignment="1">
      <alignment horizontal="center" wrapText="1"/>
    </xf>
    <xf numFmtId="166" fontId="2" fillId="5" borderId="78" xfId="1" quotePrefix="1" applyNumberFormat="1" applyFont="1" applyFill="1" applyBorder="1" applyAlignment="1">
      <alignment horizontal="center" vertical="center"/>
    </xf>
    <xf numFmtId="1" fontId="12" fillId="5" borderId="43" xfId="1" quotePrefix="1" applyNumberFormat="1" applyFont="1" applyFill="1" applyBorder="1" applyAlignment="1">
      <alignment horizontal="center"/>
    </xf>
    <xf numFmtId="166" fontId="3" fillId="2" borderId="73" xfId="1" applyNumberFormat="1" applyFont="1" applyFill="1" applyBorder="1" applyAlignment="1">
      <alignment horizontal="right"/>
    </xf>
    <xf numFmtId="166" fontId="14" fillId="2" borderId="1" xfId="1" applyNumberFormat="1" applyFont="1" applyFill="1" applyBorder="1" applyAlignment="1"/>
    <xf numFmtId="166" fontId="14" fillId="2" borderId="24" xfId="1" applyNumberFormat="1" applyFont="1" applyFill="1" applyBorder="1" applyAlignment="1"/>
    <xf numFmtId="166" fontId="31" fillId="8" borderId="24" xfId="1" applyNumberFormat="1" applyFont="1" applyFill="1" applyBorder="1" applyAlignment="1"/>
    <xf numFmtId="49" fontId="5" fillId="70" borderId="73" xfId="0" applyNumberFormat="1" applyFont="1" applyFill="1" applyBorder="1" applyAlignment="1">
      <alignment horizontal="center"/>
    </xf>
    <xf numFmtId="41" fontId="2" fillId="0" borderId="98" xfId="0" applyNumberFormat="1" applyFont="1" applyBorder="1"/>
    <xf numFmtId="0" fontId="20" fillId="7" borderId="1" xfId="0" applyFont="1" applyFill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center" wrapText="1"/>
    </xf>
    <xf numFmtId="170" fontId="21" fillId="0" borderId="1" xfId="1" applyNumberFormat="1" applyFont="1" applyFill="1" applyBorder="1" applyAlignment="1">
      <alignment horizontal="left" vertical="center" indent="1"/>
    </xf>
    <xf numFmtId="164" fontId="3" fillId="0" borderId="83" xfId="0" applyNumberFormat="1" applyFont="1" applyBorder="1" applyAlignment="1">
      <alignment horizontal="center"/>
    </xf>
    <xf numFmtId="164" fontId="3" fillId="0" borderId="83" xfId="0" applyNumberFormat="1" applyFont="1" applyBorder="1" applyAlignment="1">
      <alignment horizontal="center" wrapText="1"/>
    </xf>
    <xf numFmtId="164" fontId="3" fillId="0" borderId="24" xfId="0" applyNumberFormat="1" applyFont="1" applyBorder="1" applyAlignment="1">
      <alignment horizontal="center" wrapText="1"/>
    </xf>
    <xf numFmtId="0" fontId="5" fillId="3" borderId="34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49" fontId="2" fillId="0" borderId="43" xfId="2" quotePrefix="1" applyNumberFormat="1" applyFont="1" applyBorder="1" applyAlignment="1">
      <alignment horizontal="center" vertical="center"/>
    </xf>
    <xf numFmtId="49" fontId="2" fillId="0" borderId="0" xfId="2" quotePrefix="1" applyNumberFormat="1" applyFont="1" applyAlignment="1">
      <alignment vertical="center"/>
    </xf>
    <xf numFmtId="0" fontId="3" fillId="0" borderId="96" xfId="0" applyFont="1" applyBorder="1" applyAlignment="1">
      <alignment horizontal="center"/>
    </xf>
    <xf numFmtId="49" fontId="2" fillId="0" borderId="108" xfId="2" quotePrefix="1" applyNumberFormat="1" applyFont="1" applyBorder="1" applyAlignment="1">
      <alignment vertical="center"/>
    </xf>
    <xf numFmtId="14" fontId="3" fillId="0" borderId="107" xfId="0" applyNumberFormat="1" applyFont="1" applyBorder="1" applyAlignment="1">
      <alignment horizontal="left"/>
    </xf>
    <xf numFmtId="49" fontId="2" fillId="0" borderId="107" xfId="7" applyNumberFormat="1" applyFont="1" applyBorder="1" applyAlignment="1">
      <alignment vertical="top" wrapText="1"/>
    </xf>
    <xf numFmtId="49" fontId="2" fillId="0" borderId="107" xfId="2" quotePrefix="1" applyNumberFormat="1" applyFont="1" applyBorder="1"/>
    <xf numFmtId="0" fontId="2" fillId="0" borderId="107" xfId="0" quotePrefix="1" applyFont="1" applyBorder="1" applyAlignment="1">
      <alignment vertical="center"/>
    </xf>
    <xf numFmtId="0" fontId="2" fillId="0" borderId="107" xfId="0" applyFont="1" applyBorder="1" applyAlignment="1">
      <alignment horizontal="left"/>
    </xf>
    <xf numFmtId="0" fontId="2" fillId="0" borderId="107" xfId="0" applyFont="1" applyBorder="1" applyAlignment="1">
      <alignment vertical="center" wrapText="1"/>
    </xf>
    <xf numFmtId="40" fontId="2" fillId="0" borderId="107" xfId="38492" applyNumberFormat="1" applyFont="1" applyFill="1" applyBorder="1" applyAlignment="1">
      <alignment horizontal="left" shrinkToFit="1"/>
    </xf>
    <xf numFmtId="49" fontId="2" fillId="0" borderId="107" xfId="2" quotePrefix="1" applyNumberFormat="1" applyFont="1" applyBorder="1" applyAlignment="1">
      <alignment wrapText="1"/>
    </xf>
    <xf numFmtId="0" fontId="2" fillId="0" borderId="107" xfId="0" applyFont="1" applyBorder="1" applyAlignment="1">
      <alignment horizontal="left" wrapText="1"/>
    </xf>
    <xf numFmtId="49" fontId="2" fillId="0" borderId="107" xfId="2" quotePrefix="1" applyNumberFormat="1" applyFont="1" applyBorder="1" applyAlignment="1">
      <alignment vertical="center" wrapText="1"/>
    </xf>
    <xf numFmtId="166" fontId="31" fillId="8" borderId="107" xfId="1" applyNumberFormat="1" applyFont="1" applyFill="1" applyBorder="1" applyAlignment="1">
      <alignment horizontal="center" vertical="center"/>
    </xf>
    <xf numFmtId="166" fontId="2" fillId="5" borderId="7" xfId="1" applyNumberFormat="1" applyFont="1" applyFill="1" applyBorder="1" applyAlignment="1">
      <alignment horizontal="center" vertical="center" wrapText="1"/>
    </xf>
    <xf numFmtId="166" fontId="2" fillId="5" borderId="7" xfId="1" quotePrefix="1" applyNumberFormat="1" applyFont="1" applyFill="1" applyBorder="1" applyAlignment="1">
      <alignment horizontal="center" vertical="center" wrapText="1"/>
    </xf>
    <xf numFmtId="164" fontId="164" fillId="0" borderId="73" xfId="0" applyNumberFormat="1" applyFont="1" applyBorder="1" applyAlignment="1">
      <alignment horizontal="center" wrapText="1"/>
    </xf>
    <xf numFmtId="166" fontId="21" fillId="72" borderId="24" xfId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49" fontId="2" fillId="0" borderId="83" xfId="2" quotePrefix="1" applyNumberFormat="1" applyFont="1" applyBorder="1" applyAlignment="1">
      <alignment horizontal="center" vertical="center"/>
    </xf>
    <xf numFmtId="49" fontId="2" fillId="0" borderId="20" xfId="2" quotePrefix="1" applyNumberFormat="1" applyFont="1" applyBorder="1" applyAlignment="1">
      <alignment horizontal="center" vertical="center"/>
    </xf>
    <xf numFmtId="0" fontId="2" fillId="0" borderId="32" xfId="0" applyFont="1" applyBorder="1" applyAlignment="1">
      <alignment horizontal="center"/>
    </xf>
    <xf numFmtId="0" fontId="2" fillId="2" borderId="1" xfId="0" quotePrefix="1" applyFont="1" applyFill="1" applyBorder="1" applyAlignment="1">
      <alignment horizontal="center" wrapText="1"/>
    </xf>
    <xf numFmtId="0" fontId="2" fillId="2" borderId="73" xfId="0" quotePrefix="1" applyFont="1" applyFill="1" applyBorder="1" applyAlignment="1">
      <alignment horizontal="center"/>
    </xf>
    <xf numFmtId="49" fontId="2" fillId="0" borderId="20" xfId="2" quotePrefix="1" applyNumberFormat="1" applyFont="1" applyBorder="1" applyAlignment="1">
      <alignment horizontal="center"/>
    </xf>
    <xf numFmtId="175" fontId="19" fillId="0" borderId="1" xfId="0" applyNumberFormat="1" applyFont="1" applyBorder="1" applyAlignment="1">
      <alignment horizontal="center" vertical="center"/>
    </xf>
    <xf numFmtId="175" fontId="2" fillId="0" borderId="0" xfId="0" applyNumberFormat="1" applyFont="1" applyAlignment="1">
      <alignment horizontal="center"/>
    </xf>
    <xf numFmtId="175" fontId="3" fillId="3" borderId="19" xfId="0" applyNumberFormat="1" applyFont="1" applyFill="1" applyBorder="1" applyAlignment="1">
      <alignment horizontal="center"/>
    </xf>
    <xf numFmtId="175" fontId="2" fillId="2" borderId="18" xfId="0" quotePrefix="1" applyNumberFormat="1" applyFont="1" applyFill="1" applyBorder="1" applyAlignment="1">
      <alignment horizontal="center"/>
    </xf>
    <xf numFmtId="175" fontId="2" fillId="2" borderId="1" xfId="0" quotePrefix="1" applyNumberFormat="1" applyFont="1" applyFill="1" applyBorder="1" applyAlignment="1">
      <alignment horizontal="center" wrapText="1"/>
    </xf>
    <xf numFmtId="175" fontId="2" fillId="0" borderId="1" xfId="0" quotePrefix="1" applyNumberFormat="1" applyFont="1" applyBorder="1" applyAlignment="1">
      <alignment horizontal="center"/>
    </xf>
    <xf numFmtId="4" fontId="2" fillId="0" borderId="1" xfId="1" applyNumberFormat="1" applyFont="1" applyBorder="1" applyAlignment="1">
      <alignment horizontal="center" vertical="center" wrapText="1" shrinkToFit="1"/>
    </xf>
    <xf numFmtId="0" fontId="99" fillId="0" borderId="1" xfId="0" applyFont="1" applyBorder="1" applyAlignment="1">
      <alignment horizontal="center" vertical="center" wrapText="1"/>
    </xf>
    <xf numFmtId="175" fontId="2" fillId="2" borderId="24" xfId="0" quotePrefix="1" applyNumberFormat="1" applyFont="1" applyFill="1" applyBorder="1" applyAlignment="1">
      <alignment horizontal="center"/>
    </xf>
    <xf numFmtId="0" fontId="137" fillId="0" borderId="56" xfId="0" applyFont="1" applyBorder="1" applyAlignment="1">
      <alignment horizontal="center"/>
    </xf>
    <xf numFmtId="0" fontId="137" fillId="0" borderId="0" xfId="0" applyFont="1" applyAlignment="1">
      <alignment horizontal="center"/>
    </xf>
    <xf numFmtId="175" fontId="2" fillId="0" borderId="59" xfId="0" applyNumberFormat="1" applyFont="1" applyBorder="1" applyAlignment="1">
      <alignment horizontal="center"/>
    </xf>
    <xf numFmtId="175" fontId="2" fillId="2" borderId="60" xfId="0" quotePrefix="1" applyNumberFormat="1" applyFont="1" applyFill="1" applyBorder="1" applyAlignment="1">
      <alignment horizontal="center"/>
    </xf>
    <xf numFmtId="175" fontId="2" fillId="2" borderId="59" xfId="0" quotePrefix="1" applyNumberFormat="1" applyFont="1" applyFill="1" applyBorder="1" applyAlignment="1">
      <alignment horizontal="center"/>
    </xf>
    <xf numFmtId="0" fontId="137" fillId="0" borderId="59" xfId="0" applyFont="1" applyBorder="1" applyAlignment="1">
      <alignment horizontal="center"/>
    </xf>
    <xf numFmtId="175" fontId="2" fillId="0" borderId="24" xfId="0" applyNumberFormat="1" applyFont="1" applyBorder="1" applyAlignment="1">
      <alignment horizontal="center"/>
    </xf>
    <xf numFmtId="175" fontId="2" fillId="0" borderId="68" xfId="0" applyNumberFormat="1" applyFont="1" applyBorder="1" applyAlignment="1">
      <alignment horizontal="center"/>
    </xf>
    <xf numFmtId="175" fontId="2" fillId="0" borderId="67" xfId="0" applyNumberFormat="1" applyFont="1" applyBorder="1" applyAlignment="1">
      <alignment horizontal="center"/>
    </xf>
    <xf numFmtId="49" fontId="2" fillId="2" borderId="73" xfId="2" quotePrefix="1" applyNumberFormat="1" applyFont="1" applyFill="1" applyBorder="1" applyAlignment="1">
      <alignment horizontal="center" wrapText="1"/>
    </xf>
    <xf numFmtId="175" fontId="2" fillId="2" borderId="75" xfId="0" quotePrefix="1" applyNumberFormat="1" applyFont="1" applyFill="1" applyBorder="1" applyAlignment="1">
      <alignment horizontal="center"/>
    </xf>
    <xf numFmtId="175" fontId="2" fillId="2" borderId="73" xfId="0" quotePrefix="1" applyNumberFormat="1" applyFont="1" applyFill="1" applyBorder="1" applyAlignment="1">
      <alignment horizontal="center"/>
    </xf>
    <xf numFmtId="175" fontId="2" fillId="0" borderId="73" xfId="0" applyNumberFormat="1" applyFont="1" applyBorder="1" applyAlignment="1">
      <alignment horizontal="center"/>
    </xf>
    <xf numFmtId="175" fontId="2" fillId="2" borderId="107" xfId="0" quotePrefix="1" applyNumberFormat="1" applyFont="1" applyFill="1" applyBorder="1" applyAlignment="1">
      <alignment horizontal="center"/>
    </xf>
    <xf numFmtId="0" fontId="137" fillId="0" borderId="107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 wrapText="1"/>
    </xf>
    <xf numFmtId="170" fontId="14" fillId="0" borderId="24" xfId="1" applyNumberFormat="1" applyFont="1" applyFill="1" applyBorder="1" applyAlignment="1"/>
    <xf numFmtId="170" fontId="14" fillId="0" borderId="1" xfId="1" applyNumberFormat="1" applyFont="1" applyFill="1" applyBorder="1" applyAlignment="1">
      <alignment horizontal="left"/>
    </xf>
    <xf numFmtId="170" fontId="14" fillId="0" borderId="83" xfId="1" applyNumberFormat="1" applyFont="1" applyFill="1" applyBorder="1" applyAlignment="1">
      <alignment horizontal="left"/>
    </xf>
    <xf numFmtId="0" fontId="5" fillId="0" borderId="83" xfId="0" applyFont="1" applyBorder="1" applyAlignment="1">
      <alignment horizontal="center"/>
    </xf>
    <xf numFmtId="170" fontId="14" fillId="10" borderId="24" xfId="1" applyNumberFormat="1" applyFont="1" applyFill="1" applyBorder="1" applyAlignment="1"/>
    <xf numFmtId="170" fontId="21" fillId="14" borderId="96" xfId="1" applyNumberFormat="1" applyFont="1" applyFill="1" applyBorder="1" applyAlignment="1">
      <alignment horizontal="left" vertical="center" indent="1"/>
    </xf>
    <xf numFmtId="49" fontId="24" fillId="2" borderId="93" xfId="0" applyNumberFormat="1" applyFont="1" applyFill="1" applyBorder="1" applyAlignment="1">
      <alignment horizontal="center" vertical="center"/>
    </xf>
    <xf numFmtId="49" fontId="56" fillId="0" borderId="93" xfId="0" applyNumberFormat="1" applyFont="1" applyBorder="1" applyAlignment="1">
      <alignment vertical="center"/>
    </xf>
    <xf numFmtId="49" fontId="56" fillId="0" borderId="53" xfId="0" applyNumberFormat="1" applyFont="1" applyBorder="1" applyAlignment="1">
      <alignment vertical="center"/>
    </xf>
    <xf numFmtId="166" fontId="23" fillId="15" borderId="107" xfId="1" applyNumberFormat="1" applyFont="1" applyFill="1" applyBorder="1" applyAlignment="1">
      <alignment vertical="center"/>
    </xf>
    <xf numFmtId="166" fontId="3" fillId="3" borderId="107" xfId="1" applyNumberFormat="1" applyFont="1" applyFill="1" applyBorder="1" applyAlignment="1">
      <alignment vertical="center"/>
    </xf>
    <xf numFmtId="14" fontId="2" fillId="0" borderId="93" xfId="0" applyNumberFormat="1" applyFont="1" applyBorder="1" applyAlignment="1">
      <alignment horizontal="center"/>
    </xf>
    <xf numFmtId="14" fontId="2" fillId="0" borderId="55" xfId="0" applyNumberFormat="1" applyFont="1" applyBorder="1" applyAlignment="1">
      <alignment horizontal="center"/>
    </xf>
    <xf numFmtId="14" fontId="2" fillId="0" borderId="21" xfId="0" applyNumberFormat="1" applyFont="1" applyBorder="1" applyAlignment="1">
      <alignment horizontal="center"/>
    </xf>
    <xf numFmtId="0" fontId="2" fillId="3" borderId="107" xfId="0" applyFont="1" applyFill="1" applyBorder="1" applyAlignment="1">
      <alignment vertical="center"/>
    </xf>
    <xf numFmtId="166" fontId="14" fillId="2" borderId="73" xfId="1" applyNumberFormat="1" applyFont="1" applyFill="1" applyBorder="1" applyAlignment="1"/>
    <xf numFmtId="170" fontId="14" fillId="0" borderId="73" xfId="1" applyNumberFormat="1" applyFont="1" applyFill="1" applyBorder="1" applyAlignment="1"/>
    <xf numFmtId="2" fontId="2" fillId="0" borderId="43" xfId="2" quotePrefix="1" applyNumberFormat="1" applyFont="1" applyBorder="1" applyAlignment="1">
      <alignment horizontal="center"/>
    </xf>
    <xf numFmtId="166" fontId="2" fillId="5" borderId="78" xfId="1" quotePrefix="1" applyNumberFormat="1" applyFont="1" applyFill="1" applyBorder="1" applyAlignment="1">
      <alignment horizontal="center"/>
    </xf>
    <xf numFmtId="0" fontId="5" fillId="2" borderId="73" xfId="0" applyFont="1" applyFill="1" applyBorder="1" applyAlignment="1">
      <alignment horizontal="center" wrapText="1"/>
    </xf>
    <xf numFmtId="164" fontId="5" fillId="3" borderId="6" xfId="0" applyNumberFormat="1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left"/>
    </xf>
    <xf numFmtId="164" fontId="5" fillId="3" borderId="1" xfId="0" applyNumberFormat="1" applyFont="1" applyFill="1" applyBorder="1" applyAlignment="1">
      <alignment horizontal="left"/>
    </xf>
    <xf numFmtId="172" fontId="2" fillId="3" borderId="0" xfId="0" applyNumberFormat="1" applyFont="1" applyFill="1" applyAlignment="1">
      <alignment vertical="center"/>
    </xf>
    <xf numFmtId="170" fontId="6" fillId="0" borderId="24" xfId="1" applyNumberFormat="1" applyFont="1" applyFill="1" applyBorder="1" applyAlignment="1"/>
    <xf numFmtId="175" fontId="2" fillId="0" borderId="107" xfId="0" applyNumberFormat="1" applyFont="1" applyBorder="1" applyAlignment="1">
      <alignment horizontal="left"/>
    </xf>
    <xf numFmtId="166" fontId="2" fillId="5" borderId="73" xfId="1" quotePrefix="1" applyNumberFormat="1" applyFont="1" applyFill="1" applyBorder="1" applyAlignment="1">
      <alignment horizontal="center"/>
    </xf>
    <xf numFmtId="49" fontId="6" fillId="3" borderId="1" xfId="2" quotePrefix="1" applyNumberFormat="1" applyFont="1" applyFill="1" applyBorder="1" applyAlignment="1">
      <alignment horizontal="center"/>
    </xf>
    <xf numFmtId="164" fontId="5" fillId="2" borderId="73" xfId="0" applyNumberFormat="1" applyFont="1" applyFill="1" applyBorder="1" applyAlignment="1">
      <alignment horizontal="center"/>
    </xf>
    <xf numFmtId="164" fontId="5" fillId="2" borderId="24" xfId="0" applyNumberFormat="1" applyFont="1" applyFill="1" applyBorder="1" applyAlignment="1">
      <alignment horizontal="center"/>
    </xf>
    <xf numFmtId="164" fontId="5" fillId="0" borderId="108" xfId="0" applyNumberFormat="1" applyFont="1" applyBorder="1" applyAlignment="1">
      <alignment horizontal="center"/>
    </xf>
    <xf numFmtId="14" fontId="2" fillId="0" borderId="108" xfId="0" applyNumberFormat="1" applyFont="1" applyBorder="1" applyAlignment="1">
      <alignment horizontal="center"/>
    </xf>
    <xf numFmtId="164" fontId="6" fillId="0" borderId="108" xfId="0" applyNumberFormat="1" applyFont="1" applyBorder="1" applyAlignment="1">
      <alignment horizontal="center"/>
    </xf>
    <xf numFmtId="164" fontId="11" fillId="2" borderId="108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 wrapText="1"/>
    </xf>
    <xf numFmtId="49" fontId="2" fillId="0" borderId="108" xfId="2" quotePrefix="1" applyNumberFormat="1" applyFont="1" applyBorder="1" applyAlignment="1">
      <alignment horizontal="center"/>
    </xf>
    <xf numFmtId="166" fontId="2" fillId="5" borderId="107" xfId="1" quotePrefix="1" applyNumberFormat="1" applyFont="1" applyFill="1" applyBorder="1" applyAlignment="1">
      <alignment horizontal="center" wrapText="1"/>
    </xf>
    <xf numFmtId="166" fontId="12" fillId="5" borderId="93" xfId="1" quotePrefix="1" applyNumberFormat="1" applyFont="1" applyFill="1" applyBorder="1" applyAlignment="1">
      <alignment horizontal="center"/>
    </xf>
    <xf numFmtId="170" fontId="14" fillId="10" borderId="24" xfId="1" applyNumberFormat="1" applyFont="1" applyFill="1" applyBorder="1" applyAlignment="1">
      <alignment horizontal="center"/>
    </xf>
    <xf numFmtId="166" fontId="2" fillId="5" borderId="23" xfId="1" quotePrefix="1" applyNumberFormat="1" applyFont="1" applyFill="1" applyBorder="1" applyAlignment="1">
      <alignment horizontal="center" wrapText="1"/>
    </xf>
    <xf numFmtId="166" fontId="14" fillId="10" borderId="1" xfId="1" applyNumberFormat="1" applyFont="1" applyFill="1" applyBorder="1" applyAlignment="1"/>
    <xf numFmtId="170" fontId="14" fillId="0" borderId="1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center" vertical="center"/>
    </xf>
    <xf numFmtId="170" fontId="14" fillId="12" borderId="24" xfId="1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wrapText="1"/>
    </xf>
    <xf numFmtId="166" fontId="2" fillId="5" borderId="43" xfId="1" quotePrefix="1" applyNumberFormat="1" applyFont="1" applyFill="1" applyBorder="1" applyAlignment="1">
      <alignment horizontal="center" wrapText="1"/>
    </xf>
    <xf numFmtId="0" fontId="2" fillId="0" borderId="107" xfId="0" applyFont="1" applyBorder="1" applyAlignment="1">
      <alignment horizontal="center" vertical="center"/>
    </xf>
    <xf numFmtId="0" fontId="2" fillId="0" borderId="107" xfId="0" applyFont="1" applyBorder="1" applyAlignment="1">
      <alignment vertical="center"/>
    </xf>
    <xf numFmtId="0" fontId="3" fillId="0" borderId="107" xfId="0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/>
    </xf>
    <xf numFmtId="1" fontId="12" fillId="5" borderId="13" xfId="1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 vertical="center"/>
    </xf>
    <xf numFmtId="175" fontId="2" fillId="3" borderId="110" xfId="0" applyNumberFormat="1" applyFont="1" applyFill="1" applyBorder="1" applyAlignment="1">
      <alignment horizontal="left" vertical="center"/>
    </xf>
    <xf numFmtId="49" fontId="2" fillId="0" borderId="43" xfId="2" quotePrefix="1" applyNumberFormat="1" applyFont="1" applyBorder="1" applyAlignment="1">
      <alignment horizontal="center" wrapText="1"/>
    </xf>
    <xf numFmtId="175" fontId="2" fillId="2" borderId="108" xfId="0" quotePrefix="1" applyNumberFormat="1" applyFont="1" applyFill="1" applyBorder="1" applyAlignment="1">
      <alignment horizontal="center"/>
    </xf>
    <xf numFmtId="166" fontId="2" fillId="5" borderId="24" xfId="1" quotePrefix="1" applyNumberFormat="1" applyFont="1" applyFill="1" applyBorder="1" applyAlignment="1">
      <alignment horizontal="center"/>
    </xf>
    <xf numFmtId="166" fontId="2" fillId="5" borderId="24" xfId="1" applyNumberFormat="1" applyFont="1" applyFill="1" applyBorder="1" applyAlignment="1">
      <alignment horizontal="center" vertical="center" wrapText="1"/>
    </xf>
    <xf numFmtId="170" fontId="14" fillId="70" borderId="107" xfId="1" applyNumberFormat="1" applyFont="1" applyFill="1" applyBorder="1" applyAlignment="1">
      <alignment horizontal="left" vertical="center" indent="1"/>
    </xf>
    <xf numFmtId="49" fontId="12" fillId="5" borderId="43" xfId="1" quotePrefix="1" applyNumberFormat="1" applyFont="1" applyFill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left" vertical="center"/>
    </xf>
    <xf numFmtId="0" fontId="3" fillId="0" borderId="34" xfId="0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4" xfId="0" applyFont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 indent="1"/>
    </xf>
    <xf numFmtId="166" fontId="14" fillId="10" borderId="107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/>
    </xf>
    <xf numFmtId="166" fontId="2" fillId="5" borderId="24" xfId="1" applyNumberFormat="1" applyFont="1" applyFill="1" applyBorder="1" applyAlignment="1">
      <alignment horizontal="center" wrapText="1"/>
    </xf>
    <xf numFmtId="166" fontId="14" fillId="0" borderId="107" xfId="1" applyNumberFormat="1" applyFont="1" applyFill="1" applyBorder="1" applyAlignment="1">
      <alignment vertical="center"/>
    </xf>
    <xf numFmtId="175" fontId="5" fillId="2" borderId="108" xfId="0" quotePrefix="1" applyNumberFormat="1" applyFont="1" applyFill="1" applyBorder="1" applyAlignment="1">
      <alignment horizontal="center"/>
    </xf>
    <xf numFmtId="1" fontId="2" fillId="0" borderId="43" xfId="2" quotePrefix="1" applyNumberFormat="1" applyFont="1" applyBorder="1" applyAlignment="1">
      <alignment horizontal="center"/>
    </xf>
    <xf numFmtId="41" fontId="3" fillId="3" borderId="100" xfId="38525" applyNumberFormat="1" applyFont="1" applyFill="1" applyBorder="1" applyAlignment="1">
      <alignment horizontal="center"/>
    </xf>
    <xf numFmtId="41" fontId="3" fillId="3" borderId="101" xfId="38525" applyNumberFormat="1" applyFont="1" applyFill="1" applyBorder="1" applyAlignment="1">
      <alignment horizontal="center" wrapText="1"/>
    </xf>
    <xf numFmtId="41" fontId="3" fillId="3" borderId="101" xfId="38525" applyNumberFormat="1" applyFont="1" applyFill="1" applyBorder="1" applyAlignment="1">
      <alignment horizontal="center"/>
    </xf>
    <xf numFmtId="164" fontId="3" fillId="3" borderId="19" xfId="0" applyNumberFormat="1" applyFont="1" applyFill="1" applyBorder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/>
    </xf>
    <xf numFmtId="49" fontId="2" fillId="2" borderId="75" xfId="2" quotePrefix="1" applyNumberFormat="1" applyFont="1" applyFill="1" applyBorder="1" applyAlignment="1">
      <alignment horizontal="center" wrapText="1"/>
    </xf>
    <xf numFmtId="166" fontId="2" fillId="3" borderId="110" xfId="0" applyNumberFormat="1" applyFont="1" applyFill="1" applyBorder="1" applyAlignment="1">
      <alignment vertical="center"/>
    </xf>
    <xf numFmtId="166" fontId="6" fillId="2" borderId="73" xfId="1" applyNumberFormat="1" applyFont="1" applyFill="1" applyBorder="1" applyAlignment="1">
      <alignment wrapText="1"/>
    </xf>
    <xf numFmtId="166" fontId="6" fillId="5" borderId="13" xfId="1" quotePrefix="1" applyNumberFormat="1" applyFont="1" applyFill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10" fillId="0" borderId="7" xfId="0" applyNumberFormat="1" applyFont="1" applyBorder="1" applyAlignment="1">
      <alignment horizontal="center" vertical="center" wrapText="1"/>
    </xf>
    <xf numFmtId="2" fontId="2" fillId="0" borderId="73" xfId="2" quotePrefix="1" applyNumberFormat="1" applyFont="1" applyBorder="1" applyAlignment="1">
      <alignment horizontal="center"/>
    </xf>
    <xf numFmtId="2" fontId="2" fillId="0" borderId="24" xfId="2" quotePrefix="1" applyNumberFormat="1" applyFont="1" applyBorder="1" applyAlignment="1">
      <alignment horizontal="center"/>
    </xf>
    <xf numFmtId="2" fontId="2" fillId="0" borderId="1" xfId="2" quotePrefix="1" applyNumberFormat="1" applyFont="1" applyBorder="1" applyAlignment="1">
      <alignment horizontal="center"/>
    </xf>
    <xf numFmtId="2" fontId="2" fillId="0" borderId="75" xfId="2" quotePrefix="1" applyNumberFormat="1" applyFont="1" applyBorder="1" applyAlignment="1">
      <alignment horizontal="center"/>
    </xf>
    <xf numFmtId="2" fontId="2" fillId="2" borderId="83" xfId="0" applyNumberFormat="1" applyFont="1" applyFill="1" applyBorder="1" applyAlignment="1">
      <alignment horizontal="center" vertical="center"/>
    </xf>
    <xf numFmtId="2" fontId="2" fillId="0" borderId="83" xfId="2" quotePrefix="1" applyNumberFormat="1" applyFont="1" applyBorder="1" applyAlignment="1">
      <alignment horizontal="center"/>
    </xf>
    <xf numFmtId="2" fontId="2" fillId="0" borderId="107" xfId="56" quotePrefix="1" applyNumberFormat="1" applyFont="1" applyBorder="1" applyAlignment="1">
      <alignment horizontal="center"/>
    </xf>
    <xf numFmtId="2" fontId="3" fillId="0" borderId="107" xfId="0" applyNumberFormat="1" applyFont="1" applyBorder="1" applyAlignment="1">
      <alignment horizontal="center" vertical="center"/>
    </xf>
    <xf numFmtId="2" fontId="3" fillId="0" borderId="108" xfId="0" applyNumberFormat="1" applyFont="1" applyBorder="1" applyAlignment="1">
      <alignment horizontal="center" vertical="center"/>
    </xf>
    <xf numFmtId="2" fontId="2" fillId="0" borderId="43" xfId="2" quotePrefix="1" applyNumberFormat="1" applyFont="1" applyBorder="1" applyAlignment="1">
      <alignment horizontal="center" vertical="center"/>
    </xf>
    <xf numFmtId="175" fontId="2" fillId="2" borderId="107" xfId="0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/>
    </xf>
    <xf numFmtId="2" fontId="2" fillId="0" borderId="111" xfId="2" quotePrefix="1" applyNumberFormat="1" applyFont="1" applyBorder="1" applyAlignment="1">
      <alignment horizontal="center" vertical="center"/>
    </xf>
    <xf numFmtId="1" fontId="12" fillId="5" borderId="114" xfId="1" quotePrefix="1" applyNumberFormat="1" applyFont="1" applyFill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 vertical="center"/>
    </xf>
    <xf numFmtId="2" fontId="2" fillId="0" borderId="113" xfId="2" quotePrefix="1" applyNumberFormat="1" applyFont="1" applyBorder="1" applyAlignment="1">
      <alignment horizontal="center" vertical="center"/>
    </xf>
    <xf numFmtId="49" fontId="2" fillId="0" borderId="113" xfId="2" quotePrefix="1" applyNumberFormat="1" applyFont="1" applyBorder="1" applyAlignment="1">
      <alignment horizontal="center" vertical="center"/>
    </xf>
    <xf numFmtId="1" fontId="12" fillId="5" borderId="113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14" fontId="2" fillId="0" borderId="111" xfId="0" quotePrefix="1" applyNumberFormat="1" applyFont="1" applyBorder="1" applyAlignment="1">
      <alignment horizontal="center"/>
    </xf>
    <xf numFmtId="164" fontId="136" fillId="2" borderId="111" xfId="0" applyNumberFormat="1" applyFont="1" applyFill="1" applyBorder="1" applyAlignment="1">
      <alignment horizontal="center"/>
    </xf>
    <xf numFmtId="0" fontId="2" fillId="0" borderId="113" xfId="0" applyFont="1" applyBorder="1" applyAlignment="1">
      <alignment horizontal="center"/>
    </xf>
    <xf numFmtId="166" fontId="2" fillId="5" borderId="117" xfId="1" quotePrefix="1" applyNumberFormat="1" applyFont="1" applyFill="1" applyBorder="1" applyAlignment="1">
      <alignment horizontal="center" vertical="center" wrapText="1"/>
    </xf>
    <xf numFmtId="14" fontId="2" fillId="0" borderId="112" xfId="0" quotePrefix="1" applyNumberFormat="1" applyFont="1" applyBorder="1" applyAlignment="1">
      <alignment horizontal="center"/>
    </xf>
    <xf numFmtId="49" fontId="5" fillId="0" borderId="113" xfId="2" quotePrefix="1" applyNumberFormat="1" applyFont="1" applyBorder="1" applyAlignment="1">
      <alignment horizontal="center" wrapText="1"/>
    </xf>
    <xf numFmtId="164" fontId="136" fillId="2" borderId="112" xfId="0" applyNumberFormat="1" applyFont="1" applyFill="1" applyBorder="1" applyAlignment="1">
      <alignment horizontal="center"/>
    </xf>
    <xf numFmtId="3" fontId="2" fillId="2" borderId="117" xfId="0" applyNumberFormat="1" applyFont="1" applyFill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/>
    </xf>
    <xf numFmtId="2" fontId="2" fillId="0" borderId="113" xfId="2" quotePrefix="1" applyNumberFormat="1" applyFont="1" applyBorder="1" applyAlignment="1">
      <alignment horizontal="center"/>
    </xf>
    <xf numFmtId="49" fontId="2" fillId="0" borderId="113" xfId="2" quotePrefix="1" applyNumberFormat="1" applyFont="1" applyBorder="1" applyAlignment="1">
      <alignment horizontal="center" wrapText="1"/>
    </xf>
    <xf numFmtId="166" fontId="2" fillId="5" borderId="111" xfId="1" quotePrefix="1" applyNumberFormat="1" applyFont="1" applyFill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/>
    </xf>
    <xf numFmtId="3" fontId="2" fillId="2" borderId="111" xfId="0" applyNumberFormat="1" applyFont="1" applyFill="1" applyBorder="1" applyAlignment="1">
      <alignment horizontal="center" vertical="center"/>
    </xf>
    <xf numFmtId="3" fontId="2" fillId="2" borderId="111" xfId="0" applyNumberFormat="1" applyFont="1" applyFill="1" applyBorder="1" applyAlignment="1">
      <alignment horizontal="center"/>
    </xf>
    <xf numFmtId="2" fontId="2" fillId="0" borderId="111" xfId="1" quotePrefix="1" applyNumberFormat="1" applyFont="1" applyBorder="1" applyAlignment="1">
      <alignment horizontal="center"/>
    </xf>
    <xf numFmtId="166" fontId="12" fillId="5" borderId="111" xfId="1" quotePrefix="1" applyNumberFormat="1" applyFont="1" applyFill="1" applyBorder="1" applyAlignment="1">
      <alignment horizontal="center"/>
    </xf>
    <xf numFmtId="49" fontId="2" fillId="2" borderId="111" xfId="2" quotePrefix="1" applyNumberFormat="1" applyFont="1" applyFill="1" applyBorder="1" applyAlignment="1">
      <alignment horizontal="center" wrapText="1"/>
    </xf>
    <xf numFmtId="14" fontId="2" fillId="0" borderId="111" xfId="0" applyNumberFormat="1" applyFont="1" applyBorder="1" applyAlignment="1">
      <alignment horizontal="center"/>
    </xf>
    <xf numFmtId="166" fontId="14" fillId="12" borderId="107" xfId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horizontal="center" vertical="center"/>
    </xf>
    <xf numFmtId="49" fontId="2" fillId="0" borderId="24" xfId="0" applyNumberFormat="1" applyFont="1" applyBorder="1" applyAlignment="1">
      <alignment horizontal="center" vertical="center"/>
    </xf>
    <xf numFmtId="49" fontId="2" fillId="0" borderId="73" xfId="0" applyNumberFormat="1" applyFont="1" applyBorder="1" applyAlignment="1">
      <alignment horizontal="center" vertical="center"/>
    </xf>
    <xf numFmtId="49" fontId="2" fillId="0" borderId="83" xfId="0" applyNumberFormat="1" applyFont="1" applyBorder="1" applyAlignment="1">
      <alignment horizontal="center" vertical="center"/>
    </xf>
    <xf numFmtId="0" fontId="12" fillId="0" borderId="83" xfId="3" applyFont="1" applyBorder="1" applyAlignment="1">
      <alignment horizontal="center" vertical="center"/>
    </xf>
    <xf numFmtId="49" fontId="12" fillId="0" borderId="83" xfId="1" quotePrefix="1" applyNumberFormat="1" applyFont="1" applyFill="1" applyBorder="1" applyAlignment="1">
      <alignment horizontal="center"/>
    </xf>
    <xf numFmtId="49" fontId="2" fillId="0" borderId="111" xfId="1" quotePrefix="1" applyNumberFormat="1" applyFont="1" applyFill="1" applyBorder="1" applyAlignment="1">
      <alignment horizontal="center"/>
    </xf>
    <xf numFmtId="49" fontId="2" fillId="0" borderId="112" xfId="1" quotePrefix="1" applyNumberFormat="1" applyFont="1" applyFill="1" applyBorder="1" applyAlignment="1">
      <alignment horizontal="center"/>
    </xf>
    <xf numFmtId="14" fontId="2" fillId="0" borderId="0" xfId="0" applyNumberFormat="1" applyFont="1"/>
    <xf numFmtId="49" fontId="2" fillId="0" borderId="73" xfId="0" applyNumberFormat="1" applyFont="1" applyBorder="1" applyAlignment="1">
      <alignment wrapText="1"/>
    </xf>
    <xf numFmtId="49" fontId="2" fillId="0" borderId="24" xfId="0" applyNumberFormat="1" applyFont="1" applyBorder="1" applyAlignment="1">
      <alignment vertical="center"/>
    </xf>
    <xf numFmtId="49" fontId="2" fillId="0" borderId="73" xfId="0" applyNumberFormat="1" applyFont="1" applyBorder="1" applyAlignment="1">
      <alignment vertical="center"/>
    </xf>
    <xf numFmtId="49" fontId="2" fillId="0" borderId="43" xfId="1" quotePrefix="1" applyNumberFormat="1" applyFont="1" applyFill="1" applyBorder="1" applyAlignment="1"/>
    <xf numFmtId="49" fontId="2" fillId="0" borderId="67" xfId="3" applyNumberFormat="1" applyFont="1" applyBorder="1" applyAlignment="1">
      <alignment vertical="center"/>
    </xf>
    <xf numFmtId="49" fontId="2" fillId="0" borderId="83" xfId="0" applyNumberFormat="1" applyFont="1" applyBorder="1"/>
    <xf numFmtId="49" fontId="2" fillId="0" borderId="83" xfId="1" quotePrefix="1" applyNumberFormat="1" applyFont="1" applyFill="1" applyBorder="1" applyAlignment="1"/>
    <xf numFmtId="49" fontId="2" fillId="0" borderId="83" xfId="0" applyNumberFormat="1" applyFont="1" applyBorder="1" applyAlignment="1">
      <alignment vertical="center"/>
    </xf>
    <xf numFmtId="49" fontId="12" fillId="5" borderId="83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/>
    <xf numFmtId="0" fontId="3" fillId="0" borderId="107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49" fontId="2" fillId="0" borderId="111" xfId="1" quotePrefix="1" applyNumberFormat="1" applyFont="1" applyFill="1" applyBorder="1" applyAlignment="1"/>
    <xf numFmtId="49" fontId="2" fillId="0" borderId="112" xfId="1" quotePrefix="1" applyNumberFormat="1" applyFont="1" applyFill="1" applyBorder="1" applyAlignment="1"/>
    <xf numFmtId="49" fontId="12" fillId="5" borderId="43" xfId="1" quotePrefix="1" applyNumberFormat="1" applyFont="1" applyFill="1" applyBorder="1" applyAlignment="1">
      <alignment vertical="center"/>
    </xf>
    <xf numFmtId="49" fontId="12" fillId="5" borderId="113" xfId="1" quotePrefix="1" applyNumberFormat="1" applyFont="1" applyFill="1" applyBorder="1" applyAlignment="1">
      <alignment vertical="center"/>
    </xf>
    <xf numFmtId="49" fontId="12" fillId="5" borderId="119" xfId="1" quotePrefix="1" applyNumberFormat="1" applyFont="1" applyFill="1" applyBorder="1" applyAlignment="1">
      <alignment vertical="center"/>
    </xf>
    <xf numFmtId="49" fontId="12" fillId="5" borderId="114" xfId="1" quotePrefix="1" applyNumberFormat="1" applyFont="1" applyFill="1" applyBorder="1" applyAlignment="1">
      <alignment vertical="center"/>
    </xf>
    <xf numFmtId="166" fontId="2" fillId="2" borderId="73" xfId="1" quotePrefix="1" applyNumberFormat="1" applyFont="1" applyFill="1" applyBorder="1" applyAlignment="1">
      <alignment horizontal="right"/>
    </xf>
    <xf numFmtId="166" fontId="14" fillId="71" borderId="1" xfId="1" applyNumberFormat="1" applyFont="1" applyFill="1" applyBorder="1" applyAlignment="1"/>
    <xf numFmtId="170" fontId="14" fillId="2" borderId="1" xfId="1" applyNumberFormat="1" applyFont="1" applyFill="1" applyBorder="1" applyAlignment="1"/>
    <xf numFmtId="170" fontId="21" fillId="12" borderId="73" xfId="1" applyNumberFormat="1" applyFont="1" applyFill="1" applyBorder="1" applyAlignment="1"/>
    <xf numFmtId="166" fontId="2" fillId="5" borderId="7" xfId="1" applyNumberFormat="1" applyFont="1" applyFill="1" applyBorder="1" applyAlignment="1">
      <alignment horizontal="center"/>
    </xf>
    <xf numFmtId="166" fontId="14" fillId="2" borderId="32" xfId="1" applyNumberFormat="1" applyFont="1" applyFill="1" applyBorder="1" applyAlignment="1"/>
    <xf numFmtId="170" fontId="14" fillId="2" borderId="32" xfId="1" applyNumberFormat="1" applyFont="1" applyFill="1" applyBorder="1" applyAlignment="1"/>
    <xf numFmtId="0" fontId="3" fillId="2" borderId="32" xfId="0" applyFont="1" applyFill="1" applyBorder="1" applyAlignment="1">
      <alignment horizontal="center"/>
    </xf>
    <xf numFmtId="170" fontId="14" fillId="2" borderId="32" xfId="1" applyNumberFormat="1" applyFont="1" applyFill="1" applyBorder="1" applyAlignment="1">
      <alignment horizontal="left"/>
    </xf>
    <xf numFmtId="166" fontId="31" fillId="2" borderId="32" xfId="1" applyNumberFormat="1" applyFont="1" applyFill="1" applyBorder="1" applyAlignment="1"/>
    <xf numFmtId="49" fontId="5" fillId="2" borderId="32" xfId="0" applyNumberFormat="1" applyFont="1" applyFill="1" applyBorder="1" applyAlignment="1">
      <alignment horizontal="center"/>
    </xf>
    <xf numFmtId="0" fontId="2" fillId="0" borderId="32" xfId="0" applyFont="1" applyBorder="1"/>
    <xf numFmtId="0" fontId="14" fillId="2" borderId="24" xfId="0" applyFont="1" applyFill="1" applyBorder="1" applyAlignment="1">
      <alignment wrapText="1"/>
    </xf>
    <xf numFmtId="0" fontId="2" fillId="2" borderId="24" xfId="0" applyFont="1" applyFill="1" applyBorder="1" applyAlignment="1">
      <alignment wrapText="1"/>
    </xf>
    <xf numFmtId="0" fontId="5" fillId="2" borderId="24" xfId="0" applyFont="1" applyFill="1" applyBorder="1" applyAlignment="1">
      <alignment wrapText="1"/>
    </xf>
    <xf numFmtId="49" fontId="5" fillId="2" borderId="43" xfId="0" applyNumberFormat="1" applyFont="1" applyFill="1" applyBorder="1" applyAlignment="1">
      <alignment wrapText="1"/>
    </xf>
    <xf numFmtId="0" fontId="3" fillId="9" borderId="0" xfId="0" applyFont="1" applyFill="1" applyAlignment="1">
      <alignment horizontal="center"/>
    </xf>
    <xf numFmtId="0" fontId="3" fillId="9" borderId="0" xfId="0" applyFont="1" applyFill="1"/>
    <xf numFmtId="164" fontId="3" fillId="0" borderId="0" xfId="0" applyNumberFormat="1" applyFont="1"/>
    <xf numFmtId="166" fontId="14" fillId="2" borderId="0" xfId="1" applyNumberFormat="1" applyFont="1" applyFill="1" applyBorder="1" applyAlignment="1"/>
    <xf numFmtId="170" fontId="14" fillId="2" borderId="0" xfId="1" applyNumberFormat="1" applyFont="1" applyFill="1" applyBorder="1" applyAlignment="1"/>
    <xf numFmtId="0" fontId="3" fillId="2" borderId="0" xfId="0" applyFont="1" applyFill="1" applyAlignment="1">
      <alignment horizontal="center"/>
    </xf>
    <xf numFmtId="170" fontId="14" fillId="2" borderId="1" xfId="1" applyNumberFormat="1" applyFont="1" applyFill="1" applyBorder="1" applyAlignment="1">
      <alignment horizontal="left"/>
    </xf>
    <xf numFmtId="166" fontId="31" fillId="2" borderId="0" xfId="1" applyNumberFormat="1" applyFont="1" applyFill="1" applyBorder="1" applyAlignment="1"/>
    <xf numFmtId="49" fontId="5" fillId="2" borderId="0" xfId="0" applyNumberFormat="1" applyFont="1" applyFill="1" applyAlignment="1">
      <alignment horizontal="center"/>
    </xf>
    <xf numFmtId="166" fontId="3" fillId="3" borderId="101" xfId="1" applyNumberFormat="1" applyFont="1" applyFill="1" applyBorder="1" applyAlignment="1"/>
    <xf numFmtId="0" fontId="2" fillId="3" borderId="73" xfId="0" applyFont="1" applyFill="1" applyBorder="1"/>
    <xf numFmtId="166" fontId="21" fillId="3" borderId="73" xfId="1" applyNumberFormat="1" applyFont="1" applyFill="1" applyBorder="1" applyAlignment="1">
      <alignment horizontal="center"/>
    </xf>
    <xf numFmtId="166" fontId="21" fillId="3" borderId="83" xfId="1" applyNumberFormat="1" applyFont="1" applyFill="1" applyBorder="1" applyAlignment="1"/>
    <xf numFmtId="166" fontId="21" fillId="3" borderId="73" xfId="1" applyNumberFormat="1" applyFont="1" applyFill="1" applyBorder="1" applyAlignment="1">
      <alignment horizontal="left"/>
    </xf>
    <xf numFmtId="166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/>
    <xf numFmtId="170" fontId="21" fillId="3" borderId="73" xfId="1" applyNumberFormat="1" applyFont="1" applyFill="1" applyBorder="1" applyAlignment="1">
      <alignment horizontal="left"/>
    </xf>
    <xf numFmtId="0" fontId="20" fillId="3" borderId="73" xfId="0" applyFont="1" applyFill="1" applyBorder="1" applyAlignment="1">
      <alignment horizontal="center"/>
    </xf>
    <xf numFmtId="170" fontId="23" fillId="3" borderId="73" xfId="1" applyNumberFormat="1" applyFont="1" applyFill="1" applyBorder="1" applyAlignment="1">
      <alignment horizontal="left"/>
    </xf>
    <xf numFmtId="0" fontId="2" fillId="0" borderId="103" xfId="0" applyFont="1" applyBorder="1"/>
    <xf numFmtId="166" fontId="12" fillId="69" borderId="75" xfId="1" quotePrefix="1" applyNumberFormat="1" applyFont="1" applyFill="1" applyBorder="1" applyAlignment="1">
      <alignment horizontal="center"/>
    </xf>
    <xf numFmtId="166" fontId="12" fillId="0" borderId="75" xfId="1" quotePrefix="1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89" fontId="42" fillId="0" borderId="83" xfId="38524" applyNumberFormat="1" applyFont="1" applyBorder="1" applyAlignment="1" applyProtection="1">
      <alignment horizontal="center"/>
      <protection locked="0"/>
    </xf>
    <xf numFmtId="166" fontId="2" fillId="2" borderId="73" xfId="1" applyNumberFormat="1" applyFont="1" applyFill="1" applyBorder="1" applyAlignment="1">
      <alignment horizontal="right" wrapText="1"/>
    </xf>
    <xf numFmtId="166" fontId="2" fillId="2" borderId="24" xfId="1" applyNumberFormat="1" applyFont="1" applyFill="1" applyBorder="1" applyAlignment="1">
      <alignment horizontal="right"/>
    </xf>
    <xf numFmtId="0" fontId="3" fillId="2" borderId="24" xfId="0" applyFont="1" applyFill="1" applyBorder="1" applyAlignment="1">
      <alignment horizontal="center"/>
    </xf>
    <xf numFmtId="166" fontId="2" fillId="2" borderId="73" xfId="1" applyNumberFormat="1" applyFont="1" applyFill="1" applyBorder="1" applyAlignment="1">
      <alignment horizontal="right"/>
    </xf>
    <xf numFmtId="170" fontId="14" fillId="2" borderId="73" xfId="1" applyNumberFormat="1" applyFont="1" applyFill="1" applyBorder="1" applyAlignment="1"/>
    <xf numFmtId="49" fontId="2" fillId="0" borderId="43" xfId="2" quotePrefix="1" applyNumberFormat="1" applyFont="1" applyBorder="1"/>
    <xf numFmtId="166" fontId="31" fillId="2" borderId="1" xfId="1" applyNumberFormat="1" applyFont="1" applyFill="1" applyBorder="1" applyAlignment="1"/>
    <xf numFmtId="49" fontId="5" fillId="2" borderId="73" xfId="0" applyNumberFormat="1" applyFont="1" applyFill="1" applyBorder="1" applyAlignment="1">
      <alignment horizontal="center"/>
    </xf>
    <xf numFmtId="49" fontId="2" fillId="0" borderId="20" xfId="2" quotePrefix="1" applyNumberFormat="1" applyFont="1" applyBorder="1"/>
    <xf numFmtId="0" fontId="3" fillId="2" borderId="73" xfId="0" applyFont="1" applyFill="1" applyBorder="1" applyAlignment="1">
      <alignment horizontal="center"/>
    </xf>
    <xf numFmtId="170" fontId="14" fillId="2" borderId="73" xfId="1" applyNumberFormat="1" applyFont="1" applyFill="1" applyBorder="1" applyAlignment="1">
      <alignment horizontal="left"/>
    </xf>
    <xf numFmtId="166" fontId="31" fillId="2" borderId="73" xfId="1" applyNumberFormat="1" applyFont="1" applyFill="1" applyBorder="1" applyAlignment="1"/>
    <xf numFmtId="170" fontId="14" fillId="2" borderId="0" xfId="1" applyNumberFormat="1" applyFont="1" applyFill="1" applyBorder="1" applyAlignment="1">
      <alignment horizontal="left"/>
    </xf>
    <xf numFmtId="0" fontId="2" fillId="0" borderId="83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18" xfId="0" quotePrefix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98" fillId="0" borderId="1" xfId="0" applyFont="1" applyBorder="1" applyAlignment="1">
      <alignment horizontal="center" vertical="center" wrapText="1"/>
    </xf>
    <xf numFmtId="164" fontId="2" fillId="0" borderId="107" xfId="0" applyNumberFormat="1" applyFont="1" applyBorder="1" applyAlignment="1">
      <alignment horizontal="center"/>
    </xf>
    <xf numFmtId="0" fontId="3" fillId="3" borderId="53" xfId="0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166" fontId="2" fillId="2" borderId="75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49" fontId="5" fillId="0" borderId="43" xfId="2" quotePrefix="1" applyNumberFormat="1" applyFont="1" applyBorder="1" applyAlignment="1">
      <alignment horizontal="center"/>
    </xf>
    <xf numFmtId="175" fontId="5" fillId="2" borderId="107" xfId="0" quotePrefix="1" applyNumberFormat="1" applyFont="1" applyFill="1" applyBorder="1" applyAlignment="1">
      <alignment horizontal="center" wrapText="1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166" fontId="14" fillId="3" borderId="73" xfId="1" applyNumberFormat="1" applyFont="1" applyFill="1" applyBorder="1" applyAlignment="1">
      <alignment vertical="center"/>
    </xf>
    <xf numFmtId="166" fontId="14" fillId="3" borderId="73" xfId="1" applyNumberFormat="1" applyFont="1" applyFill="1" applyBorder="1" applyAlignment="1">
      <alignment horizontal="left" vertical="center" indent="1"/>
    </xf>
    <xf numFmtId="170" fontId="14" fillId="3" borderId="73" xfId="1" applyNumberFormat="1" applyFont="1" applyFill="1" applyBorder="1" applyAlignment="1">
      <alignment vertical="center"/>
    </xf>
    <xf numFmtId="170" fontId="14" fillId="3" borderId="73" xfId="1" applyNumberFormat="1" applyFont="1" applyFill="1" applyBorder="1" applyAlignment="1">
      <alignment horizontal="left" vertical="center" indent="1"/>
    </xf>
    <xf numFmtId="0" fontId="3" fillId="3" borderId="73" xfId="0" applyFont="1" applyFill="1" applyBorder="1" applyAlignment="1">
      <alignment horizontal="center" vertical="center"/>
    </xf>
    <xf numFmtId="170" fontId="31" fillId="3" borderId="73" xfId="1" applyNumberFormat="1" applyFont="1" applyFill="1" applyBorder="1" applyAlignment="1">
      <alignment horizontal="left" vertical="center" indent="1"/>
    </xf>
    <xf numFmtId="166" fontId="14" fillId="0" borderId="83" xfId="1" applyNumberFormat="1" applyFont="1" applyFill="1" applyBorder="1" applyAlignment="1">
      <alignment vertical="center"/>
    </xf>
    <xf numFmtId="166" fontId="14" fillId="0" borderId="83" xfId="1" applyNumberFormat="1" applyFont="1" applyFill="1" applyBorder="1" applyAlignment="1">
      <alignment horizontal="left" vertical="center" indent="1"/>
    </xf>
    <xf numFmtId="166" fontId="14" fillId="0" borderId="108" xfId="1" applyNumberFormat="1" applyFont="1" applyFill="1" applyBorder="1" applyAlignment="1">
      <alignment vertical="center"/>
    </xf>
    <xf numFmtId="166" fontId="31" fillId="15" borderId="24" xfId="1" applyNumberFormat="1" applyFont="1" applyFill="1" applyBorder="1" applyAlignment="1">
      <alignment vertical="center"/>
    </xf>
    <xf numFmtId="2" fontId="31" fillId="0" borderId="83" xfId="38396" applyNumberFormat="1" applyFont="1" applyFill="1" applyBorder="1" applyAlignment="1">
      <alignment vertical="center" shrinkToFit="1"/>
    </xf>
    <xf numFmtId="2" fontId="31" fillId="0" borderId="83" xfId="38396" applyNumberFormat="1" applyFont="1" applyFill="1" applyBorder="1" applyAlignment="1">
      <alignment horizontal="center" vertical="center" shrinkToFit="1"/>
    </xf>
    <xf numFmtId="166" fontId="14" fillId="0" borderId="107" xfId="1" applyNumberFormat="1" applyFont="1" applyFill="1" applyBorder="1" applyAlignment="1">
      <alignment horizontal="left" vertical="center" indent="1"/>
    </xf>
    <xf numFmtId="170" fontId="14" fillId="0" borderId="107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vertical="center"/>
    </xf>
    <xf numFmtId="166" fontId="14" fillId="0" borderId="34" xfId="1" applyNumberFormat="1" applyFont="1" applyFill="1" applyBorder="1" applyAlignment="1">
      <alignment horizontal="left" vertical="center" indent="1"/>
    </xf>
    <xf numFmtId="170" fontId="14" fillId="0" borderId="34" xfId="1" applyNumberFormat="1" applyFont="1" applyFill="1" applyBorder="1" applyAlignment="1">
      <alignment vertical="center"/>
    </xf>
    <xf numFmtId="166" fontId="31" fillId="15" borderId="34" xfId="1" applyNumberFormat="1" applyFont="1" applyFill="1" applyBorder="1" applyAlignment="1">
      <alignment vertical="center"/>
    </xf>
    <xf numFmtId="49" fontId="2" fillId="0" borderId="111" xfId="0" applyNumberFormat="1" applyFont="1" applyBorder="1" applyAlignment="1">
      <alignment vertical="top" wrapText="1"/>
    </xf>
    <xf numFmtId="49" fontId="6" fillId="0" borderId="111" xfId="0" applyNumberFormat="1" applyFont="1" applyBorder="1" applyAlignment="1">
      <alignment vertical="top" wrapText="1"/>
    </xf>
    <xf numFmtId="49" fontId="6" fillId="0" borderId="107" xfId="0" applyNumberFormat="1" applyFont="1" applyBorder="1" applyAlignment="1">
      <alignment vertical="top" wrapText="1"/>
    </xf>
    <xf numFmtId="49" fontId="2" fillId="0" borderId="107" xfId="0" applyNumberFormat="1" applyFont="1" applyBorder="1" applyAlignment="1">
      <alignment vertical="top" wrapText="1"/>
    </xf>
    <xf numFmtId="166" fontId="31" fillId="15" borderId="107" xfId="1" applyNumberFormat="1" applyFont="1" applyFill="1" applyBorder="1" applyAlignment="1">
      <alignment vertical="center"/>
    </xf>
    <xf numFmtId="49" fontId="2" fillId="0" borderId="112" xfId="0" applyNumberFormat="1" applyFont="1" applyBorder="1" applyAlignment="1">
      <alignment vertical="top" wrapText="1"/>
    </xf>
    <xf numFmtId="49" fontId="2" fillId="0" borderId="24" xfId="0" applyNumberFormat="1" applyFont="1" applyBorder="1" applyAlignment="1">
      <alignment vertical="top" wrapText="1"/>
    </xf>
    <xf numFmtId="2" fontId="2" fillId="0" borderId="107" xfId="2" quotePrefix="1" applyNumberFormat="1" applyFont="1" applyBorder="1" applyAlignment="1">
      <alignment horizontal="center"/>
    </xf>
    <xf numFmtId="2" fontId="2" fillId="0" borderId="111" xfId="2" quotePrefix="1" applyNumberFormat="1" applyFont="1" applyBorder="1" applyAlignment="1">
      <alignment horizontal="center"/>
    </xf>
    <xf numFmtId="166" fontId="12" fillId="5" borderId="121" xfId="1" quotePrefix="1" applyNumberFormat="1" applyFont="1" applyFill="1" applyBorder="1" applyAlignment="1">
      <alignment horizontal="center" vertical="center"/>
    </xf>
    <xf numFmtId="49" fontId="12" fillId="5" borderId="113" xfId="1" quotePrefix="1" applyNumberFormat="1" applyFont="1" applyFill="1" applyBorder="1" applyAlignment="1"/>
    <xf numFmtId="49" fontId="12" fillId="5" borderId="113" xfId="1" quotePrefix="1" applyNumberFormat="1" applyFont="1" applyFill="1" applyBorder="1" applyAlignment="1">
      <alignment horizontal="center"/>
    </xf>
    <xf numFmtId="166" fontId="2" fillId="5" borderId="7" xfId="1" applyNumberFormat="1" applyFont="1" applyFill="1" applyBorder="1" applyAlignment="1">
      <alignment horizontal="center" wrapText="1"/>
    </xf>
    <xf numFmtId="170" fontId="21" fillId="10" borderId="59" xfId="1" applyNumberFormat="1" applyFont="1" applyFill="1" applyBorder="1" applyAlignment="1">
      <alignment vertical="center"/>
    </xf>
    <xf numFmtId="186" fontId="2" fillId="5" borderId="72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wrapText="1" shrinkToFit="1"/>
    </xf>
    <xf numFmtId="186" fontId="2" fillId="5" borderId="7" xfId="1" quotePrefix="1" applyNumberFormat="1" applyFont="1" applyFill="1" applyBorder="1" applyAlignment="1">
      <alignment horizontal="center" shrinkToFit="1"/>
    </xf>
    <xf numFmtId="49" fontId="12" fillId="5" borderId="114" xfId="1" quotePrefix="1" applyNumberFormat="1" applyFont="1" applyFill="1" applyBorder="1" applyAlignment="1">
      <alignment horizontal="center" vertical="center"/>
    </xf>
    <xf numFmtId="0" fontId="3" fillId="3" borderId="83" xfId="0" applyFont="1" applyFill="1" applyBorder="1" applyAlignment="1">
      <alignment vertical="center"/>
    </xf>
    <xf numFmtId="49" fontId="2" fillId="0" borderId="111" xfId="2" quotePrefix="1" applyNumberFormat="1" applyFont="1" applyBorder="1" applyAlignment="1">
      <alignment horizontal="center"/>
    </xf>
    <xf numFmtId="0" fontId="24" fillId="3" borderId="0" xfId="0" applyFont="1" applyFill="1" applyAlignment="1">
      <alignment horizontal="center" vertical="center"/>
    </xf>
    <xf numFmtId="0" fontId="2" fillId="0" borderId="111" xfId="0" applyFont="1" applyBorder="1" applyAlignment="1">
      <alignment horizontal="center"/>
    </xf>
    <xf numFmtId="166" fontId="2" fillId="5" borderId="111" xfId="1" applyNumberFormat="1" applyFont="1" applyFill="1" applyBorder="1" applyAlignment="1">
      <alignment horizontal="center" vertical="center"/>
    </xf>
    <xf numFmtId="164" fontId="3" fillId="0" borderId="111" xfId="0" applyNumberFormat="1" applyFont="1" applyBorder="1" applyAlignment="1">
      <alignment horizontal="center"/>
    </xf>
    <xf numFmtId="3" fontId="2" fillId="2" borderId="123" xfId="0" applyNumberFormat="1" applyFont="1" applyFill="1" applyBorder="1" applyAlignment="1">
      <alignment horizontal="center"/>
    </xf>
    <xf numFmtId="166" fontId="12" fillId="5" borderId="113" xfId="1" quotePrefix="1" applyNumberFormat="1" applyFont="1" applyFill="1" applyBorder="1" applyAlignment="1">
      <alignment horizontal="center" wrapText="1"/>
    </xf>
    <xf numFmtId="49" fontId="2" fillId="2" borderId="112" xfId="2" quotePrefix="1" applyNumberFormat="1" applyFont="1" applyFill="1" applyBorder="1" applyAlignment="1">
      <alignment horizontal="center" wrapText="1"/>
    </xf>
    <xf numFmtId="166" fontId="3" fillId="2" borderId="112" xfId="1" applyNumberFormat="1" applyFont="1" applyFill="1" applyBorder="1" applyAlignment="1">
      <alignment horizontal="right" vertical="center"/>
    </xf>
    <xf numFmtId="0" fontId="2" fillId="2" borderId="111" xfId="0" quotePrefix="1" applyFont="1" applyFill="1" applyBorder="1" applyAlignment="1">
      <alignment horizontal="center"/>
    </xf>
    <xf numFmtId="0" fontId="14" fillId="0" borderId="111" xfId="7" applyFont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1" fontId="12" fillId="5" borderId="111" xfId="1" quotePrefix="1" applyNumberFormat="1" applyFont="1" applyFill="1" applyBorder="1" applyAlignment="1">
      <alignment horizontal="center" vertical="center"/>
    </xf>
    <xf numFmtId="0" fontId="14" fillId="0" borderId="111" xfId="7" applyFont="1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166" fontId="21" fillId="3" borderId="73" xfId="1" applyNumberFormat="1" applyFont="1" applyFill="1" applyBorder="1" applyAlignment="1">
      <alignment horizontal="center" vertical="center"/>
    </xf>
    <xf numFmtId="0" fontId="2" fillId="2" borderId="73" xfId="0" quotePrefix="1" applyFont="1" applyFill="1" applyBorder="1" applyAlignment="1">
      <alignment horizontal="center" wrapText="1"/>
    </xf>
    <xf numFmtId="0" fontId="2" fillId="2" borderId="112" xfId="0" quotePrefix="1" applyFont="1" applyFill="1" applyBorder="1" applyAlignment="1">
      <alignment horizontal="center" wrapText="1"/>
    </xf>
    <xf numFmtId="164" fontId="164" fillId="3" borderId="111" xfId="0" applyNumberFormat="1" applyFont="1" applyFill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 vertical="center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41" fontId="2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vertical="center"/>
    </xf>
    <xf numFmtId="3" fontId="2" fillId="2" borderId="123" xfId="0" applyNumberFormat="1" applyFont="1" applyFill="1" applyBorder="1" applyAlignment="1">
      <alignment horizontal="center" vertical="center"/>
    </xf>
    <xf numFmtId="0" fontId="2" fillId="2" borderId="111" xfId="0" quotePrefix="1" applyFont="1" applyFill="1" applyBorder="1" applyAlignment="1">
      <alignment horizontal="left"/>
    </xf>
    <xf numFmtId="164" fontId="136" fillId="2" borderId="112" xfId="0" applyNumberFormat="1" applyFont="1" applyFill="1" applyBorder="1" applyAlignment="1">
      <alignment horizontal="center" vertical="center"/>
    </xf>
    <xf numFmtId="3" fontId="2" fillId="2" borderId="117" xfId="0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/>
    </xf>
    <xf numFmtId="0" fontId="2" fillId="2" borderId="112" xfId="0" quotePrefix="1" applyFont="1" applyFill="1" applyBorder="1" applyAlignment="1">
      <alignment horizontal="left"/>
    </xf>
    <xf numFmtId="0" fontId="2" fillId="0" borderId="125" xfId="0" applyFont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 vertical="center"/>
    </xf>
    <xf numFmtId="3" fontId="2" fillId="2" borderId="126" xfId="0" applyNumberFormat="1" applyFont="1" applyFill="1" applyBorder="1" applyAlignment="1">
      <alignment horizontal="center" vertical="center"/>
    </xf>
    <xf numFmtId="2" fontId="2" fillId="0" borderId="125" xfId="2" quotePrefix="1" applyNumberFormat="1" applyFont="1" applyBorder="1" applyAlignment="1">
      <alignment horizontal="center" vertical="center"/>
    </xf>
    <xf numFmtId="49" fontId="2" fillId="0" borderId="127" xfId="2" quotePrefix="1" applyNumberFormat="1" applyFont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vertical="center"/>
    </xf>
    <xf numFmtId="1" fontId="12" fillId="5" borderId="127" xfId="1" quotePrefix="1" applyNumberFormat="1" applyFont="1" applyFill="1" applyBorder="1" applyAlignment="1">
      <alignment horizontal="center" vertical="center"/>
    </xf>
    <xf numFmtId="49" fontId="2" fillId="2" borderId="125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 vertical="center"/>
    </xf>
    <xf numFmtId="0" fontId="2" fillId="2" borderId="125" xfId="0" quotePrefix="1" applyFont="1" applyFill="1" applyBorder="1" applyAlignment="1">
      <alignment horizontal="left" vertical="center"/>
    </xf>
    <xf numFmtId="164" fontId="164" fillId="0" borderId="111" xfId="0" applyNumberFormat="1" applyFont="1" applyBorder="1" applyAlignment="1">
      <alignment horizontal="center"/>
    </xf>
    <xf numFmtId="164" fontId="164" fillId="0" borderId="112" xfId="0" applyNumberFormat="1" applyFont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vertical="center"/>
    </xf>
    <xf numFmtId="164" fontId="164" fillId="0" borderId="111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 vertical="center"/>
    </xf>
    <xf numFmtId="164" fontId="164" fillId="0" borderId="107" xfId="0" applyNumberFormat="1" applyFont="1" applyBorder="1" applyAlignment="1">
      <alignment horizontal="center"/>
    </xf>
    <xf numFmtId="0" fontId="14" fillId="0" borderId="24" xfId="7" applyFont="1" applyBorder="1" applyAlignment="1">
      <alignment vertical="center" wrapText="1"/>
    </xf>
    <xf numFmtId="0" fontId="14" fillId="0" borderId="24" xfId="7" applyFont="1" applyBorder="1" applyAlignment="1">
      <alignment horizontal="center" vertical="center" wrapText="1"/>
    </xf>
    <xf numFmtId="164" fontId="164" fillId="0" borderId="125" xfId="0" applyNumberFormat="1" applyFont="1" applyBorder="1" applyAlignment="1">
      <alignment horizontal="center"/>
    </xf>
    <xf numFmtId="14" fontId="2" fillId="0" borderId="125" xfId="0" quotePrefix="1" applyNumberFormat="1" applyFont="1" applyBorder="1" applyAlignment="1">
      <alignment horizontal="center"/>
    </xf>
    <xf numFmtId="164" fontId="5" fillId="0" borderId="125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170" fontId="14" fillId="73" borderId="1" xfId="1" applyNumberFormat="1" applyFont="1" applyFill="1" applyBorder="1" applyAlignment="1">
      <alignment horizontal="left" vertical="center" indent="1"/>
    </xf>
    <xf numFmtId="3" fontId="2" fillId="2" borderId="24" xfId="0" applyNumberFormat="1" applyFont="1" applyFill="1" applyBorder="1" applyAlignment="1">
      <alignment horizontal="center"/>
    </xf>
    <xf numFmtId="3" fontId="2" fillId="2" borderId="127" xfId="0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/>
    </xf>
    <xf numFmtId="166" fontId="2" fillId="5" borderId="126" xfId="1" applyNumberFormat="1" applyFont="1" applyFill="1" applyBorder="1" applyAlignment="1">
      <alignment horizontal="center" vertical="center" wrapText="1"/>
    </xf>
    <xf numFmtId="166" fontId="2" fillId="5" borderId="116" xfId="1" applyNumberFormat="1" applyFont="1" applyFill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wrapText="1"/>
    </xf>
    <xf numFmtId="3" fontId="12" fillId="5" borderId="130" xfId="1" applyNumberFormat="1" applyFont="1" applyFill="1" applyBorder="1" applyAlignment="1"/>
    <xf numFmtId="166" fontId="2" fillId="5" borderId="107" xfId="1" applyNumberFormat="1" applyFont="1" applyFill="1" applyBorder="1" applyAlignment="1">
      <alignment horizontal="right"/>
    </xf>
    <xf numFmtId="164" fontId="3" fillId="0" borderId="107" xfId="0" applyNumberFormat="1" applyFont="1" applyBorder="1" applyAlignment="1">
      <alignment horizontal="left"/>
    </xf>
    <xf numFmtId="49" fontId="12" fillId="5" borderId="107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wrapText="1"/>
    </xf>
    <xf numFmtId="164" fontId="3" fillId="0" borderId="107" xfId="0" applyNumberFormat="1" applyFont="1" applyBorder="1" applyAlignment="1">
      <alignment horizontal="center"/>
    </xf>
    <xf numFmtId="164" fontId="2" fillId="0" borderId="107" xfId="0" applyNumberFormat="1" applyFont="1" applyBorder="1" applyAlignment="1">
      <alignment horizontal="right"/>
    </xf>
    <xf numFmtId="0" fontId="3" fillId="0" borderId="107" xfId="0" applyFont="1" applyBorder="1" applyAlignment="1">
      <alignment horizontal="left"/>
    </xf>
    <xf numFmtId="170" fontId="14" fillId="74" borderId="1" xfId="1" applyNumberFormat="1" applyFont="1" applyFill="1" applyBorder="1" applyAlignment="1">
      <alignment horizontal="left"/>
    </xf>
    <xf numFmtId="0" fontId="21" fillId="0" borderId="107" xfId="0" applyFont="1" applyBorder="1" applyAlignment="1">
      <alignment horizontal="center" vertical="center"/>
    </xf>
    <xf numFmtId="166" fontId="20" fillId="3" borderId="107" xfId="0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vertical="center"/>
    </xf>
    <xf numFmtId="0" fontId="19" fillId="0" borderId="107" xfId="0" applyFont="1" applyBorder="1" applyAlignment="1">
      <alignment vertical="center"/>
    </xf>
    <xf numFmtId="49" fontId="22" fillId="0" borderId="107" xfId="0" applyNumberFormat="1" applyFont="1" applyBorder="1" applyAlignment="1">
      <alignment horizontal="center" vertical="center"/>
    </xf>
    <xf numFmtId="43" fontId="2" fillId="0" borderId="0" xfId="1" applyFont="1" applyFill="1" applyAlignment="1">
      <alignment horizontal="center"/>
    </xf>
    <xf numFmtId="170" fontId="21" fillId="12" borderId="24" xfId="1" applyNumberFormat="1" applyFont="1" applyFill="1" applyBorder="1" applyAlignment="1">
      <alignment vertical="center"/>
    </xf>
    <xf numFmtId="0" fontId="3" fillId="3" borderId="107" xfId="0" applyFont="1" applyFill="1" applyBorder="1" applyAlignment="1">
      <alignment horizontal="center" vertical="center"/>
    </xf>
    <xf numFmtId="0" fontId="2" fillId="3" borderId="107" xfId="0" applyFont="1" applyFill="1" applyBorder="1" applyAlignment="1">
      <alignment horizontal="left" vertical="center"/>
    </xf>
    <xf numFmtId="166" fontId="2" fillId="3" borderId="107" xfId="0" applyNumberFormat="1" applyFont="1" applyFill="1" applyBorder="1" applyAlignment="1">
      <alignment vertical="center"/>
    </xf>
    <xf numFmtId="170" fontId="2" fillId="3" borderId="107" xfId="0" applyNumberFormat="1" applyFont="1" applyFill="1" applyBorder="1" applyAlignment="1">
      <alignment vertical="center"/>
    </xf>
    <xf numFmtId="0" fontId="2" fillId="0" borderId="107" xfId="0" applyFont="1" applyBorder="1" applyAlignment="1">
      <alignment horizontal="left" vertical="center"/>
    </xf>
    <xf numFmtId="166" fontId="2" fillId="0" borderId="107" xfId="0" applyNumberFormat="1" applyFont="1" applyBorder="1" applyAlignment="1">
      <alignment vertical="center"/>
    </xf>
    <xf numFmtId="170" fontId="2" fillId="0" borderId="107" xfId="0" applyNumberFormat="1" applyFont="1" applyBorder="1" applyAlignment="1">
      <alignment vertical="center"/>
    </xf>
    <xf numFmtId="0" fontId="2" fillId="0" borderId="107" xfId="0" quotePrefix="1" applyFont="1" applyBorder="1" applyAlignment="1">
      <alignment horizontal="center" vertical="center"/>
    </xf>
    <xf numFmtId="173" fontId="2" fillId="0" borderId="24" xfId="0" quotePrefix="1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 vertical="center"/>
    </xf>
    <xf numFmtId="166" fontId="2" fillId="0" borderId="7" xfId="1" quotePrefix="1" applyNumberFormat="1" applyFont="1" applyFill="1" applyBorder="1" applyAlignment="1">
      <alignment horizontal="center" vertical="center" wrapText="1"/>
    </xf>
    <xf numFmtId="186" fontId="2" fillId="5" borderId="23" xfId="1" quotePrefix="1" applyNumberFormat="1" applyFont="1" applyFill="1" applyBorder="1" applyAlignment="1">
      <alignment horizontal="right" shrinkToFit="1"/>
    </xf>
    <xf numFmtId="166" fontId="12" fillId="5" borderId="107" xfId="1" quotePrefix="1" applyNumberFormat="1" applyFont="1" applyFill="1" applyBorder="1" applyAlignment="1">
      <alignment horizontal="center" vertical="center"/>
    </xf>
    <xf numFmtId="191" fontId="2" fillId="0" borderId="1" xfId="2" quotePrefix="1" applyNumberFormat="1" applyFont="1" applyBorder="1" applyAlignment="1">
      <alignment horizontal="center"/>
    </xf>
    <xf numFmtId="49" fontId="20" fillId="0" borderId="0" xfId="0" applyNumberFormat="1" applyFont="1" applyAlignment="1">
      <alignment vertical="center" wrapText="1"/>
    </xf>
    <xf numFmtId="166" fontId="12" fillId="5" borderId="43" xfId="1" quotePrefix="1" applyNumberFormat="1" applyFont="1" applyFill="1" applyBorder="1" applyAlignment="1">
      <alignment horizontal="right"/>
    </xf>
    <xf numFmtId="164" fontId="6" fillId="0" borderId="107" xfId="0" applyNumberFormat="1" applyFont="1" applyBorder="1" applyAlignment="1">
      <alignment horizontal="center"/>
    </xf>
    <xf numFmtId="175" fontId="2" fillId="0" borderId="1" xfId="0" applyNumberFormat="1" applyFont="1" applyBorder="1" applyAlignment="1">
      <alignment horizontal="center"/>
    </xf>
    <xf numFmtId="49" fontId="56" fillId="0" borderId="107" xfId="0" applyNumberFormat="1" applyFont="1" applyBorder="1"/>
    <xf numFmtId="49" fontId="56" fillId="0" borderId="24" xfId="0" applyNumberFormat="1" applyFont="1" applyBorder="1"/>
    <xf numFmtId="166" fontId="5" fillId="5" borderId="13" xfId="1" quotePrefix="1" applyNumberFormat="1" applyFont="1" applyFill="1" applyBorder="1" applyAlignment="1">
      <alignment horizontal="center"/>
    </xf>
    <xf numFmtId="49" fontId="2" fillId="2" borderId="107" xfId="2" quotePrefix="1" applyNumberFormat="1" applyFont="1" applyFill="1" applyBorder="1" applyAlignment="1">
      <alignment horizontal="left"/>
    </xf>
    <xf numFmtId="49" fontId="2" fillId="2" borderId="107" xfId="3" quotePrefix="1" applyNumberFormat="1" applyFont="1" applyFill="1" applyBorder="1" applyAlignment="1">
      <alignment horizontal="left"/>
    </xf>
    <xf numFmtId="0" fontId="2" fillId="2" borderId="75" xfId="0" quotePrefix="1" applyFont="1" applyFill="1" applyBorder="1" applyAlignment="1">
      <alignment horizontal="left"/>
    </xf>
    <xf numFmtId="0" fontId="2" fillId="2" borderId="107" xfId="0" quotePrefix="1" applyFont="1" applyFill="1" applyBorder="1" applyAlignment="1">
      <alignment horizontal="left" wrapText="1"/>
    </xf>
    <xf numFmtId="0" fontId="2" fillId="3" borderId="107" xfId="0" quotePrefix="1" applyFont="1" applyFill="1" applyBorder="1" applyAlignment="1">
      <alignment horizontal="left"/>
    </xf>
    <xf numFmtId="49" fontId="2" fillId="2" borderId="61" xfId="2" quotePrefix="1" applyNumberFormat="1" applyFont="1" applyFill="1" applyBorder="1" applyAlignment="1">
      <alignment horizontal="left"/>
    </xf>
    <xf numFmtId="49" fontId="2" fillId="2" borderId="131" xfId="2" quotePrefix="1" applyNumberFormat="1" applyFont="1" applyFill="1" applyBorder="1" applyAlignment="1">
      <alignment horizontal="left"/>
    </xf>
    <xf numFmtId="49" fontId="2" fillId="2" borderId="43" xfId="3" quotePrefix="1" applyNumberFormat="1" applyFont="1" applyFill="1" applyBorder="1" applyAlignment="1">
      <alignment horizontal="left"/>
    </xf>
    <xf numFmtId="49" fontId="2" fillId="2" borderId="61" xfId="3" quotePrefix="1" applyNumberFormat="1" applyFont="1" applyFill="1" applyBorder="1" applyAlignment="1">
      <alignment horizontal="left"/>
    </xf>
    <xf numFmtId="49" fontId="2" fillId="2" borderId="131" xfId="3" quotePrefix="1" applyNumberFormat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/>
    </xf>
    <xf numFmtId="0" fontId="2" fillId="2" borderId="61" xfId="0" quotePrefix="1" applyFont="1" applyFill="1" applyBorder="1" applyAlignment="1">
      <alignment horizontal="left"/>
    </xf>
    <xf numFmtId="0" fontId="2" fillId="2" borderId="20" xfId="0" quotePrefix="1" applyFont="1" applyFill="1" applyBorder="1" applyAlignment="1">
      <alignment horizontal="left"/>
    </xf>
    <xf numFmtId="0" fontId="2" fillId="3" borderId="131" xfId="0" applyFont="1" applyFill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/>
    </xf>
    <xf numFmtId="0" fontId="2" fillId="2" borderId="131" xfId="0" quotePrefix="1" applyFont="1" applyFill="1" applyBorder="1" applyAlignment="1">
      <alignment horizontal="left" wrapText="1"/>
    </xf>
    <xf numFmtId="0" fontId="2" fillId="3" borderId="131" xfId="0" quotePrefix="1" applyFont="1" applyFill="1" applyBorder="1" applyAlignment="1">
      <alignment horizontal="left"/>
    </xf>
    <xf numFmtId="0" fontId="2" fillId="0" borderId="131" xfId="0" applyFont="1" applyBorder="1" applyAlignment="1">
      <alignment horizontal="left" wrapText="1"/>
    </xf>
    <xf numFmtId="0" fontId="2" fillId="2" borderId="61" xfId="0" quotePrefix="1" applyFont="1" applyFill="1" applyBorder="1" applyAlignment="1">
      <alignment horizontal="left" wrapText="1"/>
    </xf>
    <xf numFmtId="0" fontId="2" fillId="0" borderId="131" xfId="0" applyFont="1" applyBorder="1" applyAlignment="1">
      <alignment horizontal="left" vertical="center"/>
    </xf>
    <xf numFmtId="0" fontId="2" fillId="2" borderId="43" xfId="0" quotePrefix="1" applyFont="1" applyFill="1" applyBorder="1" applyAlignment="1">
      <alignment horizontal="left" wrapText="1"/>
    </xf>
    <xf numFmtId="0" fontId="21" fillId="2" borderId="130" xfId="0" applyFont="1" applyFill="1" applyBorder="1" applyAlignment="1">
      <alignment vertical="center" wrapText="1"/>
    </xf>
    <xf numFmtId="166" fontId="31" fillId="8" borderId="130" xfId="1" applyNumberFormat="1" applyFont="1" applyFill="1" applyBorder="1" applyAlignment="1">
      <alignment horizontal="center" vertical="center"/>
    </xf>
    <xf numFmtId="166" fontId="21" fillId="2" borderId="130" xfId="1" applyNumberFormat="1" applyFont="1" applyFill="1" applyBorder="1" applyAlignment="1">
      <alignment vertical="center"/>
    </xf>
    <xf numFmtId="166" fontId="21" fillId="2" borderId="53" xfId="1" applyNumberFormat="1" applyFont="1" applyFill="1" applyBorder="1" applyAlignment="1">
      <alignment vertical="center"/>
    </xf>
    <xf numFmtId="166" fontId="21" fillId="2" borderId="55" xfId="1" applyNumberFormat="1" applyFont="1" applyFill="1" applyBorder="1" applyAlignment="1">
      <alignment vertical="center"/>
    </xf>
    <xf numFmtId="166" fontId="21" fillId="10" borderId="130" xfId="1" applyNumberFormat="1" applyFont="1" applyFill="1" applyBorder="1" applyAlignment="1">
      <alignment vertical="center"/>
    </xf>
    <xf numFmtId="166" fontId="21" fillId="10" borderId="53" xfId="1" applyNumberFormat="1" applyFont="1" applyFill="1" applyBorder="1" applyAlignment="1">
      <alignment vertical="center"/>
    </xf>
    <xf numFmtId="166" fontId="21" fillId="10" borderId="21" xfId="1" applyNumberFormat="1" applyFont="1" applyFill="1" applyBorder="1" applyAlignment="1">
      <alignment vertical="center"/>
    </xf>
    <xf numFmtId="0" fontId="2" fillId="3" borderId="130" xfId="0" applyFont="1" applyFill="1" applyBorder="1" applyAlignment="1">
      <alignment vertical="center"/>
    </xf>
    <xf numFmtId="166" fontId="21" fillId="2" borderId="21" xfId="1" applyNumberFormat="1" applyFont="1" applyFill="1" applyBorder="1" applyAlignment="1">
      <alignment vertical="center"/>
    </xf>
    <xf numFmtId="166" fontId="21" fillId="9" borderId="130" xfId="1" applyNumberFormat="1" applyFont="1" applyFill="1" applyBorder="1" applyAlignment="1">
      <alignment vertical="center"/>
    </xf>
    <xf numFmtId="166" fontId="143" fillId="0" borderId="130" xfId="0" applyNumberFormat="1" applyFont="1" applyBorder="1" applyAlignment="1">
      <alignment vertical="center"/>
    </xf>
    <xf numFmtId="166" fontId="2" fillId="3" borderId="130" xfId="0" applyNumberFormat="1" applyFont="1" applyFill="1" applyBorder="1" applyAlignment="1">
      <alignment vertical="center"/>
    </xf>
    <xf numFmtId="166" fontId="2" fillId="0" borderId="130" xfId="0" applyNumberFormat="1" applyFont="1" applyBorder="1" applyAlignment="1">
      <alignment vertical="center"/>
    </xf>
    <xf numFmtId="0" fontId="2" fillId="2" borderId="107" xfId="0" applyFont="1" applyFill="1" applyBorder="1" applyAlignment="1">
      <alignment horizontal="left"/>
    </xf>
    <xf numFmtId="164" fontId="3" fillId="0" borderId="75" xfId="0" applyNumberFormat="1" applyFont="1" applyBorder="1" applyAlignment="1">
      <alignment horizontal="left"/>
    </xf>
    <xf numFmtId="173" fontId="2" fillId="0" borderId="75" xfId="0" applyNumberFormat="1" applyFont="1" applyBorder="1" applyAlignment="1">
      <alignment horizontal="center"/>
    </xf>
    <xf numFmtId="164" fontId="6" fillId="0" borderId="75" xfId="0" applyNumberFormat="1" applyFont="1" applyBorder="1" applyAlignment="1">
      <alignment horizontal="center"/>
    </xf>
    <xf numFmtId="164" fontId="11" fillId="2" borderId="75" xfId="0" applyNumberFormat="1" applyFont="1" applyFill="1" applyBorder="1" applyAlignment="1">
      <alignment horizontal="center"/>
    </xf>
    <xf numFmtId="3" fontId="12" fillId="5" borderId="75" xfId="1" applyNumberFormat="1" applyFont="1" applyFill="1" applyBorder="1" applyAlignment="1"/>
    <xf numFmtId="166" fontId="21" fillId="2" borderId="75" xfId="1" applyNumberFormat="1" applyFont="1" applyFill="1" applyBorder="1" applyAlignment="1">
      <alignment vertical="center"/>
    </xf>
    <xf numFmtId="170" fontId="21" fillId="2" borderId="75" xfId="1" applyNumberFormat="1" applyFont="1" applyFill="1" applyBorder="1" applyAlignment="1">
      <alignment vertical="center"/>
    </xf>
    <xf numFmtId="0" fontId="21" fillId="2" borderId="75" xfId="0" applyFont="1" applyFill="1" applyBorder="1" applyAlignment="1">
      <alignment vertical="center"/>
    </xf>
    <xf numFmtId="0" fontId="20" fillId="2" borderId="75" xfId="0" applyFont="1" applyFill="1" applyBorder="1" applyAlignment="1">
      <alignment horizontal="center" vertical="center"/>
    </xf>
    <xf numFmtId="170" fontId="21" fillId="2" borderId="75" xfId="1" applyNumberFormat="1" applyFont="1" applyFill="1" applyBorder="1" applyAlignment="1">
      <alignment horizontal="left" vertical="center" indent="1"/>
    </xf>
    <xf numFmtId="166" fontId="23" fillId="2" borderId="75" xfId="1" applyNumberFormat="1" applyFont="1" applyFill="1" applyBorder="1" applyAlignment="1">
      <alignment vertical="center"/>
    </xf>
    <xf numFmtId="49" fontId="24" fillId="2" borderId="75" xfId="0" applyNumberFormat="1" applyFont="1" applyFill="1" applyBorder="1" applyAlignment="1">
      <alignment horizontal="center" vertical="center"/>
    </xf>
    <xf numFmtId="166" fontId="2" fillId="5" borderId="0" xfId="1" quotePrefix="1" applyNumberFormat="1" applyFont="1" applyFill="1" applyBorder="1" applyAlignment="1">
      <alignment horizontal="right" shrinkToFit="1"/>
    </xf>
    <xf numFmtId="0" fontId="6" fillId="2" borderId="107" xfId="0" quotePrefix="1" applyFont="1" applyFill="1" applyBorder="1" applyAlignment="1">
      <alignment horizontal="left" wrapText="1"/>
    </xf>
    <xf numFmtId="0" fontId="3" fillId="0" borderId="131" xfId="0" applyFont="1" applyBorder="1" applyAlignment="1">
      <alignment horizontal="center"/>
    </xf>
    <xf numFmtId="49" fontId="2" fillId="0" borderId="75" xfId="2" quotePrefix="1" applyNumberFormat="1" applyFont="1" applyBorder="1" applyAlignment="1">
      <alignment vertical="center"/>
    </xf>
    <xf numFmtId="49" fontId="6" fillId="0" borderId="107" xfId="2" quotePrefix="1" applyNumberFormat="1" applyFont="1" applyBorder="1" applyAlignment="1">
      <alignment vertical="center"/>
    </xf>
    <xf numFmtId="0" fontId="6" fillId="2" borderId="1" xfId="0" quotePrefix="1" applyFont="1" applyFill="1" applyBorder="1" applyAlignment="1">
      <alignment horizontal="left"/>
    </xf>
    <xf numFmtId="0" fontId="6" fillId="2" borderId="83" xfId="0" quotePrefix="1" applyFont="1" applyFill="1" applyBorder="1" applyAlignment="1">
      <alignment horizontal="left"/>
    </xf>
    <xf numFmtId="170" fontId="21" fillId="12" borderId="24" xfId="1" applyNumberFormat="1" applyFont="1" applyFill="1" applyBorder="1" applyAlignment="1">
      <alignment horizontal="right" vertical="center"/>
    </xf>
    <xf numFmtId="166" fontId="21" fillId="10" borderId="130" xfId="1" applyNumberFormat="1" applyFont="1" applyFill="1" applyBorder="1" applyAlignment="1">
      <alignment vertical="center" wrapText="1"/>
    </xf>
    <xf numFmtId="44" fontId="2" fillId="0" borderId="43" xfId="2" quotePrefix="1" applyNumberFormat="1" applyFont="1" applyBorder="1" applyAlignment="1">
      <alignment horizontal="center"/>
    </xf>
    <xf numFmtId="3" fontId="2" fillId="0" borderId="43" xfId="2" quotePrefix="1" applyNumberFormat="1" applyFont="1" applyBorder="1" applyAlignment="1">
      <alignment horizontal="right"/>
    </xf>
    <xf numFmtId="175" fontId="47" fillId="0" borderId="1" xfId="0" applyNumberFormat="1" applyFont="1" applyBorder="1" applyAlignment="1">
      <alignment horizontal="center" vertical="center" wrapText="1"/>
    </xf>
    <xf numFmtId="175" fontId="5" fillId="0" borderId="0" xfId="0" applyNumberFormat="1" applyFont="1" applyAlignment="1">
      <alignment horizontal="center"/>
    </xf>
    <xf numFmtId="166" fontId="14" fillId="9" borderId="1" xfId="1" applyNumberFormat="1" applyFont="1" applyFill="1" applyBorder="1" applyAlignment="1">
      <alignment vertical="center"/>
    </xf>
    <xf numFmtId="166" fontId="12" fillId="5" borderId="108" xfId="1" quotePrefix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left"/>
    </xf>
    <xf numFmtId="166" fontId="14" fillId="2" borderId="108" xfId="1" applyNumberFormat="1" applyFont="1" applyFill="1" applyBorder="1" applyAlignment="1"/>
    <xf numFmtId="170" fontId="14" fillId="2" borderId="108" xfId="1" applyNumberFormat="1" applyFont="1" applyFill="1" applyBorder="1" applyAlignment="1"/>
    <xf numFmtId="41" fontId="2" fillId="0" borderId="101" xfId="0" applyNumberFormat="1" applyFont="1" applyBorder="1"/>
    <xf numFmtId="41" fontId="2" fillId="0" borderId="101" xfId="0" applyNumberFormat="1" applyFont="1" applyBorder="1" applyAlignment="1">
      <alignment horizontal="center"/>
    </xf>
    <xf numFmtId="166" fontId="14" fillId="10" borderId="1" xfId="1" applyNumberFormat="1" applyFont="1" applyFill="1" applyBorder="1" applyAlignment="1">
      <alignment vertical="center"/>
    </xf>
    <xf numFmtId="164" fontId="2" fillId="0" borderId="107" xfId="0" quotePrefix="1" applyNumberFormat="1" applyFont="1" applyBorder="1" applyAlignment="1">
      <alignment horizontal="center"/>
    </xf>
    <xf numFmtId="2" fontId="2" fillId="0" borderId="1" xfId="2" quotePrefix="1" applyNumberFormat="1" applyFont="1" applyBorder="1"/>
    <xf numFmtId="41" fontId="2" fillId="0" borderId="100" xfId="0" applyNumberFormat="1" applyFont="1" applyBorder="1" applyAlignment="1">
      <alignment horizontal="center"/>
    </xf>
    <xf numFmtId="49" fontId="5" fillId="70" borderId="107" xfId="0" applyNumberFormat="1" applyFont="1" applyFill="1" applyBorder="1" applyAlignment="1">
      <alignment horizontal="center"/>
    </xf>
    <xf numFmtId="166" fontId="31" fillId="8" borderId="107" xfId="1" applyNumberFormat="1" applyFont="1" applyFill="1" applyBorder="1" applyAlignment="1"/>
    <xf numFmtId="164" fontId="3" fillId="0" borderId="1" xfId="0" quotePrefix="1" applyNumberFormat="1" applyFont="1" applyBorder="1" applyAlignment="1">
      <alignment horizontal="center"/>
    </xf>
    <xf numFmtId="166" fontId="2" fillId="3" borderId="107" xfId="0" applyNumberFormat="1" applyFont="1" applyFill="1" applyBorder="1"/>
    <xf numFmtId="3" fontId="2" fillId="2" borderId="107" xfId="0" applyNumberFormat="1" applyFont="1" applyFill="1" applyBorder="1"/>
    <xf numFmtId="44" fontId="2" fillId="0" borderId="103" xfId="0" applyNumberFormat="1" applyFont="1" applyBorder="1" applyAlignment="1">
      <alignment horizontal="center"/>
    </xf>
    <xf numFmtId="166" fontId="2" fillId="0" borderId="13" xfId="1" quotePrefix="1" applyNumberFormat="1" applyFont="1" applyFill="1" applyBorder="1" applyAlignment="1">
      <alignment horizontal="center" wrapText="1"/>
    </xf>
    <xf numFmtId="170" fontId="20" fillId="3" borderId="73" xfId="0" applyNumberFormat="1" applyFont="1" applyFill="1" applyBorder="1" applyAlignment="1">
      <alignment horizontal="center"/>
    </xf>
    <xf numFmtId="166" fontId="21" fillId="3" borderId="107" xfId="1" applyNumberFormat="1" applyFont="1" applyFill="1" applyBorder="1" applyAlignment="1">
      <alignment horizontal="left" vertical="center" indent="1"/>
    </xf>
    <xf numFmtId="175" fontId="5" fillId="2" borderId="1" xfId="0" quotePrefix="1" applyNumberFormat="1" applyFont="1" applyFill="1" applyBorder="1" applyAlignment="1">
      <alignment horizontal="center"/>
    </xf>
    <xf numFmtId="164" fontId="5" fillId="0" borderId="107" xfId="0" applyNumberFormat="1" applyFont="1" applyBorder="1" applyAlignment="1">
      <alignment horizontal="center"/>
    </xf>
    <xf numFmtId="0" fontId="3" fillId="0" borderId="131" xfId="0" applyFont="1" applyBorder="1" applyAlignment="1">
      <alignment horizontal="left"/>
    </xf>
    <xf numFmtId="170" fontId="21" fillId="14" borderId="110" xfId="1" applyNumberFormat="1" applyFont="1" applyFill="1" applyBorder="1" applyAlignment="1">
      <alignment horizontal="left" vertical="center" indent="1"/>
    </xf>
    <xf numFmtId="166" fontId="12" fillId="0" borderId="13" xfId="1" quotePrefix="1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center"/>
    </xf>
    <xf numFmtId="164" fontId="136" fillId="0" borderId="1" xfId="0" applyNumberFormat="1" applyFont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/>
    </xf>
    <xf numFmtId="0" fontId="2" fillId="0" borderId="1" xfId="0" quotePrefix="1" applyFont="1" applyBorder="1" applyAlignment="1">
      <alignment horizontal="left"/>
    </xf>
    <xf numFmtId="166" fontId="12" fillId="0" borderId="43" xfId="1" quotePrefix="1" applyNumberFormat="1" applyFont="1" applyFill="1" applyBorder="1" applyAlignment="1">
      <alignment horizontal="center"/>
    </xf>
    <xf numFmtId="0" fontId="2" fillId="0" borderId="24" xfId="0" quotePrefix="1" applyFont="1" applyBorder="1" applyAlignment="1">
      <alignment horizontal="left"/>
    </xf>
    <xf numFmtId="170" fontId="14" fillId="0" borderId="24" xfId="1" applyNumberFormat="1" applyFont="1" applyFill="1" applyBorder="1" applyAlignment="1">
      <alignment horizontal="left"/>
    </xf>
    <xf numFmtId="164" fontId="136" fillId="0" borderId="24" xfId="0" applyNumberFormat="1" applyFont="1" applyBorder="1" applyAlignment="1">
      <alignment horizontal="center"/>
    </xf>
    <xf numFmtId="49" fontId="2" fillId="0" borderId="24" xfId="2" quotePrefix="1" applyNumberFormat="1" applyFont="1" applyBorder="1" applyAlignment="1">
      <alignment wrapText="1"/>
    </xf>
    <xf numFmtId="166" fontId="2" fillId="0" borderId="107" xfId="1" quotePrefix="1" applyNumberFormat="1" applyFont="1" applyFill="1" applyBorder="1" applyAlignment="1">
      <alignment horizontal="center" wrapText="1"/>
    </xf>
    <xf numFmtId="0" fontId="2" fillId="0" borderId="83" xfId="0" quotePrefix="1" applyFont="1" applyBorder="1" applyAlignment="1">
      <alignment horizontal="left"/>
    </xf>
    <xf numFmtId="166" fontId="2" fillId="0" borderId="7" xfId="1" applyNumberFormat="1" applyFont="1" applyFill="1" applyBorder="1" applyAlignment="1">
      <alignment horizontal="right"/>
    </xf>
    <xf numFmtId="166" fontId="2" fillId="0" borderId="107" xfId="1" quotePrefix="1" applyNumberFormat="1" applyFont="1" applyFill="1" applyBorder="1" applyAlignment="1">
      <alignment horizontal="center"/>
    </xf>
    <xf numFmtId="166" fontId="5" fillId="0" borderId="107" xfId="1" quotePrefix="1" applyNumberFormat="1" applyFont="1" applyFill="1" applyBorder="1" applyAlignment="1">
      <alignment horizontal="center"/>
    </xf>
    <xf numFmtId="166" fontId="12" fillId="0" borderId="107" xfId="1" quotePrefix="1" applyNumberFormat="1" applyFont="1" applyFill="1" applyBorder="1" applyAlignment="1">
      <alignment horizontal="center" wrapText="1"/>
    </xf>
    <xf numFmtId="3" fontId="2" fillId="0" borderId="107" xfId="0" applyNumberFormat="1" applyFont="1" applyBorder="1" applyAlignment="1">
      <alignment horizontal="center"/>
    </xf>
    <xf numFmtId="49" fontId="2" fillId="0" borderId="107" xfId="0" quotePrefix="1" applyNumberFormat="1" applyFont="1" applyBorder="1" applyAlignment="1">
      <alignment horizontal="center"/>
    </xf>
    <xf numFmtId="0" fontId="2" fillId="0" borderId="107" xfId="0" quotePrefix="1" applyFont="1" applyBorder="1" applyAlignment="1">
      <alignment horizontal="center"/>
    </xf>
    <xf numFmtId="170" fontId="14" fillId="0" borderId="107" xfId="1" applyNumberFormat="1" applyFont="1" applyFill="1" applyBorder="1" applyAlignment="1">
      <alignment horizontal="left"/>
    </xf>
    <xf numFmtId="166" fontId="14" fillId="0" borderId="107" xfId="1" applyNumberFormat="1" applyFont="1" applyFill="1" applyBorder="1" applyAlignment="1"/>
    <xf numFmtId="170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/>
    </xf>
    <xf numFmtId="166" fontId="23" fillId="0" borderId="107" xfId="1" applyNumberFormat="1" applyFont="1" applyFill="1" applyBorder="1" applyAlignment="1"/>
    <xf numFmtId="0" fontId="2" fillId="0" borderId="107" xfId="0" applyFont="1" applyBorder="1"/>
    <xf numFmtId="164" fontId="136" fillId="0" borderId="107" xfId="0" applyNumberFormat="1" applyFont="1" applyBorder="1" applyAlignment="1">
      <alignment horizontal="center"/>
    </xf>
    <xf numFmtId="49" fontId="2" fillId="0" borderId="107" xfId="0" applyNumberFormat="1" applyFont="1" applyBorder="1" applyAlignment="1">
      <alignment horizontal="center"/>
    </xf>
    <xf numFmtId="49" fontId="12" fillId="0" borderId="107" xfId="1" quotePrefix="1" applyNumberFormat="1" applyFont="1" applyFill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center" wrapText="1"/>
    </xf>
    <xf numFmtId="0" fontId="12" fillId="0" borderId="107" xfId="3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wrapText="1"/>
    </xf>
    <xf numFmtId="164" fontId="5" fillId="0" borderId="107" xfId="0" applyNumberFormat="1" applyFont="1" applyBorder="1" applyAlignment="1">
      <alignment horizontal="center" wrapText="1"/>
    </xf>
    <xf numFmtId="0" fontId="2" fillId="0" borderId="107" xfId="0" quotePrefix="1" applyFont="1" applyBorder="1" applyAlignment="1">
      <alignment horizontal="left"/>
    </xf>
    <xf numFmtId="164" fontId="3" fillId="0" borderId="107" xfId="0" applyNumberFormat="1" applyFont="1" applyBorder="1" applyAlignment="1">
      <alignment horizontal="center" wrapText="1"/>
    </xf>
    <xf numFmtId="1" fontId="2" fillId="0" borderId="107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0" fontId="12" fillId="0" borderId="107" xfId="1" quotePrefix="1" applyNumberFormat="1" applyFont="1" applyFill="1" applyBorder="1" applyAlignment="1">
      <alignment horizontal="center"/>
    </xf>
    <xf numFmtId="1" fontId="12" fillId="0" borderId="107" xfId="1" quotePrefix="1" applyNumberFormat="1" applyFont="1" applyFill="1" applyBorder="1" applyAlignment="1">
      <alignment horizontal="center"/>
    </xf>
    <xf numFmtId="170" fontId="14" fillId="0" borderId="107" xfId="1" applyNumberFormat="1" applyFont="1" applyFill="1" applyBorder="1" applyAlignment="1">
      <alignment horizontal="center"/>
    </xf>
    <xf numFmtId="170" fontId="6" fillId="0" borderId="107" xfId="1" applyNumberFormat="1" applyFont="1" applyFill="1" applyBorder="1" applyAlignment="1"/>
    <xf numFmtId="49" fontId="12" fillId="0" borderId="107" xfId="1" quotePrefix="1" applyNumberFormat="1" applyFont="1" applyFill="1" applyBorder="1" applyAlignment="1">
      <alignment horizontal="center" wrapText="1"/>
    </xf>
    <xf numFmtId="0" fontId="2" fillId="0" borderId="107" xfId="0" quotePrefix="1" applyFont="1" applyBorder="1" applyAlignment="1">
      <alignment horizontal="left" wrapText="1"/>
    </xf>
    <xf numFmtId="166" fontId="14" fillId="12" borderId="107" xfId="1" applyNumberFormat="1" applyFont="1" applyFill="1" applyBorder="1" applyAlignment="1"/>
    <xf numFmtId="49" fontId="2" fillId="0" borderId="107" xfId="0" applyNumberFormat="1" applyFont="1" applyBorder="1" applyAlignment="1">
      <alignment horizontal="left" wrapText="1"/>
    </xf>
    <xf numFmtId="49" fontId="2" fillId="0" borderId="107" xfId="0" quotePrefix="1" applyNumberFormat="1" applyFont="1" applyBorder="1" applyAlignment="1">
      <alignment horizontal="center" wrapText="1"/>
    </xf>
    <xf numFmtId="49" fontId="2" fillId="3" borderId="107" xfId="2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wrapText="1"/>
    </xf>
    <xf numFmtId="0" fontId="2" fillId="2" borderId="83" xfId="0" applyFont="1" applyFill="1" applyBorder="1" applyAlignment="1">
      <alignment wrapText="1"/>
    </xf>
    <xf numFmtId="0" fontId="14" fillId="2" borderId="1" xfId="0" applyFont="1" applyFill="1" applyBorder="1" applyAlignment="1">
      <alignment wrapText="1"/>
    </xf>
    <xf numFmtId="0" fontId="2" fillId="2" borderId="73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49" fontId="5" fillId="2" borderId="77" xfId="0" applyNumberFormat="1" applyFont="1" applyFill="1" applyBorder="1" applyAlignment="1">
      <alignment wrapText="1"/>
    </xf>
    <xf numFmtId="0" fontId="3" fillId="3" borderId="108" xfId="0" applyFont="1" applyFill="1" applyBorder="1"/>
    <xf numFmtId="0" fontId="2" fillId="3" borderId="108" xfId="0" applyFont="1" applyFill="1" applyBorder="1"/>
    <xf numFmtId="166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center"/>
    </xf>
    <xf numFmtId="170" fontId="21" fillId="3" borderId="108" xfId="1" applyNumberFormat="1" applyFont="1" applyFill="1" applyBorder="1" applyAlignment="1"/>
    <xf numFmtId="166" fontId="21" fillId="3" borderId="108" xfId="1" applyNumberFormat="1" applyFont="1" applyFill="1" applyBorder="1" applyAlignment="1">
      <alignment horizontal="left"/>
    </xf>
    <xf numFmtId="170" fontId="21" fillId="3" borderId="108" xfId="1" applyNumberFormat="1" applyFont="1" applyFill="1" applyBorder="1" applyAlignment="1">
      <alignment horizontal="left"/>
    </xf>
    <xf numFmtId="0" fontId="20" fillId="3" borderId="108" xfId="0" applyFont="1" applyFill="1" applyBorder="1" applyAlignment="1">
      <alignment horizontal="center"/>
    </xf>
    <xf numFmtId="170" fontId="23" fillId="3" borderId="108" xfId="1" applyNumberFormat="1" applyFont="1" applyFill="1" applyBorder="1" applyAlignment="1">
      <alignment horizontal="left"/>
    </xf>
    <xf numFmtId="166" fontId="3" fillId="0" borderId="107" xfId="1" applyNumberFormat="1" applyFont="1" applyFill="1" applyBorder="1" applyAlignment="1">
      <alignment horizontal="right"/>
    </xf>
    <xf numFmtId="0" fontId="5" fillId="0" borderId="107" xfId="0" applyFont="1" applyBorder="1" applyAlignment="1">
      <alignment horizontal="center"/>
    </xf>
    <xf numFmtId="49" fontId="5" fillId="0" borderId="107" xfId="0" applyNumberFormat="1" applyFont="1" applyBorder="1" applyAlignment="1">
      <alignment horizontal="center"/>
    </xf>
    <xf numFmtId="1" fontId="14" fillId="0" borderId="107" xfId="1" applyNumberFormat="1" applyFont="1" applyFill="1" applyBorder="1" applyAlignment="1"/>
    <xf numFmtId="0" fontId="3" fillId="0" borderId="107" xfId="0" applyFont="1" applyBorder="1" applyAlignment="1">
      <alignment horizontal="center" wrapText="1"/>
    </xf>
    <xf numFmtId="0" fontId="3" fillId="0" borderId="107" xfId="0" applyFont="1" applyBorder="1"/>
    <xf numFmtId="166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center"/>
    </xf>
    <xf numFmtId="170" fontId="21" fillId="0" borderId="107" xfId="1" applyNumberFormat="1" applyFont="1" applyFill="1" applyBorder="1" applyAlignment="1"/>
    <xf numFmtId="166" fontId="21" fillId="0" borderId="107" xfId="1" applyNumberFormat="1" applyFont="1" applyFill="1" applyBorder="1" applyAlignment="1">
      <alignment horizontal="left"/>
    </xf>
    <xf numFmtId="170" fontId="21" fillId="0" borderId="107" xfId="1" applyNumberFormat="1" applyFont="1" applyFill="1" applyBorder="1" applyAlignment="1">
      <alignment horizontal="left"/>
    </xf>
    <xf numFmtId="0" fontId="20" fillId="0" borderId="107" xfId="0" applyFont="1" applyBorder="1" applyAlignment="1">
      <alignment horizontal="center"/>
    </xf>
    <xf numFmtId="170" fontId="23" fillId="0" borderId="107" xfId="1" applyNumberFormat="1" applyFont="1" applyFill="1" applyBorder="1" applyAlignment="1">
      <alignment horizontal="left"/>
    </xf>
    <xf numFmtId="0" fontId="5" fillId="0" borderId="107" xfId="0" applyFont="1" applyBorder="1" applyAlignment="1">
      <alignment horizontal="center" wrapText="1"/>
    </xf>
    <xf numFmtId="166" fontId="2" fillId="0" borderId="107" xfId="1" applyNumberFormat="1" applyFont="1" applyFill="1" applyBorder="1" applyAlignment="1">
      <alignment horizontal="center"/>
    </xf>
    <xf numFmtId="166" fontId="31" fillId="0" borderId="107" xfId="1" applyNumberFormat="1" applyFont="1" applyFill="1" applyBorder="1" applyAlignment="1"/>
    <xf numFmtId="166" fontId="2" fillId="0" borderId="23" xfId="1" applyNumberFormat="1" applyFont="1" applyFill="1" applyBorder="1" applyAlignment="1">
      <alignment horizontal="center"/>
    </xf>
    <xf numFmtId="166" fontId="31" fillId="0" borderId="24" xfId="1" applyNumberFormat="1" applyFont="1" applyFill="1" applyBorder="1" applyAlignment="1"/>
    <xf numFmtId="49" fontId="5" fillId="0" borderId="24" xfId="0" applyNumberFormat="1" applyFont="1" applyBorder="1" applyAlignment="1">
      <alignment horizontal="center"/>
    </xf>
    <xf numFmtId="170" fontId="14" fillId="0" borderId="83" xfId="1" applyNumberFormat="1" applyFont="1" applyFill="1" applyBorder="1" applyAlignment="1"/>
    <xf numFmtId="166" fontId="31" fillId="0" borderId="1" xfId="1" applyNumberFormat="1" applyFont="1" applyFill="1" applyBorder="1" applyAlignment="1"/>
    <xf numFmtId="49" fontId="5" fillId="0" borderId="73" xfId="0" applyNumberFormat="1" applyFont="1" applyBorder="1" applyAlignment="1">
      <alignment horizontal="center"/>
    </xf>
    <xf numFmtId="170" fontId="14" fillId="2" borderId="83" xfId="1" applyNumberFormat="1" applyFont="1" applyFill="1" applyBorder="1" applyAlignment="1"/>
    <xf numFmtId="14" fontId="10" fillId="0" borderId="0" xfId="0" applyNumberFormat="1" applyFont="1" applyAlignment="1">
      <alignment horizontal="center" vertical="center"/>
    </xf>
    <xf numFmtId="166" fontId="14" fillId="10" borderId="107" xfId="1" applyNumberFormat="1" applyFont="1" applyFill="1" applyBorder="1" applyAlignment="1"/>
    <xf numFmtId="49" fontId="12" fillId="5" borderId="131" xfId="1" quotePrefix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9" xfId="0" quotePrefix="1" applyFont="1" applyFill="1" applyBorder="1" applyAlignment="1">
      <alignment horizontal="left"/>
    </xf>
    <xf numFmtId="166" fontId="21" fillId="2" borderId="132" xfId="1" applyNumberFormat="1" applyFont="1" applyFill="1" applyBorder="1" applyAlignment="1">
      <alignment vertical="center"/>
    </xf>
    <xf numFmtId="0" fontId="21" fillId="2" borderId="108" xfId="0" applyFont="1" applyFill="1" applyBorder="1" applyAlignment="1">
      <alignment vertical="center"/>
    </xf>
    <xf numFmtId="170" fontId="21" fillId="2" borderId="108" xfId="1" applyNumberFormat="1" applyFont="1" applyFill="1" applyBorder="1" applyAlignment="1">
      <alignment horizontal="left" vertical="center" indent="1"/>
    </xf>
    <xf numFmtId="166" fontId="23" fillId="2" borderId="108" xfId="1" applyNumberFormat="1" applyFont="1" applyFill="1" applyBorder="1" applyAlignment="1">
      <alignment vertical="center"/>
    </xf>
    <xf numFmtId="170" fontId="21" fillId="2" borderId="24" xfId="1" applyNumberFormat="1" applyFont="1" applyFill="1" applyBorder="1" applyAlignment="1">
      <alignment horizontal="left" vertical="center" indent="1"/>
    </xf>
    <xf numFmtId="166" fontId="23" fillId="2" borderId="24" xfId="1" applyNumberFormat="1" applyFont="1" applyFill="1" applyBorder="1" applyAlignment="1">
      <alignment vertical="center"/>
    </xf>
    <xf numFmtId="3" fontId="2" fillId="2" borderId="138" xfId="0" applyNumberFormat="1" applyFont="1" applyFill="1" applyBorder="1" applyAlignment="1">
      <alignment horizontal="center" vertical="center"/>
    </xf>
    <xf numFmtId="3" fontId="2" fillId="2" borderId="138" xfId="0" applyNumberFormat="1" applyFont="1" applyFill="1" applyBorder="1" applyAlignment="1">
      <alignment horizontal="center"/>
    </xf>
    <xf numFmtId="166" fontId="12" fillId="5" borderId="131" xfId="1" quotePrefix="1" applyNumberFormat="1" applyFont="1" applyFill="1" applyBorder="1" applyAlignment="1">
      <alignment horizontal="center" vertical="center"/>
    </xf>
    <xf numFmtId="1" fontId="12" fillId="5" borderId="131" xfId="1" quotePrefix="1" applyNumberFormat="1" applyFont="1" applyFill="1" applyBorder="1" applyAlignment="1">
      <alignment horizontal="center" vertical="center"/>
    </xf>
    <xf numFmtId="164" fontId="5" fillId="3" borderId="107" xfId="0" applyNumberFormat="1" applyFont="1" applyFill="1" applyBorder="1" applyAlignment="1">
      <alignment horizontal="center"/>
    </xf>
    <xf numFmtId="0" fontId="188" fillId="0" borderId="107" xfId="0" applyFont="1" applyBorder="1" applyAlignment="1">
      <alignment vertical="center"/>
    </xf>
    <xf numFmtId="164" fontId="11" fillId="0" borderId="1" xfId="0" applyNumberFormat="1" applyFont="1" applyBorder="1" applyAlignment="1">
      <alignment horizontal="center"/>
    </xf>
    <xf numFmtId="49" fontId="2" fillId="0" borderId="1" xfId="2" quotePrefix="1" applyNumberFormat="1" applyFont="1" applyBorder="1" applyAlignment="1">
      <alignment horizontal="center" wrapText="1"/>
    </xf>
    <xf numFmtId="49" fontId="2" fillId="0" borderId="0" xfId="2" quotePrefix="1" applyNumberFormat="1" applyFont="1" applyAlignment="1">
      <alignment horizontal="center" wrapText="1"/>
    </xf>
    <xf numFmtId="49" fontId="2" fillId="0" borderId="59" xfId="2" quotePrefix="1" applyNumberFormat="1" applyFont="1" applyBorder="1" applyAlignment="1">
      <alignment horizontal="center" wrapText="1"/>
    </xf>
    <xf numFmtId="0" fontId="6" fillId="0" borderId="107" xfId="0" applyFont="1" applyBorder="1" applyAlignment="1">
      <alignment horizontal="center"/>
    </xf>
    <xf numFmtId="0" fontId="189" fillId="2" borderId="1" xfId="0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/>
    </xf>
    <xf numFmtId="2" fontId="2" fillId="0" borderId="108" xfId="2" quotePrefix="1" applyNumberFormat="1" applyFont="1" applyBorder="1" applyAlignment="1">
      <alignment horizontal="center"/>
    </xf>
    <xf numFmtId="49" fontId="191" fillId="0" borderId="107" xfId="38776" applyNumberFormat="1" applyFont="1" applyBorder="1" applyAlignment="1">
      <alignment vertical="center"/>
    </xf>
    <xf numFmtId="3" fontId="2" fillId="2" borderId="107" xfId="0" applyNumberFormat="1" applyFont="1" applyFill="1" applyBorder="1" applyAlignment="1">
      <alignment horizontal="center" vertical="center"/>
    </xf>
    <xf numFmtId="3" fontId="2" fillId="2" borderId="139" xfId="0" applyNumberFormat="1" applyFont="1" applyFill="1" applyBorder="1" applyAlignment="1">
      <alignment horizontal="center" vertical="center"/>
    </xf>
    <xf numFmtId="0" fontId="2" fillId="0" borderId="122" xfId="0" applyFont="1" applyBorder="1" applyAlignment="1">
      <alignment horizontal="center" vertical="center"/>
    </xf>
    <xf numFmtId="164" fontId="164" fillId="0" borderId="122" xfId="0" applyNumberFormat="1" applyFont="1" applyBorder="1" applyAlignment="1">
      <alignment horizontal="center"/>
    </xf>
    <xf numFmtId="3" fontId="2" fillId="2" borderId="122" xfId="0" applyNumberFormat="1" applyFont="1" applyFill="1" applyBorder="1" applyAlignment="1">
      <alignment horizontal="center" vertical="center"/>
    </xf>
    <xf numFmtId="3" fontId="2" fillId="2" borderId="140" xfId="0" applyNumberFormat="1" applyFont="1" applyFill="1" applyBorder="1" applyAlignment="1">
      <alignment horizontal="center"/>
    </xf>
    <xf numFmtId="3" fontId="2" fillId="2" borderId="141" xfId="0" applyNumberFormat="1" applyFont="1" applyFill="1" applyBorder="1" applyAlignment="1">
      <alignment horizontal="center"/>
    </xf>
    <xf numFmtId="3" fontId="2" fillId="2" borderId="142" xfId="0" applyNumberFormat="1" applyFont="1" applyFill="1" applyBorder="1" applyAlignment="1">
      <alignment horizontal="center"/>
    </xf>
    <xf numFmtId="49" fontId="56" fillId="0" borderId="107" xfId="5" applyNumberFormat="1" applyFont="1" applyBorder="1" applyAlignment="1">
      <alignment vertical="top"/>
    </xf>
    <xf numFmtId="164" fontId="5" fillId="0" borderId="108" xfId="0" applyNumberFormat="1" applyFont="1" applyBorder="1" applyAlignment="1">
      <alignment horizontal="center" wrapText="1"/>
    </xf>
    <xf numFmtId="164" fontId="11" fillId="2" borderId="137" xfId="0" applyNumberFormat="1" applyFont="1" applyFill="1" applyBorder="1" applyAlignment="1">
      <alignment horizontal="center"/>
    </xf>
    <xf numFmtId="3" fontId="2" fillId="2" borderId="9" xfId="0" applyNumberFormat="1" applyFont="1" applyFill="1" applyBorder="1" applyAlignment="1">
      <alignment horizontal="center"/>
    </xf>
    <xf numFmtId="49" fontId="2" fillId="2" borderId="108" xfId="2" quotePrefix="1" applyNumberFormat="1" applyFont="1" applyFill="1" applyBorder="1" applyAlignment="1">
      <alignment horizontal="center"/>
    </xf>
    <xf numFmtId="49" fontId="3" fillId="3" borderId="108" xfId="2" quotePrefix="1" applyNumberFormat="1" applyFont="1" applyFill="1" applyBorder="1"/>
    <xf numFmtId="166" fontId="21" fillId="10" borderId="1" xfId="1" applyNumberFormat="1" applyFont="1" applyFill="1" applyBorder="1" applyAlignment="1"/>
    <xf numFmtId="166" fontId="21" fillId="2" borderId="1" xfId="1" applyNumberFormat="1" applyFont="1" applyFill="1" applyBorder="1" applyAlignment="1"/>
    <xf numFmtId="170" fontId="21" fillId="2" borderId="1" xfId="1" applyNumberFormat="1" applyFont="1" applyFill="1" applyBorder="1" applyAlignment="1"/>
    <xf numFmtId="170" fontId="21" fillId="16" borderId="59" xfId="0" applyNumberFormat="1" applyFont="1" applyFill="1" applyBorder="1"/>
    <xf numFmtId="0" fontId="20" fillId="2" borderId="1" xfId="0" applyFont="1" applyFill="1" applyBorder="1" applyAlignment="1">
      <alignment horizontal="center"/>
    </xf>
    <xf numFmtId="170" fontId="21" fillId="14" borderId="1" xfId="1" applyNumberFormat="1" applyFont="1" applyFill="1" applyBorder="1" applyAlignment="1">
      <alignment horizontal="left"/>
    </xf>
    <xf numFmtId="166" fontId="23" fillId="15" borderId="59" xfId="1" applyNumberFormat="1" applyFont="1" applyFill="1" applyBorder="1" applyAlignment="1"/>
    <xf numFmtId="170" fontId="21" fillId="14" borderId="59" xfId="1" applyNumberFormat="1" applyFont="1" applyFill="1" applyBorder="1" applyAlignment="1">
      <alignment horizontal="left"/>
    </xf>
    <xf numFmtId="14" fontId="5" fillId="0" borderId="107" xfId="0" applyNumberFormat="1" applyFont="1" applyBorder="1" applyAlignment="1">
      <alignment horizontal="center"/>
    </xf>
    <xf numFmtId="49" fontId="6" fillId="3" borderId="107" xfId="2" quotePrefix="1" applyNumberFormat="1" applyFont="1" applyFill="1" applyBorder="1" applyAlignment="1">
      <alignment horizontal="center"/>
    </xf>
    <xf numFmtId="0" fontId="6" fillId="0" borderId="107" xfId="0" applyFont="1" applyBorder="1" applyAlignment="1">
      <alignment horizontal="center" wrapText="1"/>
    </xf>
    <xf numFmtId="49" fontId="2" fillId="19" borderId="1" xfId="2" quotePrefix="1" applyNumberFormat="1" applyFont="1" applyFill="1" applyBorder="1" applyAlignment="1">
      <alignment horizontal="center" wrapText="1"/>
    </xf>
    <xf numFmtId="0" fontId="192" fillId="0" borderId="107" xfId="0" applyFont="1" applyBorder="1" applyAlignment="1">
      <alignment vertical="top" wrapText="1"/>
    </xf>
    <xf numFmtId="0" fontId="192" fillId="0" borderId="107" xfId="0" applyFont="1" applyBorder="1" applyAlignment="1">
      <alignment vertical="center" wrapText="1"/>
    </xf>
    <xf numFmtId="0" fontId="3" fillId="2" borderId="1" xfId="0" applyFont="1" applyFill="1" applyBorder="1" applyAlignment="1">
      <alignment horizontal="center" wrapText="1"/>
    </xf>
    <xf numFmtId="166" fontId="14" fillId="75" borderId="107" xfId="1" applyNumberFormat="1" applyFont="1" applyFill="1" applyBorder="1" applyAlignment="1"/>
    <xf numFmtId="166" fontId="14" fillId="75" borderId="1" xfId="1" applyNumberFormat="1" applyFont="1" applyFill="1" applyBorder="1" applyAlignment="1"/>
    <xf numFmtId="170" fontId="31" fillId="14" borderId="75" xfId="1" applyNumberFormat="1" applyFont="1" applyFill="1" applyBorder="1" applyAlignment="1">
      <alignment horizontal="center" vertical="center" wrapText="1"/>
    </xf>
    <xf numFmtId="166" fontId="2" fillId="5" borderId="126" xfId="1" quotePrefix="1" applyNumberFormat="1" applyFont="1" applyFill="1" applyBorder="1" applyAlignment="1">
      <alignment horizontal="center" vertical="center"/>
    </xf>
    <xf numFmtId="164" fontId="136" fillId="2" borderId="125" xfId="0" applyNumberFormat="1" applyFont="1" applyFill="1" applyBorder="1" applyAlignment="1">
      <alignment horizontal="center"/>
    </xf>
    <xf numFmtId="3" fontId="2" fillId="2" borderId="126" xfId="0" applyNumberFormat="1" applyFont="1" applyFill="1" applyBorder="1" applyAlignment="1">
      <alignment horizontal="center"/>
    </xf>
    <xf numFmtId="2" fontId="2" fillId="0" borderId="125" xfId="2" quotePrefix="1" applyNumberFormat="1" applyFont="1" applyBorder="1" applyAlignment="1">
      <alignment horizontal="center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5" xfId="1" quotePrefix="1" applyNumberFormat="1" applyFont="1" applyFill="1" applyBorder="1" applyAlignment="1">
      <alignment horizontal="center"/>
    </xf>
    <xf numFmtId="164" fontId="5" fillId="0" borderId="125" xfId="0" applyNumberFormat="1" applyFont="1" applyBorder="1" applyAlignment="1">
      <alignment horizontal="center"/>
    </xf>
    <xf numFmtId="0" fontId="6" fillId="2" borderId="107" xfId="0" quotePrefix="1" applyFont="1" applyFill="1" applyBorder="1" applyAlignment="1">
      <alignment horizontal="left"/>
    </xf>
    <xf numFmtId="49" fontId="6" fillId="0" borderId="107" xfId="2" quotePrefix="1" applyNumberFormat="1" applyFont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/>
    </xf>
    <xf numFmtId="3" fontId="2" fillId="2" borderId="141" xfId="0" applyNumberFormat="1" applyFont="1" applyFill="1" applyBorder="1" applyAlignment="1">
      <alignment horizontal="center" vertical="center"/>
    </xf>
    <xf numFmtId="1" fontId="12" fillId="5" borderId="119" xfId="1" quotePrefix="1" applyNumberFormat="1" applyFont="1" applyFill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/>
    </xf>
    <xf numFmtId="49" fontId="12" fillId="5" borderId="107" xfId="1" quotePrefix="1" applyNumberFormat="1" applyFont="1" applyFill="1" applyBorder="1" applyAlignment="1">
      <alignment horizontal="center" wrapText="1"/>
    </xf>
    <xf numFmtId="43" fontId="2" fillId="0" borderId="0" xfId="0" applyNumberFormat="1" applyFont="1" applyAlignment="1">
      <alignment horizontal="left"/>
    </xf>
    <xf numFmtId="1" fontId="2" fillId="0" borderId="107" xfId="0" applyNumberFormat="1" applyFont="1" applyBorder="1" applyAlignment="1">
      <alignment horizontal="center"/>
    </xf>
    <xf numFmtId="0" fontId="24" fillId="2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wrapText="1"/>
    </xf>
    <xf numFmtId="166" fontId="21" fillId="10" borderId="108" xfId="1" applyNumberFormat="1" applyFont="1" applyFill="1" applyBorder="1" applyAlignment="1"/>
    <xf numFmtId="166" fontId="21" fillId="12" borderId="108" xfId="1" applyNumberFormat="1" applyFont="1" applyFill="1" applyBorder="1" applyAlignment="1">
      <alignment vertical="center"/>
    </xf>
    <xf numFmtId="170" fontId="21" fillId="14" borderId="108" xfId="1" applyNumberFormat="1" applyFont="1" applyFill="1" applyBorder="1" applyAlignment="1">
      <alignment horizontal="left" vertical="center" indent="1"/>
    </xf>
    <xf numFmtId="166" fontId="21" fillId="3" borderId="24" xfId="1" applyNumberFormat="1" applyFont="1" applyFill="1" applyBorder="1" applyAlignment="1">
      <alignment horizontal="left" vertical="center" indent="1"/>
    </xf>
    <xf numFmtId="164" fontId="5" fillId="0" borderId="107" xfId="0" applyNumberFormat="1" applyFont="1" applyBorder="1" applyAlignment="1">
      <alignment horizontal="left" wrapText="1"/>
    </xf>
    <xf numFmtId="166" fontId="21" fillId="10" borderId="107" xfId="1" applyNumberFormat="1" applyFont="1" applyFill="1" applyBorder="1" applyAlignment="1"/>
    <xf numFmtId="170" fontId="21" fillId="14" borderId="107" xfId="1" applyNumberFormat="1" applyFont="1" applyFill="1" applyBorder="1" applyAlignment="1">
      <alignment horizontal="left" vertical="center" indent="1"/>
    </xf>
    <xf numFmtId="166" fontId="12" fillId="5" borderId="112" xfId="1" quotePrefix="1" applyNumberFormat="1" applyFont="1" applyFill="1" applyBorder="1" applyAlignment="1">
      <alignment horizontal="center"/>
    </xf>
    <xf numFmtId="0" fontId="2" fillId="0" borderId="108" xfId="0" applyFont="1" applyBorder="1" applyAlignment="1">
      <alignment horizontal="center"/>
    </xf>
    <xf numFmtId="164" fontId="5" fillId="0" borderId="108" xfId="0" applyNumberFormat="1" applyFont="1" applyBorder="1" applyAlignment="1">
      <alignment horizontal="left" wrapText="1"/>
    </xf>
    <xf numFmtId="3" fontId="2" fillId="2" borderId="108" xfId="0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>
      <alignment vertical="center"/>
    </xf>
    <xf numFmtId="166" fontId="21" fillId="0" borderId="107" xfId="1" applyNumberFormat="1" applyFont="1" applyFill="1" applyBorder="1" applyAlignment="1">
      <alignment vertical="center"/>
    </xf>
    <xf numFmtId="0" fontId="24" fillId="2" borderId="107" xfId="0" applyFont="1" applyFill="1" applyBorder="1" applyAlignment="1">
      <alignment horizontal="center" vertical="center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166" fontId="12" fillId="5" borderId="125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left" wrapText="1"/>
    </xf>
    <xf numFmtId="164" fontId="5" fillId="0" borderId="132" xfId="0" applyNumberFormat="1" applyFont="1" applyBorder="1" applyAlignment="1">
      <alignment horizontal="left" wrapText="1"/>
    </xf>
    <xf numFmtId="2" fontId="2" fillId="0" borderId="122" xfId="2" quotePrefix="1" applyNumberFormat="1" applyFont="1" applyBorder="1" applyAlignment="1">
      <alignment horizontal="center"/>
    </xf>
    <xf numFmtId="166" fontId="12" fillId="5" borderId="32" xfId="1" quotePrefix="1" applyNumberFormat="1" applyFont="1" applyFill="1" applyBorder="1" applyAlignment="1">
      <alignment horizontal="center"/>
    </xf>
    <xf numFmtId="1" fontId="12" fillId="5" borderId="125" xfId="1" quotePrefix="1" applyNumberFormat="1" applyFont="1" applyFill="1" applyBorder="1" applyAlignment="1">
      <alignment horizontal="center" vertical="center"/>
    </xf>
    <xf numFmtId="175" fontId="5" fillId="2" borderId="107" xfId="0" quotePrefix="1" applyNumberFormat="1" applyFont="1" applyFill="1" applyBorder="1" applyAlignment="1">
      <alignment horizontal="center"/>
    </xf>
    <xf numFmtId="166" fontId="21" fillId="0" borderId="108" xfId="1" applyNumberFormat="1" applyFont="1" applyFill="1" applyBorder="1" applyAlignment="1"/>
    <xf numFmtId="49" fontId="173" fillId="0" borderId="108" xfId="0" applyNumberFormat="1" applyFont="1" applyBorder="1"/>
    <xf numFmtId="0" fontId="2" fillId="0" borderId="108" xfId="0" quotePrefix="1" applyFont="1" applyBorder="1" applyAlignment="1">
      <alignment horizontal="left"/>
    </xf>
    <xf numFmtId="170" fontId="14" fillId="0" borderId="108" xfId="1" applyNumberFormat="1" applyFont="1" applyFill="1" applyBorder="1" applyAlignment="1">
      <alignment horizontal="left"/>
    </xf>
    <xf numFmtId="166" fontId="14" fillId="0" borderId="108" xfId="1" applyNumberFormat="1" applyFont="1" applyFill="1" applyBorder="1" applyAlignment="1"/>
    <xf numFmtId="170" fontId="14" fillId="0" borderId="108" xfId="1" applyNumberFormat="1" applyFont="1" applyFill="1" applyBorder="1" applyAlignment="1"/>
    <xf numFmtId="0" fontId="3" fillId="0" borderId="108" xfId="0" applyFont="1" applyBorder="1" applyAlignment="1">
      <alignment horizontal="center"/>
    </xf>
    <xf numFmtId="166" fontId="23" fillId="0" borderId="108" xfId="1" applyNumberFormat="1" applyFont="1" applyFill="1" applyBorder="1" applyAlignment="1"/>
    <xf numFmtId="49" fontId="5" fillId="0" borderId="108" xfId="0" applyNumberFormat="1" applyFont="1" applyBorder="1" applyAlignment="1">
      <alignment horizontal="center"/>
    </xf>
    <xf numFmtId="0" fontId="2" fillId="0" borderId="108" xfId="0" applyFont="1" applyBorder="1"/>
    <xf numFmtId="170" fontId="14" fillId="10" borderId="107" xfId="1" applyNumberFormat="1" applyFont="1" applyFill="1" applyBorder="1" applyAlignment="1"/>
    <xf numFmtId="166" fontId="21" fillId="10" borderId="108" xfId="1" applyNumberFormat="1" applyFont="1" applyFill="1" applyBorder="1" applyAlignment="1">
      <alignment vertical="center"/>
    </xf>
    <xf numFmtId="49" fontId="6" fillId="0" borderId="107" xfId="2" quotePrefix="1" applyNumberFormat="1" applyFont="1" applyBorder="1" applyAlignment="1">
      <alignment horizontal="center" vertical="center" wrapText="1"/>
    </xf>
    <xf numFmtId="166" fontId="12" fillId="5" borderId="120" xfId="1" quotePrefix="1" applyNumberFormat="1" applyFont="1" applyFill="1" applyBorder="1" applyAlignment="1">
      <alignment horizontal="center" vertical="center"/>
    </xf>
    <xf numFmtId="14" fontId="2" fillId="0" borderId="118" xfId="0" quotePrefix="1" applyNumberFormat="1" applyFont="1" applyBorder="1" applyAlignment="1">
      <alignment horizontal="center"/>
    </xf>
    <xf numFmtId="1" fontId="12" fillId="5" borderId="120" xfId="1" quotePrefix="1" applyNumberFormat="1" applyFont="1" applyFill="1" applyBorder="1" applyAlignment="1">
      <alignment horizontal="center" vertical="center"/>
    </xf>
    <xf numFmtId="1" fontId="12" fillId="5" borderId="121" xfId="1" quotePrefix="1" applyNumberFormat="1" applyFont="1" applyFill="1" applyBorder="1" applyAlignment="1">
      <alignment horizontal="center" vertical="center"/>
    </xf>
    <xf numFmtId="164" fontId="5" fillId="2" borderId="107" xfId="0" applyNumberFormat="1" applyFont="1" applyFill="1" applyBorder="1" applyAlignment="1">
      <alignment horizontal="center"/>
    </xf>
    <xf numFmtId="1" fontId="5" fillId="0" borderId="107" xfId="2" quotePrefix="1" applyNumberFormat="1" applyFont="1" applyBorder="1" applyAlignment="1">
      <alignment horizontal="center"/>
    </xf>
    <xf numFmtId="0" fontId="5" fillId="0" borderId="108" xfId="0" applyFont="1" applyBorder="1" applyAlignment="1">
      <alignment horizontal="center"/>
    </xf>
    <xf numFmtId="170" fontId="21" fillId="12" borderId="73" xfId="1" applyNumberFormat="1" applyFont="1" applyFill="1" applyBorder="1" applyAlignment="1">
      <alignment horizontal="right"/>
    </xf>
    <xf numFmtId="49" fontId="5" fillId="0" borderId="127" xfId="2" quotePrefix="1" applyNumberFormat="1" applyFont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vertical="center"/>
    </xf>
    <xf numFmtId="3" fontId="2" fillId="2" borderId="107" xfId="0" applyNumberFormat="1" applyFont="1" applyFill="1" applyBorder="1" applyAlignment="1">
      <alignment vertical="center"/>
    </xf>
    <xf numFmtId="164" fontId="136" fillId="2" borderId="115" xfId="0" applyNumberFormat="1" applyFont="1" applyFill="1" applyBorder="1" applyAlignment="1">
      <alignment horizontal="center" vertical="center"/>
    </xf>
    <xf numFmtId="49" fontId="2" fillId="3" borderId="1" xfId="2" quotePrefix="1" applyNumberFormat="1" applyFont="1" applyFill="1" applyBorder="1" applyAlignment="1">
      <alignment horizontal="center"/>
    </xf>
    <xf numFmtId="41" fontId="2" fillId="3" borderId="0" xfId="0" applyNumberFormat="1" applyFont="1" applyFill="1" applyAlignment="1">
      <alignment horizontal="center"/>
    </xf>
    <xf numFmtId="41" fontId="2" fillId="3" borderId="0" xfId="0" applyNumberFormat="1" applyFont="1" applyFill="1"/>
    <xf numFmtId="166" fontId="12" fillId="5" borderId="112" xfId="1" quotePrefix="1" applyNumberFormat="1" applyFont="1" applyFill="1" applyBorder="1" applyAlignment="1">
      <alignment horizontal="center" vertical="center" wrapText="1"/>
    </xf>
    <xf numFmtId="166" fontId="2" fillId="5" borderId="118" xfId="1" quotePrefix="1" applyNumberFormat="1" applyFont="1" applyFill="1" applyBorder="1" applyAlignment="1">
      <alignment horizontal="center" vertical="center"/>
    </xf>
    <xf numFmtId="14" fontId="2" fillId="0" borderId="118" xfId="0" applyNumberFormat="1" applyFont="1" applyBorder="1" applyAlignment="1">
      <alignment horizontal="center" vertical="center"/>
    </xf>
    <xf numFmtId="0" fontId="2" fillId="0" borderId="112" xfId="0" applyFont="1" applyBorder="1" applyAlignment="1">
      <alignment horizontal="center" vertical="center"/>
    </xf>
    <xf numFmtId="0" fontId="2" fillId="0" borderId="144" xfId="0" applyFont="1" applyBorder="1" applyAlignment="1">
      <alignment horizontal="center" vertical="center"/>
    </xf>
    <xf numFmtId="0" fontId="2" fillId="0" borderId="118" xfId="0" applyFont="1" applyBorder="1" applyAlignment="1">
      <alignment horizontal="center" vertical="center"/>
    </xf>
    <xf numFmtId="166" fontId="14" fillId="2" borderId="1" xfId="1" applyNumberFormat="1" applyFont="1" applyFill="1" applyBorder="1" applyAlignment="1">
      <alignment horizontal="center" vertical="center"/>
    </xf>
    <xf numFmtId="170" fontId="14" fillId="2" borderId="1" xfId="1" applyNumberFormat="1" applyFont="1" applyFill="1" applyBorder="1" applyAlignment="1">
      <alignment horizontal="center" vertical="center"/>
    </xf>
    <xf numFmtId="166" fontId="14" fillId="12" borderId="107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170" fontId="14" fillId="70" borderId="24" xfId="1" applyNumberFormat="1" applyFont="1" applyFill="1" applyBorder="1" applyAlignment="1">
      <alignment horizontal="center" vertical="center"/>
    </xf>
    <xf numFmtId="170" fontId="14" fillId="70" borderId="1" xfId="1" applyNumberFormat="1" applyFont="1" applyFill="1" applyBorder="1" applyAlignment="1">
      <alignment horizontal="center" vertical="center"/>
    </xf>
    <xf numFmtId="166" fontId="31" fillId="15" borderId="24" xfId="1" applyNumberFormat="1" applyFont="1" applyFill="1" applyBorder="1" applyAlignment="1">
      <alignment horizontal="center" vertical="center"/>
    </xf>
    <xf numFmtId="2" fontId="2" fillId="0" borderId="112" xfId="2" quotePrefix="1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wrapText="1"/>
    </xf>
    <xf numFmtId="3" fontId="2" fillId="0" borderId="107" xfId="2" quotePrefix="1" applyNumberFormat="1" applyFont="1" applyBorder="1" applyAlignment="1">
      <alignment horizontal="right"/>
    </xf>
    <xf numFmtId="2" fontId="19" fillId="0" borderId="1" xfId="1" quotePrefix="1" applyNumberFormat="1" applyFont="1" applyFill="1" applyBorder="1" applyAlignment="1">
      <alignment horizontal="center" vertical="center" wrapText="1"/>
    </xf>
    <xf numFmtId="166" fontId="5" fillId="0" borderId="107" xfId="1" quotePrefix="1" applyNumberFormat="1" applyFont="1" applyFill="1" applyBorder="1" applyAlignment="1">
      <alignment horizontal="center" wrapText="1"/>
    </xf>
    <xf numFmtId="166" fontId="2" fillId="0" borderId="7" xfId="1" quotePrefix="1" applyNumberFormat="1" applyFont="1" applyFill="1" applyBorder="1" applyAlignment="1">
      <alignment horizontal="center" wrapText="1"/>
    </xf>
    <xf numFmtId="166" fontId="12" fillId="0" borderId="120" xfId="1" quotePrefix="1" applyNumberFormat="1" applyFont="1" applyFill="1" applyBorder="1" applyAlignment="1">
      <alignment horizontal="center" vertical="center"/>
    </xf>
    <xf numFmtId="166" fontId="12" fillId="0" borderId="83" xfId="1" quotePrefix="1" applyNumberFormat="1" applyFont="1" applyFill="1" applyBorder="1" applyAlignment="1">
      <alignment horizontal="center" vertical="center"/>
    </xf>
    <xf numFmtId="49" fontId="56" fillId="0" borderId="0" xfId="0" applyNumberFormat="1" applyFont="1" applyAlignment="1">
      <alignment vertical="top"/>
    </xf>
    <xf numFmtId="0" fontId="3" fillId="3" borderId="1" xfId="0" applyFont="1" applyFill="1" applyBorder="1" applyAlignment="1">
      <alignment horizontal="center" vertical="center"/>
    </xf>
    <xf numFmtId="170" fontId="14" fillId="3" borderId="1" xfId="1" applyNumberFormat="1" applyFont="1" applyFill="1" applyBorder="1" applyAlignment="1">
      <alignment horizontal="left" vertical="center" indent="1"/>
    </xf>
    <xf numFmtId="166" fontId="2" fillId="0" borderId="125" xfId="1" quotePrefix="1" applyNumberFormat="1" applyFont="1" applyFill="1" applyBorder="1" applyAlignment="1">
      <alignment horizontal="center" vertical="center" wrapText="1"/>
    </xf>
    <xf numFmtId="166" fontId="2" fillId="0" borderId="7" xfId="1" applyNumberFormat="1" applyFont="1" applyFill="1" applyBorder="1" applyAlignment="1">
      <alignment horizontal="center" vertical="center" wrapText="1"/>
    </xf>
    <xf numFmtId="49" fontId="12" fillId="5" borderId="113" xfId="1" quotePrefix="1" applyNumberFormat="1" applyFont="1" applyFill="1" applyBorder="1" applyAlignment="1">
      <alignment horizontal="center" wrapText="1"/>
    </xf>
    <xf numFmtId="3" fontId="2" fillId="2" borderId="111" xfId="0" applyNumberFormat="1" applyFont="1" applyFill="1" applyBorder="1" applyAlignment="1">
      <alignment vertical="center"/>
    </xf>
    <xf numFmtId="3" fontId="2" fillId="2" borderId="122" xfId="0" applyNumberFormat="1" applyFont="1" applyFill="1" applyBorder="1" applyAlignment="1">
      <alignment vertical="center"/>
    </xf>
    <xf numFmtId="166" fontId="12" fillId="5" borderId="119" xfId="1" quotePrefix="1" applyNumberFormat="1" applyFont="1" applyFill="1" applyBorder="1" applyAlignment="1">
      <alignment horizontal="center" vertical="center"/>
    </xf>
    <xf numFmtId="175" fontId="2" fillId="3" borderId="107" xfId="0" quotePrefix="1" applyNumberFormat="1" applyFont="1" applyFill="1" applyBorder="1" applyAlignment="1">
      <alignment horizontal="center"/>
    </xf>
    <xf numFmtId="166" fontId="2" fillId="0" borderId="122" xfId="1" quotePrefix="1" applyNumberFormat="1" applyFont="1" applyFill="1" applyBorder="1" applyAlignment="1">
      <alignment horizontal="center" wrapText="1"/>
    </xf>
    <xf numFmtId="170" fontId="14" fillId="10" borderId="73" xfId="1" applyNumberFormat="1" applyFont="1" applyFill="1" applyBorder="1" applyAlignment="1">
      <alignment horizontal="right" vertical="center"/>
    </xf>
    <xf numFmtId="49" fontId="3" fillId="3" borderId="108" xfId="2" quotePrefix="1" applyNumberFormat="1" applyFont="1" applyFill="1" applyBorder="1" applyAlignment="1">
      <alignment horizontal="center"/>
    </xf>
    <xf numFmtId="2" fontId="5" fillId="0" borderId="108" xfId="2" quotePrefix="1" applyNumberFormat="1" applyFont="1" applyBorder="1" applyAlignment="1">
      <alignment horizontal="center"/>
    </xf>
    <xf numFmtId="166" fontId="12" fillId="0" borderId="121" xfId="1" quotePrefix="1" applyNumberFormat="1" applyFont="1" applyFill="1" applyBorder="1" applyAlignment="1">
      <alignment horizontal="center" vertical="center"/>
    </xf>
    <xf numFmtId="170" fontId="21" fillId="0" borderId="73" xfId="1" applyNumberFormat="1" applyFont="1" applyFill="1" applyBorder="1" applyAlignment="1">
      <alignment horizontal="right"/>
    </xf>
    <xf numFmtId="0" fontId="2" fillId="3" borderId="75" xfId="0" applyFont="1" applyFill="1" applyBorder="1" applyAlignment="1">
      <alignment horizontal="center" vertical="center"/>
    </xf>
    <xf numFmtId="0" fontId="2" fillId="3" borderId="75" xfId="0" applyFont="1" applyFill="1" applyBorder="1" applyAlignment="1">
      <alignment vertical="center"/>
    </xf>
    <xf numFmtId="166" fontId="14" fillId="3" borderId="75" xfId="1" applyNumberFormat="1" applyFont="1" applyFill="1" applyBorder="1" applyAlignment="1">
      <alignment vertical="center"/>
    </xf>
    <xf numFmtId="166" fontId="2" fillId="5" borderId="107" xfId="1" quotePrefix="1" applyNumberFormat="1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10" fillId="0" borderId="107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4" fontId="164" fillId="0" borderId="108" xfId="0" applyNumberFormat="1" applyFont="1" applyBorder="1" applyAlignment="1">
      <alignment horizontal="center"/>
    </xf>
    <xf numFmtId="14" fontId="2" fillId="0" borderId="108" xfId="0" quotePrefix="1" applyNumberFormat="1" applyFont="1" applyBorder="1" applyAlignment="1">
      <alignment horizontal="center"/>
    </xf>
    <xf numFmtId="164" fontId="136" fillId="2" borderId="108" xfId="0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vertical="center"/>
    </xf>
    <xf numFmtId="1" fontId="12" fillId="5" borderId="20" xfId="1" quotePrefix="1" applyNumberFormat="1" applyFont="1" applyFill="1" applyBorder="1" applyAlignment="1">
      <alignment horizontal="center" vertical="center"/>
    </xf>
    <xf numFmtId="166" fontId="14" fillId="2" borderId="108" xfId="1" applyNumberFormat="1" applyFont="1" applyFill="1" applyBorder="1" applyAlignment="1">
      <alignment vertical="center"/>
    </xf>
    <xf numFmtId="170" fontId="14" fillId="2" borderId="108" xfId="1" applyNumberFormat="1" applyFont="1" applyFill="1" applyBorder="1" applyAlignment="1">
      <alignment vertical="center"/>
    </xf>
    <xf numFmtId="166" fontId="14" fillId="12" borderId="108" xfId="1" applyNumberFormat="1" applyFont="1" applyFill="1" applyBorder="1" applyAlignment="1">
      <alignment vertical="center"/>
    </xf>
    <xf numFmtId="166" fontId="14" fillId="13" borderId="34" xfId="1" applyNumberFormat="1" applyFont="1" applyFill="1" applyBorder="1" applyAlignment="1">
      <alignment vertical="center"/>
    </xf>
    <xf numFmtId="0" fontId="3" fillId="2" borderId="108" xfId="0" applyFont="1" applyFill="1" applyBorder="1" applyAlignment="1">
      <alignment horizontal="center" vertical="center"/>
    </xf>
    <xf numFmtId="170" fontId="14" fillId="70" borderId="108" xfId="1" applyNumberFormat="1" applyFont="1" applyFill="1" applyBorder="1" applyAlignment="1">
      <alignment horizontal="left" vertical="center" indent="1"/>
    </xf>
    <xf numFmtId="0" fontId="2" fillId="3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vertical="center"/>
    </xf>
    <xf numFmtId="166" fontId="14" fillId="3" borderId="24" xfId="1" applyNumberFormat="1" applyFont="1" applyFill="1" applyBorder="1" applyAlignment="1">
      <alignment horizontal="left" vertical="center" indent="1"/>
    </xf>
    <xf numFmtId="170" fontId="14" fillId="3" borderId="24" xfId="1" applyNumberFormat="1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166" fontId="2" fillId="5" borderId="95" xfId="1" quotePrefix="1" applyNumberFormat="1" applyFont="1" applyFill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/>
    </xf>
    <xf numFmtId="3" fontId="2" fillId="2" borderId="95" xfId="0" applyNumberFormat="1" applyFont="1" applyFill="1" applyBorder="1" applyAlignment="1">
      <alignment horizontal="center" vertical="center"/>
    </xf>
    <xf numFmtId="2" fontId="2" fillId="0" borderId="107" xfId="2" quotePrefix="1" applyNumberFormat="1" applyFont="1" applyBorder="1" applyAlignment="1">
      <alignment horizontal="center" vertical="center"/>
    </xf>
    <xf numFmtId="49" fontId="2" fillId="0" borderId="131" xfId="2" quotePrefix="1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 vertical="center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0" fontId="3" fillId="0" borderId="111" xfId="0" applyFont="1" applyBorder="1" applyAlignment="1">
      <alignment horizontal="center" vertical="center"/>
    </xf>
    <xf numFmtId="49" fontId="5" fillId="0" borderId="111" xfId="2" quotePrefix="1" applyNumberFormat="1" applyFont="1" applyBorder="1" applyAlignment="1">
      <alignment horizontal="center" vertical="center"/>
    </xf>
    <xf numFmtId="0" fontId="2" fillId="0" borderId="111" xfId="0" applyFont="1" applyBorder="1" applyAlignment="1">
      <alignment horizontal="center" vertical="center" wrapText="1"/>
    </xf>
    <xf numFmtId="3" fontId="2" fillId="2" borderId="112" xfId="0" applyNumberFormat="1" applyFont="1" applyFill="1" applyBorder="1" applyAlignment="1">
      <alignment horizontal="center" vertical="center"/>
    </xf>
    <xf numFmtId="1" fontId="12" fillId="5" borderId="112" xfId="1" quotePrefix="1" applyNumberFormat="1" applyFont="1" applyFill="1" applyBorder="1" applyAlignment="1">
      <alignment horizontal="center" vertical="center"/>
    </xf>
    <xf numFmtId="3" fontId="2" fillId="2" borderId="125" xfId="0" applyNumberFormat="1" applyFont="1" applyFill="1" applyBorder="1" applyAlignment="1">
      <alignment horizontal="center" vertical="center"/>
    </xf>
    <xf numFmtId="1" fontId="2" fillId="0" borderId="125" xfId="2" quotePrefix="1" applyNumberFormat="1" applyFont="1" applyBorder="1" applyAlignment="1">
      <alignment horizontal="center" vertical="center"/>
    </xf>
    <xf numFmtId="181" fontId="12" fillId="5" borderId="10" xfId="1" quotePrefix="1" applyNumberFormat="1" applyFont="1" applyFill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right"/>
    </xf>
    <xf numFmtId="49" fontId="5" fillId="0" borderId="118" xfId="2" quotePrefix="1" applyNumberFormat="1" applyFont="1" applyBorder="1" applyAlignment="1">
      <alignment horizontal="center" vertical="center"/>
    </xf>
    <xf numFmtId="43" fontId="12" fillId="5" borderId="107" xfId="1" quotePrefix="1" applyFont="1" applyFill="1" applyBorder="1" applyAlignment="1">
      <alignment horizontal="center"/>
    </xf>
    <xf numFmtId="2" fontId="2" fillId="0" borderId="107" xfId="0" quotePrefix="1" applyNumberFormat="1" applyFont="1" applyBorder="1" applyAlignment="1">
      <alignment horizontal="center"/>
    </xf>
    <xf numFmtId="1" fontId="2" fillId="0" borderId="107" xfId="0" quotePrefix="1" applyNumberFormat="1" applyFont="1" applyBorder="1" applyAlignment="1">
      <alignment horizontal="center"/>
    </xf>
    <xf numFmtId="166" fontId="12" fillId="5" borderId="107" xfId="1" quotePrefix="1" applyNumberFormat="1" applyFont="1" applyFill="1" applyBorder="1" applyAlignment="1"/>
    <xf numFmtId="186" fontId="2" fillId="5" borderId="7" xfId="1" quotePrefix="1" applyNumberFormat="1" applyFont="1" applyFill="1" applyBorder="1" applyAlignment="1">
      <alignment horizontal="center" vertical="center" wrapText="1" shrinkToFit="1"/>
    </xf>
    <xf numFmtId="22" fontId="2" fillId="0" borderId="111" xfId="0" applyNumberFormat="1" applyFont="1" applyBorder="1" applyAlignment="1">
      <alignment horizontal="center" vertical="center"/>
    </xf>
    <xf numFmtId="3" fontId="2" fillId="2" borderId="34" xfId="0" applyNumberFormat="1" applyFont="1" applyFill="1" applyBorder="1" applyAlignment="1">
      <alignment horizontal="center" vertical="center"/>
    </xf>
    <xf numFmtId="166" fontId="2" fillId="0" borderId="24" xfId="1" applyNumberFormat="1" applyFont="1" applyFill="1" applyBorder="1" applyAlignment="1">
      <alignment horizontal="center" wrapText="1"/>
    </xf>
    <xf numFmtId="0" fontId="12" fillId="0" borderId="24" xfId="3" applyFont="1" applyBorder="1" applyAlignment="1">
      <alignment horizontal="center" wrapText="1"/>
    </xf>
    <xf numFmtId="3" fontId="2" fillId="0" borderId="24" xfId="0" applyNumberFormat="1" applyFont="1" applyBorder="1" applyAlignment="1">
      <alignment horizontal="center"/>
    </xf>
    <xf numFmtId="49" fontId="2" fillId="3" borderId="24" xfId="2" quotePrefix="1" applyNumberFormat="1" applyFont="1" applyFill="1" applyBorder="1" applyAlignment="1">
      <alignment horizontal="center"/>
    </xf>
    <xf numFmtId="0" fontId="12" fillId="0" borderId="24" xfId="3" quotePrefix="1" applyFont="1" applyBorder="1" applyAlignment="1">
      <alignment horizontal="center" wrapText="1"/>
    </xf>
    <xf numFmtId="166" fontId="2" fillId="0" borderId="24" xfId="1" applyNumberFormat="1" applyFont="1" applyFill="1" applyBorder="1" applyAlignment="1">
      <alignment horizontal="right"/>
    </xf>
    <xf numFmtId="0" fontId="2" fillId="0" borderId="24" xfId="0" quotePrefix="1" applyFont="1" applyBorder="1" applyAlignment="1">
      <alignment horizontal="center" wrapText="1"/>
    </xf>
    <xf numFmtId="166" fontId="14" fillId="12" borderId="24" xfId="1" applyNumberFormat="1" applyFont="1" applyFill="1" applyBorder="1" applyAlignment="1"/>
    <xf numFmtId="1" fontId="14" fillId="0" borderId="24" xfId="1" applyNumberFormat="1" applyFont="1" applyFill="1" applyBorder="1" applyAlignment="1"/>
    <xf numFmtId="43" fontId="2" fillId="0" borderId="107" xfId="0" applyNumberFormat="1" applyFont="1" applyBorder="1" applyAlignment="1">
      <alignment horizontal="left"/>
    </xf>
    <xf numFmtId="0" fontId="2" fillId="0" borderId="107" xfId="0" applyFont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170" fontId="21" fillId="0" borderId="108" xfId="1" applyNumberFormat="1" applyFont="1" applyFill="1" applyBorder="1" applyAlignment="1">
      <alignment horizontal="left" vertical="center" indent="1"/>
    </xf>
    <xf numFmtId="14" fontId="2" fillId="0" borderId="7" xfId="1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vertical="center" wrapText="1"/>
    </xf>
    <xf numFmtId="166" fontId="12" fillId="5" borderId="111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0" fontId="29" fillId="2" borderId="107" xfId="0" applyFont="1" applyFill="1" applyBorder="1" applyAlignment="1">
      <alignment horizontal="center" vertical="center" wrapText="1"/>
    </xf>
    <xf numFmtId="0" fontId="23" fillId="8" borderId="107" xfId="0" applyFont="1" applyFill="1" applyBorder="1" applyAlignment="1">
      <alignment horizontal="center" vertical="center"/>
    </xf>
    <xf numFmtId="49" fontId="34" fillId="2" borderId="107" xfId="0" applyNumberFormat="1" applyFont="1" applyFill="1" applyBorder="1" applyAlignment="1" applyProtection="1">
      <alignment horizontal="center" vertical="center" shrinkToFit="1"/>
      <protection locked="0"/>
    </xf>
    <xf numFmtId="0" fontId="21" fillId="2" borderId="107" xfId="0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/>
    </xf>
    <xf numFmtId="172" fontId="21" fillId="2" borderId="107" xfId="1" applyNumberFormat="1" applyFont="1" applyFill="1" applyBorder="1" applyAlignment="1">
      <alignment horizontal="center" vertical="center" wrapText="1"/>
    </xf>
    <xf numFmtId="172" fontId="35" fillId="2" borderId="107" xfId="1" applyNumberFormat="1" applyFont="1" applyFill="1" applyBorder="1" applyAlignment="1">
      <alignment horizontal="center" vertical="center"/>
    </xf>
    <xf numFmtId="172" fontId="14" fillId="2" borderId="107" xfId="1" applyNumberFormat="1" applyFont="1" applyFill="1" applyBorder="1" applyAlignment="1">
      <alignment horizontal="center" vertical="center"/>
    </xf>
    <xf numFmtId="0" fontId="24" fillId="3" borderId="107" xfId="0" applyFont="1" applyFill="1" applyBorder="1" applyAlignment="1">
      <alignment horizontal="center" vertical="center"/>
    </xf>
    <xf numFmtId="0" fontId="23" fillId="3" borderId="107" xfId="0" applyFont="1" applyFill="1" applyBorder="1" applyAlignment="1">
      <alignment horizontal="center" vertical="center"/>
    </xf>
    <xf numFmtId="0" fontId="21" fillId="2" borderId="130" xfId="0" applyFont="1" applyFill="1" applyBorder="1" applyAlignment="1">
      <alignment horizontal="center" vertical="center"/>
    </xf>
    <xf numFmtId="0" fontId="21" fillId="2" borderId="108" xfId="0" applyFont="1" applyFill="1" applyBorder="1" applyAlignment="1">
      <alignment horizontal="center" vertical="center"/>
    </xf>
    <xf numFmtId="169" fontId="20" fillId="8" borderId="107" xfId="0" applyNumberFormat="1" applyFont="1" applyFill="1" applyBorder="1" applyAlignment="1">
      <alignment horizontal="center" vertical="center" wrapText="1"/>
    </xf>
    <xf numFmtId="49" fontId="19" fillId="2" borderId="107" xfId="0" quotePrefix="1" applyNumberFormat="1" applyFont="1" applyFill="1" applyBorder="1" applyAlignment="1" applyProtection="1">
      <alignment horizontal="center" vertical="center" wrapText="1"/>
      <protection locked="0"/>
    </xf>
    <xf numFmtId="168" fontId="21" fillId="2" borderId="107" xfId="0" applyNumberFormat="1" applyFont="1" applyFill="1" applyBorder="1" applyAlignment="1">
      <alignment horizontal="center" vertical="center"/>
    </xf>
    <xf numFmtId="168" fontId="21" fillId="0" borderId="107" xfId="0" applyNumberFormat="1" applyFont="1" applyBorder="1" applyAlignment="1">
      <alignment horizontal="center" vertical="center"/>
    </xf>
    <xf numFmtId="0" fontId="51" fillId="65" borderId="107" xfId="0" applyFont="1" applyFill="1" applyBorder="1" applyAlignment="1">
      <alignment vertical="center"/>
    </xf>
    <xf numFmtId="0" fontId="21" fillId="2" borderId="107" xfId="0" quotePrefix="1" applyFont="1" applyFill="1" applyBorder="1" applyAlignment="1">
      <alignment vertical="center"/>
    </xf>
    <xf numFmtId="168" fontId="21" fillId="2" borderId="108" xfId="0" applyNumberFormat="1" applyFont="1" applyFill="1" applyBorder="1" applyAlignment="1">
      <alignment horizontal="left" vertical="center"/>
    </xf>
    <xf numFmtId="168" fontId="21" fillId="2" borderId="107" xfId="0" quotePrefix="1" applyNumberFormat="1" applyFont="1" applyFill="1" applyBorder="1" applyAlignment="1">
      <alignment horizontal="center" vertical="center"/>
    </xf>
    <xf numFmtId="0" fontId="21" fillId="2" borderId="107" xfId="0" applyFont="1" applyFill="1" applyBorder="1" applyAlignment="1">
      <alignment horizontal="center" vertical="center" wrapText="1"/>
    </xf>
    <xf numFmtId="168" fontId="21" fillId="2" borderId="107" xfId="0" applyNumberFormat="1" applyFont="1" applyFill="1" applyBorder="1" applyAlignment="1">
      <alignment horizontal="center" vertical="center" wrapText="1"/>
    </xf>
    <xf numFmtId="168" fontId="19" fillId="2" borderId="107" xfId="0" applyNumberFormat="1" applyFont="1" applyFill="1" applyBorder="1" applyAlignment="1">
      <alignment horizontal="center" vertical="center" wrapText="1"/>
    </xf>
    <xf numFmtId="0" fontId="19" fillId="65" borderId="0" xfId="0" applyFont="1" applyFill="1" applyAlignment="1">
      <alignment horizontal="center" vertical="center" wrapText="1"/>
    </xf>
    <xf numFmtId="0" fontId="51" fillId="65" borderId="130" xfId="0" applyFont="1" applyFill="1" applyBorder="1" applyAlignment="1">
      <alignment horizontal="center" vertical="center" wrapText="1"/>
    </xf>
    <xf numFmtId="0" fontId="19" fillId="65" borderId="130" xfId="0" applyFont="1" applyFill="1" applyBorder="1" applyAlignment="1">
      <alignment horizontal="center" vertical="center" wrapText="1"/>
    </xf>
    <xf numFmtId="169" fontId="19" fillId="2" borderId="107" xfId="0" applyNumberFormat="1" applyFont="1" applyFill="1" applyBorder="1" applyAlignment="1">
      <alignment horizontal="center" vertical="center" wrapText="1"/>
    </xf>
    <xf numFmtId="169" fontId="20" fillId="2" borderId="107" xfId="0" applyNumberFormat="1" applyFont="1" applyFill="1" applyBorder="1" applyAlignment="1">
      <alignment horizontal="center" vertical="center"/>
    </xf>
    <xf numFmtId="169" fontId="19" fillId="2" borderId="107" xfId="0" applyNumberFormat="1" applyFont="1" applyFill="1" applyBorder="1" applyAlignment="1">
      <alignment horizontal="center" vertical="center"/>
    </xf>
    <xf numFmtId="0" fontId="16" fillId="2" borderId="107" xfId="0" applyFont="1" applyFill="1" applyBorder="1" applyAlignment="1">
      <alignment horizontal="center" vertical="center"/>
    </xf>
    <xf numFmtId="0" fontId="2" fillId="0" borderId="107" xfId="2" quotePrefix="1" applyFont="1" applyBorder="1" applyAlignment="1">
      <alignment vertical="center"/>
    </xf>
    <xf numFmtId="0" fontId="2" fillId="0" borderId="107" xfId="2" quotePrefix="1" applyFont="1" applyBorder="1" applyAlignment="1">
      <alignment horizontal="center" vertical="center"/>
    </xf>
    <xf numFmtId="166" fontId="2" fillId="2" borderId="107" xfId="1" applyNumberFormat="1" applyFont="1" applyFill="1" applyBorder="1" applyAlignment="1">
      <alignment horizontal="center" vertical="center"/>
    </xf>
    <xf numFmtId="166" fontId="3" fillId="2" borderId="107" xfId="1" applyNumberFormat="1" applyFont="1" applyFill="1" applyBorder="1" applyAlignment="1">
      <alignment horizontal="right" vertical="center"/>
    </xf>
    <xf numFmtId="0" fontId="14" fillId="0" borderId="107" xfId="7" applyFont="1" applyBorder="1" applyAlignment="1">
      <alignment horizontal="center" vertical="center" wrapText="1"/>
    </xf>
    <xf numFmtId="166" fontId="14" fillId="3" borderId="108" xfId="1" applyNumberFormat="1" applyFont="1" applyFill="1" applyBorder="1" applyAlignment="1">
      <alignment horizontal="left" vertical="center" indent="1"/>
    </xf>
    <xf numFmtId="166" fontId="14" fillId="3" borderId="108" xfId="1" applyNumberFormat="1" applyFont="1" applyFill="1" applyBorder="1" applyAlignment="1">
      <alignment vertical="center"/>
    </xf>
    <xf numFmtId="170" fontId="14" fillId="3" borderId="108" xfId="1" applyNumberFormat="1" applyFont="1" applyFill="1" applyBorder="1" applyAlignment="1">
      <alignment vertical="center"/>
    </xf>
    <xf numFmtId="0" fontId="3" fillId="3" borderId="108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horizontal="center" wrapText="1"/>
    </xf>
    <xf numFmtId="0" fontId="2" fillId="3" borderId="131" xfId="0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wrapText="1"/>
    </xf>
    <xf numFmtId="49" fontId="2" fillId="2" borderId="61" xfId="2" quotePrefix="1" applyNumberFormat="1" applyFont="1" applyFill="1" applyBorder="1" applyAlignment="1">
      <alignment horizontal="center" wrapText="1"/>
    </xf>
    <xf numFmtId="0" fontId="2" fillId="3" borderId="130" xfId="0" applyFont="1" applyFill="1" applyBorder="1"/>
    <xf numFmtId="166" fontId="12" fillId="5" borderId="53" xfId="1" quotePrefix="1" applyNumberFormat="1" applyFont="1" applyFill="1" applyBorder="1" applyAlignment="1">
      <alignment horizontal="center" wrapText="1"/>
    </xf>
    <xf numFmtId="14" fontId="2" fillId="2" borderId="130" xfId="1" applyNumberFormat="1" applyFont="1" applyFill="1" applyBorder="1" applyAlignment="1">
      <alignment horizontal="right" wrapText="1"/>
    </xf>
    <xf numFmtId="166" fontId="3" fillId="2" borderId="130" xfId="1" applyNumberFormat="1" applyFont="1" applyFill="1" applyBorder="1" applyAlignment="1">
      <alignment horizontal="right"/>
    </xf>
    <xf numFmtId="166" fontId="2" fillId="2" borderId="55" xfId="1" quotePrefix="1" applyNumberFormat="1" applyFont="1" applyFill="1" applyBorder="1" applyAlignment="1">
      <alignment horizontal="right"/>
    </xf>
    <xf numFmtId="166" fontId="2" fillId="2" borderId="130" xfId="1" applyNumberFormat="1" applyFont="1" applyFill="1" applyBorder="1" applyAlignment="1">
      <alignment horizontal="right"/>
    </xf>
    <xf numFmtId="166" fontId="2" fillId="2" borderId="130" xfId="1" quotePrefix="1" applyNumberFormat="1" applyFont="1" applyFill="1" applyBorder="1" applyAlignment="1">
      <alignment horizontal="right"/>
    </xf>
    <xf numFmtId="166" fontId="2" fillId="0" borderId="32" xfId="1" quotePrefix="1" applyNumberFormat="1" applyFont="1" applyFill="1" applyBorder="1" applyAlignment="1">
      <alignment horizontal="center" wrapText="1"/>
    </xf>
    <xf numFmtId="166" fontId="12" fillId="5" borderId="53" xfId="1" quotePrefix="1" applyNumberFormat="1" applyFont="1" applyFill="1" applyBorder="1" applyAlignment="1">
      <alignment horizontal="center"/>
    </xf>
    <xf numFmtId="49" fontId="56" fillId="0" borderId="130" xfId="0" applyNumberFormat="1" applyFont="1" applyBorder="1" applyAlignment="1">
      <alignment vertical="top" wrapText="1"/>
    </xf>
    <xf numFmtId="49" fontId="12" fillId="5" borderId="61" xfId="1" quotePrefix="1" applyNumberFormat="1" applyFont="1" applyFill="1" applyBorder="1" applyAlignment="1">
      <alignment horizontal="center" wrapText="1"/>
    </xf>
    <xf numFmtId="164" fontId="2" fillId="0" borderId="43" xfId="0" applyNumberFormat="1" applyFont="1" applyBorder="1" applyAlignment="1">
      <alignment horizontal="center"/>
    </xf>
    <xf numFmtId="164" fontId="2" fillId="0" borderId="20" xfId="0" applyNumberFormat="1" applyFont="1" applyBorder="1" applyAlignment="1">
      <alignment horizontal="center"/>
    </xf>
    <xf numFmtId="164" fontId="2" fillId="0" borderId="145" xfId="0" applyNumberFormat="1" applyFont="1" applyBorder="1" applyAlignment="1">
      <alignment horizontal="center"/>
    </xf>
    <xf numFmtId="0" fontId="2" fillId="3" borderId="146" xfId="0" applyFont="1" applyFill="1" applyBorder="1" applyAlignment="1">
      <alignment horizontal="center"/>
    </xf>
    <xf numFmtId="166" fontId="12" fillId="5" borderId="147" xfId="1" quotePrefix="1" applyNumberFormat="1" applyFont="1" applyFill="1" applyBorder="1" applyAlignment="1">
      <alignment horizontal="center"/>
    </xf>
    <xf numFmtId="49" fontId="2" fillId="2" borderId="147" xfId="2" quotePrefix="1" applyNumberFormat="1" applyFont="1" applyFill="1" applyBorder="1" applyAlignment="1">
      <alignment horizontal="center" wrapText="1"/>
    </xf>
    <xf numFmtId="49" fontId="2" fillId="2" borderId="146" xfId="2" quotePrefix="1" applyNumberFormat="1" applyFont="1" applyFill="1" applyBorder="1" applyAlignment="1">
      <alignment horizontal="center" wrapText="1"/>
    </xf>
    <xf numFmtId="49" fontId="2" fillId="2" borderId="148" xfId="2" quotePrefix="1" applyNumberFormat="1" applyFont="1" applyFill="1" applyBorder="1" applyAlignment="1">
      <alignment horizontal="center" wrapText="1"/>
    </xf>
    <xf numFmtId="49" fontId="2" fillId="0" borderId="107" xfId="0" applyNumberFormat="1" applyFont="1" applyBorder="1" applyAlignment="1">
      <alignment horizontal="center" wrapText="1"/>
    </xf>
    <xf numFmtId="164" fontId="2" fillId="0" borderId="107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0" fontId="12" fillId="0" borderId="107" xfId="3" applyFont="1" applyBorder="1" applyAlignment="1">
      <alignment horizontal="center" vertical="center" wrapText="1"/>
    </xf>
    <xf numFmtId="49" fontId="2" fillId="2" borderId="43" xfId="2" quotePrefix="1" applyNumberFormat="1" applyFont="1" applyFill="1" applyBorder="1" applyAlignment="1">
      <alignment wrapText="1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49" fontId="12" fillId="5" borderId="83" xfId="1" quotePrefix="1" applyNumberFormat="1" applyFont="1" applyFill="1" applyBorder="1" applyAlignment="1">
      <alignment horizontal="center" wrapText="1"/>
    </xf>
    <xf numFmtId="0" fontId="193" fillId="0" borderId="107" xfId="0" applyFont="1" applyBorder="1" applyAlignment="1">
      <alignment vertical="top" wrapText="1"/>
    </xf>
    <xf numFmtId="0" fontId="2" fillId="2" borderId="132" xfId="0" quotePrefix="1" applyFont="1" applyFill="1" applyBorder="1" applyAlignment="1">
      <alignment horizontal="left" wrapText="1"/>
    </xf>
    <xf numFmtId="166" fontId="12" fillId="5" borderId="39" xfId="1" quotePrefix="1" applyNumberFormat="1" applyFont="1" applyFill="1" applyBorder="1" applyAlignment="1">
      <alignment horizontal="right"/>
    </xf>
    <xf numFmtId="0" fontId="2" fillId="2" borderId="83" xfId="0" quotePrefix="1" applyFont="1" applyFill="1" applyBorder="1" applyAlignment="1">
      <alignment horizontal="center"/>
    </xf>
    <xf numFmtId="166" fontId="14" fillId="2" borderId="83" xfId="1" applyNumberFormat="1" applyFont="1" applyFill="1" applyBorder="1" applyAlignment="1"/>
    <xf numFmtId="49" fontId="5" fillId="70" borderId="83" xfId="0" applyNumberFormat="1" applyFont="1" applyFill="1" applyBorder="1" applyAlignment="1">
      <alignment horizontal="center"/>
    </xf>
    <xf numFmtId="0" fontId="3" fillId="2" borderId="83" xfId="0" applyFont="1" applyFill="1" applyBorder="1" applyAlignment="1">
      <alignment horizontal="center"/>
    </xf>
    <xf numFmtId="1" fontId="2" fillId="19" borderId="1" xfId="2" quotePrefix="1" applyNumberFormat="1" applyFont="1" applyFill="1" applyBorder="1" applyAlignment="1">
      <alignment horizontal="center"/>
    </xf>
    <xf numFmtId="166" fontId="2" fillId="5" borderId="83" xfId="1" applyNumberFormat="1" applyFont="1" applyFill="1" applyBorder="1" applyAlignment="1">
      <alignment horizontal="center"/>
    </xf>
    <xf numFmtId="164" fontId="2" fillId="0" borderId="83" xfId="0" applyNumberFormat="1" applyFont="1" applyBorder="1" applyAlignment="1">
      <alignment horizontal="center" wrapText="1"/>
    </xf>
    <xf numFmtId="41" fontId="2" fillId="0" borderId="149" xfId="0" applyNumberFormat="1" applyFont="1" applyBorder="1" applyAlignment="1">
      <alignment horizontal="center"/>
    </xf>
    <xf numFmtId="164" fontId="5" fillId="2" borderId="75" xfId="0" applyNumberFormat="1" applyFont="1" applyFill="1" applyBorder="1" applyAlignment="1">
      <alignment horizontal="center"/>
    </xf>
    <xf numFmtId="1" fontId="2" fillId="19" borderId="75" xfId="2" quotePrefix="1" applyNumberFormat="1" applyFont="1" applyFill="1" applyBorder="1" applyAlignment="1">
      <alignment horizontal="center"/>
    </xf>
    <xf numFmtId="1" fontId="2" fillId="0" borderId="75" xfId="2" quotePrefix="1" applyNumberFormat="1" applyFont="1" applyBorder="1" applyAlignment="1">
      <alignment horizontal="center"/>
    </xf>
    <xf numFmtId="166" fontId="12" fillId="5" borderId="0" xfId="1" quotePrefix="1" applyNumberFormat="1" applyFont="1" applyFill="1" applyBorder="1" applyAlignment="1">
      <alignment horizontal="center"/>
    </xf>
    <xf numFmtId="0" fontId="2" fillId="2" borderId="75" xfId="0" quotePrefix="1" applyFont="1" applyFill="1" applyBorder="1" applyAlignment="1">
      <alignment horizontal="center"/>
    </xf>
    <xf numFmtId="0" fontId="2" fillId="2" borderId="53" xfId="0" quotePrefix="1" applyFont="1" applyFill="1" applyBorder="1" applyAlignment="1">
      <alignment horizontal="left" wrapText="1"/>
    </xf>
    <xf numFmtId="166" fontId="14" fillId="2" borderId="75" xfId="1" applyNumberFormat="1" applyFont="1" applyFill="1" applyBorder="1" applyAlignment="1"/>
    <xf numFmtId="166" fontId="14" fillId="10" borderId="75" xfId="1" applyNumberFormat="1" applyFont="1" applyFill="1" applyBorder="1" applyAlignment="1"/>
    <xf numFmtId="170" fontId="14" fillId="2" borderId="75" xfId="1" applyNumberFormat="1" applyFont="1" applyFill="1" applyBorder="1" applyAlignment="1"/>
    <xf numFmtId="170" fontId="21" fillId="12" borderId="75" xfId="1" applyNumberFormat="1" applyFont="1" applyFill="1" applyBorder="1" applyAlignment="1">
      <alignment horizontal="right"/>
    </xf>
    <xf numFmtId="166" fontId="14" fillId="13" borderId="34" xfId="1" applyNumberFormat="1" applyFont="1" applyFill="1" applyBorder="1" applyAlignment="1"/>
    <xf numFmtId="170" fontId="14" fillId="70" borderId="75" xfId="1" applyNumberFormat="1" applyFont="1" applyFill="1" applyBorder="1" applyAlignment="1">
      <alignment horizontal="left"/>
    </xf>
    <xf numFmtId="166" fontId="31" fillId="8" borderId="34" xfId="1" applyNumberFormat="1" applyFont="1" applyFill="1" applyBorder="1" applyAlignment="1"/>
    <xf numFmtId="49" fontId="5" fillId="70" borderId="75" xfId="0" applyNumberFormat="1" applyFont="1" applyFill="1" applyBorder="1" applyAlignment="1">
      <alignment horizontal="center"/>
    </xf>
    <xf numFmtId="164" fontId="5" fillId="2" borderId="55" xfId="0" applyNumberFormat="1" applyFont="1" applyFill="1" applyBorder="1" applyAlignment="1">
      <alignment horizontal="center"/>
    </xf>
    <xf numFmtId="170" fontId="14" fillId="2" borderId="24" xfId="1" applyNumberFormat="1" applyFont="1" applyFill="1" applyBorder="1" applyAlignment="1"/>
    <xf numFmtId="49" fontId="5" fillId="70" borderId="24" xfId="0" applyNumberFormat="1" applyFont="1" applyFill="1" applyBorder="1" applyAlignment="1">
      <alignment horizontal="center"/>
    </xf>
    <xf numFmtId="164" fontId="5" fillId="2" borderId="83" xfId="0" applyNumberFormat="1" applyFont="1" applyFill="1" applyBorder="1" applyAlignment="1">
      <alignment horizontal="center"/>
    </xf>
    <xf numFmtId="1" fontId="2" fillId="19" borderId="83" xfId="2" quotePrefix="1" applyNumberFormat="1" applyFont="1" applyFill="1" applyBorder="1" applyAlignment="1">
      <alignment horizontal="center"/>
    </xf>
    <xf numFmtId="49" fontId="2" fillId="0" borderId="83" xfId="2" quotePrefix="1" applyNumberFormat="1" applyFont="1" applyBorder="1" applyAlignment="1">
      <alignment horizontal="center"/>
    </xf>
    <xf numFmtId="1" fontId="2" fillId="0" borderId="83" xfId="2" quotePrefix="1" applyNumberFormat="1" applyFont="1" applyBorder="1" applyAlignment="1">
      <alignment horizontal="center"/>
    </xf>
    <xf numFmtId="49" fontId="2" fillId="2" borderId="83" xfId="2" quotePrefix="1" applyNumberFormat="1" applyFont="1" applyFill="1" applyBorder="1" applyAlignment="1">
      <alignment horizontal="center" wrapText="1"/>
    </xf>
    <xf numFmtId="166" fontId="14" fillId="10" borderId="83" xfId="1" applyNumberFormat="1" applyFont="1" applyFill="1" applyBorder="1" applyAlignment="1"/>
    <xf numFmtId="170" fontId="21" fillId="12" borderId="83" xfId="1" applyNumberFormat="1" applyFont="1" applyFill="1" applyBorder="1" applyAlignment="1">
      <alignment horizontal="right"/>
    </xf>
    <xf numFmtId="166" fontId="14" fillId="13" borderId="83" xfId="1" applyNumberFormat="1" applyFont="1" applyFill="1" applyBorder="1" applyAlignment="1"/>
    <xf numFmtId="166" fontId="31" fillId="8" borderId="83" xfId="1" applyNumberFormat="1" applyFont="1" applyFill="1" applyBorder="1" applyAlignment="1"/>
    <xf numFmtId="0" fontId="2" fillId="2" borderId="83" xfId="0" quotePrefix="1" applyFont="1" applyFill="1" applyBorder="1" applyAlignment="1">
      <alignment horizontal="center" wrapText="1"/>
    </xf>
    <xf numFmtId="49" fontId="3" fillId="3" borderId="107" xfId="2" quotePrefix="1" applyNumberFormat="1" applyFont="1" applyFill="1" applyBorder="1"/>
    <xf numFmtId="0" fontId="2" fillId="0" borderId="111" xfId="0" applyFont="1" applyBorder="1" applyAlignment="1">
      <alignment vertical="center"/>
    </xf>
    <xf numFmtId="166" fontId="2" fillId="0" borderId="125" xfId="2" quotePrefix="1" applyNumberFormat="1" applyFont="1" applyBorder="1" applyAlignment="1">
      <alignment horizontal="center" vertical="center"/>
    </xf>
    <xf numFmtId="166" fontId="14" fillId="70" borderId="1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>
      <alignment vertical="center"/>
    </xf>
    <xf numFmtId="166" fontId="14" fillId="70" borderId="1" xfId="1" applyNumberFormat="1" applyFont="1" applyFill="1" applyBorder="1" applyAlignment="1"/>
    <xf numFmtId="166" fontId="21" fillId="70" borderId="1" xfId="1" applyNumberFormat="1" applyFont="1" applyFill="1" applyBorder="1" applyAlignment="1">
      <alignment vertical="center"/>
    </xf>
    <xf numFmtId="166" fontId="21" fillId="70" borderId="1" xfId="1" applyNumberFormat="1" applyFont="1" applyFill="1" applyBorder="1" applyAlignment="1"/>
    <xf numFmtId="49" fontId="56" fillId="0" borderId="0" xfId="5" applyNumberFormat="1" applyFont="1" applyAlignment="1">
      <alignment vertical="top"/>
    </xf>
    <xf numFmtId="0" fontId="2" fillId="2" borderId="107" xfId="0" quotePrefix="1" applyFont="1" applyFill="1" applyBorder="1" applyAlignment="1">
      <alignment horizontal="center" wrapText="1"/>
    </xf>
    <xf numFmtId="0" fontId="2" fillId="2" borderId="107" xfId="0" quotePrefix="1" applyFont="1" applyFill="1" applyBorder="1" applyAlignment="1">
      <alignment horizontal="center"/>
    </xf>
    <xf numFmtId="41" fontId="2" fillId="0" borderId="102" xfId="0" applyNumberFormat="1" applyFont="1" applyBorder="1" applyAlignment="1">
      <alignment horizontal="center"/>
    </xf>
    <xf numFmtId="41" fontId="2" fillId="0" borderId="103" xfId="0" applyNumberFormat="1" applyFont="1" applyBorder="1"/>
    <xf numFmtId="41" fontId="2" fillId="0" borderId="103" xfId="0" applyNumberFormat="1" applyFont="1" applyBorder="1" applyAlignment="1">
      <alignment horizontal="center"/>
    </xf>
    <xf numFmtId="49" fontId="194" fillId="0" borderId="107" xfId="0" applyNumberFormat="1" applyFont="1" applyBorder="1" applyAlignment="1">
      <alignment vertical="center"/>
    </xf>
    <xf numFmtId="0" fontId="3" fillId="0" borderId="108" xfId="0" applyFont="1" applyBorder="1" applyAlignment="1">
      <alignment horizontal="center" wrapText="1"/>
    </xf>
    <xf numFmtId="0" fontId="5" fillId="2" borderId="107" xfId="0" applyFont="1" applyFill="1" applyBorder="1" applyAlignment="1">
      <alignment horizontal="center" vertical="center"/>
    </xf>
    <xf numFmtId="0" fontId="3" fillId="0" borderId="107" xfId="0" applyFont="1" applyBorder="1" applyAlignment="1">
      <alignment horizontal="center" vertical="center" wrapText="1"/>
    </xf>
    <xf numFmtId="170" fontId="22" fillId="0" borderId="59" xfId="0" applyNumberFormat="1" applyFont="1" applyBorder="1" applyAlignment="1">
      <alignment horizontal="center" vertical="center"/>
    </xf>
    <xf numFmtId="170" fontId="22" fillId="0" borderId="59" xfId="0" applyNumberFormat="1" applyFont="1" applyBorder="1" applyAlignment="1">
      <alignment horizontal="center" vertical="center" wrapText="1"/>
    </xf>
    <xf numFmtId="170" fontId="21" fillId="0" borderId="59" xfId="0" applyNumberFormat="1" applyFont="1" applyBorder="1" applyAlignment="1">
      <alignment vertical="center"/>
    </xf>
    <xf numFmtId="166" fontId="2" fillId="0" borderId="24" xfId="1" applyNumberFormat="1" applyFont="1" applyFill="1" applyBorder="1" applyAlignment="1">
      <alignment horizontal="center"/>
    </xf>
    <xf numFmtId="11" fontId="2" fillId="2" borderId="107" xfId="0" quotePrefix="1" applyNumberFormat="1" applyFont="1" applyFill="1" applyBorder="1" applyAlignment="1">
      <alignment horizontal="center"/>
    </xf>
    <xf numFmtId="166" fontId="2" fillId="0" borderId="83" xfId="1" quotePrefix="1" applyNumberFormat="1" applyFont="1" applyFill="1" applyBorder="1" applyAlignment="1">
      <alignment horizontal="center" wrapText="1"/>
    </xf>
    <xf numFmtId="49" fontId="2" fillId="0" borderId="34" xfId="2" quotePrefix="1" applyNumberFormat="1" applyFont="1" applyBorder="1" applyAlignment="1">
      <alignment horizontal="center"/>
    </xf>
    <xf numFmtId="0" fontId="20" fillId="3" borderId="1" xfId="0" applyFont="1" applyFill="1" applyBorder="1" applyAlignment="1">
      <alignment horizontal="center" vertical="center" wrapText="1"/>
    </xf>
    <xf numFmtId="0" fontId="2" fillId="0" borderId="107" xfId="2" quotePrefix="1" applyFont="1" applyBorder="1" applyAlignment="1">
      <alignment horizontal="center" vertical="center" wrapText="1"/>
    </xf>
    <xf numFmtId="173" fontId="2" fillId="0" borderId="107" xfId="0" quotePrefix="1" applyNumberFormat="1" applyFont="1" applyBorder="1" applyAlignment="1">
      <alignment horizontal="center"/>
    </xf>
    <xf numFmtId="3" fontId="12" fillId="5" borderId="107" xfId="1" applyNumberFormat="1" applyFont="1" applyFill="1" applyBorder="1" applyAlignment="1">
      <alignment wrapText="1"/>
    </xf>
    <xf numFmtId="166" fontId="21" fillId="13" borderId="107" xfId="1" applyNumberFormat="1" applyFont="1" applyFill="1" applyBorder="1" applyAlignment="1">
      <alignment vertical="center"/>
    </xf>
    <xf numFmtId="170" fontId="21" fillId="16" borderId="107" xfId="0" applyNumberFormat="1" applyFont="1" applyFill="1" applyBorder="1" applyAlignment="1">
      <alignment vertical="center"/>
    </xf>
    <xf numFmtId="186" fontId="2" fillId="5" borderId="107" xfId="1" quotePrefix="1" applyNumberFormat="1" applyFont="1" applyFill="1" applyBorder="1" applyAlignment="1">
      <alignment horizontal="right" shrinkToFit="1"/>
    </xf>
    <xf numFmtId="164" fontId="3" fillId="0" borderId="108" xfId="0" applyNumberFormat="1" applyFont="1" applyBorder="1" applyAlignment="1">
      <alignment horizontal="center"/>
    </xf>
    <xf numFmtId="173" fontId="2" fillId="0" borderId="108" xfId="0" quotePrefix="1" applyNumberFormat="1" applyFont="1" applyBorder="1" applyAlignment="1">
      <alignment horizontal="center"/>
    </xf>
    <xf numFmtId="166" fontId="12" fillId="5" borderId="10" xfId="1" quotePrefix="1" applyNumberFormat="1" applyFont="1" applyFill="1" applyBorder="1" applyAlignment="1">
      <alignment horizontal="center" wrapText="1"/>
    </xf>
    <xf numFmtId="3" fontId="12" fillId="5" borderId="108" xfId="1" applyNumberFormat="1" applyFont="1" applyFill="1" applyBorder="1" applyAlignment="1">
      <alignment wrapText="1"/>
    </xf>
    <xf numFmtId="0" fontId="2" fillId="2" borderId="109" xfId="0" quotePrefix="1" applyFont="1" applyFill="1" applyBorder="1" applyAlignment="1">
      <alignment horizontal="left" wrapText="1"/>
    </xf>
    <xf numFmtId="0" fontId="2" fillId="2" borderId="108" xfId="0" quotePrefix="1" applyFont="1" applyFill="1" applyBorder="1" applyAlignment="1">
      <alignment horizontal="center" wrapText="1"/>
    </xf>
    <xf numFmtId="4" fontId="2" fillId="2" borderId="107" xfId="0" quotePrefix="1" applyNumberFormat="1" applyFont="1" applyFill="1" applyBorder="1" applyAlignment="1">
      <alignment horizontal="left" wrapText="1"/>
    </xf>
    <xf numFmtId="49" fontId="2" fillId="0" borderId="24" xfId="2" quotePrefix="1" applyNumberFormat="1" applyFont="1" applyBorder="1" applyAlignment="1">
      <alignment vertical="center" wrapText="1"/>
    </xf>
    <xf numFmtId="170" fontId="21" fillId="0" borderId="107" xfId="1" applyNumberFormat="1" applyFont="1" applyFill="1" applyBorder="1" applyAlignment="1">
      <alignment vertical="center"/>
    </xf>
    <xf numFmtId="0" fontId="20" fillId="3" borderId="107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4" fontId="5" fillId="0" borderId="34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166" fontId="2" fillId="5" borderId="23" xfId="1" quotePrefix="1" applyNumberFormat="1" applyFont="1" applyFill="1" applyBorder="1" applyAlignment="1">
      <alignment horizontal="center"/>
    </xf>
    <xf numFmtId="164" fontId="5" fillId="0" borderId="130" xfId="0" applyNumberFormat="1" applyFont="1" applyBorder="1" applyAlignment="1">
      <alignment horizontal="center" wrapText="1"/>
    </xf>
    <xf numFmtId="49" fontId="56" fillId="0" borderId="130" xfId="0" applyNumberFormat="1" applyFont="1" applyBorder="1"/>
    <xf numFmtId="49" fontId="173" fillId="0" borderId="132" xfId="0" applyNumberFormat="1" applyFont="1" applyBorder="1"/>
    <xf numFmtId="49" fontId="56" fillId="0" borderId="130" xfId="0" applyNumberFormat="1" applyFont="1" applyBorder="1" applyAlignment="1">
      <alignment vertical="top"/>
    </xf>
    <xf numFmtId="164" fontId="164" fillId="0" borderId="34" xfId="0" applyNumberFormat="1" applyFont="1" applyBorder="1" applyAlignment="1">
      <alignment horizontal="center" vertical="center"/>
    </xf>
    <xf numFmtId="14" fontId="2" fillId="0" borderId="112" xfId="0" quotePrefix="1" applyNumberFormat="1" applyFont="1" applyBorder="1" applyAlignment="1">
      <alignment horizontal="center" vertical="center"/>
    </xf>
    <xf numFmtId="166" fontId="2" fillId="0" borderId="34" xfId="2" quotePrefix="1" applyNumberFormat="1" applyFont="1" applyBorder="1" applyAlignment="1">
      <alignment horizontal="center" vertical="center"/>
    </xf>
    <xf numFmtId="170" fontId="14" fillId="70" borderId="107" xfId="1" applyNumberFormat="1" applyFont="1" applyFill="1" applyBorder="1" applyAlignment="1">
      <alignment horizontal="left" vertical="center"/>
    </xf>
    <xf numFmtId="170" fontId="14" fillId="70" borderId="1" xfId="1" applyNumberFormat="1" applyFont="1" applyFill="1" applyBorder="1" applyAlignment="1">
      <alignment horizontal="left" vertical="center"/>
    </xf>
    <xf numFmtId="164" fontId="164" fillId="0" borderId="125" xfId="0" applyNumberFormat="1" applyFont="1" applyBorder="1" applyAlignment="1">
      <alignment horizontal="center" vertical="center"/>
    </xf>
    <xf numFmtId="14" fontId="2" fillId="0" borderId="125" xfId="0" quotePrefix="1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vertical="center" wrapText="1"/>
    </xf>
    <xf numFmtId="164" fontId="164" fillId="0" borderId="112" xfId="0" applyNumberFormat="1" applyFont="1" applyBorder="1" applyAlignment="1">
      <alignment horizontal="center" vertical="center"/>
    </xf>
    <xf numFmtId="166" fontId="2" fillId="0" borderId="112" xfId="2" quotePrefix="1" applyNumberFormat="1" applyFont="1" applyBorder="1" applyAlignment="1">
      <alignment horizontal="center" vertical="center"/>
    </xf>
    <xf numFmtId="49" fontId="12" fillId="5" borderId="112" xfId="1" quotePrefix="1" applyNumberFormat="1" applyFont="1" applyFill="1" applyBorder="1" applyAlignment="1">
      <alignment horizontal="center" vertical="center"/>
    </xf>
    <xf numFmtId="166" fontId="12" fillId="5" borderId="125" xfId="1" quotePrefix="1" applyNumberFormat="1" applyFont="1" applyFill="1" applyBorder="1" applyAlignment="1">
      <alignment vertical="center" wrapText="1"/>
    </xf>
    <xf numFmtId="164" fontId="164" fillId="0" borderId="122" xfId="0" applyNumberFormat="1" applyFont="1" applyBorder="1" applyAlignment="1">
      <alignment horizontal="center" vertical="center"/>
    </xf>
    <xf numFmtId="166" fontId="2" fillId="0" borderId="122" xfId="2" quotePrefix="1" applyNumberFormat="1" applyFont="1" applyBorder="1" applyAlignment="1">
      <alignment horizontal="center" vertical="center"/>
    </xf>
    <xf numFmtId="14" fontId="2" fillId="0" borderId="107" xfId="0" quotePrefix="1" applyNumberFormat="1" applyFont="1" applyBorder="1" applyAlignment="1">
      <alignment horizontal="center" vertical="center"/>
    </xf>
    <xf numFmtId="3" fontId="2" fillId="2" borderId="107" xfId="0" applyNumberFormat="1" applyFont="1" applyFill="1" applyBorder="1" applyAlignment="1">
      <alignment horizontal="center" vertical="center" wrapText="1"/>
    </xf>
    <xf numFmtId="166" fontId="2" fillId="0" borderId="107" xfId="2" quotePrefix="1" applyNumberFormat="1" applyFont="1" applyBorder="1" applyAlignment="1">
      <alignment horizontal="center" vertical="center"/>
    </xf>
    <xf numFmtId="0" fontId="2" fillId="2" borderId="107" xfId="0" quotePrefix="1" applyFont="1" applyFill="1" applyBorder="1" applyAlignment="1">
      <alignment horizontal="left" vertical="center"/>
    </xf>
    <xf numFmtId="166" fontId="2" fillId="0" borderId="111" xfId="2" quotePrefix="1" applyNumberFormat="1" applyFont="1" applyBorder="1" applyAlignment="1">
      <alignment horizontal="center" vertical="center"/>
    </xf>
    <xf numFmtId="3" fontId="2" fillId="2" borderId="112" xfId="0" applyNumberFormat="1" applyFont="1" applyFill="1" applyBorder="1" applyAlignment="1">
      <alignment vertical="center"/>
    </xf>
    <xf numFmtId="166" fontId="2" fillId="0" borderId="112" xfId="2" quotePrefix="1" applyNumberFormat="1" applyFont="1" applyBorder="1" applyAlignment="1">
      <alignment vertical="center"/>
    </xf>
    <xf numFmtId="43" fontId="2" fillId="0" borderId="112" xfId="2" quotePrefix="1" applyNumberFormat="1" applyFont="1" applyBorder="1" applyAlignment="1">
      <alignment horizontal="center" vertical="center"/>
    </xf>
    <xf numFmtId="166" fontId="14" fillId="70" borderId="108" xfId="1" applyNumberFormat="1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 vertical="center"/>
    </xf>
    <xf numFmtId="170" fontId="14" fillId="70" borderId="108" xfId="1" applyNumberFormat="1" applyFont="1" applyFill="1" applyBorder="1" applyAlignment="1">
      <alignment horizontal="left" vertical="center"/>
    </xf>
    <xf numFmtId="166" fontId="31" fillId="15" borderId="108" xfId="1" applyNumberFormat="1" applyFont="1" applyFill="1" applyBorder="1" applyAlignment="1">
      <alignment vertical="center"/>
    </xf>
    <xf numFmtId="164" fontId="136" fillId="2" borderId="107" xfId="0" applyNumberFormat="1" applyFont="1" applyFill="1" applyBorder="1" applyAlignment="1">
      <alignment horizontal="center" vertical="center"/>
    </xf>
    <xf numFmtId="0" fontId="2" fillId="2" borderId="107" xfId="0" applyFont="1" applyFill="1" applyBorder="1" applyAlignment="1">
      <alignment wrapText="1"/>
    </xf>
    <xf numFmtId="0" fontId="14" fillId="2" borderId="107" xfId="0" applyFont="1" applyFill="1" applyBorder="1" applyAlignment="1">
      <alignment wrapText="1"/>
    </xf>
    <xf numFmtId="0" fontId="5" fillId="2" borderId="107" xfId="0" applyFont="1" applyFill="1" applyBorder="1" applyAlignment="1">
      <alignment wrapText="1"/>
    </xf>
    <xf numFmtId="49" fontId="5" fillId="2" borderId="131" xfId="0" applyNumberFormat="1" applyFont="1" applyFill="1" applyBorder="1" applyAlignment="1">
      <alignment wrapText="1"/>
    </xf>
    <xf numFmtId="164" fontId="10" fillId="0" borderId="108" xfId="0" applyNumberFormat="1" applyFont="1" applyBorder="1" applyAlignment="1">
      <alignment horizontal="center" vertical="center"/>
    </xf>
    <xf numFmtId="164" fontId="10" fillId="0" borderId="108" xfId="0" applyNumberFormat="1" applyFont="1" applyBorder="1" applyAlignment="1">
      <alignment horizontal="center" vertical="center" wrapText="1"/>
    </xf>
    <xf numFmtId="170" fontId="31" fillId="14" borderId="108" xfId="1" applyNumberFormat="1" applyFont="1" applyFill="1" applyBorder="1" applyAlignment="1">
      <alignment horizontal="center" vertical="center" wrapText="1"/>
    </xf>
    <xf numFmtId="170" fontId="31" fillId="8" borderId="108" xfId="1" applyNumberFormat="1" applyFont="1" applyFill="1" applyBorder="1" applyAlignment="1">
      <alignment horizontal="center" vertical="center" wrapText="1"/>
    </xf>
    <xf numFmtId="166" fontId="31" fillId="8" borderId="108" xfId="1" applyNumberFormat="1" applyFont="1" applyFill="1" applyBorder="1" applyAlignment="1">
      <alignment horizontal="center" vertical="center"/>
    </xf>
    <xf numFmtId="166" fontId="31" fillId="8" borderId="108" xfId="1" applyNumberFormat="1" applyFont="1" applyFill="1" applyBorder="1" applyAlignment="1">
      <alignment horizontal="center" vertical="center" wrapText="1"/>
    </xf>
    <xf numFmtId="0" fontId="3" fillId="8" borderId="108" xfId="0" applyFont="1" applyFill="1" applyBorder="1" applyAlignment="1">
      <alignment horizontal="center" vertical="center" wrapText="1"/>
    </xf>
    <xf numFmtId="49" fontId="5" fillId="8" borderId="107" xfId="0" applyNumberFormat="1" applyFont="1" applyFill="1" applyBorder="1" applyAlignment="1">
      <alignment horizontal="center" vertical="center" wrapText="1"/>
    </xf>
    <xf numFmtId="170" fontId="14" fillId="2" borderId="107" xfId="1" applyNumberFormat="1" applyFont="1" applyFill="1" applyBorder="1" applyAlignment="1"/>
    <xf numFmtId="166" fontId="14" fillId="2" borderId="107" xfId="1" applyNumberFormat="1" applyFont="1" applyFill="1" applyBorder="1" applyAlignment="1"/>
    <xf numFmtId="0" fontId="3" fillId="2" borderId="107" xfId="0" applyFont="1" applyFill="1" applyBorder="1" applyAlignment="1">
      <alignment horizontal="center"/>
    </xf>
    <xf numFmtId="170" fontId="14" fillId="2" borderId="107" xfId="1" applyNumberFormat="1" applyFont="1" applyFill="1" applyBorder="1" applyAlignment="1">
      <alignment horizontal="left"/>
    </xf>
    <xf numFmtId="166" fontId="31" fillId="2" borderId="107" xfId="1" applyNumberFormat="1" applyFont="1" applyFill="1" applyBorder="1" applyAlignment="1"/>
    <xf numFmtId="49" fontId="5" fillId="2" borderId="107" xfId="0" applyNumberFormat="1" applyFont="1" applyFill="1" applyBorder="1" applyAlignment="1">
      <alignment horizontal="center"/>
    </xf>
    <xf numFmtId="0" fontId="21" fillId="2" borderId="107" xfId="0" applyFont="1" applyFill="1" applyBorder="1" applyAlignment="1">
      <alignment vertical="center" wrapText="1"/>
    </xf>
    <xf numFmtId="0" fontId="19" fillId="2" borderId="107" xfId="0" applyFont="1" applyFill="1" applyBorder="1" applyAlignment="1">
      <alignment vertical="center" wrapText="1"/>
    </xf>
    <xf numFmtId="0" fontId="24" fillId="2" borderId="107" xfId="0" applyFont="1" applyFill="1" applyBorder="1" applyAlignment="1">
      <alignment vertical="center" wrapText="1"/>
    </xf>
    <xf numFmtId="49" fontId="24" fillId="2" borderId="107" xfId="0" applyNumberFormat="1" applyFont="1" applyFill="1" applyBorder="1" applyAlignment="1">
      <alignment vertical="center" wrapText="1"/>
    </xf>
    <xf numFmtId="170" fontId="31" fillId="8" borderId="107" xfId="1" applyNumberFormat="1" applyFont="1" applyFill="1" applyBorder="1" applyAlignment="1">
      <alignment horizontal="center" vertical="center" wrapText="1"/>
    </xf>
    <xf numFmtId="166" fontId="31" fillId="8" borderId="107" xfId="1" applyNumberFormat="1" applyFont="1" applyFill="1" applyBorder="1" applyAlignment="1">
      <alignment horizontal="center" vertical="center" wrapText="1"/>
    </xf>
    <xf numFmtId="0" fontId="31" fillId="8" borderId="107" xfId="0" applyFont="1" applyFill="1" applyBorder="1" applyAlignment="1">
      <alignment horizontal="center" vertical="center" wrapText="1"/>
    </xf>
    <xf numFmtId="0" fontId="3" fillId="8" borderId="107" xfId="0" applyFont="1" applyFill="1" applyBorder="1" applyAlignment="1">
      <alignment horizontal="center" vertical="center" wrapText="1"/>
    </xf>
    <xf numFmtId="3" fontId="12" fillId="11" borderId="34" xfId="1" applyNumberFormat="1" applyFont="1" applyFill="1" applyBorder="1" applyAlignment="1"/>
    <xf numFmtId="0" fontId="2" fillId="3" borderId="34" xfId="0" quotePrefix="1" applyFont="1" applyFill="1" applyBorder="1" applyAlignment="1">
      <alignment horizontal="left"/>
    </xf>
    <xf numFmtId="164" fontId="2" fillId="0" borderId="24" xfId="0" quotePrefix="1" applyNumberFormat="1" applyFont="1" applyBorder="1" applyAlignment="1">
      <alignment horizontal="center" wrapText="1"/>
    </xf>
    <xf numFmtId="0" fontId="21" fillId="2" borderId="107" xfId="0" applyFont="1" applyFill="1" applyBorder="1" applyAlignment="1">
      <alignment vertical="center"/>
    </xf>
    <xf numFmtId="170" fontId="21" fillId="2" borderId="107" xfId="1" applyNumberFormat="1" applyFont="1" applyFill="1" applyBorder="1" applyAlignment="1">
      <alignment horizontal="left" vertical="center" indent="1"/>
    </xf>
    <xf numFmtId="166" fontId="23" fillId="2" borderId="107" xfId="1" applyNumberFormat="1" applyFont="1" applyFill="1" applyBorder="1" applyAlignment="1">
      <alignment vertical="center"/>
    </xf>
    <xf numFmtId="0" fontId="3" fillId="0" borderId="107" xfId="0" quotePrefix="1" applyFont="1" applyBorder="1" applyAlignment="1">
      <alignment horizontal="center"/>
    </xf>
    <xf numFmtId="166" fontId="14" fillId="9" borderId="107" xfId="1" applyNumberFormat="1" applyFont="1" applyFill="1" applyBorder="1" applyAlignment="1">
      <alignment vertical="center"/>
    </xf>
    <xf numFmtId="170" fontId="14" fillId="10" borderId="107" xfId="1" applyNumberFormat="1" applyFont="1" applyFill="1" applyBorder="1" applyAlignment="1">
      <alignment vertical="center"/>
    </xf>
    <xf numFmtId="49" fontId="5" fillId="2" borderId="107" xfId="0" applyNumberFormat="1" applyFont="1" applyFill="1" applyBorder="1" applyAlignment="1">
      <alignment horizontal="center" vertical="center"/>
    </xf>
    <xf numFmtId="0" fontId="2" fillId="0" borderId="75" xfId="0" applyFont="1" applyBorder="1" applyAlignment="1">
      <alignment horizontal="center"/>
    </xf>
    <xf numFmtId="164" fontId="164" fillId="0" borderId="75" xfId="0" applyNumberFormat="1" applyFont="1" applyBorder="1" applyAlignment="1">
      <alignment horizontal="center" wrapText="1"/>
    </xf>
    <xf numFmtId="164" fontId="5" fillId="0" borderId="75" xfId="0" applyNumberFormat="1" applyFont="1" applyBorder="1" applyAlignment="1">
      <alignment horizontal="center" wrapText="1"/>
    </xf>
    <xf numFmtId="164" fontId="3" fillId="0" borderId="75" xfId="0" applyNumberFormat="1" applyFont="1" applyBorder="1" applyAlignment="1">
      <alignment horizontal="center"/>
    </xf>
    <xf numFmtId="49" fontId="2" fillId="2" borderId="20" xfId="2" quotePrefix="1" applyNumberFormat="1" applyFont="1" applyFill="1" applyBorder="1" applyAlignment="1">
      <alignment horizontal="center" wrapText="1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164" fontId="164" fillId="0" borderId="107" xfId="0" applyNumberFormat="1" applyFont="1" applyBorder="1" applyAlignment="1">
      <alignment horizontal="center" vertical="center" wrapText="1"/>
    </xf>
    <xf numFmtId="164" fontId="5" fillId="0" borderId="107" xfId="0" applyNumberFormat="1" applyFont="1" applyBorder="1" applyAlignment="1">
      <alignment horizontal="center" vertical="center" wrapText="1"/>
    </xf>
    <xf numFmtId="164" fontId="3" fillId="0" borderId="83" xfId="0" applyNumberFormat="1" applyFont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 vertical="center" wrapText="1"/>
    </xf>
    <xf numFmtId="0" fontId="2" fillId="2" borderId="107" xfId="0" quotePrefix="1" applyFont="1" applyFill="1" applyBorder="1" applyAlignment="1">
      <alignment horizontal="center" vertical="center"/>
    </xf>
    <xf numFmtId="166" fontId="23" fillId="8" borderId="24" xfId="1" applyNumberFormat="1" applyFont="1" applyFill="1" applyBorder="1" applyAlignment="1">
      <alignment vertical="center"/>
    </xf>
    <xf numFmtId="169" fontId="19" fillId="0" borderId="1" xfId="0" applyNumberFormat="1" applyFont="1" applyBorder="1" applyAlignment="1">
      <alignment horizontal="center" vertical="center" wrapText="1"/>
    </xf>
    <xf numFmtId="2" fontId="2" fillId="0" borderId="107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14" fontId="6" fillId="0" borderId="83" xfId="0" applyNumberFormat="1" applyFont="1" applyBorder="1" applyAlignment="1">
      <alignment horizontal="center"/>
    </xf>
    <xf numFmtId="164" fontId="136" fillId="2" borderId="1" xfId="0" applyNumberFormat="1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left" vertical="center"/>
    </xf>
    <xf numFmtId="0" fontId="2" fillId="2" borderId="73" xfId="0" quotePrefix="1" applyFont="1" applyFill="1" applyBorder="1" applyAlignment="1">
      <alignment horizontal="center" vertical="center"/>
    </xf>
    <xf numFmtId="166" fontId="19" fillId="10" borderId="107" xfId="1" applyNumberFormat="1" applyFont="1" applyFill="1" applyBorder="1" applyAlignment="1"/>
    <xf numFmtId="166" fontId="12" fillId="5" borderId="24" xfId="1" quotePrefix="1" applyNumberFormat="1" applyFont="1" applyFill="1" applyBorder="1" applyAlignment="1">
      <alignment horizontal="center"/>
    </xf>
    <xf numFmtId="166" fontId="14" fillId="2" borderId="111" xfId="1" applyNumberFormat="1" applyFont="1" applyFill="1" applyBorder="1" applyAlignment="1">
      <alignment vertical="center"/>
    </xf>
    <xf numFmtId="170" fontId="14" fillId="2" borderId="111" xfId="1" applyNumberFormat="1" applyFont="1" applyFill="1" applyBorder="1" applyAlignment="1">
      <alignment vertical="center"/>
    </xf>
    <xf numFmtId="0" fontId="3" fillId="2" borderId="111" xfId="0" applyFont="1" applyFill="1" applyBorder="1" applyAlignment="1">
      <alignment horizontal="center" vertical="center"/>
    </xf>
    <xf numFmtId="49" fontId="56" fillId="0" borderId="152" xfId="0" applyNumberFormat="1" applyFont="1" applyBorder="1" applyAlignment="1">
      <alignment vertical="center"/>
    </xf>
    <xf numFmtId="0" fontId="2" fillId="2" borderId="130" xfId="0" quotePrefix="1" applyFont="1" applyFill="1" applyBorder="1" applyAlignment="1">
      <alignment horizontal="left"/>
    </xf>
    <xf numFmtId="164" fontId="5" fillId="3" borderId="0" xfId="0" applyNumberFormat="1" applyFont="1" applyFill="1"/>
    <xf numFmtId="0" fontId="26" fillId="2" borderId="1" xfId="0" applyFont="1" applyFill="1" applyBorder="1" applyAlignment="1">
      <alignment vertical="center"/>
    </xf>
    <xf numFmtId="0" fontId="30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169" fontId="25" fillId="2" borderId="1" xfId="0" applyNumberFormat="1" applyFont="1" applyFill="1" applyBorder="1" applyAlignment="1">
      <alignment vertical="center"/>
    </xf>
    <xf numFmtId="169" fontId="25" fillId="2" borderId="107" xfId="0" applyNumberFormat="1" applyFont="1" applyFill="1" applyBorder="1" applyAlignment="1">
      <alignment vertical="center"/>
    </xf>
    <xf numFmtId="169" fontId="30" fillId="2" borderId="1" xfId="0" applyNumberFormat="1" applyFont="1" applyFill="1" applyBorder="1" applyAlignment="1">
      <alignment vertical="center"/>
    </xf>
    <xf numFmtId="164" fontId="5" fillId="3" borderId="19" xfId="0" applyNumberFormat="1" applyFont="1" applyFill="1" applyBorder="1"/>
    <xf numFmtId="0" fontId="2" fillId="3" borderId="108" xfId="0" applyFont="1" applyFill="1" applyBorder="1" applyAlignment="1">
      <alignment horizontal="center" vertical="center"/>
    </xf>
    <xf numFmtId="1" fontId="12" fillId="5" borderId="107" xfId="1" quotePrefix="1" applyNumberFormat="1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wrapText="1"/>
    </xf>
    <xf numFmtId="166" fontId="12" fillId="5" borderId="113" xfId="1" quotePrefix="1" applyNumberFormat="1" applyFont="1" applyFill="1" applyBorder="1" applyAlignment="1">
      <alignment horizontal="center"/>
    </xf>
    <xf numFmtId="164" fontId="2" fillId="0" borderId="111" xfId="0" applyNumberFormat="1" applyFont="1" applyBorder="1" applyAlignment="1">
      <alignment horizontal="center"/>
    </xf>
    <xf numFmtId="0" fontId="2" fillId="0" borderId="108" xfId="0" applyFont="1" applyBorder="1" applyAlignment="1">
      <alignment horizontal="center" vertical="center"/>
    </xf>
    <xf numFmtId="3" fontId="2" fillId="2" borderId="108" xfId="0" applyNumberFormat="1" applyFont="1" applyFill="1" applyBorder="1" applyAlignment="1">
      <alignment horizontal="center" vertical="center"/>
    </xf>
    <xf numFmtId="1" fontId="12" fillId="5" borderId="108" xfId="1" quotePrefix="1" applyNumberFormat="1" applyFont="1" applyFill="1" applyBorder="1" applyAlignment="1">
      <alignment horizontal="center" vertical="center"/>
    </xf>
    <xf numFmtId="49" fontId="12" fillId="5" borderId="108" xfId="1" quotePrefix="1" applyNumberFormat="1" applyFont="1" applyFill="1" applyBorder="1" applyAlignment="1">
      <alignment horizontal="center"/>
    </xf>
    <xf numFmtId="1" fontId="12" fillId="5" borderId="24" xfId="1" quotePrefix="1" applyNumberFormat="1" applyFont="1" applyFill="1" applyBorder="1" applyAlignment="1">
      <alignment horizontal="center" vertical="center"/>
    </xf>
    <xf numFmtId="49" fontId="12" fillId="5" borderId="24" xfId="1" quotePrefix="1" applyNumberFormat="1" applyFont="1" applyFill="1" applyBorder="1" applyAlignment="1">
      <alignment horizontal="center"/>
    </xf>
    <xf numFmtId="0" fontId="3" fillId="0" borderId="24" xfId="0" quotePrefix="1" applyFont="1" applyBorder="1" applyAlignment="1">
      <alignment horizontal="center"/>
    </xf>
    <xf numFmtId="166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center"/>
    </xf>
    <xf numFmtId="170" fontId="21" fillId="0" borderId="24" xfId="1" applyNumberFormat="1" applyFont="1" applyFill="1" applyBorder="1" applyAlignment="1"/>
    <xf numFmtId="166" fontId="21" fillId="0" borderId="24" xfId="1" applyNumberFormat="1" applyFont="1" applyFill="1" applyBorder="1" applyAlignment="1">
      <alignment horizontal="left"/>
    </xf>
    <xf numFmtId="166" fontId="19" fillId="0" borderId="24" xfId="1" applyNumberFormat="1" applyFont="1" applyFill="1" applyBorder="1" applyAlignment="1"/>
    <xf numFmtId="170" fontId="21" fillId="0" borderId="24" xfId="1" applyNumberFormat="1" applyFont="1" applyFill="1" applyBorder="1" applyAlignment="1">
      <alignment horizontal="left"/>
    </xf>
    <xf numFmtId="0" fontId="20" fillId="0" borderId="24" xfId="0" applyFont="1" applyBorder="1" applyAlignment="1">
      <alignment horizontal="center"/>
    </xf>
    <xf numFmtId="170" fontId="23" fillId="0" borderId="24" xfId="1" applyNumberFormat="1" applyFont="1" applyFill="1" applyBorder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2" borderId="43" xfId="0" applyNumberFormat="1" applyFont="1" applyFill="1" applyBorder="1" applyAlignment="1">
      <alignment horizontal="center"/>
    </xf>
    <xf numFmtId="14" fontId="2" fillId="0" borderId="24" xfId="0" applyNumberFormat="1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wrapText="1"/>
    </xf>
    <xf numFmtId="166" fontId="12" fillId="5" borderId="125" xfId="1" quotePrefix="1" applyNumberFormat="1" applyFont="1" applyFill="1" applyBorder="1" applyAlignment="1">
      <alignment horizontal="center" vertical="center" wrapText="1"/>
    </xf>
    <xf numFmtId="0" fontId="3" fillId="3" borderId="107" xfId="0" applyFont="1" applyFill="1" applyBorder="1"/>
    <xf numFmtId="49" fontId="2" fillId="2" borderId="43" xfId="2" quotePrefix="1" applyNumberFormat="1" applyFont="1" applyFill="1" applyBorder="1" applyAlignment="1">
      <alignment horizontal="center" vertical="center" wrapText="1"/>
    </xf>
    <xf numFmtId="1" fontId="2" fillId="0" borderId="108" xfId="0" applyNumberFormat="1" applyFont="1" applyBorder="1" applyAlignment="1">
      <alignment horizontal="center"/>
    </xf>
    <xf numFmtId="0" fontId="196" fillId="0" borderId="107" xfId="0" applyFont="1" applyBorder="1" applyAlignment="1">
      <alignment vertical="center" wrapText="1"/>
    </xf>
    <xf numFmtId="11" fontId="2" fillId="0" borderId="107" xfId="0" applyNumberFormat="1" applyFont="1" applyBorder="1" applyAlignment="1">
      <alignment horizontal="center"/>
    </xf>
    <xf numFmtId="164" fontId="5" fillId="3" borderId="83" xfId="0" applyNumberFormat="1" applyFont="1" applyFill="1" applyBorder="1" applyAlignment="1">
      <alignment horizontal="center"/>
    </xf>
    <xf numFmtId="166" fontId="14" fillId="12" borderId="1" xfId="1" applyNumberFormat="1" applyFont="1" applyFill="1" applyBorder="1" applyAlignment="1">
      <alignment vertical="center"/>
    </xf>
    <xf numFmtId="166" fontId="14" fillId="13" borderId="107" xfId="1" applyNumberFormat="1" applyFont="1" applyFill="1" applyBorder="1" applyAlignment="1"/>
    <xf numFmtId="0" fontId="19" fillId="0" borderId="107" xfId="0" applyFont="1" applyBorder="1" applyAlignment="1">
      <alignment horizontal="center"/>
    </xf>
    <xf numFmtId="41" fontId="21" fillId="14" borderId="107" xfId="1" applyNumberFormat="1" applyFont="1" applyFill="1" applyBorder="1" applyAlignment="1">
      <alignment horizontal="left" vertical="center" indent="1"/>
    </xf>
    <xf numFmtId="41" fontId="21" fillId="0" borderId="107" xfId="1" applyNumberFormat="1" applyFont="1" applyFill="1" applyBorder="1" applyAlignment="1">
      <alignment horizontal="left" vertical="center" indent="1"/>
    </xf>
    <xf numFmtId="0" fontId="5" fillId="0" borderId="1" xfId="0" quotePrefix="1" applyFont="1" applyBorder="1" applyAlignment="1">
      <alignment horizontal="center" wrapText="1"/>
    </xf>
    <xf numFmtId="0" fontId="24" fillId="2" borderId="1" xfId="0" quotePrefix="1" applyFont="1" applyFill="1" applyBorder="1" applyAlignment="1">
      <alignment horizontal="center" vertical="center"/>
    </xf>
    <xf numFmtId="166" fontId="5" fillId="5" borderId="13" xfId="1" quotePrefix="1" applyNumberFormat="1" applyFont="1" applyFill="1" applyBorder="1" applyAlignment="1">
      <alignment horizontal="center" vertical="center"/>
    </xf>
    <xf numFmtId="164" fontId="164" fillId="0" borderId="112" xfId="0" applyNumberFormat="1" applyFont="1" applyBorder="1" applyAlignment="1">
      <alignment horizontal="center"/>
    </xf>
    <xf numFmtId="3" fontId="2" fillId="2" borderId="151" xfId="0" applyNumberFormat="1" applyFont="1" applyFill="1" applyBorder="1" applyAlignment="1">
      <alignment horizontal="center" vertical="center"/>
    </xf>
    <xf numFmtId="49" fontId="3" fillId="0" borderId="113" xfId="2" quotePrefix="1" applyNumberFormat="1" applyFont="1" applyBorder="1" applyAlignment="1">
      <alignment horizontal="center" vertical="center"/>
    </xf>
    <xf numFmtId="166" fontId="14" fillId="2" borderId="112" xfId="1" applyNumberFormat="1" applyFont="1" applyFill="1" applyBorder="1" applyAlignment="1">
      <alignment vertical="center"/>
    </xf>
    <xf numFmtId="170" fontId="14" fillId="2" borderId="112" xfId="1" applyNumberFormat="1" applyFont="1" applyFill="1" applyBorder="1" applyAlignment="1">
      <alignment vertical="center"/>
    </xf>
    <xf numFmtId="0" fontId="3" fillId="2" borderId="112" xfId="0" applyFont="1" applyFill="1" applyBorder="1" applyAlignment="1">
      <alignment horizontal="center" vertical="center"/>
    </xf>
    <xf numFmtId="166" fontId="2" fillId="0" borderId="112" xfId="1" quotePrefix="1" applyNumberFormat="1" applyFont="1" applyFill="1" applyBorder="1" applyAlignment="1">
      <alignment horizontal="center" wrapText="1"/>
    </xf>
    <xf numFmtId="166" fontId="2" fillId="0" borderId="39" xfId="1" quotePrefix="1" applyNumberFormat="1" applyFont="1" applyFill="1" applyBorder="1" applyAlignment="1">
      <alignment horizontal="center" vertical="center" wrapText="1"/>
    </xf>
    <xf numFmtId="170" fontId="14" fillId="70" borderId="111" xfId="1" applyNumberFormat="1" applyFont="1" applyFill="1" applyBorder="1" applyAlignment="1">
      <alignment horizontal="left" vertical="center" indent="1"/>
    </xf>
    <xf numFmtId="166" fontId="31" fillId="15" borderId="111" xfId="1" applyNumberFormat="1" applyFont="1" applyFill="1" applyBorder="1" applyAlignment="1">
      <alignment vertical="center"/>
    </xf>
    <xf numFmtId="170" fontId="14" fillId="70" borderId="125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vertical="center" wrapText="1"/>
    </xf>
    <xf numFmtId="49" fontId="5" fillId="8" borderId="131" xfId="0" applyNumberFormat="1" applyFont="1" applyFill="1" applyBorder="1" applyAlignment="1">
      <alignment horizontal="center" vertical="center" wrapText="1"/>
    </xf>
    <xf numFmtId="170" fontId="31" fillId="3" borderId="131" xfId="1" applyNumberFormat="1" applyFont="1" applyFill="1" applyBorder="1" applyAlignment="1">
      <alignment horizontal="left" vertical="center" indent="1"/>
    </xf>
    <xf numFmtId="49" fontId="5" fillId="70" borderId="43" xfId="0" applyNumberFormat="1" applyFont="1" applyFill="1" applyBorder="1" applyAlignment="1">
      <alignment horizontal="center" vertical="center"/>
    </xf>
    <xf numFmtId="49" fontId="5" fillId="70" borderId="131" xfId="0" applyNumberFormat="1" applyFont="1" applyFill="1" applyBorder="1" applyAlignment="1">
      <alignment horizontal="center" vertical="center"/>
    </xf>
    <xf numFmtId="49" fontId="5" fillId="70" borderId="109" xfId="0" applyNumberFormat="1" applyFont="1" applyFill="1" applyBorder="1" applyAlignment="1">
      <alignment horizontal="center" vertical="center"/>
    </xf>
    <xf numFmtId="170" fontId="31" fillId="3" borderId="43" xfId="1" applyNumberFormat="1" applyFont="1" applyFill="1" applyBorder="1" applyAlignment="1">
      <alignment horizontal="left" vertical="center" indent="1"/>
    </xf>
    <xf numFmtId="1" fontId="5" fillId="70" borderId="131" xfId="0" applyNumberFormat="1" applyFont="1" applyFill="1" applyBorder="1" applyAlignment="1">
      <alignment horizontal="center" vertical="center"/>
    </xf>
    <xf numFmtId="170" fontId="31" fillId="3" borderId="109" xfId="1" applyNumberFormat="1" applyFont="1" applyFill="1" applyBorder="1" applyAlignment="1">
      <alignment horizontal="left" vertical="center" indent="1"/>
    </xf>
    <xf numFmtId="49" fontId="5" fillId="2" borderId="131" xfId="0" applyNumberFormat="1" applyFont="1" applyFill="1" applyBorder="1" applyAlignment="1">
      <alignment horizontal="center" vertical="center"/>
    </xf>
    <xf numFmtId="166" fontId="14" fillId="13" borderId="112" xfId="1" applyNumberFormat="1" applyFont="1" applyFill="1" applyBorder="1" applyAlignment="1">
      <alignment vertical="center"/>
    </xf>
    <xf numFmtId="170" fontId="14" fillId="70" borderId="112" xfId="1" applyNumberFormat="1" applyFont="1" applyFill="1" applyBorder="1" applyAlignment="1">
      <alignment horizontal="left" vertical="center" indent="1"/>
    </xf>
    <xf numFmtId="49" fontId="5" fillId="70" borderId="114" xfId="0" applyNumberFormat="1" applyFont="1" applyFill="1" applyBorder="1" applyAlignment="1">
      <alignment horizontal="center" vertical="center"/>
    </xf>
    <xf numFmtId="49" fontId="56" fillId="0" borderId="124" xfId="0" applyNumberFormat="1" applyFont="1" applyBorder="1" applyAlignment="1">
      <alignment vertical="center"/>
    </xf>
    <xf numFmtId="3" fontId="2" fillId="2" borderId="151" xfId="0" applyNumberFormat="1" applyFont="1" applyFill="1" applyBorder="1" applyAlignment="1">
      <alignment horizontal="center"/>
    </xf>
    <xf numFmtId="166" fontId="14" fillId="10" borderId="125" xfId="1" applyNumberFormat="1" applyFont="1" applyFill="1" applyBorder="1" applyAlignment="1">
      <alignment vertical="center"/>
    </xf>
    <xf numFmtId="164" fontId="5" fillId="0" borderId="112" xfId="0" applyNumberFormat="1" applyFont="1" applyBorder="1" applyAlignment="1">
      <alignment horizontal="center"/>
    </xf>
    <xf numFmtId="175" fontId="2" fillId="3" borderId="110" xfId="0" applyNumberFormat="1" applyFont="1" applyFill="1" applyBorder="1" applyAlignment="1">
      <alignment horizontal="center" vertical="center"/>
    </xf>
    <xf numFmtId="166" fontId="2" fillId="0" borderId="151" xfId="1" quotePrefix="1" applyNumberFormat="1" applyFont="1" applyFill="1" applyBorder="1" applyAlignment="1">
      <alignment horizontal="center" wrapText="1"/>
    </xf>
    <xf numFmtId="164" fontId="2" fillId="0" borderId="107" xfId="0" quotePrefix="1" applyNumberFormat="1" applyFont="1" applyBorder="1" applyAlignment="1">
      <alignment horizontal="center" vertical="center" wrapText="1"/>
    </xf>
    <xf numFmtId="170" fontId="14" fillId="12" borderId="73" xfId="1" applyNumberFormat="1" applyFont="1" applyFill="1" applyBorder="1" applyAlignment="1"/>
    <xf numFmtId="170" fontId="14" fillId="12" borderId="107" xfId="1" applyNumberFormat="1" applyFont="1" applyFill="1" applyBorder="1" applyAlignment="1"/>
    <xf numFmtId="11" fontId="2" fillId="0" borderId="24" xfId="0" applyNumberFormat="1" applyFont="1" applyBorder="1" applyAlignment="1">
      <alignment horizontal="center" wrapText="1"/>
    </xf>
    <xf numFmtId="166" fontId="14" fillId="13" borderId="111" xfId="1" applyNumberFormat="1" applyFont="1" applyFill="1" applyBorder="1" applyAlignment="1">
      <alignment vertical="center"/>
    </xf>
    <xf numFmtId="14" fontId="2" fillId="0" borderId="24" xfId="0" quotePrefix="1" applyNumberFormat="1" applyFont="1" applyBorder="1" applyAlignment="1">
      <alignment horizontal="center" wrapText="1"/>
    </xf>
    <xf numFmtId="14" fontId="2" fillId="0" borderId="0" xfId="0" applyNumberFormat="1" applyFont="1" applyAlignment="1">
      <alignment horizontal="center" wrapText="1"/>
    </xf>
    <xf numFmtId="49" fontId="12" fillId="0" borderId="43" xfId="1" quotePrefix="1" applyNumberFormat="1" applyFont="1" applyFill="1" applyBorder="1" applyAlignment="1">
      <alignment horizontal="center" wrapText="1"/>
    </xf>
    <xf numFmtId="49" fontId="198" fillId="0" borderId="107" xfId="0" applyNumberFormat="1" applyFont="1" applyBorder="1" applyAlignment="1">
      <alignment vertical="center"/>
    </xf>
    <xf numFmtId="0" fontId="5" fillId="0" borderId="107" xfId="0" quotePrefix="1" applyFont="1" applyBorder="1" applyAlignment="1">
      <alignment horizontal="center"/>
    </xf>
    <xf numFmtId="166" fontId="14" fillId="14" borderId="111" xfId="1" applyNumberFormat="1" applyFont="1" applyFill="1" applyBorder="1" applyAlignment="1">
      <alignment vertical="center"/>
    </xf>
    <xf numFmtId="166" fontId="14" fillId="10" borderId="24" xfId="1" applyNumberFormat="1" applyFont="1" applyFill="1" applyBorder="1" applyAlignment="1">
      <alignment vertical="center"/>
    </xf>
    <xf numFmtId="166" fontId="14" fillId="70" borderId="107" xfId="1" applyNumberFormat="1" applyFont="1" applyFill="1" applyBorder="1" applyAlignment="1"/>
    <xf numFmtId="170" fontId="14" fillId="12" borderId="1" xfId="1" applyNumberFormat="1" applyFont="1" applyFill="1" applyBorder="1" applyAlignment="1"/>
    <xf numFmtId="166" fontId="19" fillId="0" borderId="107" xfId="1" applyNumberFormat="1" applyFont="1" applyFill="1" applyBorder="1" applyAlignment="1"/>
    <xf numFmtId="3" fontId="2" fillId="0" borderId="107" xfId="0" applyNumberFormat="1" applyFont="1" applyBorder="1"/>
    <xf numFmtId="164" fontId="199" fillId="0" borderId="107" xfId="0" applyNumberFormat="1" applyFont="1" applyBorder="1" applyAlignment="1">
      <alignment horizontal="center"/>
    </xf>
    <xf numFmtId="0" fontId="2" fillId="0" borderId="131" xfId="0" applyFont="1" applyBorder="1" applyAlignment="1">
      <alignment horizontal="left"/>
    </xf>
    <xf numFmtId="14" fontId="2" fillId="0" borderId="131" xfId="0" applyNumberFormat="1" applyFont="1" applyBorder="1" applyAlignment="1">
      <alignment horizontal="center"/>
    </xf>
    <xf numFmtId="49" fontId="56" fillId="0" borderId="131" xfId="0" applyNumberFormat="1" applyFont="1" applyBorder="1" applyAlignment="1">
      <alignment vertical="top"/>
    </xf>
    <xf numFmtId="170" fontId="23" fillId="3" borderId="109" xfId="1" applyNumberFormat="1" applyFont="1" applyFill="1" applyBorder="1" applyAlignment="1">
      <alignment horizontal="left"/>
    </xf>
    <xf numFmtId="170" fontId="23" fillId="0" borderId="131" xfId="1" applyNumberFormat="1" applyFont="1" applyFill="1" applyBorder="1" applyAlignment="1">
      <alignment horizontal="left"/>
    </xf>
    <xf numFmtId="49" fontId="5" fillId="0" borderId="131" xfId="0" applyNumberFormat="1" applyFont="1" applyBorder="1" applyAlignment="1">
      <alignment horizontal="center"/>
    </xf>
    <xf numFmtId="49" fontId="5" fillId="0" borderId="109" xfId="0" applyNumberFormat="1" applyFont="1" applyBorder="1" applyAlignment="1">
      <alignment horizontal="center"/>
    </xf>
    <xf numFmtId="49" fontId="56" fillId="0" borderId="24" xfId="0" applyNumberFormat="1" applyFont="1" applyBorder="1" applyAlignment="1">
      <alignment vertical="center"/>
    </xf>
    <xf numFmtId="192" fontId="12" fillId="5" borderId="1" xfId="1" applyNumberFormat="1" applyFont="1" applyFill="1" applyBorder="1" applyAlignment="1"/>
    <xf numFmtId="166" fontId="14" fillId="70" borderId="24" xfId="1" applyNumberFormat="1" applyFont="1" applyFill="1" applyBorder="1" applyAlignment="1">
      <alignment vertical="center"/>
    </xf>
    <xf numFmtId="164" fontId="5" fillId="0" borderId="55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 wrapText="1"/>
    </xf>
    <xf numFmtId="166" fontId="14" fillId="12" borderId="111" xfId="1" applyNumberFormat="1" applyFont="1" applyFill="1" applyBorder="1" applyAlignment="1">
      <alignment vertical="center"/>
    </xf>
    <xf numFmtId="166" fontId="14" fillId="13" borderId="55" xfId="1" applyNumberFormat="1" applyFont="1" applyFill="1" applyBorder="1" applyAlignment="1"/>
    <xf numFmtId="164" fontId="164" fillId="0" borderId="34" xfId="0" applyNumberFormat="1" applyFont="1" applyBorder="1" applyAlignment="1">
      <alignment horizontal="center"/>
    </xf>
    <xf numFmtId="2" fontId="2" fillId="0" borderId="34" xfId="2" quotePrefix="1" applyNumberFormat="1" applyFont="1" applyBorder="1" applyAlignment="1">
      <alignment horizontal="center"/>
    </xf>
    <xf numFmtId="166" fontId="31" fillId="15" borderId="112" xfId="1" applyNumberFormat="1" applyFont="1" applyFill="1" applyBorder="1" applyAlignment="1">
      <alignment vertical="center"/>
    </xf>
    <xf numFmtId="49" fontId="12" fillId="5" borderId="111" xfId="1" quotePrefix="1" applyNumberFormat="1" applyFont="1" applyFill="1" applyBorder="1" applyAlignment="1">
      <alignment horizontal="center"/>
    </xf>
    <xf numFmtId="3" fontId="2" fillId="2" borderId="154" xfId="0" applyNumberFormat="1" applyFont="1" applyFill="1" applyBorder="1" applyAlignment="1">
      <alignment horizontal="center" vertical="center"/>
    </xf>
    <xf numFmtId="3" fontId="2" fillId="2" borderId="154" xfId="0" applyNumberFormat="1" applyFont="1" applyFill="1" applyBorder="1" applyAlignment="1">
      <alignment horizontal="center"/>
    </xf>
    <xf numFmtId="166" fontId="12" fillId="5" borderId="114" xfId="1" quotePrefix="1" applyNumberFormat="1" applyFont="1" applyFill="1" applyBorder="1" applyAlignment="1">
      <alignment horizontal="center" vertical="center"/>
    </xf>
    <xf numFmtId="49" fontId="12" fillId="5" borderId="114" xfId="1" quotePrefix="1" applyNumberFormat="1" applyFont="1" applyFill="1" applyBorder="1" applyAlignment="1">
      <alignment horizontal="center"/>
    </xf>
    <xf numFmtId="0" fontId="2" fillId="2" borderId="155" xfId="0" quotePrefix="1" applyFont="1" applyFill="1" applyBorder="1" applyAlignment="1">
      <alignment horizontal="left"/>
    </xf>
    <xf numFmtId="49" fontId="5" fillId="2" borderId="114" xfId="0" applyNumberFormat="1" applyFont="1" applyFill="1" applyBorder="1" applyAlignment="1">
      <alignment horizontal="center" vertical="center"/>
    </xf>
    <xf numFmtId="14" fontId="2" fillId="0" borderId="107" xfId="0" applyNumberFormat="1" applyFont="1" applyBorder="1" applyAlignment="1">
      <alignment horizontal="center" wrapText="1"/>
    </xf>
    <xf numFmtId="166" fontId="12" fillId="5" borderId="24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/>
    </xf>
    <xf numFmtId="172" fontId="3" fillId="0" borderId="107" xfId="0" applyNumberFormat="1" applyFont="1" applyBorder="1" applyAlignment="1">
      <alignment horizontal="center"/>
    </xf>
    <xf numFmtId="0" fontId="2" fillId="2" borderId="21" xfId="0" quotePrefix="1" applyFont="1" applyFill="1" applyBorder="1" applyAlignment="1">
      <alignment horizontal="left"/>
    </xf>
    <xf numFmtId="49" fontId="5" fillId="2" borderId="20" xfId="0" applyNumberFormat="1" applyFont="1" applyFill="1" applyBorder="1" applyAlignment="1">
      <alignment horizontal="center" vertical="center"/>
    </xf>
    <xf numFmtId="166" fontId="14" fillId="0" borderId="112" xfId="1" applyNumberFormat="1" applyFont="1" applyFill="1" applyBorder="1" applyAlignment="1">
      <alignment vertical="center"/>
    </xf>
    <xf numFmtId="49" fontId="5" fillId="70" borderId="113" xfId="0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166" fontId="14" fillId="70" borderId="111" xfId="1" applyNumberFormat="1" applyFont="1" applyFill="1" applyBorder="1" applyAlignment="1">
      <alignment vertical="center"/>
    </xf>
    <xf numFmtId="3" fontId="2" fillId="2" borderId="24" xfId="0" applyNumberFormat="1" applyFont="1" applyFill="1" applyBorder="1" applyAlignment="1">
      <alignment horizontal="center" vertical="center"/>
    </xf>
    <xf numFmtId="166" fontId="14" fillId="12" borderId="24" xfId="1" applyNumberFormat="1" applyFont="1" applyFill="1" applyBorder="1" applyAlignment="1">
      <alignment vertical="center"/>
    </xf>
    <xf numFmtId="49" fontId="12" fillId="0" borderId="108" xfId="1" quotePrefix="1" applyNumberFormat="1" applyFont="1" applyFill="1" applyBorder="1" applyAlignment="1">
      <alignment horizontal="center"/>
    </xf>
    <xf numFmtId="49" fontId="12" fillId="0" borderId="24" xfId="1" quotePrefix="1" applyNumberFormat="1" applyFont="1" applyFill="1" applyBorder="1" applyAlignment="1">
      <alignment horizontal="center"/>
    </xf>
    <xf numFmtId="1" fontId="12" fillId="0" borderId="113" xfId="1" quotePrefix="1" applyNumberFormat="1" applyFont="1" applyFill="1" applyBorder="1" applyAlignment="1">
      <alignment horizontal="center" vertical="center"/>
    </xf>
    <xf numFmtId="49" fontId="12" fillId="0" borderId="111" xfId="1" quotePrefix="1" applyNumberFormat="1" applyFont="1" applyFill="1" applyBorder="1" applyAlignment="1">
      <alignment horizontal="center"/>
    </xf>
    <xf numFmtId="166" fontId="2" fillId="0" borderId="23" xfId="1" quotePrefix="1" applyNumberFormat="1" applyFont="1" applyFill="1" applyBorder="1" applyAlignment="1">
      <alignment horizontal="center"/>
    </xf>
    <xf numFmtId="0" fontId="2" fillId="0" borderId="156" xfId="0" applyFont="1" applyBorder="1" applyAlignment="1">
      <alignment horizontal="center" wrapText="1"/>
    </xf>
    <xf numFmtId="164" fontId="5" fillId="0" borderId="24" xfId="0" applyNumberFormat="1" applyFont="1" applyBorder="1" applyAlignment="1">
      <alignment horizontal="center" wrapText="1"/>
    </xf>
    <xf numFmtId="166" fontId="5" fillId="11" borderId="34" xfId="1" quotePrefix="1" applyNumberFormat="1" applyFont="1" applyFill="1" applyBorder="1" applyAlignment="1">
      <alignment horizontal="center"/>
    </xf>
    <xf numFmtId="43" fontId="3" fillId="0" borderId="107" xfId="1" applyFont="1" applyFill="1" applyBorder="1" applyAlignment="1">
      <alignment horizontal="right"/>
    </xf>
    <xf numFmtId="49" fontId="12" fillId="5" borderId="122" xfId="1" quotePrefix="1" applyNumberFormat="1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4" fontId="3" fillId="0" borderId="0" xfId="0" applyNumberFormat="1" applyFont="1" applyAlignment="1">
      <alignment horizontal="center"/>
    </xf>
    <xf numFmtId="43" fontId="12" fillId="0" borderId="107" xfId="1" quotePrefix="1" applyFont="1" applyFill="1" applyBorder="1" applyAlignment="1">
      <alignment horizontal="center" wrapText="1"/>
    </xf>
    <xf numFmtId="2" fontId="2" fillId="0" borderId="107" xfId="0" applyNumberFormat="1" applyFont="1" applyBorder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9" fontId="202" fillId="0" borderId="107" xfId="0" applyNumberFormat="1" applyFont="1" applyBorder="1" applyAlignment="1">
      <alignment vertical="center"/>
    </xf>
    <xf numFmtId="164" fontId="3" fillId="0" borderId="112" xfId="0" applyNumberFormat="1" applyFont="1" applyBorder="1" applyAlignment="1">
      <alignment horizontal="center"/>
    </xf>
    <xf numFmtId="0" fontId="2" fillId="0" borderId="112" xfId="0" applyFont="1" applyBorder="1" applyAlignment="1">
      <alignment horizontal="left"/>
    </xf>
    <xf numFmtId="0" fontId="3" fillId="0" borderId="112" xfId="0" applyFont="1" applyBorder="1" applyAlignment="1">
      <alignment horizontal="center" vertical="center"/>
    </xf>
    <xf numFmtId="1" fontId="2" fillId="0" borderId="112" xfId="0" applyNumberFormat="1" applyFont="1" applyBorder="1" applyAlignment="1">
      <alignment horizontal="center" vertical="center"/>
    </xf>
    <xf numFmtId="14" fontId="2" fillId="0" borderId="112" xfId="0" applyNumberFormat="1" applyFont="1" applyBorder="1" applyAlignment="1">
      <alignment horizontal="center"/>
    </xf>
    <xf numFmtId="164" fontId="2" fillId="0" borderId="112" xfId="0" applyNumberFormat="1" applyFont="1" applyBorder="1" applyAlignment="1">
      <alignment horizontal="center" vertical="center"/>
    </xf>
    <xf numFmtId="14" fontId="2" fillId="0" borderId="125" xfId="0" applyNumberFormat="1" applyFont="1" applyBorder="1" applyAlignment="1">
      <alignment horizontal="center"/>
    </xf>
    <xf numFmtId="49" fontId="3" fillId="0" borderId="127" xfId="2" quotePrefix="1" applyNumberFormat="1" applyFont="1" applyBorder="1" applyAlignment="1">
      <alignment horizontal="center" vertical="center"/>
    </xf>
    <xf numFmtId="0" fontId="2" fillId="2" borderId="128" xfId="0" quotePrefix="1" applyFont="1" applyFill="1" applyBorder="1" applyAlignment="1">
      <alignment horizontal="left"/>
    </xf>
    <xf numFmtId="166" fontId="14" fillId="2" borderId="125" xfId="1" applyNumberFormat="1" applyFont="1" applyFill="1" applyBorder="1" applyAlignment="1">
      <alignment vertical="center"/>
    </xf>
    <xf numFmtId="170" fontId="14" fillId="2" borderId="125" xfId="1" applyNumberFormat="1" applyFont="1" applyFill="1" applyBorder="1" applyAlignment="1">
      <alignment vertical="center"/>
    </xf>
    <xf numFmtId="166" fontId="14" fillId="13" borderId="125" xfId="1" applyNumberFormat="1" applyFont="1" applyFill="1" applyBorder="1" applyAlignment="1">
      <alignment vertical="center"/>
    </xf>
    <xf numFmtId="0" fontId="3" fillId="2" borderId="125" xfId="0" applyFont="1" applyFill="1" applyBorder="1" applyAlignment="1">
      <alignment horizontal="center" vertical="center"/>
    </xf>
    <xf numFmtId="49" fontId="5" fillId="2" borderId="127" xfId="0" applyNumberFormat="1" applyFont="1" applyFill="1" applyBorder="1" applyAlignment="1">
      <alignment horizontal="center" vertical="center"/>
    </xf>
    <xf numFmtId="0" fontId="200" fillId="3" borderId="107" xfId="0" applyFont="1" applyFill="1" applyBorder="1" applyAlignment="1">
      <alignment horizontal="center" wrapText="1"/>
    </xf>
    <xf numFmtId="170" fontId="14" fillId="76" borderId="83" xfId="1" applyNumberFormat="1" applyFont="1" applyFill="1" applyBorder="1" applyAlignment="1">
      <alignment vertical="center"/>
    </xf>
    <xf numFmtId="49" fontId="5" fillId="2" borderId="113" xfId="0" applyNumberFormat="1" applyFont="1" applyFill="1" applyBorder="1" applyAlignment="1">
      <alignment horizontal="center" vertical="center"/>
    </xf>
    <xf numFmtId="0" fontId="3" fillId="0" borderId="125" xfId="0" applyFont="1" applyBorder="1" applyAlignment="1">
      <alignment horizontal="center" vertical="center"/>
    </xf>
    <xf numFmtId="0" fontId="5" fillId="0" borderId="107" xfId="0" applyFont="1" applyBorder="1" applyAlignment="1">
      <alignment horizontal="center" vertical="center"/>
    </xf>
    <xf numFmtId="0" fontId="3" fillId="8" borderId="107" xfId="0" applyFont="1" applyFill="1" applyBorder="1" applyAlignment="1">
      <alignment horizontal="center" vertical="center"/>
    </xf>
    <xf numFmtId="164" fontId="2" fillId="0" borderId="112" xfId="0" quotePrefix="1" applyNumberFormat="1" applyFont="1" applyBorder="1" applyAlignment="1">
      <alignment horizontal="center"/>
    </xf>
    <xf numFmtId="1" fontId="5" fillId="3" borderId="83" xfId="2" quotePrefix="1" applyNumberFormat="1" applyFont="1" applyFill="1" applyBorder="1" applyAlignment="1">
      <alignment horizontal="center"/>
    </xf>
    <xf numFmtId="164" fontId="3" fillId="0" borderId="125" xfId="0" applyNumberFormat="1" applyFont="1" applyBorder="1" applyAlignment="1">
      <alignment horizontal="center"/>
    </xf>
    <xf numFmtId="0" fontId="2" fillId="2" borderId="125" xfId="0" quotePrefix="1" applyFont="1" applyFill="1" applyBorder="1" applyAlignment="1">
      <alignment horizontal="left"/>
    </xf>
    <xf numFmtId="166" fontId="31" fillId="15" borderId="125" xfId="1" applyNumberFormat="1" applyFont="1" applyFill="1" applyBorder="1" applyAlignment="1">
      <alignment vertical="center"/>
    </xf>
    <xf numFmtId="0" fontId="2" fillId="0" borderId="125" xfId="0" applyFont="1" applyBorder="1" applyAlignment="1">
      <alignment horizontal="center"/>
    </xf>
    <xf numFmtId="170" fontId="14" fillId="12" borderId="34" xfId="1" applyNumberFormat="1" applyFont="1" applyFill="1" applyBorder="1" applyAlignment="1">
      <alignment vertical="center"/>
    </xf>
    <xf numFmtId="170" fontId="14" fillId="12" borderId="111" xfId="1" applyNumberFormat="1" applyFont="1" applyFill="1" applyBorder="1" applyAlignment="1">
      <alignment vertical="center"/>
    </xf>
    <xf numFmtId="170" fontId="14" fillId="12" borderId="112" xfId="1" applyNumberFormat="1" applyFont="1" applyFill="1" applyBorder="1" applyAlignment="1">
      <alignment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166" fontId="12" fillId="5" borderId="127" xfId="1" quotePrefix="1" applyNumberFormat="1" applyFont="1" applyFill="1" applyBorder="1" applyAlignment="1">
      <alignment horizontal="center" wrapText="1"/>
    </xf>
    <xf numFmtId="0" fontId="2" fillId="0" borderId="125" xfId="0" applyFont="1" applyBorder="1" applyAlignment="1">
      <alignment horizontal="center" vertical="center" wrapText="1"/>
    </xf>
    <xf numFmtId="49" fontId="202" fillId="0" borderId="0" xfId="0" applyNumberFormat="1" applyFont="1" applyAlignment="1">
      <alignment vertical="center"/>
    </xf>
    <xf numFmtId="166" fontId="2" fillId="0" borderId="143" xfId="1" quotePrefix="1" applyNumberFormat="1" applyFont="1" applyFill="1" applyBorder="1" applyAlignment="1">
      <alignment horizontal="center" wrapText="1"/>
    </xf>
    <xf numFmtId="164" fontId="164" fillId="0" borderId="125" xfId="0" applyNumberFormat="1" applyFont="1" applyBorder="1" applyAlignment="1">
      <alignment horizontal="center" wrapText="1"/>
    </xf>
    <xf numFmtId="166" fontId="14" fillId="70" borderId="34" xfId="1" applyNumberFormat="1" applyFont="1" applyFill="1" applyBorder="1" applyAlignment="1">
      <alignment vertical="center"/>
    </xf>
    <xf numFmtId="166" fontId="14" fillId="70" borderId="112" xfId="1" applyNumberFormat="1" applyFont="1" applyFill="1" applyBorder="1" applyAlignment="1">
      <alignment vertical="center"/>
    </xf>
    <xf numFmtId="166" fontId="14" fillId="70" borderId="125" xfId="1" applyNumberFormat="1" applyFont="1" applyFill="1" applyBorder="1" applyAlignment="1">
      <alignment vertical="center"/>
    </xf>
    <xf numFmtId="166" fontId="19" fillId="70" borderId="107" xfId="1" applyNumberFormat="1" applyFont="1" applyFill="1" applyBorder="1" applyAlignment="1"/>
    <xf numFmtId="0" fontId="5" fillId="0" borderId="125" xfId="0" applyFont="1" applyBorder="1" applyAlignment="1">
      <alignment horizontal="center" vertical="center"/>
    </xf>
    <xf numFmtId="0" fontId="3" fillId="2" borderId="122" xfId="0" applyFont="1" applyFill="1" applyBorder="1" applyAlignment="1">
      <alignment horizontal="center" vertical="center"/>
    </xf>
    <xf numFmtId="166" fontId="22" fillId="17" borderId="1" xfId="0" applyNumberFormat="1" applyFont="1" applyFill="1" applyBorder="1" applyAlignment="1">
      <alignment horizontal="center" vertical="center"/>
    </xf>
    <xf numFmtId="0" fontId="5" fillId="0" borderId="127" xfId="0" applyFont="1" applyBorder="1" applyAlignment="1">
      <alignment horizontal="center" vertical="center"/>
    </xf>
    <xf numFmtId="49" fontId="204" fillId="0" borderId="107" xfId="0" applyNumberFormat="1" applyFont="1" applyBorder="1" applyAlignment="1">
      <alignment horizontal="center" vertical="center"/>
    </xf>
    <xf numFmtId="0" fontId="3" fillId="3" borderId="132" xfId="0" applyFont="1" applyFill="1" applyBorder="1" applyAlignment="1">
      <alignment horizontal="center"/>
    </xf>
    <xf numFmtId="0" fontId="2" fillId="7" borderId="107" xfId="0" applyFont="1" applyFill="1" applyBorder="1" applyAlignment="1">
      <alignment horizontal="center"/>
    </xf>
    <xf numFmtId="14" fontId="2" fillId="0" borderId="15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wrapText="1"/>
    </xf>
    <xf numFmtId="14" fontId="3" fillId="0" borderId="107" xfId="0" applyNumberFormat="1" applyFont="1" applyBorder="1" applyAlignment="1">
      <alignment horizontal="center"/>
    </xf>
    <xf numFmtId="49" fontId="3" fillId="0" borderId="113" xfId="2" quotePrefix="1" applyNumberFormat="1" applyFont="1" applyBorder="1" applyAlignment="1">
      <alignment horizontal="center"/>
    </xf>
    <xf numFmtId="166" fontId="2" fillId="5" borderId="151" xfId="1" quotePrefix="1" applyNumberFormat="1" applyFont="1" applyFill="1" applyBorder="1" applyAlignment="1">
      <alignment horizontal="center"/>
    </xf>
    <xf numFmtId="164" fontId="136" fillId="3" borderId="1" xfId="0" applyNumberFormat="1" applyFont="1" applyFill="1" applyBorder="1" applyAlignment="1">
      <alignment horizontal="center" wrapText="1"/>
    </xf>
    <xf numFmtId="0" fontId="3" fillId="0" borderId="107" xfId="0" quotePrefix="1" applyFont="1" applyBorder="1" applyAlignment="1">
      <alignment horizontal="center" wrapText="1"/>
    </xf>
    <xf numFmtId="0" fontId="3" fillId="3" borderId="107" xfId="0" applyFont="1" applyFill="1" applyBorder="1" applyAlignment="1">
      <alignment horizontal="center" wrapText="1"/>
    </xf>
    <xf numFmtId="0" fontId="3" fillId="19" borderId="107" xfId="0" applyFont="1" applyFill="1" applyBorder="1" applyAlignment="1">
      <alignment horizontal="center"/>
    </xf>
    <xf numFmtId="0" fontId="2" fillId="19" borderId="107" xfId="0" applyFont="1" applyFill="1" applyBorder="1" applyAlignment="1">
      <alignment horizontal="center"/>
    </xf>
    <xf numFmtId="0" fontId="2" fillId="19" borderId="108" xfId="0" applyFont="1" applyFill="1" applyBorder="1" applyAlignment="1">
      <alignment horizontal="center"/>
    </xf>
    <xf numFmtId="0" fontId="3" fillId="7" borderId="107" xfId="0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 wrapText="1"/>
    </xf>
    <xf numFmtId="164" fontId="6" fillId="0" borderId="83" xfId="0" applyNumberFormat="1" applyFont="1" applyBorder="1" applyAlignment="1">
      <alignment horizontal="center" wrapText="1"/>
    </xf>
    <xf numFmtId="0" fontId="2" fillId="0" borderId="108" xfId="0" quotePrefix="1" applyFont="1" applyBorder="1" applyAlignment="1">
      <alignment horizontal="center" vertical="center" wrapText="1"/>
    </xf>
    <xf numFmtId="0" fontId="3" fillId="0" borderId="108" xfId="0" applyFont="1" applyBorder="1" applyAlignment="1">
      <alignment horizontal="center" vertical="center" wrapText="1"/>
    </xf>
    <xf numFmtId="164" fontId="3" fillId="0" borderId="108" xfId="0" applyNumberFormat="1" applyFont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 wrapText="1"/>
    </xf>
    <xf numFmtId="164" fontId="2" fillId="0" borderId="108" xfId="0" quotePrefix="1" applyNumberFormat="1" applyFont="1" applyBorder="1" applyAlignment="1">
      <alignment horizontal="center"/>
    </xf>
    <xf numFmtId="164" fontId="199" fillId="0" borderId="108" xfId="0" applyNumberFormat="1" applyFont="1" applyBorder="1" applyAlignment="1">
      <alignment horizontal="center"/>
    </xf>
    <xf numFmtId="0" fontId="2" fillId="0" borderId="108" xfId="0" applyFont="1" applyBorder="1" applyAlignment="1">
      <alignment horizontal="left"/>
    </xf>
    <xf numFmtId="164" fontId="2" fillId="0" borderId="108" xfId="0" applyNumberFormat="1" applyFont="1" applyBorder="1" applyAlignment="1">
      <alignment horizontal="center" wrapText="1"/>
    </xf>
    <xf numFmtId="43" fontId="14" fillId="0" borderId="107" xfId="1" applyFont="1" applyFill="1" applyBorder="1" applyAlignment="1"/>
    <xf numFmtId="43" fontId="21" fillId="0" borderId="107" xfId="1" applyFont="1" applyFill="1" applyBorder="1" applyAlignment="1"/>
    <xf numFmtId="170" fontId="14" fillId="10" borderId="112" xfId="1" applyNumberFormat="1" applyFont="1" applyFill="1" applyBorder="1" applyAlignment="1">
      <alignment vertical="center"/>
    </xf>
    <xf numFmtId="170" fontId="21" fillId="14" borderId="107" xfId="1" applyNumberFormat="1" applyFont="1" applyFill="1" applyBorder="1" applyAlignment="1">
      <alignment horizontal="center" vertical="center"/>
    </xf>
    <xf numFmtId="166" fontId="23" fillId="15" borderId="107" xfId="1" applyNumberFormat="1" applyFont="1" applyFill="1" applyBorder="1" applyAlignment="1">
      <alignment horizontal="center" vertical="center"/>
    </xf>
    <xf numFmtId="0" fontId="2" fillId="0" borderId="107" xfId="0" quotePrefix="1" applyFont="1" applyBorder="1" applyAlignment="1">
      <alignment horizontal="center" vertical="center" wrapText="1"/>
    </xf>
    <xf numFmtId="0" fontId="5" fillId="0" borderId="107" xfId="0" quotePrefix="1" applyFont="1" applyBorder="1" applyAlignment="1">
      <alignment horizontal="center" vertical="center" wrapText="1"/>
    </xf>
    <xf numFmtId="3" fontId="2" fillId="0" borderId="107" xfId="0" applyNumberFormat="1" applyFont="1" applyBorder="1" applyAlignment="1">
      <alignment horizontal="center" vertical="center"/>
    </xf>
    <xf numFmtId="166" fontId="12" fillId="0" borderId="107" xfId="1" quotePrefix="1" applyNumberFormat="1" applyFont="1" applyFill="1" applyBorder="1" applyAlignment="1">
      <alignment horizontal="center" vertical="center" wrapText="1"/>
    </xf>
    <xf numFmtId="166" fontId="12" fillId="0" borderId="107" xfId="1" quotePrefix="1" applyNumberFormat="1" applyFont="1" applyFill="1" applyBorder="1" applyAlignment="1">
      <alignment horizontal="center" vertical="center"/>
    </xf>
    <xf numFmtId="170" fontId="14" fillId="0" borderId="107" xfId="1" applyNumberFormat="1" applyFont="1" applyFill="1" applyBorder="1" applyAlignment="1">
      <alignment horizontal="center" vertical="center"/>
    </xf>
    <xf numFmtId="166" fontId="14" fillId="0" borderId="107" xfId="1" applyNumberFormat="1" applyFont="1" applyFill="1" applyBorder="1" applyAlignment="1">
      <alignment horizontal="center" vertical="center"/>
    </xf>
    <xf numFmtId="166" fontId="19" fillId="70" borderId="107" xfId="1" applyNumberFormat="1" applyFont="1" applyFill="1" applyBorder="1" applyAlignment="1">
      <alignment horizontal="center" vertical="center"/>
    </xf>
    <xf numFmtId="49" fontId="5" fillId="0" borderId="107" xfId="0" applyNumberFormat="1" applyFont="1" applyBorder="1" applyAlignment="1">
      <alignment horizontal="center" vertical="center"/>
    </xf>
    <xf numFmtId="14" fontId="2" fillId="0" borderId="131" xfId="0" applyNumberFormat="1" applyFont="1" applyBorder="1" applyAlignment="1">
      <alignment horizontal="center" vertical="center"/>
    </xf>
    <xf numFmtId="166" fontId="19" fillId="10" borderId="107" xfId="1" applyNumberFormat="1" applyFont="1" applyFill="1" applyBorder="1" applyAlignment="1">
      <alignment horizontal="center" vertical="center"/>
    </xf>
    <xf numFmtId="0" fontId="5" fillId="3" borderId="107" xfId="0" quotePrefix="1" applyFont="1" applyFill="1" applyBorder="1" applyAlignment="1">
      <alignment horizontal="center"/>
    </xf>
    <xf numFmtId="0" fontId="5" fillId="3" borderId="107" xfId="0" applyFont="1" applyFill="1" applyBorder="1" applyAlignment="1">
      <alignment horizontal="center" wrapText="1"/>
    </xf>
    <xf numFmtId="170" fontId="14" fillId="0" borderId="112" xfId="1" applyNumberFormat="1" applyFont="1" applyFill="1" applyBorder="1" applyAlignment="1">
      <alignment vertical="center"/>
    </xf>
    <xf numFmtId="166" fontId="19" fillId="10" borderId="107" xfId="1" applyNumberFormat="1" applyFont="1" applyFill="1" applyBorder="1" applyAlignment="1">
      <alignment vertical="center"/>
    </xf>
    <xf numFmtId="0" fontId="5" fillId="0" borderId="24" xfId="0" quotePrefix="1" applyFont="1" applyBorder="1" applyAlignment="1">
      <alignment horizontal="center"/>
    </xf>
    <xf numFmtId="166" fontId="19" fillId="10" borderId="24" xfId="1" applyNumberFormat="1" applyFont="1" applyFill="1" applyBorder="1" applyAlignment="1"/>
    <xf numFmtId="170" fontId="14" fillId="0" borderId="24" xfId="1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14" fontId="2" fillId="0" borderId="43" xfId="0" applyNumberFormat="1" applyFont="1" applyBorder="1" applyAlignment="1">
      <alignment horizontal="center"/>
    </xf>
    <xf numFmtId="0" fontId="2" fillId="0" borderId="111" xfId="0" quotePrefix="1" applyFont="1" applyBorder="1" applyAlignment="1">
      <alignment horizontal="center" wrapText="1"/>
    </xf>
    <xf numFmtId="0" fontId="2" fillId="0" borderId="111" xfId="0" quotePrefix="1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3" fillId="0" borderId="111" xfId="0" applyFont="1" applyBorder="1" applyAlignment="1">
      <alignment horizontal="center" wrapText="1"/>
    </xf>
    <xf numFmtId="3" fontId="2" fillId="0" borderId="111" xfId="0" applyNumberFormat="1" applyFont="1" applyBorder="1" applyAlignment="1">
      <alignment horizontal="center"/>
    </xf>
    <xf numFmtId="0" fontId="3" fillId="0" borderId="111" xfId="0" applyFont="1" applyBorder="1" applyAlignment="1">
      <alignment horizontal="center"/>
    </xf>
    <xf numFmtId="0" fontId="3" fillId="7" borderId="111" xfId="0" applyFont="1" applyFill="1" applyBorder="1" applyAlignment="1">
      <alignment horizontal="center"/>
    </xf>
    <xf numFmtId="0" fontId="3" fillId="0" borderId="111" xfId="0" quotePrefix="1" applyFont="1" applyBorder="1" applyAlignment="1">
      <alignment horizontal="center"/>
    </xf>
    <xf numFmtId="166" fontId="12" fillId="0" borderId="111" xfId="1" quotePrefix="1" applyNumberFormat="1" applyFont="1" applyFill="1" applyBorder="1" applyAlignment="1">
      <alignment horizontal="center" wrapText="1"/>
    </xf>
    <xf numFmtId="2" fontId="2" fillId="0" borderId="111" xfId="0" applyNumberFormat="1" applyFont="1" applyBorder="1" applyAlignment="1">
      <alignment horizontal="center" wrapText="1"/>
    </xf>
    <xf numFmtId="166" fontId="12" fillId="0" borderId="111" xfId="1" quotePrefix="1" applyNumberFormat="1" applyFont="1" applyFill="1" applyBorder="1" applyAlignment="1">
      <alignment horizontal="center"/>
    </xf>
    <xf numFmtId="170" fontId="14" fillId="0" borderId="111" xfId="1" applyNumberFormat="1" applyFont="1" applyFill="1" applyBorder="1" applyAlignment="1">
      <alignment horizontal="left"/>
    </xf>
    <xf numFmtId="166" fontId="14" fillId="0" borderId="111" xfId="1" applyNumberFormat="1" applyFont="1" applyFill="1" applyBorder="1" applyAlignment="1"/>
    <xf numFmtId="166" fontId="19" fillId="0" borderId="111" xfId="1" applyNumberFormat="1" applyFont="1" applyFill="1" applyBorder="1" applyAlignment="1"/>
    <xf numFmtId="170" fontId="14" fillId="0" borderId="111" xfId="1" applyNumberFormat="1" applyFont="1" applyFill="1" applyBorder="1" applyAlignment="1"/>
    <xf numFmtId="166" fontId="14" fillId="13" borderId="112" xfId="1" applyNumberFormat="1" applyFont="1" applyFill="1" applyBorder="1" applyAlignment="1"/>
    <xf numFmtId="0" fontId="5" fillId="0" borderId="111" xfId="0" applyFont="1" applyBorder="1" applyAlignment="1">
      <alignment horizontal="center" wrapText="1"/>
    </xf>
    <xf numFmtId="170" fontId="21" fillId="14" borderId="111" xfId="1" applyNumberFormat="1" applyFont="1" applyFill="1" applyBorder="1" applyAlignment="1">
      <alignment horizontal="left" vertical="center" indent="1"/>
    </xf>
    <xf numFmtId="166" fontId="23" fillId="15" borderId="111" xfId="1" applyNumberFormat="1" applyFont="1" applyFill="1" applyBorder="1" applyAlignment="1">
      <alignment vertical="center"/>
    </xf>
    <xf numFmtId="49" fontId="5" fillId="0" borderId="111" xfId="0" applyNumberFormat="1" applyFont="1" applyBorder="1" applyAlignment="1">
      <alignment horizontal="center"/>
    </xf>
    <xf numFmtId="14" fontId="2" fillId="0" borderId="114" xfId="0" applyNumberFormat="1" applyFont="1" applyBorder="1" applyAlignment="1">
      <alignment horizontal="center"/>
    </xf>
    <xf numFmtId="0" fontId="2" fillId="0" borderId="151" xfId="0" applyFont="1" applyBorder="1"/>
    <xf numFmtId="0" fontId="5" fillId="0" borderId="111" xfId="0" quotePrefix="1" applyFont="1" applyBorder="1" applyAlignment="1">
      <alignment horizontal="center"/>
    </xf>
    <xf numFmtId="170" fontId="14" fillId="0" borderId="0" xfId="1" applyNumberFormat="1" applyFont="1" applyFill="1" applyBorder="1" applyAlignment="1"/>
    <xf numFmtId="166" fontId="14" fillId="0" borderId="0" xfId="1" applyNumberFormat="1" applyFont="1" applyFill="1" applyBorder="1" applyAlignment="1"/>
    <xf numFmtId="170" fontId="14" fillId="0" borderId="0" xfId="1" applyNumberFormat="1" applyFont="1" applyFill="1" applyBorder="1" applyAlignment="1">
      <alignment horizontal="left"/>
    </xf>
    <xf numFmtId="166" fontId="31" fillId="0" borderId="0" xfId="1" applyNumberFormat="1" applyFont="1" applyFill="1" applyBorder="1" applyAlignment="1"/>
    <xf numFmtId="49" fontId="5" fillId="0" borderId="0" xfId="0" applyNumberFormat="1" applyFont="1" applyAlignment="1">
      <alignment horizontal="center"/>
    </xf>
    <xf numFmtId="166" fontId="14" fillId="3" borderId="34" xfId="1" applyNumberFormat="1" applyFont="1" applyFill="1" applyBorder="1" applyAlignment="1">
      <alignment vertical="center"/>
    </xf>
    <xf numFmtId="170" fontId="14" fillId="3" borderId="34" xfId="1" applyNumberFormat="1" applyFont="1" applyFill="1" applyBorder="1" applyAlignment="1">
      <alignment vertical="center"/>
    </xf>
    <xf numFmtId="170" fontId="14" fillId="3" borderId="118" xfId="1" applyNumberFormat="1" applyFont="1" applyFill="1" applyBorder="1" applyAlignment="1">
      <alignment vertical="center"/>
    </xf>
    <xf numFmtId="170" fontId="31" fillId="3" borderId="20" xfId="1" applyNumberFormat="1" applyFont="1" applyFill="1" applyBorder="1" applyAlignment="1">
      <alignment horizontal="left" vertical="center" indent="1"/>
    </xf>
    <xf numFmtId="166" fontId="6" fillId="0" borderId="107" xfId="1" applyNumberFormat="1" applyFont="1" applyFill="1" applyBorder="1" applyAlignment="1">
      <alignment vertical="center"/>
    </xf>
    <xf numFmtId="0" fontId="3" fillId="2" borderId="107" xfId="0" applyFont="1" applyFill="1" applyBorder="1" applyAlignment="1">
      <alignment horizontal="center" vertical="center" wrapText="1"/>
    </xf>
    <xf numFmtId="166" fontId="12" fillId="5" borderId="122" xfId="1" quotePrefix="1" applyNumberFormat="1" applyFont="1" applyFill="1" applyBorder="1" applyAlignment="1">
      <alignment horizontal="center" wrapText="1"/>
    </xf>
    <xf numFmtId="166" fontId="19" fillId="12" borderId="107" xfId="1" applyNumberFormat="1" applyFont="1" applyFill="1" applyBorder="1" applyAlignment="1">
      <alignment horizontal="center" vertical="center"/>
    </xf>
    <xf numFmtId="166" fontId="6" fillId="0" borderId="24" xfId="1" applyNumberFormat="1" applyFont="1" applyFill="1" applyBorder="1" applyAlignment="1">
      <alignment vertical="center"/>
    </xf>
    <xf numFmtId="0" fontId="2" fillId="3" borderId="122" xfId="0" applyFont="1" applyFill="1" applyBorder="1" applyAlignment="1">
      <alignment horizontal="center" vertical="center"/>
    </xf>
    <xf numFmtId="0" fontId="2" fillId="3" borderId="122" xfId="0" applyFont="1" applyFill="1" applyBorder="1" applyAlignment="1">
      <alignment vertical="center"/>
    </xf>
    <xf numFmtId="0" fontId="2" fillId="3" borderId="122" xfId="0" quotePrefix="1" applyFont="1" applyFill="1" applyBorder="1" applyAlignment="1">
      <alignment horizontal="left"/>
    </xf>
    <xf numFmtId="166" fontId="14" fillId="3" borderId="122" xfId="1" applyNumberFormat="1" applyFont="1" applyFill="1" applyBorder="1" applyAlignment="1">
      <alignment horizontal="left" vertical="center" indent="1"/>
    </xf>
    <xf numFmtId="166" fontId="14" fillId="3" borderId="122" xfId="1" applyNumberFormat="1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horizontal="center" wrapText="1"/>
    </xf>
    <xf numFmtId="0" fontId="3" fillId="0" borderId="24" xfId="0" applyFont="1" applyBorder="1" applyAlignment="1">
      <alignment horizontal="center" vertical="center"/>
    </xf>
    <xf numFmtId="166" fontId="12" fillId="5" borderId="107" xfId="1" quotePrefix="1" applyNumberFormat="1" applyFont="1" applyFill="1" applyBorder="1" applyAlignment="1">
      <alignment horizontal="center" wrapText="1"/>
    </xf>
    <xf numFmtId="166" fontId="31" fillId="15" borderId="43" xfId="1" applyNumberFormat="1" applyFont="1" applyFill="1" applyBorder="1" applyAlignment="1">
      <alignment vertical="center"/>
    </xf>
    <xf numFmtId="166" fontId="2" fillId="0" borderId="24" xfId="1" quotePrefix="1" applyNumberFormat="1" applyFont="1" applyFill="1" applyBorder="1" applyAlignment="1">
      <alignment horizontal="center" wrapText="1"/>
    </xf>
    <xf numFmtId="164" fontId="164" fillId="0" borderId="24" xfId="0" applyNumberFormat="1" applyFont="1" applyBorder="1" applyAlignment="1">
      <alignment horizontal="center" wrapText="1"/>
    </xf>
    <xf numFmtId="0" fontId="5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1" fontId="2" fillId="0" borderId="107" xfId="0" applyNumberFormat="1" applyFont="1" applyBorder="1" applyAlignment="1">
      <alignment horizontal="center" vertical="center"/>
    </xf>
    <xf numFmtId="164" fontId="2" fillId="0" borderId="107" xfId="0" applyNumberFormat="1" applyFont="1" applyBorder="1" applyAlignment="1">
      <alignment horizontal="center" vertical="center"/>
    </xf>
    <xf numFmtId="0" fontId="5" fillId="0" borderId="108" xfId="0" applyFont="1" applyBorder="1" applyAlignment="1">
      <alignment horizontal="center" vertical="center"/>
    </xf>
    <xf numFmtId="166" fontId="2" fillId="5" borderId="32" xfId="1" quotePrefix="1" applyNumberFormat="1" applyFont="1" applyFill="1" applyBorder="1" applyAlignment="1">
      <alignment horizontal="center"/>
    </xf>
    <xf numFmtId="3" fontId="2" fillId="2" borderId="31" xfId="0" applyNumberFormat="1" applyFont="1" applyFill="1" applyBorder="1" applyAlignment="1">
      <alignment horizontal="center" vertical="center"/>
    </xf>
    <xf numFmtId="3" fontId="2" fillId="2" borderId="31" xfId="0" applyNumberFormat="1" applyFont="1" applyFill="1" applyBorder="1" applyAlignment="1">
      <alignment horizontal="center"/>
    </xf>
    <xf numFmtId="49" fontId="3" fillId="0" borderId="43" xfId="2" quotePrefix="1" applyNumberFormat="1" applyFont="1" applyBorder="1" applyAlignment="1">
      <alignment horizontal="center"/>
    </xf>
    <xf numFmtId="166" fontId="12" fillId="5" borderId="24" xfId="1" quotePrefix="1" applyNumberFormat="1" applyFont="1" applyFill="1" applyBorder="1" applyAlignment="1">
      <alignment horizontal="center" wrapText="1"/>
    </xf>
    <xf numFmtId="170" fontId="14" fillId="2" borderId="107" xfId="1" applyNumberFormat="1" applyFont="1" applyFill="1" applyBorder="1" applyAlignment="1">
      <alignment horizontal="left" vertical="center" indent="1"/>
    </xf>
    <xf numFmtId="166" fontId="31" fillId="2" borderId="107" xfId="1" applyNumberFormat="1" applyFont="1" applyFill="1" applyBorder="1" applyAlignment="1">
      <alignment vertical="center"/>
    </xf>
    <xf numFmtId="49" fontId="5" fillId="0" borderId="107" xfId="0" applyNumberFormat="1" applyFont="1" applyBorder="1" applyAlignment="1">
      <alignment horizontal="center" wrapText="1"/>
    </xf>
    <xf numFmtId="170" fontId="31" fillId="0" borderId="131" xfId="1" applyNumberFormat="1" applyFont="1" applyFill="1" applyBorder="1" applyAlignment="1">
      <alignment horizontal="left" vertical="center" indent="1"/>
    </xf>
    <xf numFmtId="0" fontId="5" fillId="0" borderId="131" xfId="0" applyFont="1" applyBorder="1" applyAlignment="1">
      <alignment horizontal="center" vertical="center"/>
    </xf>
    <xf numFmtId="49" fontId="5" fillId="2" borderId="131" xfId="0" applyNumberFormat="1" applyFont="1" applyFill="1" applyBorder="1" applyAlignment="1">
      <alignment horizontal="center"/>
    </xf>
    <xf numFmtId="2" fontId="3" fillId="0" borderId="107" xfId="0" applyNumberFormat="1" applyFont="1" applyBorder="1" applyAlignment="1">
      <alignment horizontal="center"/>
    </xf>
    <xf numFmtId="14" fontId="2" fillId="0" borderId="107" xfId="0" applyNumberFormat="1" applyFont="1" applyBorder="1" applyAlignment="1">
      <alignment horizontal="center" vertical="center"/>
    </xf>
    <xf numFmtId="14" fontId="2" fillId="0" borderId="107" xfId="0" applyNumberFormat="1" applyFont="1" applyBorder="1"/>
    <xf numFmtId="166" fontId="2" fillId="0" borderId="8" xfId="1" quotePrefix="1" applyNumberFormat="1" applyFont="1" applyFill="1" applyBorder="1" applyAlignment="1">
      <alignment horizontal="center" wrapText="1"/>
    </xf>
    <xf numFmtId="49" fontId="2" fillId="7" borderId="1" xfId="2" quotePrefix="1" applyNumberFormat="1" applyFont="1" applyFill="1" applyBorder="1" applyAlignment="1">
      <alignment horizontal="center"/>
    </xf>
    <xf numFmtId="187" fontId="3" fillId="0" borderId="24" xfId="0" applyNumberFormat="1" applyFont="1" applyBorder="1" applyAlignment="1">
      <alignment horizontal="center"/>
    </xf>
    <xf numFmtId="166" fontId="19" fillId="0" borderId="107" xfId="1" applyNumberFormat="1" applyFont="1" applyFill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 wrapText="1"/>
    </xf>
    <xf numFmtId="0" fontId="2" fillId="0" borderId="131" xfId="0" quotePrefix="1" applyFont="1" applyBorder="1" applyAlignment="1">
      <alignment horizontal="center"/>
    </xf>
    <xf numFmtId="49" fontId="210" fillId="0" borderId="107" xfId="0" applyNumberFormat="1" applyFont="1" applyBorder="1" applyAlignment="1">
      <alignment vertical="center"/>
    </xf>
    <xf numFmtId="166" fontId="12" fillId="0" borderId="131" xfId="1" quotePrefix="1" applyNumberFormat="1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/>
    </xf>
    <xf numFmtId="2" fontId="21" fillId="2" borderId="107" xfId="1" applyNumberFormat="1" applyFont="1" applyFill="1" applyBorder="1" applyAlignment="1">
      <alignment vertical="center"/>
    </xf>
    <xf numFmtId="0" fontId="5" fillId="0" borderId="107" xfId="0" quotePrefix="1" applyFont="1" applyBorder="1" applyAlignment="1">
      <alignment horizontal="center" wrapText="1"/>
    </xf>
    <xf numFmtId="187" fontId="3" fillId="0" borderId="107" xfId="0" applyNumberFormat="1" applyFont="1" applyBorder="1" applyAlignment="1">
      <alignment horizontal="center"/>
    </xf>
    <xf numFmtId="0" fontId="2" fillId="2" borderId="1" xfId="0" quotePrefix="1" applyFont="1" applyFill="1" applyBorder="1" applyAlignment="1">
      <alignment horizontal="left" vertical="center" wrapText="1"/>
    </xf>
    <xf numFmtId="0" fontId="3" fillId="3" borderId="110" xfId="0" applyFont="1" applyFill="1" applyBorder="1"/>
    <xf numFmtId="0" fontId="3" fillId="3" borderId="130" xfId="0" applyFont="1" applyFill="1" applyBorder="1"/>
    <xf numFmtId="0" fontId="3" fillId="2" borderId="107" xfId="0" applyFont="1" applyFill="1" applyBorder="1" applyAlignment="1">
      <alignment horizontal="right"/>
    </xf>
    <xf numFmtId="166" fontId="31" fillId="15" borderId="107" xfId="1" applyNumberFormat="1" applyFont="1" applyFill="1" applyBorder="1" applyAlignment="1">
      <alignment horizontal="right"/>
    </xf>
    <xf numFmtId="170" fontId="14" fillId="70" borderId="108" xfId="1" applyNumberFormat="1" applyFont="1" applyFill="1" applyBorder="1" applyAlignment="1">
      <alignment horizontal="right"/>
    </xf>
    <xf numFmtId="170" fontId="14" fillId="70" borderId="118" xfId="1" applyNumberFormat="1" applyFont="1" applyFill="1" applyBorder="1" applyAlignment="1">
      <alignment horizontal="left"/>
    </xf>
    <xf numFmtId="166" fontId="14" fillId="13" borderId="118" xfId="1" applyNumberFormat="1" applyFont="1" applyFill="1" applyBorder="1" applyAlignment="1"/>
    <xf numFmtId="166" fontId="14" fillId="70" borderId="73" xfId="1" applyNumberFormat="1" applyFont="1" applyFill="1" applyBorder="1" applyAlignment="1"/>
    <xf numFmtId="0" fontId="3" fillId="2" borderId="24" xfId="0" applyFont="1" applyFill="1" applyBorder="1" applyAlignment="1">
      <alignment horizontal="right"/>
    </xf>
    <xf numFmtId="166" fontId="2" fillId="5" borderId="107" xfId="1" quotePrefix="1" applyNumberFormat="1" applyFont="1" applyFill="1" applyBorder="1" applyAlignment="1">
      <alignment horizontal="center"/>
    </xf>
    <xf numFmtId="166" fontId="2" fillId="5" borderId="108" xfId="1" quotePrefix="1" applyNumberFormat="1" applyFont="1" applyFill="1" applyBorder="1" applyAlignment="1">
      <alignment horizontal="center"/>
    </xf>
    <xf numFmtId="166" fontId="14" fillId="10" borderId="108" xfId="1" applyNumberFormat="1" applyFont="1" applyFill="1" applyBorder="1" applyAlignment="1">
      <alignment vertical="center"/>
    </xf>
    <xf numFmtId="166" fontId="14" fillId="13" borderId="108" xfId="1" applyNumberFormat="1" applyFont="1" applyFill="1" applyBorder="1" applyAlignment="1"/>
    <xf numFmtId="170" fontId="14" fillId="70" borderId="108" xfId="1" applyNumberFormat="1" applyFont="1" applyFill="1" applyBorder="1" applyAlignment="1">
      <alignment horizontal="left"/>
    </xf>
    <xf numFmtId="0" fontId="3" fillId="2" borderId="108" xfId="0" applyFont="1" applyFill="1" applyBorder="1" applyAlignment="1">
      <alignment horizontal="right"/>
    </xf>
    <xf numFmtId="166" fontId="31" fillId="15" borderId="108" xfId="1" applyNumberFormat="1" applyFont="1" applyFill="1" applyBorder="1" applyAlignment="1">
      <alignment horizontal="right"/>
    </xf>
    <xf numFmtId="49" fontId="5" fillId="2" borderId="109" xfId="0" applyNumberFormat="1" applyFont="1" applyFill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/>
    </xf>
    <xf numFmtId="166" fontId="2" fillId="3" borderId="43" xfId="1" quotePrefix="1" applyNumberFormat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/>
    </xf>
    <xf numFmtId="170" fontId="14" fillId="3" borderId="107" xfId="1" applyNumberFormat="1" applyFont="1" applyFill="1" applyBorder="1" applyAlignment="1"/>
    <xf numFmtId="166" fontId="14" fillId="3" borderId="107" xfId="1" applyNumberFormat="1" applyFont="1" applyFill="1" applyBorder="1" applyAlignment="1"/>
    <xf numFmtId="170" fontId="14" fillId="3" borderId="107" xfId="1" applyNumberFormat="1" applyFont="1" applyFill="1" applyBorder="1" applyAlignment="1">
      <alignment horizontal="left"/>
    </xf>
    <xf numFmtId="166" fontId="31" fillId="3" borderId="107" xfId="1" applyNumberFormat="1" applyFont="1" applyFill="1" applyBorder="1" applyAlignment="1"/>
    <xf numFmtId="49" fontId="5" fillId="3" borderId="107" xfId="0" applyNumberFormat="1" applyFont="1" applyFill="1" applyBorder="1" applyAlignment="1">
      <alignment horizontal="center"/>
    </xf>
    <xf numFmtId="14" fontId="2" fillId="3" borderId="131" xfId="0" applyNumberFormat="1" applyFont="1" applyFill="1" applyBorder="1" applyAlignment="1">
      <alignment horizontal="center"/>
    </xf>
    <xf numFmtId="49" fontId="56" fillId="0" borderId="0" xfId="0" applyNumberFormat="1" applyFont="1" applyAlignment="1">
      <alignment vertical="center"/>
    </xf>
    <xf numFmtId="49" fontId="210" fillId="0" borderId="0" xfId="0" applyNumberFormat="1" applyFont="1" applyAlignment="1">
      <alignment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19" fillId="0" borderId="107" xfId="1" applyNumberFormat="1" applyFont="1" applyFill="1" applyBorder="1" applyAlignment="1">
      <alignment vertical="center"/>
    </xf>
    <xf numFmtId="0" fontId="22" fillId="2" borderId="107" xfId="0" applyFont="1" applyFill="1" applyBorder="1" applyAlignment="1">
      <alignment vertical="center"/>
    </xf>
    <xf numFmtId="0" fontId="19" fillId="2" borderId="107" xfId="0" applyFont="1" applyFill="1" applyBorder="1" applyAlignment="1">
      <alignment vertical="center"/>
    </xf>
    <xf numFmtId="170" fontId="14" fillId="70" borderId="34" xfId="1" applyNumberFormat="1" applyFont="1" applyFill="1" applyBorder="1" applyAlignment="1">
      <alignment horizontal="left"/>
    </xf>
    <xf numFmtId="0" fontId="3" fillId="2" borderId="34" xfId="0" applyFont="1" applyFill="1" applyBorder="1" applyAlignment="1">
      <alignment horizontal="right"/>
    </xf>
    <xf numFmtId="166" fontId="31" fillId="15" borderId="34" xfId="1" applyNumberFormat="1" applyFont="1" applyFill="1" applyBorder="1" applyAlignment="1">
      <alignment horizontal="right"/>
    </xf>
    <xf numFmtId="170" fontId="14" fillId="70" borderId="107" xfId="1" applyNumberFormat="1" applyFont="1" applyFill="1" applyBorder="1" applyAlignment="1">
      <alignment horizontal="left" indent="1"/>
    </xf>
    <xf numFmtId="0" fontId="2" fillId="3" borderId="34" xfId="0" applyFont="1" applyFill="1" applyBorder="1" applyAlignment="1">
      <alignment horizontal="center" vertical="center"/>
    </xf>
    <xf numFmtId="0" fontId="2" fillId="3" borderId="34" xfId="0" applyFont="1" applyFill="1" applyBorder="1" applyAlignment="1">
      <alignment vertical="center"/>
    </xf>
    <xf numFmtId="43" fontId="12" fillId="0" borderId="107" xfId="1" quotePrefix="1" applyFont="1" applyFill="1" applyBorder="1" applyAlignment="1">
      <alignment horizontal="center"/>
    </xf>
    <xf numFmtId="49" fontId="19" fillId="0" borderId="1" xfId="1" quotePrefix="1" applyNumberFormat="1" applyFont="1" applyFill="1" applyBorder="1" applyAlignment="1">
      <alignment horizontal="center" vertical="center"/>
    </xf>
    <xf numFmtId="14" fontId="6" fillId="0" borderId="107" xfId="0" applyNumberFormat="1" applyFont="1" applyBorder="1" applyAlignment="1">
      <alignment horizontal="center"/>
    </xf>
    <xf numFmtId="166" fontId="12" fillId="0" borderId="43" xfId="1" quotePrefix="1" applyNumberFormat="1" applyFont="1" applyFill="1" applyBorder="1" applyAlignment="1">
      <alignment horizontal="center" wrapText="1"/>
    </xf>
    <xf numFmtId="49" fontId="19" fillId="0" borderId="1" xfId="1" quotePrefix="1" applyNumberFormat="1" applyFont="1" applyFill="1" applyBorder="1" applyAlignment="1">
      <alignment horizontal="center" vertical="center" wrapText="1"/>
    </xf>
    <xf numFmtId="0" fontId="3" fillId="15" borderId="107" xfId="0" quotePrefix="1" applyFont="1" applyFill="1" applyBorder="1" applyAlignment="1">
      <alignment horizontal="center"/>
    </xf>
    <xf numFmtId="166" fontId="10" fillId="0" borderId="13" xfId="1" quotePrefix="1" applyNumberFormat="1" applyFont="1" applyFill="1" applyBorder="1" applyAlignment="1">
      <alignment horizontal="center"/>
    </xf>
    <xf numFmtId="49" fontId="10" fillId="0" borderId="107" xfId="1" quotePrefix="1" applyNumberFormat="1" applyFont="1" applyFill="1" applyBorder="1" applyAlignment="1">
      <alignment horizontal="center"/>
    </xf>
    <xf numFmtId="179" fontId="23" fillId="8" borderId="107" xfId="0" applyNumberFormat="1" applyFont="1" applyFill="1" applyBorder="1" applyAlignment="1">
      <alignment horizontal="center" vertical="center" wrapText="1"/>
    </xf>
    <xf numFmtId="180" fontId="21" fillId="2" borderId="107" xfId="0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 vertical="center"/>
    </xf>
    <xf numFmtId="175" fontId="20" fillId="0" borderId="1" xfId="0" applyNumberFormat="1" applyFont="1" applyBorder="1" applyAlignment="1">
      <alignment horizontal="center" vertical="center" wrapText="1"/>
    </xf>
    <xf numFmtId="170" fontId="14" fillId="3" borderId="107" xfId="1" applyNumberFormat="1" applyFont="1" applyFill="1" applyBorder="1" applyAlignment="1">
      <alignment vertical="center"/>
    </xf>
    <xf numFmtId="166" fontId="14" fillId="3" borderId="107" xfId="1" applyNumberFormat="1" applyFont="1" applyFill="1" applyBorder="1" applyAlignment="1">
      <alignment vertical="center"/>
    </xf>
    <xf numFmtId="166" fontId="21" fillId="19" borderId="24" xfId="1" applyNumberFormat="1" applyFont="1" applyFill="1" applyBorder="1" applyAlignment="1">
      <alignment vertical="center"/>
    </xf>
    <xf numFmtId="166" fontId="14" fillId="19" borderId="108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/>
    <xf numFmtId="166" fontId="14" fillId="19" borderId="1" xfId="1" applyNumberFormat="1" applyFont="1" applyFill="1" applyBorder="1" applyAlignment="1">
      <alignment vertical="center"/>
    </xf>
    <xf numFmtId="166" fontId="19" fillId="19" borderId="107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/>
    <xf numFmtId="164" fontId="164" fillId="0" borderId="1" xfId="0" applyNumberFormat="1" applyFont="1" applyBorder="1" applyAlignment="1">
      <alignment horizontal="center" vertical="center"/>
    </xf>
    <xf numFmtId="2" fontId="2" fillId="0" borderId="1" xfId="2" quotePrefix="1" applyNumberFormat="1" applyFont="1" applyBorder="1" applyAlignment="1">
      <alignment horizontal="center" vertical="center"/>
    </xf>
    <xf numFmtId="2" fontId="12" fillId="5" borderId="43" xfId="1" quotePrefix="1" applyNumberFormat="1" applyFont="1" applyFill="1" applyBorder="1" applyAlignment="1">
      <alignment horizontal="center" vertical="center"/>
    </xf>
    <xf numFmtId="0" fontId="3" fillId="77" borderId="107" xfId="0" applyFont="1" applyFill="1" applyBorder="1" applyAlignment="1">
      <alignment horizontal="center" wrapText="1"/>
    </xf>
    <xf numFmtId="49" fontId="5" fillId="2" borderId="24" xfId="0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75" fontId="21" fillId="2" borderId="107" xfId="0" quotePrefix="1" applyNumberFormat="1" applyFont="1" applyFill="1" applyBorder="1" applyAlignment="1">
      <alignment vertical="center"/>
    </xf>
    <xf numFmtId="175" fontId="24" fillId="2" borderId="107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/>
    </xf>
    <xf numFmtId="2" fontId="5" fillId="0" borderId="73" xfId="0" applyNumberFormat="1" applyFont="1" applyBorder="1" applyAlignment="1">
      <alignment horizontal="center"/>
    </xf>
    <xf numFmtId="41" fontId="2" fillId="0" borderId="158" xfId="0" applyNumberFormat="1" applyFont="1" applyBorder="1"/>
    <xf numFmtId="49" fontId="10" fillId="0" borderId="43" xfId="1" quotePrefix="1" applyNumberFormat="1" applyFont="1" applyFill="1" applyBorder="1" applyAlignment="1">
      <alignment horizontal="center"/>
    </xf>
    <xf numFmtId="166" fontId="2" fillId="0" borderId="84" xfId="1" quotePrefix="1" applyNumberFormat="1" applyFont="1" applyFill="1" applyBorder="1" applyAlignment="1">
      <alignment vertical="center" wrapText="1"/>
    </xf>
    <xf numFmtId="166" fontId="12" fillId="0" borderId="43" xfId="1" quotePrefix="1" applyNumberFormat="1" applyFont="1" applyFill="1" applyBorder="1" applyAlignment="1">
      <alignment horizontal="center" vertical="center"/>
    </xf>
    <xf numFmtId="49" fontId="12" fillId="0" borderId="43" xfId="1" quotePrefix="1" applyNumberFormat="1" applyFont="1" applyFill="1" applyBorder="1" applyAlignment="1">
      <alignment horizontal="center" vertical="center" wrapText="1"/>
    </xf>
    <xf numFmtId="0" fontId="2" fillId="0" borderId="107" xfId="0" quotePrefix="1" applyFont="1" applyBorder="1" applyAlignment="1">
      <alignment horizontal="left" vertical="center"/>
    </xf>
    <xf numFmtId="3" fontId="3" fillId="0" borderId="7" xfId="0" applyNumberFormat="1" applyFont="1" applyBorder="1" applyAlignment="1">
      <alignment horizontal="center"/>
    </xf>
    <xf numFmtId="3" fontId="5" fillId="0" borderId="107" xfId="0" applyNumberFormat="1" applyFont="1" applyBorder="1" applyAlignment="1">
      <alignment horizontal="center"/>
    </xf>
    <xf numFmtId="0" fontId="5" fillId="0" borderId="108" xfId="0" applyFont="1" applyBorder="1" applyAlignment="1">
      <alignment horizontal="center" vertical="center" wrapText="1"/>
    </xf>
    <xf numFmtId="0" fontId="5" fillId="0" borderId="107" xfId="0" applyFont="1" applyBorder="1" applyAlignment="1">
      <alignment horizontal="center" vertical="center" wrapText="1"/>
    </xf>
    <xf numFmtId="0" fontId="2" fillId="0" borderId="24" xfId="0" quotePrefix="1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49" fontId="12" fillId="0" borderId="20" xfId="1" quotePrefix="1" applyNumberFormat="1" applyFont="1" applyFill="1" applyBorder="1" applyAlignment="1">
      <alignment horizontal="center" vertical="center" wrapText="1"/>
    </xf>
    <xf numFmtId="49" fontId="12" fillId="0" borderId="107" xfId="1" quotePrefix="1" applyNumberFormat="1" applyFont="1" applyFill="1" applyBorder="1" applyAlignment="1">
      <alignment horizontal="center" vertical="center" wrapText="1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170" fontId="21" fillId="70" borderId="1" xfId="1" applyNumberFormat="1" applyFont="1" applyFill="1" applyBorder="1" applyAlignment="1">
      <alignment horizontal="left"/>
    </xf>
    <xf numFmtId="164" fontId="3" fillId="0" borderId="107" xfId="0" applyNumberFormat="1" applyFont="1" applyBorder="1" applyAlignment="1">
      <alignment horizontal="center" vertical="center"/>
    </xf>
    <xf numFmtId="3" fontId="2" fillId="2" borderId="39" xfId="0" applyNumberFormat="1" applyFont="1" applyFill="1" applyBorder="1" applyAlignment="1">
      <alignment horizontal="center"/>
    </xf>
    <xf numFmtId="49" fontId="12" fillId="5" borderId="24" xfId="1" quotePrefix="1" applyNumberFormat="1" applyFont="1" applyFill="1" applyBorder="1" applyAlignment="1">
      <alignment horizontal="center" wrapText="1"/>
    </xf>
    <xf numFmtId="1" fontId="10" fillId="0" borderId="107" xfId="1" quotePrefix="1" applyNumberFormat="1" applyFont="1" applyFill="1" applyBorder="1" applyAlignment="1">
      <alignment horizontal="center" vertical="center"/>
    </xf>
    <xf numFmtId="164" fontId="2" fillId="15" borderId="24" xfId="0" applyNumberFormat="1" applyFont="1" applyFill="1" applyBorder="1" applyAlignment="1">
      <alignment horizontal="center"/>
    </xf>
    <xf numFmtId="49" fontId="56" fillId="0" borderId="131" xfId="0" applyNumberFormat="1" applyFont="1" applyBorder="1" applyAlignment="1">
      <alignment vertical="center"/>
    </xf>
    <xf numFmtId="2" fontId="5" fillId="2" borderId="73" xfId="0" applyNumberFormat="1" applyFont="1" applyFill="1" applyBorder="1" applyAlignment="1">
      <alignment horizontal="center"/>
    </xf>
    <xf numFmtId="172" fontId="2" fillId="0" borderId="1" xfId="2" quotePrefix="1" applyNumberFormat="1" applyFont="1" applyBorder="1" applyAlignment="1">
      <alignment horizontal="center"/>
    </xf>
    <xf numFmtId="166" fontId="10" fillId="0" borderId="43" xfId="1" quotePrefix="1" applyNumberFormat="1" applyFont="1" applyFill="1" applyBorder="1" applyAlignment="1">
      <alignment horizontal="center"/>
    </xf>
    <xf numFmtId="3" fontId="2" fillId="15" borderId="7" xfId="0" applyNumberFormat="1" applyFont="1" applyFill="1" applyBorder="1" applyAlignment="1">
      <alignment horizontal="center"/>
    </xf>
    <xf numFmtId="166" fontId="5" fillId="0" borderId="0" xfId="1" quotePrefix="1" applyNumberFormat="1" applyFont="1" applyFill="1" applyBorder="1" applyAlignment="1">
      <alignment horizontal="center" wrapText="1"/>
    </xf>
    <xf numFmtId="1" fontId="2" fillId="19" borderId="107" xfId="2" quotePrefix="1" applyNumberFormat="1" applyFont="1" applyFill="1" applyBorder="1" applyAlignment="1">
      <alignment horizontal="center"/>
    </xf>
    <xf numFmtId="166" fontId="6" fillId="0" borderId="107" xfId="1" applyNumberFormat="1" applyFont="1" applyFill="1" applyBorder="1" applyAlignment="1"/>
    <xf numFmtId="170" fontId="14" fillId="2" borderId="107" xfId="1" applyNumberFormat="1" applyFont="1" applyFill="1" applyBorder="1" applyAlignment="1">
      <alignment horizontal="center"/>
    </xf>
    <xf numFmtId="49" fontId="10" fillId="5" borderId="43" xfId="1" quotePrefix="1" applyNumberFormat="1" applyFont="1" applyFill="1" applyBorder="1" applyAlignment="1">
      <alignment horizontal="center"/>
    </xf>
    <xf numFmtId="164" fontId="2" fillId="0" borderId="107" xfId="0" quotePrefix="1" applyNumberFormat="1" applyFont="1" applyBorder="1" applyAlignment="1">
      <alignment horizontal="center" vertical="center"/>
    </xf>
    <xf numFmtId="166" fontId="10" fillId="5" borderId="43" xfId="1" quotePrefix="1" applyNumberFormat="1" applyFont="1" applyFill="1" applyBorder="1" applyAlignment="1">
      <alignment horizontal="center" vertical="center"/>
    </xf>
    <xf numFmtId="166" fontId="2" fillId="0" borderId="14" xfId="1" quotePrefix="1" applyNumberFormat="1" applyFont="1" applyFill="1" applyBorder="1" applyAlignment="1">
      <alignment horizontal="center" wrapText="1"/>
    </xf>
    <xf numFmtId="164" fontId="3" fillId="15" borderId="24" xfId="0" applyNumberFormat="1" applyFont="1" applyFill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 vertical="center"/>
    </xf>
    <xf numFmtId="3" fontId="2" fillId="2" borderId="42" xfId="0" applyNumberFormat="1" applyFont="1" applyFill="1" applyBorder="1" applyAlignment="1">
      <alignment horizontal="center" vertical="center"/>
    </xf>
    <xf numFmtId="166" fontId="10" fillId="5" borderId="13" xfId="1" quotePrefix="1" applyNumberFormat="1" applyFont="1" applyFill="1" applyBorder="1" applyAlignment="1">
      <alignment horizontal="center"/>
    </xf>
    <xf numFmtId="164" fontId="6" fillId="0" borderId="107" xfId="0" applyNumberFormat="1" applyFont="1" applyBorder="1" applyAlignment="1">
      <alignment horizontal="center" wrapText="1"/>
    </xf>
    <xf numFmtId="3" fontId="2" fillId="15" borderId="161" xfId="0" applyNumberFormat="1" applyFont="1" applyFill="1" applyBorder="1" applyAlignment="1">
      <alignment horizontal="center"/>
    </xf>
    <xf numFmtId="3" fontId="2" fillId="2" borderId="72" xfId="0" applyNumberFormat="1" applyFont="1" applyFill="1" applyBorder="1" applyAlignment="1">
      <alignment horizontal="center"/>
    </xf>
    <xf numFmtId="166" fontId="2" fillId="0" borderId="39" xfId="1" applyNumberFormat="1" applyFont="1" applyFill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/>
    </xf>
    <xf numFmtId="0" fontId="5" fillId="0" borderId="24" xfId="0" applyFont="1" applyBorder="1" applyAlignment="1">
      <alignment horizontal="center" vertical="center" wrapText="1"/>
    </xf>
    <xf numFmtId="0" fontId="5" fillId="2" borderId="107" xfId="0" applyFont="1" applyFill="1" applyBorder="1" applyAlignment="1">
      <alignment horizontal="center"/>
    </xf>
    <xf numFmtId="3" fontId="2" fillId="2" borderId="13" xfId="0" applyNumberFormat="1" applyFont="1" applyFill="1" applyBorder="1" applyAlignment="1">
      <alignment horizontal="center"/>
    </xf>
    <xf numFmtId="2" fontId="12" fillId="5" borderId="43" xfId="1" quotePrefix="1" applyNumberFormat="1" applyFont="1" applyFill="1" applyBorder="1" applyAlignment="1">
      <alignment horizontal="center" wrapText="1"/>
    </xf>
    <xf numFmtId="49" fontId="12" fillId="5" borderId="43" xfId="1" quotePrefix="1" applyNumberFormat="1" applyFont="1" applyFill="1" applyBorder="1" applyAlignment="1">
      <alignment horizontal="center" vertical="center" wrapText="1"/>
    </xf>
    <xf numFmtId="170" fontId="21" fillId="14" borderId="107" xfId="1" applyNumberFormat="1" applyFont="1" applyFill="1" applyBorder="1" applyAlignment="1">
      <alignment horizontal="left" vertical="center"/>
    </xf>
    <xf numFmtId="3" fontId="2" fillId="2" borderId="43" xfId="0" applyNumberFormat="1" applyFont="1" applyFill="1" applyBorder="1" applyAlignment="1">
      <alignment horizontal="center" vertical="center"/>
    </xf>
    <xf numFmtId="3" fontId="2" fillId="2" borderId="55" xfId="0" applyNumberFormat="1" applyFont="1" applyFill="1" applyBorder="1" applyAlignment="1">
      <alignment horizontal="center"/>
    </xf>
    <xf numFmtId="166" fontId="14" fillId="19" borderId="24" xfId="1" applyNumberFormat="1" applyFont="1" applyFill="1" applyBorder="1" applyAlignment="1">
      <alignment vertical="center"/>
    </xf>
    <xf numFmtId="166" fontId="14" fillId="19" borderId="107" xfId="1" applyNumberFormat="1" applyFont="1" applyFill="1" applyBorder="1" applyAlignment="1">
      <alignment vertical="center"/>
    </xf>
    <xf numFmtId="166" fontId="14" fillId="19" borderId="83" xfId="1" applyNumberFormat="1" applyFont="1" applyFill="1" applyBorder="1" applyAlignment="1">
      <alignment horizontal="center"/>
    </xf>
    <xf numFmtId="49" fontId="10" fillId="5" borderId="107" xfId="1" quotePrefix="1" applyNumberFormat="1" applyFont="1" applyFill="1" applyBorder="1" applyAlignment="1">
      <alignment horizontal="center"/>
    </xf>
    <xf numFmtId="1" fontId="12" fillId="5" borderId="107" xfId="1" quotePrefix="1" applyNumberFormat="1" applyFont="1" applyFill="1" applyBorder="1" applyAlignment="1">
      <alignment horizontal="center"/>
    </xf>
    <xf numFmtId="164" fontId="10" fillId="0" borderId="107" xfId="0" applyNumberFormat="1" applyFont="1" applyBorder="1" applyAlignment="1">
      <alignment horizontal="center" vertical="center"/>
    </xf>
    <xf numFmtId="14" fontId="10" fillId="0" borderId="107" xfId="0" applyNumberFormat="1" applyFont="1" applyBorder="1" applyAlignment="1">
      <alignment horizontal="center" vertical="center"/>
    </xf>
    <xf numFmtId="0" fontId="34" fillId="0" borderId="107" xfId="0" applyFont="1" applyBorder="1" applyAlignment="1">
      <alignment vertical="top"/>
    </xf>
    <xf numFmtId="0" fontId="2" fillId="15" borderId="107" xfId="0" applyFont="1" applyFill="1" applyBorder="1" applyAlignment="1">
      <alignment horizontal="center"/>
    </xf>
    <xf numFmtId="164" fontId="2" fillId="0" borderId="107" xfId="0" quotePrefix="1" applyNumberFormat="1" applyFont="1" applyBorder="1"/>
    <xf numFmtId="44" fontId="12" fillId="5" borderId="43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49" fontId="12" fillId="5" borderId="131" xfId="1" quotePrefix="1" applyNumberFormat="1" applyFont="1" applyFill="1" applyBorder="1" applyAlignment="1">
      <alignment horizontal="center" vertical="center" wrapText="1"/>
    </xf>
    <xf numFmtId="2" fontId="10" fillId="5" borderId="13" xfId="1" quotePrefix="1" applyNumberFormat="1" applyFont="1" applyFill="1" applyBorder="1" applyAlignment="1">
      <alignment horizontal="center"/>
    </xf>
    <xf numFmtId="14" fontId="5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10" fillId="0" borderId="7" xfId="0" applyNumberFormat="1" applyFont="1" applyBorder="1" applyAlignment="1">
      <alignment horizontal="center" vertical="center" wrapText="1"/>
    </xf>
    <xf numFmtId="1" fontId="202" fillId="0" borderId="107" xfId="0" applyNumberFormat="1" applyFont="1" applyBorder="1" applyAlignment="1">
      <alignment vertical="center"/>
    </xf>
    <xf numFmtId="3" fontId="2" fillId="0" borderId="32" xfId="0" applyNumberFormat="1" applyFont="1" applyBorder="1" applyAlignment="1">
      <alignment horizontal="center"/>
    </xf>
    <xf numFmtId="0" fontId="200" fillId="0" borderId="107" xfId="0" applyFont="1" applyBorder="1" applyAlignment="1">
      <alignment horizontal="center"/>
    </xf>
    <xf numFmtId="1" fontId="4" fillId="0" borderId="0" xfId="0" applyNumberFormat="1" applyFont="1"/>
    <xf numFmtId="170" fontId="14" fillId="12" borderId="107" xfId="1" applyNumberFormat="1" applyFont="1" applyFill="1" applyBorder="1" applyAlignment="1">
      <alignment vertical="center"/>
    </xf>
    <xf numFmtId="49" fontId="3" fillId="0" borderId="107" xfId="2" quotePrefix="1" applyNumberFormat="1" applyFont="1" applyBorder="1" applyAlignment="1">
      <alignment horizontal="center"/>
    </xf>
    <xf numFmtId="2" fontId="12" fillId="5" borderId="24" xfId="1" quotePrefix="1" applyNumberFormat="1" applyFont="1" applyFill="1" applyBorder="1" applyAlignment="1">
      <alignment horizontal="center"/>
    </xf>
    <xf numFmtId="0" fontId="2" fillId="3" borderId="83" xfId="0" quotePrefix="1" applyFont="1" applyFill="1" applyBorder="1" applyAlignment="1">
      <alignment horizontal="center"/>
    </xf>
    <xf numFmtId="0" fontId="2" fillId="3" borderId="24" xfId="0" quotePrefix="1" applyFont="1" applyFill="1" applyBorder="1" applyAlignment="1">
      <alignment horizontal="center"/>
    </xf>
    <xf numFmtId="166" fontId="19" fillId="12" borderId="107" xfId="1" applyNumberFormat="1" applyFont="1" applyFill="1" applyBorder="1" applyAlignment="1">
      <alignment vertical="center"/>
    </xf>
    <xf numFmtId="2" fontId="21" fillId="2" borderId="1" xfId="0" applyNumberFormat="1" applyFont="1" applyFill="1" applyBorder="1" applyAlignment="1">
      <alignment horizontal="center" vertical="center" wrapText="1"/>
    </xf>
    <xf numFmtId="14" fontId="2" fillId="0" borderId="107" xfId="0" quotePrefix="1" applyNumberFormat="1" applyFont="1" applyBorder="1" applyAlignment="1">
      <alignment horizontal="center" wrapText="1"/>
    </xf>
    <xf numFmtId="14" fontId="2" fillId="0" borderId="130" xfId="0" quotePrefix="1" applyNumberFormat="1" applyFont="1" applyBorder="1" applyAlignment="1">
      <alignment horizontal="center"/>
    </xf>
    <xf numFmtId="0" fontId="2" fillId="0" borderId="108" xfId="0" quotePrefix="1" applyFont="1" applyBorder="1" applyAlignment="1">
      <alignment horizontal="center"/>
    </xf>
    <xf numFmtId="164" fontId="5" fillId="0" borderId="110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4" fontId="136" fillId="2" borderId="162" xfId="0" applyNumberFormat="1" applyFont="1" applyFill="1" applyBorder="1" applyAlignment="1">
      <alignment horizontal="center"/>
    </xf>
    <xf numFmtId="164" fontId="200" fillId="0" borderId="34" xfId="0" applyNumberFormat="1" applyFont="1" applyBorder="1" applyAlignment="1">
      <alignment horizontal="center" vertical="center" wrapText="1"/>
    </xf>
    <xf numFmtId="0" fontId="2" fillId="0" borderId="130" xfId="0" applyFont="1" applyBorder="1" applyAlignment="1">
      <alignment horizontal="center"/>
    </xf>
    <xf numFmtId="164" fontId="3" fillId="0" borderId="131" xfId="0" applyNumberFormat="1" applyFont="1" applyBorder="1" applyAlignment="1">
      <alignment horizontal="center"/>
    </xf>
    <xf numFmtId="3" fontId="2" fillId="0" borderId="110" xfId="0" applyNumberFormat="1" applyFont="1" applyBorder="1" applyAlignment="1">
      <alignment horizontal="center"/>
    </xf>
    <xf numFmtId="166" fontId="10" fillId="0" borderId="131" xfId="1" quotePrefix="1" applyNumberFormat="1" applyFont="1" applyFill="1" applyBorder="1" applyAlignment="1">
      <alignment horizontal="center"/>
    </xf>
    <xf numFmtId="166" fontId="12" fillId="0" borderId="131" xfId="1" quotePrefix="1" applyNumberFormat="1" applyFont="1" applyFill="1" applyBorder="1" applyAlignment="1">
      <alignment horizontal="center" wrapText="1"/>
    </xf>
    <xf numFmtId="49" fontId="10" fillId="0" borderId="131" xfId="1" quotePrefix="1" applyNumberFormat="1" applyFont="1" applyFill="1" applyBorder="1" applyAlignment="1">
      <alignment horizontal="center"/>
    </xf>
    <xf numFmtId="14" fontId="200" fillId="0" borderId="107" xfId="0" applyNumberFormat="1" applyFont="1" applyBorder="1" applyAlignment="1">
      <alignment horizontal="center"/>
    </xf>
    <xf numFmtId="166" fontId="214" fillId="5" borderId="107" xfId="1" quotePrefix="1" applyNumberFormat="1" applyFont="1" applyFill="1" applyBorder="1" applyAlignment="1">
      <alignment horizontal="center"/>
    </xf>
    <xf numFmtId="166" fontId="10" fillId="0" borderId="43" xfId="1" quotePrefix="1" applyNumberFormat="1" applyFont="1" applyFill="1" applyBorder="1" applyAlignment="1">
      <alignment horizontal="center" vertical="center"/>
    </xf>
    <xf numFmtId="166" fontId="10" fillId="0" borderId="162" xfId="1" quotePrefix="1" applyNumberFormat="1" applyFont="1" applyFill="1" applyBorder="1" applyAlignment="1">
      <alignment horizontal="center" vertical="center"/>
    </xf>
    <xf numFmtId="166" fontId="213" fillId="0" borderId="43" xfId="1" quotePrefix="1" applyNumberFormat="1" applyFont="1" applyFill="1" applyBorder="1" applyAlignment="1">
      <alignment horizontal="center"/>
    </xf>
    <xf numFmtId="1" fontId="215" fillId="0" borderId="107" xfId="0" applyNumberFormat="1" applyFont="1" applyBorder="1" applyAlignment="1">
      <alignment vertical="center"/>
    </xf>
    <xf numFmtId="166" fontId="14" fillId="19" borderId="1" xfId="1" applyNumberFormat="1" applyFont="1" applyFill="1" applyBorder="1" applyAlignment="1"/>
    <xf numFmtId="170" fontId="14" fillId="19" borderId="73" xfId="1" applyNumberFormat="1" applyFont="1" applyFill="1" applyBorder="1" applyAlignment="1"/>
    <xf numFmtId="166" fontId="14" fillId="19" borderId="24" xfId="1" applyNumberFormat="1" applyFont="1" applyFill="1" applyBorder="1" applyAlignment="1"/>
    <xf numFmtId="170" fontId="14" fillId="2" borderId="107" xfId="1" applyNumberFormat="1" applyFont="1" applyFill="1" applyBorder="1" applyAlignment="1">
      <alignment wrapText="1"/>
    </xf>
    <xf numFmtId="0" fontId="3" fillId="2" borderId="107" xfId="0" applyFont="1" applyFill="1" applyBorder="1" applyAlignment="1">
      <alignment horizontal="center" wrapText="1"/>
    </xf>
    <xf numFmtId="164" fontId="3" fillId="15" borderId="1" xfId="0" applyNumberFormat="1" applyFont="1" applyFill="1" applyBorder="1" applyAlignment="1">
      <alignment horizontal="center"/>
    </xf>
    <xf numFmtId="166" fontId="2" fillId="5" borderId="107" xfId="1" applyNumberFormat="1" applyFont="1" applyFill="1" applyBorder="1" applyAlignment="1">
      <alignment horizontal="center"/>
    </xf>
    <xf numFmtId="164" fontId="11" fillId="2" borderId="24" xfId="0" applyNumberFormat="1" applyFont="1" applyFill="1" applyBorder="1" applyAlignment="1">
      <alignment horizontal="center" wrapText="1"/>
    </xf>
    <xf numFmtId="0" fontId="21" fillId="2" borderId="24" xfId="0" applyFont="1" applyFill="1" applyBorder="1" applyAlignment="1">
      <alignment horizontal="center"/>
    </xf>
    <xf numFmtId="0" fontId="23" fillId="2" borderId="24" xfId="0" applyFont="1" applyFill="1" applyBorder="1" applyAlignment="1">
      <alignment horizontal="center"/>
    </xf>
    <xf numFmtId="180" fontId="22" fillId="2" borderId="24" xfId="0" applyNumberFormat="1" applyFont="1" applyFill="1" applyBorder="1" applyAlignment="1">
      <alignment horizontal="center" vertical="center" wrapText="1"/>
    </xf>
    <xf numFmtId="0" fontId="19" fillId="2" borderId="15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/>
    </xf>
    <xf numFmtId="0" fontId="23" fillId="2" borderId="111" xfId="0" applyFont="1" applyFill="1" applyBorder="1" applyAlignment="1">
      <alignment horizontal="center"/>
    </xf>
    <xf numFmtId="180" fontId="22" fillId="2" borderId="111" xfId="0" applyNumberFormat="1" applyFont="1" applyFill="1" applyBorder="1" applyAlignment="1">
      <alignment horizontal="center" vertical="center" wrapText="1"/>
    </xf>
    <xf numFmtId="0" fontId="23" fillId="2" borderId="111" xfId="0" applyFont="1" applyFill="1" applyBorder="1" applyAlignment="1">
      <alignment horizontal="center" vertical="center"/>
    </xf>
    <xf numFmtId="0" fontId="21" fillId="2" borderId="111" xfId="0" applyFont="1" applyFill="1" applyBorder="1" applyAlignment="1">
      <alignment horizontal="center" vertical="center"/>
    </xf>
    <xf numFmtId="172" fontId="21" fillId="2" borderId="111" xfId="1" applyNumberFormat="1" applyFont="1" applyFill="1" applyBorder="1" applyAlignment="1">
      <alignment horizontal="center" vertical="center"/>
    </xf>
    <xf numFmtId="169" fontId="19" fillId="2" borderId="111" xfId="0" applyNumberFormat="1" applyFont="1" applyFill="1" applyBorder="1" applyAlignment="1">
      <alignment horizontal="center" vertical="center" wrapText="1"/>
    </xf>
    <xf numFmtId="0" fontId="21" fillId="2" borderId="111" xfId="0" applyFont="1" applyFill="1" applyBorder="1" applyAlignment="1">
      <alignment horizontal="center" vertical="center" wrapText="1"/>
    </xf>
    <xf numFmtId="2" fontId="21" fillId="2" borderId="111" xfId="1" applyNumberFormat="1" applyFont="1" applyFill="1" applyBorder="1" applyAlignment="1">
      <alignment vertical="center"/>
    </xf>
    <xf numFmtId="166" fontId="21" fillId="2" borderId="111" xfId="1" applyNumberFormat="1" applyFont="1" applyFill="1" applyBorder="1" applyAlignment="1">
      <alignment vertical="center"/>
    </xf>
    <xf numFmtId="0" fontId="20" fillId="2" borderId="111" xfId="0" applyFont="1" applyFill="1" applyBorder="1" applyAlignment="1">
      <alignment horizontal="center" vertical="center"/>
    </xf>
    <xf numFmtId="49" fontId="24" fillId="2" borderId="111" xfId="0" applyNumberFormat="1" applyFont="1" applyFill="1" applyBorder="1" applyAlignment="1">
      <alignment horizontal="center" vertical="center"/>
    </xf>
    <xf numFmtId="0" fontId="19" fillId="2" borderId="143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/>
    </xf>
    <xf numFmtId="0" fontId="23" fillId="2" borderId="125" xfId="0" applyFont="1" applyFill="1" applyBorder="1" applyAlignment="1">
      <alignment horizontal="center"/>
    </xf>
    <xf numFmtId="180" fontId="22" fillId="2" borderId="125" xfId="0" applyNumberFormat="1" applyFont="1" applyFill="1" applyBorder="1" applyAlignment="1">
      <alignment horizontal="center" vertical="center" wrapText="1"/>
    </xf>
    <xf numFmtId="0" fontId="23" fillId="2" borderId="125" xfId="0" applyFont="1" applyFill="1" applyBorder="1" applyAlignment="1">
      <alignment horizontal="center" vertical="center"/>
    </xf>
    <xf numFmtId="0" fontId="21" fillId="2" borderId="125" xfId="0" applyFont="1" applyFill="1" applyBorder="1" applyAlignment="1">
      <alignment horizontal="center" vertical="center"/>
    </xf>
    <xf numFmtId="172" fontId="21" fillId="2" borderId="125" xfId="1" applyNumberFormat="1" applyFont="1" applyFill="1" applyBorder="1" applyAlignment="1">
      <alignment horizontal="center" vertical="center"/>
    </xf>
    <xf numFmtId="169" fontId="19" fillId="2" borderId="125" xfId="0" applyNumberFormat="1" applyFont="1" applyFill="1" applyBorder="1" applyAlignment="1">
      <alignment horizontal="center" vertical="center" wrapText="1"/>
    </xf>
    <xf numFmtId="0" fontId="21" fillId="2" borderId="125" xfId="0" applyFont="1" applyFill="1" applyBorder="1" applyAlignment="1">
      <alignment horizontal="center" vertical="center" wrapText="1"/>
    </xf>
    <xf numFmtId="2" fontId="21" fillId="2" borderId="125" xfId="1" applyNumberFormat="1" applyFont="1" applyFill="1" applyBorder="1" applyAlignment="1">
      <alignment vertical="center"/>
    </xf>
    <xf numFmtId="166" fontId="21" fillId="2" borderId="125" xfId="1" applyNumberFormat="1" applyFont="1" applyFill="1" applyBorder="1" applyAlignment="1">
      <alignment vertical="center"/>
    </xf>
    <xf numFmtId="0" fontId="20" fillId="2" borderId="125" xfId="0" applyFont="1" applyFill="1" applyBorder="1" applyAlignment="1">
      <alignment horizontal="center" vertical="center"/>
    </xf>
    <xf numFmtId="49" fontId="24" fillId="2" borderId="125" xfId="0" applyNumberFormat="1" applyFont="1" applyFill="1" applyBorder="1" applyAlignment="1">
      <alignment horizontal="center" vertical="center"/>
    </xf>
    <xf numFmtId="0" fontId="29" fillId="2" borderId="107" xfId="0" applyFont="1" applyFill="1" applyBorder="1" applyAlignment="1">
      <alignment vertical="center"/>
    </xf>
    <xf numFmtId="0" fontId="23" fillId="8" borderId="107" xfId="0" applyFont="1" applyFill="1" applyBorder="1" applyAlignment="1">
      <alignment horizontal="center" vertical="center" wrapText="1"/>
    </xf>
    <xf numFmtId="164" fontId="136" fillId="2" borderId="24" xfId="0" quotePrefix="1" applyNumberFormat="1" applyFont="1" applyFill="1" applyBorder="1" applyAlignment="1">
      <alignment horizontal="center"/>
    </xf>
    <xf numFmtId="3" fontId="2" fillId="2" borderId="131" xfId="0" applyNumberFormat="1" applyFont="1" applyFill="1" applyBorder="1" applyAlignment="1">
      <alignment horizontal="center"/>
    </xf>
    <xf numFmtId="166" fontId="14" fillId="2" borderId="130" xfId="1" applyNumberFormat="1" applyFont="1" applyFill="1" applyBorder="1" applyAlignment="1"/>
    <xf numFmtId="175" fontId="24" fillId="2" borderId="125" xfId="0" applyNumberFormat="1" applyFont="1" applyFill="1" applyBorder="1" applyAlignment="1">
      <alignment horizontal="center" vertical="center"/>
    </xf>
    <xf numFmtId="180" fontId="21" fillId="2" borderId="125" xfId="0" quotePrefix="1" applyNumberFormat="1" applyFont="1" applyFill="1" applyBorder="1" applyAlignment="1">
      <alignment horizontal="center" vertical="center"/>
    </xf>
    <xf numFmtId="175" fontId="24" fillId="2" borderId="111" xfId="0" applyNumberFormat="1" applyFont="1" applyFill="1" applyBorder="1" applyAlignment="1">
      <alignment horizontal="center" vertical="center"/>
    </xf>
    <xf numFmtId="14" fontId="2" fillId="0" borderId="0" xfId="0" quotePrefix="1" applyNumberFormat="1" applyFont="1" applyAlignment="1">
      <alignment horizontal="center"/>
    </xf>
    <xf numFmtId="166" fontId="6" fillId="5" borderId="43" xfId="1" quotePrefix="1" applyNumberFormat="1" applyFont="1" applyFill="1" applyBorder="1" applyAlignment="1">
      <alignment horizontal="center"/>
    </xf>
    <xf numFmtId="169" fontId="19" fillId="2" borderId="125" xfId="0" applyNumberFormat="1" applyFont="1" applyFill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2" fillId="15" borderId="107" xfId="0" applyFont="1" applyFill="1" applyBorder="1" applyAlignment="1">
      <alignment horizontal="center" vertical="center"/>
    </xf>
    <xf numFmtId="2" fontId="2" fillId="0" borderId="43" xfId="2" quotePrefix="1" applyNumberFormat="1" applyFont="1" applyBorder="1"/>
    <xf numFmtId="43" fontId="10" fillId="5" borderId="13" xfId="1" quotePrefix="1" applyFont="1" applyFill="1" applyBorder="1" applyAlignment="1">
      <alignment horizontal="center"/>
    </xf>
    <xf numFmtId="0" fontId="24" fillId="2" borderId="111" xfId="0" applyFont="1" applyFill="1" applyBorder="1" applyAlignment="1">
      <alignment horizontal="center" vertical="center"/>
    </xf>
    <xf numFmtId="0" fontId="24" fillId="2" borderId="125" xfId="0" applyFont="1" applyFill="1" applyBorder="1" applyAlignment="1">
      <alignment horizontal="center" vertical="center"/>
    </xf>
    <xf numFmtId="170" fontId="21" fillId="70" borderId="111" xfId="1" applyNumberFormat="1" applyFont="1" applyFill="1" applyBorder="1" applyAlignment="1">
      <alignment horizontal="left" vertical="center" indent="1"/>
    </xf>
    <xf numFmtId="0" fontId="20" fillId="2" borderId="24" xfId="0" applyFont="1" applyFill="1" applyBorder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166" fontId="19" fillId="2" borderId="0" xfId="0" applyNumberFormat="1" applyFont="1" applyFill="1"/>
    <xf numFmtId="169" fontId="19" fillId="2" borderId="24" xfId="0" applyNumberFormat="1" applyFont="1" applyFill="1" applyBorder="1" applyAlignment="1">
      <alignment horizontal="center" vertical="center"/>
    </xf>
    <xf numFmtId="169" fontId="19" fillId="2" borderId="111" xfId="0" applyNumberFormat="1" applyFont="1" applyFill="1" applyBorder="1" applyAlignment="1">
      <alignment horizontal="center" vertical="center"/>
    </xf>
    <xf numFmtId="2" fontId="19" fillId="0" borderId="111" xfId="1" quotePrefix="1" applyNumberFormat="1" applyFont="1" applyFill="1" applyBorder="1" applyAlignment="1">
      <alignment horizontal="center" vertical="center" wrapText="1"/>
    </xf>
    <xf numFmtId="164" fontId="6" fillId="0" borderId="83" xfId="0" applyNumberFormat="1" applyFont="1" applyBorder="1" applyAlignment="1">
      <alignment horizontal="center" vertical="center"/>
    </xf>
    <xf numFmtId="164" fontId="11" fillId="2" borderId="24" xfId="0" applyNumberFormat="1" applyFont="1" applyFill="1" applyBorder="1" applyAlignment="1">
      <alignment horizontal="center" vertical="center" wrapText="1"/>
    </xf>
    <xf numFmtId="0" fontId="2" fillId="2" borderId="83" xfId="0" quotePrefix="1" applyFont="1" applyFill="1" applyBorder="1" applyAlignment="1">
      <alignment horizontal="left" vertical="center"/>
    </xf>
    <xf numFmtId="166" fontId="21" fillId="14" borderId="111" xfId="1" applyNumberFormat="1" applyFont="1" applyFill="1" applyBorder="1" applyAlignment="1">
      <alignment vertical="center"/>
    </xf>
    <xf numFmtId="166" fontId="21" fillId="14" borderId="24" xfId="1" applyNumberFormat="1" applyFont="1" applyFill="1" applyBorder="1" applyAlignment="1">
      <alignment vertical="center"/>
    </xf>
    <xf numFmtId="166" fontId="19" fillId="70" borderId="107" xfId="1" applyNumberFormat="1" applyFont="1" applyFill="1" applyBorder="1" applyAlignment="1">
      <alignment vertical="center"/>
    </xf>
    <xf numFmtId="0" fontId="14" fillId="2" borderId="24" xfId="1" applyNumberFormat="1" applyFont="1" applyFill="1" applyBorder="1" applyAlignment="1"/>
    <xf numFmtId="14" fontId="2" fillId="0" borderId="1" xfId="0" quotePrefix="1" applyNumberFormat="1" applyFont="1" applyBorder="1" applyAlignment="1">
      <alignment horizontal="center" vertical="center"/>
    </xf>
    <xf numFmtId="164" fontId="11" fillId="2" borderId="43" xfId="0" applyNumberFormat="1" applyFont="1" applyFill="1" applyBorder="1" applyAlignment="1">
      <alignment horizontal="center"/>
    </xf>
    <xf numFmtId="49" fontId="2" fillId="2" borderId="131" xfId="2" quotePrefix="1" applyNumberFormat="1" applyFont="1" applyFill="1" applyBorder="1" applyAlignment="1">
      <alignment horizontal="center" vertical="center" wrapText="1"/>
    </xf>
    <xf numFmtId="181" fontId="10" fillId="5" borderId="13" xfId="1" quotePrefix="1" applyNumberFormat="1" applyFont="1" applyFill="1" applyBorder="1" applyAlignment="1">
      <alignment horizontal="center"/>
    </xf>
    <xf numFmtId="166" fontId="21" fillId="19" borderId="107" xfId="1" applyNumberFormat="1" applyFont="1" applyFill="1" applyBorder="1" applyAlignment="1">
      <alignment vertical="center"/>
    </xf>
    <xf numFmtId="164" fontId="3" fillId="0" borderId="55" xfId="0" applyNumberFormat="1" applyFont="1" applyBorder="1" applyAlignment="1">
      <alignment vertical="center"/>
    </xf>
    <xf numFmtId="164" fontId="3" fillId="3" borderId="43" xfId="0" applyNumberFormat="1" applyFont="1" applyFill="1" applyBorder="1" applyAlignment="1">
      <alignment horizontal="center" vertical="center" wrapText="1"/>
    </xf>
    <xf numFmtId="0" fontId="5" fillId="3" borderId="107" xfId="0" applyFont="1" applyFill="1" applyBorder="1" applyAlignment="1">
      <alignment horizontal="center"/>
    </xf>
    <xf numFmtId="0" fontId="5" fillId="2" borderId="107" xfId="0" applyFont="1" applyFill="1" applyBorder="1" applyAlignment="1">
      <alignment horizontal="center" wrapText="1"/>
    </xf>
    <xf numFmtId="166" fontId="19" fillId="19" borderId="111" xfId="1" applyNumberFormat="1" applyFont="1" applyFill="1" applyBorder="1" applyAlignment="1">
      <alignment vertical="center"/>
    </xf>
    <xf numFmtId="166" fontId="21" fillId="19" borderId="111" xfId="1" applyNumberFormat="1" applyFont="1" applyFill="1" applyBorder="1" applyAlignment="1">
      <alignment vertical="center"/>
    </xf>
    <xf numFmtId="166" fontId="21" fillId="19" borderId="125" xfId="1" applyNumberFormat="1" applyFont="1" applyFill="1" applyBorder="1" applyAlignment="1">
      <alignment vertical="center"/>
    </xf>
    <xf numFmtId="166" fontId="19" fillId="19" borderId="108" xfId="1" applyNumberFormat="1" applyFont="1" applyFill="1" applyBorder="1" applyAlignment="1">
      <alignment vertical="center"/>
    </xf>
    <xf numFmtId="166" fontId="21" fillId="19" borderId="108" xfId="1" applyNumberFormat="1" applyFont="1" applyFill="1" applyBorder="1" applyAlignment="1">
      <alignment vertical="center"/>
    </xf>
    <xf numFmtId="170" fontId="21" fillId="19" borderId="111" xfId="1" applyNumberFormat="1" applyFont="1" applyFill="1" applyBorder="1" applyAlignment="1">
      <alignment vertical="center"/>
    </xf>
    <xf numFmtId="170" fontId="21" fillId="19" borderId="125" xfId="1" applyNumberFormat="1" applyFont="1" applyFill="1" applyBorder="1" applyAlignment="1">
      <alignment vertical="center"/>
    </xf>
    <xf numFmtId="170" fontId="21" fillId="19" borderId="24" xfId="1" applyNumberFormat="1" applyFont="1" applyFill="1" applyBorder="1" applyAlignment="1">
      <alignment vertical="center"/>
    </xf>
    <xf numFmtId="2" fontId="21" fillId="0" borderId="111" xfId="1" applyNumberFormat="1" applyFont="1" applyFill="1" applyBorder="1" applyAlignment="1">
      <alignment vertical="center"/>
    </xf>
    <xf numFmtId="170" fontId="14" fillId="19" borderId="107" xfId="1" applyNumberFormat="1" applyFont="1" applyFill="1" applyBorder="1" applyAlignment="1">
      <alignment vertical="center"/>
    </xf>
    <xf numFmtId="170" fontId="14" fillId="19" borderId="73" xfId="1" applyNumberFormat="1" applyFont="1" applyFill="1" applyBorder="1" applyAlignment="1">
      <alignment vertical="center"/>
    </xf>
    <xf numFmtId="0" fontId="21" fillId="2" borderId="112" xfId="0" applyFont="1" applyFill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0" fontId="14" fillId="0" borderId="1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49" fontId="6" fillId="0" borderId="118" xfId="2" quotePrefix="1" applyNumberFormat="1" applyFont="1" applyBorder="1" applyAlignment="1">
      <alignment horizontal="center" vertical="center" wrapText="1"/>
    </xf>
    <xf numFmtId="49" fontId="6" fillId="0" borderId="34" xfId="2" quotePrefix="1" applyNumberFormat="1" applyFont="1" applyBorder="1" applyAlignment="1">
      <alignment horizontal="center" vertical="center" wrapText="1"/>
    </xf>
    <xf numFmtId="49" fontId="2" fillId="0" borderId="24" xfId="0" applyNumberFormat="1" applyFont="1" applyBorder="1" applyAlignment="1">
      <alignment horizontal="center" vertical="center" wrapText="1"/>
    </xf>
    <xf numFmtId="0" fontId="2" fillId="0" borderId="34" xfId="0" quotePrefix="1" applyFont="1" applyBorder="1" applyAlignment="1">
      <alignment horizontal="center" vertical="center" wrapText="1"/>
    </xf>
    <xf numFmtId="0" fontId="2" fillId="0" borderId="108" xfId="0" quotePrefix="1" applyFont="1" applyBorder="1" applyAlignment="1">
      <alignment horizontal="center" vertical="center"/>
    </xf>
    <xf numFmtId="166" fontId="10" fillId="5" borderId="107" xfId="1" quotePrefix="1" applyNumberFormat="1" applyFont="1" applyFill="1" applyBorder="1" applyAlignment="1">
      <alignment horizontal="center"/>
    </xf>
    <xf numFmtId="0" fontId="21" fillId="2" borderId="131" xfId="0" applyFont="1" applyFill="1" applyBorder="1" applyAlignment="1">
      <alignment horizontal="center" vertical="center" wrapText="1"/>
    </xf>
    <xf numFmtId="0" fontId="21" fillId="2" borderId="132" xfId="0" applyFont="1" applyFill="1" applyBorder="1" applyAlignment="1">
      <alignment horizontal="center" vertical="center"/>
    </xf>
    <xf numFmtId="49" fontId="56" fillId="0" borderId="130" xfId="0" applyNumberFormat="1" applyFont="1" applyBorder="1" applyAlignment="1">
      <alignment vertical="center"/>
    </xf>
    <xf numFmtId="0" fontId="21" fillId="2" borderId="108" xfId="0" applyFont="1" applyFill="1" applyBorder="1" applyAlignment="1">
      <alignment horizontal="center" vertical="center" wrapText="1"/>
    </xf>
    <xf numFmtId="0" fontId="2" fillId="3" borderId="107" xfId="0" applyFont="1" applyFill="1" applyBorder="1" applyAlignment="1">
      <alignment horizontal="center" vertical="center"/>
    </xf>
    <xf numFmtId="49" fontId="2" fillId="2" borderId="162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vertical="center" wrapText="1"/>
    </xf>
    <xf numFmtId="0" fontId="14" fillId="0" borderId="162" xfId="7" applyFont="1" applyBorder="1" applyAlignment="1">
      <alignment horizontal="center" vertical="center" wrapText="1"/>
    </xf>
    <xf numFmtId="22" fontId="2" fillId="0" borderId="112" xfId="0" applyNumberFormat="1" applyFont="1" applyBorder="1" applyAlignment="1">
      <alignment horizontal="center" vertical="center"/>
    </xf>
    <xf numFmtId="164" fontId="2" fillId="0" borderId="113" xfId="0" applyNumberFormat="1" applyFont="1" applyBorder="1" applyAlignment="1">
      <alignment horizontal="center" vertical="center"/>
    </xf>
    <xf numFmtId="0" fontId="2" fillId="0" borderId="113" xfId="0" applyFont="1" applyBorder="1" applyAlignment="1">
      <alignment horizontal="center" vertical="center"/>
    </xf>
    <xf numFmtId="49" fontId="2" fillId="2" borderId="127" xfId="2" quotePrefix="1" applyNumberFormat="1" applyFont="1" applyFill="1" applyBorder="1" applyAlignment="1">
      <alignment horizontal="center" vertical="center" wrapText="1"/>
    </xf>
    <xf numFmtId="49" fontId="2" fillId="2" borderId="113" xfId="2" quotePrefix="1" applyNumberFormat="1" applyFont="1" applyFill="1" applyBorder="1" applyAlignment="1">
      <alignment horizontal="center" wrapText="1"/>
    </xf>
    <xf numFmtId="166" fontId="21" fillId="3" borderId="107" xfId="1" applyNumberFormat="1" applyFont="1" applyFill="1" applyBorder="1" applyAlignment="1">
      <alignment horizontal="center"/>
    </xf>
    <xf numFmtId="0" fontId="2" fillId="2" borderId="132" xfId="0" quotePrefix="1" applyFont="1" applyFill="1" applyBorder="1" applyAlignment="1">
      <alignment horizontal="center"/>
    </xf>
    <xf numFmtId="14" fontId="10" fillId="0" borderId="83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3" fillId="2" borderId="0" xfId="0" applyNumberFormat="1" applyFont="1" applyFill="1" applyAlignment="1">
      <alignment horizontal="center"/>
    </xf>
    <xf numFmtId="164" fontId="3" fillId="0" borderId="19" xfId="0" applyNumberFormat="1" applyFont="1" applyBorder="1" applyAlignment="1">
      <alignment horizontal="center"/>
    </xf>
    <xf numFmtId="164" fontId="3" fillId="0" borderId="43" xfId="0" applyNumberFormat="1" applyFont="1" applyBorder="1" applyAlignment="1">
      <alignment horizontal="center" vertical="center"/>
    </xf>
    <xf numFmtId="166" fontId="6" fillId="0" borderId="107" xfId="1" quotePrefix="1" applyNumberFormat="1" applyFont="1" applyFill="1" applyBorder="1" applyAlignment="1">
      <alignment horizontal="center" wrapText="1"/>
    </xf>
    <xf numFmtId="1" fontId="10" fillId="5" borderId="13" xfId="1" quotePrefix="1" applyNumberFormat="1" applyFont="1" applyFill="1" applyBorder="1" applyAlignment="1">
      <alignment horizontal="center" vertical="center"/>
    </xf>
    <xf numFmtId="166" fontId="12" fillId="78" borderId="43" xfId="1" quotePrefix="1" applyNumberFormat="1" applyFont="1" applyFill="1" applyBorder="1" applyAlignment="1">
      <alignment horizontal="center" wrapText="1"/>
    </xf>
    <xf numFmtId="164" fontId="3" fillId="0" borderId="107" xfId="0" applyNumberFormat="1" applyFont="1" applyBorder="1"/>
    <xf numFmtId="164" fontId="2" fillId="15" borderId="1" xfId="0" applyNumberFormat="1" applyFont="1" applyFill="1" applyBorder="1" applyAlignment="1">
      <alignment horizontal="center"/>
    </xf>
    <xf numFmtId="166" fontId="2" fillId="5" borderId="7" xfId="1" quotePrefix="1" applyNumberFormat="1" applyFont="1" applyFill="1" applyBorder="1" applyAlignment="1">
      <alignment horizontal="right" vertical="center"/>
    </xf>
    <xf numFmtId="0" fontId="3" fillId="15" borderId="107" xfId="0" applyFont="1" applyFill="1" applyBorder="1" applyAlignment="1">
      <alignment horizontal="center"/>
    </xf>
    <xf numFmtId="43" fontId="10" fillId="5" borderId="107" xfId="1" quotePrefix="1" applyFont="1" applyFill="1" applyBorder="1" applyAlignment="1">
      <alignment horizontal="center"/>
    </xf>
    <xf numFmtId="185" fontId="10" fillId="5" borderId="107" xfId="1" quotePrefix="1" applyNumberFormat="1" applyFont="1" applyFill="1" applyBorder="1" applyAlignment="1">
      <alignment horizontal="center"/>
    </xf>
    <xf numFmtId="14" fontId="3" fillId="0" borderId="107" xfId="0" applyNumberFormat="1" applyFont="1" applyBorder="1" applyAlignment="1">
      <alignment horizontal="center" wrapText="1"/>
    </xf>
    <xf numFmtId="49" fontId="2" fillId="7" borderId="107" xfId="2" quotePrefix="1" applyNumberFormat="1" applyFont="1" applyFill="1" applyBorder="1" applyAlignment="1">
      <alignment horizontal="center"/>
    </xf>
    <xf numFmtId="164" fontId="2" fillId="0" borderId="108" xfId="0" applyNumberFormat="1" applyFont="1" applyBorder="1" applyAlignment="1">
      <alignment horizontal="center"/>
    </xf>
    <xf numFmtId="2" fontId="2" fillId="0" borderId="108" xfId="0" applyNumberFormat="1" applyFont="1" applyBorder="1" applyAlignment="1">
      <alignment horizontal="center"/>
    </xf>
    <xf numFmtId="0" fontId="3" fillId="2" borderId="108" xfId="0" applyFont="1" applyFill="1" applyBorder="1" applyAlignment="1">
      <alignment horizontal="center"/>
    </xf>
    <xf numFmtId="49" fontId="5" fillId="2" borderId="108" xfId="0" applyNumberFormat="1" applyFont="1" applyFill="1" applyBorder="1" applyAlignment="1">
      <alignment horizontal="center"/>
    </xf>
    <xf numFmtId="166" fontId="14" fillId="10" borderId="1" xfId="1" applyNumberFormat="1" applyFont="1" applyFill="1" applyBorder="1" applyAlignment="1">
      <alignment horizontal="center"/>
    </xf>
    <xf numFmtId="166" fontId="14" fillId="12" borderId="1" xfId="1" applyNumberFormat="1" applyFont="1" applyFill="1" applyBorder="1" applyAlignment="1"/>
    <xf numFmtId="2" fontId="3" fillId="0" borderId="107" xfId="2" quotePrefix="1" applyNumberFormat="1" applyFont="1" applyBorder="1" applyAlignment="1">
      <alignment horizontal="center"/>
    </xf>
    <xf numFmtId="49" fontId="217" fillId="0" borderId="107" xfId="0" applyNumberFormat="1" applyFont="1" applyBorder="1" applyAlignment="1">
      <alignment vertical="center"/>
    </xf>
    <xf numFmtId="0" fontId="2" fillId="19" borderId="1" xfId="0" quotePrefix="1" applyFont="1" applyFill="1" applyBorder="1" applyAlignment="1">
      <alignment horizontal="center"/>
    </xf>
    <xf numFmtId="0" fontId="2" fillId="3" borderId="107" xfId="0" quotePrefix="1" applyFont="1" applyFill="1" applyBorder="1" applyAlignment="1">
      <alignment horizontal="center" wrapText="1"/>
    </xf>
    <xf numFmtId="0" fontId="2" fillId="19" borderId="1" xfId="0" quotePrefix="1" applyFont="1" applyFill="1" applyBorder="1" applyAlignment="1">
      <alignment horizontal="center" wrapText="1"/>
    </xf>
    <xf numFmtId="166" fontId="19" fillId="80" borderId="107" xfId="1" applyNumberFormat="1" applyFont="1" applyFill="1" applyBorder="1" applyAlignment="1">
      <alignment vertical="center"/>
    </xf>
    <xf numFmtId="166" fontId="19" fillId="79" borderId="107" xfId="1" applyNumberFormat="1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10" fillId="8" borderId="0" xfId="0" applyFont="1" applyFill="1" applyAlignment="1">
      <alignment horizontal="center" vertical="center" wrapText="1"/>
    </xf>
    <xf numFmtId="164" fontId="3" fillId="0" borderId="104" xfId="0" applyNumberFormat="1" applyFont="1" applyBorder="1" applyAlignment="1">
      <alignment horizontal="center" vertical="center"/>
    </xf>
    <xf numFmtId="14" fontId="10" fillId="0" borderId="104" xfId="0" applyNumberFormat="1" applyFont="1" applyBorder="1" applyAlignment="1">
      <alignment horizontal="center" vertical="center"/>
    </xf>
    <xf numFmtId="164" fontId="10" fillId="0" borderId="104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2" fontId="10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14" fontId="3" fillId="0" borderId="104" xfId="0" applyNumberFormat="1" applyFont="1" applyBorder="1" applyAlignment="1">
      <alignment horizontal="center" vertical="center"/>
    </xf>
    <xf numFmtId="1" fontId="3" fillId="0" borderId="104" xfId="0" applyNumberFormat="1" applyFont="1" applyBorder="1" applyAlignment="1">
      <alignment horizontal="center" vertical="center" wrapText="1"/>
    </xf>
    <xf numFmtId="0" fontId="2" fillId="3" borderId="24" xfId="0" quotePrefix="1" applyFont="1" applyFill="1" applyBorder="1" applyAlignment="1">
      <alignment horizontal="center" vertical="center" wrapText="1"/>
    </xf>
    <xf numFmtId="166" fontId="5" fillId="0" borderId="7" xfId="1" applyNumberFormat="1" applyFont="1" applyFill="1" applyBorder="1" applyAlignment="1">
      <alignment horizontal="center" wrapText="1"/>
    </xf>
    <xf numFmtId="164" fontId="6" fillId="0" borderId="107" xfId="0" applyNumberFormat="1" applyFont="1" applyBorder="1" applyAlignment="1">
      <alignment horizontal="center" vertical="center" wrapText="1"/>
    </xf>
    <xf numFmtId="0" fontId="218" fillId="0" borderId="107" xfId="0" applyFont="1" applyBorder="1" applyAlignment="1">
      <alignment horizontal="center"/>
    </xf>
    <xf numFmtId="2" fontId="24" fillId="3" borderId="1" xfId="1" quotePrefix="1" applyNumberFormat="1" applyFont="1" applyFill="1" applyBorder="1" applyAlignment="1">
      <alignment horizontal="center" vertical="center" wrapText="1"/>
    </xf>
    <xf numFmtId="2" fontId="24" fillId="0" borderId="1" xfId="1" quotePrefix="1" applyNumberFormat="1" applyFont="1" applyFill="1" applyBorder="1" applyAlignment="1">
      <alignment horizontal="center" vertical="center" wrapText="1"/>
    </xf>
    <xf numFmtId="2" fontId="3" fillId="0" borderId="108" xfId="0" applyNumberFormat="1" applyFont="1" applyBorder="1" applyAlignment="1">
      <alignment horizontal="center"/>
    </xf>
    <xf numFmtId="14" fontId="3" fillId="0" borderId="108" xfId="0" applyNumberFormat="1" applyFont="1" applyBorder="1" applyAlignment="1">
      <alignment horizontal="center"/>
    </xf>
    <xf numFmtId="166" fontId="14" fillId="19" borderId="107" xfId="1" applyNumberFormat="1" applyFont="1" applyFill="1" applyBorder="1" applyAlignment="1">
      <alignment horizontal="center" vertical="center"/>
    </xf>
    <xf numFmtId="0" fontId="23" fillId="2" borderId="107" xfId="0" applyFont="1" applyFill="1" applyBorder="1" applyAlignment="1">
      <alignment horizontal="center"/>
    </xf>
    <xf numFmtId="166" fontId="21" fillId="17" borderId="107" xfId="0" applyNumberFormat="1" applyFont="1" applyFill="1" applyBorder="1" applyAlignment="1">
      <alignment vertical="center"/>
    </xf>
    <xf numFmtId="43" fontId="21" fillId="2" borderId="107" xfId="1" applyFont="1" applyFill="1" applyBorder="1" applyAlignment="1">
      <alignment vertical="center"/>
    </xf>
    <xf numFmtId="166" fontId="12" fillId="78" borderId="107" xfId="1" quotePrefix="1" applyNumberFormat="1" applyFont="1" applyFill="1" applyBorder="1" applyAlignment="1">
      <alignment horizontal="center" wrapText="1"/>
    </xf>
    <xf numFmtId="164" fontId="3" fillId="3" borderId="107" xfId="0" applyNumberFormat="1" applyFont="1" applyFill="1" applyBorder="1" applyAlignment="1">
      <alignment horizontal="center"/>
    </xf>
    <xf numFmtId="14" fontId="3" fillId="0" borderId="0" xfId="0" quotePrefix="1" applyNumberFormat="1" applyFont="1" applyAlignment="1">
      <alignment horizontal="center"/>
    </xf>
    <xf numFmtId="166" fontId="5" fillId="3" borderId="7" xfId="1" quotePrefix="1" applyNumberFormat="1" applyFont="1" applyFill="1" applyBorder="1" applyAlignment="1">
      <alignment horizontal="center" wrapText="1"/>
    </xf>
    <xf numFmtId="0" fontId="7" fillId="2" borderId="83" xfId="0" applyFont="1" applyFill="1" applyBorder="1" applyAlignment="1">
      <alignment vertical="center"/>
    </xf>
    <xf numFmtId="169" fontId="19" fillId="80" borderId="107" xfId="0" applyNumberFormat="1" applyFont="1" applyFill="1" applyBorder="1" applyAlignment="1">
      <alignment horizontal="center" vertical="center" wrapText="1"/>
    </xf>
    <xf numFmtId="169" fontId="19" fillId="0" borderId="107" xfId="0" applyNumberFormat="1" applyFont="1" applyBorder="1" applyAlignment="1">
      <alignment horizontal="center" vertical="center" wrapText="1"/>
    </xf>
    <xf numFmtId="193" fontId="19" fillId="0" borderId="83" xfId="0" applyNumberFormat="1" applyFont="1" applyBorder="1" applyAlignment="1">
      <alignment horizontal="center"/>
    </xf>
    <xf numFmtId="2" fontId="2" fillId="0" borderId="83" xfId="0" applyNumberFormat="1" applyFont="1" applyBorder="1" applyAlignment="1">
      <alignment horizontal="center"/>
    </xf>
    <xf numFmtId="0" fontId="5" fillId="3" borderId="24" xfId="0" quotePrefix="1" applyFont="1" applyFill="1" applyBorder="1" applyAlignment="1">
      <alignment horizontal="center" vertical="center" wrapText="1"/>
    </xf>
    <xf numFmtId="169" fontId="22" fillId="0" borderId="107" xfId="0" applyNumberFormat="1" applyFont="1" applyBorder="1" applyAlignment="1">
      <alignment horizontal="center" vertical="center"/>
    </xf>
    <xf numFmtId="14" fontId="3" fillId="0" borderId="107" xfId="0" quotePrefix="1" applyNumberFormat="1" applyFont="1" applyBorder="1" applyAlignment="1">
      <alignment horizontal="center"/>
    </xf>
    <xf numFmtId="3" fontId="2" fillId="2" borderId="83" xfId="0" applyNumberFormat="1" applyFont="1" applyFill="1" applyBorder="1"/>
    <xf numFmtId="0" fontId="2" fillId="2" borderId="3" xfId="0" quotePrefix="1" applyFont="1" applyFill="1" applyBorder="1" applyAlignment="1">
      <alignment horizontal="center" vertical="center"/>
    </xf>
    <xf numFmtId="0" fontId="2" fillId="2" borderId="24" xfId="0" quotePrefix="1" applyFont="1" applyFill="1" applyBorder="1" applyAlignment="1">
      <alignment horizontal="center" vertical="center"/>
    </xf>
    <xf numFmtId="164" fontId="3" fillId="3" borderId="20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3" borderId="21" xfId="0" applyNumberFormat="1" applyFont="1" applyFill="1" applyBorder="1" applyAlignment="1">
      <alignment horizontal="center"/>
    </xf>
    <xf numFmtId="164" fontId="3" fillId="0" borderId="0" xfId="0" applyNumberFormat="1" applyFont="1" applyAlignment="1">
      <alignment horizontal="left"/>
    </xf>
    <xf numFmtId="164" fontId="3" fillId="3" borderId="19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9" fontId="2" fillId="2" borderId="18" xfId="2" quotePrefix="1" applyNumberFormat="1" applyFont="1" applyFill="1" applyBorder="1" applyAlignment="1">
      <alignment horizontal="center" wrapText="1"/>
    </xf>
    <xf numFmtId="49" fontId="2" fillId="2" borderId="24" xfId="2" quotePrefix="1" applyNumberFormat="1" applyFont="1" applyFill="1" applyBorder="1" applyAlignment="1">
      <alignment horizontal="center" wrapText="1"/>
    </xf>
    <xf numFmtId="3" fontId="2" fillId="2" borderId="25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12" fillId="5" borderId="27" xfId="1" applyNumberFormat="1" applyFont="1" applyFill="1" applyBorder="1" applyAlignment="1">
      <alignment horizontal="center"/>
    </xf>
    <xf numFmtId="3" fontId="12" fillId="5" borderId="28" xfId="1" applyNumberFormat="1" applyFont="1" applyFill="1" applyBorder="1" applyAlignment="1">
      <alignment horizontal="center"/>
    </xf>
    <xf numFmtId="3" fontId="2" fillId="2" borderId="29" xfId="1" applyNumberFormat="1" applyFont="1" applyFill="1" applyBorder="1" applyAlignment="1">
      <alignment horizontal="center"/>
    </xf>
    <xf numFmtId="3" fontId="2" fillId="2" borderId="30" xfId="1" applyNumberFormat="1" applyFont="1" applyFill="1" applyBorder="1" applyAlignment="1">
      <alignment horizontal="center"/>
    </xf>
    <xf numFmtId="3" fontId="14" fillId="2" borderId="3" xfId="1" applyNumberFormat="1" applyFont="1" applyFill="1" applyBorder="1" applyAlignment="1">
      <alignment horizontal="center"/>
    </xf>
    <xf numFmtId="3" fontId="14" fillId="2" borderId="24" xfId="1" applyNumberFormat="1" applyFont="1" applyFill="1" applyBorder="1" applyAlignment="1">
      <alignment horizontal="center"/>
    </xf>
    <xf numFmtId="0" fontId="20" fillId="3" borderId="5" xfId="0" applyFont="1" applyFill="1" applyBorder="1" applyAlignment="1">
      <alignment horizontal="center" vertical="center" wrapText="1"/>
    </xf>
    <xf numFmtId="0" fontId="20" fillId="3" borderId="17" xfId="0" applyFont="1" applyFill="1" applyBorder="1" applyAlignment="1">
      <alignment horizontal="center" vertical="center" wrapText="1"/>
    </xf>
    <xf numFmtId="0" fontId="20" fillId="3" borderId="6" xfId="0" applyFont="1" applyFill="1" applyBorder="1" applyAlignment="1">
      <alignment horizontal="center" vertical="center" wrapText="1"/>
    </xf>
    <xf numFmtId="0" fontId="3" fillId="3" borderId="23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5" fillId="3" borderId="31" xfId="0" applyFont="1" applyFill="1" applyBorder="1" applyAlignment="1">
      <alignment horizontal="center" vertical="center"/>
    </xf>
    <xf numFmtId="0" fontId="25" fillId="3" borderId="32" xfId="0" applyFont="1" applyFill="1" applyBorder="1" applyAlignment="1">
      <alignment horizontal="center" vertical="center"/>
    </xf>
    <xf numFmtId="0" fontId="19" fillId="19" borderId="18" xfId="0" applyFont="1" applyFill="1" applyBorder="1" applyAlignment="1">
      <alignment horizontal="center" vertical="center"/>
    </xf>
    <xf numFmtId="0" fontId="19" fillId="19" borderId="34" xfId="0" applyFont="1" applyFill="1" applyBorder="1" applyAlignment="1">
      <alignment horizontal="center" vertical="center"/>
    </xf>
    <xf numFmtId="0" fontId="19" fillId="19" borderId="24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wrapText="1"/>
    </xf>
    <xf numFmtId="0" fontId="3" fillId="3" borderId="109" xfId="0" applyFont="1" applyFill="1" applyBorder="1" applyAlignment="1">
      <alignment horizontal="center"/>
    </xf>
    <xf numFmtId="0" fontId="3" fillId="3" borderId="104" xfId="0" applyFont="1" applyFill="1" applyBorder="1" applyAlignment="1">
      <alignment horizontal="center"/>
    </xf>
    <xf numFmtId="0" fontId="3" fillId="3" borderId="132" xfId="0" applyFont="1" applyFill="1" applyBorder="1" applyAlignment="1">
      <alignment horizontal="center"/>
    </xf>
    <xf numFmtId="0" fontId="3" fillId="3" borderId="107" xfId="0" applyFont="1" applyFill="1" applyBorder="1" applyAlignment="1">
      <alignment horizontal="center" vertical="center"/>
    </xf>
    <xf numFmtId="0" fontId="3" fillId="3" borderId="5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20" fillId="9" borderId="20" xfId="0" applyFont="1" applyFill="1" applyBorder="1" applyAlignment="1">
      <alignment horizontal="center" vertical="center" wrapText="1"/>
    </xf>
    <xf numFmtId="0" fontId="20" fillId="9" borderId="0" xfId="0" applyFont="1" applyFill="1" applyAlignment="1">
      <alignment horizontal="center" vertical="center" wrapText="1"/>
    </xf>
    <xf numFmtId="0" fontId="3" fillId="3" borderId="67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59" xfId="0" applyFont="1" applyFill="1" applyBorder="1" applyAlignment="1">
      <alignment horizontal="center" vertical="center"/>
    </xf>
    <xf numFmtId="0" fontId="2" fillId="0" borderId="131" xfId="0" applyFont="1" applyBorder="1" applyAlignment="1">
      <alignment horizontal="center" vertical="center"/>
    </xf>
    <xf numFmtId="0" fontId="2" fillId="0" borderId="110" xfId="0" applyFont="1" applyBorder="1" applyAlignment="1">
      <alignment horizontal="center" vertical="center"/>
    </xf>
    <xf numFmtId="0" fontId="2" fillId="0" borderId="130" xfId="0" applyFont="1" applyBorder="1" applyAlignment="1">
      <alignment horizontal="center" vertical="center"/>
    </xf>
    <xf numFmtId="14" fontId="5" fillId="2" borderId="18" xfId="3" applyNumberFormat="1" applyFont="1" applyFill="1" applyBorder="1" applyAlignment="1">
      <alignment horizontal="center" vertical="center"/>
    </xf>
    <xf numFmtId="14" fontId="5" fillId="2" borderId="34" xfId="3" applyNumberFormat="1" applyFont="1" applyFill="1" applyBorder="1" applyAlignment="1">
      <alignment horizontal="center" vertical="center"/>
    </xf>
    <xf numFmtId="14" fontId="5" fillId="2" borderId="24" xfId="3" applyNumberFormat="1" applyFont="1" applyFill="1" applyBorder="1" applyAlignment="1">
      <alignment horizontal="center" vertical="center"/>
    </xf>
    <xf numFmtId="14" fontId="19" fillId="2" borderId="18" xfId="0" applyNumberFormat="1" applyFont="1" applyFill="1" applyBorder="1" applyAlignment="1">
      <alignment horizontal="center"/>
    </xf>
    <xf numFmtId="14" fontId="19" fillId="2" borderId="34" xfId="0" applyNumberFormat="1" applyFont="1" applyFill="1" applyBorder="1" applyAlignment="1">
      <alignment horizontal="center"/>
    </xf>
    <xf numFmtId="14" fontId="19" fillId="2" borderId="24" xfId="0" applyNumberFormat="1" applyFont="1" applyFill="1" applyBorder="1" applyAlignment="1">
      <alignment horizontal="center"/>
    </xf>
    <xf numFmtId="14" fontId="19" fillId="2" borderId="59" xfId="3" applyNumberFormat="1" applyFont="1" applyFill="1" applyBorder="1" applyAlignment="1">
      <alignment horizontal="center" vertical="center" wrapText="1"/>
    </xf>
    <xf numFmtId="14" fontId="19" fillId="2" borderId="59" xfId="3" applyNumberFormat="1" applyFont="1" applyFill="1" applyBorder="1" applyAlignment="1">
      <alignment horizontal="center" vertical="center"/>
    </xf>
    <xf numFmtId="14" fontId="22" fillId="2" borderId="59" xfId="3" applyNumberFormat="1" applyFont="1" applyFill="1" applyBorder="1" applyAlignment="1">
      <alignment horizontal="center" vertical="center"/>
    </xf>
    <xf numFmtId="14" fontId="19" fillId="2" borderId="59" xfId="0" applyNumberFormat="1" applyFont="1" applyFill="1" applyBorder="1" applyAlignment="1">
      <alignment horizontal="center"/>
    </xf>
    <xf numFmtId="14" fontId="19" fillId="2" borderId="18" xfId="0" applyNumberFormat="1" applyFont="1" applyFill="1" applyBorder="1" applyAlignment="1">
      <alignment horizontal="center" vertical="center"/>
    </xf>
    <xf numFmtId="14" fontId="19" fillId="2" borderId="34" xfId="0" applyNumberFormat="1" applyFont="1" applyFill="1" applyBorder="1" applyAlignment="1">
      <alignment horizontal="center" vertical="center"/>
    </xf>
    <xf numFmtId="14" fontId="19" fillId="2" borderId="24" xfId="0" applyNumberFormat="1" applyFont="1" applyFill="1" applyBorder="1" applyAlignment="1">
      <alignment horizontal="center" vertical="center"/>
    </xf>
    <xf numFmtId="14" fontId="2" fillId="0" borderId="18" xfId="0" applyNumberFormat="1" applyFont="1" applyBorder="1" applyAlignment="1">
      <alignment horizontal="center"/>
    </xf>
    <xf numFmtId="14" fontId="2" fillId="0" borderId="24" xfId="0" applyNumberFormat="1" applyFont="1" applyBorder="1" applyAlignment="1">
      <alignment horizontal="center"/>
    </xf>
    <xf numFmtId="14" fontId="19" fillId="0" borderId="18" xfId="0" applyNumberFormat="1" applyFont="1" applyBorder="1" applyAlignment="1">
      <alignment horizontal="center" vertical="center"/>
    </xf>
    <xf numFmtId="14" fontId="19" fillId="0" borderId="34" xfId="0" applyNumberFormat="1" applyFont="1" applyBorder="1" applyAlignment="1">
      <alignment horizontal="center" vertical="center"/>
    </xf>
    <xf numFmtId="14" fontId="19" fillId="0" borderId="24" xfId="0" applyNumberFormat="1" applyFont="1" applyBorder="1" applyAlignment="1">
      <alignment horizontal="center" vertical="center"/>
    </xf>
    <xf numFmtId="164" fontId="3" fillId="0" borderId="18" xfId="0" applyNumberFormat="1" applyFont="1" applyBorder="1" applyAlignment="1">
      <alignment horizontal="center"/>
    </xf>
    <xf numFmtId="164" fontId="3" fillId="0" borderId="34" xfId="0" applyNumberFormat="1" applyFont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4" fontId="2" fillId="0" borderId="75" xfId="0" quotePrefix="1" applyNumberFormat="1" applyFont="1" applyBorder="1" applyAlignment="1">
      <alignment horizontal="center" vertical="center"/>
    </xf>
    <xf numFmtId="14" fontId="2" fillId="0" borderId="34" xfId="0" quotePrefix="1" applyNumberFormat="1" applyFont="1" applyBorder="1" applyAlignment="1">
      <alignment horizontal="center" vertical="center"/>
    </xf>
    <xf numFmtId="14" fontId="2" fillId="0" borderId="24" xfId="0" quotePrefix="1" applyNumberFormat="1" applyFont="1" applyBorder="1" applyAlignment="1">
      <alignment horizontal="center" vertical="center"/>
    </xf>
    <xf numFmtId="0" fontId="3" fillId="3" borderId="107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55" xfId="0" applyFont="1" applyFill="1" applyBorder="1" applyAlignment="1">
      <alignment horizontal="center"/>
    </xf>
    <xf numFmtId="166" fontId="2" fillId="5" borderId="25" xfId="1" applyNumberFormat="1" applyFont="1" applyFill="1" applyBorder="1" applyAlignment="1">
      <alignment horizontal="center" vertical="center"/>
    </xf>
    <xf numFmtId="166" fontId="2" fillId="5" borderId="41" xfId="1" applyNumberFormat="1" applyFont="1" applyFill="1" applyBorder="1" applyAlignment="1">
      <alignment horizontal="center" vertical="center"/>
    </xf>
    <xf numFmtId="166" fontId="2" fillId="5" borderId="26" xfId="1" applyNumberFormat="1" applyFont="1" applyFill="1" applyBorder="1" applyAlignment="1">
      <alignment horizontal="center" vertical="center"/>
    </xf>
    <xf numFmtId="166" fontId="12" fillId="5" borderId="68" xfId="1" quotePrefix="1" applyNumberFormat="1" applyFont="1" applyFill="1" applyBorder="1" applyAlignment="1">
      <alignment horizontal="center" vertical="center"/>
    </xf>
    <xf numFmtId="166" fontId="12" fillId="5" borderId="34" xfId="1" quotePrefix="1" applyNumberFormat="1" applyFont="1" applyFill="1" applyBorder="1" applyAlignment="1">
      <alignment horizontal="center" vertical="center"/>
    </xf>
    <xf numFmtId="166" fontId="12" fillId="5" borderId="69" xfId="1" quotePrefix="1" applyNumberFormat="1" applyFont="1" applyFill="1" applyBorder="1" applyAlignment="1">
      <alignment horizontal="center" vertical="center"/>
    </xf>
    <xf numFmtId="166" fontId="12" fillId="5" borderId="75" xfId="1" quotePrefix="1" applyNumberFormat="1" applyFont="1" applyFill="1" applyBorder="1" applyAlignment="1">
      <alignment horizontal="center" vertical="center"/>
    </xf>
    <xf numFmtId="166" fontId="2" fillId="5" borderId="25" xfId="1" quotePrefix="1" applyNumberFormat="1" applyFont="1" applyFill="1" applyBorder="1" applyAlignment="1">
      <alignment horizontal="center" vertical="center"/>
    </xf>
    <xf numFmtId="14" fontId="2" fillId="0" borderId="53" xfId="0" quotePrefix="1" applyNumberFormat="1" applyFont="1" applyBorder="1" applyAlignment="1">
      <alignment horizontal="center"/>
    </xf>
    <xf numFmtId="14" fontId="2" fillId="0" borderId="92" xfId="0" applyNumberFormat="1" applyFont="1" applyBorder="1" applyAlignment="1">
      <alignment horizontal="center"/>
    </xf>
    <xf numFmtId="166" fontId="12" fillId="5" borderId="84" xfId="1" quotePrefix="1" applyNumberFormat="1" applyFont="1" applyFill="1" applyBorder="1" applyAlignment="1">
      <alignment horizontal="center" vertical="center"/>
    </xf>
    <xf numFmtId="166" fontId="12" fillId="5" borderId="60" xfId="1" quotePrefix="1" applyNumberFormat="1" applyFont="1" applyFill="1" applyBorder="1" applyAlignment="1">
      <alignment horizontal="center" vertical="center"/>
    </xf>
    <xf numFmtId="166" fontId="12" fillId="5" borderId="24" xfId="1" quotePrefix="1" applyNumberFormat="1" applyFont="1" applyFill="1" applyBorder="1" applyAlignment="1">
      <alignment horizontal="center" vertical="center"/>
    </xf>
    <xf numFmtId="14" fontId="2" fillId="0" borderId="60" xfId="0" quotePrefix="1" applyNumberFormat="1" applyFont="1" applyBorder="1" applyAlignment="1">
      <alignment horizontal="center" vertical="center"/>
    </xf>
    <xf numFmtId="14" fontId="2" fillId="0" borderId="34" xfId="0" applyNumberFormat="1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2" fontId="2" fillId="5" borderId="25" xfId="1" quotePrefix="1" applyNumberFormat="1" applyFont="1" applyFill="1" applyBorder="1" applyAlignment="1">
      <alignment horizontal="center" vertical="center"/>
    </xf>
    <xf numFmtId="2" fontId="2" fillId="5" borderId="41" xfId="1" quotePrefix="1" applyNumberFormat="1" applyFont="1" applyFill="1" applyBorder="1" applyAlignment="1">
      <alignment horizontal="center" vertical="center"/>
    </xf>
    <xf numFmtId="2" fontId="2" fillId="5" borderId="26" xfId="1" quotePrefix="1" applyNumberFormat="1" applyFont="1" applyFill="1" applyBorder="1" applyAlignment="1">
      <alignment horizontal="center" vertical="center"/>
    </xf>
    <xf numFmtId="0" fontId="2" fillId="3" borderId="43" xfId="0" applyFont="1" applyFill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5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57" xfId="0" applyFont="1" applyFill="1" applyBorder="1" applyAlignment="1">
      <alignment horizontal="center"/>
    </xf>
    <xf numFmtId="14" fontId="2" fillId="0" borderId="53" xfId="0" quotePrefix="1" applyNumberFormat="1" applyFont="1" applyBorder="1" applyAlignment="1">
      <alignment horizontal="center" vertical="center"/>
    </xf>
    <xf numFmtId="14" fontId="2" fillId="0" borderId="21" xfId="0" quotePrefix="1" applyNumberFormat="1" applyFont="1" applyBorder="1" applyAlignment="1">
      <alignment horizontal="center" vertical="center"/>
    </xf>
    <xf numFmtId="14" fontId="2" fillId="0" borderId="55" xfId="0" quotePrefix="1" applyNumberFormat="1" applyFont="1" applyBorder="1" applyAlignment="1">
      <alignment horizontal="center" vertical="center"/>
    </xf>
    <xf numFmtId="14" fontId="2" fillId="0" borderId="92" xfId="0" quotePrefix="1" applyNumberFormat="1" applyFont="1" applyBorder="1" applyAlignment="1">
      <alignment horizontal="center" vertical="center"/>
    </xf>
    <xf numFmtId="166" fontId="2" fillId="5" borderId="25" xfId="1" quotePrefix="1" applyNumberFormat="1" applyFont="1" applyFill="1" applyBorder="1" applyAlignment="1">
      <alignment horizontal="center"/>
    </xf>
    <xf numFmtId="166" fontId="2" fillId="5" borderId="41" xfId="1" quotePrefix="1" applyNumberFormat="1" applyFont="1" applyFill="1" applyBorder="1" applyAlignment="1">
      <alignment horizontal="center"/>
    </xf>
    <xf numFmtId="166" fontId="2" fillId="5" borderId="26" xfId="1" quotePrefix="1" applyNumberFormat="1" applyFont="1" applyFill="1" applyBorder="1" applyAlignment="1">
      <alignment horizontal="center"/>
    </xf>
    <xf numFmtId="166" fontId="2" fillId="5" borderId="41" xfId="1" quotePrefix="1" applyNumberFormat="1" applyFont="1" applyFill="1" applyBorder="1" applyAlignment="1">
      <alignment horizontal="center" vertical="center"/>
    </xf>
    <xf numFmtId="166" fontId="2" fillId="5" borderId="26" xfId="1" quotePrefix="1" applyNumberFormat="1" applyFont="1" applyFill="1" applyBorder="1" applyAlignment="1">
      <alignment horizontal="center" vertical="center"/>
    </xf>
    <xf numFmtId="0" fontId="3" fillId="3" borderId="109" xfId="0" applyFont="1" applyFill="1" applyBorder="1" applyAlignment="1">
      <alignment horizontal="center" vertical="center"/>
    </xf>
    <xf numFmtId="0" fontId="3" fillId="3" borderId="104" xfId="0" applyFont="1" applyFill="1" applyBorder="1" applyAlignment="1">
      <alignment horizontal="center" vertical="center"/>
    </xf>
    <xf numFmtId="0" fontId="3" fillId="3" borderId="53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wrapText="1"/>
    </xf>
    <xf numFmtId="3" fontId="12" fillId="5" borderId="9" xfId="1" applyNumberFormat="1" applyFont="1" applyFill="1" applyBorder="1" applyAlignment="1">
      <alignment horizontal="center" vertical="center"/>
    </xf>
    <xf numFmtId="3" fontId="12" fillId="5" borderId="35" xfId="1" applyNumberFormat="1" applyFont="1" applyFill="1" applyBorder="1" applyAlignment="1">
      <alignment horizontal="center" vertical="center"/>
    </xf>
    <xf numFmtId="3" fontId="12" fillId="5" borderId="36" xfId="1" applyNumberFormat="1" applyFont="1" applyFill="1" applyBorder="1" applyAlignment="1">
      <alignment horizontal="center" vertical="center"/>
    </xf>
    <xf numFmtId="166" fontId="2" fillId="5" borderId="37" xfId="1" applyNumberFormat="1" applyFont="1" applyFill="1" applyBorder="1" applyAlignment="1">
      <alignment horizontal="center" vertical="center"/>
    </xf>
    <xf numFmtId="166" fontId="2" fillId="5" borderId="38" xfId="1" applyNumberFormat="1" applyFont="1" applyFill="1" applyBorder="1" applyAlignment="1">
      <alignment horizontal="center" vertical="center"/>
    </xf>
    <xf numFmtId="3" fontId="12" fillId="5" borderId="25" xfId="1" applyNumberFormat="1" applyFont="1" applyFill="1" applyBorder="1" applyAlignment="1">
      <alignment horizontal="center" vertical="center"/>
    </xf>
    <xf numFmtId="3" fontId="12" fillId="5" borderId="41" xfId="1" applyNumberFormat="1" applyFont="1" applyFill="1" applyBorder="1" applyAlignment="1">
      <alignment horizontal="center" vertical="center"/>
    </xf>
    <xf numFmtId="166" fontId="2" fillId="5" borderId="9" xfId="1" applyNumberFormat="1" applyFont="1" applyFill="1" applyBorder="1" applyAlignment="1">
      <alignment horizontal="center" vertical="center"/>
    </xf>
    <xf numFmtId="166" fontId="2" fillId="5" borderId="35" xfId="1" applyNumberFormat="1" applyFont="1" applyFill="1" applyBorder="1" applyAlignment="1">
      <alignment horizontal="center" vertical="center"/>
    </xf>
    <xf numFmtId="166" fontId="2" fillId="5" borderId="36" xfId="1" applyNumberFormat="1" applyFont="1" applyFill="1" applyBorder="1" applyAlignment="1">
      <alignment horizontal="center" vertical="center"/>
    </xf>
    <xf numFmtId="3" fontId="5" fillId="3" borderId="85" xfId="0" applyNumberFormat="1" applyFont="1" applyFill="1" applyBorder="1" applyAlignment="1">
      <alignment horizontal="center" wrapText="1"/>
    </xf>
    <xf numFmtId="3" fontId="5" fillId="3" borderId="86" xfId="0" applyNumberFormat="1" applyFont="1" applyFill="1" applyBorder="1" applyAlignment="1">
      <alignment horizontal="center" wrapText="1"/>
    </xf>
    <xf numFmtId="3" fontId="5" fillId="3" borderId="87" xfId="0" applyNumberFormat="1" applyFont="1" applyFill="1" applyBorder="1" applyAlignment="1">
      <alignment horizontal="center" wrapText="1"/>
    </xf>
    <xf numFmtId="0" fontId="3" fillId="3" borderId="54" xfId="0" applyFont="1" applyFill="1" applyBorder="1" applyAlignment="1">
      <alignment horizontal="center" vertical="center"/>
    </xf>
    <xf numFmtId="0" fontId="3" fillId="3" borderId="110" xfId="0" applyFont="1" applyFill="1" applyBorder="1" applyAlignment="1">
      <alignment horizontal="center" vertical="center"/>
    </xf>
    <xf numFmtId="0" fontId="20" fillId="9" borderId="32" xfId="0" applyFont="1" applyFill="1" applyBorder="1" applyAlignment="1">
      <alignment horizontal="center" vertical="center" wrapText="1"/>
    </xf>
    <xf numFmtId="0" fontId="23" fillId="2" borderId="118" xfId="0" applyFont="1" applyFill="1" applyBorder="1" applyAlignment="1">
      <alignment horizontal="center" vertical="center"/>
    </xf>
    <xf numFmtId="0" fontId="23" fillId="2" borderId="112" xfId="0" applyFont="1" applyFill="1" applyBorder="1" applyAlignment="1">
      <alignment horizontal="center" vertical="center"/>
    </xf>
    <xf numFmtId="2" fontId="19" fillId="0" borderId="118" xfId="1" quotePrefix="1" applyNumberFormat="1" applyFont="1" applyFill="1" applyBorder="1" applyAlignment="1">
      <alignment horizontal="center" vertical="center" wrapText="1"/>
    </xf>
    <xf numFmtId="2" fontId="19" fillId="0" borderId="112" xfId="1" quotePrefix="1" applyNumberFormat="1" applyFont="1" applyFill="1" applyBorder="1" applyAlignment="1">
      <alignment horizontal="center" vertical="center" wrapText="1"/>
    </xf>
    <xf numFmtId="169" fontId="20" fillId="2" borderId="118" xfId="0" applyNumberFormat="1" applyFont="1" applyFill="1" applyBorder="1" applyAlignment="1">
      <alignment horizontal="center" vertical="center"/>
    </xf>
    <xf numFmtId="169" fontId="20" fillId="2" borderId="112" xfId="0" applyNumberFormat="1" applyFont="1" applyFill="1" applyBorder="1" applyAlignment="1">
      <alignment horizontal="center" vertical="center"/>
    </xf>
    <xf numFmtId="0" fontId="21" fillId="2" borderId="118" xfId="0" applyFont="1" applyFill="1" applyBorder="1" applyAlignment="1">
      <alignment horizontal="center" vertical="center" wrapText="1"/>
    </xf>
    <xf numFmtId="0" fontId="21" fillId="2" borderId="112" xfId="0" applyFont="1" applyFill="1" applyBorder="1" applyAlignment="1">
      <alignment horizontal="center" vertical="center" wrapText="1"/>
    </xf>
    <xf numFmtId="0" fontId="21" fillId="2" borderId="118" xfId="0" applyFont="1" applyFill="1" applyBorder="1" applyAlignment="1">
      <alignment horizontal="center" vertical="center"/>
    </xf>
    <xf numFmtId="0" fontId="21" fillId="2" borderId="112" xfId="0" applyFont="1" applyFill="1" applyBorder="1" applyAlignment="1">
      <alignment horizontal="center" vertical="center"/>
    </xf>
    <xf numFmtId="175" fontId="24" fillId="2" borderId="118" xfId="0" applyNumberFormat="1" applyFont="1" applyFill="1" applyBorder="1" applyAlignment="1">
      <alignment horizontal="center" vertical="center"/>
    </xf>
    <xf numFmtId="175" fontId="24" fillId="2" borderId="112" xfId="0" applyNumberFormat="1" applyFont="1" applyFill="1" applyBorder="1" applyAlignment="1">
      <alignment horizontal="center" vertical="center"/>
    </xf>
    <xf numFmtId="180" fontId="21" fillId="2" borderId="118" xfId="0" applyNumberFormat="1" applyFont="1" applyFill="1" applyBorder="1" applyAlignment="1">
      <alignment horizontal="center" vertical="center"/>
    </xf>
    <xf numFmtId="180" fontId="21" fillId="2" borderId="112" xfId="0" applyNumberFormat="1" applyFont="1" applyFill="1" applyBorder="1" applyAlignment="1">
      <alignment horizontal="center" vertical="center"/>
    </xf>
    <xf numFmtId="0" fontId="24" fillId="2" borderId="118" xfId="0" applyFont="1" applyFill="1" applyBorder="1" applyAlignment="1">
      <alignment horizontal="center" vertical="center"/>
    </xf>
    <xf numFmtId="0" fontId="24" fillId="2" borderId="112" xfId="0" applyFont="1" applyFill="1" applyBorder="1" applyAlignment="1">
      <alignment horizontal="center" vertical="center"/>
    </xf>
    <xf numFmtId="49" fontId="20" fillId="2" borderId="18" xfId="0" applyNumberFormat="1" applyFont="1" applyFill="1" applyBorder="1" applyAlignment="1">
      <alignment horizontal="center" vertical="center"/>
    </xf>
    <xf numFmtId="49" fontId="20" fillId="2" borderId="34" xfId="0" applyNumberFormat="1" applyFont="1" applyFill="1" applyBorder="1" applyAlignment="1">
      <alignment horizontal="center" vertical="center"/>
    </xf>
    <xf numFmtId="49" fontId="20" fillId="2" borderId="24" xfId="0" applyNumberFormat="1" applyFont="1" applyFill="1" applyBorder="1" applyAlignment="1">
      <alignment horizontal="center" vertical="center"/>
    </xf>
    <xf numFmtId="170" fontId="21" fillId="14" borderId="18" xfId="1" applyNumberFormat="1" applyFont="1" applyFill="1" applyBorder="1" applyAlignment="1">
      <alignment horizontal="center" vertical="center"/>
    </xf>
    <xf numFmtId="170" fontId="21" fillId="14" borderId="24" xfId="1" applyNumberFormat="1" applyFont="1" applyFill="1" applyBorder="1" applyAlignment="1">
      <alignment horizontal="center" vertical="center"/>
    </xf>
    <xf numFmtId="166" fontId="23" fillId="15" borderId="18" xfId="1" applyNumberFormat="1" applyFont="1" applyFill="1" applyBorder="1" applyAlignment="1">
      <alignment horizontal="center" vertical="center"/>
    </xf>
    <xf numFmtId="166" fontId="23" fillId="15" borderId="24" xfId="1" applyNumberFormat="1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24" xfId="0" applyFont="1" applyFill="1" applyBorder="1" applyAlignment="1">
      <alignment horizontal="center" vertical="center"/>
    </xf>
    <xf numFmtId="0" fontId="24" fillId="2" borderId="18" xfId="0" applyFont="1" applyFill="1" applyBorder="1" applyAlignment="1">
      <alignment horizontal="center" vertical="center"/>
    </xf>
    <xf numFmtId="0" fontId="24" fillId="2" borderId="3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/>
    </xf>
    <xf numFmtId="166" fontId="21" fillId="12" borderId="18" xfId="1" applyNumberFormat="1" applyFont="1" applyFill="1" applyBorder="1" applyAlignment="1">
      <alignment horizontal="center" vertical="center"/>
    </xf>
    <xf numFmtId="166" fontId="21" fillId="12" borderId="24" xfId="1" applyNumberFormat="1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0" fillId="2" borderId="24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0" fontId="2" fillId="0" borderId="108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164" fontId="3" fillId="0" borderId="108" xfId="0" applyNumberFormat="1" applyFont="1" applyBorder="1" applyAlignment="1">
      <alignment horizontal="center" vertical="center"/>
    </xf>
    <xf numFmtId="164" fontId="3" fillId="0" borderId="24" xfId="0" applyNumberFormat="1" applyFont="1" applyBorder="1" applyAlignment="1">
      <alignment horizontal="center" vertical="center"/>
    </xf>
    <xf numFmtId="0" fontId="3" fillId="0" borderId="108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164" fontId="2" fillId="0" borderId="108" xfId="0" applyNumberFormat="1" applyFont="1" applyBorder="1" applyAlignment="1">
      <alignment horizontal="center" vertical="center"/>
    </xf>
    <xf numFmtId="164" fontId="2" fillId="0" borderId="24" xfId="0" applyNumberFormat="1" applyFont="1" applyBorder="1" applyAlignment="1">
      <alignment horizontal="center" vertical="center"/>
    </xf>
    <xf numFmtId="14" fontId="2" fillId="0" borderId="108" xfId="0" quotePrefix="1" applyNumberFormat="1" applyFont="1" applyBorder="1" applyAlignment="1">
      <alignment horizontal="center" vertical="center" wrapText="1"/>
    </xf>
    <xf numFmtId="14" fontId="2" fillId="0" borderId="24" xfId="0" quotePrefix="1" applyNumberFormat="1" applyFont="1" applyBorder="1" applyAlignment="1">
      <alignment horizontal="center" vertical="center" wrapText="1"/>
    </xf>
    <xf numFmtId="14" fontId="2" fillId="0" borderId="34" xfId="0" applyNumberFormat="1" applyFont="1" applyBorder="1" applyAlignment="1">
      <alignment horizontal="center" vertical="center" wrapText="1"/>
    </xf>
    <xf numFmtId="14" fontId="2" fillId="0" borderId="24" xfId="0" applyNumberFormat="1" applyFont="1" applyBorder="1" applyAlignment="1">
      <alignment horizontal="center" vertical="center" wrapText="1"/>
    </xf>
    <xf numFmtId="164" fontId="2" fillId="0" borderId="108" xfId="0" applyNumberFormat="1" applyFont="1" applyBorder="1" applyAlignment="1">
      <alignment horizontal="center" vertical="center" wrapText="1"/>
    </xf>
    <xf numFmtId="164" fontId="2" fillId="0" borderId="34" xfId="0" applyNumberFormat="1" applyFont="1" applyBorder="1" applyAlignment="1">
      <alignment horizontal="center" vertical="center" wrapText="1"/>
    </xf>
    <xf numFmtId="164" fontId="2" fillId="0" borderId="24" xfId="0" applyNumberFormat="1" applyFont="1" applyBorder="1" applyAlignment="1">
      <alignment horizontal="center" vertical="center" wrapText="1"/>
    </xf>
    <xf numFmtId="0" fontId="3" fillId="0" borderId="107" xfId="0" applyFont="1" applyBorder="1" applyAlignment="1">
      <alignment horizontal="center" vertical="center"/>
    </xf>
    <xf numFmtId="14" fontId="2" fillId="0" borderId="107" xfId="0" applyNumberFormat="1" applyFont="1" applyBorder="1" applyAlignment="1">
      <alignment horizontal="center" vertical="center" wrapText="1"/>
    </xf>
    <xf numFmtId="164" fontId="5" fillId="0" borderId="108" xfId="0" applyNumberFormat="1" applyFont="1" applyBorder="1" applyAlignment="1">
      <alignment horizontal="center"/>
    </xf>
    <xf numFmtId="164" fontId="5" fillId="0" borderId="24" xfId="0" applyNumberFormat="1" applyFont="1" applyBorder="1" applyAlignment="1">
      <alignment horizontal="center"/>
    </xf>
    <xf numFmtId="0" fontId="2" fillId="0" borderId="108" xfId="0" applyFont="1" applyBorder="1" applyAlignment="1">
      <alignment horizontal="center" vertical="center"/>
    </xf>
    <xf numFmtId="164" fontId="5" fillId="0" borderId="108" xfId="0" applyNumberFormat="1" applyFont="1" applyBorder="1" applyAlignment="1">
      <alignment horizontal="center" vertical="center"/>
    </xf>
    <xf numFmtId="164" fontId="5" fillId="0" borderId="24" xfId="0" applyNumberFormat="1" applyFont="1" applyBorder="1" applyAlignment="1">
      <alignment horizontal="center" vertical="center"/>
    </xf>
    <xf numFmtId="14" fontId="2" fillId="3" borderId="108" xfId="0" quotePrefix="1" applyNumberFormat="1" applyFont="1" applyFill="1" applyBorder="1" applyAlignment="1">
      <alignment horizontal="center" vertical="center" wrapText="1"/>
    </xf>
    <xf numFmtId="14" fontId="2" fillId="3" borderId="24" xfId="0" quotePrefix="1" applyNumberFormat="1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/>
    </xf>
    <xf numFmtId="164" fontId="2" fillId="0" borderId="34" xfId="0" applyNumberFormat="1" applyFont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/>
    </xf>
    <xf numFmtId="14" fontId="2" fillId="0" borderId="108" xfId="0" quotePrefix="1" applyNumberFormat="1" applyFont="1" applyBorder="1" applyAlignment="1">
      <alignment horizontal="center" wrapText="1"/>
    </xf>
    <xf numFmtId="14" fontId="2" fillId="0" borderId="34" xfId="0" quotePrefix="1" applyNumberFormat="1" applyFont="1" applyBorder="1" applyAlignment="1">
      <alignment horizontal="center" wrapText="1"/>
    </xf>
    <xf numFmtId="14" fontId="2" fillId="0" borderId="24" xfId="0" quotePrefix="1" applyNumberFormat="1" applyFont="1" applyBorder="1" applyAlignment="1">
      <alignment horizontal="center" wrapText="1"/>
    </xf>
    <xf numFmtId="0" fontId="3" fillId="3" borderId="24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2" fillId="0" borderId="108" xfId="0" quotePrefix="1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/>
    </xf>
    <xf numFmtId="164" fontId="3" fillId="0" borderId="107" xfId="0" applyNumberFormat="1" applyFont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11" xfId="0" applyFont="1" applyFill="1" applyBorder="1" applyAlignment="1">
      <alignment horizontal="center" vertical="center"/>
    </xf>
    <xf numFmtId="164" fontId="136" fillId="2" borderId="107" xfId="0" applyNumberFormat="1" applyFont="1" applyFill="1" applyBorder="1" applyAlignment="1">
      <alignment horizontal="center" vertical="center"/>
    </xf>
    <xf numFmtId="164" fontId="136" fillId="2" borderId="111" xfId="0" applyNumberFormat="1" applyFont="1" applyFill="1" applyBorder="1" applyAlignment="1">
      <alignment horizontal="center" vertical="center"/>
    </xf>
    <xf numFmtId="49" fontId="12" fillId="5" borderId="107" xfId="1" quotePrefix="1" applyNumberFormat="1" applyFont="1" applyFill="1" applyBorder="1" applyAlignment="1">
      <alignment horizontal="center"/>
    </xf>
    <xf numFmtId="49" fontId="12" fillId="5" borderId="119" xfId="1" quotePrefix="1" applyNumberFormat="1" applyFont="1" applyFill="1" applyBorder="1" applyAlignment="1">
      <alignment horizontal="center"/>
    </xf>
    <xf numFmtId="49" fontId="12" fillId="5" borderId="157" xfId="1" quotePrefix="1" applyNumberFormat="1" applyFont="1" applyFill="1" applyBorder="1" applyAlignment="1">
      <alignment horizontal="center"/>
    </xf>
    <xf numFmtId="166" fontId="12" fillId="5" borderId="108" xfId="1" quotePrefix="1" applyNumberFormat="1" applyFont="1" applyFill="1" applyBorder="1" applyAlignment="1">
      <alignment horizontal="center" vertical="center"/>
    </xf>
    <xf numFmtId="166" fontId="12" fillId="5" borderId="108" xfId="1" quotePrefix="1" applyNumberFormat="1" applyFont="1" applyFill="1" applyBorder="1" applyAlignment="1">
      <alignment horizontal="center" vertical="center" wrapText="1"/>
    </xf>
    <xf numFmtId="166" fontId="12" fillId="5" borderId="24" xfId="1" quotePrefix="1" applyNumberFormat="1" applyFont="1" applyFill="1" applyBorder="1" applyAlignment="1">
      <alignment horizontal="center" vertical="center" wrapText="1"/>
    </xf>
    <xf numFmtId="49" fontId="12" fillId="5" borderId="127" xfId="1" quotePrefix="1" applyNumberFormat="1" applyFont="1" applyFill="1" applyBorder="1" applyAlignment="1">
      <alignment horizontal="center"/>
    </xf>
    <xf numFmtId="49" fontId="12" fillId="5" borderId="128" xfId="1" quotePrefix="1" applyNumberFormat="1" applyFont="1" applyFill="1" applyBorder="1" applyAlignment="1">
      <alignment horizontal="center"/>
    </xf>
    <xf numFmtId="166" fontId="12" fillId="5" borderId="107" xfId="1" quotePrefix="1" applyNumberFormat="1" applyFont="1" applyFill="1" applyBorder="1" applyAlignment="1">
      <alignment horizontal="center" vertical="center"/>
    </xf>
    <xf numFmtId="166" fontId="12" fillId="5" borderId="111" xfId="1" quotePrefix="1" applyNumberFormat="1" applyFont="1" applyFill="1" applyBorder="1" applyAlignment="1">
      <alignment horizontal="center" vertical="center"/>
    </xf>
    <xf numFmtId="164" fontId="5" fillId="0" borderId="107" xfId="0" applyNumberFormat="1" applyFont="1" applyBorder="1" applyAlignment="1">
      <alignment horizontal="center" vertical="center"/>
    </xf>
    <xf numFmtId="164" fontId="5" fillId="0" borderId="111" xfId="0" applyNumberFormat="1" applyFont="1" applyBorder="1" applyAlignment="1">
      <alignment horizontal="center" vertical="center"/>
    </xf>
    <xf numFmtId="49" fontId="3" fillId="0" borderId="107" xfId="2" quotePrefix="1" applyNumberFormat="1" applyFont="1" applyBorder="1" applyAlignment="1">
      <alignment horizontal="center" vertical="center"/>
    </xf>
    <xf numFmtId="49" fontId="3" fillId="0" borderId="111" xfId="2" quotePrefix="1" applyNumberFormat="1" applyFont="1" applyBorder="1" applyAlignment="1">
      <alignment horizontal="center" vertical="center"/>
    </xf>
    <xf numFmtId="166" fontId="2" fillId="0" borderId="107" xfId="1" quotePrefix="1" applyNumberFormat="1" applyFont="1" applyFill="1" applyBorder="1" applyAlignment="1">
      <alignment horizontal="center" vertical="center" wrapText="1"/>
    </xf>
    <xf numFmtId="166" fontId="2" fillId="0" borderId="111" xfId="1" quotePrefix="1" applyNumberFormat="1" applyFont="1" applyFill="1" applyBorder="1" applyAlignment="1">
      <alignment horizontal="center" vertical="center" wrapText="1"/>
    </xf>
    <xf numFmtId="49" fontId="2" fillId="2" borderId="107" xfId="2" quotePrefix="1" applyNumberFormat="1" applyFont="1" applyFill="1" applyBorder="1" applyAlignment="1">
      <alignment horizontal="center" vertical="center" wrapText="1"/>
    </xf>
    <xf numFmtId="49" fontId="2" fillId="2" borderId="111" xfId="2" quotePrefix="1" applyNumberFormat="1" applyFont="1" applyFill="1" applyBorder="1" applyAlignment="1">
      <alignment horizontal="center" vertical="center" wrapText="1"/>
    </xf>
    <xf numFmtId="49" fontId="2" fillId="0" borderId="108" xfId="2" quotePrefix="1" applyNumberFormat="1" applyFont="1" applyBorder="1" applyAlignment="1">
      <alignment horizontal="center" vertical="center"/>
    </xf>
    <xf numFmtId="49" fontId="2" fillId="0" borderId="24" xfId="2" quotePrefix="1" applyNumberFormat="1" applyFont="1" applyBorder="1" applyAlignment="1">
      <alignment horizontal="center" vertical="center"/>
    </xf>
    <xf numFmtId="0" fontId="3" fillId="3" borderId="122" xfId="0" applyFont="1" applyFill="1" applyBorder="1" applyAlignment="1">
      <alignment horizontal="center" vertical="center"/>
    </xf>
    <xf numFmtId="49" fontId="12" fillId="5" borderId="43" xfId="1" quotePrefix="1" applyNumberFormat="1" applyFont="1" applyFill="1" applyBorder="1" applyAlignment="1">
      <alignment horizontal="center"/>
    </xf>
    <xf numFmtId="49" fontId="12" fillId="5" borderId="55" xfId="1" quotePrefix="1" applyNumberFormat="1" applyFont="1" applyFill="1" applyBorder="1" applyAlignment="1">
      <alignment horizontal="center"/>
    </xf>
    <xf numFmtId="166" fontId="12" fillId="5" borderId="34" xfId="1" quotePrefix="1" applyNumberFormat="1" applyFont="1" applyFill="1" applyBorder="1" applyAlignment="1">
      <alignment horizontal="center" wrapText="1"/>
    </xf>
    <xf numFmtId="166" fontId="12" fillId="5" borderId="112" xfId="1" quotePrefix="1" applyNumberFormat="1" applyFont="1" applyFill="1" applyBorder="1" applyAlignment="1">
      <alignment horizontal="center" wrapText="1"/>
    </xf>
    <xf numFmtId="49" fontId="2" fillId="2" borderId="34" xfId="2" quotePrefix="1" applyNumberFormat="1" applyFont="1" applyFill="1" applyBorder="1" applyAlignment="1">
      <alignment horizontal="center" vertical="center" wrapText="1"/>
    </xf>
    <xf numFmtId="49" fontId="2" fillId="2" borderId="112" xfId="2" quotePrefix="1" applyNumberFormat="1" applyFont="1" applyFill="1" applyBorder="1" applyAlignment="1">
      <alignment horizontal="center" vertical="center" wrapText="1"/>
    </xf>
    <xf numFmtId="166" fontId="2" fillId="0" borderId="34" xfId="1" quotePrefix="1" applyNumberFormat="1" applyFont="1" applyFill="1" applyBorder="1" applyAlignment="1">
      <alignment horizontal="center" vertical="center" wrapText="1"/>
    </xf>
    <xf numFmtId="166" fontId="2" fillId="0" borderId="112" xfId="1" applyNumberFormat="1" applyFont="1" applyFill="1" applyBorder="1" applyAlignment="1">
      <alignment horizontal="center" vertical="center"/>
    </xf>
    <xf numFmtId="164" fontId="5" fillId="0" borderId="118" xfId="0" applyNumberFormat="1" applyFont="1" applyBorder="1" applyAlignment="1">
      <alignment horizontal="center" vertical="center"/>
    </xf>
    <xf numFmtId="164" fontId="5" fillId="0" borderId="112" xfId="0" applyNumberFormat="1" applyFont="1" applyBorder="1" applyAlignment="1">
      <alignment horizontal="center" vertical="center"/>
    </xf>
    <xf numFmtId="164" fontId="136" fillId="2" borderId="38" xfId="0" applyNumberFormat="1" applyFont="1" applyFill="1" applyBorder="1" applyAlignment="1">
      <alignment horizontal="center" vertical="center"/>
    </xf>
    <xf numFmtId="164" fontId="136" fillId="2" borderId="115" xfId="0" applyNumberFormat="1" applyFont="1" applyFill="1" applyBorder="1" applyAlignment="1">
      <alignment horizontal="center" vertical="center"/>
    </xf>
    <xf numFmtId="49" fontId="3" fillId="0" borderId="34" xfId="2" quotePrefix="1" applyNumberFormat="1" applyFont="1" applyBorder="1" applyAlignment="1">
      <alignment horizontal="center" vertical="center"/>
    </xf>
    <xf numFmtId="49" fontId="3" fillId="0" borderId="112" xfId="2" quotePrefix="1" applyNumberFormat="1" applyFont="1" applyBorder="1" applyAlignment="1">
      <alignment horizontal="center" vertical="center"/>
    </xf>
    <xf numFmtId="0" fontId="3" fillId="3" borderId="119" xfId="0" applyFont="1" applyFill="1" applyBorder="1" applyAlignment="1">
      <alignment horizontal="center" vertical="center"/>
    </xf>
    <xf numFmtId="0" fontId="3" fillId="3" borderId="150" xfId="0" applyFont="1" applyFill="1" applyBorder="1" applyAlignment="1">
      <alignment horizontal="center" vertical="center"/>
    </xf>
    <xf numFmtId="0" fontId="3" fillId="3" borderId="140" xfId="0" applyFont="1" applyFill="1" applyBorder="1" applyAlignment="1">
      <alignment horizontal="center" vertical="center"/>
    </xf>
    <xf numFmtId="0" fontId="3" fillId="3" borderId="153" xfId="0" applyFont="1" applyFill="1" applyBorder="1" applyAlignment="1">
      <alignment horizontal="center" vertical="center"/>
    </xf>
    <xf numFmtId="166" fontId="2" fillId="5" borderId="132" xfId="1" quotePrefix="1" applyNumberFormat="1" applyFont="1" applyFill="1" applyBorder="1" applyAlignment="1">
      <alignment horizontal="center" vertical="center" wrapText="1"/>
    </xf>
    <xf numFmtId="166" fontId="2" fillId="5" borderId="21" xfId="1" applyNumberFormat="1" applyFont="1" applyFill="1" applyBorder="1" applyAlignment="1">
      <alignment horizontal="center" vertical="center"/>
    </xf>
    <xf numFmtId="166" fontId="2" fillId="5" borderId="124" xfId="1" applyNumberFormat="1" applyFont="1" applyFill="1" applyBorder="1" applyAlignment="1">
      <alignment horizontal="center" vertical="center"/>
    </xf>
    <xf numFmtId="49" fontId="2" fillId="2" borderId="108" xfId="2" quotePrefix="1" applyNumberFormat="1" applyFont="1" applyFill="1" applyBorder="1" applyAlignment="1">
      <alignment horizontal="center" vertical="center" wrapText="1"/>
    </xf>
    <xf numFmtId="0" fontId="2" fillId="0" borderId="127" xfId="0" applyFont="1" applyBorder="1" applyAlignment="1">
      <alignment horizontal="center" vertical="center" wrapText="1"/>
    </xf>
    <xf numFmtId="0" fontId="2" fillId="0" borderId="128" xfId="0" applyFont="1" applyBorder="1" applyAlignment="1">
      <alignment horizontal="center" vertical="center" wrapText="1"/>
    </xf>
    <xf numFmtId="164" fontId="136" fillId="2" borderId="129" xfId="0" applyNumberFormat="1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 vertical="center" wrapText="1"/>
    </xf>
    <xf numFmtId="166" fontId="12" fillId="5" borderId="34" xfId="1" quotePrefix="1" applyNumberFormat="1" applyFont="1" applyFill="1" applyBorder="1" applyAlignment="1">
      <alignment horizontal="center" vertical="center" wrapText="1"/>
    </xf>
    <xf numFmtId="166" fontId="12" fillId="5" borderId="112" xfId="1" quotePrefix="1" applyNumberFormat="1" applyFont="1" applyFill="1" applyBorder="1" applyAlignment="1">
      <alignment horizontal="center" vertical="center" wrapText="1"/>
    </xf>
    <xf numFmtId="49" fontId="2" fillId="0" borderId="108" xfId="0" applyNumberFormat="1" applyFont="1" applyBorder="1" applyAlignment="1">
      <alignment horizontal="center" vertical="center" wrapText="1"/>
    </xf>
    <xf numFmtId="49" fontId="2" fillId="0" borderId="34" xfId="0" applyNumberFormat="1" applyFont="1" applyBorder="1" applyAlignment="1">
      <alignment horizontal="center" vertical="center" wrapText="1"/>
    </xf>
    <xf numFmtId="49" fontId="2" fillId="0" borderId="112" xfId="0" applyNumberFormat="1" applyFont="1" applyBorder="1" applyAlignment="1">
      <alignment horizontal="center" vertical="center" wrapText="1"/>
    </xf>
    <xf numFmtId="164" fontId="136" fillId="2" borderId="109" xfId="0" applyNumberFormat="1" applyFont="1" applyFill="1" applyBorder="1" applyAlignment="1">
      <alignment horizontal="center" vertical="center"/>
    </xf>
    <xf numFmtId="164" fontId="136" fillId="2" borderId="20" xfId="0" applyNumberFormat="1" applyFont="1" applyFill="1" applyBorder="1" applyAlignment="1">
      <alignment horizontal="center" vertical="center"/>
    </xf>
    <xf numFmtId="164" fontId="136" fillId="2" borderId="113" xfId="0" applyNumberFormat="1" applyFont="1" applyFill="1" applyBorder="1" applyAlignment="1">
      <alignment horizontal="center" vertical="center"/>
    </xf>
    <xf numFmtId="166" fontId="2" fillId="0" borderId="112" xfId="1" quotePrefix="1" applyNumberFormat="1" applyFont="1" applyFill="1" applyBorder="1" applyAlignment="1">
      <alignment horizontal="center" vertical="center" wrapText="1"/>
    </xf>
    <xf numFmtId="49" fontId="3" fillId="0" borderId="108" xfId="2" quotePrefix="1" applyNumberFormat="1" applyFont="1" applyBorder="1" applyAlignment="1">
      <alignment horizontal="center" vertical="center"/>
    </xf>
    <xf numFmtId="166" fontId="12" fillId="5" borderId="112" xfId="1" quotePrefix="1" applyNumberFormat="1" applyFont="1" applyFill="1" applyBorder="1" applyAlignment="1">
      <alignment horizontal="center" vertical="center"/>
    </xf>
    <xf numFmtId="166" fontId="12" fillId="5" borderId="118" xfId="1" quotePrefix="1" applyNumberFormat="1" applyFont="1" applyFill="1" applyBorder="1" applyAlignment="1">
      <alignment horizontal="center"/>
    </xf>
    <xf numFmtId="166" fontId="12" fillId="5" borderId="112" xfId="1" quotePrefix="1" applyNumberFormat="1" applyFont="1" applyFill="1" applyBorder="1" applyAlignment="1">
      <alignment horizontal="center"/>
    </xf>
    <xf numFmtId="164" fontId="136" fillId="2" borderId="120" xfId="0" applyNumberFormat="1" applyFont="1" applyFill="1" applyBorder="1" applyAlignment="1">
      <alignment horizontal="center" vertical="center" wrapText="1"/>
    </xf>
    <xf numFmtId="164" fontId="136" fillId="2" borderId="20" xfId="0" applyNumberFormat="1" applyFont="1" applyFill="1" applyBorder="1" applyAlignment="1">
      <alignment horizontal="center" vertical="center" wrapText="1"/>
    </xf>
    <xf numFmtId="164" fontId="136" fillId="2" borderId="113" xfId="0" applyNumberFormat="1" applyFont="1" applyFill="1" applyBorder="1" applyAlignment="1">
      <alignment horizontal="center" vertical="center" wrapText="1"/>
    </xf>
    <xf numFmtId="49" fontId="2" fillId="2" borderId="118" xfId="2" quotePrefix="1" applyNumberFormat="1" applyFont="1" applyFill="1" applyBorder="1" applyAlignment="1">
      <alignment horizontal="center" vertical="center" wrapText="1"/>
    </xf>
    <xf numFmtId="49" fontId="6" fillId="0" borderId="118" xfId="2" quotePrefix="1" applyNumberFormat="1" applyFont="1" applyBorder="1" applyAlignment="1">
      <alignment horizontal="center" vertical="center" wrapText="1"/>
    </xf>
    <xf numFmtId="49" fontId="6" fillId="0" borderId="34" xfId="2" quotePrefix="1" applyNumberFormat="1" applyFont="1" applyBorder="1" applyAlignment="1">
      <alignment horizontal="center" vertical="center" wrapText="1"/>
    </xf>
    <xf numFmtId="49" fontId="6" fillId="0" borderId="24" xfId="2" quotePrefix="1" applyNumberFormat="1" applyFont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/>
    </xf>
    <xf numFmtId="166" fontId="2" fillId="0" borderId="75" xfId="1" quotePrefix="1" applyNumberFormat="1" applyFont="1" applyFill="1" applyBorder="1" applyAlignment="1">
      <alignment horizontal="center" vertical="center" wrapText="1"/>
    </xf>
    <xf numFmtId="166" fontId="2" fillId="0" borderId="118" xfId="1" quotePrefix="1" applyNumberFormat="1" applyFont="1" applyFill="1" applyBorder="1" applyAlignment="1">
      <alignment horizontal="center" vertical="center" wrapText="1"/>
    </xf>
    <xf numFmtId="166" fontId="2" fillId="0" borderId="34" xfId="1" applyNumberFormat="1" applyFont="1" applyFill="1" applyBorder="1" applyAlignment="1">
      <alignment horizontal="center" vertical="center"/>
    </xf>
    <xf numFmtId="164" fontId="136" fillId="2" borderId="122" xfId="0" applyNumberFormat="1" applyFont="1" applyFill="1" applyBorder="1" applyAlignment="1">
      <alignment horizontal="center" vertical="center"/>
    </xf>
    <xf numFmtId="164" fontId="136" fillId="2" borderId="118" xfId="0" applyNumberFormat="1" applyFont="1" applyFill="1" applyBorder="1" applyAlignment="1">
      <alignment horizontal="center" vertical="center"/>
    </xf>
    <xf numFmtId="164" fontId="136" fillId="2" borderId="34" xfId="0" applyNumberFormat="1" applyFont="1" applyFill="1" applyBorder="1" applyAlignment="1">
      <alignment horizontal="center" vertical="center"/>
    </xf>
    <xf numFmtId="164" fontId="136" fillId="2" borderId="112" xfId="0" applyNumberFormat="1" applyFont="1" applyFill="1" applyBorder="1" applyAlignment="1">
      <alignment horizontal="center" vertical="center"/>
    </xf>
    <xf numFmtId="1" fontId="2" fillId="0" borderId="118" xfId="2" quotePrefix="1" applyNumberFormat="1" applyFont="1" applyBorder="1" applyAlignment="1">
      <alignment horizontal="center" vertical="center"/>
    </xf>
    <xf numFmtId="1" fontId="2" fillId="0" borderId="34" xfId="2" quotePrefix="1" applyNumberFormat="1" applyFont="1" applyBorder="1" applyAlignment="1">
      <alignment horizontal="center" vertical="center"/>
    </xf>
    <xf numFmtId="1" fontId="2" fillId="0" borderId="112" xfId="2" quotePrefix="1" applyNumberFormat="1" applyFont="1" applyBorder="1" applyAlignment="1">
      <alignment horizontal="center" vertical="center"/>
    </xf>
    <xf numFmtId="166" fontId="2" fillId="5" borderId="34" xfId="1" applyNumberFormat="1" applyFont="1" applyFill="1" applyBorder="1" applyAlignment="1">
      <alignment horizontal="center" vertical="center" wrapText="1"/>
    </xf>
    <xf numFmtId="166" fontId="2" fillId="5" borderId="112" xfId="1" applyNumberFormat="1" applyFont="1" applyFill="1" applyBorder="1" applyAlignment="1">
      <alignment horizontal="center" vertical="center" wrapText="1"/>
    </xf>
    <xf numFmtId="164" fontId="5" fillId="0" borderId="118" xfId="0" applyNumberFormat="1" applyFont="1" applyBorder="1" applyAlignment="1">
      <alignment horizontal="center" vertical="center" wrapText="1"/>
    </xf>
    <xf numFmtId="164" fontId="5" fillId="0" borderId="34" xfId="0" applyNumberFormat="1" applyFont="1" applyBorder="1" applyAlignment="1">
      <alignment horizontal="center" vertical="center" wrapText="1"/>
    </xf>
    <xf numFmtId="164" fontId="5" fillId="0" borderId="112" xfId="0" applyNumberFormat="1" applyFont="1" applyBorder="1" applyAlignment="1">
      <alignment horizontal="center" vertical="center" wrapText="1"/>
    </xf>
    <xf numFmtId="49" fontId="2" fillId="0" borderId="122" xfId="2" quotePrefix="1" applyNumberFormat="1" applyFont="1" applyBorder="1" applyAlignment="1">
      <alignment horizontal="center"/>
    </xf>
    <xf numFmtId="49" fontId="2" fillId="0" borderId="107" xfId="2" quotePrefix="1" applyNumberFormat="1" applyFont="1" applyBorder="1" applyAlignment="1">
      <alignment horizontal="center"/>
    </xf>
    <xf numFmtId="49" fontId="2" fillId="0" borderId="111" xfId="2" quotePrefix="1" applyNumberFormat="1" applyFont="1" applyBorder="1" applyAlignment="1">
      <alignment horizontal="center"/>
    </xf>
    <xf numFmtId="49" fontId="2" fillId="0" borderId="118" xfId="2" quotePrefix="1" applyNumberFormat="1" applyFont="1" applyBorder="1" applyAlignment="1">
      <alignment horizontal="center" vertical="center"/>
    </xf>
    <xf numFmtId="49" fontId="2" fillId="0" borderId="34" xfId="2" quotePrefix="1" applyNumberFormat="1" applyFont="1" applyBorder="1" applyAlignment="1">
      <alignment horizontal="center" vertical="center"/>
    </xf>
    <xf numFmtId="49" fontId="2" fillId="0" borderId="112" xfId="2" quotePrefix="1" applyNumberFormat="1" applyFont="1" applyBorder="1" applyAlignment="1">
      <alignment horizontal="center" vertical="center"/>
    </xf>
    <xf numFmtId="49" fontId="12" fillId="5" borderId="127" xfId="1" quotePrefix="1" applyNumberFormat="1" applyFont="1" applyFill="1" applyBorder="1" applyAlignment="1">
      <alignment horizontal="center" vertical="center"/>
    </xf>
    <xf numFmtId="49" fontId="12" fillId="5" borderId="128" xfId="1" quotePrefix="1" applyNumberFormat="1" applyFont="1" applyFill="1" applyBorder="1" applyAlignment="1">
      <alignment horizontal="center" vertical="center"/>
    </xf>
    <xf numFmtId="49" fontId="5" fillId="0" borderId="118" xfId="2" quotePrefix="1" applyNumberFormat="1" applyFont="1" applyBorder="1" applyAlignment="1">
      <alignment horizontal="center" vertical="center"/>
    </xf>
    <xf numFmtId="49" fontId="5" fillId="0" borderId="112" xfId="2" quotePrefix="1" applyNumberFormat="1" applyFont="1" applyBorder="1" applyAlignment="1">
      <alignment horizontal="center" vertical="center"/>
    </xf>
    <xf numFmtId="14" fontId="2" fillId="0" borderId="118" xfId="0" quotePrefix="1" applyNumberFormat="1" applyFont="1" applyBorder="1" applyAlignment="1">
      <alignment horizontal="center" vertical="center" wrapText="1"/>
    </xf>
    <xf numFmtId="14" fontId="2" fillId="0" borderId="112" xfId="0" applyNumberFormat="1" applyFont="1" applyBorder="1" applyAlignment="1">
      <alignment horizontal="center" vertical="center"/>
    </xf>
    <xf numFmtId="0" fontId="3" fillId="3" borderId="96" xfId="0" applyFont="1" applyFill="1" applyBorder="1" applyAlignment="1">
      <alignment horizontal="center" vertical="center"/>
    </xf>
    <xf numFmtId="0" fontId="3" fillId="3" borderId="97" xfId="0" applyFont="1" applyFill="1" applyBorder="1" applyAlignment="1">
      <alignment horizontal="center" vertical="center"/>
    </xf>
    <xf numFmtId="0" fontId="3" fillId="3" borderId="93" xfId="0" applyFont="1" applyFill="1" applyBorder="1" applyAlignment="1">
      <alignment horizontal="center" vertical="center"/>
    </xf>
    <xf numFmtId="49" fontId="2" fillId="0" borderId="118" xfId="2" quotePrefix="1" applyNumberFormat="1" applyFont="1" applyBorder="1" applyAlignment="1">
      <alignment horizontal="center"/>
    </xf>
    <xf numFmtId="49" fontId="2" fillId="0" borderId="34" xfId="2" quotePrefix="1" applyNumberFormat="1" applyFont="1" applyBorder="1" applyAlignment="1">
      <alignment horizontal="center"/>
    </xf>
    <xf numFmtId="49" fontId="2" fillId="0" borderId="112" xfId="2" quotePrefix="1" applyNumberFormat="1" applyFont="1" applyBorder="1" applyAlignment="1">
      <alignment horizontal="center"/>
    </xf>
    <xf numFmtId="166" fontId="2" fillId="0" borderId="25" xfId="1" quotePrefix="1" applyNumberFormat="1" applyFont="1" applyFill="1" applyBorder="1" applyAlignment="1">
      <alignment horizontal="center" vertical="center"/>
    </xf>
    <xf numFmtId="166" fontId="2" fillId="0" borderId="41" xfId="1" quotePrefix="1" applyNumberFormat="1" applyFont="1" applyFill="1" applyBorder="1" applyAlignment="1">
      <alignment horizontal="center" vertical="center"/>
    </xf>
    <xf numFmtId="166" fontId="2" fillId="0" borderId="26" xfId="1" quotePrefix="1" applyNumberFormat="1" applyFont="1" applyFill="1" applyBorder="1" applyAlignment="1">
      <alignment horizontal="center" vertical="center"/>
    </xf>
    <xf numFmtId="164" fontId="136" fillId="2" borderId="79" xfId="0" applyNumberFormat="1" applyFont="1" applyFill="1" applyBorder="1" applyAlignment="1">
      <alignment horizontal="center" vertical="center"/>
    </xf>
    <xf numFmtId="164" fontId="136" fillId="2" borderId="80" xfId="0" applyNumberFormat="1" applyFont="1" applyFill="1" applyBorder="1" applyAlignment="1">
      <alignment horizontal="center" vertical="center"/>
    </xf>
    <xf numFmtId="49" fontId="2" fillId="0" borderId="75" xfId="2" quotePrefix="1" applyNumberFormat="1" applyFont="1" applyBorder="1" applyAlignment="1">
      <alignment horizontal="center" vertical="center"/>
    </xf>
    <xf numFmtId="164" fontId="5" fillId="0" borderId="75" xfId="0" applyNumberFormat="1" applyFont="1" applyBorder="1" applyAlignment="1">
      <alignment horizontal="center" vertical="center"/>
    </xf>
    <xf numFmtId="164" fontId="136" fillId="2" borderId="61" xfId="0" applyNumberFormat="1" applyFont="1" applyFill="1" applyBorder="1" applyAlignment="1">
      <alignment horizontal="center" vertical="center"/>
    </xf>
    <xf numFmtId="164" fontId="136" fillId="2" borderId="43" xfId="0" applyNumberFormat="1" applyFont="1" applyFill="1" applyBorder="1" applyAlignment="1">
      <alignment horizontal="center" vertical="center"/>
    </xf>
    <xf numFmtId="166" fontId="2" fillId="0" borderId="83" xfId="1" applyNumberFormat="1" applyFont="1" applyFill="1" applyBorder="1" applyAlignment="1">
      <alignment horizontal="center" vertical="center" wrapText="1"/>
    </xf>
    <xf numFmtId="166" fontId="2" fillId="0" borderId="83" xfId="1" applyNumberFormat="1" applyFont="1" applyFill="1" applyBorder="1" applyAlignment="1">
      <alignment horizontal="center" vertical="center"/>
    </xf>
    <xf numFmtId="166" fontId="2" fillId="0" borderId="25" xfId="1" quotePrefix="1" applyNumberFormat="1" applyFont="1" applyFill="1" applyBorder="1" applyAlignment="1">
      <alignment horizontal="center" vertical="center" wrapText="1"/>
    </xf>
    <xf numFmtId="166" fontId="2" fillId="0" borderId="78" xfId="1" quotePrefix="1" applyNumberFormat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 vertical="center"/>
    </xf>
    <xf numFmtId="0" fontId="2" fillId="2" borderId="112" xfId="0" quotePrefix="1" applyFont="1" applyFill="1" applyBorder="1" applyAlignment="1">
      <alignment horizontal="center" vertical="center"/>
    </xf>
    <xf numFmtId="0" fontId="2" fillId="2" borderId="34" xfId="0" quotePrefix="1" applyFont="1" applyFill="1" applyBorder="1" applyAlignment="1">
      <alignment horizontal="center"/>
    </xf>
    <xf numFmtId="0" fontId="2" fillId="2" borderId="112" xfId="0" quotePrefix="1" applyFont="1" applyFill="1" applyBorder="1" applyAlignment="1">
      <alignment horizontal="center"/>
    </xf>
    <xf numFmtId="0" fontId="2" fillId="2" borderId="118" xfId="0" quotePrefix="1" applyFont="1" applyFill="1" applyBorder="1" applyAlignment="1">
      <alignment horizontal="center" vertical="center"/>
    </xf>
    <xf numFmtId="0" fontId="2" fillId="2" borderId="118" xfId="0" quotePrefix="1" applyFont="1" applyFill="1" applyBorder="1" applyAlignment="1">
      <alignment horizontal="center"/>
    </xf>
    <xf numFmtId="0" fontId="14" fillId="0" borderId="120" xfId="7" applyFont="1" applyBorder="1" applyAlignment="1">
      <alignment horizontal="center" vertical="center" wrapText="1"/>
    </xf>
    <xf numFmtId="0" fontId="14" fillId="0" borderId="20" xfId="7" applyFont="1" applyBorder="1" applyAlignment="1">
      <alignment horizontal="center" vertical="center" wrapText="1"/>
    </xf>
    <xf numFmtId="0" fontId="14" fillId="0" borderId="113" xfId="7" applyFont="1" applyBorder="1" applyAlignment="1">
      <alignment horizontal="center" vertical="center" wrapText="1"/>
    </xf>
    <xf numFmtId="166" fontId="12" fillId="5" borderId="20" xfId="1" quotePrefix="1" applyNumberFormat="1" applyFont="1" applyFill="1" applyBorder="1" applyAlignment="1">
      <alignment horizontal="center" vertical="center"/>
    </xf>
    <xf numFmtId="166" fontId="12" fillId="5" borderId="113" xfId="1" quotePrefix="1" applyNumberFormat="1" applyFont="1" applyFill="1" applyBorder="1" applyAlignment="1">
      <alignment horizontal="center" vertical="center"/>
    </xf>
    <xf numFmtId="166" fontId="2" fillId="5" borderId="118" xfId="1" quotePrefix="1" applyNumberFormat="1" applyFont="1" applyFill="1" applyBorder="1" applyAlignment="1">
      <alignment horizontal="center" vertical="center" wrapText="1"/>
    </xf>
    <xf numFmtId="166" fontId="2" fillId="5" borderId="34" xfId="1" quotePrefix="1" applyNumberFormat="1" applyFont="1" applyFill="1" applyBorder="1" applyAlignment="1">
      <alignment horizontal="center" vertical="center" wrapText="1"/>
    </xf>
    <xf numFmtId="166" fontId="2" fillId="5" borderId="112" xfId="1" quotePrefix="1" applyNumberFormat="1" applyFont="1" applyFill="1" applyBorder="1" applyAlignment="1">
      <alignment horizontal="center" vertical="center" wrapText="1"/>
    </xf>
    <xf numFmtId="164" fontId="136" fillId="2" borderId="120" xfId="0" applyNumberFormat="1" applyFont="1" applyFill="1" applyBorder="1" applyAlignment="1">
      <alignment horizontal="center" vertical="center"/>
    </xf>
    <xf numFmtId="0" fontId="14" fillId="0" borderId="118" xfId="7" applyFont="1" applyBorder="1" applyAlignment="1">
      <alignment horizontal="center" vertical="center" wrapText="1"/>
    </xf>
    <xf numFmtId="0" fontId="14" fillId="0" borderId="34" xfId="7" applyFont="1" applyBorder="1" applyAlignment="1">
      <alignment horizontal="center" vertical="center" wrapText="1"/>
    </xf>
    <xf numFmtId="0" fontId="14" fillId="0" borderId="112" xfId="7" applyFont="1" applyBorder="1" applyAlignment="1">
      <alignment horizontal="center" vertical="center" wrapText="1"/>
    </xf>
    <xf numFmtId="166" fontId="2" fillId="5" borderId="24" xfId="1" applyNumberFormat="1" applyFont="1" applyFill="1" applyBorder="1" applyAlignment="1">
      <alignment horizontal="center" vertical="center" wrapText="1"/>
    </xf>
    <xf numFmtId="166" fontId="2" fillId="5" borderId="107" xfId="1" applyNumberFormat="1" applyFont="1" applyFill="1" applyBorder="1" applyAlignment="1">
      <alignment horizontal="center" vertical="center" wrapText="1"/>
    </xf>
    <xf numFmtId="166" fontId="12" fillId="5" borderId="118" xfId="1" quotePrefix="1" applyNumberFormat="1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3" borderId="55" xfId="0" applyFont="1" applyFill="1" applyBorder="1" applyAlignment="1">
      <alignment horizontal="center" vertical="center"/>
    </xf>
    <xf numFmtId="164" fontId="136" fillId="2" borderId="137" xfId="0" applyNumberFormat="1" applyFont="1" applyFill="1" applyBorder="1" applyAlignment="1">
      <alignment horizontal="center" vertical="center"/>
    </xf>
    <xf numFmtId="49" fontId="2" fillId="2" borderId="24" xfId="2" quotePrefix="1" applyNumberFormat="1" applyFont="1" applyFill="1" applyBorder="1" applyAlignment="1">
      <alignment horizontal="center" vertical="center" wrapText="1"/>
    </xf>
    <xf numFmtId="166" fontId="2" fillId="0" borderId="84" xfId="1" quotePrefix="1" applyNumberFormat="1" applyFont="1" applyFill="1" applyBorder="1" applyAlignment="1">
      <alignment horizontal="center" vertical="center" wrapText="1"/>
    </xf>
    <xf numFmtId="166" fontId="2" fillId="0" borderId="69" xfId="1" quotePrefix="1" applyNumberFormat="1" applyFont="1" applyFill="1" applyBorder="1" applyAlignment="1">
      <alignment horizontal="center" vertical="center" wrapText="1"/>
    </xf>
    <xf numFmtId="1" fontId="12" fillId="5" borderId="127" xfId="1" quotePrefix="1" applyNumberFormat="1" applyFont="1" applyFill="1" applyBorder="1" applyAlignment="1">
      <alignment horizontal="center" vertical="center"/>
    </xf>
    <xf numFmtId="1" fontId="12" fillId="5" borderId="143" xfId="1" quotePrefix="1" applyNumberFormat="1" applyFont="1" applyFill="1" applyBorder="1" applyAlignment="1">
      <alignment horizontal="center" vertical="center"/>
    </xf>
    <xf numFmtId="1" fontId="12" fillId="5" borderId="128" xfId="1" quotePrefix="1" applyNumberFormat="1" applyFont="1" applyFill="1" applyBorder="1" applyAlignment="1">
      <alignment horizontal="center" vertical="center"/>
    </xf>
    <xf numFmtId="49" fontId="5" fillId="0" borderId="34" xfId="2" quotePrefix="1" applyNumberFormat="1" applyFont="1" applyBorder="1" applyAlignment="1">
      <alignment horizontal="center" vertical="center"/>
    </xf>
    <xf numFmtId="49" fontId="12" fillId="5" borderId="109" xfId="1" quotePrefix="1" applyNumberFormat="1" applyFont="1" applyFill="1" applyBorder="1" applyAlignment="1">
      <alignment horizontal="center"/>
    </xf>
    <xf numFmtId="49" fontId="12" fillId="5" borderId="132" xfId="1" quotePrefix="1" applyNumberFormat="1" applyFont="1" applyFill="1" applyBorder="1" applyAlignment="1">
      <alignment horizontal="center"/>
    </xf>
    <xf numFmtId="166" fontId="2" fillId="5" borderId="21" xfId="1" applyNumberFormat="1" applyFont="1" applyFill="1" applyBorder="1" applyAlignment="1">
      <alignment horizontal="center" vertical="center" wrapText="1"/>
    </xf>
    <xf numFmtId="166" fontId="2" fillId="5" borderId="124" xfId="1" applyNumberFormat="1" applyFont="1" applyFill="1" applyBorder="1" applyAlignment="1">
      <alignment horizontal="center" vertical="center" wrapText="1"/>
    </xf>
    <xf numFmtId="166" fontId="2" fillId="2" borderId="75" xfId="1" applyNumberFormat="1" applyFont="1" applyFill="1" applyBorder="1" applyAlignment="1">
      <alignment horizontal="center" vertical="center"/>
    </xf>
    <xf numFmtId="166" fontId="2" fillId="2" borderId="34" xfId="1" applyNumberFormat="1" applyFont="1" applyFill="1" applyBorder="1" applyAlignment="1">
      <alignment horizontal="center" vertical="center"/>
    </xf>
    <xf numFmtId="166" fontId="2" fillId="2" borderId="24" xfId="1" applyNumberFormat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vertical="center" wrapText="1"/>
    </xf>
    <xf numFmtId="166" fontId="12" fillId="5" borderId="34" xfId="1" quotePrefix="1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 wrapText="1"/>
    </xf>
    <xf numFmtId="0" fontId="3" fillId="9" borderId="20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 wrapText="1"/>
    </xf>
    <xf numFmtId="49" fontId="2" fillId="0" borderId="24" xfId="0" applyNumberFormat="1" applyFont="1" applyBorder="1" applyAlignment="1">
      <alignment horizontal="center" vertical="center" wrapText="1"/>
    </xf>
    <xf numFmtId="166" fontId="12" fillId="0" borderId="34" xfId="1" quotePrefix="1" applyNumberFormat="1" applyFont="1" applyFill="1" applyBorder="1" applyAlignment="1">
      <alignment horizontal="center" vertical="center"/>
    </xf>
    <xf numFmtId="166" fontId="12" fillId="0" borderId="20" xfId="1" quotePrefix="1" applyNumberFormat="1" applyFont="1" applyFill="1" applyBorder="1" applyAlignment="1">
      <alignment horizontal="center" vertical="center"/>
    </xf>
    <xf numFmtId="166" fontId="12" fillId="0" borderId="43" xfId="1" quotePrefix="1" applyNumberFormat="1" applyFont="1" applyFill="1" applyBorder="1" applyAlignment="1">
      <alignment horizontal="center" vertical="center"/>
    </xf>
    <xf numFmtId="166" fontId="12" fillId="0" borderId="73" xfId="1" quotePrefix="1" applyNumberFormat="1" applyFont="1" applyFill="1" applyBorder="1" applyAlignment="1">
      <alignment horizontal="center" vertical="center"/>
    </xf>
    <xf numFmtId="166" fontId="2" fillId="2" borderId="83" xfId="1" applyNumberFormat="1" applyFont="1" applyFill="1" applyBorder="1" applyAlignment="1">
      <alignment horizontal="center" vertical="center"/>
    </xf>
    <xf numFmtId="0" fontId="2" fillId="2" borderId="75" xfId="0" quotePrefix="1" applyFont="1" applyFill="1" applyBorder="1" applyAlignment="1">
      <alignment horizontal="center" vertical="center"/>
    </xf>
    <xf numFmtId="49" fontId="2" fillId="2" borderId="75" xfId="2" quotePrefix="1" applyNumberFormat="1" applyFont="1" applyFill="1" applyBorder="1" applyAlignment="1">
      <alignment horizontal="center" wrapText="1"/>
    </xf>
    <xf numFmtId="164" fontId="2" fillId="0" borderId="131" xfId="0" applyNumberFormat="1" applyFont="1" applyBorder="1" applyAlignment="1">
      <alignment horizontal="center" vertical="center"/>
    </xf>
    <xf numFmtId="164" fontId="2" fillId="0" borderId="130" xfId="0" applyNumberFormat="1" applyFont="1" applyBorder="1" applyAlignment="1">
      <alignment horizontal="center" vertical="center"/>
    </xf>
    <xf numFmtId="49" fontId="12" fillId="5" borderId="131" xfId="1" quotePrefix="1" applyNumberFormat="1" applyFont="1" applyFill="1" applyBorder="1" applyAlignment="1">
      <alignment horizontal="center"/>
    </xf>
    <xf numFmtId="49" fontId="12" fillId="5" borderId="130" xfId="1" quotePrefix="1" applyNumberFormat="1" applyFont="1" applyFill="1" applyBorder="1" applyAlignment="1">
      <alignment horizontal="center"/>
    </xf>
    <xf numFmtId="0" fontId="3" fillId="2" borderId="108" xfId="0" applyFont="1" applyFill="1" applyBorder="1" applyAlignment="1">
      <alignment horizontal="center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166" fontId="2" fillId="0" borderId="69" xfId="1" applyNumberFormat="1" applyFont="1" applyFill="1" applyBorder="1" applyAlignment="1">
      <alignment horizontal="center" vertical="center"/>
    </xf>
    <xf numFmtId="1" fontId="215" fillId="0" borderId="131" xfId="0" applyNumberFormat="1" applyFont="1" applyBorder="1" applyAlignment="1">
      <alignment horizontal="center" vertical="center"/>
    </xf>
    <xf numFmtId="1" fontId="215" fillId="0" borderId="130" xfId="0" applyNumberFormat="1" applyFont="1" applyBorder="1" applyAlignment="1">
      <alignment horizontal="center" vertical="center"/>
    </xf>
    <xf numFmtId="164" fontId="3" fillId="0" borderId="34" xfId="0" applyNumberFormat="1" applyFont="1" applyBorder="1" applyAlignment="1">
      <alignment horizontal="center" vertical="center"/>
    </xf>
    <xf numFmtId="3" fontId="2" fillId="2" borderId="131" xfId="0" applyNumberFormat="1" applyFont="1" applyFill="1" applyBorder="1" applyAlignment="1">
      <alignment horizontal="center"/>
    </xf>
    <xf numFmtId="3" fontId="2" fillId="2" borderId="110" xfId="0" applyNumberFormat="1" applyFont="1" applyFill="1" applyBorder="1" applyAlignment="1">
      <alignment horizontal="center"/>
    </xf>
    <xf numFmtId="3" fontId="2" fillId="2" borderId="130" xfId="0" applyNumberFormat="1" applyFont="1" applyFill="1" applyBorder="1" applyAlignment="1">
      <alignment horizontal="center"/>
    </xf>
    <xf numFmtId="0" fontId="3" fillId="3" borderId="73" xfId="0" applyFont="1" applyFill="1" applyBorder="1" applyAlignment="1">
      <alignment horizontal="center"/>
    </xf>
    <xf numFmtId="3" fontId="2" fillId="2" borderId="83" xfId="0" applyNumberFormat="1" applyFont="1" applyFill="1" applyBorder="1" applyAlignment="1">
      <alignment horizontal="center"/>
    </xf>
    <xf numFmtId="0" fontId="30" fillId="3" borderId="32" xfId="0" applyFont="1" applyFill="1" applyBorder="1" applyAlignment="1">
      <alignment horizontal="center" wrapText="1"/>
    </xf>
    <xf numFmtId="0" fontId="30" fillId="3" borderId="32" xfId="0" applyFont="1" applyFill="1" applyBorder="1" applyAlignment="1">
      <alignment horizontal="center"/>
    </xf>
    <xf numFmtId="3" fontId="2" fillId="2" borderId="88" xfId="0" applyNumberFormat="1" applyFont="1" applyFill="1" applyBorder="1" applyAlignment="1">
      <alignment horizontal="center"/>
    </xf>
    <xf numFmtId="3" fontId="2" fillId="2" borderId="89" xfId="0" applyNumberFormat="1" applyFont="1" applyFill="1" applyBorder="1" applyAlignment="1">
      <alignment horizontal="center"/>
    </xf>
    <xf numFmtId="3" fontId="2" fillId="2" borderId="90" xfId="0" applyNumberFormat="1" applyFont="1" applyFill="1" applyBorder="1" applyAlignment="1">
      <alignment horizontal="center"/>
    </xf>
    <xf numFmtId="3" fontId="2" fillId="2" borderId="19" xfId="0" applyNumberFormat="1" applyFont="1" applyFill="1" applyBorder="1" applyAlignment="1">
      <alignment horizontal="center"/>
    </xf>
    <xf numFmtId="3" fontId="2" fillId="2" borderId="92" xfId="0" applyNumberFormat="1" applyFont="1" applyFill="1" applyBorder="1" applyAlignment="1">
      <alignment horizontal="center"/>
    </xf>
    <xf numFmtId="0" fontId="3" fillId="3" borderId="131" xfId="0" applyFont="1" applyFill="1" applyBorder="1" applyAlignment="1">
      <alignment horizontal="center" vertical="center"/>
    </xf>
    <xf numFmtId="0" fontId="3" fillId="3" borderId="130" xfId="0" applyFont="1" applyFill="1" applyBorder="1" applyAlignment="1">
      <alignment horizontal="center" vertical="center"/>
    </xf>
    <xf numFmtId="0" fontId="3" fillId="3" borderId="152" xfId="0" applyFont="1" applyFill="1" applyBorder="1" applyAlignment="1">
      <alignment horizontal="center" vertical="center"/>
    </xf>
    <xf numFmtId="0" fontId="3" fillId="3" borderId="132" xfId="0" applyFont="1" applyFill="1" applyBorder="1" applyAlignment="1">
      <alignment horizontal="center" vertical="center"/>
    </xf>
    <xf numFmtId="0" fontId="3" fillId="3" borderId="131" xfId="0" applyFont="1" applyFill="1" applyBorder="1" applyAlignment="1">
      <alignment horizontal="center"/>
    </xf>
    <xf numFmtId="0" fontId="3" fillId="3" borderId="110" xfId="0" applyFont="1" applyFill="1" applyBorder="1" applyAlignment="1">
      <alignment horizontal="center"/>
    </xf>
    <xf numFmtId="0" fontId="3" fillId="3" borderId="130" xfId="0" applyFont="1" applyFill="1" applyBorder="1" applyAlignment="1">
      <alignment horizontal="center"/>
    </xf>
    <xf numFmtId="0" fontId="5" fillId="0" borderId="96" xfId="0" applyFont="1" applyBorder="1" applyAlignment="1">
      <alignment horizontal="center" wrapText="1"/>
    </xf>
    <xf numFmtId="0" fontId="5" fillId="0" borderId="93" xfId="0" applyFont="1" applyBorder="1" applyAlignment="1">
      <alignment horizontal="center" wrapText="1"/>
    </xf>
    <xf numFmtId="0" fontId="2" fillId="2" borderId="108" xfId="0" quotePrefix="1" applyFont="1" applyFill="1" applyBorder="1" applyAlignment="1">
      <alignment horizontal="center" wrapText="1"/>
    </xf>
    <xf numFmtId="0" fontId="2" fillId="2" borderId="24" xfId="0" quotePrefix="1" applyFont="1" applyFill="1" applyBorder="1" applyAlignment="1">
      <alignment horizontal="center" wrapText="1"/>
    </xf>
    <xf numFmtId="0" fontId="2" fillId="0" borderId="132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166" fontId="10" fillId="0" borderId="107" xfId="1" quotePrefix="1" applyNumberFormat="1" applyFont="1" applyFill="1" applyBorder="1" applyAlignment="1">
      <alignment horizontal="center" vertical="center"/>
    </xf>
    <xf numFmtId="49" fontId="10" fillId="0" borderId="107" xfId="1" quotePrefix="1" applyNumberFormat="1" applyFont="1" applyFill="1" applyBorder="1" applyAlignment="1">
      <alignment horizontal="center" vertical="center"/>
    </xf>
    <xf numFmtId="49" fontId="2" fillId="0" borderId="107" xfId="2" quotePrefix="1" applyNumberFormat="1" applyFont="1" applyBorder="1" applyAlignment="1">
      <alignment horizontal="center" vertical="center" wrapText="1"/>
    </xf>
    <xf numFmtId="0" fontId="3" fillId="0" borderId="108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3" fontId="2" fillId="2" borderId="159" xfId="0" applyNumberFormat="1" applyFont="1" applyFill="1" applyBorder="1" applyAlignment="1">
      <alignment horizontal="center" vertical="center"/>
    </xf>
    <xf numFmtId="3" fontId="2" fillId="2" borderId="36" xfId="0" applyNumberFormat="1" applyFont="1" applyFill="1" applyBorder="1" applyAlignment="1">
      <alignment horizontal="center" vertical="center"/>
    </xf>
    <xf numFmtId="3" fontId="2" fillId="2" borderId="160" xfId="0" applyNumberFormat="1" applyFont="1" applyFill="1" applyBorder="1" applyAlignment="1">
      <alignment horizontal="center" vertical="center"/>
    </xf>
    <xf numFmtId="3" fontId="2" fillId="2" borderId="26" xfId="0" applyNumberFormat="1" applyFont="1" applyFill="1" applyBorder="1" applyAlignment="1">
      <alignment horizontal="center" vertical="center"/>
    </xf>
    <xf numFmtId="166" fontId="213" fillId="0" borderId="108" xfId="1" quotePrefix="1" applyNumberFormat="1" applyFont="1" applyFill="1" applyBorder="1" applyAlignment="1">
      <alignment horizontal="center" vertical="center"/>
    </xf>
    <xf numFmtId="166" fontId="213" fillId="0" borderId="24" xfId="1" quotePrefix="1" applyNumberFormat="1" applyFont="1" applyFill="1" applyBorder="1" applyAlignment="1">
      <alignment horizontal="center" vertical="center"/>
    </xf>
    <xf numFmtId="166" fontId="2" fillId="0" borderId="107" xfId="1" applyNumberFormat="1" applyFont="1" applyFill="1" applyBorder="1" applyAlignment="1">
      <alignment horizontal="center" vertical="center"/>
    </xf>
    <xf numFmtId="14" fontId="2" fillId="0" borderId="108" xfId="0" applyNumberFormat="1" applyFont="1" applyBorder="1" applyAlignment="1">
      <alignment horizontal="center" vertical="center"/>
    </xf>
    <xf numFmtId="164" fontId="6" fillId="0" borderId="34" xfId="0" applyNumberFormat="1" applyFont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2" fillId="0" borderId="34" xfId="0" quotePrefix="1" applyFont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/>
    </xf>
    <xf numFmtId="166" fontId="23" fillId="15" borderId="108" xfId="1" applyNumberFormat="1" applyFont="1" applyFill="1" applyBorder="1" applyAlignment="1">
      <alignment horizontal="center" vertical="center"/>
    </xf>
    <xf numFmtId="3" fontId="2" fillId="0" borderId="25" xfId="0" applyNumberFormat="1" applyFont="1" applyBorder="1" applyAlignment="1">
      <alignment horizontal="center" vertical="center"/>
    </xf>
    <xf numFmtId="3" fontId="2" fillId="0" borderId="41" xfId="0" applyNumberFormat="1" applyFont="1" applyBorder="1" applyAlignment="1">
      <alignment horizontal="center" vertical="center"/>
    </xf>
    <xf numFmtId="3" fontId="2" fillId="0" borderId="9" xfId="0" applyNumberFormat="1" applyFont="1" applyBorder="1" applyAlignment="1">
      <alignment horizontal="center" vertical="center"/>
    </xf>
    <xf numFmtId="3" fontId="2" fillId="0" borderId="35" xfId="0" applyNumberFormat="1" applyFont="1" applyBorder="1" applyAlignment="1">
      <alignment horizontal="center" vertical="center"/>
    </xf>
    <xf numFmtId="0" fontId="2" fillId="0" borderId="108" xfId="0" quotePrefix="1" applyFont="1" applyBorder="1" applyAlignment="1">
      <alignment horizontal="center" vertical="center"/>
    </xf>
    <xf numFmtId="0" fontId="2" fillId="0" borderId="24" xfId="0" quotePrefix="1" applyFont="1" applyBorder="1" applyAlignment="1">
      <alignment horizontal="center" vertical="center"/>
    </xf>
    <xf numFmtId="166" fontId="14" fillId="13" borderId="108" xfId="1" applyNumberFormat="1" applyFont="1" applyFill="1" applyBorder="1" applyAlignment="1">
      <alignment horizontal="center" vertical="center"/>
    </xf>
    <xf numFmtId="166" fontId="14" fillId="13" borderId="24" xfId="1" applyNumberFormat="1" applyFont="1" applyFill="1" applyBorder="1" applyAlignment="1">
      <alignment horizontal="center" vertical="center"/>
    </xf>
    <xf numFmtId="49" fontId="2" fillId="0" borderId="108" xfId="2" quotePrefix="1" applyNumberFormat="1" applyFont="1" applyBorder="1" applyAlignment="1">
      <alignment horizontal="center" vertical="center" wrapText="1"/>
    </xf>
    <xf numFmtId="49" fontId="2" fillId="0" borderId="34" xfId="2" quotePrefix="1" applyNumberFormat="1" applyFont="1" applyBorder="1" applyAlignment="1">
      <alignment horizontal="center" vertical="center" wrapText="1"/>
    </xf>
    <xf numFmtId="0" fontId="5" fillId="0" borderId="108" xfId="0" applyFont="1" applyBorder="1" applyAlignment="1">
      <alignment horizontal="center" vertical="center" wrapText="1"/>
    </xf>
    <xf numFmtId="0" fontId="5" fillId="0" borderId="34" xfId="0" applyFont="1" applyBorder="1" applyAlignment="1">
      <alignment horizontal="center" vertical="center" wrapText="1"/>
    </xf>
    <xf numFmtId="14" fontId="2" fillId="0" borderId="108" xfId="0" quotePrefix="1" applyNumberFormat="1" applyFont="1" applyBorder="1" applyAlignment="1">
      <alignment horizontal="center" vertical="center"/>
    </xf>
    <xf numFmtId="164" fontId="136" fillId="0" borderId="137" xfId="0" applyNumberFormat="1" applyFont="1" applyBorder="1" applyAlignment="1">
      <alignment horizontal="center" vertical="center"/>
    </xf>
    <xf numFmtId="164" fontId="136" fillId="0" borderId="38" xfId="0" applyNumberFormat="1" applyFont="1" applyBorder="1" applyAlignment="1">
      <alignment horizontal="center" vertical="center"/>
    </xf>
    <xf numFmtId="166" fontId="14" fillId="0" borderId="108" xfId="1" applyNumberFormat="1" applyFont="1" applyFill="1" applyBorder="1" applyAlignment="1">
      <alignment horizontal="center" vertical="center"/>
    </xf>
    <xf numFmtId="166" fontId="14" fillId="0" borderId="24" xfId="1" applyNumberFormat="1" applyFont="1" applyFill="1" applyBorder="1" applyAlignment="1">
      <alignment horizontal="center" vertical="center"/>
    </xf>
    <xf numFmtId="166" fontId="19" fillId="19" borderId="108" xfId="1" applyNumberFormat="1" applyFont="1" applyFill="1" applyBorder="1" applyAlignment="1">
      <alignment horizontal="center" vertical="center"/>
    </xf>
    <xf numFmtId="166" fontId="19" fillId="19" borderId="24" xfId="1" applyNumberFormat="1" applyFont="1" applyFill="1" applyBorder="1" applyAlignment="1">
      <alignment horizontal="center" vertical="center"/>
    </xf>
    <xf numFmtId="170" fontId="21" fillId="14" borderId="108" xfId="1" applyNumberFormat="1" applyFont="1" applyFill="1" applyBorder="1" applyAlignment="1">
      <alignment horizontal="center" vertical="center"/>
    </xf>
    <xf numFmtId="166" fontId="10" fillId="0" borderId="108" xfId="1" quotePrefix="1" applyNumberFormat="1" applyFont="1" applyFill="1" applyBorder="1" applyAlignment="1">
      <alignment horizontal="center" vertical="center"/>
    </xf>
    <xf numFmtId="166" fontId="10" fillId="0" borderId="34" xfId="1" quotePrefix="1" applyNumberFormat="1" applyFont="1" applyFill="1" applyBorder="1" applyAlignment="1">
      <alignment horizontal="center" vertical="center"/>
    </xf>
    <xf numFmtId="49" fontId="10" fillId="0" borderId="108" xfId="1" quotePrefix="1" applyNumberFormat="1" applyFont="1" applyFill="1" applyBorder="1" applyAlignment="1">
      <alignment horizontal="center" vertical="center"/>
    </xf>
    <xf numFmtId="49" fontId="10" fillId="0" borderId="34" xfId="1" quotePrefix="1" applyNumberFormat="1" applyFont="1" applyFill="1" applyBorder="1" applyAlignment="1">
      <alignment horizontal="center" vertical="center"/>
    </xf>
    <xf numFmtId="166" fontId="10" fillId="0" borderId="24" xfId="1" quotePrefix="1" applyNumberFormat="1" applyFont="1" applyFill="1" applyBorder="1" applyAlignment="1">
      <alignment horizontal="center" vertical="center"/>
    </xf>
    <xf numFmtId="166" fontId="5" fillId="0" borderId="108" xfId="1" quotePrefix="1" applyNumberFormat="1" applyFont="1" applyFill="1" applyBorder="1" applyAlignment="1">
      <alignment horizontal="center" vertical="center"/>
    </xf>
    <xf numFmtId="166" fontId="5" fillId="0" borderId="34" xfId="1" quotePrefix="1" applyNumberFormat="1" applyFont="1" applyFill="1" applyBorder="1" applyAlignment="1">
      <alignment horizontal="center" vertical="center"/>
    </xf>
    <xf numFmtId="166" fontId="5" fillId="0" borderId="24" xfId="1" quotePrefix="1" applyNumberFormat="1" applyFont="1" applyFill="1" applyBorder="1" applyAlignment="1">
      <alignment horizontal="center" vertical="center"/>
    </xf>
    <xf numFmtId="170" fontId="14" fillId="0" borderId="108" xfId="1" applyNumberFormat="1" applyFont="1" applyFill="1" applyBorder="1" applyAlignment="1">
      <alignment horizontal="center" vertical="center"/>
    </xf>
    <xf numFmtId="170" fontId="14" fillId="0" borderId="24" xfId="1" applyNumberFormat="1" applyFont="1" applyFill="1" applyBorder="1" applyAlignment="1">
      <alignment horizontal="center" vertical="center"/>
    </xf>
    <xf numFmtId="164" fontId="2" fillId="0" borderId="108" xfId="0" quotePrefix="1" applyNumberFormat="1" applyFont="1" applyBorder="1" applyAlignment="1">
      <alignment horizontal="center" vertical="center"/>
    </xf>
    <xf numFmtId="164" fontId="3" fillId="0" borderId="32" xfId="0" applyNumberFormat="1" applyFont="1" applyBorder="1" applyAlignment="1">
      <alignment horizontal="left"/>
    </xf>
    <xf numFmtId="166" fontId="2" fillId="0" borderId="34" xfId="1" applyNumberFormat="1" applyFont="1" applyFill="1" applyBorder="1" applyAlignment="1">
      <alignment horizontal="center" vertical="center" wrapText="1"/>
    </xf>
    <xf numFmtId="166" fontId="2" fillId="0" borderId="84" xfId="1" applyNumberFormat="1" applyFont="1" applyFill="1" applyBorder="1" applyAlignment="1">
      <alignment horizontal="center" vertical="center" wrapText="1"/>
    </xf>
    <xf numFmtId="164" fontId="6" fillId="0" borderId="108" xfId="0" applyNumberFormat="1" applyFont="1" applyBorder="1" applyAlignment="1">
      <alignment horizontal="center" vertical="center" wrapText="1"/>
    </xf>
    <xf numFmtId="14" fontId="3" fillId="0" borderId="108" xfId="0" applyNumberFormat="1" applyFont="1" applyBorder="1" applyAlignment="1">
      <alignment horizontal="center" vertical="center" wrapText="1"/>
    </xf>
    <xf numFmtId="14" fontId="3" fillId="0" borderId="24" xfId="0" applyNumberFormat="1" applyFont="1" applyBorder="1" applyAlignment="1">
      <alignment horizontal="center" vertical="center" wrapText="1"/>
    </xf>
    <xf numFmtId="44" fontId="3" fillId="0" borderId="108" xfId="0" applyNumberFormat="1" applyFont="1" applyBorder="1" applyAlignment="1">
      <alignment horizontal="center" vertical="center"/>
    </xf>
    <xf numFmtId="44" fontId="3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2" fillId="0" borderId="108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14" fontId="5" fillId="0" borderId="108" xfId="0" applyNumberFormat="1" applyFont="1" applyBorder="1" applyAlignment="1">
      <alignment horizontal="center" vertical="center" wrapText="1"/>
    </xf>
    <xf numFmtId="14" fontId="5" fillId="0" borderId="24" xfId="0" applyNumberFormat="1" applyFont="1" applyBorder="1" applyAlignment="1">
      <alignment horizontal="center" vertical="center"/>
    </xf>
    <xf numFmtId="164" fontId="3" fillId="0" borderId="108" xfId="0" quotePrefix="1" applyNumberFormat="1" applyFont="1" applyBorder="1" applyAlignment="1">
      <alignment horizontal="center" vertical="center" wrapText="1"/>
    </xf>
    <xf numFmtId="164" fontId="3" fillId="0" borderId="24" xfId="0" quotePrefix="1" applyNumberFormat="1" applyFont="1" applyBorder="1" applyAlignment="1">
      <alignment horizontal="center" vertical="center" wrapText="1"/>
    </xf>
    <xf numFmtId="0" fontId="20" fillId="9" borderId="5" xfId="0" applyFont="1" applyFill="1" applyBorder="1" applyAlignment="1">
      <alignment horizontal="center" vertical="center" wrapText="1"/>
    </xf>
    <xf numFmtId="0" fontId="20" fillId="9" borderId="17" xfId="0" applyFont="1" applyFill="1" applyBorder="1" applyAlignment="1">
      <alignment horizontal="center" vertical="center" wrapText="1"/>
    </xf>
    <xf numFmtId="0" fontId="3" fillId="3" borderId="95" xfId="0" applyFont="1" applyFill="1" applyBorder="1" applyAlignment="1">
      <alignment horizontal="center" vertical="center"/>
    </xf>
    <xf numFmtId="166" fontId="24" fillId="11" borderId="56" xfId="1" applyNumberFormat="1" applyFont="1" applyFill="1" applyBorder="1" applyAlignment="1">
      <alignment horizontal="center" vertical="center"/>
    </xf>
    <xf numFmtId="166" fontId="24" fillId="11" borderId="17" xfId="1" applyNumberFormat="1" applyFont="1" applyFill="1" applyBorder="1" applyAlignment="1">
      <alignment horizontal="center" vertical="center"/>
    </xf>
    <xf numFmtId="166" fontId="24" fillId="11" borderId="57" xfId="1" applyNumberFormat="1" applyFont="1" applyFill="1" applyBorder="1" applyAlignment="1">
      <alignment horizontal="center" vertical="center"/>
    </xf>
    <xf numFmtId="0" fontId="2" fillId="3" borderId="67" xfId="0" applyFont="1" applyFill="1" applyBorder="1" applyAlignment="1">
      <alignment horizontal="center"/>
    </xf>
    <xf numFmtId="0" fontId="3" fillId="9" borderId="20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166" fontId="2" fillId="5" borderId="28" xfId="1" applyNumberFormat="1" applyFont="1" applyFill="1" applyBorder="1" applyAlignment="1">
      <alignment horizontal="center" vertical="center"/>
    </xf>
    <xf numFmtId="3" fontId="12" fillId="5" borderId="7" xfId="1" applyNumberFormat="1" applyFont="1" applyFill="1" applyBorder="1" applyAlignment="1">
      <alignment horizontal="center"/>
    </xf>
    <xf numFmtId="3" fontId="12" fillId="5" borderId="23" xfId="1" applyNumberFormat="1" applyFont="1" applyFill="1" applyBorder="1" applyAlignment="1">
      <alignment horizontal="center"/>
    </xf>
    <xf numFmtId="3" fontId="12" fillId="5" borderId="40" xfId="1" applyNumberFormat="1" applyFont="1" applyFill="1" applyBorder="1" applyAlignment="1">
      <alignment horizontal="center"/>
    </xf>
    <xf numFmtId="3" fontId="2" fillId="2" borderId="83" xfId="0" applyNumberFormat="1" applyFont="1" applyFill="1" applyBorder="1" applyAlignment="1"/>
  </cellXfs>
  <cellStyles count="38788">
    <cellStyle name="1" xfId="406" xr:uid="{00000000-0005-0000-0000-000000000000}"/>
    <cellStyle name="20% - Accent1 2" xfId="13" xr:uid="{00000000-0005-0000-0000-000000000000}"/>
    <cellStyle name="20% - Accent2 2" xfId="14" xr:uid="{00000000-0005-0000-0000-000001000000}"/>
    <cellStyle name="20% - Accent3 2" xfId="15" xr:uid="{00000000-0005-0000-0000-000002000000}"/>
    <cellStyle name="20% - Accent4 2" xfId="16" xr:uid="{00000000-0005-0000-0000-000003000000}"/>
    <cellStyle name="20% - Accent5 2" xfId="17" xr:uid="{00000000-0005-0000-0000-000004000000}"/>
    <cellStyle name="20% - Accent6 2" xfId="18" xr:uid="{00000000-0005-0000-0000-000005000000}"/>
    <cellStyle name="20% - 强调文字颜色 1 10" xfId="696" xr:uid="{00000000-0005-0000-0000-000001000000}"/>
    <cellStyle name="20% - 强调文字颜色 1 11" xfId="730" xr:uid="{00000000-0005-0000-0000-000002000000}"/>
    <cellStyle name="20% - 强调文字颜色 1 12" xfId="755" xr:uid="{00000000-0005-0000-0000-000003000000}"/>
    <cellStyle name="20% - 强调文字颜色 1 12 10" xfId="769" xr:uid="{00000000-0005-0000-0000-000004000000}"/>
    <cellStyle name="20% - 强调文字颜色 1 12 11" xfId="499" xr:uid="{00000000-0005-0000-0000-000005000000}"/>
    <cellStyle name="20% - 强调文字颜色 1 12 12" xfId="776" xr:uid="{00000000-0005-0000-0000-000006000000}"/>
    <cellStyle name="20% - 强调文字颜色 1 12 13" xfId="783" xr:uid="{00000000-0005-0000-0000-000007000000}"/>
    <cellStyle name="20% - 强调文字颜色 1 12 14" xfId="797" xr:uid="{00000000-0005-0000-0000-000008000000}"/>
    <cellStyle name="20% - 强调文字颜色 1 12 2" xfId="454" xr:uid="{00000000-0005-0000-0000-000009000000}"/>
    <cellStyle name="20% - 强调文字颜色 1 12 3" xfId="544" xr:uid="{00000000-0005-0000-0000-00000A000000}"/>
    <cellStyle name="20% - 强调文字颜色 1 12 4" xfId="581" xr:uid="{00000000-0005-0000-0000-00000B000000}"/>
    <cellStyle name="20% - 强调文字颜色 1 12 5" xfId="592" xr:uid="{00000000-0005-0000-0000-00000C000000}"/>
    <cellStyle name="20% - 强调文字颜色 1 12 5 10" xfId="804" xr:uid="{00000000-0005-0000-0000-00000D000000}"/>
    <cellStyle name="20% - 强调文字颜色 1 12 5 11" xfId="373" xr:uid="{00000000-0005-0000-0000-00000E000000}"/>
    <cellStyle name="20% - 强调文字颜色 1 12 5 2" xfId="821" xr:uid="{00000000-0005-0000-0000-00000F000000}"/>
    <cellStyle name="20% - 强调文字颜色 1 12 5 2 2" xfId="826" xr:uid="{00000000-0005-0000-0000-000010000000}"/>
    <cellStyle name="20% - 强调文字颜色 1 12 5 2 2 2" xfId="844" xr:uid="{00000000-0005-0000-0000-000011000000}"/>
    <cellStyle name="20% - 强调文字颜色 1 12 5 2 2 3" xfId="854" xr:uid="{00000000-0005-0000-0000-000012000000}"/>
    <cellStyle name="20% - 强调文字颜色 1 12 5 2 3" xfId="859" xr:uid="{00000000-0005-0000-0000-000013000000}"/>
    <cellStyle name="20% - 强调文字颜色 1 12 5 2 4" xfId="846" xr:uid="{00000000-0005-0000-0000-000014000000}"/>
    <cellStyle name="20% - 强调文字颜色 1 12 5 2 5" xfId="855" xr:uid="{00000000-0005-0000-0000-000015000000}"/>
    <cellStyle name="20% - 强调文字颜色 1 12 5 2 6" xfId="873" xr:uid="{00000000-0005-0000-0000-000016000000}"/>
    <cellStyle name="20% - 强调文字颜色 1 12 5 2 7" xfId="886" xr:uid="{00000000-0005-0000-0000-000017000000}"/>
    <cellStyle name="20% - 强调文字颜色 1 12 5 2 8" xfId="898" xr:uid="{00000000-0005-0000-0000-000018000000}"/>
    <cellStyle name="20% - 强调文字颜色 1 12 5 3" xfId="927" xr:uid="{00000000-0005-0000-0000-000019000000}"/>
    <cellStyle name="20% - 强调文字颜色 1 12 5 4" xfId="963" xr:uid="{00000000-0005-0000-0000-00001A000000}"/>
    <cellStyle name="20% - 强调文字颜色 1 12 5 5" xfId="998" xr:uid="{00000000-0005-0000-0000-00001B000000}"/>
    <cellStyle name="20% - 强调文字颜色 1 12 5 6" xfId="1017" xr:uid="{00000000-0005-0000-0000-00001C000000}"/>
    <cellStyle name="20% - 强调文字颜色 1 12 5 6 2" xfId="1028" xr:uid="{00000000-0005-0000-0000-00001D000000}"/>
    <cellStyle name="20% - 强调文字颜色 1 12 5 6 3" xfId="1033" xr:uid="{00000000-0005-0000-0000-00001E000000}"/>
    <cellStyle name="20% - 强调文字颜色 1 12 5 7" xfId="1052" xr:uid="{00000000-0005-0000-0000-00001F000000}"/>
    <cellStyle name="20% - 强调文字颜色 1 12 5 8" xfId="1073" xr:uid="{00000000-0005-0000-0000-000020000000}"/>
    <cellStyle name="20% - 强调文字颜色 1 12 5 9" xfId="1093" xr:uid="{00000000-0005-0000-0000-000021000000}"/>
    <cellStyle name="20% - 强调文字颜色 1 12 6" xfId="518" xr:uid="{00000000-0005-0000-0000-000022000000}"/>
    <cellStyle name="20% - 强调文字颜色 1 12 6 2" xfId="1112" xr:uid="{00000000-0005-0000-0000-000023000000}"/>
    <cellStyle name="20% - 强调文字颜色 1 12 6 2 2" xfId="1131" xr:uid="{00000000-0005-0000-0000-000024000000}"/>
    <cellStyle name="20% - 强调文字颜色 1 12 6 2 3" xfId="1147" xr:uid="{00000000-0005-0000-0000-000025000000}"/>
    <cellStyle name="20% - 强调文字颜色 1 12 6 3" xfId="1159" xr:uid="{00000000-0005-0000-0000-000026000000}"/>
    <cellStyle name="20% - 强调文字颜色 1 12 6 4" xfId="1175" xr:uid="{00000000-0005-0000-0000-000027000000}"/>
    <cellStyle name="20% - 强调文字颜色 1 12 6 5" xfId="1193" xr:uid="{00000000-0005-0000-0000-000028000000}"/>
    <cellStyle name="20% - 强调文字颜色 1 12 6 6" xfId="1198" xr:uid="{00000000-0005-0000-0000-000029000000}"/>
    <cellStyle name="20% - 强调文字颜色 1 12 6 7" xfId="1215" xr:uid="{00000000-0005-0000-0000-00002A000000}"/>
    <cellStyle name="20% - 强调文字颜色 1 12 6 8" xfId="538" xr:uid="{00000000-0005-0000-0000-00002B000000}"/>
    <cellStyle name="20% - 强调文字颜色 1 12 7" xfId="561" xr:uid="{00000000-0005-0000-0000-00002C000000}"/>
    <cellStyle name="20% - 强调文字颜色 1 12 8" xfId="1221" xr:uid="{00000000-0005-0000-0000-00002D000000}"/>
    <cellStyle name="20% - 强调文字颜色 1 12 9" xfId="1232" xr:uid="{00000000-0005-0000-0000-00002E000000}"/>
    <cellStyle name="20% - 强调文字颜色 1 12 9 2" xfId="1245" xr:uid="{00000000-0005-0000-0000-00002F000000}"/>
    <cellStyle name="20% - 强调文字颜色 1 12 9 3" xfId="1260" xr:uid="{00000000-0005-0000-0000-000030000000}"/>
    <cellStyle name="20% - 强调文字颜色 1 13" xfId="1281" xr:uid="{00000000-0005-0000-0000-000031000000}"/>
    <cellStyle name="20% - 强调文字颜色 1 14" xfId="1293" xr:uid="{00000000-0005-0000-0000-000032000000}"/>
    <cellStyle name="20% - 强调文字颜色 1 15" xfId="1304" xr:uid="{00000000-0005-0000-0000-000033000000}"/>
    <cellStyle name="20% - 强调文字颜色 1 16" xfId="1315" xr:uid="{00000000-0005-0000-0000-000034000000}"/>
    <cellStyle name="20% - 强调文字颜色 1 16 10" xfId="1326" xr:uid="{00000000-0005-0000-0000-000035000000}"/>
    <cellStyle name="20% - 强调文字颜色 1 16 11" xfId="1336" xr:uid="{00000000-0005-0000-0000-000036000000}"/>
    <cellStyle name="20% - 强调文字颜色 1 16 12" xfId="1348" xr:uid="{00000000-0005-0000-0000-000037000000}"/>
    <cellStyle name="20% - 强调文字颜色 1 16 13" xfId="265" xr:uid="{00000000-0005-0000-0000-000038000000}"/>
    <cellStyle name="20% - 强调文字颜色 1 16 14" xfId="1368" xr:uid="{00000000-0005-0000-0000-000039000000}"/>
    <cellStyle name="20% - 强调文字颜色 1 16 2" xfId="1381" xr:uid="{00000000-0005-0000-0000-00003A000000}"/>
    <cellStyle name="20% - 强调文字颜色 1 16 3" xfId="1393" xr:uid="{00000000-0005-0000-0000-00003B000000}"/>
    <cellStyle name="20% - 强调文字颜色 1 16 4" xfId="1409" xr:uid="{00000000-0005-0000-0000-00003C000000}"/>
    <cellStyle name="20% - 强调文字颜色 1 16 5" xfId="1423" xr:uid="{00000000-0005-0000-0000-00003D000000}"/>
    <cellStyle name="20% - 强调文字颜色 1 16 5 10" xfId="1429" xr:uid="{00000000-0005-0000-0000-00003E000000}"/>
    <cellStyle name="20% - 强调文字颜色 1 16 5 11" xfId="1461" xr:uid="{00000000-0005-0000-0000-00003F000000}"/>
    <cellStyle name="20% - 强调文字颜色 1 16 5 2" xfId="1478" xr:uid="{00000000-0005-0000-0000-000040000000}"/>
    <cellStyle name="20% - 强调文字颜色 1 16 5 2 2" xfId="1491" xr:uid="{00000000-0005-0000-0000-000041000000}"/>
    <cellStyle name="20% - 强调文字颜色 1 16 5 2 2 2" xfId="1507" xr:uid="{00000000-0005-0000-0000-000042000000}"/>
    <cellStyle name="20% - 强调文字颜色 1 16 5 2 2 3" xfId="1520" xr:uid="{00000000-0005-0000-0000-000043000000}"/>
    <cellStyle name="20% - 强调文字颜色 1 16 5 2 3" xfId="236" xr:uid="{00000000-0005-0000-0000-000044000000}"/>
    <cellStyle name="20% - 强调文字颜色 1 16 5 2 4" xfId="1532" xr:uid="{00000000-0005-0000-0000-000045000000}"/>
    <cellStyle name="20% - 强调文字颜色 1 16 5 2 5" xfId="1539" xr:uid="{00000000-0005-0000-0000-000046000000}"/>
    <cellStyle name="20% - 强调文字颜色 1 16 5 2 6" xfId="1546" xr:uid="{00000000-0005-0000-0000-000047000000}"/>
    <cellStyle name="20% - 强调文字颜色 1 16 5 2 7" xfId="1557" xr:uid="{00000000-0005-0000-0000-000048000000}"/>
    <cellStyle name="20% - 强调文字颜色 1 16 5 2 8" xfId="1565" xr:uid="{00000000-0005-0000-0000-000049000000}"/>
    <cellStyle name="20% - 强调文字颜色 1 16 5 3" xfId="1571" xr:uid="{00000000-0005-0000-0000-00004A000000}"/>
    <cellStyle name="20% - 强调文字颜色 1 16 5 4" xfId="1590" xr:uid="{00000000-0005-0000-0000-00004B000000}"/>
    <cellStyle name="20% - 强调文字颜色 1 16 5 5" xfId="1606" xr:uid="{00000000-0005-0000-0000-00004C000000}"/>
    <cellStyle name="20% - 强调文字颜色 1 16 5 6" xfId="1621" xr:uid="{00000000-0005-0000-0000-00004D000000}"/>
    <cellStyle name="20% - 强调文字颜色 1 16 5 6 2" xfId="1627" xr:uid="{00000000-0005-0000-0000-00004E000000}"/>
    <cellStyle name="20% - 强调文字颜色 1 16 5 6 3" xfId="447" xr:uid="{00000000-0005-0000-0000-00004F000000}"/>
    <cellStyle name="20% - 强调文字颜色 1 16 5 7" xfId="1644" xr:uid="{00000000-0005-0000-0000-000050000000}"/>
    <cellStyle name="20% - 强调文字颜色 1 16 5 8" xfId="1659" xr:uid="{00000000-0005-0000-0000-000051000000}"/>
    <cellStyle name="20% - 强调文字颜色 1 16 5 9" xfId="1674" xr:uid="{00000000-0005-0000-0000-000052000000}"/>
    <cellStyle name="20% - 强调文字颜色 1 16 6" xfId="1685" xr:uid="{00000000-0005-0000-0000-000053000000}"/>
    <cellStyle name="20% - 强调文字颜色 1 16 6 2" xfId="1690" xr:uid="{00000000-0005-0000-0000-000054000000}"/>
    <cellStyle name="20% - 强调文字颜色 1 16 6 2 2" xfId="1713" xr:uid="{00000000-0005-0000-0000-000055000000}"/>
    <cellStyle name="20% - 强调文字颜色 1 16 6 2 3" xfId="1736" xr:uid="{00000000-0005-0000-0000-000056000000}"/>
    <cellStyle name="20% - 强调文字颜色 1 16 6 3" xfId="1744" xr:uid="{00000000-0005-0000-0000-000057000000}"/>
    <cellStyle name="20% - 强调文字颜色 1 16 6 4" xfId="1754" xr:uid="{00000000-0005-0000-0000-000058000000}"/>
    <cellStyle name="20% - 强调文字颜色 1 16 6 5" xfId="1764" xr:uid="{00000000-0005-0000-0000-000059000000}"/>
    <cellStyle name="20% - 强调文字颜色 1 16 6 6" xfId="386" xr:uid="{00000000-0005-0000-0000-00005A000000}"/>
    <cellStyle name="20% - 强调文字颜色 1 16 6 7" xfId="1775" xr:uid="{00000000-0005-0000-0000-00005B000000}"/>
    <cellStyle name="20% - 强调文字颜色 1 16 6 8" xfId="1782" xr:uid="{00000000-0005-0000-0000-00005C000000}"/>
    <cellStyle name="20% - 强调文字颜色 1 16 7" xfId="1794" xr:uid="{00000000-0005-0000-0000-00005D000000}"/>
    <cellStyle name="20% - 强调文字颜色 1 16 8" xfId="1808" xr:uid="{00000000-0005-0000-0000-00005E000000}"/>
    <cellStyle name="20% - 强调文字颜色 1 16 9" xfId="1827" xr:uid="{00000000-0005-0000-0000-00005F000000}"/>
    <cellStyle name="20% - 强调文字颜色 1 16 9 2" xfId="1851" xr:uid="{00000000-0005-0000-0000-000060000000}"/>
    <cellStyle name="20% - 强调文字颜色 1 16 9 3" xfId="1876" xr:uid="{00000000-0005-0000-0000-000061000000}"/>
    <cellStyle name="20% - 强调文字颜色 1 17" xfId="1887" xr:uid="{00000000-0005-0000-0000-000062000000}"/>
    <cellStyle name="20% - 强调文字颜色 1 17 10" xfId="630" xr:uid="{00000000-0005-0000-0000-000063000000}"/>
    <cellStyle name="20% - 强调文字颜色 1 17 11" xfId="660" xr:uid="{00000000-0005-0000-0000-000064000000}"/>
    <cellStyle name="20% - 强调文字颜色 1 17 12" xfId="1901" xr:uid="{00000000-0005-0000-0000-000065000000}"/>
    <cellStyle name="20% - 强调文字颜色 1 17 13" xfId="1927" xr:uid="{00000000-0005-0000-0000-000066000000}"/>
    <cellStyle name="20% - 强调文字颜色 1 17 14" xfId="1951" xr:uid="{00000000-0005-0000-0000-000067000000}"/>
    <cellStyle name="20% - 强调文字颜色 1 17 2" xfId="1970" xr:uid="{00000000-0005-0000-0000-000068000000}"/>
    <cellStyle name="20% - 强调文字颜色 1 17 3" xfId="1982" xr:uid="{00000000-0005-0000-0000-000069000000}"/>
    <cellStyle name="20% - 强调文字颜色 1 17 4" xfId="1992" xr:uid="{00000000-0005-0000-0000-00006A000000}"/>
    <cellStyle name="20% - 强调文字颜色 1 17 5" xfId="2011" xr:uid="{00000000-0005-0000-0000-00006B000000}"/>
    <cellStyle name="20% - 强调文字颜色 1 17 5 10" xfId="2030" xr:uid="{00000000-0005-0000-0000-00006C000000}"/>
    <cellStyle name="20% - 强调文字颜色 1 17 5 11" xfId="2042" xr:uid="{00000000-0005-0000-0000-00006D000000}"/>
    <cellStyle name="20% - 强调文字颜色 1 17 5 2" xfId="2053" xr:uid="{00000000-0005-0000-0000-00006E000000}"/>
    <cellStyle name="20% - 强调文字颜色 1 17 5 2 2" xfId="327" xr:uid="{00000000-0005-0000-0000-00006F000000}"/>
    <cellStyle name="20% - 强调文字颜色 1 17 5 2 2 2" xfId="2060" xr:uid="{00000000-0005-0000-0000-000070000000}"/>
    <cellStyle name="20% - 强调文字颜色 1 17 5 2 2 3" xfId="2089" xr:uid="{00000000-0005-0000-0000-000071000000}"/>
    <cellStyle name="20% - 强调文字颜色 1 17 5 2 3" xfId="602" xr:uid="{00000000-0005-0000-0000-000072000000}"/>
    <cellStyle name="20% - 强调文字颜色 1 17 5 2 4" xfId="616" xr:uid="{00000000-0005-0000-0000-000073000000}"/>
    <cellStyle name="20% - 强调文字颜色 1 17 5 2 5" xfId="647" xr:uid="{00000000-0005-0000-0000-000074000000}"/>
    <cellStyle name="20% - 强调文字颜色 1 17 5 2 6" xfId="2096" xr:uid="{00000000-0005-0000-0000-000075000000}"/>
    <cellStyle name="20% - 强调文字颜色 1 17 5 2 7" xfId="2100" xr:uid="{00000000-0005-0000-0000-000076000000}"/>
    <cellStyle name="20% - 强调文字颜色 1 17 5 2 8" xfId="2104" xr:uid="{00000000-0005-0000-0000-000077000000}"/>
    <cellStyle name="20% - 强调文字颜色 1 17 5 3" xfId="2118" xr:uid="{00000000-0005-0000-0000-000078000000}"/>
    <cellStyle name="20% - 强调文字颜色 1 17 5 4" xfId="2145" xr:uid="{00000000-0005-0000-0000-000079000000}"/>
    <cellStyle name="20% - 强调文字颜色 1 17 5 5" xfId="2163" xr:uid="{00000000-0005-0000-0000-00007A000000}"/>
    <cellStyle name="20% - 强调文字颜色 1 17 5 6" xfId="2172" xr:uid="{00000000-0005-0000-0000-00007B000000}"/>
    <cellStyle name="20% - 强调文字颜色 1 17 5 6 2" xfId="1786" xr:uid="{00000000-0005-0000-0000-00007C000000}"/>
    <cellStyle name="20% - 强调文字颜色 1 17 5 6 3" xfId="2180" xr:uid="{00000000-0005-0000-0000-00007D000000}"/>
    <cellStyle name="20% - 强调文字颜色 1 17 5 7" xfId="2189" xr:uid="{00000000-0005-0000-0000-00007E000000}"/>
    <cellStyle name="20% - 强调文字颜色 1 17 5 8" xfId="2200" xr:uid="{00000000-0005-0000-0000-00007F000000}"/>
    <cellStyle name="20% - 强调文字颜色 1 17 5 9" xfId="2212" xr:uid="{00000000-0005-0000-0000-000080000000}"/>
    <cellStyle name="20% - 强调文字颜色 1 17 6" xfId="2224" xr:uid="{00000000-0005-0000-0000-000081000000}"/>
    <cellStyle name="20% - 强调文字颜色 1 17 6 2" xfId="2234" xr:uid="{00000000-0005-0000-0000-000082000000}"/>
    <cellStyle name="20% - 强调文字颜色 1 17 6 2 2" xfId="723" xr:uid="{00000000-0005-0000-0000-000083000000}"/>
    <cellStyle name="20% - 强调文字颜色 1 17 6 2 3" xfId="759" xr:uid="{00000000-0005-0000-0000-000084000000}"/>
    <cellStyle name="20% - 强调文字颜色 1 17 6 3" xfId="2259" xr:uid="{00000000-0005-0000-0000-000085000000}"/>
    <cellStyle name="20% - 强调文字颜色 1 17 6 4" xfId="2275" xr:uid="{00000000-0005-0000-0000-000086000000}"/>
    <cellStyle name="20% - 强调文字颜色 1 17 6 5" xfId="2288" xr:uid="{00000000-0005-0000-0000-000087000000}"/>
    <cellStyle name="20% - 强调文字颜色 1 17 6 6" xfId="837" xr:uid="{00000000-0005-0000-0000-000088000000}"/>
    <cellStyle name="20% - 强调文字颜色 1 17 6 7" xfId="864" xr:uid="{00000000-0005-0000-0000-000089000000}"/>
    <cellStyle name="20% - 强调文字颜色 1 17 6 8" xfId="848" xr:uid="{00000000-0005-0000-0000-00008A000000}"/>
    <cellStyle name="20% - 强调文字颜色 1 17 7" xfId="2303" xr:uid="{00000000-0005-0000-0000-00008B000000}"/>
    <cellStyle name="20% - 强调文字颜色 1 17 8" xfId="2310" xr:uid="{00000000-0005-0000-0000-00008C000000}"/>
    <cellStyle name="20% - 强调文字颜色 1 17 9" xfId="2319" xr:uid="{00000000-0005-0000-0000-00008D000000}"/>
    <cellStyle name="20% - 强调文字颜色 1 17 9 2" xfId="2332" xr:uid="{00000000-0005-0000-0000-00008E000000}"/>
    <cellStyle name="20% - 强调文字颜色 1 17 9 3" xfId="2336" xr:uid="{00000000-0005-0000-0000-00008F000000}"/>
    <cellStyle name="20% - 强调文字颜色 1 18" xfId="2344" xr:uid="{00000000-0005-0000-0000-000090000000}"/>
    <cellStyle name="20% - 强调文字颜色 1 18 10" xfId="2345" xr:uid="{00000000-0005-0000-0000-000091000000}"/>
    <cellStyle name="20% - 强调文字颜色 1 18 11" xfId="436" xr:uid="{00000000-0005-0000-0000-000092000000}"/>
    <cellStyle name="20% - 强调文字颜色 1 18 12" xfId="2346" xr:uid="{00000000-0005-0000-0000-000093000000}"/>
    <cellStyle name="20% - 强调文字颜色 1 18 13" xfId="2348" xr:uid="{00000000-0005-0000-0000-000094000000}"/>
    <cellStyle name="20% - 强调文字颜色 1 18 14" xfId="2357" xr:uid="{00000000-0005-0000-0000-000095000000}"/>
    <cellStyle name="20% - 强调文字颜色 1 18 2" xfId="2360" xr:uid="{00000000-0005-0000-0000-000096000000}"/>
    <cellStyle name="20% - 强调文字颜色 1 18 3" xfId="2363" xr:uid="{00000000-0005-0000-0000-000097000000}"/>
    <cellStyle name="20% - 强调文字颜色 1 18 4" xfId="2368" xr:uid="{00000000-0005-0000-0000-000098000000}"/>
    <cellStyle name="20% - 强调文字颜色 1 18 5" xfId="2390" xr:uid="{00000000-0005-0000-0000-000099000000}"/>
    <cellStyle name="20% - 强调文字颜色 1 18 5 10" xfId="2397" xr:uid="{00000000-0005-0000-0000-00009A000000}"/>
    <cellStyle name="20% - 强调文字颜色 1 18 5 11" xfId="2411" xr:uid="{00000000-0005-0000-0000-00009B000000}"/>
    <cellStyle name="20% - 强调文字颜色 1 18 5 2" xfId="2429" xr:uid="{00000000-0005-0000-0000-00009C000000}"/>
    <cellStyle name="20% - 强调文字颜色 1 18 5 2 2" xfId="2437" xr:uid="{00000000-0005-0000-0000-00009D000000}"/>
    <cellStyle name="20% - 强调文字颜色 1 18 5 2 2 2" xfId="2442" xr:uid="{00000000-0005-0000-0000-00009E000000}"/>
    <cellStyle name="20% - 强调文字颜色 1 18 5 2 2 3" xfId="2445" xr:uid="{00000000-0005-0000-0000-00009F000000}"/>
    <cellStyle name="20% - 强调文字颜色 1 18 5 2 3" xfId="2460" xr:uid="{00000000-0005-0000-0000-0000A0000000}"/>
    <cellStyle name="20% - 强调文字颜色 1 18 5 2 4" xfId="2476" xr:uid="{00000000-0005-0000-0000-0000A1000000}"/>
    <cellStyle name="20% - 强调文字颜色 1 18 5 2 5" xfId="2492" xr:uid="{00000000-0005-0000-0000-0000A2000000}"/>
    <cellStyle name="20% - 强调文字颜色 1 18 5 2 6" xfId="2503" xr:uid="{00000000-0005-0000-0000-0000A3000000}"/>
    <cellStyle name="20% - 强调文字颜色 1 18 5 2 7" xfId="2511" xr:uid="{00000000-0005-0000-0000-0000A4000000}"/>
    <cellStyle name="20% - 强调文字颜色 1 18 5 2 8" xfId="2521" xr:uid="{00000000-0005-0000-0000-0000A5000000}"/>
    <cellStyle name="20% - 强调文字颜色 1 18 5 3" xfId="2538" xr:uid="{00000000-0005-0000-0000-0000A6000000}"/>
    <cellStyle name="20% - 强调文字颜色 1 18 5 4" xfId="2549" xr:uid="{00000000-0005-0000-0000-0000A7000000}"/>
    <cellStyle name="20% - 强调文字颜色 1 18 5 5" xfId="2406" xr:uid="{00000000-0005-0000-0000-0000A8000000}"/>
    <cellStyle name="20% - 强调文字颜色 1 18 5 6" xfId="2420" xr:uid="{00000000-0005-0000-0000-0000A9000000}"/>
    <cellStyle name="20% - 强调文字颜色 1 18 5 6 2" xfId="2569" xr:uid="{00000000-0005-0000-0000-0000AA000000}"/>
    <cellStyle name="20% - 强调文字颜色 1 18 5 6 3" xfId="2580" xr:uid="{00000000-0005-0000-0000-0000AB000000}"/>
    <cellStyle name="20% - 强调文字颜色 1 18 5 7" xfId="2588" xr:uid="{00000000-0005-0000-0000-0000AC000000}"/>
    <cellStyle name="20% - 强调文字颜色 1 18 5 8" xfId="2593" xr:uid="{00000000-0005-0000-0000-0000AD000000}"/>
    <cellStyle name="20% - 强调文字颜色 1 18 5 9" xfId="2606" xr:uid="{00000000-0005-0000-0000-0000AE000000}"/>
    <cellStyle name="20% - 强调文字颜色 1 18 6" xfId="2623" xr:uid="{00000000-0005-0000-0000-0000AF000000}"/>
    <cellStyle name="20% - 强调文字颜色 1 18 6 2" xfId="2639" xr:uid="{00000000-0005-0000-0000-0000B0000000}"/>
    <cellStyle name="20% - 强调文字颜色 1 18 6 2 2" xfId="2645" xr:uid="{00000000-0005-0000-0000-0000B1000000}"/>
    <cellStyle name="20% - 强调文字颜色 1 18 6 2 3" xfId="2665" xr:uid="{00000000-0005-0000-0000-0000B2000000}"/>
    <cellStyle name="20% - 强调文字颜色 1 18 6 3" xfId="2684" xr:uid="{00000000-0005-0000-0000-0000B3000000}"/>
    <cellStyle name="20% - 强调文字颜色 1 18 6 4" xfId="2687" xr:uid="{00000000-0005-0000-0000-0000B4000000}"/>
    <cellStyle name="20% - 强调文字颜色 1 18 6 5" xfId="2701" xr:uid="{00000000-0005-0000-0000-0000B5000000}"/>
    <cellStyle name="20% - 强调文字颜色 1 18 6 6" xfId="1135" xr:uid="{00000000-0005-0000-0000-0000B6000000}"/>
    <cellStyle name="20% - 强调文字颜色 1 18 6 7" xfId="1151" xr:uid="{00000000-0005-0000-0000-0000B7000000}"/>
    <cellStyle name="20% - 强调文字颜色 1 18 6 8" xfId="2712" xr:uid="{00000000-0005-0000-0000-0000B8000000}"/>
    <cellStyle name="20% - 强调文字颜色 1 18 7" xfId="2726" xr:uid="{00000000-0005-0000-0000-0000B9000000}"/>
    <cellStyle name="20% - 强调文字颜色 1 18 8" xfId="2744" xr:uid="{00000000-0005-0000-0000-0000BA000000}"/>
    <cellStyle name="20% - 强调文字颜色 1 18 9" xfId="2752" xr:uid="{00000000-0005-0000-0000-0000BB000000}"/>
    <cellStyle name="20% - 强调文字颜色 1 18 9 2" xfId="2781" xr:uid="{00000000-0005-0000-0000-0000BC000000}"/>
    <cellStyle name="20% - 强调文字颜色 1 18 9 3" xfId="2786" xr:uid="{00000000-0005-0000-0000-0000BD000000}"/>
    <cellStyle name="20% - 强调文字颜色 1 19" xfId="2794" xr:uid="{00000000-0005-0000-0000-0000BE000000}"/>
    <cellStyle name="20% - 强调文字颜色 1 2" xfId="777" xr:uid="{00000000-0005-0000-0000-0000BF000000}"/>
    <cellStyle name="20% - 强调文字颜色 1 2 10" xfId="2800" xr:uid="{00000000-0005-0000-0000-0000C0000000}"/>
    <cellStyle name="20% - 强调文字颜色 1 2 11" xfId="2807" xr:uid="{00000000-0005-0000-0000-0000C1000000}"/>
    <cellStyle name="20% - 强调文字颜色 1 2 12" xfId="2814" xr:uid="{00000000-0005-0000-0000-0000C2000000}"/>
    <cellStyle name="20% - 强调文字颜色 1 2 13" xfId="2820" xr:uid="{00000000-0005-0000-0000-0000C3000000}"/>
    <cellStyle name="20% - 强调文字颜色 1 2 14" xfId="2826" xr:uid="{00000000-0005-0000-0000-0000C4000000}"/>
    <cellStyle name="20% - 强调文字颜色 1 2 15" xfId="2830" xr:uid="{00000000-0005-0000-0000-0000C5000000}"/>
    <cellStyle name="20% - 强调文字颜色 1 2 16" xfId="675" xr:uid="{00000000-0005-0000-0000-0000C6000000}"/>
    <cellStyle name="20% - 强调文字颜色 1 2 17" xfId="706" xr:uid="{00000000-0005-0000-0000-0000C7000000}"/>
    <cellStyle name="20% - 强调文字颜色 1 2 17 10" xfId="2848" xr:uid="{00000000-0005-0000-0000-0000C8000000}"/>
    <cellStyle name="20% - 强调文字颜色 1 2 17 11" xfId="2871" xr:uid="{00000000-0005-0000-0000-0000C9000000}"/>
    <cellStyle name="20% - 强调文字颜色 1 2 17 12" xfId="2889" xr:uid="{00000000-0005-0000-0000-0000CA000000}"/>
    <cellStyle name="20% - 强调文字颜色 1 2 17 13" xfId="2901" xr:uid="{00000000-0005-0000-0000-0000CB000000}"/>
    <cellStyle name="20% - 强调文字颜色 1 2 17 14" xfId="2911" xr:uid="{00000000-0005-0000-0000-0000CC000000}"/>
    <cellStyle name="20% - 强调文字颜色 1 2 17 2" xfId="2693" xr:uid="{00000000-0005-0000-0000-0000CD000000}"/>
    <cellStyle name="20% - 强调文字颜色 1 2 17 3" xfId="1123" xr:uid="{00000000-0005-0000-0000-0000CE000000}"/>
    <cellStyle name="20% - 强调文字颜色 1 2 17 4" xfId="1145" xr:uid="{00000000-0005-0000-0000-0000CF000000}"/>
    <cellStyle name="20% - 强调文字颜色 1 2 17 5" xfId="2710" xr:uid="{00000000-0005-0000-0000-0000D0000000}"/>
    <cellStyle name="20% - 强调文字颜色 1 2 17 5 10" xfId="2849" xr:uid="{00000000-0005-0000-0000-0000D1000000}"/>
    <cellStyle name="20% - 强调文字颜色 1 2 17 5 11" xfId="2876" xr:uid="{00000000-0005-0000-0000-0000D2000000}"/>
    <cellStyle name="20% - 强调文字颜色 1 2 17 5 2" xfId="2912" xr:uid="{00000000-0005-0000-0000-0000D3000000}"/>
    <cellStyle name="20% - 强调文字颜色 1 2 17 5 2 2" xfId="2919" xr:uid="{00000000-0005-0000-0000-0000D4000000}"/>
    <cellStyle name="20% - 强调文字颜色 1 2 17 5 2 2 2" xfId="2938" xr:uid="{00000000-0005-0000-0000-0000D5000000}"/>
    <cellStyle name="20% - 强调文字颜色 1 2 17 5 2 2 3" xfId="2018" xr:uid="{00000000-0005-0000-0000-0000D6000000}"/>
    <cellStyle name="20% - 强调文字颜色 1 2 17 5 2 3" xfId="2945" xr:uid="{00000000-0005-0000-0000-0000D7000000}"/>
    <cellStyle name="20% - 强调文字颜色 1 2 17 5 2 4" xfId="2962" xr:uid="{00000000-0005-0000-0000-0000D8000000}"/>
    <cellStyle name="20% - 强调文字颜色 1 2 17 5 2 5" xfId="2983" xr:uid="{00000000-0005-0000-0000-0000D9000000}"/>
    <cellStyle name="20% - 强调文字颜色 1 2 17 5 2 6" xfId="3009" xr:uid="{00000000-0005-0000-0000-0000DA000000}"/>
    <cellStyle name="20% - 强调文字颜色 1 2 17 5 2 7" xfId="3018" xr:uid="{00000000-0005-0000-0000-0000DB000000}"/>
    <cellStyle name="20% - 强调文字颜色 1 2 17 5 2 8" xfId="3026" xr:uid="{00000000-0005-0000-0000-0000DC000000}"/>
    <cellStyle name="20% - 强调文字颜色 1 2 17 5 3" xfId="3029" xr:uid="{00000000-0005-0000-0000-0000DD000000}"/>
    <cellStyle name="20% - 强调文字颜色 1 2 17 5 4" xfId="3041" xr:uid="{00000000-0005-0000-0000-0000DE000000}"/>
    <cellStyle name="20% - 强调文字颜色 1 2 17 5 5" xfId="3055" xr:uid="{00000000-0005-0000-0000-0000DF000000}"/>
    <cellStyle name="20% - 强调文字颜色 1 2 17 5 6" xfId="3056" xr:uid="{00000000-0005-0000-0000-0000E0000000}"/>
    <cellStyle name="20% - 强调文字颜色 1 2 17 5 6 2" xfId="3072" xr:uid="{00000000-0005-0000-0000-0000E1000000}"/>
    <cellStyle name="20% - 强调文字颜色 1 2 17 5 6 3" xfId="3083" xr:uid="{00000000-0005-0000-0000-0000E2000000}"/>
    <cellStyle name="20% - 强调文字颜色 1 2 17 5 7" xfId="3086" xr:uid="{00000000-0005-0000-0000-0000E3000000}"/>
    <cellStyle name="20% - 强调文字颜色 1 2 17 5 8" xfId="3090" xr:uid="{00000000-0005-0000-0000-0000E4000000}"/>
    <cellStyle name="20% - 强调文字颜色 1 2 17 5 9" xfId="3093" xr:uid="{00000000-0005-0000-0000-0000E5000000}"/>
    <cellStyle name="20% - 强调文字颜色 1 2 17 6" xfId="3106" xr:uid="{00000000-0005-0000-0000-0000E6000000}"/>
    <cellStyle name="20% - 强调文字颜色 1 2 17 6 2" xfId="1350" xr:uid="{00000000-0005-0000-0000-0000E7000000}"/>
    <cellStyle name="20% - 强调文字颜色 1 2 17 6 2 2" xfId="2085" xr:uid="{00000000-0005-0000-0000-0000E8000000}"/>
    <cellStyle name="20% - 强调文字颜色 1 2 17 6 2 3" xfId="3122" xr:uid="{00000000-0005-0000-0000-0000E9000000}"/>
    <cellStyle name="20% - 强调文字颜色 1 2 17 6 3" xfId="280" xr:uid="{00000000-0005-0000-0000-0000EA000000}"/>
    <cellStyle name="20% - 强调文字颜色 1 2 17 6 4" xfId="1357" xr:uid="{00000000-0005-0000-0000-0000EB000000}"/>
    <cellStyle name="20% - 强调文字颜色 1 2 17 6 5" xfId="3125" xr:uid="{00000000-0005-0000-0000-0000EC000000}"/>
    <cellStyle name="20% - 强调文字颜色 1 2 17 6 6" xfId="3129" xr:uid="{00000000-0005-0000-0000-0000ED000000}"/>
    <cellStyle name="20% - 强调文字颜色 1 2 17 6 7" xfId="3067" xr:uid="{00000000-0005-0000-0000-0000EE000000}"/>
    <cellStyle name="20% - 强调文字颜色 1 2 17 6 8" xfId="3081" xr:uid="{00000000-0005-0000-0000-0000EF000000}"/>
    <cellStyle name="20% - 强调文字颜色 1 2 17 7" xfId="3141" xr:uid="{00000000-0005-0000-0000-0000F0000000}"/>
    <cellStyle name="20% - 强调文字颜色 1 2 17 8" xfId="3153" xr:uid="{00000000-0005-0000-0000-0000F1000000}"/>
    <cellStyle name="20% - 强调文字颜色 1 2 17 9" xfId="3164" xr:uid="{00000000-0005-0000-0000-0000F2000000}"/>
    <cellStyle name="20% - 强调文字颜色 1 2 17 9 2" xfId="1288" xr:uid="{00000000-0005-0000-0000-0000F3000000}"/>
    <cellStyle name="20% - 强调文字颜色 1 2 17 9 3" xfId="1298" xr:uid="{00000000-0005-0000-0000-0000F4000000}"/>
    <cellStyle name="20% - 强调文字颜色 1 2 18" xfId="736" xr:uid="{00000000-0005-0000-0000-0000F5000000}"/>
    <cellStyle name="20% - 强调文字颜色 1 2 18 10" xfId="766" xr:uid="{00000000-0005-0000-0000-0000F6000000}"/>
    <cellStyle name="20% - 强调文字颜色 1 2 18 11" xfId="495" xr:uid="{00000000-0005-0000-0000-0000F7000000}"/>
    <cellStyle name="20% - 强调文字颜色 1 2 18 12" xfId="770" xr:uid="{00000000-0005-0000-0000-0000F8000000}"/>
    <cellStyle name="20% - 强调文字颜色 1 2 18 13" xfId="786" xr:uid="{00000000-0005-0000-0000-0000F9000000}"/>
    <cellStyle name="20% - 强调文字颜色 1 2 18 14" xfId="790" xr:uid="{00000000-0005-0000-0000-0000FA000000}"/>
    <cellStyle name="20% - 强调文字颜色 1 2 18 2" xfId="452" xr:uid="{00000000-0005-0000-0000-0000FB000000}"/>
    <cellStyle name="20% - 强调文字颜色 1 2 18 3" xfId="543" xr:uid="{00000000-0005-0000-0000-0000FC000000}"/>
    <cellStyle name="20% - 强调文字颜色 1 2 18 4" xfId="580" xr:uid="{00000000-0005-0000-0000-0000FD000000}"/>
    <cellStyle name="20% - 强调文字颜色 1 2 18 5" xfId="591" xr:uid="{00000000-0005-0000-0000-0000FE000000}"/>
    <cellStyle name="20% - 强调文字颜色 1 2 18 5 10" xfId="803" xr:uid="{00000000-0005-0000-0000-0000FF000000}"/>
    <cellStyle name="20% - 强调文字颜色 1 2 18 5 11" xfId="372" xr:uid="{00000000-0005-0000-0000-000000010000}"/>
    <cellStyle name="20% - 强调文字颜色 1 2 18 5 2" xfId="818" xr:uid="{00000000-0005-0000-0000-000001010000}"/>
    <cellStyle name="20% - 强调文字颜色 1 2 18 5 2 2" xfId="823" xr:uid="{00000000-0005-0000-0000-000002010000}"/>
    <cellStyle name="20% - 强调文字颜色 1 2 18 5 2 2 2" xfId="841" xr:uid="{00000000-0005-0000-0000-000003010000}"/>
    <cellStyle name="20% - 强调文字颜色 1 2 18 5 2 2 3" xfId="853" xr:uid="{00000000-0005-0000-0000-000004010000}"/>
    <cellStyle name="20% - 强调文字颜色 1 2 18 5 2 3" xfId="856" xr:uid="{00000000-0005-0000-0000-000005010000}"/>
    <cellStyle name="20% - 强调文字颜色 1 2 18 5 2 4" xfId="840" xr:uid="{00000000-0005-0000-0000-000006010000}"/>
    <cellStyle name="20% - 强调文字颜色 1 2 18 5 2 5" xfId="852" xr:uid="{00000000-0005-0000-0000-000007010000}"/>
    <cellStyle name="20% - 强调文字颜色 1 2 18 5 2 6" xfId="871" xr:uid="{00000000-0005-0000-0000-000008010000}"/>
    <cellStyle name="20% - 强调文字颜色 1 2 18 5 2 7" xfId="884" xr:uid="{00000000-0005-0000-0000-000009010000}"/>
    <cellStyle name="20% - 强调文字颜色 1 2 18 5 2 8" xfId="897" xr:uid="{00000000-0005-0000-0000-00000A010000}"/>
    <cellStyle name="20% - 强调文字颜色 1 2 18 5 3" xfId="913" xr:uid="{00000000-0005-0000-0000-00000B010000}"/>
    <cellStyle name="20% - 强调文字颜色 1 2 18 5 4" xfId="948" xr:uid="{00000000-0005-0000-0000-00000C010000}"/>
    <cellStyle name="20% - 强调文字颜色 1 2 18 5 5" xfId="984" xr:uid="{00000000-0005-0000-0000-00000D010000}"/>
    <cellStyle name="20% - 强调文字颜色 1 2 18 5 6" xfId="1005" xr:uid="{00000000-0005-0000-0000-00000E010000}"/>
    <cellStyle name="20% - 强调文字颜色 1 2 18 5 6 2" xfId="1019" xr:uid="{00000000-0005-0000-0000-00000F010000}"/>
    <cellStyle name="20% - 强调文字颜色 1 2 18 5 6 3" xfId="1029" xr:uid="{00000000-0005-0000-0000-000010010000}"/>
    <cellStyle name="20% - 强调文字颜色 1 2 18 5 7" xfId="1039" xr:uid="{00000000-0005-0000-0000-000011010000}"/>
    <cellStyle name="20% - 强调文字颜色 1 2 18 5 8" xfId="1059" xr:uid="{00000000-0005-0000-0000-000012010000}"/>
    <cellStyle name="20% - 强调文字颜色 1 2 18 5 9" xfId="1081" xr:uid="{00000000-0005-0000-0000-000013010000}"/>
    <cellStyle name="20% - 强调文字颜色 1 2 18 6" xfId="514" xr:uid="{00000000-0005-0000-0000-000014010000}"/>
    <cellStyle name="20% - 强调文字颜色 1 2 18 6 2" xfId="1095" xr:uid="{00000000-0005-0000-0000-000015010000}"/>
    <cellStyle name="20% - 强调文字颜色 1 2 18 6 2 2" xfId="1116" xr:uid="{00000000-0005-0000-0000-000016010000}"/>
    <cellStyle name="20% - 强调文字颜色 1 2 18 6 2 3" xfId="1138" xr:uid="{00000000-0005-0000-0000-000017010000}"/>
    <cellStyle name="20% - 强调文字颜色 1 2 18 6 3" xfId="1152" xr:uid="{00000000-0005-0000-0000-000018010000}"/>
    <cellStyle name="20% - 强调文字颜色 1 2 18 6 4" xfId="1163" xr:uid="{00000000-0005-0000-0000-000019010000}"/>
    <cellStyle name="20% - 强调文字颜色 1 2 18 6 5" xfId="1180" xr:uid="{00000000-0005-0000-0000-00001A010000}"/>
    <cellStyle name="20% - 强调文字颜色 1 2 18 6 6" xfId="1195" xr:uid="{00000000-0005-0000-0000-00001B010000}"/>
    <cellStyle name="20% - 强调文字颜色 1 2 18 6 7" xfId="1212" xr:uid="{00000000-0005-0000-0000-00001C010000}"/>
    <cellStyle name="20% - 强调文字颜色 1 2 18 6 8" xfId="534" xr:uid="{00000000-0005-0000-0000-00001D010000}"/>
    <cellStyle name="20% - 强调文字颜色 1 2 18 7" xfId="557" xr:uid="{00000000-0005-0000-0000-00001E010000}"/>
    <cellStyle name="20% - 强调文字颜色 1 2 18 8" xfId="1228" xr:uid="{00000000-0005-0000-0000-00001F010000}"/>
    <cellStyle name="20% - 强调文字颜色 1 2 18 9" xfId="1240" xr:uid="{00000000-0005-0000-0000-000020010000}"/>
    <cellStyle name="20% - 强调文字颜色 1 2 18 9 2" xfId="1241" xr:uid="{00000000-0005-0000-0000-000021010000}"/>
    <cellStyle name="20% - 强调文字颜色 1 2 18 9 3" xfId="1254" xr:uid="{00000000-0005-0000-0000-000022010000}"/>
    <cellStyle name="20% - 强调文字颜色 1 2 19" xfId="1262" xr:uid="{00000000-0005-0000-0000-000023010000}"/>
    <cellStyle name="20% - 强调文字颜色 1 2 19 10" xfId="3166" xr:uid="{00000000-0005-0000-0000-000024010000}"/>
    <cellStyle name="20% - 强调文字颜色 1 2 19 11" xfId="3170" xr:uid="{00000000-0005-0000-0000-000025010000}"/>
    <cellStyle name="20% - 强调文字颜色 1 2 19 12" xfId="3172" xr:uid="{00000000-0005-0000-0000-000026010000}"/>
    <cellStyle name="20% - 强调文字颜色 1 2 19 13" xfId="3176" xr:uid="{00000000-0005-0000-0000-000027010000}"/>
    <cellStyle name="20% - 强调文字颜色 1 2 19 14" xfId="500" xr:uid="{00000000-0005-0000-0000-000028010000}"/>
    <cellStyle name="20% - 强调文字颜色 1 2 19 2" xfId="3184" xr:uid="{00000000-0005-0000-0000-000029010000}"/>
    <cellStyle name="20% - 强调文字颜色 1 2 19 3" xfId="3188" xr:uid="{00000000-0005-0000-0000-00002A010000}"/>
    <cellStyle name="20% - 强调文字颜色 1 2 19 4" xfId="3192" xr:uid="{00000000-0005-0000-0000-00002B010000}"/>
    <cellStyle name="20% - 强调文字颜色 1 2 19 5" xfId="3198" xr:uid="{00000000-0005-0000-0000-00002C010000}"/>
    <cellStyle name="20% - 强调文字颜色 1 2 19 5 10" xfId="3207" xr:uid="{00000000-0005-0000-0000-00002D010000}"/>
    <cellStyle name="20% - 强调文字颜色 1 2 19 5 11" xfId="3211" xr:uid="{00000000-0005-0000-0000-00002E010000}"/>
    <cellStyle name="20% - 强调文字颜色 1 2 19 5 2" xfId="3227" xr:uid="{00000000-0005-0000-0000-00002F010000}"/>
    <cellStyle name="20% - 强调文字颜色 1 2 19 5 2 2" xfId="2001" xr:uid="{00000000-0005-0000-0000-000030010000}"/>
    <cellStyle name="20% - 强调文字颜色 1 2 19 5 2 2 2" xfId="2056" xr:uid="{00000000-0005-0000-0000-000031010000}"/>
    <cellStyle name="20% - 强调文字颜色 1 2 19 5 2 2 3" xfId="2126" xr:uid="{00000000-0005-0000-0000-000032010000}"/>
    <cellStyle name="20% - 强调文字颜色 1 2 19 5 2 3" xfId="2216" xr:uid="{00000000-0005-0000-0000-000033010000}"/>
    <cellStyle name="20% - 强调文字颜色 1 2 19 5 2 4" xfId="2296" xr:uid="{00000000-0005-0000-0000-000034010000}"/>
    <cellStyle name="20% - 强调文字颜色 1 2 19 5 2 5" xfId="2305" xr:uid="{00000000-0005-0000-0000-000035010000}"/>
    <cellStyle name="20% - 强调文字颜色 1 2 19 5 2 6" xfId="2313" xr:uid="{00000000-0005-0000-0000-000036010000}"/>
    <cellStyle name="20% - 强调文字颜色 1 2 19 5 2 7" xfId="3230" xr:uid="{00000000-0005-0000-0000-000037010000}"/>
    <cellStyle name="20% - 强调文字颜色 1 2 19 5 2 8" xfId="423" xr:uid="{00000000-0005-0000-0000-000038010000}"/>
    <cellStyle name="20% - 强调文字颜色 1 2 19 5 3" xfId="3246" xr:uid="{00000000-0005-0000-0000-000039010000}"/>
    <cellStyle name="20% - 强调文字颜色 1 2 19 5 4" xfId="2940" xr:uid="{00000000-0005-0000-0000-00003A010000}"/>
    <cellStyle name="20% - 强调文字颜色 1 2 19 5 5" xfId="2020" xr:uid="{00000000-0005-0000-0000-00003B010000}"/>
    <cellStyle name="20% - 强调文字颜色 1 2 19 5 6" xfId="2032" xr:uid="{00000000-0005-0000-0000-00003C010000}"/>
    <cellStyle name="20% - 强调文字颜色 1 2 19 5 6 2" xfId="3248" xr:uid="{00000000-0005-0000-0000-00003D010000}"/>
    <cellStyle name="20% - 强调文字颜色 1 2 19 5 6 3" xfId="3250" xr:uid="{00000000-0005-0000-0000-00003E010000}"/>
    <cellStyle name="20% - 强调文字颜色 1 2 19 5 7" xfId="1486" xr:uid="{00000000-0005-0000-0000-00003F010000}"/>
    <cellStyle name="20% - 强调文字颜色 1 2 19 5 8" xfId="229" xr:uid="{00000000-0005-0000-0000-000040010000}"/>
    <cellStyle name="20% - 强调文字颜色 1 2 19 5 9" xfId="1524" xr:uid="{00000000-0005-0000-0000-000041010000}"/>
    <cellStyle name="20% - 强调文字颜色 1 2 19 6" xfId="3256" xr:uid="{00000000-0005-0000-0000-000042010000}"/>
    <cellStyle name="20% - 强调文字颜色 1 2 19 6 2" xfId="2467" xr:uid="{00000000-0005-0000-0000-000043010000}"/>
    <cellStyle name="20% - 强调文字颜色 1 2 19 6 2 2" xfId="3261" xr:uid="{00000000-0005-0000-0000-000044010000}"/>
    <cellStyle name="20% - 强调文字颜色 1 2 19 6 2 3" xfId="3262" xr:uid="{00000000-0005-0000-0000-000045010000}"/>
    <cellStyle name="20% - 强调文字颜色 1 2 19 6 3" xfId="2484" xr:uid="{00000000-0005-0000-0000-000046010000}"/>
    <cellStyle name="20% - 强调文字颜色 1 2 19 6 4" xfId="2498" xr:uid="{00000000-0005-0000-0000-000047010000}"/>
    <cellStyle name="20% - 强调文字颜色 1 2 19 6 5" xfId="2506" xr:uid="{00000000-0005-0000-0000-000048010000}"/>
    <cellStyle name="20% - 强调文字颜色 1 2 19 6 6" xfId="2515" xr:uid="{00000000-0005-0000-0000-000049010000}"/>
    <cellStyle name="20% - 强调文字颜色 1 2 19 6 7" xfId="3264" xr:uid="{00000000-0005-0000-0000-00004A010000}"/>
    <cellStyle name="20% - 强调文字颜色 1 2 19 6 8" xfId="3268" xr:uid="{00000000-0005-0000-0000-00004B010000}"/>
    <cellStyle name="20% - 强调文字颜色 1 2 19 7" xfId="2652" xr:uid="{00000000-0005-0000-0000-00004C010000}"/>
    <cellStyle name="20% - 强调文字颜色 1 2 19 8" xfId="2671" xr:uid="{00000000-0005-0000-0000-00004D010000}"/>
    <cellStyle name="20% - 强调文字颜色 1 2 19 9" xfId="3291" xr:uid="{00000000-0005-0000-0000-00004E010000}"/>
    <cellStyle name="20% - 强调文字颜色 1 2 19 9 2" xfId="3304" xr:uid="{00000000-0005-0000-0000-00004F010000}"/>
    <cellStyle name="20% - 强调文字颜色 1 2 19 9 3" xfId="3309" xr:uid="{00000000-0005-0000-0000-000050010000}"/>
    <cellStyle name="20% - 强调文字颜色 1 2 2" xfId="320" xr:uid="{00000000-0005-0000-0000-000051010000}"/>
    <cellStyle name="20% - 强调文字颜色 1 2 2 10" xfId="3320" xr:uid="{00000000-0005-0000-0000-000052010000}"/>
    <cellStyle name="20% - 强调文字颜色 1 2 2 11" xfId="3330" xr:uid="{00000000-0005-0000-0000-000053010000}"/>
    <cellStyle name="20% - 强调文字颜色 1 2 2 12" xfId="3343" xr:uid="{00000000-0005-0000-0000-000054010000}"/>
    <cellStyle name="20% - 强调文字颜色 1 2 2 13" xfId="3356" xr:uid="{00000000-0005-0000-0000-000055010000}"/>
    <cellStyle name="20% - 强调文字颜色 1 2 2 14" xfId="3371" xr:uid="{00000000-0005-0000-0000-000056010000}"/>
    <cellStyle name="20% - 强调文字颜色 1 2 2 2" xfId="3145" xr:uid="{00000000-0005-0000-0000-000057010000}"/>
    <cellStyle name="20% - 强调文字颜色 1 2 2 3" xfId="3157" xr:uid="{00000000-0005-0000-0000-000058010000}"/>
    <cellStyle name="20% - 强调文字颜色 1 2 2 4" xfId="3373" xr:uid="{00000000-0005-0000-0000-000059010000}"/>
    <cellStyle name="20% - 强调文字颜色 1 2 2 5" xfId="3377" xr:uid="{00000000-0005-0000-0000-00005A010000}"/>
    <cellStyle name="20% - 强调文字颜色 1 2 2 6" xfId="3384" xr:uid="{00000000-0005-0000-0000-00005B010000}"/>
    <cellStyle name="20% - 强调文字颜色 1 2 2 7" xfId="3393" xr:uid="{00000000-0005-0000-0000-00005C010000}"/>
    <cellStyle name="20% - 强调文字颜色 1 2 2 8" xfId="3397" xr:uid="{00000000-0005-0000-0000-00005D010000}"/>
    <cellStyle name="20% - 强调文字颜色 1 2 2 9" xfId="506" xr:uid="{00000000-0005-0000-0000-00005E010000}"/>
    <cellStyle name="20% - 强调文字颜色 1 2 20" xfId="2831" xr:uid="{00000000-0005-0000-0000-00005F010000}"/>
    <cellStyle name="20% - 强调文字颜色 1 2 20 10" xfId="2201" xr:uid="{00000000-0005-0000-0000-000060010000}"/>
    <cellStyle name="20% - 强调文字颜色 1 2 20 11" xfId="2213" xr:uid="{00000000-0005-0000-0000-000061010000}"/>
    <cellStyle name="20% - 强调文字颜色 1 2 20 12" xfId="211" xr:uid="{00000000-0005-0000-0000-000062010000}"/>
    <cellStyle name="20% - 强调文字颜色 1 2 20 13" xfId="3411" xr:uid="{00000000-0005-0000-0000-000063010000}"/>
    <cellStyle name="20% - 强调文字颜色 1 2 20 14" xfId="1454" xr:uid="{00000000-0005-0000-0000-000064010000}"/>
    <cellStyle name="20% - 强调文字颜色 1 2 20 2" xfId="3266" xr:uid="{00000000-0005-0000-0000-000065010000}"/>
    <cellStyle name="20% - 强调文字颜色 1 2 20 3" xfId="3412" xr:uid="{00000000-0005-0000-0000-000066010000}"/>
    <cellStyle name="20% - 强调文字颜色 1 2 20 4" xfId="3416" xr:uid="{00000000-0005-0000-0000-000067010000}"/>
    <cellStyle name="20% - 强调文字颜色 1 2 20 5" xfId="3417" xr:uid="{00000000-0005-0000-0000-000068010000}"/>
    <cellStyle name="20% - 强调文字颜色 1 2 20 5 10" xfId="3385" xr:uid="{00000000-0005-0000-0000-000069010000}"/>
    <cellStyle name="20% - 强调文字颜色 1 2 20 5 11" xfId="3394" xr:uid="{00000000-0005-0000-0000-00006A010000}"/>
    <cellStyle name="20% - 强调文字颜色 1 2 20 5 2" xfId="2608" xr:uid="{00000000-0005-0000-0000-00006B010000}"/>
    <cellStyle name="20% - 强调文字颜色 1 2 20 5 2 2" xfId="2877" xr:uid="{00000000-0005-0000-0000-00006C010000}"/>
    <cellStyle name="20% - 强调文字颜色 1 2 20 5 2 2 2" xfId="3434" xr:uid="{00000000-0005-0000-0000-00006D010000}"/>
    <cellStyle name="20% - 强调文字颜色 1 2 20 5 2 2 3" xfId="3452" xr:uid="{00000000-0005-0000-0000-00006E010000}"/>
    <cellStyle name="20% - 强调文字颜色 1 2 20 5 2 3" xfId="2894" xr:uid="{00000000-0005-0000-0000-00006F010000}"/>
    <cellStyle name="20% - 强调文字颜色 1 2 20 5 2 4" xfId="2906" xr:uid="{00000000-0005-0000-0000-000070010000}"/>
    <cellStyle name="20% - 强调文字颜色 1 2 20 5 2 5" xfId="3466" xr:uid="{00000000-0005-0000-0000-000071010000}"/>
    <cellStyle name="20% - 强调文字颜色 1 2 20 5 2 6" xfId="3475" xr:uid="{00000000-0005-0000-0000-000072010000}"/>
    <cellStyle name="20% - 强调文字颜色 1 2 20 5 2 7" xfId="3481" xr:uid="{00000000-0005-0000-0000-000073010000}"/>
    <cellStyle name="20% - 强调文字颜色 1 2 20 5 2 8" xfId="3485" xr:uid="{00000000-0005-0000-0000-000074010000}"/>
    <cellStyle name="20% - 强调文字颜色 1 2 20 5 3" xfId="3491" xr:uid="{00000000-0005-0000-0000-000075010000}"/>
    <cellStyle name="20% - 强调文字颜色 1 2 20 5 4" xfId="3503" xr:uid="{00000000-0005-0000-0000-000076010000}"/>
    <cellStyle name="20% - 强调文字颜色 1 2 20 5 5" xfId="3514" xr:uid="{00000000-0005-0000-0000-000077010000}"/>
    <cellStyle name="20% - 强调文字颜色 1 2 20 5 6" xfId="3426" xr:uid="{00000000-0005-0000-0000-000078010000}"/>
    <cellStyle name="20% - 强调文字颜色 1 2 20 5 6 2" xfId="2451" xr:uid="{00000000-0005-0000-0000-000079010000}"/>
    <cellStyle name="20% - 强调文字颜色 1 2 20 5 6 3" xfId="3523" xr:uid="{00000000-0005-0000-0000-00007A010000}"/>
    <cellStyle name="20% - 强调文字颜色 1 2 20 5 7" xfId="3448" xr:uid="{00000000-0005-0000-0000-00007B010000}"/>
    <cellStyle name="20% - 强调文字颜色 1 2 20 5 8" xfId="3531" xr:uid="{00000000-0005-0000-0000-00007C010000}"/>
    <cellStyle name="20% - 强调文字颜色 1 2 20 5 9" xfId="3537" xr:uid="{00000000-0005-0000-0000-00007D010000}"/>
    <cellStyle name="20% - 强调文字颜色 1 2 20 6" xfId="3541" xr:uid="{00000000-0005-0000-0000-00007E010000}"/>
    <cellStyle name="20% - 强调文字颜色 1 2 20 6 2" xfId="3098" xr:uid="{00000000-0005-0000-0000-00007F010000}"/>
    <cellStyle name="20% - 强调文字颜色 1 2 20 6 2 2" xfId="1337" xr:uid="{00000000-0005-0000-0000-000080010000}"/>
    <cellStyle name="20% - 强调文字颜色 1 2 20 6 2 3" xfId="252" xr:uid="{00000000-0005-0000-0000-000081010000}"/>
    <cellStyle name="20% - 强调文字颜色 1 2 20 6 3" xfId="3130" xr:uid="{00000000-0005-0000-0000-000082010000}"/>
    <cellStyle name="20% - 强调文字颜色 1 2 20 6 4" xfId="3147" xr:uid="{00000000-0005-0000-0000-000083010000}"/>
    <cellStyle name="20% - 强调文字颜色 1 2 20 6 5" xfId="3159" xr:uid="{00000000-0005-0000-0000-000084010000}"/>
    <cellStyle name="20% - 强调文字颜色 1 2 20 6 6" xfId="3375" xr:uid="{00000000-0005-0000-0000-000085010000}"/>
    <cellStyle name="20% - 强调文字颜色 1 2 20 6 7" xfId="3382" xr:uid="{00000000-0005-0000-0000-000086010000}"/>
    <cellStyle name="20% - 强调文字颜色 1 2 20 6 8" xfId="3390" xr:uid="{00000000-0005-0000-0000-000087010000}"/>
    <cellStyle name="20% - 强调文字颜色 1 2 20 7" xfId="3545" xr:uid="{00000000-0005-0000-0000-000088010000}"/>
    <cellStyle name="20% - 强调文字颜色 1 2 20 8" xfId="3549" xr:uid="{00000000-0005-0000-0000-000089010000}"/>
    <cellStyle name="20% - 强调文字颜色 1 2 20 9" xfId="3550" xr:uid="{00000000-0005-0000-0000-00008A010000}"/>
    <cellStyle name="20% - 强调文字颜色 1 2 20 9 2" xfId="3556" xr:uid="{00000000-0005-0000-0000-00008B010000}"/>
    <cellStyle name="20% - 强调文字颜色 1 2 20 9 3" xfId="3561" xr:uid="{00000000-0005-0000-0000-00008C010000}"/>
    <cellStyle name="20% - 强调文字颜色 1 2 3" xfId="1718" xr:uid="{00000000-0005-0000-0000-00008D010000}"/>
    <cellStyle name="20% - 强调文字颜色 1 2 3 10" xfId="3572" xr:uid="{00000000-0005-0000-0000-00008E010000}"/>
    <cellStyle name="20% - 强调文字颜色 1 2 3 11" xfId="3573" xr:uid="{00000000-0005-0000-0000-00008F010000}"/>
    <cellStyle name="20% - 强调文字颜色 1 2 3 12" xfId="3579" xr:uid="{00000000-0005-0000-0000-000090010000}"/>
    <cellStyle name="20% - 强调文字颜色 1 2 3 13" xfId="3584" xr:uid="{00000000-0005-0000-0000-000091010000}"/>
    <cellStyle name="20% - 强调文字颜色 1 2 3 14" xfId="3599" xr:uid="{00000000-0005-0000-0000-000092010000}"/>
    <cellStyle name="20% - 强调文字颜色 1 2 3 2" xfId="1218" xr:uid="{00000000-0005-0000-0000-000093010000}"/>
    <cellStyle name="20% - 强调文字颜色 1 2 3 3" xfId="1229" xr:uid="{00000000-0005-0000-0000-000094010000}"/>
    <cellStyle name="20% - 强调文字颜色 1 2 3 4" xfId="3609" xr:uid="{00000000-0005-0000-0000-000095010000}"/>
    <cellStyle name="20% - 强调文字颜色 1 2 3 5" xfId="3614" xr:uid="{00000000-0005-0000-0000-000096010000}"/>
    <cellStyle name="20% - 强调文字颜色 1 2 3 6" xfId="3622" xr:uid="{00000000-0005-0000-0000-000097010000}"/>
    <cellStyle name="20% - 强调文字颜色 1 2 3 7" xfId="314" xr:uid="{00000000-0005-0000-0000-000098010000}"/>
    <cellStyle name="20% - 强调文字颜色 1 2 3 8" xfId="1700" xr:uid="{00000000-0005-0000-0000-000099010000}"/>
    <cellStyle name="20% - 强调文字颜色 1 2 3 9" xfId="1725" xr:uid="{00000000-0005-0000-0000-00009A010000}"/>
    <cellStyle name="20% - 强调文字颜色 1 2 4" xfId="1722" xr:uid="{00000000-0005-0000-0000-00009B010000}"/>
    <cellStyle name="20% - 强调文字颜色 1 2 4 10" xfId="3628" xr:uid="{00000000-0005-0000-0000-00009C010000}"/>
    <cellStyle name="20% - 强调文字颜色 1 2 4 11" xfId="2238" xr:uid="{00000000-0005-0000-0000-00009D010000}"/>
    <cellStyle name="20% - 强调文字颜色 1 2 4 12" xfId="2262" xr:uid="{00000000-0005-0000-0000-00009E010000}"/>
    <cellStyle name="20% - 强调文字颜色 1 2 4 13" xfId="2278" xr:uid="{00000000-0005-0000-0000-00009F010000}"/>
    <cellStyle name="20% - 强调文字颜色 1 2 4 14" xfId="2290" xr:uid="{00000000-0005-0000-0000-0000A0010000}"/>
    <cellStyle name="20% - 强调文字颜色 1 2 4 2" xfId="2679" xr:uid="{00000000-0005-0000-0000-0000A1010000}"/>
    <cellStyle name="20% - 强调文字颜色 1 2 4 3" xfId="3273" xr:uid="{00000000-0005-0000-0000-0000A2010000}"/>
    <cellStyle name="20% - 强调文字颜色 1 2 4 4" xfId="3634" xr:uid="{00000000-0005-0000-0000-0000A3010000}"/>
    <cellStyle name="20% - 强调文字颜色 1 2 4 5" xfId="3637" xr:uid="{00000000-0005-0000-0000-0000A4010000}"/>
    <cellStyle name="20% - 强调文字颜色 1 2 4 6" xfId="3641" xr:uid="{00000000-0005-0000-0000-0000A5010000}"/>
    <cellStyle name="20% - 强调文字颜色 1 2 4 7" xfId="3644" xr:uid="{00000000-0005-0000-0000-0000A6010000}"/>
    <cellStyle name="20% - 强调文字颜色 1 2 4 8" xfId="3650" xr:uid="{00000000-0005-0000-0000-0000A7010000}"/>
    <cellStyle name="20% - 强调文字颜色 1 2 4 9" xfId="3652" xr:uid="{00000000-0005-0000-0000-0000A8010000}"/>
    <cellStyle name="20% - 强调文字颜色 1 2 5" xfId="3658" xr:uid="{00000000-0005-0000-0000-0000A9010000}"/>
    <cellStyle name="20% - 强调文字颜色 1 2 6" xfId="3668" xr:uid="{00000000-0005-0000-0000-0000AA010000}"/>
    <cellStyle name="20% - 强调文字颜色 1 2 7" xfId="3677" xr:uid="{00000000-0005-0000-0000-0000AB010000}"/>
    <cellStyle name="20% - 强调文字颜色 1 2 8" xfId="2555" xr:uid="{00000000-0005-0000-0000-0000AC010000}"/>
    <cellStyle name="20% - 强调文字颜色 1 2 9" xfId="2573" xr:uid="{00000000-0005-0000-0000-0000AD010000}"/>
    <cellStyle name="20% - 强调文字颜色 1 3" xfId="785" xr:uid="{00000000-0005-0000-0000-0000AE010000}"/>
    <cellStyle name="20% - 强调文字颜色 1 3 10" xfId="3690" xr:uid="{00000000-0005-0000-0000-0000AF010000}"/>
    <cellStyle name="20% - 强调文字颜色 1 3 11" xfId="3694" xr:uid="{00000000-0005-0000-0000-0000B0010000}"/>
    <cellStyle name="20% - 强调文字颜色 1 3 12" xfId="3698" xr:uid="{00000000-0005-0000-0000-0000B1010000}"/>
    <cellStyle name="20% - 强调文字颜色 1 3 13" xfId="3702" xr:uid="{00000000-0005-0000-0000-0000B2010000}"/>
    <cellStyle name="20% - 强调文字颜色 1 3 14" xfId="3707" xr:uid="{00000000-0005-0000-0000-0000B3010000}"/>
    <cellStyle name="20% - 强调文字颜色 1 3 15" xfId="3719" xr:uid="{00000000-0005-0000-0000-0000B4010000}"/>
    <cellStyle name="20% - 强调文字颜色 1 3 16" xfId="3723" xr:uid="{00000000-0005-0000-0000-0000B5010000}"/>
    <cellStyle name="20% - 强调文字颜色 1 3 17" xfId="3738" xr:uid="{00000000-0005-0000-0000-0000B6010000}"/>
    <cellStyle name="20% - 强调文字颜色 1 3 17 10" xfId="3405" xr:uid="{00000000-0005-0000-0000-0000B7010000}"/>
    <cellStyle name="20% - 强调文字颜色 1 3 17 11" xfId="1443" xr:uid="{00000000-0005-0000-0000-0000B8010000}"/>
    <cellStyle name="20% - 强调文字颜色 1 3 17 12" xfId="1474" xr:uid="{00000000-0005-0000-0000-0000B9010000}"/>
    <cellStyle name="20% - 强调文字颜色 1 3 17 13" xfId="3740" xr:uid="{00000000-0005-0000-0000-0000BA010000}"/>
    <cellStyle name="20% - 强调文字颜色 1 3 17 14" xfId="3741" xr:uid="{00000000-0005-0000-0000-0000BB010000}"/>
    <cellStyle name="20% - 强调文字颜色 1 3 17 2" xfId="3202" xr:uid="{00000000-0005-0000-0000-0000BC010000}"/>
    <cellStyle name="20% - 强调文字颜色 1 3 17 2 2" xfId="3215" xr:uid="{00000000-0005-0000-0000-0000BD010000}"/>
    <cellStyle name="20% - 强调文字颜色 1 3 17 3" xfId="3260" xr:uid="{00000000-0005-0000-0000-0000BE010000}"/>
    <cellStyle name="20% - 强调文字颜色 1 3 17 4" xfId="2657" xr:uid="{00000000-0005-0000-0000-0000BF010000}"/>
    <cellStyle name="20% - 强调文字颜色 1 3 17 5" xfId="2674" xr:uid="{00000000-0005-0000-0000-0000C0010000}"/>
    <cellStyle name="20% - 强调文字颜色 1 3 17 5 10" xfId="3756" xr:uid="{00000000-0005-0000-0000-0000C1010000}"/>
    <cellStyle name="20% - 强调文字颜色 1 3 17 5 11" xfId="3764" xr:uid="{00000000-0005-0000-0000-0000C2010000}"/>
    <cellStyle name="20% - 强调文字颜色 1 3 17 5 2" xfId="470" xr:uid="{00000000-0005-0000-0000-0000C3010000}"/>
    <cellStyle name="20% - 强调文字颜色 1 3 17 5 2 2" xfId="3495" xr:uid="{00000000-0005-0000-0000-0000C4010000}"/>
    <cellStyle name="20% - 强调文字颜色 1 3 17 5 2 2 2" xfId="3770" xr:uid="{00000000-0005-0000-0000-0000C5010000}"/>
    <cellStyle name="20% - 强调文字颜色 1 3 17 5 2 2 3" xfId="3779" xr:uid="{00000000-0005-0000-0000-0000C6010000}"/>
    <cellStyle name="20% - 强调文字颜色 1 3 17 5 2 3" xfId="3506" xr:uid="{00000000-0005-0000-0000-0000C7010000}"/>
    <cellStyle name="20% - 强调文字颜色 1 3 17 5 2 4" xfId="3517" xr:uid="{00000000-0005-0000-0000-0000C8010000}"/>
    <cellStyle name="20% - 强调文字颜色 1 3 17 5 2 5" xfId="3428" xr:uid="{00000000-0005-0000-0000-0000C9010000}"/>
    <cellStyle name="20% - 强调文字颜色 1 3 17 5 2 6" xfId="3450" xr:uid="{00000000-0005-0000-0000-0000CA010000}"/>
    <cellStyle name="20% - 强调文字颜色 1 3 17 5 2 7" xfId="3534" xr:uid="{00000000-0005-0000-0000-0000CB010000}"/>
    <cellStyle name="20% - 强调文字颜色 1 3 17 5 2 8" xfId="3540" xr:uid="{00000000-0005-0000-0000-0000CC010000}"/>
    <cellStyle name="20% - 强调文字颜色 1 3 17 5 3" xfId="195" xr:uid="{00000000-0005-0000-0000-0000CD010000}"/>
    <cellStyle name="20% - 强调文字颜色 1 3 17 5 4" xfId="3782" xr:uid="{00000000-0005-0000-0000-0000CE010000}"/>
    <cellStyle name="20% - 强调文字颜色 1 3 17 5 5" xfId="3792" xr:uid="{00000000-0005-0000-0000-0000CF010000}"/>
    <cellStyle name="20% - 强调文字颜色 1 3 17 5 6" xfId="3806" xr:uid="{00000000-0005-0000-0000-0000D0010000}"/>
    <cellStyle name="20% - 强调文字颜色 1 3 17 5 6 2" xfId="3564" xr:uid="{00000000-0005-0000-0000-0000D1010000}"/>
    <cellStyle name="20% - 强调文字颜色 1 3 17 5 6 3" xfId="3813" xr:uid="{00000000-0005-0000-0000-0000D2010000}"/>
    <cellStyle name="20% - 强调文字颜色 1 3 17 5 7" xfId="3832" xr:uid="{00000000-0005-0000-0000-0000D3010000}"/>
    <cellStyle name="20% - 强调文字颜色 1 3 17 5 8" xfId="2697" xr:uid="{00000000-0005-0000-0000-0000D4010000}"/>
    <cellStyle name="20% - 强调文字颜色 1 3 17 5 9" xfId="1128" xr:uid="{00000000-0005-0000-0000-0000D5010000}"/>
    <cellStyle name="20% - 强调文字颜色 1 3 17 6" xfId="3295" xr:uid="{00000000-0005-0000-0000-0000D6010000}"/>
    <cellStyle name="20% - 强调文字颜色 1 3 17 6 2" xfId="3297" xr:uid="{00000000-0005-0000-0000-0000D7010000}"/>
    <cellStyle name="20% - 强调文字颜色 1 3 17 6 2 2" xfId="3839" xr:uid="{00000000-0005-0000-0000-0000D8010000}"/>
    <cellStyle name="20% - 强调文字颜色 1 3 17 6 2 3" xfId="3847" xr:uid="{00000000-0005-0000-0000-0000D9010000}"/>
    <cellStyle name="20% - 强调文字颜色 1 3 17 6 3" xfId="3305" xr:uid="{00000000-0005-0000-0000-0000DA010000}"/>
    <cellStyle name="20% - 强调文字颜色 1 3 17 6 4" xfId="3860" xr:uid="{00000000-0005-0000-0000-0000DB010000}"/>
    <cellStyle name="20% - 强调文字颜色 1 3 17 6 5" xfId="3863" xr:uid="{00000000-0005-0000-0000-0000DC010000}"/>
    <cellStyle name="20% - 强调文字颜色 1 3 17 6 6" xfId="3866" xr:uid="{00000000-0005-0000-0000-0000DD010000}"/>
    <cellStyle name="20% - 强调文字颜色 1 3 17 6 7" xfId="1631" xr:uid="{00000000-0005-0000-0000-0000DE010000}"/>
    <cellStyle name="20% - 强调文字颜色 1 3 17 6 8" xfId="450" xr:uid="{00000000-0005-0000-0000-0000DF010000}"/>
    <cellStyle name="20% - 强调文字颜色 1 3 17 7" xfId="3875" xr:uid="{00000000-0005-0000-0000-0000E0010000}"/>
    <cellStyle name="20% - 强调文字颜色 1 3 17 8" xfId="3882" xr:uid="{00000000-0005-0000-0000-0000E1010000}"/>
    <cellStyle name="20% - 强调文字颜色 1 3 17 9" xfId="3890" xr:uid="{00000000-0005-0000-0000-0000E2010000}"/>
    <cellStyle name="20% - 强调文字颜色 1 3 17 9 2" xfId="3859" xr:uid="{00000000-0005-0000-0000-0000E3010000}"/>
    <cellStyle name="20% - 强调文字颜色 1 3 17 9 3" xfId="3899" xr:uid="{00000000-0005-0000-0000-0000E4010000}"/>
    <cellStyle name="20% - 强调文字颜色 1 3 18" xfId="3901" xr:uid="{00000000-0005-0000-0000-0000E5010000}"/>
    <cellStyle name="20% - 强调文字颜色 1 3 18 10" xfId="3902" xr:uid="{00000000-0005-0000-0000-0000E6010000}"/>
    <cellStyle name="20% - 强调文字颜色 1 3 18 11" xfId="474" xr:uid="{00000000-0005-0000-0000-0000E7010000}"/>
    <cellStyle name="20% - 强调文字颜色 1 3 18 12" xfId="3904" xr:uid="{00000000-0005-0000-0000-0000E8010000}"/>
    <cellStyle name="20% - 强调文字颜色 1 3 18 13" xfId="3911" xr:uid="{00000000-0005-0000-0000-0000E9010000}"/>
    <cellStyle name="20% - 强调文字颜色 1 3 18 14" xfId="2637" xr:uid="{00000000-0005-0000-0000-0000EA010000}"/>
    <cellStyle name="20% - 强调文字颜色 1 3 18 2" xfId="3913" xr:uid="{00000000-0005-0000-0000-0000EB010000}"/>
    <cellStyle name="20% - 强调文字颜色 1 3 18 3" xfId="3919" xr:uid="{00000000-0005-0000-0000-0000EC010000}"/>
    <cellStyle name="20% - 强调文字颜色 1 3 18 4" xfId="3926" xr:uid="{00000000-0005-0000-0000-0000ED010000}"/>
    <cellStyle name="20% - 强调文字颜色 1 3 18 5" xfId="3931" xr:uid="{00000000-0005-0000-0000-0000EE010000}"/>
    <cellStyle name="20% - 强调文字颜色 1 3 18 5 10" xfId="2989" xr:uid="{00000000-0005-0000-0000-0000EF010000}"/>
    <cellStyle name="20% - 强调文字颜色 1 3 18 5 11" xfId="2998" xr:uid="{00000000-0005-0000-0000-0000F0010000}"/>
    <cellStyle name="20% - 强调文字颜色 1 3 18 5 2" xfId="3942" xr:uid="{00000000-0005-0000-0000-0000F1010000}"/>
    <cellStyle name="20% - 强调文字颜色 1 3 18 5 2 2" xfId="3946" xr:uid="{00000000-0005-0000-0000-0000F2010000}"/>
    <cellStyle name="20% - 强调文字颜色 1 3 18 5 2 2 2" xfId="3966" xr:uid="{00000000-0005-0000-0000-0000F3010000}"/>
    <cellStyle name="20% - 强调文字颜色 1 3 18 5 2 2 3" xfId="3991" xr:uid="{00000000-0005-0000-0000-0000F4010000}"/>
    <cellStyle name="20% - 强调文字颜色 1 3 18 5 2 3" xfId="3999" xr:uid="{00000000-0005-0000-0000-0000F5010000}"/>
    <cellStyle name="20% - 强调文字颜色 1 3 18 5 2 4" xfId="4009" xr:uid="{00000000-0005-0000-0000-0000F6010000}"/>
    <cellStyle name="20% - 强调文字颜色 1 3 18 5 2 5" xfId="2077" xr:uid="{00000000-0005-0000-0000-0000F7010000}"/>
    <cellStyle name="20% - 强调文字颜色 1 3 18 5 2 6" xfId="3118" xr:uid="{00000000-0005-0000-0000-0000F8010000}"/>
    <cellStyle name="20% - 强调文字颜色 1 3 18 5 2 7" xfId="4010" xr:uid="{00000000-0005-0000-0000-0000F9010000}"/>
    <cellStyle name="20% - 强调文字颜色 1 3 18 5 2 8" xfId="4015" xr:uid="{00000000-0005-0000-0000-0000FA010000}"/>
    <cellStyle name="20% - 强调文字颜色 1 3 18 5 3" xfId="4025" xr:uid="{00000000-0005-0000-0000-0000FB010000}"/>
    <cellStyle name="20% - 强调文字颜色 1 3 18 5 4" xfId="4036" xr:uid="{00000000-0005-0000-0000-0000FC010000}"/>
    <cellStyle name="20% - 强调文字颜色 1 3 18 5 5" xfId="4044" xr:uid="{00000000-0005-0000-0000-0000FD010000}"/>
    <cellStyle name="20% - 强调文字颜色 1 3 18 5 6" xfId="4050" xr:uid="{00000000-0005-0000-0000-0000FE010000}"/>
    <cellStyle name="20% - 强调文字颜色 1 3 18 5 6 2" xfId="1170" xr:uid="{00000000-0005-0000-0000-0000FF010000}"/>
    <cellStyle name="20% - 强调文字颜色 1 3 18 5 6 3" xfId="1182" xr:uid="{00000000-0005-0000-0000-000000020000}"/>
    <cellStyle name="20% - 强调文字颜色 1 3 18 5 7" xfId="4057" xr:uid="{00000000-0005-0000-0000-000001020000}"/>
    <cellStyle name="20% - 强调文字颜色 1 3 18 5 8" xfId="4060" xr:uid="{00000000-0005-0000-0000-000002020000}"/>
    <cellStyle name="20% - 强调文字颜色 1 3 18 5 9" xfId="4068" xr:uid="{00000000-0005-0000-0000-000003020000}"/>
    <cellStyle name="20% - 强调文字颜色 1 3 18 6" xfId="4077" xr:uid="{00000000-0005-0000-0000-000004020000}"/>
    <cellStyle name="20% - 强调文字颜色 1 3 18 6 2" xfId="1809" xr:uid="{00000000-0005-0000-0000-000005020000}"/>
    <cellStyle name="20% - 强调文字颜色 1 3 18 6 2 2" xfId="1835" xr:uid="{00000000-0005-0000-0000-000006020000}"/>
    <cellStyle name="20% - 强调文字颜色 1 3 18 6 2 3" xfId="1867" xr:uid="{00000000-0005-0000-0000-000007020000}"/>
    <cellStyle name="20% - 强调文字颜色 1 3 18 6 3" xfId="4079" xr:uid="{00000000-0005-0000-0000-000008020000}"/>
    <cellStyle name="20% - 强调文字颜色 1 3 18 6 4" xfId="4088" xr:uid="{00000000-0005-0000-0000-000009020000}"/>
    <cellStyle name="20% - 强调文字颜色 1 3 18 6 5" xfId="4094" xr:uid="{00000000-0005-0000-0000-00000A020000}"/>
    <cellStyle name="20% - 强调文字颜色 1 3 18 6 6" xfId="4096" xr:uid="{00000000-0005-0000-0000-00000B020000}"/>
    <cellStyle name="20% - 强调文字颜色 1 3 18 6 7" xfId="4098" xr:uid="{00000000-0005-0000-0000-00000C020000}"/>
    <cellStyle name="20% - 强调文字颜色 1 3 18 6 8" xfId="4101" xr:uid="{00000000-0005-0000-0000-00000D020000}"/>
    <cellStyle name="20% - 强调文字颜色 1 3 18 7" xfId="4106" xr:uid="{00000000-0005-0000-0000-00000E020000}"/>
    <cellStyle name="20% - 强调文字颜色 1 3 18 8" xfId="4109" xr:uid="{00000000-0005-0000-0000-00000F020000}"/>
    <cellStyle name="20% - 强调文字颜色 1 3 18 9" xfId="3751" xr:uid="{00000000-0005-0000-0000-000010020000}"/>
    <cellStyle name="20% - 强调文字颜色 1 3 18 9 2" xfId="3039" xr:uid="{00000000-0005-0000-0000-000011020000}"/>
    <cellStyle name="20% - 强调文字颜色 1 3 18 9 3" xfId="3053" xr:uid="{00000000-0005-0000-0000-000012020000}"/>
    <cellStyle name="20% - 强调文字颜色 1 3 19" xfId="4111" xr:uid="{00000000-0005-0000-0000-000013020000}"/>
    <cellStyle name="20% - 强调文字颜色 1 3 19 10" xfId="2893" xr:uid="{00000000-0005-0000-0000-000014020000}"/>
    <cellStyle name="20% - 强调文字颜色 1 3 19 11" xfId="2905" xr:uid="{00000000-0005-0000-0000-000015020000}"/>
    <cellStyle name="20% - 强调文字颜色 1 3 19 12" xfId="3462" xr:uid="{00000000-0005-0000-0000-000016020000}"/>
    <cellStyle name="20% - 强调文字颜色 1 3 19 13" xfId="3471" xr:uid="{00000000-0005-0000-0000-000017020000}"/>
    <cellStyle name="20% - 强调文字颜色 1 3 19 14" xfId="3480" xr:uid="{00000000-0005-0000-0000-000018020000}"/>
    <cellStyle name="20% - 强调文字颜色 1 3 19 2" xfId="4119" xr:uid="{00000000-0005-0000-0000-000019020000}"/>
    <cellStyle name="20% - 强调文字颜色 1 3 19 3" xfId="4127" xr:uid="{00000000-0005-0000-0000-00001A020000}"/>
    <cellStyle name="20% - 强调文字颜色 1 3 19 4" xfId="4135" xr:uid="{00000000-0005-0000-0000-00001B020000}"/>
    <cellStyle name="20% - 强调文字颜色 1 3 19 5" xfId="4148" xr:uid="{00000000-0005-0000-0000-00001C020000}"/>
    <cellStyle name="20% - 强调文字颜色 1 3 19 5 10" xfId="617" xr:uid="{00000000-0005-0000-0000-00001D020000}"/>
    <cellStyle name="20% - 强调文字颜色 1 3 19 5 11" xfId="649" xr:uid="{00000000-0005-0000-0000-00001E020000}"/>
    <cellStyle name="20% - 强调文字颜色 1 3 19 5 2" xfId="4149" xr:uid="{00000000-0005-0000-0000-00001F020000}"/>
    <cellStyle name="20% - 强调文字颜色 1 3 19 5 2 2" xfId="3805" xr:uid="{00000000-0005-0000-0000-000020020000}"/>
    <cellStyle name="20% - 强调文字颜色 1 3 19 5 2 2 2" xfId="3571" xr:uid="{00000000-0005-0000-0000-000021020000}"/>
    <cellStyle name="20% - 强调文字颜色 1 3 19 5 2 2 3" xfId="3827" xr:uid="{00000000-0005-0000-0000-000022020000}"/>
    <cellStyle name="20% - 强调文字颜色 1 3 19 5 2 3" xfId="3831" xr:uid="{00000000-0005-0000-0000-000023020000}"/>
    <cellStyle name="20% - 强调文字颜色 1 3 19 5 2 4" xfId="2694" xr:uid="{00000000-0005-0000-0000-000024020000}"/>
    <cellStyle name="20% - 强调文字颜色 1 3 19 5 2 5" xfId="1124" xr:uid="{00000000-0005-0000-0000-000025020000}"/>
    <cellStyle name="20% - 强调文字颜色 1 3 19 5 2 6" xfId="1146" xr:uid="{00000000-0005-0000-0000-000026020000}"/>
    <cellStyle name="20% - 强调文字颜色 1 3 19 5 2 7" xfId="2711" xr:uid="{00000000-0005-0000-0000-000027020000}"/>
    <cellStyle name="20% - 强调文字颜色 1 3 19 5 2 8" xfId="3107" xr:uid="{00000000-0005-0000-0000-000028020000}"/>
    <cellStyle name="20% - 强调文字颜色 1 3 19 5 3" xfId="4150" xr:uid="{00000000-0005-0000-0000-000029020000}"/>
    <cellStyle name="20% - 强调文字颜色 1 3 19 5 4" xfId="4156" xr:uid="{00000000-0005-0000-0000-00002A020000}"/>
    <cellStyle name="20% - 强调文字颜色 1 3 19 5 5" xfId="4161" xr:uid="{00000000-0005-0000-0000-00002B020000}"/>
    <cellStyle name="20% - 强调文字颜色 1 3 19 5 6" xfId="4165" xr:uid="{00000000-0005-0000-0000-00002C020000}"/>
    <cellStyle name="20% - 强调文字颜色 1 3 19 5 6 2" xfId="4174" xr:uid="{00000000-0005-0000-0000-00002D020000}"/>
    <cellStyle name="20% - 强调文字颜色 1 3 19 5 6 3" xfId="4184" xr:uid="{00000000-0005-0000-0000-00002E020000}"/>
    <cellStyle name="20% - 强调文字颜色 1 3 19 5 7" xfId="4189" xr:uid="{00000000-0005-0000-0000-00002F020000}"/>
    <cellStyle name="20% - 强调文字颜色 1 3 19 5 8" xfId="4196" xr:uid="{00000000-0005-0000-0000-000030020000}"/>
    <cellStyle name="20% - 强调文字颜色 1 3 19 5 9" xfId="4199" xr:uid="{00000000-0005-0000-0000-000031020000}"/>
    <cellStyle name="20% - 强调文字颜色 1 3 19 6" xfId="4218" xr:uid="{00000000-0005-0000-0000-000032020000}"/>
    <cellStyle name="20% - 强调文字颜色 1 3 19 6 2" xfId="4227" xr:uid="{00000000-0005-0000-0000-000033020000}"/>
    <cellStyle name="20% - 强调文字颜色 1 3 19 6 2 2" xfId="4052" xr:uid="{00000000-0005-0000-0000-000034020000}"/>
    <cellStyle name="20% - 强调文字颜色 1 3 19 6 2 3" xfId="4059" xr:uid="{00000000-0005-0000-0000-000035020000}"/>
    <cellStyle name="20% - 强调文字颜色 1 3 19 6 3" xfId="4232" xr:uid="{00000000-0005-0000-0000-000036020000}"/>
    <cellStyle name="20% - 强调文字颜色 1 3 19 6 4" xfId="2066" xr:uid="{00000000-0005-0000-0000-000037020000}"/>
    <cellStyle name="20% - 强调文字颜色 1 3 19 6 5" xfId="2093" xr:uid="{00000000-0005-0000-0000-000038020000}"/>
    <cellStyle name="20% - 强调文字颜色 1 3 19 6 6" xfId="4244" xr:uid="{00000000-0005-0000-0000-000039020000}"/>
    <cellStyle name="20% - 强调文字颜色 1 3 19 6 7" xfId="4254" xr:uid="{00000000-0005-0000-0000-00003A020000}"/>
    <cellStyle name="20% - 强调文字颜色 1 3 19 6 8" xfId="4262" xr:uid="{00000000-0005-0000-0000-00003B020000}"/>
    <cellStyle name="20% - 强调文字颜色 1 3 19 7" xfId="4276" xr:uid="{00000000-0005-0000-0000-00003C020000}"/>
    <cellStyle name="20% - 强调文字颜色 1 3 19 8" xfId="4288" xr:uid="{00000000-0005-0000-0000-00003D020000}"/>
    <cellStyle name="20% - 强调文字颜色 1 3 19 9" xfId="4300" xr:uid="{00000000-0005-0000-0000-00003E020000}"/>
    <cellStyle name="20% - 强调文字颜色 1 3 19 9 2" xfId="931" xr:uid="{00000000-0005-0000-0000-00003F020000}"/>
    <cellStyle name="20% - 强调文字颜色 1 3 19 9 3" xfId="969" xr:uid="{00000000-0005-0000-0000-000040020000}"/>
    <cellStyle name="20% - 强调文字颜色 1 3 2" xfId="4309" xr:uid="{00000000-0005-0000-0000-000041020000}"/>
    <cellStyle name="20% - 强调文字颜色 1 3 2 10" xfId="4312" xr:uid="{00000000-0005-0000-0000-000042020000}"/>
    <cellStyle name="20% - 强调文字颜色 1 3 2 11" xfId="4322" xr:uid="{00000000-0005-0000-0000-000043020000}"/>
    <cellStyle name="20% - 强调文字颜色 1 3 2 12" xfId="4331" xr:uid="{00000000-0005-0000-0000-000044020000}"/>
    <cellStyle name="20% - 强调文字颜色 1 3 2 13" xfId="482" xr:uid="{00000000-0005-0000-0000-000045020000}"/>
    <cellStyle name="20% - 强调文字颜色 1 3 2 14" xfId="4340" xr:uid="{00000000-0005-0000-0000-000046020000}"/>
    <cellStyle name="20% - 强调文字颜色 1 3 2 2" xfId="2909" xr:uid="{00000000-0005-0000-0000-000047020000}"/>
    <cellStyle name="20% - 强调文字颜色 1 3 2 3" xfId="4348" xr:uid="{00000000-0005-0000-0000-000048020000}"/>
    <cellStyle name="20% - 强调文字颜色 1 3 2 4" xfId="4350" xr:uid="{00000000-0005-0000-0000-000049020000}"/>
    <cellStyle name="20% - 强调文字颜色 1 3 2 5" xfId="4352" xr:uid="{00000000-0005-0000-0000-00004A020000}"/>
    <cellStyle name="20% - 强调文字颜色 1 3 2 6" xfId="4354" xr:uid="{00000000-0005-0000-0000-00004B020000}"/>
    <cellStyle name="20% - 强调文字颜色 1 3 2 7" xfId="4357" xr:uid="{00000000-0005-0000-0000-00004C020000}"/>
    <cellStyle name="20% - 强调文字颜色 1 3 2 8" xfId="4362" xr:uid="{00000000-0005-0000-0000-00004D020000}"/>
    <cellStyle name="20% - 强调文字颜色 1 3 2 9" xfId="4365" xr:uid="{00000000-0005-0000-0000-00004E020000}"/>
    <cellStyle name="20% - 强调文字颜色 1 3 20" xfId="3718" xr:uid="{00000000-0005-0000-0000-00004F020000}"/>
    <cellStyle name="20% - 强调文字颜色 1 3 20 10" xfId="4369" xr:uid="{00000000-0005-0000-0000-000050020000}"/>
    <cellStyle name="20% - 强调文字颜色 1 3 20 11" xfId="4373" xr:uid="{00000000-0005-0000-0000-000051020000}"/>
    <cellStyle name="20% - 强调文字颜色 1 3 20 12" xfId="4378" xr:uid="{00000000-0005-0000-0000-000052020000}"/>
    <cellStyle name="20% - 强调文字颜色 1 3 20 13" xfId="4392" xr:uid="{00000000-0005-0000-0000-000053020000}"/>
    <cellStyle name="20% - 强调文字颜色 1 3 20 14" xfId="4405" xr:uid="{00000000-0005-0000-0000-000054020000}"/>
    <cellStyle name="20% - 强调文字颜色 1 3 20 2" xfId="2704" xr:uid="{00000000-0005-0000-0000-000055020000}"/>
    <cellStyle name="20% - 强调文字颜色 1 3 20 3" xfId="3101" xr:uid="{00000000-0005-0000-0000-000056020000}"/>
    <cellStyle name="20% - 强调文字颜色 1 3 20 4" xfId="3133" xr:uid="{00000000-0005-0000-0000-000057020000}"/>
    <cellStyle name="20% - 强调文字颜色 1 3 20 5" xfId="3150" xr:uid="{00000000-0005-0000-0000-000058020000}"/>
    <cellStyle name="20% - 强调文字颜色 1 3 20 5 10" xfId="4412" xr:uid="{00000000-0005-0000-0000-000059020000}"/>
    <cellStyle name="20% - 强调文字颜色 1 3 20 5 11" xfId="4414" xr:uid="{00000000-0005-0000-0000-00005A020000}"/>
    <cellStyle name="20% - 强调文字颜色 1 3 20 5 2" xfId="4425" xr:uid="{00000000-0005-0000-0000-00005B020000}"/>
    <cellStyle name="20% - 强调文字颜色 1 3 20 5 2 2" xfId="4427" xr:uid="{00000000-0005-0000-0000-00005C020000}"/>
    <cellStyle name="20% - 强调文字颜色 1 3 20 5 2 2 2" xfId="4430" xr:uid="{00000000-0005-0000-0000-00005D020000}"/>
    <cellStyle name="20% - 强调文字颜色 1 3 20 5 2 2 3" xfId="2913" xr:uid="{00000000-0005-0000-0000-00005E020000}"/>
    <cellStyle name="20% - 强调文字颜色 1 3 20 5 2 3" xfId="4444" xr:uid="{00000000-0005-0000-0000-00005F020000}"/>
    <cellStyle name="20% - 强调文字颜色 1 3 20 5 2 4" xfId="4461" xr:uid="{00000000-0005-0000-0000-000060020000}"/>
    <cellStyle name="20% - 强调文字颜色 1 3 20 5 2 5" xfId="4476" xr:uid="{00000000-0005-0000-0000-000061020000}"/>
    <cellStyle name="20% - 强调文字颜色 1 3 20 5 2 6" xfId="4488" xr:uid="{00000000-0005-0000-0000-000062020000}"/>
    <cellStyle name="20% - 强调文字颜色 1 3 20 5 2 7" xfId="4502" xr:uid="{00000000-0005-0000-0000-000063020000}"/>
    <cellStyle name="20% - 强调文字颜色 1 3 20 5 2 8" xfId="4512" xr:uid="{00000000-0005-0000-0000-000064020000}"/>
    <cellStyle name="20% - 强调文字颜色 1 3 20 5 3" xfId="4519" xr:uid="{00000000-0005-0000-0000-000065020000}"/>
    <cellStyle name="20% - 强调文字颜色 1 3 20 5 4" xfId="4521" xr:uid="{00000000-0005-0000-0000-000066020000}"/>
    <cellStyle name="20% - 强调文字颜色 1 3 20 5 5" xfId="4536" xr:uid="{00000000-0005-0000-0000-000067020000}"/>
    <cellStyle name="20% - 强调文字颜色 1 3 20 5 6" xfId="4549" xr:uid="{00000000-0005-0000-0000-000068020000}"/>
    <cellStyle name="20% - 强调文字颜色 1 3 20 5 6 2" xfId="4564" xr:uid="{00000000-0005-0000-0000-000069020000}"/>
    <cellStyle name="20% - 强调文字颜色 1 3 20 5 6 3" xfId="4589" xr:uid="{00000000-0005-0000-0000-00006A020000}"/>
    <cellStyle name="20% - 强调文字颜色 1 3 20 5 7" xfId="4602" xr:uid="{00000000-0005-0000-0000-00006B020000}"/>
    <cellStyle name="20% - 强调文字颜色 1 3 20 5 8" xfId="4610" xr:uid="{00000000-0005-0000-0000-00006C020000}"/>
    <cellStyle name="20% - 强调文字颜色 1 3 20 5 9" xfId="401" xr:uid="{00000000-0005-0000-0000-00006D020000}"/>
    <cellStyle name="20% - 强调文字颜色 1 3 20 6" xfId="3162" xr:uid="{00000000-0005-0000-0000-00006E020000}"/>
    <cellStyle name="20% - 强调文字颜色 1 3 20 6 2" xfId="1284" xr:uid="{00000000-0005-0000-0000-00006F020000}"/>
    <cellStyle name="20% - 强调文字颜色 1 3 20 6 2 2" xfId="4613" xr:uid="{00000000-0005-0000-0000-000070020000}"/>
    <cellStyle name="20% - 强调文字颜色 1 3 20 6 2 3" xfId="4621" xr:uid="{00000000-0005-0000-0000-000071020000}"/>
    <cellStyle name="20% - 强调文字颜色 1 3 20 6 3" xfId="1295" xr:uid="{00000000-0005-0000-0000-000072020000}"/>
    <cellStyle name="20% - 强调文字颜色 1 3 20 6 4" xfId="1306" xr:uid="{00000000-0005-0000-0000-000073020000}"/>
    <cellStyle name="20% - 强调文字颜色 1 3 20 6 5" xfId="1878" xr:uid="{00000000-0005-0000-0000-000074020000}"/>
    <cellStyle name="20% - 强调文字颜色 1 3 20 6 6" xfId="2337" xr:uid="{00000000-0005-0000-0000-000075020000}"/>
    <cellStyle name="20% - 强调文字颜色 1 3 20 6 7" xfId="2787" xr:uid="{00000000-0005-0000-0000-000076020000}"/>
    <cellStyle name="20% - 强调文字颜色 1 3 20 6 8" xfId="4636" xr:uid="{00000000-0005-0000-0000-000077020000}"/>
    <cellStyle name="20% - 强调文字颜色 1 3 20 7" xfId="4637" xr:uid="{00000000-0005-0000-0000-000078020000}"/>
    <cellStyle name="20% - 强调文字颜色 1 3 20 8" xfId="4640" xr:uid="{00000000-0005-0000-0000-000079020000}"/>
    <cellStyle name="20% - 强调文字颜色 1 3 20 9" xfId="4643" xr:uid="{00000000-0005-0000-0000-00007A020000}"/>
    <cellStyle name="20% - 强调文字颜色 1 3 20 9 2" xfId="3406" xr:uid="{00000000-0005-0000-0000-00007B020000}"/>
    <cellStyle name="20% - 强调文字颜色 1 3 20 9 3" xfId="1444" xr:uid="{00000000-0005-0000-0000-00007C020000}"/>
    <cellStyle name="20% - 强调文字颜色 1 3 3" xfId="4568" xr:uid="{00000000-0005-0000-0000-00007D020000}"/>
    <cellStyle name="20% - 强调文字颜色 1 3 3 10" xfId="1043" xr:uid="{00000000-0005-0000-0000-00007E020000}"/>
    <cellStyle name="20% - 强调文字颜色 1 3 3 11" xfId="1063" xr:uid="{00000000-0005-0000-0000-00007F020000}"/>
    <cellStyle name="20% - 强调文字颜色 1 3 3 12" xfId="1086" xr:uid="{00000000-0005-0000-0000-000080020000}"/>
    <cellStyle name="20% - 强调文字颜色 1 3 3 13" xfId="4650" xr:uid="{00000000-0005-0000-0000-000081020000}"/>
    <cellStyle name="20% - 强调文字颜色 1 3 3 14" xfId="4658" xr:uid="{00000000-0005-0000-0000-000082020000}"/>
    <cellStyle name="20% - 强调文字颜色 1 3 3 2" xfId="4663" xr:uid="{00000000-0005-0000-0000-000083020000}"/>
    <cellStyle name="20% - 强调文字颜色 1 3 3 3" xfId="4668" xr:uid="{00000000-0005-0000-0000-000084020000}"/>
    <cellStyle name="20% - 强调文字颜色 1 3 3 4" xfId="4671" xr:uid="{00000000-0005-0000-0000-000085020000}"/>
    <cellStyle name="20% - 强调文字颜色 1 3 3 5" xfId="4675" xr:uid="{00000000-0005-0000-0000-000086020000}"/>
    <cellStyle name="20% - 强调文字颜色 1 3 3 6" xfId="4679" xr:uid="{00000000-0005-0000-0000-000087020000}"/>
    <cellStyle name="20% - 强调文字颜色 1 3 3 7" xfId="4685" xr:uid="{00000000-0005-0000-0000-000088020000}"/>
    <cellStyle name="20% - 强调文字颜色 1 3 3 8" xfId="4691" xr:uid="{00000000-0005-0000-0000-000089020000}"/>
    <cellStyle name="20% - 强调文字颜色 1 3 3 9" xfId="4696" xr:uid="{00000000-0005-0000-0000-00008A020000}"/>
    <cellStyle name="20% - 强调文字颜色 1 3 4" xfId="4594" xr:uid="{00000000-0005-0000-0000-00008B020000}"/>
    <cellStyle name="20% - 强调文字颜色 1 3 4 10" xfId="4705" xr:uid="{00000000-0005-0000-0000-00008C020000}"/>
    <cellStyle name="20% - 强调文字颜色 1 3 4 11" xfId="4717" xr:uid="{00000000-0005-0000-0000-00008D020000}"/>
    <cellStyle name="20% - 强调文字颜色 1 3 4 12" xfId="4723" xr:uid="{00000000-0005-0000-0000-00008E020000}"/>
    <cellStyle name="20% - 强调文字颜色 1 3 4 13" xfId="4730" xr:uid="{00000000-0005-0000-0000-00008F020000}"/>
    <cellStyle name="20% - 强调文字颜色 1 3 4 14" xfId="4739" xr:uid="{00000000-0005-0000-0000-000090020000}"/>
    <cellStyle name="20% - 强调文字颜色 1 3 4 2" xfId="810" xr:uid="{00000000-0005-0000-0000-000091020000}"/>
    <cellStyle name="20% - 强调文字颜色 1 3 4 3" xfId="380" xr:uid="{00000000-0005-0000-0000-000092020000}"/>
    <cellStyle name="20% - 强调文字颜色 1 3 4 4" xfId="4746" xr:uid="{00000000-0005-0000-0000-000093020000}"/>
    <cellStyle name="20% - 强调文字颜色 1 3 4 5" xfId="4748" xr:uid="{00000000-0005-0000-0000-000094020000}"/>
    <cellStyle name="20% - 强调文字颜色 1 3 4 6" xfId="4751" xr:uid="{00000000-0005-0000-0000-000095020000}"/>
    <cellStyle name="20% - 强调文字颜色 1 3 4 7" xfId="4754" xr:uid="{00000000-0005-0000-0000-000096020000}"/>
    <cellStyle name="20% - 强调文字颜色 1 3 4 8" xfId="4755" xr:uid="{00000000-0005-0000-0000-000097020000}"/>
    <cellStyle name="20% - 强调文字颜色 1 3 4 9" xfId="4756" xr:uid="{00000000-0005-0000-0000-000098020000}"/>
    <cellStyle name="20% - 强调文字颜色 1 3 5" xfId="4764" xr:uid="{00000000-0005-0000-0000-000099020000}"/>
    <cellStyle name="20% - 强调文字颜色 1 3 6" xfId="4776" xr:uid="{00000000-0005-0000-0000-00009A020000}"/>
    <cellStyle name="20% - 强调文字颜色 1 3 7" xfId="4783" xr:uid="{00000000-0005-0000-0000-00009B020000}"/>
    <cellStyle name="20% - 强调文字颜色 1 3 8" xfId="4790" xr:uid="{00000000-0005-0000-0000-00009C020000}"/>
    <cellStyle name="20% - 强调文字颜色 1 3 9" xfId="4796" xr:uid="{00000000-0005-0000-0000-00009D020000}"/>
    <cellStyle name="20% - 强调文字颜色 1 4" xfId="792" xr:uid="{00000000-0005-0000-0000-00009E020000}"/>
    <cellStyle name="20% - 强调文字颜色 1 4 10" xfId="3612" xr:uid="{00000000-0005-0000-0000-00009F020000}"/>
    <cellStyle name="20% - 强调文字颜色 1 4 11" xfId="3617" xr:uid="{00000000-0005-0000-0000-0000A0020000}"/>
    <cellStyle name="20% - 强调文字颜色 1 4 12" xfId="3627" xr:uid="{00000000-0005-0000-0000-0000A1020000}"/>
    <cellStyle name="20% - 强调文字颜色 1 4 13" xfId="318" xr:uid="{00000000-0005-0000-0000-0000A2020000}"/>
    <cellStyle name="20% - 强调文字颜色 1 4 14" xfId="1704" xr:uid="{00000000-0005-0000-0000-0000A3020000}"/>
    <cellStyle name="20% - 强调文字颜色 1 4 15" xfId="1730" xr:uid="{00000000-0005-0000-0000-0000A4020000}"/>
    <cellStyle name="20% - 强调文字颜色 1 4 16" xfId="4799" xr:uid="{00000000-0005-0000-0000-0000A5020000}"/>
    <cellStyle name="20% - 强调文字颜色 1 4 17" xfId="4809" xr:uid="{00000000-0005-0000-0000-0000A6020000}"/>
    <cellStyle name="20% - 强调文字颜色 1 4 17 10" xfId="4078" xr:uid="{00000000-0005-0000-0000-0000A7020000}"/>
    <cellStyle name="20% - 强调文字颜色 1 4 17 11" xfId="4084" xr:uid="{00000000-0005-0000-0000-0000A8020000}"/>
    <cellStyle name="20% - 强调文字颜色 1 4 17 12" xfId="4093" xr:uid="{00000000-0005-0000-0000-0000A9020000}"/>
    <cellStyle name="20% - 强调文字颜色 1 4 17 13" xfId="4095" xr:uid="{00000000-0005-0000-0000-0000AA020000}"/>
    <cellStyle name="20% - 强调文字颜色 1 4 17 14" xfId="4099" xr:uid="{00000000-0005-0000-0000-0000AB020000}"/>
    <cellStyle name="20% - 强调文字颜色 1 4 17 2" xfId="4142" xr:uid="{00000000-0005-0000-0000-0000AC020000}"/>
    <cellStyle name="20% - 强调文字颜色 1 4 17 3" xfId="4210" xr:uid="{00000000-0005-0000-0000-0000AD020000}"/>
    <cellStyle name="20% - 强调文字颜色 1 4 17 4" xfId="4270" xr:uid="{00000000-0005-0000-0000-0000AE020000}"/>
    <cellStyle name="20% - 强调文字颜色 1 4 17 5" xfId="4280" xr:uid="{00000000-0005-0000-0000-0000AF020000}"/>
    <cellStyle name="20% - 强调文字颜色 1 4 17 5 10" xfId="4818" xr:uid="{00000000-0005-0000-0000-0000B0020000}"/>
    <cellStyle name="20% - 强调文字颜色 1 4 17 5 11" xfId="4822" xr:uid="{00000000-0005-0000-0000-0000B1020000}"/>
    <cellStyle name="20% - 强调文字颜色 1 4 17 5 2" xfId="2796" xr:uid="{00000000-0005-0000-0000-0000B2020000}"/>
    <cellStyle name="20% - 强调文字颜色 1 4 17 5 2 2" xfId="4825" xr:uid="{00000000-0005-0000-0000-0000B3020000}"/>
    <cellStyle name="20% - 强调文字颜色 1 4 17 5 2 2 2" xfId="4841" xr:uid="{00000000-0005-0000-0000-0000B4020000}"/>
    <cellStyle name="20% - 强调文字颜色 1 4 17 5 2 2 3" xfId="4845" xr:uid="{00000000-0005-0000-0000-0000B5020000}"/>
    <cellStyle name="20% - 强调文字颜色 1 4 17 5 2 3" xfId="4847" xr:uid="{00000000-0005-0000-0000-0000B6020000}"/>
    <cellStyle name="20% - 强调文字颜色 1 4 17 5 2 4" xfId="4860" xr:uid="{00000000-0005-0000-0000-0000B7020000}"/>
    <cellStyle name="20% - 强调文字颜色 1 4 17 5 2 5" xfId="4866" xr:uid="{00000000-0005-0000-0000-0000B8020000}"/>
    <cellStyle name="20% - 强调文字颜色 1 4 17 5 2 6" xfId="4871" xr:uid="{00000000-0005-0000-0000-0000B9020000}"/>
    <cellStyle name="20% - 强调文字颜色 1 4 17 5 2 7" xfId="4877" xr:uid="{00000000-0005-0000-0000-0000BA020000}"/>
    <cellStyle name="20% - 强调文字颜色 1 4 17 5 2 8" xfId="1103" xr:uid="{00000000-0005-0000-0000-0000BB020000}"/>
    <cellStyle name="20% - 强调文字颜色 1 4 17 5 3" xfId="2803" xr:uid="{00000000-0005-0000-0000-0000BC020000}"/>
    <cellStyle name="20% - 强调文字颜色 1 4 17 5 4" xfId="2809" xr:uid="{00000000-0005-0000-0000-0000BD020000}"/>
    <cellStyle name="20% - 强调文字颜色 1 4 17 5 5" xfId="2816" xr:uid="{00000000-0005-0000-0000-0000BE020000}"/>
    <cellStyle name="20% - 强调文字颜色 1 4 17 5 6" xfId="2824" xr:uid="{00000000-0005-0000-0000-0000BF020000}"/>
    <cellStyle name="20% - 强调文字颜色 1 4 17 5 6 2" xfId="235" xr:uid="{00000000-0005-0000-0000-0000C0020000}"/>
    <cellStyle name="20% - 强调文字颜色 1 4 17 5 6 3" xfId="1531" xr:uid="{00000000-0005-0000-0000-0000C1020000}"/>
    <cellStyle name="20% - 强调文字颜色 1 4 17 5 7" xfId="2828" xr:uid="{00000000-0005-0000-0000-0000C2020000}"/>
    <cellStyle name="20% - 强调文字颜色 1 4 17 5 8" xfId="682" xr:uid="{00000000-0005-0000-0000-0000C3020000}"/>
    <cellStyle name="20% - 强调文字颜色 1 4 17 5 9" xfId="714" xr:uid="{00000000-0005-0000-0000-0000C4020000}"/>
    <cellStyle name="20% - 强调文字颜色 1 4 17 6" xfId="4297" xr:uid="{00000000-0005-0000-0000-0000C5020000}"/>
    <cellStyle name="20% - 强调文字颜色 1 4 17 6 2" xfId="951" xr:uid="{00000000-0005-0000-0000-0000C6020000}"/>
    <cellStyle name="20% - 强调文字颜色 1 4 17 6 2 2" xfId="4886" xr:uid="{00000000-0005-0000-0000-0000C7020000}"/>
    <cellStyle name="20% - 强调文字颜色 1 4 17 6 2 3" xfId="4890" xr:uid="{00000000-0005-0000-0000-0000C8020000}"/>
    <cellStyle name="20% - 强调文字颜色 1 4 17 6 3" xfId="987" xr:uid="{00000000-0005-0000-0000-0000C9020000}"/>
    <cellStyle name="20% - 强调文字颜色 1 4 17 6 4" xfId="1009" xr:uid="{00000000-0005-0000-0000-0000CA020000}"/>
    <cellStyle name="20% - 强调文字颜色 1 4 17 6 5" xfId="1042" xr:uid="{00000000-0005-0000-0000-0000CB020000}"/>
    <cellStyle name="20% - 强调文字颜色 1 4 17 6 6" xfId="1062" xr:uid="{00000000-0005-0000-0000-0000CC020000}"/>
    <cellStyle name="20% - 强调文字颜色 1 4 17 6 7" xfId="1085" xr:uid="{00000000-0005-0000-0000-0000CD020000}"/>
    <cellStyle name="20% - 强调文字颜色 1 4 17 6 8" xfId="4898" xr:uid="{00000000-0005-0000-0000-0000CE020000}"/>
    <cellStyle name="20% - 强调文字颜色 1 4 17 7" xfId="3955" xr:uid="{00000000-0005-0000-0000-0000CF020000}"/>
    <cellStyle name="20% - 强调文字颜色 1 4 17 8" xfId="3974" xr:uid="{00000000-0005-0000-0000-0000D0020000}"/>
    <cellStyle name="20% - 强调文字颜色 1 4 17 9" xfId="4901" xr:uid="{00000000-0005-0000-0000-0000D1020000}"/>
    <cellStyle name="20% - 强调文字颜色 1 4 17 9 2" xfId="4924" xr:uid="{00000000-0005-0000-0000-0000D2020000}"/>
    <cellStyle name="20% - 强调文字颜色 1 4 17 9 3" xfId="4930" xr:uid="{00000000-0005-0000-0000-0000D3020000}"/>
    <cellStyle name="20% - 强调文字颜色 1 4 18" xfId="4940" xr:uid="{00000000-0005-0000-0000-0000D4020000}"/>
    <cellStyle name="20% - 强调文字颜色 1 4 18 10" xfId="4941" xr:uid="{00000000-0005-0000-0000-0000D5020000}"/>
    <cellStyle name="20% - 强调文字颜色 1 4 18 11" xfId="4943" xr:uid="{00000000-0005-0000-0000-0000D6020000}"/>
    <cellStyle name="20% - 强调文字颜色 1 4 18 12" xfId="4945" xr:uid="{00000000-0005-0000-0000-0000D7020000}"/>
    <cellStyle name="20% - 强调文字颜色 1 4 18 13" xfId="4948" xr:uid="{00000000-0005-0000-0000-0000D8020000}"/>
    <cellStyle name="20% - 强调文字颜色 1 4 18 14" xfId="4953" xr:uid="{00000000-0005-0000-0000-0000D9020000}"/>
    <cellStyle name="20% - 强调文字颜色 1 4 18 2" xfId="4374" xr:uid="{00000000-0005-0000-0000-0000DA020000}"/>
    <cellStyle name="20% - 强调文字颜色 1 4 18 3" xfId="4385" xr:uid="{00000000-0005-0000-0000-0000DB020000}"/>
    <cellStyle name="20% - 强调文字颜色 1 4 18 4" xfId="4399" xr:uid="{00000000-0005-0000-0000-0000DC020000}"/>
    <cellStyle name="20% - 强调文字颜色 1 4 18 5" xfId="4410" xr:uid="{00000000-0005-0000-0000-0000DD020000}"/>
    <cellStyle name="20% - 强调文字颜色 1 4 18 5 10" xfId="3935" xr:uid="{00000000-0005-0000-0000-0000DE020000}"/>
    <cellStyle name="20% - 强调文字颜色 1 4 18 5 11" xfId="4018" xr:uid="{00000000-0005-0000-0000-0000DF020000}"/>
    <cellStyle name="20% - 强调文字颜色 1 4 18 5 2" xfId="4954" xr:uid="{00000000-0005-0000-0000-0000E0020000}"/>
    <cellStyle name="20% - 强调文字颜色 1 4 18 5 2 2" xfId="4967" xr:uid="{00000000-0005-0000-0000-0000E1020000}"/>
    <cellStyle name="20% - 强调文字颜色 1 4 18 5 2 2 2" xfId="4968" xr:uid="{00000000-0005-0000-0000-0000E2020000}"/>
    <cellStyle name="20% - 强调文字颜色 1 4 18 5 2 2 3" xfId="4974" xr:uid="{00000000-0005-0000-0000-0000E3020000}"/>
    <cellStyle name="20% - 强调文字颜色 1 4 18 5 2 3" xfId="4986" xr:uid="{00000000-0005-0000-0000-0000E4020000}"/>
    <cellStyle name="20% - 强调文字颜色 1 4 18 5 2 4" xfId="4994" xr:uid="{00000000-0005-0000-0000-0000E5020000}"/>
    <cellStyle name="20% - 强调文字颜色 1 4 18 5 2 5" xfId="3844" xr:uid="{00000000-0005-0000-0000-0000E6020000}"/>
    <cellStyle name="20% - 强调文字颜色 1 4 18 5 2 6" xfId="3858" xr:uid="{00000000-0005-0000-0000-0000E7020000}"/>
    <cellStyle name="20% - 强调文字颜色 1 4 18 5 2 7" xfId="3893" xr:uid="{00000000-0005-0000-0000-0000E8020000}"/>
    <cellStyle name="20% - 强调文字颜色 1 4 18 5 2 8" xfId="4997" xr:uid="{00000000-0005-0000-0000-0000E9020000}"/>
    <cellStyle name="20% - 强调文字颜色 1 4 18 5 3" xfId="5000" xr:uid="{00000000-0005-0000-0000-0000EA020000}"/>
    <cellStyle name="20% - 强调文字颜色 1 4 18 5 4" xfId="5001" xr:uid="{00000000-0005-0000-0000-0000EB020000}"/>
    <cellStyle name="20% - 强调文字颜色 1 4 18 5 5" xfId="5004" xr:uid="{00000000-0005-0000-0000-0000EC020000}"/>
    <cellStyle name="20% - 强调文字颜色 1 4 18 5 6" xfId="5008" xr:uid="{00000000-0005-0000-0000-0000ED020000}"/>
    <cellStyle name="20% - 强调文字颜色 1 4 18 5 6 2" xfId="597" xr:uid="{00000000-0005-0000-0000-0000EE020000}"/>
    <cellStyle name="20% - 强调文字颜色 1 4 18 5 6 3" xfId="613" xr:uid="{00000000-0005-0000-0000-0000EF020000}"/>
    <cellStyle name="20% - 强调文字颜色 1 4 18 5 7" xfId="5009" xr:uid="{00000000-0005-0000-0000-0000F0020000}"/>
    <cellStyle name="20% - 强调文字颜色 1 4 18 5 8" xfId="5010" xr:uid="{00000000-0005-0000-0000-0000F1020000}"/>
    <cellStyle name="20% - 强调文字颜色 1 4 18 5 9" xfId="5012" xr:uid="{00000000-0005-0000-0000-0000F2020000}"/>
    <cellStyle name="20% - 强调文字颜色 1 4 18 6" xfId="2921" xr:uid="{00000000-0005-0000-0000-0000F3020000}"/>
    <cellStyle name="20% - 强调文字颜色 1 4 18 6 2" xfId="2941" xr:uid="{00000000-0005-0000-0000-0000F4020000}"/>
    <cellStyle name="20% - 强调文字颜色 1 4 18 6 2 2" xfId="5014" xr:uid="{00000000-0005-0000-0000-0000F5020000}"/>
    <cellStyle name="20% - 强调文字颜色 1 4 18 6 2 3" xfId="4429" xr:uid="{00000000-0005-0000-0000-0000F6020000}"/>
    <cellStyle name="20% - 强调文字颜色 1 4 18 6 3" xfId="2021" xr:uid="{00000000-0005-0000-0000-0000F7020000}"/>
    <cellStyle name="20% - 强调文字颜色 1 4 18 6 4" xfId="2033" xr:uid="{00000000-0005-0000-0000-0000F8020000}"/>
    <cellStyle name="20% - 强调文字颜色 1 4 18 6 5" xfId="1487" xr:uid="{00000000-0005-0000-0000-0000F9020000}"/>
    <cellStyle name="20% - 强调文字颜色 1 4 18 6 6" xfId="230" xr:uid="{00000000-0005-0000-0000-0000FA020000}"/>
    <cellStyle name="20% - 强调文字颜色 1 4 18 6 7" xfId="1525" xr:uid="{00000000-0005-0000-0000-0000FB020000}"/>
    <cellStyle name="20% - 强调文字颜色 1 4 18 6 8" xfId="1535" xr:uid="{00000000-0005-0000-0000-0000FC020000}"/>
    <cellStyle name="20% - 强调文字颜色 1 4 18 7" xfId="2947" xr:uid="{00000000-0005-0000-0000-0000FD020000}"/>
    <cellStyle name="20% - 强调文字颜色 1 4 18 8" xfId="2964" xr:uid="{00000000-0005-0000-0000-0000FE020000}"/>
    <cellStyle name="20% - 强调文字颜色 1 4 18 9" xfId="2987" xr:uid="{00000000-0005-0000-0000-0000FF020000}"/>
    <cellStyle name="20% - 强调文字颜色 1 4 18 9 2" xfId="3790" xr:uid="{00000000-0005-0000-0000-000000030000}"/>
    <cellStyle name="20% - 强调文字颜色 1 4 18 9 3" xfId="3803" xr:uid="{00000000-0005-0000-0000-000001030000}"/>
    <cellStyle name="20% - 强调文字颜色 1 4 19" xfId="2566" xr:uid="{00000000-0005-0000-0000-000002030000}"/>
    <cellStyle name="20% - 强调文字颜色 1 4 19 10" xfId="5016" xr:uid="{00000000-0005-0000-0000-000003030000}"/>
    <cellStyle name="20% - 强调文字颜色 1 4 19 11" xfId="5018" xr:uid="{00000000-0005-0000-0000-000004030000}"/>
    <cellStyle name="20% - 强调文字颜色 1 4 19 12" xfId="5020" xr:uid="{00000000-0005-0000-0000-000005030000}"/>
    <cellStyle name="20% - 强调文字颜色 1 4 19 13" xfId="5021" xr:uid="{00000000-0005-0000-0000-000006030000}"/>
    <cellStyle name="20% - 强调文字颜色 1 4 19 14" xfId="5024" xr:uid="{00000000-0005-0000-0000-000007030000}"/>
    <cellStyle name="20% - 强调文字颜色 1 4 19 2" xfId="5036" xr:uid="{00000000-0005-0000-0000-000008030000}"/>
    <cellStyle name="20% - 强调文字颜色 1 4 19 3" xfId="5044" xr:uid="{00000000-0005-0000-0000-000009030000}"/>
    <cellStyle name="20% - 强调文字颜色 1 4 19 4" xfId="5049" xr:uid="{00000000-0005-0000-0000-00000A030000}"/>
    <cellStyle name="20% - 强调文字颜色 1 4 19 5" xfId="5050" xr:uid="{00000000-0005-0000-0000-00000B030000}"/>
    <cellStyle name="20% - 强调文字颜色 1 4 19 5 10" xfId="301" xr:uid="{00000000-0005-0000-0000-00000C030000}"/>
    <cellStyle name="20% - 强调文字颜色 1 4 19 5 11" xfId="5058" xr:uid="{00000000-0005-0000-0000-00000D030000}"/>
    <cellStyle name="20% - 强调文字颜色 1 4 19 5 2" xfId="3376" xr:uid="{00000000-0005-0000-0000-00000E030000}"/>
    <cellStyle name="20% - 强调文字颜色 1 4 19 5 2 2" xfId="1892" xr:uid="{00000000-0005-0000-0000-00000F030000}"/>
    <cellStyle name="20% - 强调文字颜色 1 4 19 5 2 2 2" xfId="674" xr:uid="{00000000-0005-0000-0000-000010030000}"/>
    <cellStyle name="20% - 强调文字颜色 1 4 19 5 2 2 3" xfId="705" xr:uid="{00000000-0005-0000-0000-000011030000}"/>
    <cellStyle name="20% - 强调文字颜色 1 4 19 5 2 3" xfId="1915" xr:uid="{00000000-0005-0000-0000-000012030000}"/>
    <cellStyle name="20% - 强调文字颜色 1 4 19 5 2 4" xfId="1940" xr:uid="{00000000-0005-0000-0000-000013030000}"/>
    <cellStyle name="20% - 强调文字颜色 1 4 19 5 2 5" xfId="1829" xr:uid="{00000000-0005-0000-0000-000014030000}"/>
    <cellStyle name="20% - 强调文字颜色 1 4 19 5 2 6" xfId="1860" xr:uid="{00000000-0005-0000-0000-000015030000}"/>
    <cellStyle name="20% - 强调文字颜色 1 4 19 5 2 7" xfId="5060" xr:uid="{00000000-0005-0000-0000-000016030000}"/>
    <cellStyle name="20% - 强调文字颜色 1 4 19 5 2 8" xfId="5069" xr:uid="{00000000-0005-0000-0000-000017030000}"/>
    <cellStyle name="20% - 强调文字颜色 1 4 19 5 3" xfId="3383" xr:uid="{00000000-0005-0000-0000-000018030000}"/>
    <cellStyle name="20% - 强调文字颜色 1 4 19 5 4" xfId="3391" xr:uid="{00000000-0005-0000-0000-000019030000}"/>
    <cellStyle name="20% - 强调文字颜色 1 4 19 5 5" xfId="3396" xr:uid="{00000000-0005-0000-0000-00001A030000}"/>
    <cellStyle name="20% - 强调文字颜色 1 4 19 5 6" xfId="504" xr:uid="{00000000-0005-0000-0000-00001B030000}"/>
    <cellStyle name="20% - 强调文字颜色 1 4 19 5 6 2" xfId="2453" xr:uid="{00000000-0005-0000-0000-00001C030000}"/>
    <cellStyle name="20% - 强调文字颜色 1 4 19 5 6 3" xfId="2469" xr:uid="{00000000-0005-0000-0000-00001D030000}"/>
    <cellStyle name="20% - 强调文字颜色 1 4 19 5 7" xfId="5079" xr:uid="{00000000-0005-0000-0000-00001E030000}"/>
    <cellStyle name="20% - 强调文字颜色 1 4 19 5 8" xfId="5081" xr:uid="{00000000-0005-0000-0000-00001F030000}"/>
    <cellStyle name="20% - 强调文字颜色 1 4 19 5 9" xfId="5085" xr:uid="{00000000-0005-0000-0000-000020030000}"/>
    <cellStyle name="20% - 强调文字颜色 1 4 19 6" xfId="5091" xr:uid="{00000000-0005-0000-0000-000021030000}"/>
    <cellStyle name="20% - 强调文字颜色 1 4 19 6 2" xfId="3613" xr:uid="{00000000-0005-0000-0000-000022030000}"/>
    <cellStyle name="20% - 强调文字颜色 1 4 19 6 2 2" xfId="3547" xr:uid="{00000000-0005-0000-0000-000023030000}"/>
    <cellStyle name="20% - 强调文字颜色 1 4 19 6 2 3" xfId="3553" xr:uid="{00000000-0005-0000-0000-000024030000}"/>
    <cellStyle name="20% - 强调文字颜色 1 4 19 6 3" xfId="3621" xr:uid="{00000000-0005-0000-0000-000025030000}"/>
    <cellStyle name="20% - 强调文字颜色 1 4 19 6 4" xfId="313" xr:uid="{00000000-0005-0000-0000-000026030000}"/>
    <cellStyle name="20% - 强调文字颜色 1 4 19 6 5" xfId="1699" xr:uid="{00000000-0005-0000-0000-000027030000}"/>
    <cellStyle name="20% - 强调文字颜色 1 4 19 6 6" xfId="1724" xr:uid="{00000000-0005-0000-0000-000028030000}"/>
    <cellStyle name="20% - 强调文字颜色 1 4 19 6 7" xfId="4801" xr:uid="{00000000-0005-0000-0000-000029030000}"/>
    <cellStyle name="20% - 强调文字颜色 1 4 19 6 8" xfId="4813" xr:uid="{00000000-0005-0000-0000-00002A030000}"/>
    <cellStyle name="20% - 强调文字颜色 1 4 19 7" xfId="5093" xr:uid="{00000000-0005-0000-0000-00002B030000}"/>
    <cellStyle name="20% - 强调文字颜色 1 4 19 8" xfId="5095" xr:uid="{00000000-0005-0000-0000-00002C030000}"/>
    <cellStyle name="20% - 强调文字颜色 1 4 19 9" xfId="5101" xr:uid="{00000000-0005-0000-0000-00002D030000}"/>
    <cellStyle name="20% - 强调文字颜色 1 4 19 9 2" xfId="4026" xr:uid="{00000000-0005-0000-0000-00002E030000}"/>
    <cellStyle name="20% - 强调文字颜色 1 4 19 9 3" xfId="4037" xr:uid="{00000000-0005-0000-0000-00002F030000}"/>
    <cellStyle name="20% - 强调文字颜色 1 4 2" xfId="3759" xr:uid="{00000000-0005-0000-0000-000030030000}"/>
    <cellStyle name="20% - 强调文字颜色 1 4 20" xfId="1729" xr:uid="{00000000-0005-0000-0000-000031030000}"/>
    <cellStyle name="20% - 强调文字颜色 1 4 20 10" xfId="4928" xr:uid="{00000000-0005-0000-0000-000032030000}"/>
    <cellStyle name="20% - 强调文字颜色 1 4 20 11" xfId="4934" xr:uid="{00000000-0005-0000-0000-000033030000}"/>
    <cellStyle name="20% - 强调文字颜色 1 4 20 12" xfId="5104" xr:uid="{00000000-0005-0000-0000-000034030000}"/>
    <cellStyle name="20% - 强调文字颜色 1 4 20 13" xfId="5110" xr:uid="{00000000-0005-0000-0000-000035030000}"/>
    <cellStyle name="20% - 强调文字颜色 1 4 20 14" xfId="5118" xr:uid="{00000000-0005-0000-0000-000036030000}"/>
    <cellStyle name="20% - 强调文字颜色 1 4 20 2" xfId="2660" xr:uid="{00000000-0005-0000-0000-000037030000}"/>
    <cellStyle name="20% - 强调文字颜色 1 4 20 3" xfId="3278" xr:uid="{00000000-0005-0000-0000-000038030000}"/>
    <cellStyle name="20% - 强调文字颜色 1 4 20 4" xfId="3870" xr:uid="{00000000-0005-0000-0000-000039030000}"/>
    <cellStyle name="20% - 强调文字颜色 1 4 20 5" xfId="3878" xr:uid="{00000000-0005-0000-0000-00003A030000}"/>
    <cellStyle name="20% - 强调文字颜色 1 4 20 5 10" xfId="2530" xr:uid="{00000000-0005-0000-0000-00003B030000}"/>
    <cellStyle name="20% - 强调文字颜色 1 4 20 5 11" xfId="5136" xr:uid="{00000000-0005-0000-0000-00003C030000}"/>
    <cellStyle name="20% - 强调文字颜色 1 4 20 5 2" xfId="5149" xr:uid="{00000000-0005-0000-0000-00003D030000}"/>
    <cellStyle name="20% - 强调文字颜色 1 4 20 5 2 2" xfId="902" xr:uid="{00000000-0005-0000-0000-00003E030000}"/>
    <cellStyle name="20% - 强调文字颜色 1 4 20 5 2 2 2" xfId="3711" xr:uid="{00000000-0005-0000-0000-00003F030000}"/>
    <cellStyle name="20% - 强调文字颜色 1 4 20 5 2 2 3" xfId="3733" xr:uid="{00000000-0005-0000-0000-000040030000}"/>
    <cellStyle name="20% - 强调文字颜色 1 4 20 5 2 3" xfId="940" xr:uid="{00000000-0005-0000-0000-000041030000}"/>
    <cellStyle name="20% - 强调文字颜色 1 4 20 5 2 4" xfId="979" xr:uid="{00000000-0005-0000-0000-000042030000}"/>
    <cellStyle name="20% - 强调文字颜色 1 4 20 5 2 5" xfId="1001" xr:uid="{00000000-0005-0000-0000-000043030000}"/>
    <cellStyle name="20% - 强调文字颜色 1 4 20 5 2 6" xfId="1035" xr:uid="{00000000-0005-0000-0000-000044030000}"/>
    <cellStyle name="20% - 强调文字颜色 1 4 20 5 2 7" xfId="1055" xr:uid="{00000000-0005-0000-0000-000045030000}"/>
    <cellStyle name="20% - 强调文字颜色 1 4 20 5 2 8" xfId="1076" xr:uid="{00000000-0005-0000-0000-000046030000}"/>
    <cellStyle name="20% - 强调文字颜色 1 4 20 5 3" xfId="5153" xr:uid="{00000000-0005-0000-0000-000047030000}"/>
    <cellStyle name="20% - 强调文字颜色 1 4 20 5 4" xfId="5161" xr:uid="{00000000-0005-0000-0000-000048030000}"/>
    <cellStyle name="20% - 强调文字颜色 1 4 20 5 5" xfId="5170" xr:uid="{00000000-0005-0000-0000-000049030000}"/>
    <cellStyle name="20% - 强调文字颜色 1 4 20 5 6" xfId="5176" xr:uid="{00000000-0005-0000-0000-00004A030000}"/>
    <cellStyle name="20% - 强调文字颜色 1 4 20 5 6 2" xfId="1252" xr:uid="{00000000-0005-0000-0000-00004B030000}"/>
    <cellStyle name="20% - 强调文字颜色 1 4 20 5 6 3" xfId="3684" xr:uid="{00000000-0005-0000-0000-00004C030000}"/>
    <cellStyle name="20% - 强调文字颜色 1 4 20 5 7" xfId="5179" xr:uid="{00000000-0005-0000-0000-00004D030000}"/>
    <cellStyle name="20% - 强调文字颜色 1 4 20 5 8" xfId="5180" xr:uid="{00000000-0005-0000-0000-00004E030000}"/>
    <cellStyle name="20% - 强调文字颜色 1 4 20 5 9" xfId="5186" xr:uid="{00000000-0005-0000-0000-00004F030000}"/>
    <cellStyle name="20% - 强调文字颜色 1 4 20 6" xfId="3886" xr:uid="{00000000-0005-0000-0000-000050030000}"/>
    <cellStyle name="20% - 强调文字颜色 1 4 20 6 2" xfId="3855" xr:uid="{00000000-0005-0000-0000-000051030000}"/>
    <cellStyle name="20% - 强调文字颜色 1 4 20 6 2 2" xfId="3235" xr:uid="{00000000-0005-0000-0000-000052030000}"/>
    <cellStyle name="20% - 强调文字颜色 1 4 20 6 2 3" xfId="2935" xr:uid="{00000000-0005-0000-0000-000053030000}"/>
    <cellStyle name="20% - 强调文字颜色 1 4 20 6 3" xfId="3897" xr:uid="{00000000-0005-0000-0000-000054030000}"/>
    <cellStyle name="20% - 强调文字颜色 1 4 20 6 4" xfId="4998" xr:uid="{00000000-0005-0000-0000-000055030000}"/>
    <cellStyle name="20% - 强调文字颜色 1 4 20 6 5" xfId="5192" xr:uid="{00000000-0005-0000-0000-000056030000}"/>
    <cellStyle name="20% - 强调文字颜色 1 4 20 6 6" xfId="4175" xr:uid="{00000000-0005-0000-0000-000057030000}"/>
    <cellStyle name="20% - 强调文字颜色 1 4 20 6 7" xfId="4185" xr:uid="{00000000-0005-0000-0000-000058030000}"/>
    <cellStyle name="20% - 强调文字颜色 1 4 20 6 8" xfId="5195" xr:uid="{00000000-0005-0000-0000-000059030000}"/>
    <cellStyle name="20% - 强调文字颜色 1 4 20 7" xfId="4307" xr:uid="{00000000-0005-0000-0000-00005A030000}"/>
    <cellStyle name="20% - 强调文字颜色 1 4 20 8" xfId="4556" xr:uid="{00000000-0005-0000-0000-00005B030000}"/>
    <cellStyle name="20% - 强调文字颜色 1 4 20 9" xfId="4577" xr:uid="{00000000-0005-0000-0000-00005C030000}"/>
    <cellStyle name="20% - 强调文字颜色 1 4 20 9 2" xfId="806" xr:uid="{00000000-0005-0000-0000-00005D030000}"/>
    <cellStyle name="20% - 强调文字颜色 1 4 20 9 3" xfId="375" xr:uid="{00000000-0005-0000-0000-00005E030000}"/>
    <cellStyle name="20% - 强调文字颜色 1 4 3" xfId="5197" xr:uid="{00000000-0005-0000-0000-00005F030000}"/>
    <cellStyle name="20% - 强调文字颜色 1 4 4" xfId="5199" xr:uid="{00000000-0005-0000-0000-000060030000}"/>
    <cellStyle name="20% - 强调文字颜色 1 4 5" xfId="5200" xr:uid="{00000000-0005-0000-0000-000061030000}"/>
    <cellStyle name="20% - 强调文字颜色 1 4 6" xfId="4955" xr:uid="{00000000-0005-0000-0000-000062030000}"/>
    <cellStyle name="20% - 强调文字颜色 1 4 7" xfId="4977" xr:uid="{00000000-0005-0000-0000-000063030000}"/>
    <cellStyle name="20% - 强调文字颜色 1 4 8" xfId="4987" xr:uid="{00000000-0005-0000-0000-000064030000}"/>
    <cellStyle name="20% - 强调文字颜色 1 4 9" xfId="3834" xr:uid="{00000000-0005-0000-0000-000065030000}"/>
    <cellStyle name="20% - 强调文字颜色 1 5" xfId="3945" xr:uid="{00000000-0005-0000-0000-000066030000}"/>
    <cellStyle name="20% - 强调文字颜色 1 5 10" xfId="3233" xr:uid="{00000000-0005-0000-0000-000067030000}"/>
    <cellStyle name="20% - 强调文字颜色 1 5 11" xfId="426" xr:uid="{00000000-0005-0000-0000-000068030000}"/>
    <cellStyle name="20% - 强调文字颜色 1 5 12" xfId="294" xr:uid="{00000000-0005-0000-0000-000069030000}"/>
    <cellStyle name="20% - 强调文字颜色 1 5 13" xfId="5052" xr:uid="{00000000-0005-0000-0000-00006A030000}"/>
    <cellStyle name="20% - 强调文字颜色 1 5 14" xfId="5203" xr:uid="{00000000-0005-0000-0000-00006B030000}"/>
    <cellStyle name="20% - 强调文字颜色 1 5 2" xfId="3962" xr:uid="{00000000-0005-0000-0000-00006C030000}"/>
    <cellStyle name="20% - 强调文字颜色 1 5 3" xfId="3987" xr:uid="{00000000-0005-0000-0000-00006D030000}"/>
    <cellStyle name="20% - 强调文字颜色 1 5 4" xfId="4919" xr:uid="{00000000-0005-0000-0000-00006E030000}"/>
    <cellStyle name="20% - 强调文字颜色 1 5 5" xfId="5221" xr:uid="{00000000-0005-0000-0000-00006F030000}"/>
    <cellStyle name="20% - 强调文字颜色 1 5 6" xfId="2842" xr:uid="{00000000-0005-0000-0000-000070030000}"/>
    <cellStyle name="20% - 强调文字颜色 1 5 7" xfId="2864" xr:uid="{00000000-0005-0000-0000-000071030000}"/>
    <cellStyle name="20% - 强调文字颜色 1 5 8" xfId="2881" xr:uid="{00000000-0005-0000-0000-000072030000}"/>
    <cellStyle name="20% - 强调文字颜色 1 5 9" xfId="2898" xr:uid="{00000000-0005-0000-0000-000073030000}"/>
    <cellStyle name="20% - 强调文字颜色 1 6" xfId="3998" xr:uid="{00000000-0005-0000-0000-000074030000}"/>
    <cellStyle name="20% - 强调文字颜色 1 6 10" xfId="4529" xr:uid="{00000000-0005-0000-0000-000075030000}"/>
    <cellStyle name="20% - 强调文字颜色 1 6 11" xfId="4540" xr:uid="{00000000-0005-0000-0000-000076030000}"/>
    <cellStyle name="20% - 强调文字颜色 1 6 12" xfId="4599" xr:uid="{00000000-0005-0000-0000-000077030000}"/>
    <cellStyle name="20% - 强调文字颜色 1 6 13" xfId="4605" xr:uid="{00000000-0005-0000-0000-000078030000}"/>
    <cellStyle name="20% - 强调文字颜色 1 6 14" xfId="396" xr:uid="{00000000-0005-0000-0000-000079030000}"/>
    <cellStyle name="20% - 强调文字颜色 1 6 2" xfId="2958" xr:uid="{00000000-0005-0000-0000-00007A030000}"/>
    <cellStyle name="20% - 强调文字颜色 1 6 3" xfId="2979" xr:uid="{00000000-0005-0000-0000-00007B030000}"/>
    <cellStyle name="20% - 强调文字颜色 1 6 4" xfId="2996" xr:uid="{00000000-0005-0000-0000-00007C030000}"/>
    <cellStyle name="20% - 强调文字颜色 1 6 5" xfId="3001" xr:uid="{00000000-0005-0000-0000-00007D030000}"/>
    <cellStyle name="20% - 强调文字颜色 1 6 6" xfId="3013" xr:uid="{00000000-0005-0000-0000-00007E030000}"/>
    <cellStyle name="20% - 强调文字颜色 1 6 7" xfId="3022" xr:uid="{00000000-0005-0000-0000-00007F030000}"/>
    <cellStyle name="20% - 强调文字颜色 1 6 8" xfId="5227" xr:uid="{00000000-0005-0000-0000-000080030000}"/>
    <cellStyle name="20% - 强调文字颜色 1 6 9" xfId="5235" xr:uid="{00000000-0005-0000-0000-000081030000}"/>
    <cellStyle name="20% - 强调文字颜色 1 7" xfId="4008" xr:uid="{00000000-0005-0000-0000-000082030000}"/>
    <cellStyle name="20% - 强调文字颜色 1 8" xfId="2076" xr:uid="{00000000-0005-0000-0000-000083030000}"/>
    <cellStyle name="20% - 强调文字颜色 1 9" xfId="3117" xr:uid="{00000000-0005-0000-0000-000084030000}"/>
    <cellStyle name="20% - 强调文字颜色 2 10" xfId="5245" xr:uid="{00000000-0005-0000-0000-000085030000}"/>
    <cellStyle name="20% - 强调文字颜色 2 11" xfId="5249" xr:uid="{00000000-0005-0000-0000-000086030000}"/>
    <cellStyle name="20% - 强调文字颜色 2 12" xfId="5256" xr:uid="{00000000-0005-0000-0000-000087030000}"/>
    <cellStyle name="20% - 强调文字颜色 2 12 10" xfId="5259" xr:uid="{00000000-0005-0000-0000-000088030000}"/>
    <cellStyle name="20% - 强调文字颜色 2 12 11" xfId="473" xr:uid="{00000000-0005-0000-0000-000089030000}"/>
    <cellStyle name="20% - 强调文字颜色 2 12 12" xfId="203" xr:uid="{00000000-0005-0000-0000-00008A030000}"/>
    <cellStyle name="20% - 强调文字颜色 2 12 13" xfId="3789" xr:uid="{00000000-0005-0000-0000-00008B030000}"/>
    <cellStyle name="20% - 强调文字颜色 2 12 14" xfId="3798" xr:uid="{00000000-0005-0000-0000-00008C030000}"/>
    <cellStyle name="20% - 强调文字颜色 2 12 2" xfId="5260" xr:uid="{00000000-0005-0000-0000-00008D030000}"/>
    <cellStyle name="20% - 强调文字颜色 2 12 3" xfId="3554" xr:uid="{00000000-0005-0000-0000-00008E030000}"/>
    <cellStyle name="20% - 强调文字颜色 2 12 4" xfId="3559" xr:uid="{00000000-0005-0000-0000-00008F030000}"/>
    <cellStyle name="20% - 强调文字颜色 2 12 5" xfId="3820" xr:uid="{00000000-0005-0000-0000-000090030000}"/>
    <cellStyle name="20% - 强调文字颜色 2 12 5 10" xfId="4103" xr:uid="{00000000-0005-0000-0000-000091030000}"/>
    <cellStyle name="20% - 强调文字颜色 2 12 5 11" xfId="5267" xr:uid="{00000000-0005-0000-0000-000092030000}"/>
    <cellStyle name="20% - 强调文字颜色 2 12 5 2" xfId="4212" xr:uid="{00000000-0005-0000-0000-000093030000}"/>
    <cellStyle name="20% - 强调文字颜色 2 12 5 2 2" xfId="4224" xr:uid="{00000000-0005-0000-0000-000094030000}"/>
    <cellStyle name="20% - 强调文字颜色 2 12 5 2 2 2" xfId="4046" xr:uid="{00000000-0005-0000-0000-000095030000}"/>
    <cellStyle name="20% - 强调文字颜色 2 12 5 2 2 3" xfId="4053" xr:uid="{00000000-0005-0000-0000-000096030000}"/>
    <cellStyle name="20% - 强调文字颜色 2 12 5 2 3" xfId="4230" xr:uid="{00000000-0005-0000-0000-000097030000}"/>
    <cellStyle name="20% - 强调文字颜色 2 12 5 2 4" xfId="2063" xr:uid="{00000000-0005-0000-0000-000098030000}"/>
    <cellStyle name="20% - 强调文字颜色 2 12 5 2 5" xfId="2086" xr:uid="{00000000-0005-0000-0000-000099030000}"/>
    <cellStyle name="20% - 强调文字颜色 2 12 5 2 6" xfId="4237" xr:uid="{00000000-0005-0000-0000-00009A030000}"/>
    <cellStyle name="20% - 强调文字颜色 2 12 5 2 7" xfId="4247" xr:uid="{00000000-0005-0000-0000-00009B030000}"/>
    <cellStyle name="20% - 强调文字颜色 2 12 5 2 8" xfId="4255" xr:uid="{00000000-0005-0000-0000-00009C030000}"/>
    <cellStyle name="20% - 强调文字颜色 2 12 5 3" xfId="4272" xr:uid="{00000000-0005-0000-0000-00009D030000}"/>
    <cellStyle name="20% - 强调文字颜色 2 12 5 4" xfId="4285" xr:uid="{00000000-0005-0000-0000-00009E030000}"/>
    <cellStyle name="20% - 强调文字颜色 2 12 5 5" xfId="4292" xr:uid="{00000000-0005-0000-0000-00009F030000}"/>
    <cellStyle name="20% - 强调文字颜色 2 12 5 6" xfId="3950" xr:uid="{00000000-0005-0000-0000-0000A0030000}"/>
    <cellStyle name="20% - 强调文字颜色 2 12 5 6 2" xfId="1162" xr:uid="{00000000-0005-0000-0000-0000A1030000}"/>
    <cellStyle name="20% - 强调文字颜色 2 12 5 6 3" xfId="1179" xr:uid="{00000000-0005-0000-0000-0000A2030000}"/>
    <cellStyle name="20% - 强调文字颜色 2 12 5 7" xfId="3970" xr:uid="{00000000-0005-0000-0000-0000A3030000}"/>
    <cellStyle name="20% - 强调文字颜色 2 12 5 8" xfId="4907" xr:uid="{00000000-0005-0000-0000-0000A4030000}"/>
    <cellStyle name="20% - 强调文字颜色 2 12 5 9" xfId="5209" xr:uid="{00000000-0005-0000-0000-0000A5030000}"/>
    <cellStyle name="20% - 强调文字颜色 2 12 6" xfId="5277" xr:uid="{00000000-0005-0000-0000-0000A6030000}"/>
    <cellStyle name="20% - 强调文字颜色 2 12 6 2" xfId="4384" xr:uid="{00000000-0005-0000-0000-0000A7030000}"/>
    <cellStyle name="20% - 强调文字颜色 2 12 6 2 2" xfId="5280" xr:uid="{00000000-0005-0000-0000-0000A8030000}"/>
    <cellStyle name="20% - 强调文字颜色 2 12 6 2 3" xfId="5287" xr:uid="{00000000-0005-0000-0000-0000A9030000}"/>
    <cellStyle name="20% - 强调文字颜色 2 12 6 3" xfId="4397" xr:uid="{00000000-0005-0000-0000-0000AA030000}"/>
    <cellStyle name="20% - 强调文字颜色 2 12 6 4" xfId="4408" xr:uid="{00000000-0005-0000-0000-0000AB030000}"/>
    <cellStyle name="20% - 强调文字颜色 2 12 6 5" xfId="2915" xr:uid="{00000000-0005-0000-0000-0000AC030000}"/>
    <cellStyle name="20% - 强调文字颜色 2 12 6 6" xfId="2942" xr:uid="{00000000-0005-0000-0000-0000AD030000}"/>
    <cellStyle name="20% - 强调文字颜色 2 12 6 7" xfId="2960" xr:uid="{00000000-0005-0000-0000-0000AE030000}"/>
    <cellStyle name="20% - 强调文字颜色 2 12 6 8" xfId="2981" xr:uid="{00000000-0005-0000-0000-0000AF030000}"/>
    <cellStyle name="20% - 强调文字颜色 2 12 7" xfId="5296" xr:uid="{00000000-0005-0000-0000-0000B0030000}"/>
    <cellStyle name="20% - 强调文字颜色 2 12 8" xfId="5308" xr:uid="{00000000-0005-0000-0000-0000B1030000}"/>
    <cellStyle name="20% - 强调文字颜色 2 12 9" xfId="5320" xr:uid="{00000000-0005-0000-0000-0000B2030000}"/>
    <cellStyle name="20% - 强调文字颜色 2 12 9 2" xfId="5322" xr:uid="{00000000-0005-0000-0000-0000B3030000}"/>
    <cellStyle name="20% - 强调文字颜色 2 12 9 3" xfId="5327" xr:uid="{00000000-0005-0000-0000-0000B4030000}"/>
    <cellStyle name="20% - 强调文字颜色 2 13" xfId="5338" xr:uid="{00000000-0005-0000-0000-0000B5030000}"/>
    <cellStyle name="20% - 强调文字颜色 2 14" xfId="5351" xr:uid="{00000000-0005-0000-0000-0000B6030000}"/>
    <cellStyle name="20% - 强调文字颜色 2 15" xfId="3224" xr:uid="{00000000-0005-0000-0000-0000B7030000}"/>
    <cellStyle name="20% - 强调文字颜色 2 16" xfId="3243" xr:uid="{00000000-0005-0000-0000-0000B8030000}"/>
    <cellStyle name="20% - 强调文字颜色 2 16 10" xfId="3502" xr:uid="{00000000-0005-0000-0000-0000B9030000}"/>
    <cellStyle name="20% - 强调文字颜色 2 16 11" xfId="3513" xr:uid="{00000000-0005-0000-0000-0000BA030000}"/>
    <cellStyle name="20% - 强调文字颜色 2 16 12" xfId="3425" xr:uid="{00000000-0005-0000-0000-0000BB030000}"/>
    <cellStyle name="20% - 强调文字颜色 2 16 13" xfId="3447" xr:uid="{00000000-0005-0000-0000-0000BC030000}"/>
    <cellStyle name="20% - 强调文字颜色 2 16 14" xfId="3530" xr:uid="{00000000-0005-0000-0000-0000BD030000}"/>
    <cellStyle name="20% - 强调文字颜色 2 16 2" xfId="2385" xr:uid="{00000000-0005-0000-0000-0000BE030000}"/>
    <cellStyle name="20% - 强调文字颜色 2 16 3" xfId="2617" xr:uid="{00000000-0005-0000-0000-0000BF030000}"/>
    <cellStyle name="20% - 强调文字颜色 2 16 4" xfId="2720" xr:uid="{00000000-0005-0000-0000-0000C0030000}"/>
    <cellStyle name="20% - 强调文字颜色 2 16 5" xfId="2737" xr:uid="{00000000-0005-0000-0000-0000C1030000}"/>
    <cellStyle name="20% - 强调文字颜色 2 16 5 10" xfId="571" xr:uid="{00000000-0005-0000-0000-0000C2030000}"/>
    <cellStyle name="20% - 强调文字颜色 2 16 5 11" xfId="414" xr:uid="{00000000-0005-0000-0000-0000C3030000}"/>
    <cellStyle name="20% - 强调文字颜色 2 16 5 2" xfId="5363" xr:uid="{00000000-0005-0000-0000-0000C4030000}"/>
    <cellStyle name="20% - 强调文字颜色 2 16 5 2 2" xfId="5373" xr:uid="{00000000-0005-0000-0000-0000C5030000}"/>
    <cellStyle name="20% - 强调文字颜色 2 16 5 2 2 2" xfId="5382" xr:uid="{00000000-0005-0000-0000-0000C6030000}"/>
    <cellStyle name="20% - 强调文字颜色 2 16 5 2 2 3" xfId="1025" xr:uid="{00000000-0005-0000-0000-0000C7030000}"/>
    <cellStyle name="20% - 强调文字颜色 2 16 5 2 3" xfId="5393" xr:uid="{00000000-0005-0000-0000-0000C8030000}"/>
    <cellStyle name="20% - 强调文字颜色 2 16 5 2 4" xfId="1694" xr:uid="{00000000-0005-0000-0000-0000C9030000}"/>
    <cellStyle name="20% - 强调文字颜色 2 16 5 2 5" xfId="1747" xr:uid="{00000000-0005-0000-0000-0000CA030000}"/>
    <cellStyle name="20% - 强调文字颜色 2 16 5 2 6" xfId="1757" xr:uid="{00000000-0005-0000-0000-0000CB030000}"/>
    <cellStyle name="20% - 强调文字颜色 2 16 5 2 7" xfId="1767" xr:uid="{00000000-0005-0000-0000-0000CC030000}"/>
    <cellStyle name="20% - 强调文字颜色 2 16 5 2 8" xfId="389" xr:uid="{00000000-0005-0000-0000-0000CD030000}"/>
    <cellStyle name="20% - 强调文字颜色 2 16 5 3" xfId="5401" xr:uid="{00000000-0005-0000-0000-0000CE030000}"/>
    <cellStyle name="20% - 强调文字颜色 2 16 5 4" xfId="5416" xr:uid="{00000000-0005-0000-0000-0000CF030000}"/>
    <cellStyle name="20% - 强调文字颜色 2 16 5 5" xfId="5429" xr:uid="{00000000-0005-0000-0000-0000D0030000}"/>
    <cellStyle name="20% - 强调文字颜色 2 16 5 6" xfId="5443" xr:uid="{00000000-0005-0000-0000-0000D1030000}"/>
    <cellStyle name="20% - 强调文字颜色 2 16 5 6 2" xfId="1441" xr:uid="{00000000-0005-0000-0000-0000D2030000}"/>
    <cellStyle name="20% - 强调文字颜色 2 16 5 6 3" xfId="1473" xr:uid="{00000000-0005-0000-0000-0000D3030000}"/>
    <cellStyle name="20% - 强调文字颜色 2 16 5 7" xfId="5459" xr:uid="{00000000-0005-0000-0000-0000D4030000}"/>
    <cellStyle name="20% - 强调文字颜色 2 16 5 8" xfId="5472" xr:uid="{00000000-0005-0000-0000-0000D5030000}"/>
    <cellStyle name="20% - 强调文字颜色 2 16 5 9" xfId="5481" xr:uid="{00000000-0005-0000-0000-0000D6030000}"/>
    <cellStyle name="20% - 强调文字颜色 2 16 6" xfId="5490" xr:uid="{00000000-0005-0000-0000-0000D7030000}"/>
    <cellStyle name="20% - 强调文字颜色 2 16 6 2" xfId="5496" xr:uid="{00000000-0005-0000-0000-0000D8030000}"/>
    <cellStyle name="20% - 强调文字颜色 2 16 6 2 2" xfId="5511" xr:uid="{00000000-0005-0000-0000-0000D9030000}"/>
    <cellStyle name="20% - 强调文字颜色 2 16 6 2 3" xfId="5530" xr:uid="{00000000-0005-0000-0000-0000DA030000}"/>
    <cellStyle name="20% - 强调文字颜色 2 16 6 3" xfId="5534" xr:uid="{00000000-0005-0000-0000-0000DB030000}"/>
    <cellStyle name="20% - 强调文字颜色 2 16 6 4" xfId="5538" xr:uid="{00000000-0005-0000-0000-0000DC030000}"/>
    <cellStyle name="20% - 强调文字颜色 2 16 6 5" xfId="5542" xr:uid="{00000000-0005-0000-0000-0000DD030000}"/>
    <cellStyle name="20% - 强调文字颜色 2 16 6 6" xfId="5547" xr:uid="{00000000-0005-0000-0000-0000DE030000}"/>
    <cellStyle name="20% - 强调文字颜色 2 16 6 7" xfId="5553" xr:uid="{00000000-0005-0000-0000-0000DF030000}"/>
    <cellStyle name="20% - 强调文字颜色 2 16 6 8" xfId="5557" xr:uid="{00000000-0005-0000-0000-0000E0030000}"/>
    <cellStyle name="20% - 强调文字颜色 2 16 7" xfId="5564" xr:uid="{00000000-0005-0000-0000-0000E1030000}"/>
    <cellStyle name="20% - 强调文字颜色 2 16 8" xfId="5571" xr:uid="{00000000-0005-0000-0000-0000E2030000}"/>
    <cellStyle name="20% - 强调文字颜色 2 16 9" xfId="5578" xr:uid="{00000000-0005-0000-0000-0000E3030000}"/>
    <cellStyle name="20% - 强调文字颜色 2 16 9 2" xfId="5599" xr:uid="{00000000-0005-0000-0000-0000E4030000}"/>
    <cellStyle name="20% - 强调文字颜色 2 16 9 3" xfId="5608" xr:uid="{00000000-0005-0000-0000-0000E5030000}"/>
    <cellStyle name="20% - 强调文字颜色 2 17" xfId="2929" xr:uid="{00000000-0005-0000-0000-0000E6030000}"/>
    <cellStyle name="20% - 强调文字颜色 2 17 10" xfId="5614" xr:uid="{00000000-0005-0000-0000-0000E7030000}"/>
    <cellStyle name="20% - 强调文字颜色 2 17 11" xfId="3940" xr:uid="{00000000-0005-0000-0000-0000E8030000}"/>
    <cellStyle name="20% - 强调文字颜色 2 17 12" xfId="4024" xr:uid="{00000000-0005-0000-0000-0000E9030000}"/>
    <cellStyle name="20% - 强调文字颜色 2 17 13" xfId="4033" xr:uid="{00000000-0005-0000-0000-0000EA030000}"/>
    <cellStyle name="20% - 强调文字颜色 2 17 14" xfId="4041" xr:uid="{00000000-0005-0000-0000-0000EB030000}"/>
    <cellStyle name="20% - 强调文字颜色 2 17 2" xfId="5624" xr:uid="{00000000-0005-0000-0000-0000EC030000}"/>
    <cellStyle name="20% - 强调文字颜色 2 17 3" xfId="5629" xr:uid="{00000000-0005-0000-0000-0000ED030000}"/>
    <cellStyle name="20% - 强调文字颜色 2 17 4" xfId="5634" xr:uid="{00000000-0005-0000-0000-0000EE030000}"/>
    <cellStyle name="20% - 强调文字颜色 2 17 5" xfId="5640" xr:uid="{00000000-0005-0000-0000-0000EF030000}"/>
    <cellStyle name="20% - 强调文字颜色 2 17 5 10" xfId="5647" xr:uid="{00000000-0005-0000-0000-0000F0030000}"/>
    <cellStyle name="20% - 强调文字颜色 2 17 5 11" xfId="5653" xr:uid="{00000000-0005-0000-0000-0000F1030000}"/>
    <cellStyle name="20% - 强调文字颜色 2 17 5 2" xfId="5659" xr:uid="{00000000-0005-0000-0000-0000F2030000}"/>
    <cellStyle name="20% - 强调文字颜色 2 17 5 2 2" xfId="5668" xr:uid="{00000000-0005-0000-0000-0000F3030000}"/>
    <cellStyle name="20% - 强调文字颜色 2 17 5 2 2 2" xfId="5676" xr:uid="{00000000-0005-0000-0000-0000F4030000}"/>
    <cellStyle name="20% - 强调文字颜色 2 17 5 2 2 3" xfId="5682" xr:uid="{00000000-0005-0000-0000-0000F5030000}"/>
    <cellStyle name="20% - 强调文字颜色 2 17 5 2 3" xfId="5687" xr:uid="{00000000-0005-0000-0000-0000F6030000}"/>
    <cellStyle name="20% - 强调文字颜色 2 17 5 2 4" xfId="5690" xr:uid="{00000000-0005-0000-0000-0000F7030000}"/>
    <cellStyle name="20% - 强调文字颜色 2 17 5 2 5" xfId="1707" xr:uid="{00000000-0005-0000-0000-0000F8030000}"/>
    <cellStyle name="20% - 强调文字颜色 2 17 5 2 6" xfId="1733" xr:uid="{00000000-0005-0000-0000-0000F9030000}"/>
    <cellStyle name="20% - 强调文字颜色 2 17 5 2 7" xfId="5693" xr:uid="{00000000-0005-0000-0000-0000FA030000}"/>
    <cellStyle name="20% - 强调文字颜色 2 17 5 2 8" xfId="5697" xr:uid="{00000000-0005-0000-0000-0000FB030000}"/>
    <cellStyle name="20% - 强调文字颜色 2 17 5 3" xfId="5701" xr:uid="{00000000-0005-0000-0000-0000FC030000}"/>
    <cellStyle name="20% - 强调文字颜色 2 17 5 4" xfId="5709" xr:uid="{00000000-0005-0000-0000-0000FD030000}"/>
    <cellStyle name="20% - 强调文字颜色 2 17 5 5" xfId="5715" xr:uid="{00000000-0005-0000-0000-0000FE030000}"/>
    <cellStyle name="20% - 强调文字颜色 2 17 5 6" xfId="5729" xr:uid="{00000000-0005-0000-0000-0000FF030000}"/>
    <cellStyle name="20% - 强调文字颜色 2 17 5 6 2" xfId="4086" xr:uid="{00000000-0005-0000-0000-000000040000}"/>
    <cellStyle name="20% - 强调文字颜色 2 17 5 6 3" xfId="4092" xr:uid="{00000000-0005-0000-0000-000001040000}"/>
    <cellStyle name="20% - 强调文字颜色 2 17 5 7" xfId="5750" xr:uid="{00000000-0005-0000-0000-000002040000}"/>
    <cellStyle name="20% - 强调文字颜色 2 17 5 8" xfId="5760" xr:uid="{00000000-0005-0000-0000-000003040000}"/>
    <cellStyle name="20% - 强调文字颜色 2 17 5 9" xfId="5771" xr:uid="{00000000-0005-0000-0000-000004040000}"/>
    <cellStyle name="20% - 强调文字颜色 2 17 6" xfId="3037" xr:uid="{00000000-0005-0000-0000-000005040000}"/>
    <cellStyle name="20% - 强调文字颜色 2 17 6 2" xfId="5790" xr:uid="{00000000-0005-0000-0000-000006040000}"/>
    <cellStyle name="20% - 强调文字颜色 2 17 6 2 2" xfId="5796" xr:uid="{00000000-0005-0000-0000-000007040000}"/>
    <cellStyle name="20% - 强调文字颜色 2 17 6 2 3" xfId="5807" xr:uid="{00000000-0005-0000-0000-000008040000}"/>
    <cellStyle name="20% - 强调文字颜色 2 17 6 3" xfId="5817" xr:uid="{00000000-0005-0000-0000-000009040000}"/>
    <cellStyle name="20% - 强调文字颜色 2 17 6 4" xfId="5826" xr:uid="{00000000-0005-0000-0000-00000A040000}"/>
    <cellStyle name="20% - 强调文字颜色 2 17 6 5" xfId="5831" xr:uid="{00000000-0005-0000-0000-00000B040000}"/>
    <cellStyle name="20% - 强调文字颜色 2 17 6 6" xfId="5836" xr:uid="{00000000-0005-0000-0000-00000C040000}"/>
    <cellStyle name="20% - 强调文字颜色 2 17 6 7" xfId="5840" xr:uid="{00000000-0005-0000-0000-00000D040000}"/>
    <cellStyle name="20% - 强调文字颜色 2 17 6 8" xfId="5843" xr:uid="{00000000-0005-0000-0000-00000E040000}"/>
    <cellStyle name="20% - 强调文字颜色 2 17 7" xfId="3051" xr:uid="{00000000-0005-0000-0000-00000F040000}"/>
    <cellStyle name="20% - 强调文字颜色 2 17 8" xfId="5853" xr:uid="{00000000-0005-0000-0000-000010040000}"/>
    <cellStyle name="20% - 强调文字颜色 2 17 9" xfId="5859" xr:uid="{00000000-0005-0000-0000-000011040000}"/>
    <cellStyle name="20% - 强调文字颜色 2 17 9 2" xfId="5868" xr:uid="{00000000-0005-0000-0000-000012040000}"/>
    <cellStyle name="20% - 强调文字颜色 2 17 9 3" xfId="5873" xr:uid="{00000000-0005-0000-0000-000013040000}"/>
    <cellStyle name="20% - 强调文字颜色 2 18" xfId="5877" xr:uid="{00000000-0005-0000-0000-000014040000}"/>
    <cellStyle name="20% - 强调文字颜色 2 18 10" xfId="267" xr:uid="{00000000-0005-0000-0000-000015040000}"/>
    <cellStyle name="20% - 强调文字颜色 2 18 11" xfId="5881" xr:uid="{00000000-0005-0000-0000-000016040000}"/>
    <cellStyle name="20% - 强调文字颜色 2 18 12" xfId="5887" xr:uid="{00000000-0005-0000-0000-000017040000}"/>
    <cellStyle name="20% - 强调文字颜色 2 18 13" xfId="5895" xr:uid="{00000000-0005-0000-0000-000018040000}"/>
    <cellStyle name="20% - 强调文字颜色 2 18 14" xfId="5900" xr:uid="{00000000-0005-0000-0000-000019040000}"/>
    <cellStyle name="20% - 强调文字颜色 2 18 2" xfId="5903" xr:uid="{00000000-0005-0000-0000-00001A040000}"/>
    <cellStyle name="20% - 强调文字颜色 2 18 3" xfId="5907" xr:uid="{00000000-0005-0000-0000-00001B040000}"/>
    <cellStyle name="20% - 强调文字颜色 2 18 4" xfId="5912" xr:uid="{00000000-0005-0000-0000-00001C040000}"/>
    <cellStyle name="20% - 强调文字颜色 2 18 5" xfId="270" xr:uid="{00000000-0005-0000-0000-00001D040000}"/>
    <cellStyle name="20% - 强调文字颜色 2 18 5 10" xfId="2466" xr:uid="{00000000-0005-0000-0000-00001E040000}"/>
    <cellStyle name="20% - 强调文字颜色 2 18 5 11" xfId="2483" xr:uid="{00000000-0005-0000-0000-00001F040000}"/>
    <cellStyle name="20% - 强调文字颜色 2 18 5 2" xfId="3592" xr:uid="{00000000-0005-0000-0000-000020040000}"/>
    <cellStyle name="20% - 强调文字颜色 2 18 5 2 2" xfId="5916" xr:uid="{00000000-0005-0000-0000-000021040000}"/>
    <cellStyle name="20% - 强调文字颜色 2 18 5 2 2 2" xfId="245" xr:uid="{00000000-0005-0000-0000-000022040000}"/>
    <cellStyle name="20% - 强调文字颜色 2 18 5 2 2 3" xfId="5923" xr:uid="{00000000-0005-0000-0000-000023040000}"/>
    <cellStyle name="20% - 强调文字颜色 2 18 5 2 3" xfId="5926" xr:uid="{00000000-0005-0000-0000-000024040000}"/>
    <cellStyle name="20% - 强调文字颜色 2 18 5 2 4" xfId="688" xr:uid="{00000000-0005-0000-0000-000025040000}"/>
    <cellStyle name="20% - 强调文字颜色 2 18 5 2 5" xfId="720" xr:uid="{00000000-0005-0000-0000-000026040000}"/>
    <cellStyle name="20% - 强调文字颜色 2 18 5 2 6" xfId="749" xr:uid="{00000000-0005-0000-0000-000027040000}"/>
    <cellStyle name="20% - 强调文字颜色 2 18 5 2 7" xfId="1275" xr:uid="{00000000-0005-0000-0000-000028040000}"/>
    <cellStyle name="20% - 强调文字颜色 2 18 5 2 8" xfId="1287" xr:uid="{00000000-0005-0000-0000-000029040000}"/>
    <cellStyle name="20% - 强调文字颜色 2 18 5 3" xfId="3604" xr:uid="{00000000-0005-0000-0000-00002A040000}"/>
    <cellStyle name="20% - 强调文字颜色 2 18 5 4" xfId="5932" xr:uid="{00000000-0005-0000-0000-00002B040000}"/>
    <cellStyle name="20% - 强调文字颜色 2 18 5 5" xfId="5944" xr:uid="{00000000-0005-0000-0000-00002C040000}"/>
    <cellStyle name="20% - 强调文字颜色 2 18 5 6" xfId="5956" xr:uid="{00000000-0005-0000-0000-00002D040000}"/>
    <cellStyle name="20% - 强调文字颜色 2 18 5 6 2" xfId="2283" xr:uid="{00000000-0005-0000-0000-00002E040000}"/>
    <cellStyle name="20% - 强调文字颜色 2 18 5 6 3" xfId="831" xr:uid="{00000000-0005-0000-0000-00002F040000}"/>
    <cellStyle name="20% - 强调文字颜色 2 18 5 7" xfId="1498" xr:uid="{00000000-0005-0000-0000-000030040000}"/>
    <cellStyle name="20% - 强调文字颜色 2 18 5 8" xfId="1513" xr:uid="{00000000-0005-0000-0000-000031040000}"/>
    <cellStyle name="20% - 强调文字颜色 2 18 5 9" xfId="4418" xr:uid="{00000000-0005-0000-0000-000032040000}"/>
    <cellStyle name="20% - 强调文字颜色 2 18 6" xfId="5879" xr:uid="{00000000-0005-0000-0000-000033040000}"/>
    <cellStyle name="20% - 强调文字颜色 2 18 6 2" xfId="5965" xr:uid="{00000000-0005-0000-0000-000034040000}"/>
    <cellStyle name="20% - 强调文字颜色 2 18 6 2 2" xfId="5971" xr:uid="{00000000-0005-0000-0000-000035040000}"/>
    <cellStyle name="20% - 强调文字颜色 2 18 6 2 3" xfId="5977" xr:uid="{00000000-0005-0000-0000-000036040000}"/>
    <cellStyle name="20% - 强调文字颜色 2 18 6 3" xfId="5979" xr:uid="{00000000-0005-0000-0000-000037040000}"/>
    <cellStyle name="20% - 强调文字颜色 2 18 6 4" xfId="5983" xr:uid="{00000000-0005-0000-0000-000038040000}"/>
    <cellStyle name="20% - 强调文字颜色 2 18 6 5" xfId="5988" xr:uid="{00000000-0005-0000-0000-000039040000}"/>
    <cellStyle name="20% - 强调文字颜色 2 18 6 6" xfId="5995" xr:uid="{00000000-0005-0000-0000-00003A040000}"/>
    <cellStyle name="20% - 强调文字颜色 2 18 6 7" xfId="6005" xr:uid="{00000000-0005-0000-0000-00003B040000}"/>
    <cellStyle name="20% - 强调文字颜色 2 18 6 8" xfId="6008" xr:uid="{00000000-0005-0000-0000-00003C040000}"/>
    <cellStyle name="20% - 强调文字颜色 2 18 7" xfId="5885" xr:uid="{00000000-0005-0000-0000-00003D040000}"/>
    <cellStyle name="20% - 强调文字颜色 2 18 8" xfId="5893" xr:uid="{00000000-0005-0000-0000-00003E040000}"/>
    <cellStyle name="20% - 强调文字颜色 2 18 9" xfId="5898" xr:uid="{00000000-0005-0000-0000-00003F040000}"/>
    <cellStyle name="20% - 强调文字颜色 2 18 9 2" xfId="6018" xr:uid="{00000000-0005-0000-0000-000040040000}"/>
    <cellStyle name="20% - 强调文字颜色 2 18 9 3" xfId="6022" xr:uid="{00000000-0005-0000-0000-000041040000}"/>
    <cellStyle name="20% - 强调文字颜色 2 19" xfId="6024" xr:uid="{00000000-0005-0000-0000-000042040000}"/>
    <cellStyle name="20% - 强调文字颜色 2 2" xfId="6030" xr:uid="{00000000-0005-0000-0000-000043040000}"/>
    <cellStyle name="20% - 强调文字颜色 2 2 10" xfId="1206" xr:uid="{00000000-0005-0000-0000-000044040000}"/>
    <cellStyle name="20% - 强调文字颜色 2 2 11" xfId="529" xr:uid="{00000000-0005-0000-0000-000045040000}"/>
    <cellStyle name="20% - 强调文字颜色 2 2 12" xfId="6038" xr:uid="{00000000-0005-0000-0000-000046040000}"/>
    <cellStyle name="20% - 强调文字颜色 2 2 13" xfId="6044" xr:uid="{00000000-0005-0000-0000-000047040000}"/>
    <cellStyle name="20% - 强调文字颜色 2 2 14" xfId="6051" xr:uid="{00000000-0005-0000-0000-000048040000}"/>
    <cellStyle name="20% - 强调文字颜色 2 2 15" xfId="6057" xr:uid="{00000000-0005-0000-0000-000049040000}"/>
    <cellStyle name="20% - 强调文字颜色 2 2 16" xfId="6064" xr:uid="{00000000-0005-0000-0000-00004A040000}"/>
    <cellStyle name="20% - 强调文字颜色 2 2 17" xfId="1889" xr:uid="{00000000-0005-0000-0000-00004B040000}"/>
    <cellStyle name="20% - 强调文字颜色 2 2 17 10" xfId="6077" xr:uid="{00000000-0005-0000-0000-00004C040000}"/>
    <cellStyle name="20% - 强调文字颜色 2 2 17 11" xfId="6081" xr:uid="{00000000-0005-0000-0000-00004D040000}"/>
    <cellStyle name="20% - 强调文字颜色 2 2 17 12" xfId="6083" xr:uid="{00000000-0005-0000-0000-00004E040000}"/>
    <cellStyle name="20% - 强调文字颜色 2 2 17 13" xfId="6085" xr:uid="{00000000-0005-0000-0000-00004F040000}"/>
    <cellStyle name="20% - 强调文字颜色 2 2 17 14" xfId="6086" xr:uid="{00000000-0005-0000-0000-000050040000}"/>
    <cellStyle name="20% - 强调文字颜色 2 2 17 2" xfId="672" xr:uid="{00000000-0005-0000-0000-000051040000}"/>
    <cellStyle name="20% - 强调文字颜色 2 2 17 3" xfId="703" xr:uid="{00000000-0005-0000-0000-000052040000}"/>
    <cellStyle name="20% - 强调文字颜色 2 2 17 4" xfId="744" xr:uid="{00000000-0005-0000-0000-000053040000}"/>
    <cellStyle name="20% - 强调文字颜色 2 2 17 5" xfId="1270" xr:uid="{00000000-0005-0000-0000-000054040000}"/>
    <cellStyle name="20% - 强调文字颜色 2 2 17 5 10" xfId="3165" xr:uid="{00000000-0005-0000-0000-000055040000}"/>
    <cellStyle name="20% - 强调文字颜色 2 2 17 5 11" xfId="3169" xr:uid="{00000000-0005-0000-0000-000056040000}"/>
    <cellStyle name="20% - 强调文字颜色 2 2 17 5 2" xfId="3180" xr:uid="{00000000-0005-0000-0000-000057040000}"/>
    <cellStyle name="20% - 强调文字颜色 2 2 17 5 2 2" xfId="6087" xr:uid="{00000000-0005-0000-0000-000058040000}"/>
    <cellStyle name="20% - 强调文字颜色 2 2 17 5 2 2 2" xfId="4649" xr:uid="{00000000-0005-0000-0000-000059040000}"/>
    <cellStyle name="20% - 强调文字颜色 2 2 17 5 2 2 3" xfId="4657" xr:uid="{00000000-0005-0000-0000-00005A040000}"/>
    <cellStyle name="20% - 强调文字颜色 2 2 17 5 2 3" xfId="6088" xr:uid="{00000000-0005-0000-0000-00005B040000}"/>
    <cellStyle name="20% - 强调文字颜色 2 2 17 5 2 4" xfId="5279" xr:uid="{00000000-0005-0000-0000-00005C040000}"/>
    <cellStyle name="20% - 强调文字颜色 2 2 17 5 2 5" xfId="5286" xr:uid="{00000000-0005-0000-0000-00005D040000}"/>
    <cellStyle name="20% - 强调文字颜色 2 2 17 5 2 6" xfId="6091" xr:uid="{00000000-0005-0000-0000-00005E040000}"/>
    <cellStyle name="20% - 强调文字颜色 2 2 17 5 2 7" xfId="6093" xr:uid="{00000000-0005-0000-0000-00005F040000}"/>
    <cellStyle name="20% - 强调文字颜色 2 2 17 5 2 8" xfId="6095" xr:uid="{00000000-0005-0000-0000-000060040000}"/>
    <cellStyle name="20% - 强调文字颜色 2 2 17 5 3" xfId="3185" xr:uid="{00000000-0005-0000-0000-000061040000}"/>
    <cellStyle name="20% - 强调文字颜色 2 2 17 5 4" xfId="3191" xr:uid="{00000000-0005-0000-0000-000062040000}"/>
    <cellStyle name="20% - 强调文字颜色 2 2 17 5 5" xfId="3195" xr:uid="{00000000-0005-0000-0000-000063040000}"/>
    <cellStyle name="20% - 强调文字颜色 2 2 17 5 6" xfId="3251" xr:uid="{00000000-0005-0000-0000-000064040000}"/>
    <cellStyle name="20% - 强调文字颜色 2 2 17 5 6 2" xfId="2463" xr:uid="{00000000-0005-0000-0000-000065040000}"/>
    <cellStyle name="20% - 强调文字颜色 2 2 17 5 6 3" xfId="2480" xr:uid="{00000000-0005-0000-0000-000066040000}"/>
    <cellStyle name="20% - 强调文字颜色 2 2 17 5 7" xfId="2644" xr:uid="{00000000-0005-0000-0000-000067040000}"/>
    <cellStyle name="20% - 强调文字颜色 2 2 17 5 8" xfId="2664" xr:uid="{00000000-0005-0000-0000-000068040000}"/>
    <cellStyle name="20% - 强调文字颜色 2 2 17 5 9" xfId="3283" xr:uid="{00000000-0005-0000-0000-000069040000}"/>
    <cellStyle name="20% - 强调文字颜色 2 2 17 6" xfId="6098" xr:uid="{00000000-0005-0000-0000-00006A040000}"/>
    <cellStyle name="20% - 强调文字颜色 2 2 17 6 2" xfId="5185" xr:uid="{00000000-0005-0000-0000-00006B040000}"/>
    <cellStyle name="20% - 强调文字颜色 2 2 17 6 2 2" xfId="6108" xr:uid="{00000000-0005-0000-0000-00006C040000}"/>
    <cellStyle name="20% - 强调文字颜色 2 2 17 6 2 3" xfId="6116" xr:uid="{00000000-0005-0000-0000-00006D040000}"/>
    <cellStyle name="20% - 强调文字颜色 2 2 17 6 3" xfId="5191" xr:uid="{00000000-0005-0000-0000-00006E040000}"/>
    <cellStyle name="20% - 强调文字颜色 2 2 17 6 4" xfId="6119" xr:uid="{00000000-0005-0000-0000-00006F040000}"/>
    <cellStyle name="20% - 强调文字颜色 2 2 17 6 5" xfId="6122" xr:uid="{00000000-0005-0000-0000-000070040000}"/>
    <cellStyle name="20% - 强调文字颜色 2 2 17 6 6" xfId="6126" xr:uid="{00000000-0005-0000-0000-000071040000}"/>
    <cellStyle name="20% - 强调文字颜色 2 2 17 6 7" xfId="6131" xr:uid="{00000000-0005-0000-0000-000072040000}"/>
    <cellStyle name="20% - 强调文字颜色 2 2 17 6 8" xfId="6137" xr:uid="{00000000-0005-0000-0000-000073040000}"/>
    <cellStyle name="20% - 强调文字颜色 2 2 17 7" xfId="6138" xr:uid="{00000000-0005-0000-0000-000074040000}"/>
    <cellStyle name="20% - 强调文字颜色 2 2 17 8" xfId="6150" xr:uid="{00000000-0005-0000-0000-000075040000}"/>
    <cellStyle name="20% - 强调文字颜色 2 2 17 9" xfId="6158" xr:uid="{00000000-0005-0000-0000-000076040000}"/>
    <cellStyle name="20% - 强调文字颜色 2 2 17 9 2" xfId="6159" xr:uid="{00000000-0005-0000-0000-000077040000}"/>
    <cellStyle name="20% - 强调文字颜色 2 2 17 9 3" xfId="6162" xr:uid="{00000000-0005-0000-0000-000078040000}"/>
    <cellStyle name="20% - 强调文字颜色 2 2 18" xfId="1908" xr:uid="{00000000-0005-0000-0000-000079040000}"/>
    <cellStyle name="20% - 强调文字颜色 2 2 18 10" xfId="3057" xr:uid="{00000000-0005-0000-0000-00007A040000}"/>
    <cellStyle name="20% - 强调文字颜色 2 2 18 11" xfId="3087" xr:uid="{00000000-0005-0000-0000-00007B040000}"/>
    <cellStyle name="20% - 强调文字颜色 2 2 18 12" xfId="3091" xr:uid="{00000000-0005-0000-0000-00007C040000}"/>
    <cellStyle name="20% - 强调文字颜色 2 2 18 13" xfId="3095" xr:uid="{00000000-0005-0000-0000-00007D040000}"/>
    <cellStyle name="20% - 强调文字颜色 2 2 18 14" xfId="6165" xr:uid="{00000000-0005-0000-0000-00007E040000}"/>
    <cellStyle name="20% - 强调文字颜色 2 2 18 2" xfId="6168" xr:uid="{00000000-0005-0000-0000-00007F040000}"/>
    <cellStyle name="20% - 强调文字颜色 2 2 18 3" xfId="6171" xr:uid="{00000000-0005-0000-0000-000080040000}"/>
    <cellStyle name="20% - 强调文字颜色 2 2 18 4" xfId="6176" xr:uid="{00000000-0005-0000-0000-000081040000}"/>
    <cellStyle name="20% - 强调文字颜色 2 2 18 5" xfId="6181" xr:uid="{00000000-0005-0000-0000-000082040000}"/>
    <cellStyle name="20% - 强调文字颜色 2 2 18 5 10" xfId="6183" xr:uid="{00000000-0005-0000-0000-000083040000}"/>
    <cellStyle name="20% - 强调文字颜色 2 2 18 5 11" xfId="1249" xr:uid="{00000000-0005-0000-0000-000084040000}"/>
    <cellStyle name="20% - 强调文字颜色 2 2 18 5 2" xfId="6184" xr:uid="{00000000-0005-0000-0000-000085040000}"/>
    <cellStyle name="20% - 强调文字颜色 2 2 18 5 2 2" xfId="4287" xr:uid="{00000000-0005-0000-0000-000086040000}"/>
    <cellStyle name="20% - 强调文字颜色 2 2 18 5 2 2 2" xfId="2798" xr:uid="{00000000-0005-0000-0000-000087040000}"/>
    <cellStyle name="20% - 强调文字颜色 2 2 18 5 2 2 3" xfId="2805" xr:uid="{00000000-0005-0000-0000-000088040000}"/>
    <cellStyle name="20% - 强调文字颜色 2 2 18 5 2 3" xfId="4298" xr:uid="{00000000-0005-0000-0000-000089040000}"/>
    <cellStyle name="20% - 强调文字颜色 2 2 18 5 2 4" xfId="3964" xr:uid="{00000000-0005-0000-0000-00008A040000}"/>
    <cellStyle name="20% - 强调文字颜色 2 2 18 5 2 5" xfId="3989" xr:uid="{00000000-0005-0000-0000-00008B040000}"/>
    <cellStyle name="20% - 强调文字颜色 2 2 18 5 2 6" xfId="4922" xr:uid="{00000000-0005-0000-0000-00008C040000}"/>
    <cellStyle name="20% - 强调文字颜色 2 2 18 5 2 7" xfId="5224" xr:uid="{00000000-0005-0000-0000-00008D040000}"/>
    <cellStyle name="20% - 强调文字颜色 2 2 18 5 2 8" xfId="2845" xr:uid="{00000000-0005-0000-0000-00008E040000}"/>
    <cellStyle name="20% - 强调文字颜色 2 2 18 5 3" xfId="6186" xr:uid="{00000000-0005-0000-0000-00008F040000}"/>
    <cellStyle name="20% - 强调文字颜色 2 2 18 5 4" xfId="6188" xr:uid="{00000000-0005-0000-0000-000090040000}"/>
    <cellStyle name="20% - 强调文字颜色 2 2 18 5 5" xfId="6190" xr:uid="{00000000-0005-0000-0000-000091040000}"/>
    <cellStyle name="20% - 强调文字颜色 2 2 18 5 6" xfId="6192" xr:uid="{00000000-0005-0000-0000-000092040000}"/>
    <cellStyle name="20% - 强调文字颜色 2 2 18 5 6 2" xfId="6193" xr:uid="{00000000-0005-0000-0000-000093040000}"/>
    <cellStyle name="20% - 强调文字颜色 2 2 18 5 6 3" xfId="6202" xr:uid="{00000000-0005-0000-0000-000094040000}"/>
    <cellStyle name="20% - 强调文字颜色 2 2 18 5 7" xfId="6210" xr:uid="{00000000-0005-0000-0000-000095040000}"/>
    <cellStyle name="20% - 强调文字颜色 2 2 18 5 8" xfId="6213" xr:uid="{00000000-0005-0000-0000-000096040000}"/>
    <cellStyle name="20% - 强调文字颜色 2 2 18 5 9" xfId="366" xr:uid="{00000000-0005-0000-0000-000097040000}"/>
    <cellStyle name="20% - 强调文字颜色 2 2 18 6" xfId="6216" xr:uid="{00000000-0005-0000-0000-000098040000}"/>
    <cellStyle name="20% - 强调文字颜色 2 2 18 6 2" xfId="343" xr:uid="{00000000-0005-0000-0000-000099040000}"/>
    <cellStyle name="20% - 强调文字颜色 2 2 18 6 2 2" xfId="6226" xr:uid="{00000000-0005-0000-0000-00009A040000}"/>
    <cellStyle name="20% - 强调文字颜色 2 2 18 6 2 3" xfId="6230" xr:uid="{00000000-0005-0000-0000-00009B040000}"/>
    <cellStyle name="20% - 强调文字颜色 2 2 18 6 3" xfId="331" xr:uid="{00000000-0005-0000-0000-00009C040000}"/>
    <cellStyle name="20% - 强调文字颜色 2 2 18 6 4" xfId="606" xr:uid="{00000000-0005-0000-0000-00009D040000}"/>
    <cellStyle name="20% - 强调文字颜色 2 2 18 6 5" xfId="623" xr:uid="{00000000-0005-0000-0000-00009E040000}"/>
    <cellStyle name="20% - 强调文字颜色 2 2 18 6 6" xfId="653" xr:uid="{00000000-0005-0000-0000-00009F040000}"/>
    <cellStyle name="20% - 强调文字颜色 2 2 18 6 7" xfId="6235" xr:uid="{00000000-0005-0000-0000-0000A0040000}"/>
    <cellStyle name="20% - 强调文字颜色 2 2 18 6 8" xfId="6239" xr:uid="{00000000-0005-0000-0000-0000A1040000}"/>
    <cellStyle name="20% - 强调文字颜色 2 2 18 7" xfId="6242" xr:uid="{00000000-0005-0000-0000-0000A2040000}"/>
    <cellStyle name="20% - 强调文字颜色 2 2 18 8" xfId="6246" xr:uid="{00000000-0005-0000-0000-0000A3040000}"/>
    <cellStyle name="20% - 强调文字颜色 2 2 18 9" xfId="6250" xr:uid="{00000000-0005-0000-0000-0000A4040000}"/>
    <cellStyle name="20% - 强调文字颜色 2 2 18 9 2" xfId="6254" xr:uid="{00000000-0005-0000-0000-0000A5040000}"/>
    <cellStyle name="20% - 强调文字颜色 2 2 18 9 3" xfId="6256" xr:uid="{00000000-0005-0000-0000-0000A6040000}"/>
    <cellStyle name="20% - 强调文字颜色 2 2 19" xfId="1934" xr:uid="{00000000-0005-0000-0000-0000A7040000}"/>
    <cellStyle name="20% - 强调文字颜色 2 2 19 10" xfId="6264" xr:uid="{00000000-0005-0000-0000-0000A8040000}"/>
    <cellStyle name="20% - 强调文字颜色 2 2 19 11" xfId="6272" xr:uid="{00000000-0005-0000-0000-0000A9040000}"/>
    <cellStyle name="20% - 强调文字颜色 2 2 19 12" xfId="6280" xr:uid="{00000000-0005-0000-0000-0000AA040000}"/>
    <cellStyle name="20% - 强调文字颜色 2 2 19 13" xfId="4831" xr:uid="{00000000-0005-0000-0000-0000AB040000}"/>
    <cellStyle name="20% - 强调文字颜色 2 2 19 14" xfId="4854" xr:uid="{00000000-0005-0000-0000-0000AC040000}"/>
    <cellStyle name="20% - 强调文字颜色 2 2 19 2" xfId="6288" xr:uid="{00000000-0005-0000-0000-0000AD040000}"/>
    <cellStyle name="20% - 强调文字颜色 2 2 19 3" xfId="6296" xr:uid="{00000000-0005-0000-0000-0000AE040000}"/>
    <cellStyle name="20% - 强调文字颜色 2 2 19 4" xfId="635" xr:uid="{00000000-0005-0000-0000-0000AF040000}"/>
    <cellStyle name="20% - 强调文字颜色 2 2 19 5" xfId="665" xr:uid="{00000000-0005-0000-0000-0000B0040000}"/>
    <cellStyle name="20% - 强调文字颜色 2 2 19 5 10" xfId="6299" xr:uid="{00000000-0005-0000-0000-0000B1040000}"/>
    <cellStyle name="20% - 强调文字颜色 2 2 19 5 11" xfId="6303" xr:uid="{00000000-0005-0000-0000-0000B2040000}"/>
    <cellStyle name="20% - 强调文字颜色 2 2 19 5 2" xfId="6308" xr:uid="{00000000-0005-0000-0000-0000B3040000}"/>
    <cellStyle name="20% - 强调文字颜色 2 2 19 5 2 2" xfId="6310" xr:uid="{00000000-0005-0000-0000-0000B4040000}"/>
    <cellStyle name="20% - 强调文字颜色 2 2 19 5 2 2 2" xfId="6311" xr:uid="{00000000-0005-0000-0000-0000B5040000}"/>
    <cellStyle name="20% - 强调文字颜色 2 2 19 5 2 2 3" xfId="6312" xr:uid="{00000000-0005-0000-0000-0000B6040000}"/>
    <cellStyle name="20% - 强调文字颜色 2 2 19 5 2 3" xfId="6314" xr:uid="{00000000-0005-0000-0000-0000B7040000}"/>
    <cellStyle name="20% - 强调文字颜色 2 2 19 5 2 4" xfId="6319" xr:uid="{00000000-0005-0000-0000-0000B8040000}"/>
    <cellStyle name="20% - 强调文字颜色 2 2 19 5 2 5" xfId="6323" xr:uid="{00000000-0005-0000-0000-0000B9040000}"/>
    <cellStyle name="20% - 强调文字颜色 2 2 19 5 2 6" xfId="6329" xr:uid="{00000000-0005-0000-0000-0000BA040000}"/>
    <cellStyle name="20% - 强调文字颜色 2 2 19 5 2 7" xfId="6335" xr:uid="{00000000-0005-0000-0000-0000BB040000}"/>
    <cellStyle name="20% - 强调文字颜色 2 2 19 5 2 8" xfId="3403" xr:uid="{00000000-0005-0000-0000-0000BC040000}"/>
    <cellStyle name="20% - 强调文字颜色 2 2 19 5 3" xfId="6337" xr:uid="{00000000-0005-0000-0000-0000BD040000}"/>
    <cellStyle name="20% - 强调文字颜色 2 2 19 5 4" xfId="6340" xr:uid="{00000000-0005-0000-0000-0000BE040000}"/>
    <cellStyle name="20% - 强调文字颜色 2 2 19 5 5" xfId="6344" xr:uid="{00000000-0005-0000-0000-0000BF040000}"/>
    <cellStyle name="20% - 强调文字颜色 2 2 19 5 6" xfId="6348" xr:uid="{00000000-0005-0000-0000-0000C0040000}"/>
    <cellStyle name="20% - 强调文字颜色 2 2 19 5 6 2" xfId="6351" xr:uid="{00000000-0005-0000-0000-0000C1040000}"/>
    <cellStyle name="20% - 强调文字颜色 2 2 19 5 6 3" xfId="6353" xr:uid="{00000000-0005-0000-0000-0000C2040000}"/>
    <cellStyle name="20% - 强调文字颜色 2 2 19 5 7" xfId="6356" xr:uid="{00000000-0005-0000-0000-0000C3040000}"/>
    <cellStyle name="20% - 强调文字颜色 2 2 19 5 8" xfId="6360" xr:uid="{00000000-0005-0000-0000-0000C4040000}"/>
    <cellStyle name="20% - 强调文字颜色 2 2 19 5 9" xfId="6365" xr:uid="{00000000-0005-0000-0000-0000C5040000}"/>
    <cellStyle name="20% - 强调文字颜色 2 2 19 6" xfId="1905" xr:uid="{00000000-0005-0000-0000-0000C6040000}"/>
    <cellStyle name="20% - 强调文字颜色 2 2 19 6 2" xfId="686" xr:uid="{00000000-0005-0000-0000-0000C7040000}"/>
    <cellStyle name="20% - 强调文字颜色 2 2 19 6 2 2" xfId="6369" xr:uid="{00000000-0005-0000-0000-0000C8040000}"/>
    <cellStyle name="20% - 强调文字颜色 2 2 19 6 2 3" xfId="6375" xr:uid="{00000000-0005-0000-0000-0000C9040000}"/>
    <cellStyle name="20% - 强调文字颜色 2 2 19 6 3" xfId="718" xr:uid="{00000000-0005-0000-0000-0000CA040000}"/>
    <cellStyle name="20% - 强调文字颜色 2 2 19 6 4" xfId="6379" xr:uid="{00000000-0005-0000-0000-0000CB040000}"/>
    <cellStyle name="20% - 强调文字颜色 2 2 19 6 5" xfId="6383" xr:uid="{00000000-0005-0000-0000-0000CC040000}"/>
    <cellStyle name="20% - 强调文字颜色 2 2 19 6 6" xfId="6390" xr:uid="{00000000-0005-0000-0000-0000CD040000}"/>
    <cellStyle name="20% - 强调文字颜色 2 2 19 6 7" xfId="6397" xr:uid="{00000000-0005-0000-0000-0000CE040000}"/>
    <cellStyle name="20% - 强调文字颜色 2 2 19 6 8" xfId="6404" xr:uid="{00000000-0005-0000-0000-0000CF040000}"/>
    <cellStyle name="20% - 强调文字颜色 2 2 19 7" xfId="1931" xr:uid="{00000000-0005-0000-0000-0000D0040000}"/>
    <cellStyle name="20% - 强调文字颜色 2 2 19 8" xfId="1961" xr:uid="{00000000-0005-0000-0000-0000D1040000}"/>
    <cellStyle name="20% - 强调文字颜色 2 2 19 9" xfId="1857" xr:uid="{00000000-0005-0000-0000-0000D2040000}"/>
    <cellStyle name="20% - 强调文字颜色 2 2 19 9 2" xfId="6408" xr:uid="{00000000-0005-0000-0000-0000D3040000}"/>
    <cellStyle name="20% - 强调文字颜色 2 2 19 9 3" xfId="6410" xr:uid="{00000000-0005-0000-0000-0000D4040000}"/>
    <cellStyle name="20% - 强调文字颜色 2 2 2" xfId="3360" xr:uid="{00000000-0005-0000-0000-0000D5040000}"/>
    <cellStyle name="20% - 强调文字颜色 2 2 2 10" xfId="6415" xr:uid="{00000000-0005-0000-0000-0000D6040000}"/>
    <cellStyle name="20% - 强调文字颜色 2 2 2 11" xfId="6424" xr:uid="{00000000-0005-0000-0000-0000D7040000}"/>
    <cellStyle name="20% - 强调文字颜色 2 2 2 12" xfId="6430" xr:uid="{00000000-0005-0000-0000-0000D8040000}"/>
    <cellStyle name="20% - 强调文字颜色 2 2 2 13" xfId="6438" xr:uid="{00000000-0005-0000-0000-0000D9040000}"/>
    <cellStyle name="20% - 强调文字颜色 2 2 2 14" xfId="6447" xr:uid="{00000000-0005-0000-0000-0000DA040000}"/>
    <cellStyle name="20% - 强调文字颜色 2 2 2 2" xfId="3577" xr:uid="{00000000-0005-0000-0000-0000DB040000}"/>
    <cellStyle name="20% - 强调文字颜色 2 2 2 3" xfId="3582" xr:uid="{00000000-0005-0000-0000-0000DC040000}"/>
    <cellStyle name="20% - 强调文字颜色 2 2 2 4" xfId="3585" xr:uid="{00000000-0005-0000-0000-0000DD040000}"/>
    <cellStyle name="20% - 强调文字颜色 2 2 2 5" xfId="3600" xr:uid="{00000000-0005-0000-0000-0000DE040000}"/>
    <cellStyle name="20% - 强调文字颜色 2 2 2 6" xfId="5929" xr:uid="{00000000-0005-0000-0000-0000DF040000}"/>
    <cellStyle name="20% - 强调文字颜色 2 2 2 7" xfId="5941" xr:uid="{00000000-0005-0000-0000-0000E0040000}"/>
    <cellStyle name="20% - 强调文字颜色 2 2 2 8" xfId="5952" xr:uid="{00000000-0005-0000-0000-0000E1040000}"/>
    <cellStyle name="20% - 强调文字颜色 2 2 2 9" xfId="1494" xr:uid="{00000000-0005-0000-0000-0000E2040000}"/>
    <cellStyle name="20% - 强调文字颜色 2 2 20" xfId="6058" xr:uid="{00000000-0005-0000-0000-0000E3040000}"/>
    <cellStyle name="20% - 强调文字颜色 2 2 20 10" xfId="6455" xr:uid="{00000000-0005-0000-0000-0000E4040000}"/>
    <cellStyle name="20% - 强调文字颜色 2 2 20 11" xfId="6459" xr:uid="{00000000-0005-0000-0000-0000E5040000}"/>
    <cellStyle name="20% - 强调文字颜色 2 2 20 12" xfId="6463" xr:uid="{00000000-0005-0000-0000-0000E6040000}"/>
    <cellStyle name="20% - 强调文字颜色 2 2 20 13" xfId="6465" xr:uid="{00000000-0005-0000-0000-0000E7040000}"/>
    <cellStyle name="20% - 强调文字颜色 2 2 20 14" xfId="6475" xr:uid="{00000000-0005-0000-0000-0000E8040000}"/>
    <cellStyle name="20% - 强调文字颜色 2 2 20 2" xfId="4257" xr:uid="{00000000-0005-0000-0000-0000E9040000}"/>
    <cellStyle name="20% - 强调文字颜色 2 2 20 3" xfId="6480" xr:uid="{00000000-0005-0000-0000-0000EA040000}"/>
    <cellStyle name="20% - 强调文字颜色 2 2 20 4" xfId="6487" xr:uid="{00000000-0005-0000-0000-0000EB040000}"/>
    <cellStyle name="20% - 强调文字颜色 2 2 20 5" xfId="6494" xr:uid="{00000000-0005-0000-0000-0000EC040000}"/>
    <cellStyle name="20% - 强调文字颜色 2 2 20 5 10" xfId="6501" xr:uid="{00000000-0005-0000-0000-0000ED040000}"/>
    <cellStyle name="20% - 强调文字颜色 2 2 20 5 11" xfId="5869" xr:uid="{00000000-0005-0000-0000-0000EE040000}"/>
    <cellStyle name="20% - 强调文字颜色 2 2 20 5 2" xfId="6278" xr:uid="{00000000-0005-0000-0000-0000EF040000}"/>
    <cellStyle name="20% - 强调文字颜色 2 2 20 5 2 2" xfId="6503" xr:uid="{00000000-0005-0000-0000-0000F0040000}"/>
    <cellStyle name="20% - 强调文字颜色 2 2 20 5 2 2 2" xfId="6508" xr:uid="{00000000-0005-0000-0000-0000F1040000}"/>
    <cellStyle name="20% - 强调文字颜色 2 2 20 5 2 2 3" xfId="6509" xr:uid="{00000000-0005-0000-0000-0000F2040000}"/>
    <cellStyle name="20% - 强调文字颜色 2 2 20 5 2 3" xfId="6512" xr:uid="{00000000-0005-0000-0000-0000F3040000}"/>
    <cellStyle name="20% - 强调文字颜色 2 2 20 5 2 4" xfId="284" xr:uid="{00000000-0005-0000-0000-0000F4040000}"/>
    <cellStyle name="20% - 强调文字颜色 2 2 20 5 2 5" xfId="6519" xr:uid="{00000000-0005-0000-0000-0000F5040000}"/>
    <cellStyle name="20% - 强调文字颜色 2 2 20 5 2 6" xfId="6526" xr:uid="{00000000-0005-0000-0000-0000F6040000}"/>
    <cellStyle name="20% - 强调文字颜色 2 2 20 5 2 7" xfId="1099" xr:uid="{00000000-0005-0000-0000-0000F7040000}"/>
    <cellStyle name="20% - 强调文字颜色 2 2 20 5 2 8" xfId="1156" xr:uid="{00000000-0005-0000-0000-0000F8040000}"/>
    <cellStyle name="20% - 强调文字颜色 2 2 20 5 3" xfId="4828" xr:uid="{00000000-0005-0000-0000-0000F9040000}"/>
    <cellStyle name="20% - 强调文字颜色 2 2 20 5 4" xfId="4850" xr:uid="{00000000-0005-0000-0000-0000FA040000}"/>
    <cellStyle name="20% - 强调文字颜色 2 2 20 5 5" xfId="4863" xr:uid="{00000000-0005-0000-0000-0000FB040000}"/>
    <cellStyle name="20% - 强调文字颜色 2 2 20 5 6" xfId="4867" xr:uid="{00000000-0005-0000-0000-0000FC040000}"/>
    <cellStyle name="20% - 强调文字颜色 2 2 20 5 6 2" xfId="6531" xr:uid="{00000000-0005-0000-0000-0000FD040000}"/>
    <cellStyle name="20% - 强调文字颜色 2 2 20 5 6 3" xfId="6535" xr:uid="{00000000-0005-0000-0000-0000FE040000}"/>
    <cellStyle name="20% - 强调文字颜色 2 2 20 5 7" xfId="4872" xr:uid="{00000000-0005-0000-0000-0000FF040000}"/>
    <cellStyle name="20% - 强调文字颜色 2 2 20 5 8" xfId="4880" xr:uid="{00000000-0005-0000-0000-000000050000}"/>
    <cellStyle name="20% - 强调文字颜色 2 2 20 5 9" xfId="1108" xr:uid="{00000000-0005-0000-0000-000001050000}"/>
    <cellStyle name="20% - 强调文字颜色 2 2 20 6" xfId="6538" xr:uid="{00000000-0005-0000-0000-000002050000}"/>
    <cellStyle name="20% - 强调文字颜色 2 2 20 6 2" xfId="6541" xr:uid="{00000000-0005-0000-0000-000003050000}"/>
    <cellStyle name="20% - 强调文字颜色 2 2 20 6 2 2" xfId="6551" xr:uid="{00000000-0005-0000-0000-000004050000}"/>
    <cellStyle name="20% - 强调文字颜色 2 2 20 6 2 3" xfId="6560" xr:uid="{00000000-0005-0000-0000-000005050000}"/>
    <cellStyle name="20% - 强调文字颜色 2 2 20 6 3" xfId="6563" xr:uid="{00000000-0005-0000-0000-000006050000}"/>
    <cellStyle name="20% - 强调文字颜色 2 2 20 6 4" xfId="6568" xr:uid="{00000000-0005-0000-0000-000007050000}"/>
    <cellStyle name="20% - 强调文字颜色 2 2 20 6 5" xfId="6574" xr:uid="{00000000-0005-0000-0000-000008050000}"/>
    <cellStyle name="20% - 强调文字颜色 2 2 20 6 6" xfId="6579" xr:uid="{00000000-0005-0000-0000-000009050000}"/>
    <cellStyle name="20% - 强调文字颜色 2 2 20 6 7" xfId="6584" xr:uid="{00000000-0005-0000-0000-00000A050000}"/>
    <cellStyle name="20% - 强调文字颜色 2 2 20 6 8" xfId="6587" xr:uid="{00000000-0005-0000-0000-00000B050000}"/>
    <cellStyle name="20% - 强调文字颜色 2 2 20 7" xfId="6596" xr:uid="{00000000-0005-0000-0000-00000C050000}"/>
    <cellStyle name="20% - 强调文字颜色 2 2 20 8" xfId="6601" xr:uid="{00000000-0005-0000-0000-00000D050000}"/>
    <cellStyle name="20% - 强调文字颜色 2 2 20 9" xfId="1483" xr:uid="{00000000-0005-0000-0000-00000E050000}"/>
    <cellStyle name="20% - 强调文字颜色 2 2 20 9 2" xfId="1493" xr:uid="{00000000-0005-0000-0000-00000F050000}"/>
    <cellStyle name="20% - 强调文字颜色 2 2 20 9 3" xfId="238" xr:uid="{00000000-0005-0000-0000-000010050000}"/>
    <cellStyle name="20% - 强调文字颜色 2 2 3" xfId="6605" xr:uid="{00000000-0005-0000-0000-000011050000}"/>
    <cellStyle name="20% - 强调文字颜色 2 2 3 10" xfId="3876" xr:uid="{00000000-0005-0000-0000-000012050000}"/>
    <cellStyle name="20% - 强调文字颜色 2 2 3 11" xfId="3883" xr:uid="{00000000-0005-0000-0000-000013050000}"/>
    <cellStyle name="20% - 强调文字颜色 2 2 3 12" xfId="4303" xr:uid="{00000000-0005-0000-0000-000014050000}"/>
    <cellStyle name="20% - 强调文字颜色 2 2 3 13" xfId="4560" xr:uid="{00000000-0005-0000-0000-000015050000}"/>
    <cellStyle name="20% - 强调文字颜色 2 2 3 14" xfId="4582" xr:uid="{00000000-0005-0000-0000-000016050000}"/>
    <cellStyle name="20% - 强调文字颜色 2 2 3 2" xfId="6606" xr:uid="{00000000-0005-0000-0000-000017050000}"/>
    <cellStyle name="20% - 强调文字颜色 2 2 3 3" xfId="6612" xr:uid="{00000000-0005-0000-0000-000018050000}"/>
    <cellStyle name="20% - 强调文字颜色 2 2 3 4" xfId="5961" xr:uid="{00000000-0005-0000-0000-000019050000}"/>
    <cellStyle name="20% - 强调文字颜色 2 2 3 5" xfId="5978" xr:uid="{00000000-0005-0000-0000-00001A050000}"/>
    <cellStyle name="20% - 强调文字颜色 2 2 3 6" xfId="5982" xr:uid="{00000000-0005-0000-0000-00001B050000}"/>
    <cellStyle name="20% - 强调文字颜色 2 2 3 7" xfId="5987" xr:uid="{00000000-0005-0000-0000-00001C050000}"/>
    <cellStyle name="20% - 强调文字颜色 2 2 3 8" xfId="5993" xr:uid="{00000000-0005-0000-0000-00001D050000}"/>
    <cellStyle name="20% - 强调文字颜色 2 2 3 9" xfId="6001" xr:uid="{00000000-0005-0000-0000-00001E050000}"/>
    <cellStyle name="20% - 强调文字颜色 2 2 4" xfId="6620" xr:uid="{00000000-0005-0000-0000-00001F050000}"/>
    <cellStyle name="20% - 强调文字颜色 2 2 4 10" xfId="6628" xr:uid="{00000000-0005-0000-0000-000020050000}"/>
    <cellStyle name="20% - 强调文字颜色 2 2 4 11" xfId="6635" xr:uid="{00000000-0005-0000-0000-000021050000}"/>
    <cellStyle name="20% - 强调文字颜色 2 2 4 12" xfId="6641" xr:uid="{00000000-0005-0000-0000-000022050000}"/>
    <cellStyle name="20% - 强调文字颜色 2 2 4 13" xfId="6648" xr:uid="{00000000-0005-0000-0000-000023050000}"/>
    <cellStyle name="20% - 强调文字颜色 2 2 4 14" xfId="6655" xr:uid="{00000000-0005-0000-0000-000024050000}"/>
    <cellStyle name="20% - 强调文字颜色 2 2 4 2" xfId="992" xr:uid="{00000000-0005-0000-0000-000025050000}"/>
    <cellStyle name="20% - 强调文字颜色 2 2 4 3" xfId="1014" xr:uid="{00000000-0005-0000-0000-000026050000}"/>
    <cellStyle name="20% - 强调文字颜色 2 2 4 4" xfId="1046" xr:uid="{00000000-0005-0000-0000-000027050000}"/>
    <cellStyle name="20% - 强调文字颜色 2 2 4 5" xfId="1066" xr:uid="{00000000-0005-0000-0000-000028050000}"/>
    <cellStyle name="20% - 强调文字颜色 2 2 4 6" xfId="1089" xr:uid="{00000000-0005-0000-0000-000029050000}"/>
    <cellStyle name="20% - 强调文字颜色 2 2 4 7" xfId="6656" xr:uid="{00000000-0005-0000-0000-00002A050000}"/>
    <cellStyle name="20% - 强调文字颜色 2 2 4 8" xfId="6659" xr:uid="{00000000-0005-0000-0000-00002B050000}"/>
    <cellStyle name="20% - 强调文字颜色 2 2 4 9" xfId="6663" xr:uid="{00000000-0005-0000-0000-00002C050000}"/>
    <cellStyle name="20% - 强调文字颜色 2 2 5" xfId="6668" xr:uid="{00000000-0005-0000-0000-00002D050000}"/>
    <cellStyle name="20% - 强调文字颜色 2 2 6" xfId="6673" xr:uid="{00000000-0005-0000-0000-00002E050000}"/>
    <cellStyle name="20% - 强调文字颜色 2 2 7" xfId="6679" xr:uid="{00000000-0005-0000-0000-00002F050000}"/>
    <cellStyle name="20% - 强调文字颜色 2 2 8" xfId="6685" xr:uid="{00000000-0005-0000-0000-000030050000}"/>
    <cellStyle name="20% - 强调文字颜色 2 2 9" xfId="6691" xr:uid="{00000000-0005-0000-0000-000031050000}"/>
    <cellStyle name="20% - 强调文字颜色 2 3" xfId="6696" xr:uid="{00000000-0005-0000-0000-000032050000}"/>
    <cellStyle name="20% - 强调文字颜色 2 3 10" xfId="6704" xr:uid="{00000000-0005-0000-0000-000033050000}"/>
    <cellStyle name="20% - 强调文字颜色 2 3 11" xfId="6709" xr:uid="{00000000-0005-0000-0000-000034050000}"/>
    <cellStyle name="20% - 强调文字颜色 2 3 12" xfId="6714" xr:uid="{00000000-0005-0000-0000-000035050000}"/>
    <cellStyle name="20% - 强调文字颜色 2 3 13" xfId="6718" xr:uid="{00000000-0005-0000-0000-000036050000}"/>
    <cellStyle name="20% - 强调文字颜色 2 3 14" xfId="6720" xr:uid="{00000000-0005-0000-0000-000037050000}"/>
    <cellStyle name="20% - 强调文字颜色 2 3 15" xfId="6722" xr:uid="{00000000-0005-0000-0000-000038050000}"/>
    <cellStyle name="20% - 强调文字颜色 2 3 16" xfId="434" xr:uid="{00000000-0005-0000-0000-000039050000}"/>
    <cellStyle name="20% - 强调文字颜色 2 3 17" xfId="6726" xr:uid="{00000000-0005-0000-0000-00003A050000}"/>
    <cellStyle name="20% - 强调文字颜色 2 3 17 10" xfId="540" xr:uid="{00000000-0005-0000-0000-00003B050000}"/>
    <cellStyle name="20% - 强调文字颜色 2 3 17 11" xfId="564" xr:uid="{00000000-0005-0000-0000-00003C050000}"/>
    <cellStyle name="20% - 强调文字颜色 2 3 17 12" xfId="409" xr:uid="{00000000-0005-0000-0000-00003D050000}"/>
    <cellStyle name="20% - 强调文字颜色 2 3 17 13" xfId="289" xr:uid="{00000000-0005-0000-0000-00003E050000}"/>
    <cellStyle name="20% - 强调文字颜色 2 3 17 14" xfId="637" xr:uid="{00000000-0005-0000-0000-00003F050000}"/>
    <cellStyle name="20% - 强调文字颜色 2 3 17 2" xfId="6072" xr:uid="{00000000-0005-0000-0000-000040050000}"/>
    <cellStyle name="20% - 强调文字颜色 2 3 17 2 2" xfId="6728" xr:uid="{00000000-0005-0000-0000-000041050000}"/>
    <cellStyle name="20% - 强调文字颜色 2 3 17 3" xfId="1896" xr:uid="{00000000-0005-0000-0000-000042050000}"/>
    <cellStyle name="20% - 强调文字颜色 2 3 17 4" xfId="1922" xr:uid="{00000000-0005-0000-0000-000043050000}"/>
    <cellStyle name="20% - 强调文字颜色 2 3 17 5" xfId="1946" xr:uid="{00000000-0005-0000-0000-000044050000}"/>
    <cellStyle name="20% - 强调文字颜色 2 3 17 5 10" xfId="6261" xr:uid="{00000000-0005-0000-0000-000045050000}"/>
    <cellStyle name="20% - 强调文字颜色 2 3 17 5 11" xfId="6270" xr:uid="{00000000-0005-0000-0000-000046050000}"/>
    <cellStyle name="20% - 强调文字颜色 2 3 17 5 2" xfId="6285" xr:uid="{00000000-0005-0000-0000-000047050000}"/>
    <cellStyle name="20% - 强调文字颜色 2 3 17 5 2 2" xfId="6729" xr:uid="{00000000-0005-0000-0000-000048050000}"/>
    <cellStyle name="20% - 强调文字颜色 2 3 17 5 2 2 2" xfId="3619" xr:uid="{00000000-0005-0000-0000-000049050000}"/>
    <cellStyle name="20% - 强调文字颜色 2 3 17 5 2 2 3" xfId="312" xr:uid="{00000000-0005-0000-0000-00004A050000}"/>
    <cellStyle name="20% - 强调文字颜色 2 3 17 5 2 3" xfId="6730" xr:uid="{00000000-0005-0000-0000-00004B050000}"/>
    <cellStyle name="20% - 强调文字颜色 2 3 17 5 2 4" xfId="6733" xr:uid="{00000000-0005-0000-0000-00004C050000}"/>
    <cellStyle name="20% - 强调文字颜色 2 3 17 5 2 5" xfId="6735" xr:uid="{00000000-0005-0000-0000-00004D050000}"/>
    <cellStyle name="20% - 强调文字颜色 2 3 17 5 2 6" xfId="6742" xr:uid="{00000000-0005-0000-0000-00004E050000}"/>
    <cellStyle name="20% - 强调文字颜色 2 3 17 5 2 7" xfId="6752" xr:uid="{00000000-0005-0000-0000-00004F050000}"/>
    <cellStyle name="20% - 强调文字颜色 2 3 17 5 2 8" xfId="6764" xr:uid="{00000000-0005-0000-0000-000050050000}"/>
    <cellStyle name="20% - 强调文字颜色 2 3 17 5 3" xfId="6292" xr:uid="{00000000-0005-0000-0000-000051050000}"/>
    <cellStyle name="20% - 强调文字颜色 2 3 17 5 4" xfId="633" xr:uid="{00000000-0005-0000-0000-000052050000}"/>
    <cellStyle name="20% - 强调文字颜色 2 3 17 5 5" xfId="661" xr:uid="{00000000-0005-0000-0000-000053050000}"/>
    <cellStyle name="20% - 强调文字颜色 2 3 17 5 6" xfId="1902" xr:uid="{00000000-0005-0000-0000-000054050000}"/>
    <cellStyle name="20% - 强调文字颜色 2 3 17 5 6 2" xfId="677" xr:uid="{00000000-0005-0000-0000-000055050000}"/>
    <cellStyle name="20% - 强调文字颜色 2 3 17 5 6 3" xfId="708" xr:uid="{00000000-0005-0000-0000-000056050000}"/>
    <cellStyle name="20% - 强调文字颜色 2 3 17 5 7" xfId="1928" xr:uid="{00000000-0005-0000-0000-000057050000}"/>
    <cellStyle name="20% - 强调文字颜色 2 3 17 5 8" xfId="1953" xr:uid="{00000000-0005-0000-0000-000058050000}"/>
    <cellStyle name="20% - 强调文字颜色 2 3 17 5 9" xfId="1840" xr:uid="{00000000-0005-0000-0000-000059050000}"/>
    <cellStyle name="20% - 强调文字颜色 2 3 17 6" xfId="1834" xr:uid="{00000000-0005-0000-0000-00005A050000}"/>
    <cellStyle name="20% - 强调文字颜色 2 3 17 6 2" xfId="6315" xr:uid="{00000000-0005-0000-0000-00005B050000}"/>
    <cellStyle name="20% - 强调文字颜色 2 3 17 6 2 2" xfId="6775" xr:uid="{00000000-0005-0000-0000-00005C050000}"/>
    <cellStyle name="20% - 强调文字颜色 2 3 17 6 2 3" xfId="6789" xr:uid="{00000000-0005-0000-0000-00005D050000}"/>
    <cellStyle name="20% - 强调文字颜色 2 3 17 6 3" xfId="6320" xr:uid="{00000000-0005-0000-0000-00005E050000}"/>
    <cellStyle name="20% - 强调文字颜色 2 3 17 6 4" xfId="6324" xr:uid="{00000000-0005-0000-0000-00005F050000}"/>
    <cellStyle name="20% - 强调文字颜色 2 3 17 6 5" xfId="6330" xr:uid="{00000000-0005-0000-0000-000060050000}"/>
    <cellStyle name="20% - 强调文字颜色 2 3 17 6 6" xfId="3399" xr:uid="{00000000-0005-0000-0000-000061050000}"/>
    <cellStyle name="20% - 强调文字颜色 2 3 17 6 7" xfId="1432" xr:uid="{00000000-0005-0000-0000-000062050000}"/>
    <cellStyle name="20% - 强调文字颜色 2 3 17 6 8" xfId="1464" xr:uid="{00000000-0005-0000-0000-000063050000}"/>
    <cellStyle name="20% - 强调文字颜色 2 3 17 7" xfId="1866" xr:uid="{00000000-0005-0000-0000-000064050000}"/>
    <cellStyle name="20% - 强调文字颜色 2 3 17 8" xfId="5067" xr:uid="{00000000-0005-0000-0000-000065050000}"/>
    <cellStyle name="20% - 强调文字颜色 2 3 17 9" xfId="5078" xr:uid="{00000000-0005-0000-0000-000066050000}"/>
    <cellStyle name="20% - 强调文字颜色 2 3 17 9 2" xfId="6792" xr:uid="{00000000-0005-0000-0000-000067050000}"/>
    <cellStyle name="20% - 强调文字颜色 2 3 17 9 3" xfId="6795" xr:uid="{00000000-0005-0000-0000-000068050000}"/>
    <cellStyle name="20% - 强调文字颜色 2 3 18" xfId="6800" xr:uid="{00000000-0005-0000-0000-000069050000}"/>
    <cellStyle name="20% - 强调文字颜色 2 3 18 10" xfId="6802" xr:uid="{00000000-0005-0000-0000-00006A050000}"/>
    <cellStyle name="20% - 强调文字颜色 2 3 18 11" xfId="6803" xr:uid="{00000000-0005-0000-0000-00006B050000}"/>
    <cellStyle name="20% - 强调文字颜色 2 3 18 12" xfId="6804" xr:uid="{00000000-0005-0000-0000-00006C050000}"/>
    <cellStyle name="20% - 强调文字颜色 2 3 18 13" xfId="6805" xr:uid="{00000000-0005-0000-0000-00006D050000}"/>
    <cellStyle name="20% - 强调文字颜色 2 3 18 14" xfId="6808" xr:uid="{00000000-0005-0000-0000-00006E050000}"/>
    <cellStyle name="20% - 强调文字颜色 2 3 18 2" xfId="212" xr:uid="{00000000-0005-0000-0000-00006F050000}"/>
    <cellStyle name="20% - 强调文字颜色 2 3 18 3" xfId="6809" xr:uid="{00000000-0005-0000-0000-000070050000}"/>
    <cellStyle name="20% - 强调文字颜色 2 3 18 4" xfId="6815" xr:uid="{00000000-0005-0000-0000-000071050000}"/>
    <cellStyle name="20% - 强调文字颜色 2 3 18 5" xfId="6830" xr:uid="{00000000-0005-0000-0000-000072050000}"/>
    <cellStyle name="20% - 强调文字颜色 2 3 18 5 10" xfId="5029" xr:uid="{00000000-0005-0000-0000-000073050000}"/>
    <cellStyle name="20% - 强调文字颜色 2 3 18 5 11" xfId="6507" xr:uid="{00000000-0005-0000-0000-000074050000}"/>
    <cellStyle name="20% - 强调文字颜色 2 3 18 5 2" xfId="6831" xr:uid="{00000000-0005-0000-0000-000075050000}"/>
    <cellStyle name="20% - 强调文字颜色 2 3 18 5 2 2" xfId="6832" xr:uid="{00000000-0005-0000-0000-000076050000}"/>
    <cellStyle name="20% - 强调文字颜色 2 3 18 5 2 2 2" xfId="3104" xr:uid="{00000000-0005-0000-0000-000077050000}"/>
    <cellStyle name="20% - 强调文字颜色 2 3 18 5 2 2 3" xfId="3140" xr:uid="{00000000-0005-0000-0000-000078050000}"/>
    <cellStyle name="20% - 强调文字颜色 2 3 18 5 2 3" xfId="6833" xr:uid="{00000000-0005-0000-0000-000079050000}"/>
    <cellStyle name="20% - 强调文字颜色 2 3 18 5 2 4" xfId="6835" xr:uid="{00000000-0005-0000-0000-00007A050000}"/>
    <cellStyle name="20% - 强调文字颜色 2 3 18 5 2 5" xfId="6104" xr:uid="{00000000-0005-0000-0000-00007B050000}"/>
    <cellStyle name="20% - 强调文字颜色 2 3 18 5 2 6" xfId="6111" xr:uid="{00000000-0005-0000-0000-00007C050000}"/>
    <cellStyle name="20% - 强调文字颜色 2 3 18 5 2 7" xfId="6837" xr:uid="{00000000-0005-0000-0000-00007D050000}"/>
    <cellStyle name="20% - 强调文字颜色 2 3 18 5 2 8" xfId="6842" xr:uid="{00000000-0005-0000-0000-00007E050000}"/>
    <cellStyle name="20% - 强调文字颜色 2 3 18 5 3" xfId="6848" xr:uid="{00000000-0005-0000-0000-00007F050000}"/>
    <cellStyle name="20% - 强调文字颜色 2 3 18 5 4" xfId="6851" xr:uid="{00000000-0005-0000-0000-000080050000}"/>
    <cellStyle name="20% - 强调文字颜色 2 3 18 5 5" xfId="6853" xr:uid="{00000000-0005-0000-0000-000081050000}"/>
    <cellStyle name="20% - 强调文字颜色 2 3 18 5 6" xfId="5678" xr:uid="{00000000-0005-0000-0000-000082050000}"/>
    <cellStyle name="20% - 强调文字颜色 2 3 18 5 6 2" xfId="5482" xr:uid="{00000000-0005-0000-0000-000083050000}"/>
    <cellStyle name="20% - 强调文字颜色 2 3 18 5 6 3" xfId="6857" xr:uid="{00000000-0005-0000-0000-000084050000}"/>
    <cellStyle name="20% - 强调文字颜色 2 3 18 5 7" xfId="5684" xr:uid="{00000000-0005-0000-0000-000085050000}"/>
    <cellStyle name="20% - 强调文字颜色 2 3 18 5 8" xfId="6865" xr:uid="{00000000-0005-0000-0000-000086050000}"/>
    <cellStyle name="20% - 强调文字颜色 2 3 18 5 9" xfId="2326" xr:uid="{00000000-0005-0000-0000-000087050000}"/>
    <cellStyle name="20% - 强调文字颜色 2 3 18 6" xfId="6869" xr:uid="{00000000-0005-0000-0000-000088050000}"/>
    <cellStyle name="20% - 强调文字颜色 2 3 18 6 2" xfId="6870" xr:uid="{00000000-0005-0000-0000-000089050000}"/>
    <cellStyle name="20% - 强调文字颜色 2 3 18 6 2 2" xfId="4789" xr:uid="{00000000-0005-0000-0000-00008A050000}"/>
    <cellStyle name="20% - 强调文字颜色 2 3 18 6 2 3" xfId="4795" xr:uid="{00000000-0005-0000-0000-00008B050000}"/>
    <cellStyle name="20% - 强调文字颜色 2 3 18 6 3" xfId="6877" xr:uid="{00000000-0005-0000-0000-00008C050000}"/>
    <cellStyle name="20% - 强调文字颜色 2 3 18 6 4" xfId="6879" xr:uid="{00000000-0005-0000-0000-00008D050000}"/>
    <cellStyle name="20% - 强调文字颜色 2 3 18 6 5" xfId="6882" xr:uid="{00000000-0005-0000-0000-00008E050000}"/>
    <cellStyle name="20% - 强调文字颜色 2 3 18 6 6" xfId="6885" xr:uid="{00000000-0005-0000-0000-00008F050000}"/>
    <cellStyle name="20% - 强调文字颜色 2 3 18 6 7" xfId="6886" xr:uid="{00000000-0005-0000-0000-000090050000}"/>
    <cellStyle name="20% - 强调文字颜色 2 3 18 6 8" xfId="3433" xr:uid="{00000000-0005-0000-0000-000091050000}"/>
    <cellStyle name="20% - 强调文字颜色 2 3 18 7" xfId="6890" xr:uid="{00000000-0005-0000-0000-000092050000}"/>
    <cellStyle name="20% - 强调文字颜色 2 3 18 8" xfId="6894" xr:uid="{00000000-0005-0000-0000-000093050000}"/>
    <cellStyle name="20% - 强调文字颜色 2 3 18 9" xfId="6898" xr:uid="{00000000-0005-0000-0000-000094050000}"/>
    <cellStyle name="20% - 强调文字颜色 2 3 18 9 2" xfId="6903" xr:uid="{00000000-0005-0000-0000-000095050000}"/>
    <cellStyle name="20% - 强调文字颜色 2 3 18 9 3" xfId="3205" xr:uid="{00000000-0005-0000-0000-000096050000}"/>
    <cellStyle name="20% - 强调文字颜色 2 3 19" xfId="6909" xr:uid="{00000000-0005-0000-0000-000097050000}"/>
    <cellStyle name="20% - 强调文字颜色 2 3 19 10" xfId="6912" xr:uid="{00000000-0005-0000-0000-000098050000}"/>
    <cellStyle name="20% - 强调文字颜色 2 3 19 11" xfId="6921" xr:uid="{00000000-0005-0000-0000-000099050000}"/>
    <cellStyle name="20% - 强调文字颜色 2 3 19 12" xfId="6929" xr:uid="{00000000-0005-0000-0000-00009A050000}"/>
    <cellStyle name="20% - 强调文字颜色 2 3 19 13" xfId="4958" xr:uid="{00000000-0005-0000-0000-00009B050000}"/>
    <cellStyle name="20% - 强调文字颜色 2 3 19 14" xfId="4979" xr:uid="{00000000-0005-0000-0000-00009C050000}"/>
    <cellStyle name="20% - 强调文字颜色 2 3 19 2" xfId="870" xr:uid="{00000000-0005-0000-0000-00009D050000}"/>
    <cellStyle name="20% - 强调文字颜色 2 3 19 3" xfId="882" xr:uid="{00000000-0005-0000-0000-00009E050000}"/>
    <cellStyle name="20% - 强调文字颜色 2 3 19 4" xfId="895" xr:uid="{00000000-0005-0000-0000-00009F050000}"/>
    <cellStyle name="20% - 强调文字颜色 2 3 19 5" xfId="6938" xr:uid="{00000000-0005-0000-0000-0000A0050000}"/>
    <cellStyle name="20% - 强调文字颜色 2 3 19 5 10" xfId="1542" xr:uid="{00000000-0005-0000-0000-0000A1050000}"/>
    <cellStyle name="20% - 强调文字颜色 2 3 19 5 11" xfId="1553" xr:uid="{00000000-0005-0000-0000-0000A2050000}"/>
    <cellStyle name="20% - 强调文字颜色 2 3 19 5 2" xfId="6939" xr:uid="{00000000-0005-0000-0000-0000A3050000}"/>
    <cellStyle name="20% - 强调文字颜色 2 3 19 5 2 2" xfId="6944" xr:uid="{00000000-0005-0000-0000-0000A4050000}"/>
    <cellStyle name="20% - 强调文字颜色 2 3 19 5 2 2 2" xfId="2533" xr:uid="{00000000-0005-0000-0000-0000A5050000}"/>
    <cellStyle name="20% - 强调文字颜色 2 3 19 5 2 2 3" xfId="2553" xr:uid="{00000000-0005-0000-0000-0000A6050000}"/>
    <cellStyle name="20% - 强调文字颜色 2 3 19 5 2 3" xfId="6949" xr:uid="{00000000-0005-0000-0000-0000A7050000}"/>
    <cellStyle name="20% - 强调文字颜色 2 3 19 5 2 4" xfId="6953" xr:uid="{00000000-0005-0000-0000-0000A8050000}"/>
    <cellStyle name="20% - 强调文字颜色 2 3 19 5 2 5" xfId="6219" xr:uid="{00000000-0005-0000-0000-0000A9050000}"/>
    <cellStyle name="20% - 强调文字颜色 2 3 19 5 2 6" xfId="6227" xr:uid="{00000000-0005-0000-0000-0000AA050000}"/>
    <cellStyle name="20% - 强调文字颜色 2 3 19 5 2 7" xfId="6960" xr:uid="{00000000-0005-0000-0000-0000AB050000}"/>
    <cellStyle name="20% - 强调文字颜色 2 3 19 5 2 8" xfId="6971" xr:uid="{00000000-0005-0000-0000-0000AC050000}"/>
    <cellStyle name="20% - 强调文字颜色 2 3 19 5 3" xfId="6972" xr:uid="{00000000-0005-0000-0000-0000AD050000}"/>
    <cellStyle name="20% - 强调文字颜色 2 3 19 5 4" xfId="6978" xr:uid="{00000000-0005-0000-0000-0000AE050000}"/>
    <cellStyle name="20% - 强调文字颜色 2 3 19 5 5" xfId="6984" xr:uid="{00000000-0005-0000-0000-0000AF050000}"/>
    <cellStyle name="20% - 强调文字颜色 2 3 19 5 6" xfId="6991" xr:uid="{00000000-0005-0000-0000-0000B0050000}"/>
    <cellStyle name="20% - 强调文字颜色 2 3 19 5 6 2" xfId="920" xr:uid="{00000000-0005-0000-0000-0000B1050000}"/>
    <cellStyle name="20% - 强调文字颜色 2 3 19 5 6 3" xfId="958" xr:uid="{00000000-0005-0000-0000-0000B2050000}"/>
    <cellStyle name="20% - 强调文字颜色 2 3 19 5 7" xfId="6998" xr:uid="{00000000-0005-0000-0000-0000B3050000}"/>
    <cellStyle name="20% - 强调文字颜色 2 3 19 5 8" xfId="7007" xr:uid="{00000000-0005-0000-0000-0000B4050000}"/>
    <cellStyle name="20% - 强调文字颜色 2 3 19 5 9" xfId="2769" xr:uid="{00000000-0005-0000-0000-0000B5050000}"/>
    <cellStyle name="20% - 强调文字颜色 2 3 19 6" xfId="7009" xr:uid="{00000000-0005-0000-0000-0000B6050000}"/>
    <cellStyle name="20% - 强调文字颜色 2 3 19 6 2" xfId="7016" xr:uid="{00000000-0005-0000-0000-0000B7050000}"/>
    <cellStyle name="20% - 强调文字颜色 2 3 19 6 2 2" xfId="6243" xr:uid="{00000000-0005-0000-0000-0000B8050000}"/>
    <cellStyle name="20% - 强调文字颜色 2 3 19 6 2 3" xfId="6247" xr:uid="{00000000-0005-0000-0000-0000B9050000}"/>
    <cellStyle name="20% - 强调文字颜色 2 3 19 6 3" xfId="7022" xr:uid="{00000000-0005-0000-0000-0000BA050000}"/>
    <cellStyle name="20% - 强调文字颜色 2 3 19 6 4" xfId="7029" xr:uid="{00000000-0005-0000-0000-0000BB050000}"/>
    <cellStyle name="20% - 强调文字颜色 2 3 19 6 5" xfId="7040" xr:uid="{00000000-0005-0000-0000-0000BC050000}"/>
    <cellStyle name="20% - 强调文字颜色 2 3 19 6 6" xfId="7053" xr:uid="{00000000-0005-0000-0000-0000BD050000}"/>
    <cellStyle name="20% - 强调文字颜色 2 3 19 6 7" xfId="7063" xr:uid="{00000000-0005-0000-0000-0000BE050000}"/>
    <cellStyle name="20% - 强调文字颜色 2 3 19 6 8" xfId="7067" xr:uid="{00000000-0005-0000-0000-0000BF050000}"/>
    <cellStyle name="20% - 强调文字颜色 2 3 19 7" xfId="462" xr:uid="{00000000-0005-0000-0000-0000C0050000}"/>
    <cellStyle name="20% - 强调文字颜色 2 3 19 8" xfId="7071" xr:uid="{00000000-0005-0000-0000-0000C1050000}"/>
    <cellStyle name="20% - 强调文字颜色 2 3 19 9" xfId="7075" xr:uid="{00000000-0005-0000-0000-0000C2050000}"/>
    <cellStyle name="20% - 强调文字颜色 2 3 19 9 2" xfId="7081" xr:uid="{00000000-0005-0000-0000-0000C3050000}"/>
    <cellStyle name="20% - 强调文字颜色 2 3 19 9 3" xfId="7089" xr:uid="{00000000-0005-0000-0000-0000C4050000}"/>
    <cellStyle name="20% - 强调文字颜色 2 3 2" xfId="7092" xr:uid="{00000000-0005-0000-0000-0000C5050000}"/>
    <cellStyle name="20% - 强调文字颜色 2 3 2 10" xfId="7100" xr:uid="{00000000-0005-0000-0000-0000C6050000}"/>
    <cellStyle name="20% - 强调文字颜色 2 3 2 11" xfId="7115" xr:uid="{00000000-0005-0000-0000-0000C7050000}"/>
    <cellStyle name="20% - 强调文字颜色 2 3 2 12" xfId="7122" xr:uid="{00000000-0005-0000-0000-0000C8050000}"/>
    <cellStyle name="20% - 强调文字颜色 2 3 2 13" xfId="7128" xr:uid="{00000000-0005-0000-0000-0000C9050000}"/>
    <cellStyle name="20% - 强调文字颜色 2 3 2 14" xfId="7136" xr:uid="{00000000-0005-0000-0000-0000CA050000}"/>
    <cellStyle name="20% - 强调文字颜色 2 3 2 2" xfId="3747" xr:uid="{00000000-0005-0000-0000-0000CB050000}"/>
    <cellStyle name="20% - 强调文字颜色 2 3 2 3" xfId="7147" xr:uid="{00000000-0005-0000-0000-0000CC050000}"/>
    <cellStyle name="20% - 强调文字颜色 2 3 2 4" xfId="7149" xr:uid="{00000000-0005-0000-0000-0000CD050000}"/>
    <cellStyle name="20% - 强调文字颜色 2 3 2 5" xfId="7155" xr:uid="{00000000-0005-0000-0000-0000CE050000}"/>
    <cellStyle name="20% - 强调文字颜色 2 3 2 6" xfId="7160" xr:uid="{00000000-0005-0000-0000-0000CF050000}"/>
    <cellStyle name="20% - 强调文字颜色 2 3 2 7" xfId="7164" xr:uid="{00000000-0005-0000-0000-0000D0050000}"/>
    <cellStyle name="20% - 强调文字颜色 2 3 2 8" xfId="7170" xr:uid="{00000000-0005-0000-0000-0000D1050000}"/>
    <cellStyle name="20% - 强调文字颜色 2 3 2 9" xfId="7175" xr:uid="{00000000-0005-0000-0000-0000D2050000}"/>
    <cellStyle name="20% - 强调文字颜色 2 3 20" xfId="6723" xr:uid="{00000000-0005-0000-0000-0000D3050000}"/>
    <cellStyle name="20% - 强调文字颜色 2 3 20 10" xfId="7181" xr:uid="{00000000-0005-0000-0000-0000D4050000}"/>
    <cellStyle name="20% - 强调文字颜色 2 3 20 11" xfId="7182" xr:uid="{00000000-0005-0000-0000-0000D5050000}"/>
    <cellStyle name="20% - 强调文字颜色 2 3 20 12" xfId="7183" xr:uid="{00000000-0005-0000-0000-0000D6050000}"/>
    <cellStyle name="20% - 强调文字颜色 2 3 20 13" xfId="7185" xr:uid="{00000000-0005-0000-0000-0000D7050000}"/>
    <cellStyle name="20% - 强调文字颜色 2 3 20 14" xfId="7188" xr:uid="{00000000-0005-0000-0000-0000D8050000}"/>
    <cellStyle name="20% - 强调文字颜色 2 3 20 2" xfId="6385" xr:uid="{00000000-0005-0000-0000-0000D9050000}"/>
    <cellStyle name="20% - 强调文字颜色 2 3 20 3" xfId="6392" xr:uid="{00000000-0005-0000-0000-0000DA050000}"/>
    <cellStyle name="20% - 强调文字颜色 2 3 20 4" xfId="6399" xr:uid="{00000000-0005-0000-0000-0000DB050000}"/>
    <cellStyle name="20% - 强调文字颜色 2 3 20 5" xfId="6405" xr:uid="{00000000-0005-0000-0000-0000DC050000}"/>
    <cellStyle name="20% - 强调文字颜色 2 3 20 5 10" xfId="7191" xr:uid="{00000000-0005-0000-0000-0000DD050000}"/>
    <cellStyle name="20% - 强调文字颜色 2 3 20 5 11" xfId="7197" xr:uid="{00000000-0005-0000-0000-0000DE050000}"/>
    <cellStyle name="20% - 强调文字颜色 2 3 20 5 2" xfId="4359" xr:uid="{00000000-0005-0000-0000-0000DF050000}"/>
    <cellStyle name="20% - 强调文字颜色 2 3 20 5 2 2" xfId="7203" xr:uid="{00000000-0005-0000-0000-0000E0050000}"/>
    <cellStyle name="20% - 强调文字颜色 2 3 20 5 2 2 2" xfId="7209" xr:uid="{00000000-0005-0000-0000-0000E1050000}"/>
    <cellStyle name="20% - 强调文字颜色 2 3 20 5 2 2 3" xfId="7215" xr:uid="{00000000-0005-0000-0000-0000E2050000}"/>
    <cellStyle name="20% - 强调文字颜色 2 3 20 5 2 3" xfId="7216" xr:uid="{00000000-0005-0000-0000-0000E3050000}"/>
    <cellStyle name="20% - 强调文字颜色 2 3 20 5 2 4" xfId="346" xr:uid="{00000000-0005-0000-0000-0000E4050000}"/>
    <cellStyle name="20% - 强调文字颜色 2 3 20 5 2 5" xfId="7217" xr:uid="{00000000-0005-0000-0000-0000E5050000}"/>
    <cellStyle name="20% - 强调文字颜色 2 3 20 5 2 6" xfId="193" xr:uid="{00000000-0005-0000-0000-0000E6050000}"/>
    <cellStyle name="20% - 强调文字颜色 2 3 20 5 2 7" xfId="340" xr:uid="{00000000-0005-0000-0000-0000E7050000}"/>
    <cellStyle name="20% - 强调文字颜色 2 3 20 5 2 8" xfId="329" xr:uid="{00000000-0005-0000-0000-0000E8050000}"/>
    <cellStyle name="20% - 强调文字颜色 2 3 20 5 3" xfId="4366" xr:uid="{00000000-0005-0000-0000-0000E9050000}"/>
    <cellStyle name="20% - 强调文字颜色 2 3 20 5 4" xfId="7220" xr:uid="{00000000-0005-0000-0000-0000EA050000}"/>
    <cellStyle name="20% - 强调文字颜色 2 3 20 5 5" xfId="7225" xr:uid="{00000000-0005-0000-0000-0000EB050000}"/>
    <cellStyle name="20% - 强调文字颜色 2 3 20 5 6" xfId="7229" xr:uid="{00000000-0005-0000-0000-0000EC050000}"/>
    <cellStyle name="20% - 强调文字颜色 2 3 20 5 6 2" xfId="4535" xr:uid="{00000000-0005-0000-0000-0000ED050000}"/>
    <cellStyle name="20% - 强调文字颜色 2 3 20 5 6 3" xfId="4546" xr:uid="{00000000-0005-0000-0000-0000EE050000}"/>
    <cellStyle name="20% - 强调文字颜色 2 3 20 5 7" xfId="7234" xr:uid="{00000000-0005-0000-0000-0000EF050000}"/>
    <cellStyle name="20% - 强调文字颜色 2 3 20 5 8" xfId="7244" xr:uid="{00000000-0005-0000-0000-0000F0050000}"/>
    <cellStyle name="20% - 强调文字颜色 2 3 20 5 9" xfId="7255" xr:uid="{00000000-0005-0000-0000-0000F1050000}"/>
    <cellStyle name="20% - 强调文字颜色 2 3 20 6" xfId="7257" xr:uid="{00000000-0005-0000-0000-0000F2050000}"/>
    <cellStyle name="20% - 强调文字颜色 2 3 20 6 2" xfId="4695" xr:uid="{00000000-0005-0000-0000-0000F3050000}"/>
    <cellStyle name="20% - 强调文字颜色 2 3 20 6 2 2" xfId="2801" xr:uid="{00000000-0005-0000-0000-0000F4050000}"/>
    <cellStyle name="20% - 强调文字颜色 2 3 20 6 2 3" xfId="2812" xr:uid="{00000000-0005-0000-0000-0000F5050000}"/>
    <cellStyle name="20% - 强调文字颜色 2 3 20 6 3" xfId="4699" xr:uid="{00000000-0005-0000-0000-0000F6050000}"/>
    <cellStyle name="20% - 强调文字颜色 2 3 20 6 4" xfId="7261" xr:uid="{00000000-0005-0000-0000-0000F7050000}"/>
    <cellStyle name="20% - 强调文字颜色 2 3 20 6 5" xfId="7267" xr:uid="{00000000-0005-0000-0000-0000F8050000}"/>
    <cellStyle name="20% - 强调文字颜色 2 3 20 6 6" xfId="7269" xr:uid="{00000000-0005-0000-0000-0000F9050000}"/>
    <cellStyle name="20% - 强调文字颜色 2 3 20 6 7" xfId="7271" xr:uid="{00000000-0005-0000-0000-0000FA050000}"/>
    <cellStyle name="20% - 强调文字颜色 2 3 20 6 8" xfId="7274" xr:uid="{00000000-0005-0000-0000-0000FB050000}"/>
    <cellStyle name="20% - 强调文字颜色 2 3 20 7" xfId="7275" xr:uid="{00000000-0005-0000-0000-0000FC050000}"/>
    <cellStyle name="20% - 强调文字颜色 2 3 20 8" xfId="7277" xr:uid="{00000000-0005-0000-0000-0000FD050000}"/>
    <cellStyle name="20% - 强调文字颜色 2 3 20 9" xfId="7282" xr:uid="{00000000-0005-0000-0000-0000FE050000}"/>
    <cellStyle name="20% - 强调文字颜色 2 3 20 9 2" xfId="7283" xr:uid="{00000000-0005-0000-0000-0000FF050000}"/>
    <cellStyle name="20% - 强调文字颜色 2 3 20 9 3" xfId="7284" xr:uid="{00000000-0005-0000-0000-000000060000}"/>
    <cellStyle name="20% - 强调文字颜色 2 3 3" xfId="7290" xr:uid="{00000000-0005-0000-0000-000001060000}"/>
    <cellStyle name="20% - 强调文字颜色 2 3 3 10" xfId="3976" xr:uid="{00000000-0005-0000-0000-000002060000}"/>
    <cellStyle name="20% - 强调文字颜色 2 3 3 11" xfId="4908" xr:uid="{00000000-0005-0000-0000-000003060000}"/>
    <cellStyle name="20% - 强调文字颜色 2 3 3 12" xfId="5210" xr:uid="{00000000-0005-0000-0000-000004060000}"/>
    <cellStyle name="20% - 强调文字颜色 2 3 3 13" xfId="2832" xr:uid="{00000000-0005-0000-0000-000005060000}"/>
    <cellStyle name="20% - 强调文字颜色 2 3 3 14" xfId="2853" xr:uid="{00000000-0005-0000-0000-000006060000}"/>
    <cellStyle name="20% - 强调文字颜色 2 3 3 2" xfId="7302" xr:uid="{00000000-0005-0000-0000-000007060000}"/>
    <cellStyle name="20% - 强调文字颜色 2 3 3 3" xfId="7319" xr:uid="{00000000-0005-0000-0000-000008060000}"/>
    <cellStyle name="20% - 强调文字颜色 2 3 3 4" xfId="7326" xr:uid="{00000000-0005-0000-0000-000009060000}"/>
    <cellStyle name="20% - 强调文字颜色 2 3 3 5" xfId="7335" xr:uid="{00000000-0005-0000-0000-00000A060000}"/>
    <cellStyle name="20% - 强调文字颜色 2 3 3 6" xfId="7343" xr:uid="{00000000-0005-0000-0000-00000B060000}"/>
    <cellStyle name="20% - 强调文字颜色 2 3 3 7" xfId="7354" xr:uid="{00000000-0005-0000-0000-00000C060000}"/>
    <cellStyle name="20% - 强调文字颜色 2 3 3 8" xfId="7361" xr:uid="{00000000-0005-0000-0000-00000D060000}"/>
    <cellStyle name="20% - 强调文字颜色 2 3 3 9" xfId="7363" xr:uid="{00000000-0005-0000-0000-00000E060000}"/>
    <cellStyle name="20% - 强调文字颜色 2 3 4" xfId="7370" xr:uid="{00000000-0005-0000-0000-00000F060000}"/>
    <cellStyle name="20% - 强调文字颜色 2 3 4 10" xfId="7371" xr:uid="{00000000-0005-0000-0000-000010060000}"/>
    <cellStyle name="20% - 强调文字颜色 2 3 4 11" xfId="7378" xr:uid="{00000000-0005-0000-0000-000011060000}"/>
    <cellStyle name="20% - 强调文字颜色 2 3 4 12" xfId="7384" xr:uid="{00000000-0005-0000-0000-000012060000}"/>
    <cellStyle name="20% - 强调文字颜色 2 3 4 13" xfId="761" xr:uid="{00000000-0005-0000-0000-000013060000}"/>
    <cellStyle name="20% - 强调文字颜色 2 3 4 14" xfId="494" xr:uid="{00000000-0005-0000-0000-000014060000}"/>
    <cellStyle name="20% - 强调文字颜色 2 3 4 2" xfId="7404" xr:uid="{00000000-0005-0000-0000-000015060000}"/>
    <cellStyle name="20% - 强调文字颜色 2 3 4 3" xfId="7415" xr:uid="{00000000-0005-0000-0000-000016060000}"/>
    <cellStyle name="20% - 强调文字颜色 2 3 4 4" xfId="7423" xr:uid="{00000000-0005-0000-0000-000017060000}"/>
    <cellStyle name="20% - 强调文字颜色 2 3 4 5" xfId="247" xr:uid="{00000000-0005-0000-0000-000018060000}"/>
    <cellStyle name="20% - 强调文字颜色 2 3 4 6" xfId="5924" xr:uid="{00000000-0005-0000-0000-000019060000}"/>
    <cellStyle name="20% - 强调文字颜色 2 3 4 7" xfId="7430" xr:uid="{00000000-0005-0000-0000-00001A060000}"/>
    <cellStyle name="20% - 强调文字颜色 2 3 4 8" xfId="7431" xr:uid="{00000000-0005-0000-0000-00001B060000}"/>
    <cellStyle name="20% - 强调文字颜色 2 3 4 9" xfId="7432" xr:uid="{00000000-0005-0000-0000-00001C060000}"/>
    <cellStyle name="20% - 强调文字颜色 2 3 5" xfId="7439" xr:uid="{00000000-0005-0000-0000-00001D060000}"/>
    <cellStyle name="20% - 强调文字颜色 2 3 6" xfId="2384" xr:uid="{00000000-0005-0000-0000-00001E060000}"/>
    <cellStyle name="20% - 强调文字颜色 2 3 7" xfId="2616" xr:uid="{00000000-0005-0000-0000-00001F060000}"/>
    <cellStyle name="20% - 强调文字颜色 2 3 8" xfId="2719" xr:uid="{00000000-0005-0000-0000-000020060000}"/>
    <cellStyle name="20% - 强调文字颜色 2 3 9" xfId="2739" xr:uid="{00000000-0005-0000-0000-000021060000}"/>
    <cellStyle name="20% - 强调文字颜色 2 4" xfId="7441" xr:uid="{00000000-0005-0000-0000-000022060000}"/>
    <cellStyle name="20% - 强调文字颜色 2 4 10" xfId="7445" xr:uid="{00000000-0005-0000-0000-000023060000}"/>
    <cellStyle name="20% - 强调文字颜色 2 4 11" xfId="7450" xr:uid="{00000000-0005-0000-0000-000024060000}"/>
    <cellStyle name="20% - 强调文字颜色 2 4 12" xfId="7453" xr:uid="{00000000-0005-0000-0000-000025060000}"/>
    <cellStyle name="20% - 强调文字颜色 2 4 13" xfId="7457" xr:uid="{00000000-0005-0000-0000-000026060000}"/>
    <cellStyle name="20% - 强调文字颜色 2 4 14" xfId="7012" xr:uid="{00000000-0005-0000-0000-000027060000}"/>
    <cellStyle name="20% - 强调文字颜色 2 4 15" xfId="7020" xr:uid="{00000000-0005-0000-0000-000028060000}"/>
    <cellStyle name="20% - 强调文字颜色 2 4 16" xfId="7028" xr:uid="{00000000-0005-0000-0000-000029060000}"/>
    <cellStyle name="20% - 强调文字颜色 2 4 17" xfId="7037" xr:uid="{00000000-0005-0000-0000-00002A060000}"/>
    <cellStyle name="20% - 强调文字颜色 2 4 17 10" xfId="7462" xr:uid="{00000000-0005-0000-0000-00002B060000}"/>
    <cellStyle name="20% - 强调文字颜色 2 4 17 11" xfId="4113" xr:uid="{00000000-0005-0000-0000-00002C060000}"/>
    <cellStyle name="20% - 强调文字颜色 2 4 17 12" xfId="4121" xr:uid="{00000000-0005-0000-0000-00002D060000}"/>
    <cellStyle name="20% - 强调文字颜色 2 4 17 13" xfId="4129" xr:uid="{00000000-0005-0000-0000-00002E060000}"/>
    <cellStyle name="20% - 强调文字颜色 2 4 17 14" xfId="4145" xr:uid="{00000000-0005-0000-0000-00002F060000}"/>
    <cellStyle name="20% - 强调文字颜色 2 4 17 2" xfId="7470" xr:uid="{00000000-0005-0000-0000-000030060000}"/>
    <cellStyle name="20% - 强调文字颜色 2 4 17 3" xfId="7477" xr:uid="{00000000-0005-0000-0000-000031060000}"/>
    <cellStyle name="20% - 强调文字颜色 2 4 17 4" xfId="7296" xr:uid="{00000000-0005-0000-0000-000032060000}"/>
    <cellStyle name="20% - 强调文字颜色 2 4 17 5" xfId="7305" xr:uid="{00000000-0005-0000-0000-000033060000}"/>
    <cellStyle name="20% - 强调文字颜色 2 4 17 5 10" xfId="739" xr:uid="{00000000-0005-0000-0000-000034060000}"/>
    <cellStyle name="20% - 强调文字颜色 2 4 17 5 11" xfId="1265" xr:uid="{00000000-0005-0000-0000-000035060000}"/>
    <cellStyle name="20% - 强调文字颜色 2 4 17 5 2" xfId="7481" xr:uid="{00000000-0005-0000-0000-000036060000}"/>
    <cellStyle name="20% - 强调文字颜色 2 4 17 5 2 2" xfId="7485" xr:uid="{00000000-0005-0000-0000-000037060000}"/>
    <cellStyle name="20% - 强调文字颜色 2 4 17 5 2 2 2" xfId="6593" xr:uid="{00000000-0005-0000-0000-000038060000}"/>
    <cellStyle name="20% - 强调文字颜色 2 4 17 5 2 2 3" xfId="6598" xr:uid="{00000000-0005-0000-0000-000039060000}"/>
    <cellStyle name="20% - 强调文字颜色 2 4 17 5 2 3" xfId="5357" xr:uid="{00000000-0005-0000-0000-00003A060000}"/>
    <cellStyle name="20% - 强调文字颜色 2 4 17 5 2 4" xfId="5408" xr:uid="{00000000-0005-0000-0000-00003B060000}"/>
    <cellStyle name="20% - 强调文字颜色 2 4 17 5 2 5" xfId="5421" xr:uid="{00000000-0005-0000-0000-00003C060000}"/>
    <cellStyle name="20% - 强调文字颜色 2 4 17 5 2 6" xfId="5434" xr:uid="{00000000-0005-0000-0000-00003D060000}"/>
    <cellStyle name="20% - 强调文字颜色 2 4 17 5 2 7" xfId="5448" xr:uid="{00000000-0005-0000-0000-00003E060000}"/>
    <cellStyle name="20% - 强调文字颜色 2 4 17 5 2 8" xfId="5464" xr:uid="{00000000-0005-0000-0000-00003F060000}"/>
    <cellStyle name="20% - 强调文字颜色 2 4 17 5 3" xfId="7488" xr:uid="{00000000-0005-0000-0000-000040060000}"/>
    <cellStyle name="20% - 强调文字颜色 2 4 17 5 4" xfId="7490" xr:uid="{00000000-0005-0000-0000-000041060000}"/>
    <cellStyle name="20% - 强调文字颜色 2 4 17 5 5" xfId="7496" xr:uid="{00000000-0005-0000-0000-000042060000}"/>
    <cellStyle name="20% - 强调文字颜色 2 4 17 5 6" xfId="7500" xr:uid="{00000000-0005-0000-0000-000043060000}"/>
    <cellStyle name="20% - 强调文字颜色 2 4 17 5 6 2" xfId="7517" xr:uid="{00000000-0005-0000-0000-000044060000}"/>
    <cellStyle name="20% - 强调文字颜色 2 4 17 5 6 3" xfId="5591" xr:uid="{00000000-0005-0000-0000-000045060000}"/>
    <cellStyle name="20% - 强调文字颜色 2 4 17 5 7" xfId="7522" xr:uid="{00000000-0005-0000-0000-000046060000}"/>
    <cellStyle name="20% - 强调文字颜色 2 4 17 5 8" xfId="7510" xr:uid="{00000000-0005-0000-0000-000047060000}"/>
    <cellStyle name="20% - 强调文字颜色 2 4 17 5 9" xfId="5586" xr:uid="{00000000-0005-0000-0000-000048060000}"/>
    <cellStyle name="20% - 强调文字颜色 2 4 17 6" xfId="7321" xr:uid="{00000000-0005-0000-0000-000049060000}"/>
    <cellStyle name="20% - 强调文字颜色 2 4 17 6 2" xfId="6187" xr:uid="{00000000-0005-0000-0000-00004A060000}"/>
    <cellStyle name="20% - 强调文字颜色 2 4 17 6 2 2" xfId="7531" xr:uid="{00000000-0005-0000-0000-00004B060000}"/>
    <cellStyle name="20% - 强调文字颜色 2 4 17 6 2 3" xfId="5666" xr:uid="{00000000-0005-0000-0000-00004C060000}"/>
    <cellStyle name="20% - 强调文字颜色 2 4 17 6 3" xfId="6189" xr:uid="{00000000-0005-0000-0000-00004D060000}"/>
    <cellStyle name="20% - 强调文字颜色 2 4 17 6 4" xfId="6191" xr:uid="{00000000-0005-0000-0000-00004E060000}"/>
    <cellStyle name="20% - 强调文字颜色 2 4 17 6 5" xfId="6209" xr:uid="{00000000-0005-0000-0000-00004F060000}"/>
    <cellStyle name="20% - 强调文字颜色 2 4 17 6 6" xfId="6211" xr:uid="{00000000-0005-0000-0000-000050060000}"/>
    <cellStyle name="20% - 强调文字颜色 2 4 17 6 7" xfId="365" xr:uid="{00000000-0005-0000-0000-000051060000}"/>
    <cellStyle name="20% - 强调文字颜色 2 4 17 6 8" xfId="7532" xr:uid="{00000000-0005-0000-0000-000052060000}"/>
    <cellStyle name="20% - 强调文字颜色 2 4 17 7" xfId="7329" xr:uid="{00000000-0005-0000-0000-000053060000}"/>
    <cellStyle name="20% - 强调文字颜色 2 4 17 8" xfId="7338" xr:uid="{00000000-0005-0000-0000-000054060000}"/>
    <cellStyle name="20% - 强调文字颜色 2 4 17 9" xfId="7346" xr:uid="{00000000-0005-0000-0000-000055060000}"/>
    <cellStyle name="20% - 强调文字颜色 2 4 17 9 2" xfId="7538" xr:uid="{00000000-0005-0000-0000-000056060000}"/>
    <cellStyle name="20% - 强调文字颜色 2 4 17 9 3" xfId="7550" xr:uid="{00000000-0005-0000-0000-000057060000}"/>
    <cellStyle name="20% - 强调文字颜色 2 4 18" xfId="7050" xr:uid="{00000000-0005-0000-0000-000058060000}"/>
    <cellStyle name="20% - 强调文字颜色 2 4 18 10" xfId="7553" xr:uid="{00000000-0005-0000-0000-000059060000}"/>
    <cellStyle name="20% - 强调文字颜色 2 4 18 11" xfId="7554" xr:uid="{00000000-0005-0000-0000-00005A060000}"/>
    <cellStyle name="20% - 强调文字颜色 2 4 18 12" xfId="7557" xr:uid="{00000000-0005-0000-0000-00005B060000}"/>
    <cellStyle name="20% - 强调文字颜色 2 4 18 13" xfId="7565" xr:uid="{00000000-0005-0000-0000-00005C060000}"/>
    <cellStyle name="20% - 强调文字颜色 2 4 18 14" xfId="7575" xr:uid="{00000000-0005-0000-0000-00005D060000}"/>
    <cellStyle name="20% - 强调文字颜色 2 4 18 2" xfId="7576" xr:uid="{00000000-0005-0000-0000-00005E060000}"/>
    <cellStyle name="20% - 强调文字颜色 2 4 18 3" xfId="7578" xr:uid="{00000000-0005-0000-0000-00005F060000}"/>
    <cellStyle name="20% - 强调文字颜色 2 4 18 4" xfId="7389" xr:uid="{00000000-0005-0000-0000-000060060000}"/>
    <cellStyle name="20% - 强调文字颜色 2 4 18 5" xfId="7408" xr:uid="{00000000-0005-0000-0000-000061060000}"/>
    <cellStyle name="20% - 强调文字颜色 2 4 18 5 10" xfId="1911" xr:uid="{00000000-0005-0000-0000-000062060000}"/>
    <cellStyle name="20% - 强调文字颜色 2 4 18 5 11" xfId="1936" xr:uid="{00000000-0005-0000-0000-000063060000}"/>
    <cellStyle name="20% - 强调文字颜色 2 4 18 5 2" xfId="7586" xr:uid="{00000000-0005-0000-0000-000064060000}"/>
    <cellStyle name="20% - 强调文字颜色 2 4 18 5 2 2" xfId="4631" xr:uid="{00000000-0005-0000-0000-000065060000}"/>
    <cellStyle name="20% - 强调文字颜色 2 4 18 5 2 2 2" xfId="6961" xr:uid="{00000000-0005-0000-0000-000066060000}"/>
    <cellStyle name="20% - 强调文字颜色 2 4 18 5 2 2 3" xfId="7591" xr:uid="{00000000-0005-0000-0000-000067060000}"/>
    <cellStyle name="20% - 强调文字颜色 2 4 18 5 2 3" xfId="7603" xr:uid="{00000000-0005-0000-0000-000068060000}"/>
    <cellStyle name="20% - 强调文字颜色 2 4 18 5 2 4" xfId="7610" xr:uid="{00000000-0005-0000-0000-000069060000}"/>
    <cellStyle name="20% - 强调文字颜色 2 4 18 5 2 5" xfId="6767" xr:uid="{00000000-0005-0000-0000-00006A060000}"/>
    <cellStyle name="20% - 强调文字颜色 2 4 18 5 2 6" xfId="6784" xr:uid="{00000000-0005-0000-0000-00006B060000}"/>
    <cellStyle name="20% - 强调文字颜色 2 4 18 5 2 7" xfId="7622" xr:uid="{00000000-0005-0000-0000-00006C060000}"/>
    <cellStyle name="20% - 强调文字颜色 2 4 18 5 2 8" xfId="7633" xr:uid="{00000000-0005-0000-0000-00006D060000}"/>
    <cellStyle name="20% - 强调文字颜色 2 4 18 5 3" xfId="7635" xr:uid="{00000000-0005-0000-0000-00006E060000}"/>
    <cellStyle name="20% - 强调文字颜色 2 4 18 5 4" xfId="7636" xr:uid="{00000000-0005-0000-0000-00006F060000}"/>
    <cellStyle name="20% - 强调文字颜色 2 4 18 5 5" xfId="7638" xr:uid="{00000000-0005-0000-0000-000070060000}"/>
    <cellStyle name="20% - 强调文字颜色 2 4 18 5 6" xfId="7640" xr:uid="{00000000-0005-0000-0000-000071060000}"/>
    <cellStyle name="20% - 强调文字颜色 2 4 18 5 6 2" xfId="5002" xr:uid="{00000000-0005-0000-0000-000072060000}"/>
    <cellStyle name="20% - 强调文字颜色 2 4 18 5 6 3" xfId="5005" xr:uid="{00000000-0005-0000-0000-000073060000}"/>
    <cellStyle name="20% - 强调文字颜色 2 4 18 5 7" xfId="7642" xr:uid="{00000000-0005-0000-0000-000074060000}"/>
    <cellStyle name="20% - 强调文字颜色 2 4 18 5 8" xfId="6497" xr:uid="{00000000-0005-0000-0000-000075060000}"/>
    <cellStyle name="20% - 强调文字颜色 2 4 18 5 9" xfId="5862" xr:uid="{00000000-0005-0000-0000-000076060000}"/>
    <cellStyle name="20% - 强调文字颜色 2 4 18 6" xfId="7419" xr:uid="{00000000-0005-0000-0000-000077060000}"/>
    <cellStyle name="20% - 强调文字颜色 2 4 18 6 2" xfId="6341" xr:uid="{00000000-0005-0000-0000-000078060000}"/>
    <cellStyle name="20% - 强调文字颜色 2 4 18 6 2 2" xfId="3704" xr:uid="{00000000-0005-0000-0000-000079060000}"/>
    <cellStyle name="20% - 强调文字颜色 2 4 18 6 2 3" xfId="3714" xr:uid="{00000000-0005-0000-0000-00007A060000}"/>
    <cellStyle name="20% - 强调文字颜色 2 4 18 6 3" xfId="6345" xr:uid="{00000000-0005-0000-0000-00007B060000}"/>
    <cellStyle name="20% - 强调文字颜色 2 4 18 6 4" xfId="6349" xr:uid="{00000000-0005-0000-0000-00007C060000}"/>
    <cellStyle name="20% - 强调文字颜色 2 4 18 6 5" xfId="6357" xr:uid="{00000000-0005-0000-0000-00007D060000}"/>
    <cellStyle name="20% - 强调文字颜色 2 4 18 6 6" xfId="6361" xr:uid="{00000000-0005-0000-0000-00007E060000}"/>
    <cellStyle name="20% - 强调文字颜色 2 4 18 6 7" xfId="6363" xr:uid="{00000000-0005-0000-0000-00007F060000}"/>
    <cellStyle name="20% - 强调文字颜色 2 4 18 6 8" xfId="7643" xr:uid="{00000000-0005-0000-0000-000080060000}"/>
    <cellStyle name="20% - 强调文字颜色 2 4 18 7" xfId="241" xr:uid="{00000000-0005-0000-0000-000081060000}"/>
    <cellStyle name="20% - 强调文字颜色 2 4 18 8" xfId="5919" xr:uid="{00000000-0005-0000-0000-000082060000}"/>
    <cellStyle name="20% - 强调文字颜色 2 4 18 9" xfId="7425" xr:uid="{00000000-0005-0000-0000-000083060000}"/>
    <cellStyle name="20% - 强调文字颜色 2 4 18 9 2" xfId="6062" xr:uid="{00000000-0005-0000-0000-000084060000}"/>
    <cellStyle name="20% - 强调文字颜色 2 4 18 9 3" xfId="6073" xr:uid="{00000000-0005-0000-0000-000085060000}"/>
    <cellStyle name="20% - 强调文字颜色 2 4 19" xfId="7060" xr:uid="{00000000-0005-0000-0000-000086060000}"/>
    <cellStyle name="20% - 强调文字颜色 2 4 19 10" xfId="6055" xr:uid="{00000000-0005-0000-0000-000087060000}"/>
    <cellStyle name="20% - 强调文字颜色 2 4 19 11" xfId="6060" xr:uid="{00000000-0005-0000-0000-000088060000}"/>
    <cellStyle name="20% - 强调文字颜色 2 4 19 12" xfId="6066" xr:uid="{00000000-0005-0000-0000-000089060000}"/>
    <cellStyle name="20% - 强调文字颜色 2 4 19 13" xfId="1891" xr:uid="{00000000-0005-0000-0000-00008A060000}"/>
    <cellStyle name="20% - 强调文字颜色 2 4 19 14" xfId="1910" xr:uid="{00000000-0005-0000-0000-00008B060000}"/>
    <cellStyle name="20% - 强调文字颜色 2 4 19 2" xfId="7651" xr:uid="{00000000-0005-0000-0000-00008C060000}"/>
    <cellStyle name="20% - 强调文字颜色 2 4 19 3" xfId="7657" xr:uid="{00000000-0005-0000-0000-00008D060000}"/>
    <cellStyle name="20% - 强调文字颜色 2 4 19 4" xfId="7663" xr:uid="{00000000-0005-0000-0000-00008E060000}"/>
    <cellStyle name="20% - 强调文字颜色 2 4 19 5" xfId="7664" xr:uid="{00000000-0005-0000-0000-00008F060000}"/>
    <cellStyle name="20% - 强调文字颜色 2 4 19 5 10" xfId="7301" xr:uid="{00000000-0005-0000-0000-000090060000}"/>
    <cellStyle name="20% - 强调文字颜色 2 4 19 5 11" xfId="7314" xr:uid="{00000000-0005-0000-0000-000091060000}"/>
    <cellStyle name="20% - 强调文字颜色 2 4 19 5 2" xfId="7665" xr:uid="{00000000-0005-0000-0000-000092060000}"/>
    <cellStyle name="20% - 强调文字颜色 2 4 19 5 2 2" xfId="4759" xr:uid="{00000000-0005-0000-0000-000093060000}"/>
    <cellStyle name="20% - 强调文字颜色 2 4 19 5 2 2 2" xfId="7667" xr:uid="{00000000-0005-0000-0000-000094060000}"/>
    <cellStyle name="20% - 强调文字颜色 2 4 19 5 2 2 3" xfId="7669" xr:uid="{00000000-0005-0000-0000-000095060000}"/>
    <cellStyle name="20% - 强调文字颜色 2 4 19 5 2 3" xfId="4768" xr:uid="{00000000-0005-0000-0000-000096060000}"/>
    <cellStyle name="20% - 强调文字颜色 2 4 19 5 2 4" xfId="4780" xr:uid="{00000000-0005-0000-0000-000097060000}"/>
    <cellStyle name="20% - 强调文字颜色 2 4 19 5 2 5" xfId="4786" xr:uid="{00000000-0005-0000-0000-000098060000}"/>
    <cellStyle name="20% - 强调文字颜色 2 4 19 5 2 6" xfId="4794" xr:uid="{00000000-0005-0000-0000-000099060000}"/>
    <cellStyle name="20% - 强调文字颜色 2 4 19 5 2 7" xfId="7675" xr:uid="{00000000-0005-0000-0000-00009A060000}"/>
    <cellStyle name="20% - 强调文字颜色 2 4 19 5 2 8" xfId="7684" xr:uid="{00000000-0005-0000-0000-00009B060000}"/>
    <cellStyle name="20% - 强调文字颜色 2 4 19 5 3" xfId="7687" xr:uid="{00000000-0005-0000-0000-00009C060000}"/>
    <cellStyle name="20% - 强调文字颜色 2 4 19 5 4" xfId="7691" xr:uid="{00000000-0005-0000-0000-00009D060000}"/>
    <cellStyle name="20% - 强调文字颜色 2 4 19 5 5" xfId="7697" xr:uid="{00000000-0005-0000-0000-00009E060000}"/>
    <cellStyle name="20% - 强调文字颜色 2 4 19 5 6" xfId="7700" xr:uid="{00000000-0005-0000-0000-00009F060000}"/>
    <cellStyle name="20% - 强调文字颜色 2 4 19 5 6 2" xfId="5721" xr:uid="{00000000-0005-0000-0000-0000A0060000}"/>
    <cellStyle name="20% - 强调文字颜色 2 4 19 5 6 3" xfId="5741" xr:uid="{00000000-0005-0000-0000-0000A1060000}"/>
    <cellStyle name="20% - 强调文字颜色 2 4 19 5 7" xfId="7701" xr:uid="{00000000-0005-0000-0000-0000A2060000}"/>
    <cellStyle name="20% - 强调文字颜色 2 4 19 5 8" xfId="7702" xr:uid="{00000000-0005-0000-0000-0000A3060000}"/>
    <cellStyle name="20% - 强调文字颜色 2 4 19 5 9" xfId="6013" xr:uid="{00000000-0005-0000-0000-0000A4060000}"/>
    <cellStyle name="20% - 强调文字颜色 2 4 19 6" xfId="7704" xr:uid="{00000000-0005-0000-0000-0000A5060000}"/>
    <cellStyle name="20% - 强调文字颜色 2 4 19 6 2" xfId="7705" xr:uid="{00000000-0005-0000-0000-0000A6060000}"/>
    <cellStyle name="20% - 强调文字颜色 2 4 19 6 2 2" xfId="7433" xr:uid="{00000000-0005-0000-0000-0000A7060000}"/>
    <cellStyle name="20% - 强调文字颜色 2 4 19 6 2 3" xfId="2375" xr:uid="{00000000-0005-0000-0000-0000A8060000}"/>
    <cellStyle name="20% - 强调文字颜色 2 4 19 6 3" xfId="7708" xr:uid="{00000000-0005-0000-0000-0000A9060000}"/>
    <cellStyle name="20% - 强调文字颜色 2 4 19 6 4" xfId="7712" xr:uid="{00000000-0005-0000-0000-0000AA060000}"/>
    <cellStyle name="20% - 强调文字颜色 2 4 19 6 5" xfId="7717" xr:uid="{00000000-0005-0000-0000-0000AB060000}"/>
    <cellStyle name="20% - 强调文字颜色 2 4 19 6 6" xfId="3630" xr:uid="{00000000-0005-0000-0000-0000AC060000}"/>
    <cellStyle name="20% - 强调文字颜色 2 4 19 6 7" xfId="2240" xr:uid="{00000000-0005-0000-0000-0000AD060000}"/>
    <cellStyle name="20% - 强调文字颜色 2 4 19 6 8" xfId="2264" xr:uid="{00000000-0005-0000-0000-0000AE060000}"/>
    <cellStyle name="20% - 强调文字颜色 2 4 19 7" xfId="7721" xr:uid="{00000000-0005-0000-0000-0000AF060000}"/>
    <cellStyle name="20% - 强调文字颜色 2 4 19 8" xfId="7725" xr:uid="{00000000-0005-0000-0000-0000B0060000}"/>
    <cellStyle name="20% - 强调文字颜色 2 4 19 9" xfId="7728" xr:uid="{00000000-0005-0000-0000-0000B1060000}"/>
    <cellStyle name="20% - 强调文字颜色 2 4 19 9 2" xfId="3543" xr:uid="{00000000-0005-0000-0000-0000B2060000}"/>
    <cellStyle name="20% - 强调文字颜色 2 4 19 9 3" xfId="3546" xr:uid="{00000000-0005-0000-0000-0000B3060000}"/>
    <cellStyle name="20% - 强调文字颜色 2 4 2" xfId="7734" xr:uid="{00000000-0005-0000-0000-0000B4060000}"/>
    <cellStyle name="20% - 强调文字颜色 2 4 20" xfId="7021" xr:uid="{00000000-0005-0000-0000-0000B5060000}"/>
    <cellStyle name="20% - 强调文字颜色 2 4 20 10" xfId="6577" xr:uid="{00000000-0005-0000-0000-0000B6060000}"/>
    <cellStyle name="20% - 强调文字颜色 2 4 20 11" xfId="6582" xr:uid="{00000000-0005-0000-0000-0000B7060000}"/>
    <cellStyle name="20% - 强调文字颜色 2 4 20 12" xfId="6585" xr:uid="{00000000-0005-0000-0000-0000B8060000}"/>
    <cellStyle name="20% - 强调文字颜色 2 4 20 13" xfId="6592" xr:uid="{00000000-0005-0000-0000-0000B9060000}"/>
    <cellStyle name="20% - 强调文字颜色 2 4 20 14" xfId="7739" xr:uid="{00000000-0005-0000-0000-0000BA060000}"/>
    <cellStyle name="20% - 强调文字颜色 2 4 20 2" xfId="1958" xr:uid="{00000000-0005-0000-0000-0000BB060000}"/>
    <cellStyle name="20% - 强调文字颜色 2 4 20 3" xfId="1845" xr:uid="{00000000-0005-0000-0000-0000BC060000}"/>
    <cellStyle name="20% - 强调文字颜色 2 4 20 4" xfId="1871" xr:uid="{00000000-0005-0000-0000-0000BD060000}"/>
    <cellStyle name="20% - 强调文字颜色 2 4 20 5" xfId="7742" xr:uid="{00000000-0005-0000-0000-0000BE060000}"/>
    <cellStyle name="20% - 强调文字颜色 2 4 20 5 10" xfId="7746" xr:uid="{00000000-0005-0000-0000-0000BF060000}"/>
    <cellStyle name="20% - 强调文字颜色 2 4 20 5 11" xfId="7749" xr:uid="{00000000-0005-0000-0000-0000C0060000}"/>
    <cellStyle name="20% - 强调文字颜色 2 4 20 5 2" xfId="7756" xr:uid="{00000000-0005-0000-0000-0000C1060000}"/>
    <cellStyle name="20% - 强调文字颜色 2 4 20 5 2 2" xfId="588" xr:uid="{00000000-0005-0000-0000-0000C2060000}"/>
    <cellStyle name="20% - 强调文字颜色 2 4 20 5 2 2 2" xfId="812" xr:uid="{00000000-0005-0000-0000-0000C3060000}"/>
    <cellStyle name="20% - 强调文字颜色 2 4 20 5 2 2 3" xfId="905" xr:uid="{00000000-0005-0000-0000-0000C4060000}"/>
    <cellStyle name="20% - 强调文字颜色 2 4 20 5 2 3" xfId="510" xr:uid="{00000000-0005-0000-0000-0000C5060000}"/>
    <cellStyle name="20% - 强调文字颜色 2 4 20 5 2 4" xfId="551" xr:uid="{00000000-0005-0000-0000-0000C6060000}"/>
    <cellStyle name="20% - 强调文字颜色 2 4 20 5 2 5" xfId="1223" xr:uid="{00000000-0005-0000-0000-0000C7060000}"/>
    <cellStyle name="20% - 强调文字颜色 2 4 20 5 2 6" xfId="1234" xr:uid="{00000000-0005-0000-0000-0000C8060000}"/>
    <cellStyle name="20% - 强调文字颜色 2 4 20 5 2 7" xfId="7770" xr:uid="{00000000-0005-0000-0000-0000C9060000}"/>
    <cellStyle name="20% - 强调文字颜色 2 4 20 5 2 8" xfId="7779" xr:uid="{00000000-0005-0000-0000-0000CA060000}"/>
    <cellStyle name="20% - 强调文字颜色 2 4 20 5 3" xfId="7784" xr:uid="{00000000-0005-0000-0000-0000CB060000}"/>
    <cellStyle name="20% - 强调文字颜色 2 4 20 5 4" xfId="7790" xr:uid="{00000000-0005-0000-0000-0000CC060000}"/>
    <cellStyle name="20% - 强调文字颜色 2 4 20 5 5" xfId="7795" xr:uid="{00000000-0005-0000-0000-0000CD060000}"/>
    <cellStyle name="20% - 强调文字颜色 2 4 20 5 6" xfId="7800" xr:uid="{00000000-0005-0000-0000-0000CE060000}"/>
    <cellStyle name="20% - 强调文字颜色 2 4 20 5 6 2" xfId="7802" xr:uid="{00000000-0005-0000-0000-0000CF060000}"/>
    <cellStyle name="20% - 强调文字颜色 2 4 20 5 6 3" xfId="7806" xr:uid="{00000000-0005-0000-0000-0000D0060000}"/>
    <cellStyle name="20% - 强调文字颜色 2 4 20 5 7" xfId="7808" xr:uid="{00000000-0005-0000-0000-0000D1060000}"/>
    <cellStyle name="20% - 强调文字颜色 2 4 20 5 8" xfId="7815" xr:uid="{00000000-0005-0000-0000-0000D2060000}"/>
    <cellStyle name="20% - 强调文字颜色 2 4 20 5 9" xfId="7823" xr:uid="{00000000-0005-0000-0000-0000D3060000}"/>
    <cellStyle name="20% - 强调文字颜色 2 4 20 6" xfId="7828" xr:uid="{00000000-0005-0000-0000-0000D4060000}"/>
    <cellStyle name="20% - 强调文字颜色 2 4 20 6 2" xfId="4894" xr:uid="{00000000-0005-0000-0000-0000D5060000}"/>
    <cellStyle name="20% - 强调文字颜色 2 4 20 6 2 2" xfId="7487" xr:uid="{00000000-0005-0000-0000-0000D6060000}"/>
    <cellStyle name="20% - 强调文字颜色 2 4 20 6 2 3" xfId="7495" xr:uid="{00000000-0005-0000-0000-0000D7060000}"/>
    <cellStyle name="20% - 强调文字颜色 2 4 20 6 3" xfId="7832" xr:uid="{00000000-0005-0000-0000-0000D8060000}"/>
    <cellStyle name="20% - 强调文字颜色 2 4 20 6 4" xfId="7834" xr:uid="{00000000-0005-0000-0000-0000D9060000}"/>
    <cellStyle name="20% - 强调文字颜色 2 4 20 6 5" xfId="2430" xr:uid="{00000000-0005-0000-0000-0000DA060000}"/>
    <cellStyle name="20% - 强调文字颜色 2 4 20 6 6" xfId="2452" xr:uid="{00000000-0005-0000-0000-0000DB060000}"/>
    <cellStyle name="20% - 强调文字颜色 2 4 20 6 7" xfId="2468" xr:uid="{00000000-0005-0000-0000-0000DC060000}"/>
    <cellStyle name="20% - 强调文字颜色 2 4 20 6 8" xfId="2488" xr:uid="{00000000-0005-0000-0000-0000DD060000}"/>
    <cellStyle name="20% - 强调文字颜色 2 4 20 7" xfId="7844" xr:uid="{00000000-0005-0000-0000-0000DE060000}"/>
    <cellStyle name="20% - 强调文字颜色 2 4 20 8" xfId="7859" xr:uid="{00000000-0005-0000-0000-0000DF060000}"/>
    <cellStyle name="20% - 强调文字颜色 2 4 20 9" xfId="7871" xr:uid="{00000000-0005-0000-0000-0000E0060000}"/>
    <cellStyle name="20% - 强调文字颜色 2 4 20 9 2" xfId="7872" xr:uid="{00000000-0005-0000-0000-0000E1060000}"/>
    <cellStyle name="20% - 强调文字颜色 2 4 20 9 3" xfId="7879" xr:uid="{00000000-0005-0000-0000-0000E2060000}"/>
    <cellStyle name="20% - 强调文字颜色 2 4 3" xfId="7891" xr:uid="{00000000-0005-0000-0000-0000E3060000}"/>
    <cellStyle name="20% - 强调文字颜色 2 4 4" xfId="7897" xr:uid="{00000000-0005-0000-0000-0000E4060000}"/>
    <cellStyle name="20% - 强调文字颜色 2 4 5" xfId="7900" xr:uid="{00000000-0005-0000-0000-0000E5060000}"/>
    <cellStyle name="20% - 强调文字颜色 2 4 6" xfId="5622" xr:uid="{00000000-0005-0000-0000-0000E6060000}"/>
    <cellStyle name="20% - 强调文字颜色 2 4 7" xfId="5627" xr:uid="{00000000-0005-0000-0000-0000E7060000}"/>
    <cellStyle name="20% - 强调文字颜色 2 4 8" xfId="5632" xr:uid="{00000000-0005-0000-0000-0000E8060000}"/>
    <cellStyle name="20% - 强调文字颜色 2 4 9" xfId="5642" xr:uid="{00000000-0005-0000-0000-0000E9060000}"/>
    <cellStyle name="20% - 强调文字颜色 2 5" xfId="7903" xr:uid="{00000000-0005-0000-0000-0000EA060000}"/>
    <cellStyle name="20% - 强调文字颜色 2 5 10" xfId="7904" xr:uid="{00000000-0005-0000-0000-0000EB060000}"/>
    <cellStyle name="20% - 强调文字颜色 2 5 11" xfId="7907" xr:uid="{00000000-0005-0000-0000-0000EC060000}"/>
    <cellStyle name="20% - 强调文字颜色 2 5 12" xfId="7912" xr:uid="{00000000-0005-0000-0000-0000ED060000}"/>
    <cellStyle name="20% - 强调文字颜色 2 5 13" xfId="7915" xr:uid="{00000000-0005-0000-0000-0000EE060000}"/>
    <cellStyle name="20% - 强调文字颜色 2 5 14" xfId="7918" xr:uid="{00000000-0005-0000-0000-0000EF060000}"/>
    <cellStyle name="20% - 强调文字颜色 2 5 2" xfId="6958" xr:uid="{00000000-0005-0000-0000-0000F0060000}"/>
    <cellStyle name="20% - 强调文字颜色 2 5 3" xfId="6967" xr:uid="{00000000-0005-0000-0000-0000F1060000}"/>
    <cellStyle name="20% - 强调文字颜色 2 5 4" xfId="7597" xr:uid="{00000000-0005-0000-0000-0000F2060000}"/>
    <cellStyle name="20% - 强调文字颜色 2 5 5" xfId="7926" xr:uid="{00000000-0005-0000-0000-0000F3060000}"/>
    <cellStyle name="20% - 强调文字颜色 2 5 6" xfId="5901" xr:uid="{00000000-0005-0000-0000-0000F4060000}"/>
    <cellStyle name="20% - 强调文字颜色 2 5 7" xfId="5905" xr:uid="{00000000-0005-0000-0000-0000F5060000}"/>
    <cellStyle name="20% - 强调文字颜色 2 5 8" xfId="5910" xr:uid="{00000000-0005-0000-0000-0000F6060000}"/>
    <cellStyle name="20% - 强调文字颜色 2 5 9" xfId="268" xr:uid="{00000000-0005-0000-0000-0000F7060000}"/>
    <cellStyle name="20% - 强调文字颜色 2 6" xfId="7931" xr:uid="{00000000-0005-0000-0000-0000F8060000}"/>
    <cellStyle name="20% - 强调文字颜色 2 6 10" xfId="7933" xr:uid="{00000000-0005-0000-0000-0000F9060000}"/>
    <cellStyle name="20% - 强调文字颜色 2 6 11" xfId="7934" xr:uid="{00000000-0005-0000-0000-0000FA060000}"/>
    <cellStyle name="20% - 强调文字颜色 2 6 12" xfId="7935" xr:uid="{00000000-0005-0000-0000-0000FB060000}"/>
    <cellStyle name="20% - 强调文字颜色 2 6 13" xfId="7936" xr:uid="{00000000-0005-0000-0000-0000FC060000}"/>
    <cellStyle name="20% - 强调文字颜色 2 6 14" xfId="7937" xr:uid="{00000000-0005-0000-0000-0000FD060000}"/>
    <cellStyle name="20% - 强调文字颜色 2 6 2" xfId="7941" xr:uid="{00000000-0005-0000-0000-0000FE060000}"/>
    <cellStyle name="20% - 强调文字颜色 2 6 3" xfId="7947" xr:uid="{00000000-0005-0000-0000-0000FF060000}"/>
    <cellStyle name="20% - 强调文字颜色 2 6 4" xfId="7955" xr:uid="{00000000-0005-0000-0000-000000070000}"/>
    <cellStyle name="20% - 强调文字颜色 2 6 5" xfId="7959" xr:uid="{00000000-0005-0000-0000-000001070000}"/>
    <cellStyle name="20% - 强调文字颜色 2 6 6" xfId="7966" xr:uid="{00000000-0005-0000-0000-000002070000}"/>
    <cellStyle name="20% - 强调文字颜色 2 6 7" xfId="7973" xr:uid="{00000000-0005-0000-0000-000003070000}"/>
    <cellStyle name="20% - 强调文字颜色 2 6 8" xfId="7980" xr:uid="{00000000-0005-0000-0000-000004070000}"/>
    <cellStyle name="20% - 强调文字颜色 2 6 9" xfId="7987" xr:uid="{00000000-0005-0000-0000-000005070000}"/>
    <cellStyle name="20% - 强调文字颜色 2 7" xfId="7993" xr:uid="{00000000-0005-0000-0000-000006070000}"/>
    <cellStyle name="20% - 强调文字颜色 2 8" xfId="7996" xr:uid="{00000000-0005-0000-0000-000007070000}"/>
    <cellStyle name="20% - 强调文字颜色 2 9" xfId="7999" xr:uid="{00000000-0005-0000-0000-000008070000}"/>
    <cellStyle name="20% - 强调文字颜色 3 10" xfId="3664" xr:uid="{00000000-0005-0000-0000-000009070000}"/>
    <cellStyle name="20% - 强调文字颜色 3 11" xfId="3673" xr:uid="{00000000-0005-0000-0000-00000A070000}"/>
    <cellStyle name="20% - 强调文字颜色 3 12" xfId="3680" xr:uid="{00000000-0005-0000-0000-00000B070000}"/>
    <cellStyle name="20% - 强调文字颜色 3 12 10" xfId="1480" xr:uid="{00000000-0005-0000-0000-00000C070000}"/>
    <cellStyle name="20% - 强调文字颜色 3 12 11" xfId="1574" xr:uid="{00000000-0005-0000-0000-00000D070000}"/>
    <cellStyle name="20% - 强调文字颜色 3 12 12" xfId="1579" xr:uid="{00000000-0005-0000-0000-00000E070000}"/>
    <cellStyle name="20% - 强调文字颜色 3 12 13" xfId="1597" xr:uid="{00000000-0005-0000-0000-00000F070000}"/>
    <cellStyle name="20% - 强调文字颜色 3 12 14" xfId="1612" xr:uid="{00000000-0005-0000-0000-000010070000}"/>
    <cellStyle name="20% - 强调文字颜色 3 12 2" xfId="1802" xr:uid="{00000000-0005-0000-0000-000011070000}"/>
    <cellStyle name="20% - 强调文字颜色 3 12 3" xfId="1821" xr:uid="{00000000-0005-0000-0000-000012070000}"/>
    <cellStyle name="20% - 强调文字颜色 3 12 4" xfId="8005" xr:uid="{00000000-0005-0000-0000-000013070000}"/>
    <cellStyle name="20% - 强调文字颜色 3 12 5" xfId="8008" xr:uid="{00000000-0005-0000-0000-000014070000}"/>
    <cellStyle name="20% - 强调文字颜色 3 12 5 10" xfId="4213" xr:uid="{00000000-0005-0000-0000-000015070000}"/>
    <cellStyle name="20% - 强调文字颜色 3 12 5 11" xfId="4274" xr:uid="{00000000-0005-0000-0000-000016070000}"/>
    <cellStyle name="20% - 强调文字颜色 3 12 5 2" xfId="7478" xr:uid="{00000000-0005-0000-0000-000017070000}"/>
    <cellStyle name="20% - 强调文字颜色 3 12 5 2 2" xfId="8010" xr:uid="{00000000-0005-0000-0000-000018070000}"/>
    <cellStyle name="20% - 强调文字颜色 3 12 5 2 2 2" xfId="8014" xr:uid="{00000000-0005-0000-0000-000019070000}"/>
    <cellStyle name="20% - 强调文字颜色 3 12 5 2 2 3" xfId="8017" xr:uid="{00000000-0005-0000-0000-00001A070000}"/>
    <cellStyle name="20% - 强调文字颜色 3 12 5 2 3" xfId="8022" xr:uid="{00000000-0005-0000-0000-00001B070000}"/>
    <cellStyle name="20% - 强调文字颜色 3 12 5 2 4" xfId="8023" xr:uid="{00000000-0005-0000-0000-00001C070000}"/>
    <cellStyle name="20% - 强调文字颜色 3 12 5 2 5" xfId="8024" xr:uid="{00000000-0005-0000-0000-00001D070000}"/>
    <cellStyle name="20% - 强调文字颜色 3 12 5 2 6" xfId="8028" xr:uid="{00000000-0005-0000-0000-00001E070000}"/>
    <cellStyle name="20% - 强调文字颜色 3 12 5 2 7" xfId="8031" xr:uid="{00000000-0005-0000-0000-00001F070000}"/>
    <cellStyle name="20% - 强调文字颜色 3 12 5 2 8" xfId="8032" xr:uid="{00000000-0005-0000-0000-000020070000}"/>
    <cellStyle name="20% - 强调文字颜色 3 12 5 3" xfId="7297" xr:uid="{00000000-0005-0000-0000-000021070000}"/>
    <cellStyle name="20% - 强调文字颜色 3 12 5 4" xfId="7310" xr:uid="{00000000-0005-0000-0000-000022070000}"/>
    <cellStyle name="20% - 强调文字颜色 3 12 5 5" xfId="7325" xr:uid="{00000000-0005-0000-0000-000023070000}"/>
    <cellStyle name="20% - 强调文字颜色 3 12 5 6" xfId="7334" xr:uid="{00000000-0005-0000-0000-000024070000}"/>
    <cellStyle name="20% - 强调文字颜色 3 12 5 6 2" xfId="603" xr:uid="{00000000-0005-0000-0000-000025070000}"/>
    <cellStyle name="20% - 强调文字颜色 3 12 5 6 3" xfId="621" xr:uid="{00000000-0005-0000-0000-000026070000}"/>
    <cellStyle name="20% - 强调文字颜色 3 12 5 7" xfId="7342" xr:uid="{00000000-0005-0000-0000-000027070000}"/>
    <cellStyle name="20% - 强调文字颜色 3 12 5 8" xfId="7353" xr:uid="{00000000-0005-0000-0000-000028070000}"/>
    <cellStyle name="20% - 强调文字颜色 3 12 5 9" xfId="7360" xr:uid="{00000000-0005-0000-0000-000029070000}"/>
    <cellStyle name="20% - 强调文字颜色 3 12 6" xfId="8037" xr:uid="{00000000-0005-0000-0000-00002A070000}"/>
    <cellStyle name="20% - 强调文字颜色 3 12 6 2" xfId="7585" xr:uid="{00000000-0005-0000-0000-00002B070000}"/>
    <cellStyle name="20% - 强调文字颜色 3 12 6 2 2" xfId="6732" xr:uid="{00000000-0005-0000-0000-00002C070000}"/>
    <cellStyle name="20% - 强调文字颜色 3 12 6 2 3" xfId="6734" xr:uid="{00000000-0005-0000-0000-00002D070000}"/>
    <cellStyle name="20% - 强调文字颜色 3 12 6 3" xfId="7397" xr:uid="{00000000-0005-0000-0000-00002E070000}"/>
    <cellStyle name="20% - 强调文字颜色 3 12 6 4" xfId="7411" xr:uid="{00000000-0005-0000-0000-00002F070000}"/>
    <cellStyle name="20% - 强调文字颜色 3 12 6 5" xfId="7421" xr:uid="{00000000-0005-0000-0000-000030070000}"/>
    <cellStyle name="20% - 强调文字颜色 3 12 6 6" xfId="244" xr:uid="{00000000-0005-0000-0000-000031070000}"/>
    <cellStyle name="20% - 强调文字颜色 3 12 6 7" xfId="5922" xr:uid="{00000000-0005-0000-0000-000032070000}"/>
    <cellStyle name="20% - 强调文字颜色 3 12 6 8" xfId="7427" xr:uid="{00000000-0005-0000-0000-000033070000}"/>
    <cellStyle name="20% - 强调文字颜色 3 12 7" xfId="8042" xr:uid="{00000000-0005-0000-0000-000034070000}"/>
    <cellStyle name="20% - 强调文字颜色 3 12 8" xfId="8049" xr:uid="{00000000-0005-0000-0000-000035070000}"/>
    <cellStyle name="20% - 强调文字颜色 3 12 9" xfId="8058" xr:uid="{00000000-0005-0000-0000-000036070000}"/>
    <cellStyle name="20% - 强调文字颜色 3 12 9 2" xfId="3908" xr:uid="{00000000-0005-0000-0000-000037070000}"/>
    <cellStyle name="20% - 强调文字颜色 3 12 9 3" xfId="2628" xr:uid="{00000000-0005-0000-0000-000038070000}"/>
    <cellStyle name="20% - 强调文字颜色 3 13" xfId="2558" xr:uid="{00000000-0005-0000-0000-000039070000}"/>
    <cellStyle name="20% - 强调文字颜色 3 14" xfId="2578" xr:uid="{00000000-0005-0000-0000-00003A070000}"/>
    <cellStyle name="20% - 强调文字颜色 3 15" xfId="8065" xr:uid="{00000000-0005-0000-0000-00003B070000}"/>
    <cellStyle name="20% - 强调文字颜色 3 16" xfId="8072" xr:uid="{00000000-0005-0000-0000-00003C070000}"/>
    <cellStyle name="20% - 强调文字颜色 3 16 10" xfId="3994" xr:uid="{00000000-0005-0000-0000-00003D070000}"/>
    <cellStyle name="20% - 强调文字颜色 3 16 11" xfId="4003" xr:uid="{00000000-0005-0000-0000-00003E070000}"/>
    <cellStyle name="20% - 强调文字颜色 3 16 12" xfId="2071" xr:uid="{00000000-0005-0000-0000-00003F070000}"/>
    <cellStyle name="20% - 强调文字颜色 3 16 13" xfId="3112" xr:uid="{00000000-0005-0000-0000-000040070000}"/>
    <cellStyle name="20% - 强调文字颜色 3 16 14" xfId="4014" xr:uid="{00000000-0005-0000-0000-000041070000}"/>
    <cellStyle name="20% - 强调文字颜色 3 16 2" xfId="278" xr:uid="{00000000-0005-0000-0000-000042070000}"/>
    <cellStyle name="20% - 强调文字颜色 3 16 3" xfId="1356" xr:uid="{00000000-0005-0000-0000-000043070000}"/>
    <cellStyle name="20% - 强调文字颜色 3 16 4" xfId="3124" xr:uid="{00000000-0005-0000-0000-000044070000}"/>
    <cellStyle name="20% - 强调文字颜色 3 16 5" xfId="3127" xr:uid="{00000000-0005-0000-0000-000045070000}"/>
    <cellStyle name="20% - 强调文字颜色 3 16 5 10" xfId="907" xr:uid="{00000000-0005-0000-0000-000046070000}"/>
    <cellStyle name="20% - 强调文字颜色 3 16 5 11" xfId="943" xr:uid="{00000000-0005-0000-0000-000047070000}"/>
    <cellStyle name="20% - 强调文字颜色 3 16 5 2" xfId="8076" xr:uid="{00000000-0005-0000-0000-000048070000}"/>
    <cellStyle name="20% - 强调文字颜色 3 16 5 2 2" xfId="8093" xr:uid="{00000000-0005-0000-0000-000049070000}"/>
    <cellStyle name="20% - 强调文字颜色 3 16 5 2 2 2" xfId="8102" xr:uid="{00000000-0005-0000-0000-00004A070000}"/>
    <cellStyle name="20% - 强调文字颜色 3 16 5 2 2 3" xfId="6201" xr:uid="{00000000-0005-0000-0000-00004B070000}"/>
    <cellStyle name="20% - 强调文字颜色 3 16 5 2 3" xfId="8112" xr:uid="{00000000-0005-0000-0000-00004C070000}"/>
    <cellStyle name="20% - 强调文字颜色 3 16 5 2 4" xfId="8118" xr:uid="{00000000-0005-0000-0000-00004D070000}"/>
    <cellStyle name="20% - 强调文字颜色 3 16 5 2 5" xfId="8123" xr:uid="{00000000-0005-0000-0000-00004E070000}"/>
    <cellStyle name="20% - 强调文字颜色 3 16 5 2 6" xfId="8129" xr:uid="{00000000-0005-0000-0000-00004F070000}"/>
    <cellStyle name="20% - 强调文字颜色 3 16 5 2 7" xfId="8135" xr:uid="{00000000-0005-0000-0000-000050070000}"/>
    <cellStyle name="20% - 强调文字颜色 3 16 5 2 8" xfId="1816" xr:uid="{00000000-0005-0000-0000-000051070000}"/>
    <cellStyle name="20% - 强调文字颜色 3 16 5 3" xfId="8140" xr:uid="{00000000-0005-0000-0000-000052070000}"/>
    <cellStyle name="20% - 强调文字颜色 3 16 5 4" xfId="8145" xr:uid="{00000000-0005-0000-0000-000053070000}"/>
    <cellStyle name="20% - 强调文字颜色 3 16 5 5" xfId="8153" xr:uid="{00000000-0005-0000-0000-000054070000}"/>
    <cellStyle name="20% - 强调文字颜色 3 16 5 6" xfId="8163" xr:uid="{00000000-0005-0000-0000-000055070000}"/>
    <cellStyle name="20% - 强调文字颜色 3 16 5 6 2" xfId="7590" xr:uid="{00000000-0005-0000-0000-000056070000}"/>
    <cellStyle name="20% - 强调文字颜色 3 16 5 6 3" xfId="7922" xr:uid="{00000000-0005-0000-0000-000057070000}"/>
    <cellStyle name="20% - 强调文字颜色 3 16 5 7" xfId="8169" xr:uid="{00000000-0005-0000-0000-000058070000}"/>
    <cellStyle name="20% - 强调文字颜色 3 16 5 8" xfId="8173" xr:uid="{00000000-0005-0000-0000-000059070000}"/>
    <cellStyle name="20% - 强调文字颜色 3 16 5 9" xfId="8178" xr:uid="{00000000-0005-0000-0000-00005A070000}"/>
    <cellStyle name="20% - 强调文字颜色 3 16 6" xfId="3066" xr:uid="{00000000-0005-0000-0000-00005B070000}"/>
    <cellStyle name="20% - 强调文字颜色 3 16 6 2" xfId="2139" xr:uid="{00000000-0005-0000-0000-00005C070000}"/>
    <cellStyle name="20% - 强调文字颜色 3 16 6 2 2" xfId="8192" xr:uid="{00000000-0005-0000-0000-00005D070000}"/>
    <cellStyle name="20% - 强调文字颜色 3 16 6 2 3" xfId="8202" xr:uid="{00000000-0005-0000-0000-00005E070000}"/>
    <cellStyle name="20% - 强调文字颜色 3 16 6 3" xfId="2157" xr:uid="{00000000-0005-0000-0000-00005F070000}"/>
    <cellStyle name="20% - 强调文字颜色 3 16 6 4" xfId="2170" xr:uid="{00000000-0005-0000-0000-000060070000}"/>
    <cellStyle name="20% - 强调文字颜色 3 16 6 5" xfId="2186" xr:uid="{00000000-0005-0000-0000-000061070000}"/>
    <cellStyle name="20% - 强调文字颜色 3 16 6 6" xfId="2196" xr:uid="{00000000-0005-0000-0000-000062070000}"/>
    <cellStyle name="20% - 强调文字颜色 3 16 6 7" xfId="2207" xr:uid="{00000000-0005-0000-0000-000063070000}"/>
    <cellStyle name="20% - 强调文字颜色 3 16 6 8" xfId="205" xr:uid="{00000000-0005-0000-0000-000064070000}"/>
    <cellStyle name="20% - 强调文字颜色 3 16 7" xfId="3080" xr:uid="{00000000-0005-0000-0000-000065070000}"/>
    <cellStyle name="20% - 强调文字颜色 3 16 8" xfId="8210" xr:uid="{00000000-0005-0000-0000-000066070000}"/>
    <cellStyle name="20% - 强调文字颜色 3 16 9" xfId="8218" xr:uid="{00000000-0005-0000-0000-000067070000}"/>
    <cellStyle name="20% - 强调文字颜色 3 16 9 2" xfId="4704" xr:uid="{00000000-0005-0000-0000-000068070000}"/>
    <cellStyle name="20% - 强调文字颜色 3 16 9 3" xfId="4713" xr:uid="{00000000-0005-0000-0000-000069070000}"/>
    <cellStyle name="20% - 强调文字颜色 3 17" xfId="8225" xr:uid="{00000000-0005-0000-0000-00006A070000}"/>
    <cellStyle name="20% - 强调文字颜色 3 17 10" xfId="2050" xr:uid="{00000000-0005-0000-0000-00006B070000}"/>
    <cellStyle name="20% - 强调文字颜色 3 17 11" xfId="2115" xr:uid="{00000000-0005-0000-0000-00006C070000}"/>
    <cellStyle name="20% - 强调文字颜色 3 17 12" xfId="2136" xr:uid="{00000000-0005-0000-0000-00006D070000}"/>
    <cellStyle name="20% - 强调文字颜色 3 17 13" xfId="2154" xr:uid="{00000000-0005-0000-0000-00006E070000}"/>
    <cellStyle name="20% - 强调文字颜色 3 17 14" xfId="2174" xr:uid="{00000000-0005-0000-0000-00006F070000}"/>
    <cellStyle name="20% - 强调文字颜色 3 17 2" xfId="8226" xr:uid="{00000000-0005-0000-0000-000070070000}"/>
    <cellStyle name="20% - 强调文字颜色 3 17 3" xfId="8232" xr:uid="{00000000-0005-0000-0000-000071070000}"/>
    <cellStyle name="20% - 强调文字颜色 3 17 4" xfId="8238" xr:uid="{00000000-0005-0000-0000-000072070000}"/>
    <cellStyle name="20% - 强调文字颜色 3 17 5" xfId="8241" xr:uid="{00000000-0005-0000-0000-000073070000}"/>
    <cellStyle name="20% - 强调文字颜色 3 17 5 10" xfId="8247" xr:uid="{00000000-0005-0000-0000-000074070000}"/>
    <cellStyle name="20% - 强调文字颜色 3 17 5 11" xfId="8248" xr:uid="{00000000-0005-0000-0000-000075070000}"/>
    <cellStyle name="20% - 强调文字颜色 3 17 5 2" xfId="5123" xr:uid="{00000000-0005-0000-0000-000076070000}"/>
    <cellStyle name="20% - 强调文字颜色 3 17 5 2 2" xfId="8254" xr:uid="{00000000-0005-0000-0000-000077070000}"/>
    <cellStyle name="20% - 强调文字颜色 3 17 5 2 2 2" xfId="2374" xr:uid="{00000000-0005-0000-0000-000078070000}"/>
    <cellStyle name="20% - 强调文字颜色 3 17 5 2 2 3" xfId="2394" xr:uid="{00000000-0005-0000-0000-000079070000}"/>
    <cellStyle name="20% - 强调文字颜色 3 17 5 2 3" xfId="8260" xr:uid="{00000000-0005-0000-0000-00007A070000}"/>
    <cellStyle name="20% - 强调文字颜色 3 17 5 2 4" xfId="8266" xr:uid="{00000000-0005-0000-0000-00007B070000}"/>
    <cellStyle name="20% - 强调文字颜色 3 17 5 2 5" xfId="5500" xr:uid="{00000000-0005-0000-0000-00007C070000}"/>
    <cellStyle name="20% - 强调文字颜色 3 17 5 2 6" xfId="5514" xr:uid="{00000000-0005-0000-0000-00007D070000}"/>
    <cellStyle name="20% - 强调文字颜色 3 17 5 2 7" xfId="2225" xr:uid="{00000000-0005-0000-0000-00007E070000}"/>
    <cellStyle name="20% - 强调文字颜色 3 17 5 2 8" xfId="2251" xr:uid="{00000000-0005-0000-0000-00007F070000}"/>
    <cellStyle name="20% - 强调文字颜色 3 17 5 3" xfId="8267" xr:uid="{00000000-0005-0000-0000-000080070000}"/>
    <cellStyle name="20% - 强调文字颜色 3 17 5 4" xfId="8270" xr:uid="{00000000-0005-0000-0000-000081070000}"/>
    <cellStyle name="20% - 强调文字颜色 3 17 5 5" xfId="8277" xr:uid="{00000000-0005-0000-0000-000082070000}"/>
    <cellStyle name="20% - 强调文字颜色 3 17 5 6" xfId="8283" xr:uid="{00000000-0005-0000-0000-000083070000}"/>
    <cellStyle name="20% - 强调文字颜色 3 17 5 6 2" xfId="6881" xr:uid="{00000000-0005-0000-0000-000084070000}"/>
    <cellStyle name="20% - 强调文字颜色 3 17 5 6 3" xfId="6884" xr:uid="{00000000-0005-0000-0000-000085070000}"/>
    <cellStyle name="20% - 强调文字颜色 3 17 5 7" xfId="8289" xr:uid="{00000000-0005-0000-0000-000086070000}"/>
    <cellStyle name="20% - 强调文字颜色 3 17 5 8" xfId="8295" xr:uid="{00000000-0005-0000-0000-000087070000}"/>
    <cellStyle name="20% - 强调文字颜色 3 17 5 9" xfId="8302" xr:uid="{00000000-0005-0000-0000-000088070000}"/>
    <cellStyle name="20% - 强调文字颜色 3 17 6" xfId="8307" xr:uid="{00000000-0005-0000-0000-000089070000}"/>
    <cellStyle name="20% - 强调文字颜色 3 17 6 2" xfId="2541" xr:uid="{00000000-0005-0000-0000-00008A070000}"/>
    <cellStyle name="20% - 强调文字颜色 3 17 6 2 2" xfId="8309" xr:uid="{00000000-0005-0000-0000-00008B070000}"/>
    <cellStyle name="20% - 强调文字颜色 3 17 6 2 3" xfId="8310" xr:uid="{00000000-0005-0000-0000-00008C070000}"/>
    <cellStyle name="20% - 强调文字颜色 3 17 6 3" xfId="2400" xr:uid="{00000000-0005-0000-0000-00008D070000}"/>
    <cellStyle name="20% - 强调文字颜色 3 17 6 4" xfId="2415" xr:uid="{00000000-0005-0000-0000-00008E070000}"/>
    <cellStyle name="20% - 强调文字颜色 3 17 6 5" xfId="2583" xr:uid="{00000000-0005-0000-0000-00008F070000}"/>
    <cellStyle name="20% - 强调文字颜色 3 17 6 6" xfId="2592" xr:uid="{00000000-0005-0000-0000-000090070000}"/>
    <cellStyle name="20% - 强调文字颜色 3 17 6 7" xfId="2602" xr:uid="{00000000-0005-0000-0000-000091070000}"/>
    <cellStyle name="20% - 强调文字颜色 3 17 6 8" xfId="3493" xr:uid="{00000000-0005-0000-0000-000092070000}"/>
    <cellStyle name="20% - 强调文字颜色 3 17 7" xfId="8311" xr:uid="{00000000-0005-0000-0000-000093070000}"/>
    <cellStyle name="20% - 强调文字颜色 3 17 8" xfId="8315" xr:uid="{00000000-0005-0000-0000-000094070000}"/>
    <cellStyle name="20% - 强调文字颜色 3 17 9" xfId="6253" xr:uid="{00000000-0005-0000-0000-000095070000}"/>
    <cellStyle name="20% - 强调文字颜色 3 17 9 2" xfId="8319" xr:uid="{00000000-0005-0000-0000-000096070000}"/>
    <cellStyle name="20% - 强调文字颜色 3 17 9 3" xfId="8321" xr:uid="{00000000-0005-0000-0000-000097070000}"/>
    <cellStyle name="20% - 强调文字颜色 3 18" xfId="8331" xr:uid="{00000000-0005-0000-0000-000098070000}"/>
    <cellStyle name="20% - 强调文字颜色 3 18 10" xfId="3456" xr:uid="{00000000-0005-0000-0000-000099070000}"/>
    <cellStyle name="20% - 强调文字颜色 3 18 11" xfId="8334" xr:uid="{00000000-0005-0000-0000-00009A070000}"/>
    <cellStyle name="20% - 强调文字颜色 3 18 12" xfId="8338" xr:uid="{00000000-0005-0000-0000-00009B070000}"/>
    <cellStyle name="20% - 强调文字颜色 3 18 13" xfId="7098" xr:uid="{00000000-0005-0000-0000-00009C070000}"/>
    <cellStyle name="20% - 强调文字颜色 3 18 14" xfId="7113" xr:uid="{00000000-0005-0000-0000-00009D070000}"/>
    <cellStyle name="20% - 强调文字颜色 3 18 2" xfId="8341" xr:uid="{00000000-0005-0000-0000-00009E070000}"/>
    <cellStyle name="20% - 强调文字颜色 3 18 3" xfId="8346" xr:uid="{00000000-0005-0000-0000-00009F070000}"/>
    <cellStyle name="20% - 强调文字颜色 3 18 4" xfId="4524" xr:uid="{00000000-0005-0000-0000-0000A0070000}"/>
    <cellStyle name="20% - 强调文字颜色 3 18 5" xfId="4539" xr:uid="{00000000-0005-0000-0000-0000A1070000}"/>
    <cellStyle name="20% - 强调文字颜色 3 18 5 10" xfId="8352" xr:uid="{00000000-0005-0000-0000-0000A2070000}"/>
    <cellStyle name="20% - 强调文字颜色 3 18 5 11" xfId="7752" xr:uid="{00000000-0005-0000-0000-0000A3070000}"/>
    <cellStyle name="20% - 强调文字颜色 3 18 5 2" xfId="4557" xr:uid="{00000000-0005-0000-0000-0000A4070000}"/>
    <cellStyle name="20% - 强调文字颜色 3 18 5 2 2" xfId="8355" xr:uid="{00000000-0005-0000-0000-0000A5070000}"/>
    <cellStyle name="20% - 强调文字颜色 3 18 5 2 2 2" xfId="8363" xr:uid="{00000000-0005-0000-0000-0000A6070000}"/>
    <cellStyle name="20% - 强调文字颜色 3 18 5 2 2 3" xfId="5800" xr:uid="{00000000-0005-0000-0000-0000A7070000}"/>
    <cellStyle name="20% - 强调文字颜色 3 18 5 2 3" xfId="8366" xr:uid="{00000000-0005-0000-0000-0000A8070000}"/>
    <cellStyle name="20% - 强调文字颜色 3 18 5 2 4" xfId="8358" xr:uid="{00000000-0005-0000-0000-0000A9070000}"/>
    <cellStyle name="20% - 强调文字颜色 3 18 5 2 5" xfId="5791" xr:uid="{00000000-0005-0000-0000-0000AA070000}"/>
    <cellStyle name="20% - 强调文字颜色 3 18 5 2 6" xfId="5802" xr:uid="{00000000-0005-0000-0000-0000AB070000}"/>
    <cellStyle name="20% - 强调文字颜色 3 18 5 2 7" xfId="8368" xr:uid="{00000000-0005-0000-0000-0000AC070000}"/>
    <cellStyle name="20% - 强调文字颜色 3 18 5 2 8" xfId="6161" xr:uid="{00000000-0005-0000-0000-0000AD070000}"/>
    <cellStyle name="20% - 强调文字颜色 3 18 5 3" xfId="4578" xr:uid="{00000000-0005-0000-0000-0000AE070000}"/>
    <cellStyle name="20% - 强调文字颜色 3 18 5 4" xfId="8369" xr:uid="{00000000-0005-0000-0000-0000AF070000}"/>
    <cellStyle name="20% - 强调文字颜色 3 18 5 5" xfId="8377" xr:uid="{00000000-0005-0000-0000-0000B0070000}"/>
    <cellStyle name="20% - 强调文字颜色 3 18 5 6" xfId="8384" xr:uid="{00000000-0005-0000-0000-0000B1070000}"/>
    <cellStyle name="20% - 强调文字颜色 3 18 5 6 2" xfId="8391" xr:uid="{00000000-0005-0000-0000-0000B2070000}"/>
    <cellStyle name="20% - 强调文字颜色 3 18 5 6 3" xfId="4226" xr:uid="{00000000-0005-0000-0000-0000B3070000}"/>
    <cellStyle name="20% - 强调文字颜色 3 18 5 7" xfId="8392" xr:uid="{00000000-0005-0000-0000-0000B4070000}"/>
    <cellStyle name="20% - 强调文字颜色 3 18 5 8" xfId="8398" xr:uid="{00000000-0005-0000-0000-0000B5070000}"/>
    <cellStyle name="20% - 强调文字颜色 3 18 5 9" xfId="5144" xr:uid="{00000000-0005-0000-0000-0000B6070000}"/>
    <cellStyle name="20% - 强调文字颜色 3 18 6" xfId="4598" xr:uid="{00000000-0005-0000-0000-0000B7070000}"/>
    <cellStyle name="20% - 强调文字颜色 3 18 6 2" xfId="6917" xr:uid="{00000000-0005-0000-0000-0000B8070000}"/>
    <cellStyle name="20% - 强调文字颜色 3 18 6 2 2" xfId="8231" xr:uid="{00000000-0005-0000-0000-0000B9070000}"/>
    <cellStyle name="20% - 强调文字颜色 3 18 6 2 3" xfId="8236" xr:uid="{00000000-0005-0000-0000-0000BA070000}"/>
    <cellStyle name="20% - 强调文字颜色 3 18 6 3" xfId="6925" xr:uid="{00000000-0005-0000-0000-0000BB070000}"/>
    <cellStyle name="20% - 强调文字颜色 3 18 6 4" xfId="6934" xr:uid="{00000000-0005-0000-0000-0000BC070000}"/>
    <cellStyle name="20% - 强调文字颜色 3 18 6 5" xfId="4966" xr:uid="{00000000-0005-0000-0000-0000BD070000}"/>
    <cellStyle name="20% - 强调文字颜色 3 18 6 6" xfId="4985" xr:uid="{00000000-0005-0000-0000-0000BE070000}"/>
    <cellStyle name="20% - 强调文字颜色 3 18 6 7" xfId="4993" xr:uid="{00000000-0005-0000-0000-0000BF070000}"/>
    <cellStyle name="20% - 强调文字颜色 3 18 6 8" xfId="3836" xr:uid="{00000000-0005-0000-0000-0000C0070000}"/>
    <cellStyle name="20% - 强调文字颜色 3 18 7" xfId="4604" xr:uid="{00000000-0005-0000-0000-0000C1070000}"/>
    <cellStyle name="20% - 强调文字颜色 3 18 8" xfId="393" xr:uid="{00000000-0005-0000-0000-0000C2070000}"/>
    <cellStyle name="20% - 强调文字颜色 3 18 9" xfId="8405" xr:uid="{00000000-0005-0000-0000-0000C3070000}"/>
    <cellStyle name="20% - 强调文字颜色 3 18 9 2" xfId="5098" xr:uid="{00000000-0005-0000-0000-0000C4070000}"/>
    <cellStyle name="20% - 强调文字颜色 3 18 9 3" xfId="5103" xr:uid="{00000000-0005-0000-0000-0000C5070000}"/>
    <cellStyle name="20% - 强调文字颜色 3 19" xfId="8414" xr:uid="{00000000-0005-0000-0000-0000C6070000}"/>
    <cellStyle name="20% - 强调文字颜色 3 2" xfId="8415" xr:uid="{00000000-0005-0000-0000-0000C7070000}"/>
    <cellStyle name="20% - 强调文字颜色 3 2 10" xfId="8420" xr:uid="{00000000-0005-0000-0000-0000C8070000}"/>
    <cellStyle name="20% - 强调文字颜色 3 2 11" xfId="8430" xr:uid="{00000000-0005-0000-0000-0000C9070000}"/>
    <cellStyle name="20% - 强调文字颜色 3 2 12" xfId="8441" xr:uid="{00000000-0005-0000-0000-0000CA070000}"/>
    <cellStyle name="20% - 强调文字颜色 3 2 13" xfId="8450" xr:uid="{00000000-0005-0000-0000-0000CB070000}"/>
    <cellStyle name="20% - 强调文字颜色 3 2 14" xfId="8456" xr:uid="{00000000-0005-0000-0000-0000CC070000}"/>
    <cellStyle name="20% - 强调文字颜色 3 2 15" xfId="8460" xr:uid="{00000000-0005-0000-0000-0000CD070000}"/>
    <cellStyle name="20% - 强调文字颜色 3 2 16" xfId="7463" xr:uid="{00000000-0005-0000-0000-0000CE070000}"/>
    <cellStyle name="20% - 强调文字颜色 3 2 17" xfId="8461" xr:uid="{00000000-0005-0000-0000-0000CF070000}"/>
    <cellStyle name="20% - 强调文字颜色 3 2 17 10" xfId="3196" xr:uid="{00000000-0005-0000-0000-0000D0070000}"/>
    <cellStyle name="20% - 强调文字颜色 3 2 17 11" xfId="3253" xr:uid="{00000000-0005-0000-0000-0000D1070000}"/>
    <cellStyle name="20% - 强调文字颜色 3 2 17 12" xfId="2647" xr:uid="{00000000-0005-0000-0000-0000D2070000}"/>
    <cellStyle name="20% - 强调文字颜色 3 2 17 13" xfId="2666" xr:uid="{00000000-0005-0000-0000-0000D3070000}"/>
    <cellStyle name="20% - 强调文字颜色 3 2 17 14" xfId="3284" xr:uid="{00000000-0005-0000-0000-0000D4070000}"/>
    <cellStyle name="20% - 强调文字颜色 3 2 17 2" xfId="8464" xr:uid="{00000000-0005-0000-0000-0000D5070000}"/>
    <cellStyle name="20% - 强调文字颜色 3 2 17 3" xfId="8469" xr:uid="{00000000-0005-0000-0000-0000D6070000}"/>
    <cellStyle name="20% - 强调文字颜色 3 2 17 4" xfId="8473" xr:uid="{00000000-0005-0000-0000-0000D7070000}"/>
    <cellStyle name="20% - 强调文字颜色 3 2 17 5" xfId="8478" xr:uid="{00000000-0005-0000-0000-0000D8070000}"/>
    <cellStyle name="20% - 强调文字颜色 3 2 17 5 10" xfId="8480" xr:uid="{00000000-0005-0000-0000-0000D9070000}"/>
    <cellStyle name="20% - 强调文字颜色 3 2 17 5 11" xfId="8486" xr:uid="{00000000-0005-0000-0000-0000DA070000}"/>
    <cellStyle name="20% - 强调文字颜色 3 2 17 5 2" xfId="8490" xr:uid="{00000000-0005-0000-0000-0000DB070000}"/>
    <cellStyle name="20% - 强调文字颜色 3 2 17 5 2 2" xfId="8495" xr:uid="{00000000-0005-0000-0000-0000DC070000}"/>
    <cellStyle name="20% - 强调文字颜色 3 2 17 5 2 2 2" xfId="8500" xr:uid="{00000000-0005-0000-0000-0000DD070000}"/>
    <cellStyle name="20% - 强调文字颜色 3 2 17 5 2 2 3" xfId="8503" xr:uid="{00000000-0005-0000-0000-0000DE070000}"/>
    <cellStyle name="20% - 强调文字颜色 3 2 17 5 2 3" xfId="8509" xr:uid="{00000000-0005-0000-0000-0000DF070000}"/>
    <cellStyle name="20% - 强调文字颜色 3 2 17 5 2 4" xfId="8516" xr:uid="{00000000-0005-0000-0000-0000E0070000}"/>
    <cellStyle name="20% - 强调文字颜色 3 2 17 5 2 5" xfId="8523" xr:uid="{00000000-0005-0000-0000-0000E1070000}"/>
    <cellStyle name="20% - 强调文字颜色 3 2 17 5 2 6" xfId="8530" xr:uid="{00000000-0005-0000-0000-0000E2070000}"/>
    <cellStyle name="20% - 强调文字颜色 3 2 17 5 2 7" xfId="8535" xr:uid="{00000000-0005-0000-0000-0000E3070000}"/>
    <cellStyle name="20% - 强调文字颜色 3 2 17 5 2 8" xfId="8543" xr:uid="{00000000-0005-0000-0000-0000E4070000}"/>
    <cellStyle name="20% - 强调文字颜色 3 2 17 5 3" xfId="8545" xr:uid="{00000000-0005-0000-0000-0000E5070000}"/>
    <cellStyle name="20% - 强调文字颜色 3 2 17 5 4" xfId="8548" xr:uid="{00000000-0005-0000-0000-0000E6070000}"/>
    <cellStyle name="20% - 强调文字颜色 3 2 17 5 5" xfId="8551" xr:uid="{00000000-0005-0000-0000-0000E7070000}"/>
    <cellStyle name="20% - 强调文字颜色 3 2 17 5 6" xfId="8552" xr:uid="{00000000-0005-0000-0000-0000E8070000}"/>
    <cellStyle name="20% - 强调文字颜色 3 2 17 5 6 2" xfId="8559" xr:uid="{00000000-0005-0000-0000-0000E9070000}"/>
    <cellStyle name="20% - 强调文字颜色 3 2 17 5 6 3" xfId="8566" xr:uid="{00000000-0005-0000-0000-0000EA070000}"/>
    <cellStyle name="20% - 强调文字颜色 3 2 17 5 7" xfId="8567" xr:uid="{00000000-0005-0000-0000-0000EB070000}"/>
    <cellStyle name="20% - 强调文字颜色 3 2 17 5 8" xfId="8569" xr:uid="{00000000-0005-0000-0000-0000EC070000}"/>
    <cellStyle name="20% - 强调文字颜色 3 2 17 5 9" xfId="8571" xr:uid="{00000000-0005-0000-0000-0000ED070000}"/>
    <cellStyle name="20% - 强调文字颜色 3 2 17 6" xfId="8579" xr:uid="{00000000-0005-0000-0000-0000EE070000}"/>
    <cellStyle name="20% - 强调文字颜色 3 2 17 6 2" xfId="7814" xr:uid="{00000000-0005-0000-0000-0000EF070000}"/>
    <cellStyle name="20% - 强调文字颜色 3 2 17 6 2 2" xfId="8586" xr:uid="{00000000-0005-0000-0000-0000F0070000}"/>
    <cellStyle name="20% - 强调文字颜色 3 2 17 6 2 3" xfId="8594" xr:uid="{00000000-0005-0000-0000-0000F1070000}"/>
    <cellStyle name="20% - 强调文字颜色 3 2 17 6 3" xfId="7820" xr:uid="{00000000-0005-0000-0000-0000F2070000}"/>
    <cellStyle name="20% - 强调文字颜色 3 2 17 6 4" xfId="2026" xr:uid="{00000000-0005-0000-0000-0000F3070000}"/>
    <cellStyle name="20% - 强调文字颜色 3 2 17 6 5" xfId="2038" xr:uid="{00000000-0005-0000-0000-0000F4070000}"/>
    <cellStyle name="20% - 强调文字颜色 3 2 17 6 6" xfId="8600" xr:uid="{00000000-0005-0000-0000-0000F5070000}"/>
    <cellStyle name="20% - 强调文字颜色 3 2 17 6 7" xfId="8606" xr:uid="{00000000-0005-0000-0000-0000F6070000}"/>
    <cellStyle name="20% - 强调文字颜色 3 2 17 6 8" xfId="8618" xr:uid="{00000000-0005-0000-0000-0000F7070000}"/>
    <cellStyle name="20% - 强调文字颜色 3 2 17 7" xfId="8625" xr:uid="{00000000-0005-0000-0000-0000F8070000}"/>
    <cellStyle name="20% - 强调文字颜色 3 2 17 8" xfId="8632" xr:uid="{00000000-0005-0000-0000-0000F9070000}"/>
    <cellStyle name="20% - 强调文字颜色 3 2 17 9" xfId="8639" xr:uid="{00000000-0005-0000-0000-0000FA070000}"/>
    <cellStyle name="20% - 强调文字颜色 3 2 17 9 2" xfId="8644" xr:uid="{00000000-0005-0000-0000-0000FB070000}"/>
    <cellStyle name="20% - 强调文字颜色 3 2 17 9 3" xfId="8649" xr:uid="{00000000-0005-0000-0000-0000FC070000}"/>
    <cellStyle name="20% - 强调文字颜色 3 2 18" xfId="7298" xr:uid="{00000000-0005-0000-0000-0000FD070000}"/>
    <cellStyle name="20% - 强调文字颜色 3 2 18 10" xfId="8654" xr:uid="{00000000-0005-0000-0000-0000FE070000}"/>
    <cellStyle name="20% - 强调文字颜色 3 2 18 11" xfId="8658" xr:uid="{00000000-0005-0000-0000-0000FF070000}"/>
    <cellStyle name="20% - 强调文字颜色 3 2 18 12" xfId="8663" xr:uid="{00000000-0005-0000-0000-000000080000}"/>
    <cellStyle name="20% - 强调文字颜色 3 2 18 13" xfId="8668" xr:uid="{00000000-0005-0000-0000-000001080000}"/>
    <cellStyle name="20% - 强调文字颜色 3 2 18 14" xfId="8672" xr:uid="{00000000-0005-0000-0000-000002080000}"/>
    <cellStyle name="20% - 强调文字颜色 3 2 18 2" xfId="8675" xr:uid="{00000000-0005-0000-0000-000003080000}"/>
    <cellStyle name="20% - 强调文字颜色 3 2 18 3" xfId="8677" xr:uid="{00000000-0005-0000-0000-000004080000}"/>
    <cellStyle name="20% - 强调文字颜色 3 2 18 4" xfId="8680" xr:uid="{00000000-0005-0000-0000-000005080000}"/>
    <cellStyle name="20% - 强调文字颜色 3 2 18 5" xfId="2892" xr:uid="{00000000-0005-0000-0000-000006080000}"/>
    <cellStyle name="20% - 强调文字颜色 3 2 18 5 10" xfId="8684" xr:uid="{00000000-0005-0000-0000-000007080000}"/>
    <cellStyle name="20% - 强调文字颜色 3 2 18 5 11" xfId="8686" xr:uid="{00000000-0005-0000-0000-000008080000}"/>
    <cellStyle name="20% - 强调文字颜色 3 2 18 5 2" xfId="8687" xr:uid="{00000000-0005-0000-0000-000009080000}"/>
    <cellStyle name="20% - 强调文字颜色 3 2 18 5 2 2" xfId="8691" xr:uid="{00000000-0005-0000-0000-00000A080000}"/>
    <cellStyle name="20% - 强调文字颜色 3 2 18 5 2 2 2" xfId="8693" xr:uid="{00000000-0005-0000-0000-00000B080000}"/>
    <cellStyle name="20% - 强调文字颜色 3 2 18 5 2 2 3" xfId="8696" xr:uid="{00000000-0005-0000-0000-00000C080000}"/>
    <cellStyle name="20% - 强调文字颜色 3 2 18 5 2 3" xfId="8700" xr:uid="{00000000-0005-0000-0000-00000D080000}"/>
    <cellStyle name="20% - 强调文字颜色 3 2 18 5 2 4" xfId="4972" xr:uid="{00000000-0005-0000-0000-00000E080000}"/>
    <cellStyle name="20% - 强调文字颜色 3 2 18 5 2 5" xfId="4976" xr:uid="{00000000-0005-0000-0000-00000F080000}"/>
    <cellStyle name="20% - 强调文字颜色 3 2 18 5 2 6" xfId="6259" xr:uid="{00000000-0005-0000-0000-000010080000}"/>
    <cellStyle name="20% - 强调文字颜色 3 2 18 5 2 7" xfId="6268" xr:uid="{00000000-0005-0000-0000-000011080000}"/>
    <cellStyle name="20% - 强调文字颜色 3 2 18 5 2 8" xfId="6276" xr:uid="{00000000-0005-0000-0000-000012080000}"/>
    <cellStyle name="20% - 强调文字颜色 3 2 18 5 3" xfId="8704" xr:uid="{00000000-0005-0000-0000-000013080000}"/>
    <cellStyle name="20% - 强调文字颜色 3 2 18 5 4" xfId="8709" xr:uid="{00000000-0005-0000-0000-000014080000}"/>
    <cellStyle name="20% - 强调文字颜色 3 2 18 5 5" xfId="8712" xr:uid="{00000000-0005-0000-0000-000015080000}"/>
    <cellStyle name="20% - 强调文字颜色 3 2 18 5 6" xfId="8716" xr:uid="{00000000-0005-0000-0000-000016080000}"/>
    <cellStyle name="20% - 强调文字颜色 3 2 18 5 6 2" xfId="5340" xr:uid="{00000000-0005-0000-0000-000017080000}"/>
    <cellStyle name="20% - 强调文字颜色 3 2 18 5 6 3" xfId="3217" xr:uid="{00000000-0005-0000-0000-000018080000}"/>
    <cellStyle name="20% - 强调文字颜色 3 2 18 5 7" xfId="8720" xr:uid="{00000000-0005-0000-0000-000019080000}"/>
    <cellStyle name="20% - 强调文字颜色 3 2 18 5 8" xfId="8724" xr:uid="{00000000-0005-0000-0000-00001A080000}"/>
    <cellStyle name="20% - 强调文字颜色 3 2 18 5 9" xfId="8728" xr:uid="{00000000-0005-0000-0000-00001B080000}"/>
    <cellStyle name="20% - 强调文字颜色 3 2 18 6" xfId="2904" xr:uid="{00000000-0005-0000-0000-00001C080000}"/>
    <cellStyle name="20% - 强调文字颜色 3 2 18 6 2" xfId="7766" xr:uid="{00000000-0005-0000-0000-00001D080000}"/>
    <cellStyle name="20% - 强调文字颜色 3 2 18 6 2 2" xfId="8739" xr:uid="{00000000-0005-0000-0000-00001E080000}"/>
    <cellStyle name="20% - 强调文字颜色 3 2 18 6 2 3" xfId="8745" xr:uid="{00000000-0005-0000-0000-00001F080000}"/>
    <cellStyle name="20% - 强调文字颜色 3 2 18 6 3" xfId="7777" xr:uid="{00000000-0005-0000-0000-000020080000}"/>
    <cellStyle name="20% - 强调文字颜色 3 2 18 6 4" xfId="8750" xr:uid="{00000000-0005-0000-0000-000021080000}"/>
    <cellStyle name="20% - 强调文字颜色 3 2 18 6 5" xfId="8756" xr:uid="{00000000-0005-0000-0000-000022080000}"/>
    <cellStyle name="20% - 强调文字颜色 3 2 18 6 6" xfId="8761" xr:uid="{00000000-0005-0000-0000-000023080000}"/>
    <cellStyle name="20% - 强调文字颜色 3 2 18 6 7" xfId="8766" xr:uid="{00000000-0005-0000-0000-000024080000}"/>
    <cellStyle name="20% - 强调文字颜色 3 2 18 6 8" xfId="8774" xr:uid="{00000000-0005-0000-0000-000025080000}"/>
    <cellStyle name="20% - 强调文字颜色 3 2 18 7" xfId="3461" xr:uid="{00000000-0005-0000-0000-000026080000}"/>
    <cellStyle name="20% - 强调文字颜色 3 2 18 8" xfId="3470" xr:uid="{00000000-0005-0000-0000-000027080000}"/>
    <cellStyle name="20% - 强调文字颜色 3 2 18 9" xfId="3479" xr:uid="{00000000-0005-0000-0000-000028080000}"/>
    <cellStyle name="20% - 强调文字颜色 3 2 18 9 2" xfId="4263" xr:uid="{00000000-0005-0000-0000-000029080000}"/>
    <cellStyle name="20% - 强调文字颜色 3 2 18 9 3" xfId="4281" xr:uid="{00000000-0005-0000-0000-00002A080000}"/>
    <cellStyle name="20% - 强调文字颜色 3 2 19" xfId="7312" xr:uid="{00000000-0005-0000-0000-00002B080000}"/>
    <cellStyle name="20% - 强调文字颜色 3 2 19 10" xfId="746" xr:uid="{00000000-0005-0000-0000-00002C080000}"/>
    <cellStyle name="20% - 强调文字颜色 3 2 19 11" xfId="1272" xr:uid="{00000000-0005-0000-0000-00002D080000}"/>
    <cellStyle name="20% - 强调文字颜色 3 2 19 12" xfId="6100" xr:uid="{00000000-0005-0000-0000-00002E080000}"/>
    <cellStyle name="20% - 强调文字颜色 3 2 19 13" xfId="6143" xr:uid="{00000000-0005-0000-0000-00002F080000}"/>
    <cellStyle name="20% - 强调文字颜色 3 2 19 14" xfId="6153" xr:uid="{00000000-0005-0000-0000-000030080000}"/>
    <cellStyle name="20% - 强调文字颜色 3 2 19 2" xfId="8781" xr:uid="{00000000-0005-0000-0000-000031080000}"/>
    <cellStyle name="20% - 强调文字颜色 3 2 19 3" xfId="8789" xr:uid="{00000000-0005-0000-0000-000032080000}"/>
    <cellStyle name="20% - 强调文字颜色 3 2 19 4" xfId="8796" xr:uid="{00000000-0005-0000-0000-000033080000}"/>
    <cellStyle name="20% - 强调文字颜色 3 2 19 5" xfId="8804" xr:uid="{00000000-0005-0000-0000-000034080000}"/>
    <cellStyle name="20% - 强调文字颜色 3 2 19 5 10" xfId="5324" xr:uid="{00000000-0005-0000-0000-000035080000}"/>
    <cellStyle name="20% - 强调文字颜色 3 2 19 5 11" xfId="8805" xr:uid="{00000000-0005-0000-0000-000036080000}"/>
    <cellStyle name="20% - 强调文字颜色 3 2 19 5 2" xfId="8811" xr:uid="{00000000-0005-0000-0000-000037080000}"/>
    <cellStyle name="20% - 强调文字颜色 3 2 19 5 2 2" xfId="8813" xr:uid="{00000000-0005-0000-0000-000038080000}"/>
    <cellStyle name="20% - 强调文字颜色 3 2 19 5 2 2 2" xfId="2311" xr:uid="{00000000-0005-0000-0000-000039080000}"/>
    <cellStyle name="20% - 强调文字颜色 3 2 19 5 2 2 3" xfId="3228" xr:uid="{00000000-0005-0000-0000-00003A080000}"/>
    <cellStyle name="20% - 强调文字颜色 3 2 19 5 2 3" xfId="8815" xr:uid="{00000000-0005-0000-0000-00003B080000}"/>
    <cellStyle name="20% - 强调文字颜色 3 2 19 5 2 4" xfId="3752" xr:uid="{00000000-0005-0000-0000-00003C080000}"/>
    <cellStyle name="20% - 强调文字颜色 3 2 19 5 2 5" xfId="3760" xr:uid="{00000000-0005-0000-0000-00003D080000}"/>
    <cellStyle name="20% - 强调文字颜色 3 2 19 5 2 6" xfId="8816" xr:uid="{00000000-0005-0000-0000-00003E080000}"/>
    <cellStyle name="20% - 强调文字颜色 3 2 19 5 2 7" xfId="8819" xr:uid="{00000000-0005-0000-0000-00003F080000}"/>
    <cellStyle name="20% - 强调文字颜色 3 2 19 5 2 8" xfId="8824" xr:uid="{00000000-0005-0000-0000-000040080000}"/>
    <cellStyle name="20% - 强调文字颜色 3 2 19 5 3" xfId="8827" xr:uid="{00000000-0005-0000-0000-000041080000}"/>
    <cellStyle name="20% - 强调文字颜色 3 2 19 5 4" xfId="8834" xr:uid="{00000000-0005-0000-0000-000042080000}"/>
    <cellStyle name="20% - 强调文字颜色 3 2 19 5 5" xfId="8843" xr:uid="{00000000-0005-0000-0000-000043080000}"/>
    <cellStyle name="20% - 强调文字颜色 3 2 19 5 6" xfId="1375" xr:uid="{00000000-0005-0000-0000-000044080000}"/>
    <cellStyle name="20% - 强调文字颜色 3 2 19 5 6 2" xfId="8844" xr:uid="{00000000-0005-0000-0000-000045080000}"/>
    <cellStyle name="20% - 强调文字颜色 3 2 19 5 6 3" xfId="6623" xr:uid="{00000000-0005-0000-0000-000046080000}"/>
    <cellStyle name="20% - 强调文字颜色 3 2 19 5 7" xfId="1388" xr:uid="{00000000-0005-0000-0000-000047080000}"/>
    <cellStyle name="20% - 强调文字颜色 3 2 19 5 8" xfId="1401" xr:uid="{00000000-0005-0000-0000-000048080000}"/>
    <cellStyle name="20% - 强调文字颜色 3 2 19 5 9" xfId="1415" xr:uid="{00000000-0005-0000-0000-000049080000}"/>
    <cellStyle name="20% - 强调文字颜色 3 2 19 6" xfId="8855" xr:uid="{00000000-0005-0000-0000-00004A080000}"/>
    <cellStyle name="20% - 强调文字颜色 3 2 19 6 2" xfId="7509" xr:uid="{00000000-0005-0000-0000-00004B080000}"/>
    <cellStyle name="20% - 强调文字颜色 3 2 19 6 2 2" xfId="8860" xr:uid="{00000000-0005-0000-0000-00004C080000}"/>
    <cellStyle name="20% - 强调文字颜色 3 2 19 6 2 3" xfId="8865" xr:uid="{00000000-0005-0000-0000-00004D080000}"/>
    <cellStyle name="20% - 强调文字颜色 3 2 19 6 3" xfId="5585" xr:uid="{00000000-0005-0000-0000-00004E080000}"/>
    <cellStyle name="20% - 强调文字颜色 3 2 19 6 4" xfId="8869" xr:uid="{00000000-0005-0000-0000-00004F080000}"/>
    <cellStyle name="20% - 强调文字颜色 3 2 19 6 5" xfId="8873" xr:uid="{00000000-0005-0000-0000-000050080000}"/>
    <cellStyle name="20% - 强调文字颜色 3 2 19 6 6" xfId="1968" xr:uid="{00000000-0005-0000-0000-000051080000}"/>
    <cellStyle name="20% - 强调文字颜色 3 2 19 6 7" xfId="1973" xr:uid="{00000000-0005-0000-0000-000052080000}"/>
    <cellStyle name="20% - 强调文字颜色 3 2 19 6 8" xfId="1997" xr:uid="{00000000-0005-0000-0000-000053080000}"/>
    <cellStyle name="20% - 强调文字颜色 3 2 19 7" xfId="8878" xr:uid="{00000000-0005-0000-0000-000054080000}"/>
    <cellStyle name="20% - 强调文字颜色 3 2 19 8" xfId="7520" xr:uid="{00000000-0005-0000-0000-000055080000}"/>
    <cellStyle name="20% - 强调文字颜色 3 2 19 9" xfId="5594" xr:uid="{00000000-0005-0000-0000-000056080000}"/>
    <cellStyle name="20% - 强调文字颜色 3 2 19 9 2" xfId="8883" xr:uid="{00000000-0005-0000-0000-000057080000}"/>
    <cellStyle name="20% - 强调文字颜色 3 2 19 9 3" xfId="8888" xr:uid="{00000000-0005-0000-0000-000058080000}"/>
    <cellStyle name="20% - 强调文字颜色 3 2 2" xfId="8890" xr:uid="{00000000-0005-0000-0000-000059080000}"/>
    <cellStyle name="20% - 强调文字颜色 3 2 2 10" xfId="8895" xr:uid="{00000000-0005-0000-0000-00005A080000}"/>
    <cellStyle name="20% - 强调文字颜色 3 2 2 11" xfId="8900" xr:uid="{00000000-0005-0000-0000-00005B080000}"/>
    <cellStyle name="20% - 强调文字颜色 3 2 2 12" xfId="8905" xr:uid="{00000000-0005-0000-0000-00005C080000}"/>
    <cellStyle name="20% - 强调文字颜色 3 2 2 13" xfId="8909" xr:uid="{00000000-0005-0000-0000-00005D080000}"/>
    <cellStyle name="20% - 强调文字颜色 3 2 2 14" xfId="8184" xr:uid="{00000000-0005-0000-0000-00005E080000}"/>
    <cellStyle name="20% - 强调文字颜色 3 2 2 2" xfId="1630" xr:uid="{00000000-0005-0000-0000-00005F080000}"/>
    <cellStyle name="20% - 强调文字颜色 3 2 2 3" xfId="449" xr:uid="{00000000-0005-0000-0000-000060080000}"/>
    <cellStyle name="20% - 强调文字颜色 3 2 2 4" xfId="8910" xr:uid="{00000000-0005-0000-0000-000061080000}"/>
    <cellStyle name="20% - 强调文字颜色 3 2 2 5" xfId="8912" xr:uid="{00000000-0005-0000-0000-000062080000}"/>
    <cellStyle name="20% - 强调文字颜色 3 2 2 6" xfId="8914" xr:uid="{00000000-0005-0000-0000-000063080000}"/>
    <cellStyle name="20% - 强调文字颜色 3 2 2 7" xfId="8915" xr:uid="{00000000-0005-0000-0000-000064080000}"/>
    <cellStyle name="20% - 强调文字颜色 3 2 2 8" xfId="8917" xr:uid="{00000000-0005-0000-0000-000065080000}"/>
    <cellStyle name="20% - 强调文字颜色 3 2 2 9" xfId="8919" xr:uid="{00000000-0005-0000-0000-000066080000}"/>
    <cellStyle name="20% - 强调文字颜色 3 2 20" xfId="8459" xr:uid="{00000000-0005-0000-0000-000067080000}"/>
    <cellStyle name="20% - 强调文字颜色 3 2 20 10" xfId="6779" xr:uid="{00000000-0005-0000-0000-000068080000}"/>
    <cellStyle name="20% - 强调文字颜色 3 2 20 11" xfId="7616" xr:uid="{00000000-0005-0000-0000-000069080000}"/>
    <cellStyle name="20% - 强调文字颜色 3 2 20 12" xfId="7627" xr:uid="{00000000-0005-0000-0000-00006A080000}"/>
    <cellStyle name="20% - 强调文字颜色 3 2 20 13" xfId="8926" xr:uid="{00000000-0005-0000-0000-00006B080000}"/>
    <cellStyle name="20% - 强调文字颜色 3 2 20 14" xfId="923" xr:uid="{00000000-0005-0000-0000-00006C080000}"/>
    <cellStyle name="20% - 强调文字颜色 3 2 20 2" xfId="4816" xr:uid="{00000000-0005-0000-0000-00006D080000}"/>
    <cellStyle name="20% - 强调文字颜色 3 2 20 3" xfId="8935" xr:uid="{00000000-0005-0000-0000-00006E080000}"/>
    <cellStyle name="20% - 强调文字颜色 3 2 20 4" xfId="8944" xr:uid="{00000000-0005-0000-0000-00006F080000}"/>
    <cellStyle name="20% - 强调文字颜色 3 2 20 5" xfId="8950" xr:uid="{00000000-0005-0000-0000-000070080000}"/>
    <cellStyle name="20% - 强调文字颜色 3 2 20 5 10" xfId="8956" xr:uid="{00000000-0005-0000-0000-000071080000}"/>
    <cellStyle name="20% - 强调文字颜色 3 2 20 5 11" xfId="8961" xr:uid="{00000000-0005-0000-0000-000072080000}"/>
    <cellStyle name="20% - 强调文字颜色 3 2 20 5 2" xfId="8669" xr:uid="{00000000-0005-0000-0000-000073080000}"/>
    <cellStyle name="20% - 强调文字颜色 3 2 20 5 2 2" xfId="8962" xr:uid="{00000000-0005-0000-0000-000074080000}"/>
    <cellStyle name="20% - 强调文字颜色 3 2 20 5 2 2 2" xfId="8965" xr:uid="{00000000-0005-0000-0000-000075080000}"/>
    <cellStyle name="20% - 强调文字颜色 3 2 20 5 2 2 3" xfId="8968" xr:uid="{00000000-0005-0000-0000-000076080000}"/>
    <cellStyle name="20% - 强调文字颜色 3 2 20 5 2 3" xfId="8969" xr:uid="{00000000-0005-0000-0000-000077080000}"/>
    <cellStyle name="20% - 强调文字颜色 3 2 20 5 2 4" xfId="8974" xr:uid="{00000000-0005-0000-0000-000078080000}"/>
    <cellStyle name="20% - 强调文字颜色 3 2 20 5 2 5" xfId="8980" xr:uid="{00000000-0005-0000-0000-000079080000}"/>
    <cellStyle name="20% - 强调文字颜色 3 2 20 5 2 6" xfId="8985" xr:uid="{00000000-0005-0000-0000-00007A080000}"/>
    <cellStyle name="20% - 强调文字颜色 3 2 20 5 2 7" xfId="6902" xr:uid="{00000000-0005-0000-0000-00007B080000}"/>
    <cellStyle name="20% - 强调文字颜色 3 2 20 5 2 8" xfId="3204" xr:uid="{00000000-0005-0000-0000-00007C080000}"/>
    <cellStyle name="20% - 强调文字颜色 3 2 20 5 3" xfId="8673" xr:uid="{00000000-0005-0000-0000-00007D080000}"/>
    <cellStyle name="20% - 强调文字颜色 3 2 20 5 4" xfId="8848" xr:uid="{00000000-0005-0000-0000-00007E080000}"/>
    <cellStyle name="20% - 强调文字颜色 3 2 20 5 5" xfId="6626" xr:uid="{00000000-0005-0000-0000-00007F080000}"/>
    <cellStyle name="20% - 强调文字颜色 3 2 20 5 6" xfId="6633" xr:uid="{00000000-0005-0000-0000-000080080000}"/>
    <cellStyle name="20% - 强调文字颜色 3 2 20 5 6 2" xfId="8987" xr:uid="{00000000-0005-0000-0000-000081080000}"/>
    <cellStyle name="20% - 强调文字颜色 3 2 20 5 6 3" xfId="8989" xr:uid="{00000000-0005-0000-0000-000082080000}"/>
    <cellStyle name="20% - 强调文字颜色 3 2 20 5 7" xfId="6640" xr:uid="{00000000-0005-0000-0000-000083080000}"/>
    <cellStyle name="20% - 强调文字颜色 3 2 20 5 8" xfId="6647" xr:uid="{00000000-0005-0000-0000-000084080000}"/>
    <cellStyle name="20% - 强调文字颜色 3 2 20 5 9" xfId="6654" xr:uid="{00000000-0005-0000-0000-000085080000}"/>
    <cellStyle name="20% - 强调文字颜色 3 2 20 6" xfId="8991" xr:uid="{00000000-0005-0000-0000-000086080000}"/>
    <cellStyle name="20% - 强调文字颜色 3 2 20 6 2" xfId="8998" xr:uid="{00000000-0005-0000-0000-000087080000}"/>
    <cellStyle name="20% - 强调文字颜色 3 2 20 6 2 2" xfId="297" xr:uid="{00000000-0005-0000-0000-000088080000}"/>
    <cellStyle name="20% - 强调文字颜色 3 2 20 6 2 3" xfId="5054" xr:uid="{00000000-0005-0000-0000-000089080000}"/>
    <cellStyle name="20% - 强调文字颜色 3 2 20 6 3" xfId="9001" xr:uid="{00000000-0005-0000-0000-00008A080000}"/>
    <cellStyle name="20% - 强调文字颜色 3 2 20 6 4" xfId="9004" xr:uid="{00000000-0005-0000-0000-00008B080000}"/>
    <cellStyle name="20% - 强调文字颜色 3 2 20 6 5" xfId="9009" xr:uid="{00000000-0005-0000-0000-00008C080000}"/>
    <cellStyle name="20% - 强调文字颜色 3 2 20 6 6" xfId="9017" xr:uid="{00000000-0005-0000-0000-00008D080000}"/>
    <cellStyle name="20% - 强调文字颜色 3 2 20 6 7" xfId="9022" xr:uid="{00000000-0005-0000-0000-00008E080000}"/>
    <cellStyle name="20% - 强调文字颜色 3 2 20 6 8" xfId="9027" xr:uid="{00000000-0005-0000-0000-00008F080000}"/>
    <cellStyle name="20% - 强调文字颜色 3 2 20 7" xfId="9031" xr:uid="{00000000-0005-0000-0000-000090080000}"/>
    <cellStyle name="20% - 强调文字颜色 3 2 20 8" xfId="7486" xr:uid="{00000000-0005-0000-0000-000091080000}"/>
    <cellStyle name="20% - 强调文字颜色 3 2 20 9" xfId="5358" xr:uid="{00000000-0005-0000-0000-000092080000}"/>
    <cellStyle name="20% - 强调文字颜色 3 2 20 9 2" xfId="5370" xr:uid="{00000000-0005-0000-0000-000093080000}"/>
    <cellStyle name="20% - 强调文字颜色 3 2 20 9 3" xfId="5388" xr:uid="{00000000-0005-0000-0000-000094080000}"/>
    <cellStyle name="20% - 强调文字颜色 3 2 3" xfId="9033" xr:uid="{00000000-0005-0000-0000-000095080000}"/>
    <cellStyle name="20% - 强调文字颜色 3 2 3 10" xfId="9040" xr:uid="{00000000-0005-0000-0000-000096080000}"/>
    <cellStyle name="20% - 强调文字颜色 3 2 3 11" xfId="9044" xr:uid="{00000000-0005-0000-0000-000097080000}"/>
    <cellStyle name="20% - 强调文字颜色 3 2 3 12" xfId="9046" xr:uid="{00000000-0005-0000-0000-000098080000}"/>
    <cellStyle name="20% - 强调文字颜色 3 2 3 13" xfId="9047" xr:uid="{00000000-0005-0000-0000-000099080000}"/>
    <cellStyle name="20% - 强调文字颜色 3 2 3 14" xfId="9048" xr:uid="{00000000-0005-0000-0000-00009A080000}"/>
    <cellStyle name="20% - 强调文字颜色 3 2 3 2" xfId="8972" xr:uid="{00000000-0005-0000-0000-00009B080000}"/>
    <cellStyle name="20% - 强调文字颜色 3 2 3 3" xfId="8978" xr:uid="{00000000-0005-0000-0000-00009C080000}"/>
    <cellStyle name="20% - 强调文字颜色 3 2 3 4" xfId="8984" xr:uid="{00000000-0005-0000-0000-00009D080000}"/>
    <cellStyle name="20% - 强调文字颜色 3 2 3 5" xfId="6901" xr:uid="{00000000-0005-0000-0000-00009E080000}"/>
    <cellStyle name="20% - 强调文字颜色 3 2 3 6" xfId="3201" xr:uid="{00000000-0005-0000-0000-00009F080000}"/>
    <cellStyle name="20% - 强调文字颜色 3 2 3 7" xfId="3259" xr:uid="{00000000-0005-0000-0000-0000A0080000}"/>
    <cellStyle name="20% - 强调文字颜色 3 2 3 8" xfId="2656" xr:uid="{00000000-0005-0000-0000-0000A1080000}"/>
    <cellStyle name="20% - 强调文字颜色 3 2 3 9" xfId="2673" xr:uid="{00000000-0005-0000-0000-0000A2080000}"/>
    <cellStyle name="20% - 强调文字颜色 3 2 4" xfId="9049" xr:uid="{00000000-0005-0000-0000-0000A3080000}"/>
    <cellStyle name="20% - 强调文字颜色 3 2 4 10" xfId="9054" xr:uid="{00000000-0005-0000-0000-0000A4080000}"/>
    <cellStyle name="20% - 强调文字颜色 3 2 4 11" xfId="9057" xr:uid="{00000000-0005-0000-0000-0000A5080000}"/>
    <cellStyle name="20% - 强调文字颜色 3 2 4 12" xfId="2398" xr:uid="{00000000-0005-0000-0000-0000A6080000}"/>
    <cellStyle name="20% - 强调文字颜色 3 2 4 13" xfId="2412" xr:uid="{00000000-0005-0000-0000-0000A7080000}"/>
    <cellStyle name="20% - 强调文字颜色 3 2 4 14" xfId="9061" xr:uid="{00000000-0005-0000-0000-0000A8080000}"/>
    <cellStyle name="20% - 强调文字颜色 3 2 4 2" xfId="9065" xr:uid="{00000000-0005-0000-0000-0000A9080000}"/>
    <cellStyle name="20% - 强调文字颜色 3 2 4 3" xfId="9073" xr:uid="{00000000-0005-0000-0000-0000AA080000}"/>
    <cellStyle name="20% - 强调文字颜色 3 2 4 4" xfId="9079" xr:uid="{00000000-0005-0000-0000-0000AB080000}"/>
    <cellStyle name="20% - 强调文字颜色 3 2 4 5" xfId="9085" xr:uid="{00000000-0005-0000-0000-0000AC080000}"/>
    <cellStyle name="20% - 强调文字颜色 3 2 4 6" xfId="3912" xr:uid="{00000000-0005-0000-0000-0000AD080000}"/>
    <cellStyle name="20% - 强调文字颜色 3 2 4 7" xfId="3918" xr:uid="{00000000-0005-0000-0000-0000AE080000}"/>
    <cellStyle name="20% - 强调文字颜色 3 2 4 8" xfId="3925" xr:uid="{00000000-0005-0000-0000-0000AF080000}"/>
    <cellStyle name="20% - 强调文字颜色 3 2 4 9" xfId="3930" xr:uid="{00000000-0005-0000-0000-0000B0080000}"/>
    <cellStyle name="20% - 强调文字颜色 3 2 5" xfId="9091" xr:uid="{00000000-0005-0000-0000-0000B1080000}"/>
    <cellStyle name="20% - 强调文字颜色 3 2 6" xfId="9092" xr:uid="{00000000-0005-0000-0000-0000B2080000}"/>
    <cellStyle name="20% - 强调文字颜色 3 2 7" xfId="9093" xr:uid="{00000000-0005-0000-0000-0000B3080000}"/>
    <cellStyle name="20% - 强调文字颜色 3 2 8" xfId="9095" xr:uid="{00000000-0005-0000-0000-0000B4080000}"/>
    <cellStyle name="20% - 强调文字颜色 3 2 9" xfId="9097" xr:uid="{00000000-0005-0000-0000-0000B5080000}"/>
    <cellStyle name="20% - 强调文字颜色 3 3" xfId="9101" xr:uid="{00000000-0005-0000-0000-0000B6080000}"/>
    <cellStyle name="20% - 强调文字颜色 3 3 10" xfId="5080" xr:uid="{00000000-0005-0000-0000-0000B7080000}"/>
    <cellStyle name="20% - 强调文字颜色 3 3 11" xfId="5084" xr:uid="{00000000-0005-0000-0000-0000B8080000}"/>
    <cellStyle name="20% - 强调文字颜色 3 3 12" xfId="5090" xr:uid="{00000000-0005-0000-0000-0000B9080000}"/>
    <cellStyle name="20% - 强调文字颜色 3 3 13" xfId="9105" xr:uid="{00000000-0005-0000-0000-0000BA080000}"/>
    <cellStyle name="20% - 强调文字颜色 3 3 14" xfId="9107" xr:uid="{00000000-0005-0000-0000-0000BB080000}"/>
    <cellStyle name="20% - 强调文字颜色 3 3 15" xfId="9110" xr:uid="{00000000-0005-0000-0000-0000BC080000}"/>
    <cellStyle name="20% - 强调文字颜色 3 3 16" xfId="9112" xr:uid="{00000000-0005-0000-0000-0000BD080000}"/>
    <cellStyle name="20% - 强调文字颜色 3 3 17" xfId="9114" xr:uid="{00000000-0005-0000-0000-0000BE080000}"/>
    <cellStyle name="20% - 强调文字颜色 3 3 17 10" xfId="814" xr:uid="{00000000-0005-0000-0000-0000BF080000}"/>
    <cellStyle name="20% - 强调文字颜色 3 3 17 11" xfId="911" xr:uid="{00000000-0005-0000-0000-0000C0080000}"/>
    <cellStyle name="20% - 强调文字颜色 3 3 17 12" xfId="946" xr:uid="{00000000-0005-0000-0000-0000C1080000}"/>
    <cellStyle name="20% - 强调文字颜色 3 3 17 13" xfId="982" xr:uid="{00000000-0005-0000-0000-0000C2080000}"/>
    <cellStyle name="20% - 强调文字颜色 3 3 17 14" xfId="1004" xr:uid="{00000000-0005-0000-0000-0000C3080000}"/>
    <cellStyle name="20% - 强调文字颜色 3 3 17 2" xfId="3778" xr:uid="{00000000-0005-0000-0000-0000C4080000}"/>
    <cellStyle name="20% - 强调文字颜色 3 3 17 2 2" xfId="9117" xr:uid="{00000000-0005-0000-0000-0000C5080000}"/>
    <cellStyle name="20% - 强调文字颜色 3 3 17 3" xfId="9124" xr:uid="{00000000-0005-0000-0000-0000C6080000}"/>
    <cellStyle name="20% - 强调文字颜色 3 3 17 4" xfId="3317" xr:uid="{00000000-0005-0000-0000-0000C7080000}"/>
    <cellStyle name="20% - 强调文字颜色 3 3 17 5" xfId="3327" xr:uid="{00000000-0005-0000-0000-0000C8080000}"/>
    <cellStyle name="20% - 强调文字颜色 3 3 17 5 10" xfId="8541" xr:uid="{00000000-0005-0000-0000-0000C9080000}"/>
    <cellStyle name="20% - 强调文字颜色 3 3 17 5 11" xfId="2779" xr:uid="{00000000-0005-0000-0000-0000CA080000}"/>
    <cellStyle name="20% - 强调文字颜色 3 3 17 5 2" xfId="9128" xr:uid="{00000000-0005-0000-0000-0000CB080000}"/>
    <cellStyle name="20% - 强调文字颜色 3 3 17 5 2 2" xfId="9136" xr:uid="{00000000-0005-0000-0000-0000CC080000}"/>
    <cellStyle name="20% - 强调文字颜色 3 3 17 5 2 2 2" xfId="9146" xr:uid="{00000000-0005-0000-0000-0000CD080000}"/>
    <cellStyle name="20% - 强调文字颜色 3 3 17 5 2 2 3" xfId="9157" xr:uid="{00000000-0005-0000-0000-0000CE080000}"/>
    <cellStyle name="20% - 强调文字颜色 3 3 17 5 2 3" xfId="9162" xr:uid="{00000000-0005-0000-0000-0000CF080000}"/>
    <cellStyle name="20% - 强调文字颜色 3 3 17 5 2 4" xfId="9164" xr:uid="{00000000-0005-0000-0000-0000D0080000}"/>
    <cellStyle name="20% - 强调文字颜色 3 3 17 5 2 5" xfId="9170" xr:uid="{00000000-0005-0000-0000-0000D1080000}"/>
    <cellStyle name="20% - 强调文字颜色 3 3 17 5 2 6" xfId="5244" xr:uid="{00000000-0005-0000-0000-0000D2080000}"/>
    <cellStyle name="20% - 强调文字颜色 3 3 17 5 2 7" xfId="5248" xr:uid="{00000000-0005-0000-0000-0000D3080000}"/>
    <cellStyle name="20% - 强调文字颜色 3 3 17 5 2 8" xfId="5255" xr:uid="{00000000-0005-0000-0000-0000D4080000}"/>
    <cellStyle name="20% - 强调文字颜色 3 3 17 5 3" xfId="9171" xr:uid="{00000000-0005-0000-0000-0000D5080000}"/>
    <cellStyle name="20% - 强调文字颜色 3 3 17 5 4" xfId="9175" xr:uid="{00000000-0005-0000-0000-0000D6080000}"/>
    <cellStyle name="20% - 强调文字颜色 3 3 17 5 5" xfId="7730" xr:uid="{00000000-0005-0000-0000-0000D7080000}"/>
    <cellStyle name="20% - 强调文字颜色 3 3 17 5 6" xfId="7886" xr:uid="{00000000-0005-0000-0000-0000D8080000}"/>
    <cellStyle name="20% - 强调文字颜色 3 3 17 5 6 2" xfId="9180" xr:uid="{00000000-0005-0000-0000-0000D9080000}"/>
    <cellStyle name="20% - 强调文字颜色 3 3 17 5 6 3" xfId="9184" xr:uid="{00000000-0005-0000-0000-0000DA080000}"/>
    <cellStyle name="20% - 强调文字颜色 3 3 17 5 7" xfId="7892" xr:uid="{00000000-0005-0000-0000-0000DB080000}"/>
    <cellStyle name="20% - 强调文字颜色 3 3 17 5 8" xfId="7898" xr:uid="{00000000-0005-0000-0000-0000DC080000}"/>
    <cellStyle name="20% - 强调文字颜色 3 3 17 5 9" xfId="5615" xr:uid="{00000000-0005-0000-0000-0000DD080000}"/>
    <cellStyle name="20% - 强调文字颜色 3 3 17 6" xfId="3339" xr:uid="{00000000-0005-0000-0000-0000DE080000}"/>
    <cellStyle name="20% - 强调文字颜色 3 3 17 6 2" xfId="9187" xr:uid="{00000000-0005-0000-0000-0000DF080000}"/>
    <cellStyle name="20% - 强调文字颜色 3 3 17 6 2 2" xfId="9191" xr:uid="{00000000-0005-0000-0000-0000E0080000}"/>
    <cellStyle name="20% - 强调文字颜色 3 3 17 6 2 3" xfId="9196" xr:uid="{00000000-0005-0000-0000-0000E1080000}"/>
    <cellStyle name="20% - 强调文字颜色 3 3 17 6 3" xfId="6222" xr:uid="{00000000-0005-0000-0000-0000E2080000}"/>
    <cellStyle name="20% - 强调文字颜色 3 3 17 6 4" xfId="6232" xr:uid="{00000000-0005-0000-0000-0000E3080000}"/>
    <cellStyle name="20% - 强调文字颜色 3 3 17 6 5" xfId="6955" xr:uid="{00000000-0005-0000-0000-0000E4080000}"/>
    <cellStyle name="20% - 强调文字颜色 3 3 17 6 6" xfId="6964" xr:uid="{00000000-0005-0000-0000-0000E5080000}"/>
    <cellStyle name="20% - 强调文字颜色 3 3 17 6 7" xfId="7594" xr:uid="{00000000-0005-0000-0000-0000E6080000}"/>
    <cellStyle name="20% - 强调文字颜色 3 3 17 6 8" xfId="7925" xr:uid="{00000000-0005-0000-0000-0000E7080000}"/>
    <cellStyle name="20% - 强调文字颜色 3 3 17 7" xfId="3351" xr:uid="{00000000-0005-0000-0000-0000E8080000}"/>
    <cellStyle name="20% - 强调文字颜色 3 3 17 8" xfId="3367" xr:uid="{00000000-0005-0000-0000-0000E9080000}"/>
    <cellStyle name="20% - 强调文字颜色 3 3 17 9" xfId="9205" xr:uid="{00000000-0005-0000-0000-0000EA080000}"/>
    <cellStyle name="20% - 强调文字颜色 3 3 17 9 2" xfId="9207" xr:uid="{00000000-0005-0000-0000-0000EB080000}"/>
    <cellStyle name="20% - 强调文字颜色 3 3 17 9 3" xfId="9215" xr:uid="{00000000-0005-0000-0000-0000EC080000}"/>
    <cellStyle name="20% - 强调文字颜色 3 3 18" xfId="9221" xr:uid="{00000000-0005-0000-0000-0000ED080000}"/>
    <cellStyle name="20% - 强调文字颜色 3 3 18 10" xfId="9225" xr:uid="{00000000-0005-0000-0000-0000EE080000}"/>
    <cellStyle name="20% - 强调文字颜色 3 3 18 11" xfId="9229" xr:uid="{00000000-0005-0000-0000-0000EF080000}"/>
    <cellStyle name="20% - 强调文字颜色 3 3 18 12" xfId="9232" xr:uid="{00000000-0005-0000-0000-0000F0080000}"/>
    <cellStyle name="20% - 强调文字颜色 3 3 18 13" xfId="9235" xr:uid="{00000000-0005-0000-0000-0000F1080000}"/>
    <cellStyle name="20% - 强调文字颜色 3 3 18 14" xfId="9238" xr:uid="{00000000-0005-0000-0000-0000F2080000}"/>
    <cellStyle name="20% - 强调文字颜色 3 3 18 2" xfId="9245" xr:uid="{00000000-0005-0000-0000-0000F3080000}"/>
    <cellStyle name="20% - 强调文字颜色 3 3 18 3" xfId="9248" xr:uid="{00000000-0005-0000-0000-0000F4080000}"/>
    <cellStyle name="20% - 强调文字颜色 3 3 18 4" xfId="9255" xr:uid="{00000000-0005-0000-0000-0000F5080000}"/>
    <cellStyle name="20% - 强调文字颜色 3 3 18 5" xfId="9259" xr:uid="{00000000-0005-0000-0000-0000F6080000}"/>
    <cellStyle name="20% - 强调文字颜色 3 3 18 5 10" xfId="9264" xr:uid="{00000000-0005-0000-0000-0000F7080000}"/>
    <cellStyle name="20% - 强调文字颜色 3 3 18 5 11" xfId="9268" xr:uid="{00000000-0005-0000-0000-0000F8080000}"/>
    <cellStyle name="20% - 强调文字颜色 3 3 18 5 2" xfId="9269" xr:uid="{00000000-0005-0000-0000-0000F9080000}"/>
    <cellStyle name="20% - 强调文字颜色 3 3 18 5 2 2" xfId="9271" xr:uid="{00000000-0005-0000-0000-0000FA080000}"/>
    <cellStyle name="20% - 强调文字颜色 3 3 18 5 2 2 2" xfId="9279" xr:uid="{00000000-0005-0000-0000-0000FB080000}"/>
    <cellStyle name="20% - 强调文字颜色 3 3 18 5 2 2 3" xfId="9288" xr:uid="{00000000-0005-0000-0000-0000FC080000}"/>
    <cellStyle name="20% - 强调文字颜色 3 3 18 5 2 3" xfId="9292" xr:uid="{00000000-0005-0000-0000-0000FD080000}"/>
    <cellStyle name="20% - 强调文字颜色 3 3 18 5 2 4" xfId="9294" xr:uid="{00000000-0005-0000-0000-0000FE080000}"/>
    <cellStyle name="20% - 强调文字颜色 3 3 18 5 2 5" xfId="8652" xr:uid="{00000000-0005-0000-0000-0000FF080000}"/>
    <cellStyle name="20% - 强调文字颜色 3 3 18 5 2 6" xfId="8656" xr:uid="{00000000-0005-0000-0000-000000090000}"/>
    <cellStyle name="20% - 强调文字颜色 3 3 18 5 2 7" xfId="8661" xr:uid="{00000000-0005-0000-0000-000001090000}"/>
    <cellStyle name="20% - 强调文字颜色 3 3 18 5 2 8" xfId="8667" xr:uid="{00000000-0005-0000-0000-000002090000}"/>
    <cellStyle name="20% - 强调文字颜色 3 3 18 5 3" xfId="9295" xr:uid="{00000000-0005-0000-0000-000003090000}"/>
    <cellStyle name="20% - 强调文字颜色 3 3 18 5 4" xfId="9296" xr:uid="{00000000-0005-0000-0000-000004090000}"/>
    <cellStyle name="20% - 强调文字颜色 3 3 18 5 5" xfId="9301" xr:uid="{00000000-0005-0000-0000-000005090000}"/>
    <cellStyle name="20% - 强调文字颜色 3 3 18 5 6" xfId="9307" xr:uid="{00000000-0005-0000-0000-000006090000}"/>
    <cellStyle name="20% - 强调文字颜色 3 3 18 5 6 2" xfId="9314" xr:uid="{00000000-0005-0000-0000-000007090000}"/>
    <cellStyle name="20% - 强调文字颜色 3 3 18 5 6 3" xfId="9318" xr:uid="{00000000-0005-0000-0000-000008090000}"/>
    <cellStyle name="20% - 强调文字颜色 3 3 18 5 7" xfId="9319" xr:uid="{00000000-0005-0000-0000-000009090000}"/>
    <cellStyle name="20% - 强调文字颜色 3 3 18 5 8" xfId="9331" xr:uid="{00000000-0005-0000-0000-00000A090000}"/>
    <cellStyle name="20% - 强调文字颜色 3 3 18 5 9" xfId="9339" xr:uid="{00000000-0005-0000-0000-00000B090000}"/>
    <cellStyle name="20% - 强调文字颜色 3 3 18 6" xfId="9348" xr:uid="{00000000-0005-0000-0000-00000C090000}"/>
    <cellStyle name="20% - 强调文字颜色 3 3 18 6 2" xfId="9349" xr:uid="{00000000-0005-0000-0000-00000D090000}"/>
    <cellStyle name="20% - 强调文字颜色 3 3 18 6 2 2" xfId="8404" xr:uid="{00000000-0005-0000-0000-00000E090000}"/>
    <cellStyle name="20% - 强调文字颜色 3 3 18 6 2 3" xfId="9361" xr:uid="{00000000-0005-0000-0000-00000F090000}"/>
    <cellStyle name="20% - 强调文字颜色 3 3 18 6 3" xfId="9365" xr:uid="{00000000-0005-0000-0000-000010090000}"/>
    <cellStyle name="20% - 强调文字颜色 3 3 18 6 4" xfId="9376" xr:uid="{00000000-0005-0000-0000-000011090000}"/>
    <cellStyle name="20% - 强调文字颜色 3 3 18 6 5" xfId="9392" xr:uid="{00000000-0005-0000-0000-000012090000}"/>
    <cellStyle name="20% - 强调文字颜色 3 3 18 6 6" xfId="9406" xr:uid="{00000000-0005-0000-0000-000013090000}"/>
    <cellStyle name="20% - 强调文字颜色 3 3 18 6 7" xfId="215" xr:uid="{00000000-0005-0000-0000-000014090000}"/>
    <cellStyle name="20% - 强调文字颜色 3 3 18 6 8" xfId="9410" xr:uid="{00000000-0005-0000-0000-000015090000}"/>
    <cellStyle name="20% - 强调文字颜色 3 3 18 7" xfId="9424" xr:uid="{00000000-0005-0000-0000-000016090000}"/>
    <cellStyle name="20% - 强调文字颜色 3 3 18 8" xfId="9429" xr:uid="{00000000-0005-0000-0000-000017090000}"/>
    <cellStyle name="20% - 强调文字颜色 3 3 18 9" xfId="9438" xr:uid="{00000000-0005-0000-0000-000018090000}"/>
    <cellStyle name="20% - 强调文字颜色 3 3 18 9 2" xfId="7292" xr:uid="{00000000-0005-0000-0000-000019090000}"/>
    <cellStyle name="20% - 强调文字颜色 3 3 18 9 3" xfId="7307" xr:uid="{00000000-0005-0000-0000-00001A090000}"/>
    <cellStyle name="20% - 强调文字颜色 3 3 19" xfId="9444" xr:uid="{00000000-0005-0000-0000-00001B090000}"/>
    <cellStyle name="20% - 强调文字颜色 3 3 19 10" xfId="9455" xr:uid="{00000000-0005-0000-0000-00001C090000}"/>
    <cellStyle name="20% - 强调文字颜色 3 3 19 11" xfId="9465" xr:uid="{00000000-0005-0000-0000-00001D090000}"/>
    <cellStyle name="20% - 强调文字颜色 3 3 19 12" xfId="9467" xr:uid="{00000000-0005-0000-0000-00001E090000}"/>
    <cellStyle name="20% - 强调文字颜色 3 3 19 13" xfId="9469" xr:uid="{00000000-0005-0000-0000-00001F090000}"/>
    <cellStyle name="20% - 强调文字颜色 3 3 19 14" xfId="9472" xr:uid="{00000000-0005-0000-0000-000020090000}"/>
    <cellStyle name="20% - 强调文字颜色 3 3 19 2" xfId="9479" xr:uid="{00000000-0005-0000-0000-000021090000}"/>
    <cellStyle name="20% - 强调文字颜色 3 3 19 3" xfId="9485" xr:uid="{00000000-0005-0000-0000-000022090000}"/>
    <cellStyle name="20% - 强调文字颜色 3 3 19 4" xfId="9490" xr:uid="{00000000-0005-0000-0000-000023090000}"/>
    <cellStyle name="20% - 强调文字颜色 3 3 19 5" xfId="9492" xr:uid="{00000000-0005-0000-0000-000024090000}"/>
    <cellStyle name="20% - 强调文字颜色 3 3 19 5 10" xfId="7434" xr:uid="{00000000-0005-0000-0000-000025090000}"/>
    <cellStyle name="20% - 强调文字颜色 3 3 19 5 11" xfId="2376" xr:uid="{00000000-0005-0000-0000-000026090000}"/>
    <cellStyle name="20% - 强调文字颜色 3 3 19 5 2" xfId="9496" xr:uid="{00000000-0005-0000-0000-000027090000}"/>
    <cellStyle name="20% - 强调文字颜色 3 3 19 5 2 2" xfId="9498" xr:uid="{00000000-0005-0000-0000-000028090000}"/>
    <cellStyle name="20% - 强调文字颜色 3 3 19 5 2 2 2" xfId="6327" xr:uid="{00000000-0005-0000-0000-000029090000}"/>
    <cellStyle name="20% - 强调文字颜色 3 3 19 5 2 2 3" xfId="6333" xr:uid="{00000000-0005-0000-0000-00002A090000}"/>
    <cellStyle name="20% - 强调文字颜色 3 3 19 5 2 3" xfId="9500" xr:uid="{00000000-0005-0000-0000-00002B090000}"/>
    <cellStyle name="20% - 强调文字颜色 3 3 19 5 2 4" xfId="9502" xr:uid="{00000000-0005-0000-0000-00002C090000}"/>
    <cellStyle name="20% - 强调文字颜色 3 3 19 5 2 5" xfId="9223" xr:uid="{00000000-0005-0000-0000-00002D090000}"/>
    <cellStyle name="20% - 强调文字颜色 3 3 19 5 2 6" xfId="9228" xr:uid="{00000000-0005-0000-0000-00002E090000}"/>
    <cellStyle name="20% - 强调文字颜色 3 3 19 5 2 7" xfId="9231" xr:uid="{00000000-0005-0000-0000-00002F090000}"/>
    <cellStyle name="20% - 强调文字颜色 3 3 19 5 2 8" xfId="9234" xr:uid="{00000000-0005-0000-0000-000030090000}"/>
    <cellStyle name="20% - 强调文字颜色 3 3 19 5 3" xfId="9504" xr:uid="{00000000-0005-0000-0000-000031090000}"/>
    <cellStyle name="20% - 强调文字颜色 3 3 19 5 4" xfId="9508" xr:uid="{00000000-0005-0000-0000-000032090000}"/>
    <cellStyle name="20% - 强调文字颜色 3 3 19 5 5" xfId="9513" xr:uid="{00000000-0005-0000-0000-000033090000}"/>
    <cellStyle name="20% - 强调文字颜色 3 3 19 5 6" xfId="9516" xr:uid="{00000000-0005-0000-0000-000034090000}"/>
    <cellStyle name="20% - 强调文字颜色 3 3 19 5 6 2" xfId="9520" xr:uid="{00000000-0005-0000-0000-000035090000}"/>
    <cellStyle name="20% - 强调文字颜色 3 3 19 5 6 3" xfId="9533" xr:uid="{00000000-0005-0000-0000-000036090000}"/>
    <cellStyle name="20% - 强调文字颜色 3 3 19 5 7" xfId="9541" xr:uid="{00000000-0005-0000-0000-000037090000}"/>
    <cellStyle name="20% - 强调文字颜色 3 3 19 5 8" xfId="9545" xr:uid="{00000000-0005-0000-0000-000038090000}"/>
    <cellStyle name="20% - 强调文字颜色 3 3 19 5 9" xfId="9550" xr:uid="{00000000-0005-0000-0000-000039090000}"/>
    <cellStyle name="20% - 强调文字颜色 3 3 19 6" xfId="9556" xr:uid="{00000000-0005-0000-0000-00003A090000}"/>
    <cellStyle name="20% - 强调文字颜色 3 3 19 6 2" xfId="9566" xr:uid="{00000000-0005-0000-0000-00003B090000}"/>
    <cellStyle name="20% - 强调文字颜色 3 3 19 6 2 2" xfId="9567" xr:uid="{00000000-0005-0000-0000-00003C090000}"/>
    <cellStyle name="20% - 强调文字颜色 3 3 19 6 2 3" xfId="9571" xr:uid="{00000000-0005-0000-0000-00003D090000}"/>
    <cellStyle name="20% - 强调文字颜色 3 3 19 6 3" xfId="4710" xr:uid="{00000000-0005-0000-0000-00003E090000}"/>
    <cellStyle name="20% - 强调文字颜色 3 3 19 6 4" xfId="4719" xr:uid="{00000000-0005-0000-0000-00003F090000}"/>
    <cellStyle name="20% - 强调文字颜色 3 3 19 6 5" xfId="4725" xr:uid="{00000000-0005-0000-0000-000040090000}"/>
    <cellStyle name="20% - 强调文字颜色 3 3 19 6 6" xfId="4733" xr:uid="{00000000-0005-0000-0000-000041090000}"/>
    <cellStyle name="20% - 强调文字颜色 3 3 19 6 7" xfId="4742" xr:uid="{00000000-0005-0000-0000-000042090000}"/>
    <cellStyle name="20% - 强调文字颜色 3 3 19 6 8" xfId="9580" xr:uid="{00000000-0005-0000-0000-000043090000}"/>
    <cellStyle name="20% - 强调文字颜色 3 3 19 7" xfId="9583" xr:uid="{00000000-0005-0000-0000-000044090000}"/>
    <cellStyle name="20% - 强调文字颜色 3 3 19 8" xfId="9591" xr:uid="{00000000-0005-0000-0000-000045090000}"/>
    <cellStyle name="20% - 强调文字颜色 3 3 19 9" xfId="9598" xr:uid="{00000000-0005-0000-0000-000046090000}"/>
    <cellStyle name="20% - 强调文字颜色 3 3 19 9 2" xfId="4645" xr:uid="{00000000-0005-0000-0000-000047090000}"/>
    <cellStyle name="20% - 强调文字颜色 3 3 19 9 3" xfId="9614" xr:uid="{00000000-0005-0000-0000-000048090000}"/>
    <cellStyle name="20% - 强调文字颜色 3 3 2" xfId="9617" xr:uid="{00000000-0005-0000-0000-000049090000}"/>
    <cellStyle name="20% - 强调文字颜色 3 3 2 10" xfId="9625" xr:uid="{00000000-0005-0000-0000-00004A090000}"/>
    <cellStyle name="20% - 强调文字颜色 3 3 2 11" xfId="9630" xr:uid="{00000000-0005-0000-0000-00004B090000}"/>
    <cellStyle name="20% - 强调文字颜色 3 3 2 12" xfId="9635" xr:uid="{00000000-0005-0000-0000-00004C090000}"/>
    <cellStyle name="20% - 强调文字颜色 3 3 2 13" xfId="9639" xr:uid="{00000000-0005-0000-0000-00004D090000}"/>
    <cellStyle name="20% - 强调文字颜色 3 3 2 14" xfId="9643" xr:uid="{00000000-0005-0000-0000-00004E090000}"/>
    <cellStyle name="20% - 强调文字颜色 3 3 2 2" xfId="4097" xr:uid="{00000000-0005-0000-0000-00004F090000}"/>
    <cellStyle name="20% - 强调文字颜色 3 3 2 3" xfId="4100" xr:uid="{00000000-0005-0000-0000-000050090000}"/>
    <cellStyle name="20% - 强调文字颜色 3 3 2 4" xfId="5265" xr:uid="{00000000-0005-0000-0000-000051090000}"/>
    <cellStyle name="20% - 强调文字颜色 3 3 2 5" xfId="9644" xr:uid="{00000000-0005-0000-0000-000052090000}"/>
    <cellStyle name="20% - 强调文字颜色 3 3 2 6" xfId="9652" xr:uid="{00000000-0005-0000-0000-000053090000}"/>
    <cellStyle name="20% - 强调文字颜色 3 3 2 7" xfId="3766" xr:uid="{00000000-0005-0000-0000-000054090000}"/>
    <cellStyle name="20% - 强调文字颜色 3 3 2 8" xfId="3773" xr:uid="{00000000-0005-0000-0000-000055090000}"/>
    <cellStyle name="20% - 强调文字颜色 3 3 2 9" xfId="9119" xr:uid="{00000000-0005-0000-0000-000056090000}"/>
    <cellStyle name="20% - 强调文字颜色 3 3 20" xfId="9109" xr:uid="{00000000-0005-0000-0000-000057090000}"/>
    <cellStyle name="20% - 强调文字颜色 3 3 20 10" xfId="4793" xr:uid="{00000000-0005-0000-0000-000058090000}"/>
    <cellStyle name="20% - 强调文字颜色 3 3 20 11" xfId="7674" xr:uid="{00000000-0005-0000-0000-000059090000}"/>
    <cellStyle name="20% - 强调文字颜色 3 3 20 12" xfId="7679" xr:uid="{00000000-0005-0000-0000-00005A090000}"/>
    <cellStyle name="20% - 强调文字颜色 3 3 20 13" xfId="9664" xr:uid="{00000000-0005-0000-0000-00005B090000}"/>
    <cellStyle name="20% - 强调文字颜色 3 3 20 14" xfId="9677" xr:uid="{00000000-0005-0000-0000-00005C090000}"/>
    <cellStyle name="20% - 强调文字颜色 3 3 20 2" xfId="7038" xr:uid="{00000000-0005-0000-0000-00005D090000}"/>
    <cellStyle name="20% - 强调文字颜色 3 3 20 3" xfId="7051" xr:uid="{00000000-0005-0000-0000-00005E090000}"/>
    <cellStyle name="20% - 强调文字颜色 3 3 20 4" xfId="7061" xr:uid="{00000000-0005-0000-0000-00005F090000}"/>
    <cellStyle name="20% - 强调文字颜色 3 3 20 5" xfId="7064" xr:uid="{00000000-0005-0000-0000-000060090000}"/>
    <cellStyle name="20% - 强调文字颜色 3 3 20 5 10" xfId="9678" xr:uid="{00000000-0005-0000-0000-000061090000}"/>
    <cellStyle name="20% - 强调文字颜色 3 3 20 5 11" xfId="9682" xr:uid="{00000000-0005-0000-0000-000062090000}"/>
    <cellStyle name="20% - 强调文字颜色 3 3 20 5 2" xfId="9688" xr:uid="{00000000-0005-0000-0000-000063090000}"/>
    <cellStyle name="20% - 强调文字颜色 3 3 20 5 2 2" xfId="9692" xr:uid="{00000000-0005-0000-0000-000064090000}"/>
    <cellStyle name="20% - 强调文字颜色 3 3 20 5 2 2 2" xfId="9696" xr:uid="{00000000-0005-0000-0000-000065090000}"/>
    <cellStyle name="20% - 强调文字颜色 3 3 20 5 2 2 3" xfId="9698" xr:uid="{00000000-0005-0000-0000-000066090000}"/>
    <cellStyle name="20% - 强调文字颜色 3 3 20 5 2 3" xfId="9699" xr:uid="{00000000-0005-0000-0000-000067090000}"/>
    <cellStyle name="20% - 强调文字颜色 3 3 20 5 2 4" xfId="9704" xr:uid="{00000000-0005-0000-0000-000068090000}"/>
    <cellStyle name="20% - 强调文字颜色 3 3 20 5 2 5" xfId="7466" xr:uid="{00000000-0005-0000-0000-000069090000}"/>
    <cellStyle name="20% - 强调文字颜色 3 3 20 5 2 6" xfId="7473" xr:uid="{00000000-0005-0000-0000-00006A090000}"/>
    <cellStyle name="20% - 强调文字颜色 3 3 20 5 2 7" xfId="7291" xr:uid="{00000000-0005-0000-0000-00006B090000}"/>
    <cellStyle name="20% - 强调文字颜色 3 3 20 5 2 8" xfId="7306" xr:uid="{00000000-0005-0000-0000-00006C090000}"/>
    <cellStyle name="20% - 强调文字颜色 3 3 20 5 3" xfId="9706" xr:uid="{00000000-0005-0000-0000-00006D090000}"/>
    <cellStyle name="20% - 强调文字颜色 3 3 20 5 4" xfId="9712" xr:uid="{00000000-0005-0000-0000-00006E090000}"/>
    <cellStyle name="20% - 强调文字颜色 3 3 20 5 5" xfId="9052" xr:uid="{00000000-0005-0000-0000-00006F090000}"/>
    <cellStyle name="20% - 强调文字颜色 3 3 20 5 6" xfId="9056" xr:uid="{00000000-0005-0000-0000-000070090000}"/>
    <cellStyle name="20% - 强调文字颜色 3 3 20 5 6 2" xfId="9715" xr:uid="{00000000-0005-0000-0000-000071090000}"/>
    <cellStyle name="20% - 强调文字颜色 3 3 20 5 6 3" xfId="9721" xr:uid="{00000000-0005-0000-0000-000072090000}"/>
    <cellStyle name="20% - 强调文字颜色 3 3 20 5 7" xfId="2396" xr:uid="{00000000-0005-0000-0000-000073090000}"/>
    <cellStyle name="20% - 强调文字颜色 3 3 20 5 8" xfId="2409" xr:uid="{00000000-0005-0000-0000-000074090000}"/>
    <cellStyle name="20% - 强调文字颜色 3 3 20 5 9" xfId="9059" xr:uid="{00000000-0005-0000-0000-000075090000}"/>
    <cellStyle name="20% - 强调文字颜色 3 3 20 6" xfId="9724" xr:uid="{00000000-0005-0000-0000-000076090000}"/>
    <cellStyle name="20% - 强调文字颜色 3 3 20 6 2" xfId="3903" xr:uid="{00000000-0005-0000-0000-000077090000}"/>
    <cellStyle name="20% - 强调文字颜色 3 3 20 6 2 2" xfId="3137" xr:uid="{00000000-0005-0000-0000-000078090000}"/>
    <cellStyle name="20% - 强调文字颜色 3 3 20 6 2 3" xfId="3152" xr:uid="{00000000-0005-0000-0000-000079090000}"/>
    <cellStyle name="20% - 强调文字颜色 3 3 20 6 3" xfId="3910" xr:uid="{00000000-0005-0000-0000-00007A090000}"/>
    <cellStyle name="20% - 强调文字颜色 3 3 20 6 4" xfId="2636" xr:uid="{00000000-0005-0000-0000-00007B090000}"/>
    <cellStyle name="20% - 强调文字颜色 3 3 20 6 5" xfId="9731" xr:uid="{00000000-0005-0000-0000-00007C090000}"/>
    <cellStyle name="20% - 强调文字颜色 3 3 20 6 6" xfId="9732" xr:uid="{00000000-0005-0000-0000-00007D090000}"/>
    <cellStyle name="20% - 强调文字颜色 3 3 20 6 7" xfId="9733" xr:uid="{00000000-0005-0000-0000-00007E090000}"/>
    <cellStyle name="20% - 强调文字颜色 3 3 20 6 8" xfId="1132" xr:uid="{00000000-0005-0000-0000-00007F090000}"/>
    <cellStyle name="20% - 强调文字颜色 3 3 20 7" xfId="9734" xr:uid="{00000000-0005-0000-0000-000080090000}"/>
    <cellStyle name="20% - 强调文字颜色 3 3 20 8" xfId="9735" xr:uid="{00000000-0005-0000-0000-000081090000}"/>
    <cellStyle name="20% - 强调文字颜色 3 3 20 9" xfId="9737" xr:uid="{00000000-0005-0000-0000-000082090000}"/>
    <cellStyle name="20% - 强调文字颜色 3 3 20 9 2" xfId="9739" xr:uid="{00000000-0005-0000-0000-000083090000}"/>
    <cellStyle name="20% - 强调文字颜色 3 3 20 9 3" xfId="9743" xr:uid="{00000000-0005-0000-0000-000084090000}"/>
    <cellStyle name="20% - 强调文字颜色 3 3 3" xfId="9744" xr:uid="{00000000-0005-0000-0000-000085090000}"/>
    <cellStyle name="20% - 强调文字颜色 3 3 3 10" xfId="5975" xr:uid="{00000000-0005-0000-0000-000086090000}"/>
    <cellStyle name="20% - 强调文字颜色 3 3 3 11" xfId="9745" xr:uid="{00000000-0005-0000-0000-000087090000}"/>
    <cellStyle name="20% - 强调文字颜色 3 3 3 12" xfId="9750" xr:uid="{00000000-0005-0000-0000-000088090000}"/>
    <cellStyle name="20% - 强调文字颜色 3 3 3 13" xfId="9755" xr:uid="{00000000-0005-0000-0000-000089090000}"/>
    <cellStyle name="20% - 强调文字颜色 3 3 3 14" xfId="9760" xr:uid="{00000000-0005-0000-0000-00008A090000}"/>
    <cellStyle name="20% - 强调文字颜色 3 3 3 2" xfId="9768" xr:uid="{00000000-0005-0000-0000-00008B090000}"/>
    <cellStyle name="20% - 强调文字颜色 3 3 3 3" xfId="9772" xr:uid="{00000000-0005-0000-0000-00008C090000}"/>
    <cellStyle name="20% - 强调文字颜色 3 3 3 4" xfId="307" xr:uid="{00000000-0005-0000-0000-00008D090000}"/>
    <cellStyle name="20% - 强调文字颜色 3 3 3 5" xfId="7079" xr:uid="{00000000-0005-0000-0000-00008E090000}"/>
    <cellStyle name="20% - 强调文字颜色 3 3 3 6" xfId="7087" xr:uid="{00000000-0005-0000-0000-00008F090000}"/>
    <cellStyle name="20% - 强调文字颜色 3 3 3 7" xfId="9775" xr:uid="{00000000-0005-0000-0000-000090090000}"/>
    <cellStyle name="20% - 强调文字颜色 3 3 3 8" xfId="9242" xr:uid="{00000000-0005-0000-0000-000091090000}"/>
    <cellStyle name="20% - 强调文字颜色 3 3 3 9" xfId="9251" xr:uid="{00000000-0005-0000-0000-000092090000}"/>
    <cellStyle name="20% - 强调文字颜色 3 3 4" xfId="9777" xr:uid="{00000000-0005-0000-0000-000093090000}"/>
    <cellStyle name="20% - 强调文字颜色 3 3 4 10" xfId="9790" xr:uid="{00000000-0005-0000-0000-000094090000}"/>
    <cellStyle name="20% - 强调文字颜色 3 3 4 11" xfId="9805" xr:uid="{00000000-0005-0000-0000-000095090000}"/>
    <cellStyle name="20% - 强调文字颜色 3 3 4 12" xfId="9529" xr:uid="{00000000-0005-0000-0000-000096090000}"/>
    <cellStyle name="20% - 强调文字颜色 3 3 4 13" xfId="9539" xr:uid="{00000000-0005-0000-0000-000097090000}"/>
    <cellStyle name="20% - 强调文字颜色 3 3 4 14" xfId="9814" xr:uid="{00000000-0005-0000-0000-000098090000}"/>
    <cellStyle name="20% - 强调文字颜色 3 3 4 2" xfId="9816" xr:uid="{00000000-0005-0000-0000-000099090000}"/>
    <cellStyle name="20% - 强调文字颜色 3 3 4 3" xfId="9822" xr:uid="{00000000-0005-0000-0000-00009A090000}"/>
    <cellStyle name="20% - 强调文字颜色 3 3 4 4" xfId="9828" xr:uid="{00000000-0005-0000-0000-00009B090000}"/>
    <cellStyle name="20% - 强调文字颜色 3 3 4 5" xfId="9837" xr:uid="{00000000-0005-0000-0000-00009C090000}"/>
    <cellStyle name="20% - 强调文字颜色 3 3 4 6" xfId="9846" xr:uid="{00000000-0005-0000-0000-00009D090000}"/>
    <cellStyle name="20% - 强调文字颜色 3 3 4 7" xfId="9852" xr:uid="{00000000-0005-0000-0000-00009E090000}"/>
    <cellStyle name="20% - 强调文字颜色 3 3 4 8" xfId="9475" xr:uid="{00000000-0005-0000-0000-00009F090000}"/>
    <cellStyle name="20% - 强调文字颜色 3 3 4 9" xfId="9481" xr:uid="{00000000-0005-0000-0000-0000A0090000}"/>
    <cellStyle name="20% - 强调文字颜色 3 3 5" xfId="9857" xr:uid="{00000000-0005-0000-0000-0000A1090000}"/>
    <cellStyle name="20% - 强调文字颜色 3 3 6" xfId="9860" xr:uid="{00000000-0005-0000-0000-0000A2090000}"/>
    <cellStyle name="20% - 强调文字颜色 3 3 7" xfId="9861" xr:uid="{00000000-0005-0000-0000-0000A3090000}"/>
    <cellStyle name="20% - 强调文字颜色 3 3 8" xfId="9867" xr:uid="{00000000-0005-0000-0000-0000A4090000}"/>
    <cellStyle name="20% - 强调文字颜色 3 3 9" xfId="9872" xr:uid="{00000000-0005-0000-0000-0000A5090000}"/>
    <cellStyle name="20% - 强调文字颜色 3 4" xfId="9878" xr:uid="{00000000-0005-0000-0000-0000A6090000}"/>
    <cellStyle name="20% - 强调文字颜色 3 4 10" xfId="9883" xr:uid="{00000000-0005-0000-0000-0000A7090000}"/>
    <cellStyle name="20% - 强调文字颜色 3 4 11" xfId="8780" xr:uid="{00000000-0005-0000-0000-0000A8090000}"/>
    <cellStyle name="20% - 强调文字颜色 3 4 12" xfId="8788" xr:uid="{00000000-0005-0000-0000-0000A9090000}"/>
    <cellStyle name="20% - 强调文字颜色 3 4 13" xfId="8795" xr:uid="{00000000-0005-0000-0000-0000AA090000}"/>
    <cellStyle name="20% - 强调文字颜色 3 4 14" xfId="8803" xr:uid="{00000000-0005-0000-0000-0000AB090000}"/>
    <cellStyle name="20% - 强调文字颜色 3 4 15" xfId="8854" xr:uid="{00000000-0005-0000-0000-0000AC090000}"/>
    <cellStyle name="20% - 强调文字颜色 3 4 16" xfId="8877" xr:uid="{00000000-0005-0000-0000-0000AD090000}"/>
    <cellStyle name="20% - 强调文字颜色 3 4 17" xfId="7519" xr:uid="{00000000-0005-0000-0000-0000AE090000}"/>
    <cellStyle name="20% - 强调文字颜色 3 4 17 10" xfId="9887" xr:uid="{00000000-0005-0000-0000-0000AF090000}"/>
    <cellStyle name="20% - 强调文字颜色 3 4 17 11" xfId="9889" xr:uid="{00000000-0005-0000-0000-0000B0090000}"/>
    <cellStyle name="20% - 强调文字颜色 3 4 17 12" xfId="9891" xr:uid="{00000000-0005-0000-0000-0000B1090000}"/>
    <cellStyle name="20% - 强调文字颜色 3 4 17 13" xfId="9892" xr:uid="{00000000-0005-0000-0000-0000B2090000}"/>
    <cellStyle name="20% - 强调文字颜色 3 4 17 14" xfId="9893" xr:uid="{00000000-0005-0000-0000-0000B3090000}"/>
    <cellStyle name="20% - 强调文字颜色 3 4 17 2" xfId="9900" xr:uid="{00000000-0005-0000-0000-0000B4090000}"/>
    <cellStyle name="20% - 强调文字颜色 3 4 17 3" xfId="9909" xr:uid="{00000000-0005-0000-0000-0000B5090000}"/>
    <cellStyle name="20% - 强调文字颜色 3 4 17 4" xfId="4320" xr:uid="{00000000-0005-0000-0000-0000B6090000}"/>
    <cellStyle name="20% - 强调文字颜色 3 4 17 5" xfId="4328" xr:uid="{00000000-0005-0000-0000-0000B7090000}"/>
    <cellStyle name="20% - 强调文字颜色 3 4 17 5 10" xfId="9913" xr:uid="{00000000-0005-0000-0000-0000B8090000}"/>
    <cellStyle name="20% - 强调文字颜色 3 4 17 5 11" xfId="9920" xr:uid="{00000000-0005-0000-0000-0000B9090000}"/>
    <cellStyle name="20% - 强调文字颜色 3 4 17 5 2" xfId="9921" xr:uid="{00000000-0005-0000-0000-0000BA090000}"/>
    <cellStyle name="20% - 强调文字颜色 3 4 17 5 2 2" xfId="9923" xr:uid="{00000000-0005-0000-0000-0000BB090000}"/>
    <cellStyle name="20% - 强调文字颜色 3 4 17 5 2 2 2" xfId="4683" xr:uid="{00000000-0005-0000-0000-0000BC090000}"/>
    <cellStyle name="20% - 强调文字颜色 3 4 17 5 2 2 3" xfId="4690" xr:uid="{00000000-0005-0000-0000-0000BD090000}"/>
    <cellStyle name="20% - 强调文字颜色 3 4 17 5 2 3" xfId="9925" xr:uid="{00000000-0005-0000-0000-0000BE090000}"/>
    <cellStyle name="20% - 强调文字颜色 3 4 17 5 2 4" xfId="9928" xr:uid="{00000000-0005-0000-0000-0000BF090000}"/>
    <cellStyle name="20% - 强调文字颜色 3 4 17 5 2 5" xfId="9930" xr:uid="{00000000-0005-0000-0000-0000C0090000}"/>
    <cellStyle name="20% - 强调文字颜色 3 4 17 5 2 6" xfId="9932" xr:uid="{00000000-0005-0000-0000-0000C1090000}"/>
    <cellStyle name="20% - 强调文字颜色 3 4 17 5 2 7" xfId="9934" xr:uid="{00000000-0005-0000-0000-0000C2090000}"/>
    <cellStyle name="20% - 强调文字颜色 3 4 17 5 2 8" xfId="9938" xr:uid="{00000000-0005-0000-0000-0000C3090000}"/>
    <cellStyle name="20% - 强调文字颜色 3 4 17 5 3" xfId="9941" xr:uid="{00000000-0005-0000-0000-0000C4090000}"/>
    <cellStyle name="20% - 强调文字颜色 3 4 17 5 4" xfId="9942" xr:uid="{00000000-0005-0000-0000-0000C5090000}"/>
    <cellStyle name="20% - 强调文字颜色 3 4 17 5 5" xfId="9943" xr:uid="{00000000-0005-0000-0000-0000C6090000}"/>
    <cellStyle name="20% - 强调文字颜色 3 4 17 5 6" xfId="9944" xr:uid="{00000000-0005-0000-0000-0000C7090000}"/>
    <cellStyle name="20% - 强调文字颜色 3 4 17 5 6 2" xfId="9946" xr:uid="{00000000-0005-0000-0000-0000C8090000}"/>
    <cellStyle name="20% - 强调文字颜色 3 4 17 5 6 3" xfId="9948" xr:uid="{00000000-0005-0000-0000-0000C9090000}"/>
    <cellStyle name="20% - 强调文字颜色 3 4 17 5 7" xfId="9949" xr:uid="{00000000-0005-0000-0000-0000CA090000}"/>
    <cellStyle name="20% - 强调文字颜色 3 4 17 5 8" xfId="9953" xr:uid="{00000000-0005-0000-0000-0000CB090000}"/>
    <cellStyle name="20% - 强调文字颜色 3 4 17 5 9" xfId="9958" xr:uid="{00000000-0005-0000-0000-0000CC090000}"/>
    <cellStyle name="20% - 强调文字颜色 3 4 17 6" xfId="4337" xr:uid="{00000000-0005-0000-0000-0000CD090000}"/>
    <cellStyle name="20% - 强调文字颜色 3 4 17 6 2" xfId="8711" xr:uid="{00000000-0005-0000-0000-0000CE090000}"/>
    <cellStyle name="20% - 强调文字颜色 3 4 17 6 2 2" xfId="3407" xr:uid="{00000000-0005-0000-0000-0000CF090000}"/>
    <cellStyle name="20% - 强调文字颜色 3 4 17 6 2 3" xfId="1445" xr:uid="{00000000-0005-0000-0000-0000D0090000}"/>
    <cellStyle name="20% - 强调文字颜色 3 4 17 6 3" xfId="8715" xr:uid="{00000000-0005-0000-0000-0000D1090000}"/>
    <cellStyle name="20% - 强调文字颜色 3 4 17 6 4" xfId="8719" xr:uid="{00000000-0005-0000-0000-0000D2090000}"/>
    <cellStyle name="20% - 强调文字颜色 3 4 17 6 5" xfId="8723" xr:uid="{00000000-0005-0000-0000-0000D3090000}"/>
    <cellStyle name="20% - 强调文字颜色 3 4 17 6 6" xfId="8727" xr:uid="{00000000-0005-0000-0000-0000D4090000}"/>
    <cellStyle name="20% - 强调文字颜色 3 4 17 6 7" xfId="8730" xr:uid="{00000000-0005-0000-0000-0000D5090000}"/>
    <cellStyle name="20% - 强调文字颜色 3 4 17 6 8" xfId="9960" xr:uid="{00000000-0005-0000-0000-0000D6090000}"/>
    <cellStyle name="20% - 强调文字颜色 3 4 17 7" xfId="486" xr:uid="{00000000-0005-0000-0000-0000D7090000}"/>
    <cellStyle name="20% - 强调文字颜色 3 4 17 8" xfId="4345" xr:uid="{00000000-0005-0000-0000-0000D8090000}"/>
    <cellStyle name="20% - 强调文字颜色 3 4 17 9" xfId="9966" xr:uid="{00000000-0005-0000-0000-0000D9090000}"/>
    <cellStyle name="20% - 强调文字颜色 3 4 17 9 2" xfId="9968" xr:uid="{00000000-0005-0000-0000-0000DA090000}"/>
    <cellStyle name="20% - 强调文字颜色 3 4 17 9 3" xfId="9971" xr:uid="{00000000-0005-0000-0000-0000DB090000}"/>
    <cellStyle name="20% - 强调文字颜色 3 4 18" xfId="5593" xr:uid="{00000000-0005-0000-0000-0000DC090000}"/>
    <cellStyle name="20% - 强调文字颜色 3 4 18 10" xfId="9898" xr:uid="{00000000-0005-0000-0000-0000DD090000}"/>
    <cellStyle name="20% - 强调文字颜色 3 4 18 11" xfId="9906" xr:uid="{00000000-0005-0000-0000-0000DE090000}"/>
    <cellStyle name="20% - 强调文字颜色 3 4 18 12" xfId="4315" xr:uid="{00000000-0005-0000-0000-0000DF090000}"/>
    <cellStyle name="20% - 强调文字颜色 3 4 18 13" xfId="4323" xr:uid="{00000000-0005-0000-0000-0000E0090000}"/>
    <cellStyle name="20% - 强调文字颜色 3 4 18 14" xfId="4332" xr:uid="{00000000-0005-0000-0000-0000E1090000}"/>
    <cellStyle name="20% - 强调文字颜色 3 4 18 2" xfId="8882" xr:uid="{00000000-0005-0000-0000-0000E2090000}"/>
    <cellStyle name="20% - 强调文字颜色 3 4 18 3" xfId="8887" xr:uid="{00000000-0005-0000-0000-0000E3090000}"/>
    <cellStyle name="20% - 强调文字颜色 3 4 18 4" xfId="9977" xr:uid="{00000000-0005-0000-0000-0000E4090000}"/>
    <cellStyle name="20% - 强调文字颜色 3 4 18 5" xfId="9981" xr:uid="{00000000-0005-0000-0000-0000E5090000}"/>
    <cellStyle name="20% - 强调文字颜色 3 4 18 5 10" xfId="3841" xr:uid="{00000000-0005-0000-0000-0000E6090000}"/>
    <cellStyle name="20% - 强调文字颜色 3 4 18 5 11" xfId="3849" xr:uid="{00000000-0005-0000-0000-0000E7090000}"/>
    <cellStyle name="20% - 强调文字颜色 3 4 18 5 2" xfId="9982" xr:uid="{00000000-0005-0000-0000-0000E8090000}"/>
    <cellStyle name="20% - 强调文字颜色 3 4 18 5 2 2" xfId="9986" xr:uid="{00000000-0005-0000-0000-0000E9090000}"/>
    <cellStyle name="20% - 强调文字颜色 3 4 18 5 2 2 2" xfId="9987" xr:uid="{00000000-0005-0000-0000-0000EA090000}"/>
    <cellStyle name="20% - 强调文字颜色 3 4 18 5 2 2 3" xfId="9988" xr:uid="{00000000-0005-0000-0000-0000EB090000}"/>
    <cellStyle name="20% - 强调文字颜色 3 4 18 5 2 3" xfId="9990" xr:uid="{00000000-0005-0000-0000-0000EC090000}"/>
    <cellStyle name="20% - 强调文字颜色 3 4 18 5 2 4" xfId="9993" xr:uid="{00000000-0005-0000-0000-0000ED090000}"/>
    <cellStyle name="20% - 强调文字颜色 3 4 18 5 2 5" xfId="9996" xr:uid="{00000000-0005-0000-0000-0000EE090000}"/>
    <cellStyle name="20% - 强调文字颜色 3 4 18 5 2 6" xfId="9998" xr:uid="{00000000-0005-0000-0000-0000EF090000}"/>
    <cellStyle name="20% - 强调文字颜色 3 4 18 5 2 7" xfId="10005" xr:uid="{00000000-0005-0000-0000-0000F0090000}"/>
    <cellStyle name="20% - 强调文字颜色 3 4 18 5 2 8" xfId="9792" xr:uid="{00000000-0005-0000-0000-0000F1090000}"/>
    <cellStyle name="20% - 强调文字颜色 3 4 18 5 3" xfId="10006" xr:uid="{00000000-0005-0000-0000-0000F2090000}"/>
    <cellStyle name="20% - 强调文字颜色 3 4 18 5 4" xfId="10008" xr:uid="{00000000-0005-0000-0000-0000F3090000}"/>
    <cellStyle name="20% - 强调文字颜色 3 4 18 5 5" xfId="10014" xr:uid="{00000000-0005-0000-0000-0000F4090000}"/>
    <cellStyle name="20% - 强调文字颜色 3 4 18 5 6" xfId="10018" xr:uid="{00000000-0005-0000-0000-0000F5090000}"/>
    <cellStyle name="20% - 强调文字颜色 3 4 18 5 6 2" xfId="3463" xr:uid="{00000000-0005-0000-0000-0000F6090000}"/>
    <cellStyle name="20% - 强调文字颜色 3 4 18 5 6 3" xfId="3472" xr:uid="{00000000-0005-0000-0000-0000F7090000}"/>
    <cellStyle name="20% - 强调文字颜色 3 4 18 5 7" xfId="10022" xr:uid="{00000000-0005-0000-0000-0000F8090000}"/>
    <cellStyle name="20% - 强调文字颜色 3 4 18 5 8" xfId="10023" xr:uid="{00000000-0005-0000-0000-0000F9090000}"/>
    <cellStyle name="20% - 强调文字颜色 3 4 18 5 9" xfId="10028" xr:uid="{00000000-0005-0000-0000-0000FA090000}"/>
    <cellStyle name="20% - 强调文字颜色 3 4 18 6" xfId="10035" xr:uid="{00000000-0005-0000-0000-0000FB090000}"/>
    <cellStyle name="20% - 强调文字颜色 3 4 18 6 2" xfId="8835" xr:uid="{00000000-0005-0000-0000-0000FC090000}"/>
    <cellStyle name="20% - 强调文字颜色 3 4 18 6 2 2" xfId="4387" xr:uid="{00000000-0005-0000-0000-0000FD090000}"/>
    <cellStyle name="20% - 强调文字颜色 3 4 18 6 2 3" xfId="4402" xr:uid="{00000000-0005-0000-0000-0000FE090000}"/>
    <cellStyle name="20% - 强调文字颜色 3 4 18 6 3" xfId="8837" xr:uid="{00000000-0005-0000-0000-0000FF090000}"/>
    <cellStyle name="20% - 强调文字颜色 3 4 18 6 4" xfId="1369" xr:uid="{00000000-0005-0000-0000-0000000A0000}"/>
    <cellStyle name="20% - 强调文字颜色 3 4 18 6 5" xfId="1382" xr:uid="{00000000-0005-0000-0000-0000010A0000}"/>
    <cellStyle name="20% - 强调文字颜色 3 4 18 6 6" xfId="1394" xr:uid="{00000000-0005-0000-0000-0000020A0000}"/>
    <cellStyle name="20% - 强调文字颜色 3 4 18 6 7" xfId="1410" xr:uid="{00000000-0005-0000-0000-0000030A0000}"/>
    <cellStyle name="20% - 强调文字颜色 3 4 18 6 8" xfId="1679" xr:uid="{00000000-0005-0000-0000-0000040A0000}"/>
    <cellStyle name="20% - 强调文字颜色 3 4 18 7" xfId="10039" xr:uid="{00000000-0005-0000-0000-0000050A0000}"/>
    <cellStyle name="20% - 强调文字颜色 3 4 18 8" xfId="10044" xr:uid="{00000000-0005-0000-0000-0000060A0000}"/>
    <cellStyle name="20% - 强调文字颜色 3 4 18 9" xfId="7195" xr:uid="{00000000-0005-0000-0000-0000070A0000}"/>
    <cellStyle name="20% - 强调文字颜色 3 4 18 9 2" xfId="4317" xr:uid="{00000000-0005-0000-0000-0000080A0000}"/>
    <cellStyle name="20% - 强调文字颜色 3 4 18 9 3" xfId="4329" xr:uid="{00000000-0005-0000-0000-0000090A0000}"/>
    <cellStyle name="20% - 强调文字颜色 3 4 19" xfId="5604" xr:uid="{00000000-0005-0000-0000-00000A0A0000}"/>
    <cellStyle name="20% - 强调文字颜色 3 4 19 10" xfId="10048" xr:uid="{00000000-0005-0000-0000-00000B0A0000}"/>
    <cellStyle name="20% - 强调文字颜色 3 4 19 11" xfId="10049" xr:uid="{00000000-0005-0000-0000-00000C0A0000}"/>
    <cellStyle name="20% - 强调文字颜色 3 4 19 12" xfId="1044" xr:uid="{00000000-0005-0000-0000-00000D0A0000}"/>
    <cellStyle name="20% - 强调文字颜色 3 4 19 13" xfId="1064" xr:uid="{00000000-0005-0000-0000-00000E0A0000}"/>
    <cellStyle name="20% - 强调文字颜色 3 4 19 14" xfId="1087" xr:uid="{00000000-0005-0000-0000-00000F0A0000}"/>
    <cellStyle name="20% - 强调文字颜色 3 4 19 2" xfId="10058" xr:uid="{00000000-0005-0000-0000-0000100A0000}"/>
    <cellStyle name="20% - 强调文字颜色 3 4 19 3" xfId="10066" xr:uid="{00000000-0005-0000-0000-0000110A0000}"/>
    <cellStyle name="20% - 强调文字颜色 3 4 19 4" xfId="2082" xr:uid="{00000000-0005-0000-0000-0000120A0000}"/>
    <cellStyle name="20% - 强调文字颜色 3 4 19 5" xfId="3119" xr:uid="{00000000-0005-0000-0000-0000130A0000}"/>
    <cellStyle name="20% - 强调文字颜色 3 4 19 5 10" xfId="4673" xr:uid="{00000000-0005-0000-0000-0000140A0000}"/>
    <cellStyle name="20% - 强调文字颜色 3 4 19 5 11" xfId="4677" xr:uid="{00000000-0005-0000-0000-0000150A0000}"/>
    <cellStyle name="20% - 强调文字颜色 3 4 19 5 2" xfId="10068" xr:uid="{00000000-0005-0000-0000-0000160A0000}"/>
    <cellStyle name="20% - 强调文字颜色 3 4 19 5 2 2" xfId="4600" xr:uid="{00000000-0005-0000-0000-0000170A0000}"/>
    <cellStyle name="20% - 强调文字颜色 3 4 19 5 2 2 2" xfId="8817" xr:uid="{00000000-0005-0000-0000-0000180A0000}"/>
    <cellStyle name="20% - 强调文字颜色 3 4 19 5 2 2 3" xfId="8820" xr:uid="{00000000-0005-0000-0000-0000190A0000}"/>
    <cellStyle name="20% - 强调文字颜色 3 4 19 5 2 3" xfId="4607" xr:uid="{00000000-0005-0000-0000-00001A0A0000}"/>
    <cellStyle name="20% - 强调文字颜色 3 4 19 5 2 4" xfId="399" xr:uid="{00000000-0005-0000-0000-00001B0A0000}"/>
    <cellStyle name="20% - 强调文字颜色 3 4 19 5 2 5" xfId="10071" xr:uid="{00000000-0005-0000-0000-00001C0A0000}"/>
    <cellStyle name="20% - 强调文字颜色 3 4 19 5 2 6" xfId="10076" xr:uid="{00000000-0005-0000-0000-00001D0A0000}"/>
    <cellStyle name="20% - 强调文字颜色 3 4 19 5 2 7" xfId="10080" xr:uid="{00000000-0005-0000-0000-00001E0A0000}"/>
    <cellStyle name="20% - 强调文字颜色 3 4 19 5 2 8" xfId="10082" xr:uid="{00000000-0005-0000-0000-00001F0A0000}"/>
    <cellStyle name="20% - 强调文字颜色 3 4 19 5 3" xfId="10083" xr:uid="{00000000-0005-0000-0000-0000200A0000}"/>
    <cellStyle name="20% - 强调文字颜色 3 4 19 5 4" xfId="10084" xr:uid="{00000000-0005-0000-0000-0000210A0000}"/>
    <cellStyle name="20% - 强调文字颜色 3 4 19 5 5" xfId="10090" xr:uid="{00000000-0005-0000-0000-0000220A0000}"/>
    <cellStyle name="20% - 强调文字颜色 3 4 19 5 6" xfId="10093" xr:uid="{00000000-0005-0000-0000-0000230A0000}"/>
    <cellStyle name="20% - 强调文字颜色 3 4 19 5 6 2" xfId="10097" xr:uid="{00000000-0005-0000-0000-0000240A0000}"/>
    <cellStyle name="20% - 强调文字颜色 3 4 19 5 6 3" xfId="10104" xr:uid="{00000000-0005-0000-0000-0000250A0000}"/>
    <cellStyle name="20% - 强调文字颜色 3 4 19 5 7" xfId="10109" xr:uid="{00000000-0005-0000-0000-0000260A0000}"/>
    <cellStyle name="20% - 强调文字颜色 3 4 19 5 8" xfId="10110" xr:uid="{00000000-0005-0000-0000-0000270A0000}"/>
    <cellStyle name="20% - 强调文字颜色 3 4 19 5 9" xfId="10113" xr:uid="{00000000-0005-0000-0000-0000280A0000}"/>
    <cellStyle name="20% - 强调文字颜色 3 4 19 6" xfId="10118" xr:uid="{00000000-0005-0000-0000-0000290A0000}"/>
    <cellStyle name="20% - 强调文字颜色 3 4 19 6 2" xfId="10125" xr:uid="{00000000-0005-0000-0000-00002A0A0000}"/>
    <cellStyle name="20% - 强调文字颜色 3 4 19 6 2 2" xfId="5109" xr:uid="{00000000-0005-0000-0000-00002B0A0000}"/>
    <cellStyle name="20% - 强调文字颜色 3 4 19 6 2 3" xfId="5117" xr:uid="{00000000-0005-0000-0000-00002C0A0000}"/>
    <cellStyle name="20% - 强调文字颜色 3 4 19 6 3" xfId="7375" xr:uid="{00000000-0005-0000-0000-00002D0A0000}"/>
    <cellStyle name="20% - 强调文字颜色 3 4 19 6 4" xfId="7381" xr:uid="{00000000-0005-0000-0000-00002E0A0000}"/>
    <cellStyle name="20% - 强调文字颜色 3 4 19 6 5" xfId="7387" xr:uid="{00000000-0005-0000-0000-00002F0A0000}"/>
    <cellStyle name="20% - 强调文字颜色 3 4 19 6 6" xfId="764" xr:uid="{00000000-0005-0000-0000-0000300A0000}"/>
    <cellStyle name="20% - 强调文字颜色 3 4 19 6 7" xfId="488" xr:uid="{00000000-0005-0000-0000-0000310A0000}"/>
    <cellStyle name="20% - 强调文字颜色 3 4 19 6 8" xfId="10127" xr:uid="{00000000-0005-0000-0000-0000320A0000}"/>
    <cellStyle name="20% - 强调文字颜色 3 4 19 7" xfId="10134" xr:uid="{00000000-0005-0000-0000-0000330A0000}"/>
    <cellStyle name="20% - 强调文字颜色 3 4 19 8" xfId="10137" xr:uid="{00000000-0005-0000-0000-0000340A0000}"/>
    <cellStyle name="20% - 强调文字颜色 3 4 19 9" xfId="10139" xr:uid="{00000000-0005-0000-0000-0000350A0000}"/>
    <cellStyle name="20% - 强调文字颜色 3 4 19 9 2" xfId="7280" xr:uid="{00000000-0005-0000-0000-0000360A0000}"/>
    <cellStyle name="20% - 强调文字颜色 3 4 19 9 3" xfId="10143" xr:uid="{00000000-0005-0000-0000-0000370A0000}"/>
    <cellStyle name="20% - 强调文字颜色 3 4 2" xfId="9300" xr:uid="{00000000-0005-0000-0000-0000380A0000}"/>
    <cellStyle name="20% - 强调文字颜色 3 4 20" xfId="8853" xr:uid="{00000000-0005-0000-0000-0000390A0000}"/>
    <cellStyle name="20% - 强调文字颜色 3 4 20 10" xfId="10151" xr:uid="{00000000-0005-0000-0000-00003A0A0000}"/>
    <cellStyle name="20% - 强调文字颜色 3 4 20 11" xfId="9355" xr:uid="{00000000-0005-0000-0000-00003B0A0000}"/>
    <cellStyle name="20% - 强调文字颜色 3 4 20 12" xfId="9371" xr:uid="{00000000-0005-0000-0000-00003C0A0000}"/>
    <cellStyle name="20% - 强调文字颜色 3 4 20 13" xfId="9381" xr:uid="{00000000-0005-0000-0000-00003D0A0000}"/>
    <cellStyle name="20% - 强调文字颜色 3 4 20 14" xfId="9397" xr:uid="{00000000-0005-0000-0000-00003E0A0000}"/>
    <cellStyle name="20% - 强调文字颜色 3 4 20 2" xfId="7508" xr:uid="{00000000-0005-0000-0000-00003F0A0000}"/>
    <cellStyle name="20% - 强调文字颜色 3 4 20 3" xfId="5584" xr:uid="{00000000-0005-0000-0000-0000400A0000}"/>
    <cellStyle name="20% - 强调文字颜色 3 4 20 4" xfId="8868" xr:uid="{00000000-0005-0000-0000-0000410A0000}"/>
    <cellStyle name="20% - 强调文字颜色 3 4 20 5" xfId="8872" xr:uid="{00000000-0005-0000-0000-0000420A0000}"/>
    <cellStyle name="20% - 强调文字颜色 3 4 20 5 10" xfId="10154" xr:uid="{00000000-0005-0000-0000-0000430A0000}"/>
    <cellStyle name="20% - 强调文字颜色 3 4 20 5 11" xfId="10160" xr:uid="{00000000-0005-0000-0000-0000440A0000}"/>
    <cellStyle name="20% - 强调文字颜色 3 4 20 5 2" xfId="7932" xr:uid="{00000000-0005-0000-0000-0000450A0000}"/>
    <cellStyle name="20% - 强调文字颜色 3 4 20 5 2 2" xfId="7938" xr:uid="{00000000-0005-0000-0000-0000460A0000}"/>
    <cellStyle name="20% - 强调文字颜色 3 4 20 5 2 2 2" xfId="10164" xr:uid="{00000000-0005-0000-0000-0000470A0000}"/>
    <cellStyle name="20% - 强调文字颜色 3 4 20 5 2 2 3" xfId="10165" xr:uid="{00000000-0005-0000-0000-0000480A0000}"/>
    <cellStyle name="20% - 强调文字颜色 3 4 20 5 2 3" xfId="7945" xr:uid="{00000000-0005-0000-0000-0000490A0000}"/>
    <cellStyle name="20% - 强调文字颜色 3 4 20 5 2 4" xfId="7953" xr:uid="{00000000-0005-0000-0000-00004A0A0000}"/>
    <cellStyle name="20% - 强调文字颜色 3 4 20 5 2 5" xfId="7964" xr:uid="{00000000-0005-0000-0000-00004B0A0000}"/>
    <cellStyle name="20% - 强调文字颜色 3 4 20 5 2 6" xfId="7971" xr:uid="{00000000-0005-0000-0000-00004C0A0000}"/>
    <cellStyle name="20% - 强调文字颜色 3 4 20 5 2 7" xfId="7977" xr:uid="{00000000-0005-0000-0000-00004D0A0000}"/>
    <cellStyle name="20% - 强调文字颜色 3 4 20 5 2 8" xfId="7984" xr:uid="{00000000-0005-0000-0000-00004E0A0000}"/>
    <cellStyle name="20% - 强调文字颜色 3 4 20 5 3" xfId="7994" xr:uid="{00000000-0005-0000-0000-00004F0A0000}"/>
    <cellStyle name="20% - 强调文字颜色 3 4 20 5 4" xfId="7997" xr:uid="{00000000-0005-0000-0000-0000500A0000}"/>
    <cellStyle name="20% - 强调文字颜色 3 4 20 5 5" xfId="8002" xr:uid="{00000000-0005-0000-0000-0000510A0000}"/>
    <cellStyle name="20% - 强调文字颜色 3 4 20 5 6" xfId="10167" xr:uid="{00000000-0005-0000-0000-0000520A0000}"/>
    <cellStyle name="20% - 强调文字颜色 3 4 20 5 6 2" xfId="541" xr:uid="{00000000-0005-0000-0000-0000530A0000}"/>
    <cellStyle name="20% - 强调文字颜色 3 4 20 5 6 3" xfId="568" xr:uid="{00000000-0005-0000-0000-0000540A0000}"/>
    <cellStyle name="20% - 强调文字颜色 3 4 20 5 7" xfId="10169" xr:uid="{00000000-0005-0000-0000-0000550A0000}"/>
    <cellStyle name="20% - 强调文字颜色 3 4 20 5 8" xfId="10171" xr:uid="{00000000-0005-0000-0000-0000560A0000}"/>
    <cellStyle name="20% - 强调文字颜色 3 4 20 5 9" xfId="10177" xr:uid="{00000000-0005-0000-0000-0000570A0000}"/>
    <cellStyle name="20% - 强调文字颜色 3 4 20 6" xfId="1967" xr:uid="{00000000-0005-0000-0000-0000580A0000}"/>
    <cellStyle name="20% - 强调文字颜色 3 4 20 6 2" xfId="10185" xr:uid="{00000000-0005-0000-0000-0000590A0000}"/>
    <cellStyle name="20% - 强调文字颜色 3 4 20 6 2 2" xfId="7839" xr:uid="{00000000-0005-0000-0000-00005A0A0000}"/>
    <cellStyle name="20% - 强调文字颜色 3 4 20 6 2 3" xfId="7851" xr:uid="{00000000-0005-0000-0000-00005B0A0000}"/>
    <cellStyle name="20% - 强调文字颜色 3 4 20 6 3" xfId="10193" xr:uid="{00000000-0005-0000-0000-00005C0A0000}"/>
    <cellStyle name="20% - 强调文字颜色 3 4 20 6 4" xfId="10199" xr:uid="{00000000-0005-0000-0000-00005D0A0000}"/>
    <cellStyle name="20% - 强调文字颜色 3 4 20 6 5" xfId="10206" xr:uid="{00000000-0005-0000-0000-00005E0A0000}"/>
    <cellStyle name="20% - 强调文字颜色 3 4 20 6 6" xfId="10210" xr:uid="{00000000-0005-0000-0000-00005F0A0000}"/>
    <cellStyle name="20% - 强调文字颜色 3 4 20 6 7" xfId="692" xr:uid="{00000000-0005-0000-0000-0000600A0000}"/>
    <cellStyle name="20% - 强调文字颜色 3 4 20 6 8" xfId="725" xr:uid="{00000000-0005-0000-0000-0000610A0000}"/>
    <cellStyle name="20% - 强调文字颜色 3 4 20 7" xfId="1972" xr:uid="{00000000-0005-0000-0000-0000620A0000}"/>
    <cellStyle name="20% - 强调文字颜色 3 4 20 8" xfId="1996" xr:uid="{00000000-0005-0000-0000-0000630A0000}"/>
    <cellStyle name="20% - 强调文字颜色 3 4 20 9" xfId="2016" xr:uid="{00000000-0005-0000-0000-0000640A0000}"/>
    <cellStyle name="20% - 强调文字颜色 3 4 20 9 2" xfId="2048" xr:uid="{00000000-0005-0000-0000-0000650A0000}"/>
    <cellStyle name="20% - 强调文字颜色 3 4 20 9 3" xfId="2113" xr:uid="{00000000-0005-0000-0000-0000660A0000}"/>
    <cellStyle name="20% - 强调文字颜色 3 4 3" xfId="9306" xr:uid="{00000000-0005-0000-0000-0000670A0000}"/>
    <cellStyle name="20% - 强调文字颜色 3 4 4" xfId="9327" xr:uid="{00000000-0005-0000-0000-0000680A0000}"/>
    <cellStyle name="20% - 强调文字颜色 3 4 5" xfId="9336" xr:uid="{00000000-0005-0000-0000-0000690A0000}"/>
    <cellStyle name="20% - 强调文字颜色 3 4 6" xfId="9345" xr:uid="{00000000-0005-0000-0000-00006A0A0000}"/>
    <cellStyle name="20% - 强调文字颜色 3 4 7" xfId="10212" xr:uid="{00000000-0005-0000-0000-00006B0A0000}"/>
    <cellStyle name="20% - 强调文字颜色 3 4 8" xfId="10214" xr:uid="{00000000-0005-0000-0000-00006C0A0000}"/>
    <cellStyle name="20% - 强调文字颜色 3 4 9" xfId="904" xr:uid="{00000000-0005-0000-0000-00006D0A0000}"/>
    <cellStyle name="20% - 强调文字颜色 3 5" xfId="10218" xr:uid="{00000000-0005-0000-0000-00006E0A0000}"/>
    <cellStyle name="20% - 强调文字颜色 3 5 10" xfId="10221" xr:uid="{00000000-0005-0000-0000-00006F0A0000}"/>
    <cellStyle name="20% - 强调文字颜色 3 5 11" xfId="10224" xr:uid="{00000000-0005-0000-0000-0000700A0000}"/>
    <cellStyle name="20% - 强调文字颜色 3 5 12" xfId="10231" xr:uid="{00000000-0005-0000-0000-0000710A0000}"/>
    <cellStyle name="20% - 强调文字颜色 3 5 13" xfId="6028" xr:uid="{00000000-0005-0000-0000-0000720A0000}"/>
    <cellStyle name="20% - 强调文字颜色 3 5 14" xfId="6694" xr:uid="{00000000-0005-0000-0000-0000730A0000}"/>
    <cellStyle name="20% - 强调文字颜色 3 5 2" xfId="9390" xr:uid="{00000000-0005-0000-0000-0000740A0000}"/>
    <cellStyle name="20% - 强调文字颜色 3 5 3" xfId="9403" xr:uid="{00000000-0005-0000-0000-0000750A0000}"/>
    <cellStyle name="20% - 强调文字颜色 3 5 4" xfId="225" xr:uid="{00000000-0005-0000-0000-0000760A0000}"/>
    <cellStyle name="20% - 强调文字颜色 3 5 5" xfId="9419" xr:uid="{00000000-0005-0000-0000-0000770A0000}"/>
    <cellStyle name="20% - 强调文字颜色 3 5 6" xfId="10240" xr:uid="{00000000-0005-0000-0000-0000780A0000}"/>
    <cellStyle name="20% - 强调文字颜色 3 5 7" xfId="10246" xr:uid="{00000000-0005-0000-0000-0000790A0000}"/>
    <cellStyle name="20% - 强调文字颜色 3 5 8" xfId="10253" xr:uid="{00000000-0005-0000-0000-00007A0A0000}"/>
    <cellStyle name="20% - 强调文字颜色 3 5 9" xfId="10258" xr:uid="{00000000-0005-0000-0000-00007B0A0000}"/>
    <cellStyle name="20% - 强调文字颜色 3 6" xfId="10188" xr:uid="{00000000-0005-0000-0000-00007C0A0000}"/>
    <cellStyle name="20% - 强调文字颜色 3 6 10" xfId="10264" xr:uid="{00000000-0005-0000-0000-00007D0A0000}"/>
    <cellStyle name="20% - 强调文字颜色 3 6 11" xfId="10265" xr:uid="{00000000-0005-0000-0000-00007E0A0000}"/>
    <cellStyle name="20% - 强调文字颜色 3 6 12" xfId="10270" xr:uid="{00000000-0005-0000-0000-00007F0A0000}"/>
    <cellStyle name="20% - 强调文字颜色 3 6 13" xfId="10275" xr:uid="{00000000-0005-0000-0000-0000800A0000}"/>
    <cellStyle name="20% - 强调文字颜色 3 6 14" xfId="10281" xr:uid="{00000000-0005-0000-0000-0000810A0000}"/>
    <cellStyle name="20% - 强调文字颜色 3 6 2" xfId="7840" xr:uid="{00000000-0005-0000-0000-0000820A0000}"/>
    <cellStyle name="20% - 强调文字颜色 3 6 3" xfId="7853" xr:uid="{00000000-0005-0000-0000-0000830A0000}"/>
    <cellStyle name="20% - 强调文字颜色 3 6 4" xfId="7868" xr:uid="{00000000-0005-0000-0000-0000840A0000}"/>
    <cellStyle name="20% - 强调文字颜色 3 6 5" xfId="10288" xr:uid="{00000000-0005-0000-0000-0000850A0000}"/>
    <cellStyle name="20% - 强调文字颜色 3 6 6" xfId="10294" xr:uid="{00000000-0005-0000-0000-0000860A0000}"/>
    <cellStyle name="20% - 强调文字颜色 3 6 7" xfId="10298" xr:uid="{00000000-0005-0000-0000-0000870A0000}"/>
    <cellStyle name="20% - 强调文字颜色 3 6 8" xfId="10305" xr:uid="{00000000-0005-0000-0000-0000880A0000}"/>
    <cellStyle name="20% - 强调文字颜色 3 6 9" xfId="10311" xr:uid="{00000000-0005-0000-0000-0000890A0000}"/>
    <cellStyle name="20% - 强调文字颜色 3 7" xfId="10197" xr:uid="{00000000-0005-0000-0000-00008A0A0000}"/>
    <cellStyle name="20% - 强调文字颜色 3 8" xfId="10204" xr:uid="{00000000-0005-0000-0000-00008B0A0000}"/>
    <cellStyle name="20% - 强调文字颜色 3 9" xfId="10208" xr:uid="{00000000-0005-0000-0000-00008C0A0000}"/>
    <cellStyle name="20% - 强调文字颜色 4 10" xfId="5737" xr:uid="{00000000-0005-0000-0000-00008D0A0000}"/>
    <cellStyle name="20% - 强调文字颜色 4 11" xfId="5752" xr:uid="{00000000-0005-0000-0000-00008E0A0000}"/>
    <cellStyle name="20% - 强调文字颜色 4 12" xfId="5763" xr:uid="{00000000-0005-0000-0000-00008F0A0000}"/>
    <cellStyle name="20% - 强调文字颜色 4 12 10" xfId="10317" xr:uid="{00000000-0005-0000-0000-0000900A0000}"/>
    <cellStyle name="20% - 强调文字颜色 4 12 11" xfId="10321" xr:uid="{00000000-0005-0000-0000-0000910A0000}"/>
    <cellStyle name="20% - 强调文字颜色 4 12 12" xfId="10329" xr:uid="{00000000-0005-0000-0000-0000920A0000}"/>
    <cellStyle name="20% - 强调文字颜色 4 12 13" xfId="10335" xr:uid="{00000000-0005-0000-0000-0000930A0000}"/>
    <cellStyle name="20% - 强调文字颜色 4 12 14" xfId="10336" xr:uid="{00000000-0005-0000-0000-0000940A0000}"/>
    <cellStyle name="20% - 强调文字颜色 4 12 2" xfId="10340" xr:uid="{00000000-0005-0000-0000-0000950A0000}"/>
    <cellStyle name="20% - 强调文字颜色 4 12 3" xfId="10344" xr:uid="{00000000-0005-0000-0000-0000960A0000}"/>
    <cellStyle name="20% - 强调文字颜色 4 12 4" xfId="10349" xr:uid="{00000000-0005-0000-0000-0000970A0000}"/>
    <cellStyle name="20% - 强调文字颜色 4 12 5" xfId="9820" xr:uid="{00000000-0005-0000-0000-0000980A0000}"/>
    <cellStyle name="20% - 强调文字颜色 4 12 5 10" xfId="10350" xr:uid="{00000000-0005-0000-0000-0000990A0000}"/>
    <cellStyle name="20% - 强调文字颜色 4 12 5 11" xfId="10351" xr:uid="{00000000-0005-0000-0000-00009A0A0000}"/>
    <cellStyle name="20% - 强调文字颜色 4 12 5 2" xfId="9907" xr:uid="{00000000-0005-0000-0000-00009B0A0000}"/>
    <cellStyle name="20% - 强调文字颜色 4 12 5 2 2" xfId="10353" xr:uid="{00000000-0005-0000-0000-00009C0A0000}"/>
    <cellStyle name="20% - 强调文字颜色 4 12 5 2 2 2" xfId="9917" xr:uid="{00000000-0005-0000-0000-00009D0A0000}"/>
    <cellStyle name="20% - 强调文字颜色 4 12 5 2 2 3" xfId="10356" xr:uid="{00000000-0005-0000-0000-00009E0A0000}"/>
    <cellStyle name="20% - 强调文字颜色 4 12 5 2 3" xfId="10358" xr:uid="{00000000-0005-0000-0000-00009F0A0000}"/>
    <cellStyle name="20% - 强调文字颜色 4 12 5 2 4" xfId="10359" xr:uid="{00000000-0005-0000-0000-0000A00A0000}"/>
    <cellStyle name="20% - 强调文字颜色 4 12 5 2 5" xfId="10360" xr:uid="{00000000-0005-0000-0000-0000A10A0000}"/>
    <cellStyle name="20% - 强调文字颜色 4 12 5 2 6" xfId="10361" xr:uid="{00000000-0005-0000-0000-0000A20A0000}"/>
    <cellStyle name="20% - 强调文字颜色 4 12 5 2 7" xfId="10363" xr:uid="{00000000-0005-0000-0000-0000A30A0000}"/>
    <cellStyle name="20% - 强调文字颜色 4 12 5 2 8" xfId="10365" xr:uid="{00000000-0005-0000-0000-0000A40A0000}"/>
    <cellStyle name="20% - 强调文字颜色 4 12 5 3" xfId="4316" xr:uid="{00000000-0005-0000-0000-0000A50A0000}"/>
    <cellStyle name="20% - 强调文字颜色 4 12 5 4" xfId="4325" xr:uid="{00000000-0005-0000-0000-0000A60A0000}"/>
    <cellStyle name="20% - 强调文字颜色 4 12 5 5" xfId="4334" xr:uid="{00000000-0005-0000-0000-0000A70A0000}"/>
    <cellStyle name="20% - 强调文字颜色 4 12 5 6" xfId="484" xr:uid="{00000000-0005-0000-0000-0000A80A0000}"/>
    <cellStyle name="20% - 强调文字颜色 4 12 5 6 2" xfId="8746" xr:uid="{00000000-0005-0000-0000-0000A90A0000}"/>
    <cellStyle name="20% - 强调文字颜色 4 12 5 6 3" xfId="8752" xr:uid="{00000000-0005-0000-0000-0000AA0A0000}"/>
    <cellStyle name="20% - 强调文字颜色 4 12 5 7" xfId="4342" xr:uid="{00000000-0005-0000-0000-0000AB0A0000}"/>
    <cellStyle name="20% - 强调文字颜色 4 12 5 8" xfId="9962" xr:uid="{00000000-0005-0000-0000-0000AC0A0000}"/>
    <cellStyle name="20% - 强调文字颜色 4 12 5 9" xfId="10367" xr:uid="{00000000-0005-0000-0000-0000AD0A0000}"/>
    <cellStyle name="20% - 强调文字颜色 4 12 6" xfId="9827" xr:uid="{00000000-0005-0000-0000-0000AE0A0000}"/>
    <cellStyle name="20% - 强调文字颜色 4 12 6 2" xfId="8885" xr:uid="{00000000-0005-0000-0000-0000AF0A0000}"/>
    <cellStyle name="20% - 强调文字颜色 4 12 6 2 2" xfId="10372" xr:uid="{00000000-0005-0000-0000-0000B00A0000}"/>
    <cellStyle name="20% - 强调文字颜色 4 12 6 2 3" xfId="10377" xr:uid="{00000000-0005-0000-0000-0000B10A0000}"/>
    <cellStyle name="20% - 强调文字颜色 4 12 6 3" xfId="9975" xr:uid="{00000000-0005-0000-0000-0000B20A0000}"/>
    <cellStyle name="20% - 强调文字颜色 4 12 6 4" xfId="9979" xr:uid="{00000000-0005-0000-0000-0000B30A0000}"/>
    <cellStyle name="20% - 强调文字颜色 4 12 6 5" xfId="10032" xr:uid="{00000000-0005-0000-0000-0000B40A0000}"/>
    <cellStyle name="20% - 强调文字颜色 4 12 6 6" xfId="10041" xr:uid="{00000000-0005-0000-0000-0000B50A0000}"/>
    <cellStyle name="20% - 强调文字颜色 4 12 6 7" xfId="10046" xr:uid="{00000000-0005-0000-0000-0000B60A0000}"/>
    <cellStyle name="20% - 强调文字颜色 4 12 6 8" xfId="7192" xr:uid="{00000000-0005-0000-0000-0000B70A0000}"/>
    <cellStyle name="20% - 强调文字颜色 4 12 7" xfId="9834" xr:uid="{00000000-0005-0000-0000-0000B80A0000}"/>
    <cellStyle name="20% - 强调文字颜色 4 12 8" xfId="9842" xr:uid="{00000000-0005-0000-0000-0000B90A0000}"/>
    <cellStyle name="20% - 强调文字颜色 4 12 9" xfId="9850" xr:uid="{00000000-0005-0000-0000-0000BA0A0000}"/>
    <cellStyle name="20% - 强调文字颜色 4 12 9 2" xfId="10378" xr:uid="{00000000-0005-0000-0000-0000BB0A0000}"/>
    <cellStyle name="20% - 强调文字颜色 4 12 9 3" xfId="10382" xr:uid="{00000000-0005-0000-0000-0000BC0A0000}"/>
    <cellStyle name="20% - 强调文字颜色 4 13" xfId="5774" xr:uid="{00000000-0005-0000-0000-0000BD0A0000}"/>
    <cellStyle name="20% - 强调文字颜色 4 14" xfId="10391" xr:uid="{00000000-0005-0000-0000-0000BE0A0000}"/>
    <cellStyle name="20% - 强调文字颜色 4 15" xfId="809" xr:uid="{00000000-0005-0000-0000-0000BF0A0000}"/>
    <cellStyle name="20% - 强调文字颜色 4 16" xfId="377" xr:uid="{00000000-0005-0000-0000-0000C00A0000}"/>
    <cellStyle name="20% - 强调文字颜色 4 16 10" xfId="3830" xr:uid="{00000000-0005-0000-0000-0000C10A0000}"/>
    <cellStyle name="20% - 强调文字颜色 4 16 11" xfId="2692" xr:uid="{00000000-0005-0000-0000-0000C20A0000}"/>
    <cellStyle name="20% - 强调文字颜色 4 16 12" xfId="1122" xr:uid="{00000000-0005-0000-0000-0000C30A0000}"/>
    <cellStyle name="20% - 强调文字颜色 4 16 13" xfId="1143" xr:uid="{00000000-0005-0000-0000-0000C40A0000}"/>
    <cellStyle name="20% - 强调文字颜色 4 16 14" xfId="2708" xr:uid="{00000000-0005-0000-0000-0000C50A0000}"/>
    <cellStyle name="20% - 强调文字颜色 4 16 2" xfId="10393" xr:uid="{00000000-0005-0000-0000-0000C60A0000}"/>
    <cellStyle name="20% - 强调文字颜色 4 16 3" xfId="10396" xr:uid="{00000000-0005-0000-0000-0000C70A0000}"/>
    <cellStyle name="20% - 强调文字颜色 4 16 4" xfId="10400" xr:uid="{00000000-0005-0000-0000-0000C80A0000}"/>
    <cellStyle name="20% - 强调文字颜色 4 16 5" xfId="10404" xr:uid="{00000000-0005-0000-0000-0000C90A0000}"/>
    <cellStyle name="20% - 强调文字颜色 4 16 5 10" xfId="10073" xr:uid="{00000000-0005-0000-0000-0000CA0A0000}"/>
    <cellStyle name="20% - 强调文字颜色 4 16 5 11" xfId="10078" xr:uid="{00000000-0005-0000-0000-0000CB0A0000}"/>
    <cellStyle name="20% - 强调文字颜色 4 16 5 2" xfId="2974" xr:uid="{00000000-0005-0000-0000-0000CC0A0000}"/>
    <cellStyle name="20% - 强调文字颜色 4 16 5 2 2" xfId="10415" xr:uid="{00000000-0005-0000-0000-0000CD0A0000}"/>
    <cellStyle name="20% - 强调文字颜色 4 16 5 2 2 2" xfId="5333" xr:uid="{00000000-0005-0000-0000-0000CE0A0000}"/>
    <cellStyle name="20% - 强调文字颜色 4 16 5 2 2 3" xfId="5347" xr:uid="{00000000-0005-0000-0000-0000CF0A0000}"/>
    <cellStyle name="20% - 强调文字颜色 4 16 5 2 3" xfId="10429" xr:uid="{00000000-0005-0000-0000-0000D00A0000}"/>
    <cellStyle name="20% - 强调文字颜色 4 16 5 2 4" xfId="10435" xr:uid="{00000000-0005-0000-0000-0000D10A0000}"/>
    <cellStyle name="20% - 强调文字颜色 4 16 5 2 5" xfId="10441" xr:uid="{00000000-0005-0000-0000-0000D20A0000}"/>
    <cellStyle name="20% - 强调文字颜色 4 16 5 2 6" xfId="10444" xr:uid="{00000000-0005-0000-0000-0000D30A0000}"/>
    <cellStyle name="20% - 强调文字颜色 4 16 5 2 7" xfId="10448" xr:uid="{00000000-0005-0000-0000-0000D40A0000}"/>
    <cellStyle name="20% - 强调文字颜色 4 16 5 2 8" xfId="6876" xr:uid="{00000000-0005-0000-0000-0000D50A0000}"/>
    <cellStyle name="20% - 强调文字颜色 4 16 5 3" xfId="2993" xr:uid="{00000000-0005-0000-0000-0000D60A0000}"/>
    <cellStyle name="20% - 强调文字颜色 4 16 5 4" xfId="3004" xr:uid="{00000000-0005-0000-0000-0000D70A0000}"/>
    <cellStyle name="20% - 强调文字颜色 4 16 5 5" xfId="3015" xr:uid="{00000000-0005-0000-0000-0000D80A0000}"/>
    <cellStyle name="20% - 强调文字颜色 4 16 5 6" xfId="3025" xr:uid="{00000000-0005-0000-0000-0000D90A0000}"/>
    <cellStyle name="20% - 强调文字颜色 4 16 5 6 2" xfId="9659" xr:uid="{00000000-0005-0000-0000-0000DA0A0000}"/>
    <cellStyle name="20% - 强调文字颜色 4 16 5 6 3" xfId="9670" xr:uid="{00000000-0005-0000-0000-0000DB0A0000}"/>
    <cellStyle name="20% - 强调文字颜色 4 16 5 7" xfId="5231" xr:uid="{00000000-0005-0000-0000-0000DC0A0000}"/>
    <cellStyle name="20% - 强调文字颜色 4 16 5 8" xfId="5238" xr:uid="{00000000-0005-0000-0000-0000DD0A0000}"/>
    <cellStyle name="20% - 强调文字颜色 4 16 5 9" xfId="4666" xr:uid="{00000000-0005-0000-0000-0000DE0A0000}"/>
    <cellStyle name="20% - 强调文字颜色 4 16 6" xfId="10450" xr:uid="{00000000-0005-0000-0000-0000DF0A0000}"/>
    <cellStyle name="20% - 强调文字颜色 4 16 6 2" xfId="5705" xr:uid="{00000000-0005-0000-0000-0000E00A0000}"/>
    <cellStyle name="20% - 强调文字颜色 4 16 6 2 2" xfId="10458" xr:uid="{00000000-0005-0000-0000-0000E10A0000}"/>
    <cellStyle name="20% - 强调文字颜色 4 16 6 2 3" xfId="10461" xr:uid="{00000000-0005-0000-0000-0000E20A0000}"/>
    <cellStyle name="20% - 强调文字颜色 4 16 6 3" xfId="5713" xr:uid="{00000000-0005-0000-0000-0000E30A0000}"/>
    <cellStyle name="20% - 强调文字颜色 4 16 6 4" xfId="5725" xr:uid="{00000000-0005-0000-0000-0000E40A0000}"/>
    <cellStyle name="20% - 强调文字颜色 4 16 6 5" xfId="5746" xr:uid="{00000000-0005-0000-0000-0000E50A0000}"/>
    <cellStyle name="20% - 强调文字颜色 4 16 6 6" xfId="5758" xr:uid="{00000000-0005-0000-0000-0000E60A0000}"/>
    <cellStyle name="20% - 强调文字颜色 4 16 6 7" xfId="5767" xr:uid="{00000000-0005-0000-0000-0000E70A0000}"/>
    <cellStyle name="20% - 强调文字颜色 4 16 6 8" xfId="10387" xr:uid="{00000000-0005-0000-0000-0000E80A0000}"/>
    <cellStyle name="20% - 强调文字颜色 4 16 7" xfId="10465" xr:uid="{00000000-0005-0000-0000-0000E90A0000}"/>
    <cellStyle name="20% - 强调文字颜色 4 16 8" xfId="10469" xr:uid="{00000000-0005-0000-0000-0000EA0A0000}"/>
    <cellStyle name="20% - 强调文字颜色 4 16 9" xfId="10473" xr:uid="{00000000-0005-0000-0000-0000EB0A0000}"/>
    <cellStyle name="20% - 强调文字颜色 4 16 9 2" xfId="10480" xr:uid="{00000000-0005-0000-0000-0000EC0A0000}"/>
    <cellStyle name="20% - 强调文字颜色 4 16 9 3" xfId="10484" xr:uid="{00000000-0005-0000-0000-0000ED0A0000}"/>
    <cellStyle name="20% - 强调文字颜色 4 17" xfId="4744" xr:uid="{00000000-0005-0000-0000-0000EE0A0000}"/>
    <cellStyle name="20% - 强调文字颜色 4 17 10" xfId="10489" xr:uid="{00000000-0005-0000-0000-0000EF0A0000}"/>
    <cellStyle name="20% - 强调文字颜色 4 17 11" xfId="10497" xr:uid="{00000000-0005-0000-0000-0000F00A0000}"/>
    <cellStyle name="20% - 强调文字颜色 4 17 12" xfId="10508" xr:uid="{00000000-0005-0000-0000-0000F10A0000}"/>
    <cellStyle name="20% - 强调文字颜色 4 17 13" xfId="10514" xr:uid="{00000000-0005-0000-0000-0000F20A0000}"/>
    <cellStyle name="20% - 强调文字颜色 4 17 14" xfId="10527" xr:uid="{00000000-0005-0000-0000-0000F30A0000}"/>
    <cellStyle name="20% - 强调文字颜色 4 17 2" xfId="10534" xr:uid="{00000000-0005-0000-0000-0000F40A0000}"/>
    <cellStyle name="20% - 强调文字颜色 4 17 3" xfId="10538" xr:uid="{00000000-0005-0000-0000-0000F50A0000}"/>
    <cellStyle name="20% - 强调文字颜色 4 17 4" xfId="4628" xr:uid="{00000000-0005-0000-0000-0000F60A0000}"/>
    <cellStyle name="20% - 强调文字颜色 4 17 5" xfId="7600" xr:uid="{00000000-0005-0000-0000-0000F70A0000}"/>
    <cellStyle name="20% - 强调文字颜色 4 17 5 10" xfId="10541" xr:uid="{00000000-0005-0000-0000-0000F80A0000}"/>
    <cellStyle name="20% - 强调文字颜色 4 17 5 11" xfId="10542" xr:uid="{00000000-0005-0000-0000-0000F90A0000}"/>
    <cellStyle name="20% - 强调文字颜色 4 17 5 2" xfId="7942" xr:uid="{00000000-0005-0000-0000-0000FA0A0000}"/>
    <cellStyle name="20% - 强调文字颜色 4 17 5 2 2" xfId="3084" xr:uid="{00000000-0005-0000-0000-0000FB0A0000}"/>
    <cellStyle name="20% - 强调文字颜色 4 17 5 2 2 2" xfId="10545" xr:uid="{00000000-0005-0000-0000-0000FC0A0000}"/>
    <cellStyle name="20% - 强调文字颜色 4 17 5 2 2 3" xfId="10551" xr:uid="{00000000-0005-0000-0000-0000FD0A0000}"/>
    <cellStyle name="20% - 强调文字颜色 4 17 5 2 3" xfId="10552" xr:uid="{00000000-0005-0000-0000-0000FE0A0000}"/>
    <cellStyle name="20% - 强调文字颜色 4 17 5 2 4" xfId="10554" xr:uid="{00000000-0005-0000-0000-0000FF0A0000}"/>
    <cellStyle name="20% - 强调文字颜色 4 17 5 2 5" xfId="10556" xr:uid="{00000000-0005-0000-0000-0000000B0000}"/>
    <cellStyle name="20% - 强调文字颜色 4 17 5 2 6" xfId="10558" xr:uid="{00000000-0005-0000-0000-0000010B0000}"/>
    <cellStyle name="20% - 强调文字颜色 4 17 5 2 7" xfId="10560" xr:uid="{00000000-0005-0000-0000-0000020B0000}"/>
    <cellStyle name="20% - 强调文字颜色 4 17 5 2 8" xfId="10561" xr:uid="{00000000-0005-0000-0000-0000030B0000}"/>
    <cellStyle name="20% - 强调文字颜色 4 17 5 3" xfId="7950" xr:uid="{00000000-0005-0000-0000-0000040B0000}"/>
    <cellStyle name="20% - 强调文字颜色 4 17 5 4" xfId="7963" xr:uid="{00000000-0005-0000-0000-0000050B0000}"/>
    <cellStyle name="20% - 强调文字颜色 4 17 5 5" xfId="7970" xr:uid="{00000000-0005-0000-0000-0000060B0000}"/>
    <cellStyle name="20% - 强调文字颜色 4 17 5 6" xfId="7978" xr:uid="{00000000-0005-0000-0000-0000070B0000}"/>
    <cellStyle name="20% - 强调文字颜色 4 17 5 6 2" xfId="9374" xr:uid="{00000000-0005-0000-0000-0000080B0000}"/>
    <cellStyle name="20% - 强调文字颜色 4 17 5 6 3" xfId="9383" xr:uid="{00000000-0005-0000-0000-0000090B0000}"/>
    <cellStyle name="20% - 强调文字颜色 4 17 5 7" xfId="7985" xr:uid="{00000000-0005-0000-0000-00000A0B0000}"/>
    <cellStyle name="20% - 强调文字颜色 4 17 5 8" xfId="7991" xr:uid="{00000000-0005-0000-0000-00000B0B0000}"/>
    <cellStyle name="20% - 强调文字颜色 4 17 5 9" xfId="10566" xr:uid="{00000000-0005-0000-0000-00000C0B0000}"/>
    <cellStyle name="20% - 强调文字颜色 4 17 6" xfId="7606" xr:uid="{00000000-0005-0000-0000-00000D0B0000}"/>
    <cellStyle name="20% - 强调文字颜色 4 17 6 2" xfId="5940" xr:uid="{00000000-0005-0000-0000-00000E0B0000}"/>
    <cellStyle name="20% - 强调文字颜色 4 17 6 2 2" xfId="10575" xr:uid="{00000000-0005-0000-0000-00000F0B0000}"/>
    <cellStyle name="20% - 强调文字颜色 4 17 6 2 3" xfId="10581" xr:uid="{00000000-0005-0000-0000-0000100B0000}"/>
    <cellStyle name="20% - 强调文字颜色 4 17 6 3" xfId="5951" xr:uid="{00000000-0005-0000-0000-0000110B0000}"/>
    <cellStyle name="20% - 强调文字颜色 4 17 6 4" xfId="5960" xr:uid="{00000000-0005-0000-0000-0000120B0000}"/>
    <cellStyle name="20% - 强调文字颜色 4 17 6 5" xfId="1502" xr:uid="{00000000-0005-0000-0000-0000130B0000}"/>
    <cellStyle name="20% - 强调文字颜色 4 17 6 6" xfId="1517" xr:uid="{00000000-0005-0000-0000-0000140B0000}"/>
    <cellStyle name="20% - 强调文字颜色 4 17 6 7" xfId="4422" xr:uid="{00000000-0005-0000-0000-0000150B0000}"/>
    <cellStyle name="20% - 强调文字颜色 4 17 6 8" xfId="4517" xr:uid="{00000000-0005-0000-0000-0000160B0000}"/>
    <cellStyle name="20% - 强调文字颜色 4 17 7" xfId="6765" xr:uid="{00000000-0005-0000-0000-0000170B0000}"/>
    <cellStyle name="20% - 强调文字颜色 4 17 8" xfId="6782" xr:uid="{00000000-0005-0000-0000-0000180B0000}"/>
    <cellStyle name="20% - 强调文字颜色 4 17 9" xfId="7620" xr:uid="{00000000-0005-0000-0000-0000190B0000}"/>
    <cellStyle name="20% - 强调文字颜色 4 17 9 2" xfId="566" xr:uid="{00000000-0005-0000-0000-00001A0B0000}"/>
    <cellStyle name="20% - 强调文字颜色 4 17 9 3" xfId="411" xr:uid="{00000000-0005-0000-0000-00001B0B0000}"/>
    <cellStyle name="20% - 强调文字颜色 4 18" xfId="4747" xr:uid="{00000000-0005-0000-0000-00001C0B0000}"/>
    <cellStyle name="20% - 强调文字颜色 4 18 10" xfId="4241" xr:uid="{00000000-0005-0000-0000-00001D0B0000}"/>
    <cellStyle name="20% - 强调文字颜色 4 18 11" xfId="4251" xr:uid="{00000000-0005-0000-0000-00001E0B0000}"/>
    <cellStyle name="20% - 强调文字颜色 4 18 12" xfId="4259" xr:uid="{00000000-0005-0000-0000-00001F0B0000}"/>
    <cellStyle name="20% - 强调文字颜色 4 18 13" xfId="6482" xr:uid="{00000000-0005-0000-0000-0000200B0000}"/>
    <cellStyle name="20% - 强调文字颜色 4 18 14" xfId="6489" xr:uid="{00000000-0005-0000-0000-0000210B0000}"/>
    <cellStyle name="20% - 强调文字颜色 4 18 2" xfId="10584" xr:uid="{00000000-0005-0000-0000-0000220B0000}"/>
    <cellStyle name="20% - 强调文字颜色 4 18 3" xfId="10586" xr:uid="{00000000-0005-0000-0000-0000230B0000}"/>
    <cellStyle name="20% - 强调文字颜色 4 18 4" xfId="10588" xr:uid="{00000000-0005-0000-0000-0000240B0000}"/>
    <cellStyle name="20% - 强调文字颜色 4 18 5" xfId="10590" xr:uid="{00000000-0005-0000-0000-0000250B0000}"/>
    <cellStyle name="20% - 强调文字颜色 4 18 5 10" xfId="5505" xr:uid="{00000000-0005-0000-0000-0000260B0000}"/>
    <cellStyle name="20% - 强调文字颜色 4 18 5 11" xfId="5521" xr:uid="{00000000-0005-0000-0000-0000270B0000}"/>
    <cellStyle name="20% - 强调文字颜色 4 18 5 2" xfId="7847" xr:uid="{00000000-0005-0000-0000-0000280B0000}"/>
    <cellStyle name="20% - 强调文字颜色 4 18 5 2 2" xfId="1030" xr:uid="{00000000-0005-0000-0000-0000290B0000}"/>
    <cellStyle name="20% - 强调文字颜色 4 18 5 2 2 2" xfId="7686" xr:uid="{00000000-0005-0000-0000-00002A0B0000}"/>
    <cellStyle name="20% - 强调文字颜色 4 18 5 2 2 3" xfId="7690" xr:uid="{00000000-0005-0000-0000-00002B0B0000}"/>
    <cellStyle name="20% - 强调文字颜色 4 18 5 2 3" xfId="10592" xr:uid="{00000000-0005-0000-0000-00002C0B0000}"/>
    <cellStyle name="20% - 强调文字颜色 4 18 5 2 4" xfId="10593" xr:uid="{00000000-0005-0000-0000-00002D0B0000}"/>
    <cellStyle name="20% - 强调文字颜色 4 18 5 2 5" xfId="10594" xr:uid="{00000000-0005-0000-0000-00002E0B0000}"/>
    <cellStyle name="20% - 强调文字颜色 4 18 5 2 6" xfId="10595" xr:uid="{00000000-0005-0000-0000-00002F0B0000}"/>
    <cellStyle name="20% - 强调文字颜色 4 18 5 2 7" xfId="475" xr:uid="{00000000-0005-0000-0000-0000300B0000}"/>
    <cellStyle name="20% - 强调文字颜色 4 18 5 2 8" xfId="8641" xr:uid="{00000000-0005-0000-0000-0000310B0000}"/>
    <cellStyle name="20% - 强调文字颜色 4 18 5 3" xfId="7863" xr:uid="{00000000-0005-0000-0000-0000320B0000}"/>
    <cellStyle name="20% - 强调文字颜色 4 18 5 4" xfId="10283" xr:uid="{00000000-0005-0000-0000-0000330B0000}"/>
    <cellStyle name="20% - 强调文字颜色 4 18 5 5" xfId="10291" xr:uid="{00000000-0005-0000-0000-0000340B0000}"/>
    <cellStyle name="20% - 强调文字颜色 4 18 5 6" xfId="10303" xr:uid="{00000000-0005-0000-0000-0000350B0000}"/>
    <cellStyle name="20% - 强调文字颜色 4 18 5 6 2" xfId="7460" xr:uid="{00000000-0005-0000-0000-0000360B0000}"/>
    <cellStyle name="20% - 强调文字颜色 4 18 5 6 3" xfId="7014" xr:uid="{00000000-0005-0000-0000-0000370B0000}"/>
    <cellStyle name="20% - 强调文字颜色 4 18 5 7" xfId="10309" xr:uid="{00000000-0005-0000-0000-0000380B0000}"/>
    <cellStyle name="20% - 强调文字颜色 4 18 5 8" xfId="10316" xr:uid="{00000000-0005-0000-0000-0000390B0000}"/>
    <cellStyle name="20% - 强调文字颜色 4 18 5 9" xfId="10603" xr:uid="{00000000-0005-0000-0000-00003A0B0000}"/>
    <cellStyle name="20% - 强调文字颜色 4 18 6" xfId="10604" xr:uid="{00000000-0005-0000-0000-00003B0B0000}"/>
    <cellStyle name="20% - 强调文字颜色 4 18 6 2" xfId="10610" xr:uid="{00000000-0005-0000-0000-00003C0B0000}"/>
    <cellStyle name="20% - 强调文字颜色 4 18 6 2 2" xfId="10611" xr:uid="{00000000-0005-0000-0000-00003D0B0000}"/>
    <cellStyle name="20% - 强调文字颜色 4 18 6 2 3" xfId="10613" xr:uid="{00000000-0005-0000-0000-00003E0B0000}"/>
    <cellStyle name="20% - 强调文字颜色 4 18 6 3" xfId="10622" xr:uid="{00000000-0005-0000-0000-00003F0B0000}"/>
    <cellStyle name="20% - 强调文字颜色 4 18 6 4" xfId="10627" xr:uid="{00000000-0005-0000-0000-0000400B0000}"/>
    <cellStyle name="20% - 强调文字颜色 4 18 6 5" xfId="10631" xr:uid="{00000000-0005-0000-0000-0000410B0000}"/>
    <cellStyle name="20% - 强调文字颜色 4 18 6 6" xfId="10635" xr:uid="{00000000-0005-0000-0000-0000420B0000}"/>
    <cellStyle name="20% - 强调文字颜色 4 18 6 7" xfId="10638" xr:uid="{00000000-0005-0000-0000-0000430B0000}"/>
    <cellStyle name="20% - 强调文字颜色 4 18 6 8" xfId="10641" xr:uid="{00000000-0005-0000-0000-0000440B0000}"/>
    <cellStyle name="20% - 强调文字颜色 4 18 7" xfId="10642" xr:uid="{00000000-0005-0000-0000-0000450B0000}"/>
    <cellStyle name="20% - 强调文字颜色 4 18 8" xfId="10644" xr:uid="{00000000-0005-0000-0000-0000460B0000}"/>
    <cellStyle name="20% - 强调文字颜色 4 18 9" xfId="10645" xr:uid="{00000000-0005-0000-0000-0000470B0000}"/>
    <cellStyle name="20% - 强调文字颜色 4 18 9 2" xfId="7723" xr:uid="{00000000-0005-0000-0000-0000480B0000}"/>
    <cellStyle name="20% - 强调文字颜色 4 18 9 3" xfId="7726" xr:uid="{00000000-0005-0000-0000-0000490B0000}"/>
    <cellStyle name="20% - 强调文字颜色 4 19" xfId="4750" xr:uid="{00000000-0005-0000-0000-00004A0B0000}"/>
    <cellStyle name="20% - 强调文字颜色 4 2" xfId="10647" xr:uid="{00000000-0005-0000-0000-00004B0B0000}"/>
    <cellStyle name="20% - 强调文字颜色 4 2 10" xfId="2439" xr:uid="{00000000-0005-0000-0000-00004C0B0000}"/>
    <cellStyle name="20% - 强调文字颜色 4 2 11" xfId="2462" xr:uid="{00000000-0005-0000-0000-00004D0B0000}"/>
    <cellStyle name="20% - 强调文字颜色 4 2 12" xfId="2479" xr:uid="{00000000-0005-0000-0000-00004E0B0000}"/>
    <cellStyle name="20% - 强调文字颜色 4 2 13" xfId="2497" xr:uid="{00000000-0005-0000-0000-00004F0B0000}"/>
    <cellStyle name="20% - 强调文字颜色 4 2 14" xfId="2505" xr:uid="{00000000-0005-0000-0000-0000500B0000}"/>
    <cellStyle name="20% - 强调文字颜色 4 2 15" xfId="2514" xr:uid="{00000000-0005-0000-0000-0000510B0000}"/>
    <cellStyle name="20% - 强调文字颜色 4 2 16" xfId="2523" xr:uid="{00000000-0005-0000-0000-0000520B0000}"/>
    <cellStyle name="20% - 强调文字颜色 4 2 17" xfId="5128" xr:uid="{00000000-0005-0000-0000-0000530B0000}"/>
    <cellStyle name="20% - 强调文字颜色 4 2 17 10" xfId="10653" xr:uid="{00000000-0005-0000-0000-0000540B0000}"/>
    <cellStyle name="20% - 强调文字颜色 4 2 17 11" xfId="9195" xr:uid="{00000000-0005-0000-0000-0000550B0000}"/>
    <cellStyle name="20% - 强调文字颜色 4 2 17 12" xfId="9199" xr:uid="{00000000-0005-0000-0000-0000560B0000}"/>
    <cellStyle name="20% - 强调文字颜色 4 2 17 13" xfId="456" xr:uid="{00000000-0005-0000-0000-0000570B0000}"/>
    <cellStyle name="20% - 强调文字颜色 4 2 17 14" xfId="548" xr:uid="{00000000-0005-0000-0000-0000580B0000}"/>
    <cellStyle name="20% - 强调文字颜色 4 2 17 2" xfId="10269" xr:uid="{00000000-0005-0000-0000-0000590B0000}"/>
    <cellStyle name="20% - 强调文字颜色 4 2 17 3" xfId="10274" xr:uid="{00000000-0005-0000-0000-00005A0B0000}"/>
    <cellStyle name="20% - 强调文字颜色 4 2 17 4" xfId="10279" xr:uid="{00000000-0005-0000-0000-00005B0B0000}"/>
    <cellStyle name="20% - 强调文字颜色 4 2 17 5" xfId="5503" xr:uid="{00000000-0005-0000-0000-00005C0B0000}"/>
    <cellStyle name="20% - 强调文字颜色 4 2 17 5 10" xfId="8155" xr:uid="{00000000-0005-0000-0000-00005D0B0000}"/>
    <cellStyle name="20% - 强调文字颜色 4 2 17 5 11" xfId="8164" xr:uid="{00000000-0005-0000-0000-00005E0B0000}"/>
    <cellStyle name="20% - 强调文字颜色 4 2 17 5 2" xfId="10654" xr:uid="{00000000-0005-0000-0000-00005F0B0000}"/>
    <cellStyle name="20% - 强调文字颜色 4 2 17 5 2 2" xfId="10657" xr:uid="{00000000-0005-0000-0000-0000600B0000}"/>
    <cellStyle name="20% - 强调文字颜色 4 2 17 5 2 2 2" xfId="10662" xr:uid="{00000000-0005-0000-0000-0000610B0000}"/>
    <cellStyle name="20% - 强调文字颜色 4 2 17 5 2 2 3" xfId="10664" xr:uid="{00000000-0005-0000-0000-0000620B0000}"/>
    <cellStyle name="20% - 强调文字颜色 4 2 17 5 2 3" xfId="10666" xr:uid="{00000000-0005-0000-0000-0000630B0000}"/>
    <cellStyle name="20% - 强调文字颜色 4 2 17 5 2 4" xfId="10675" xr:uid="{00000000-0005-0000-0000-0000640B0000}"/>
    <cellStyle name="20% - 强调文字颜色 4 2 17 5 2 5" xfId="10684" xr:uid="{00000000-0005-0000-0000-0000650B0000}"/>
    <cellStyle name="20% - 强调文字颜色 4 2 17 5 2 6" xfId="10688" xr:uid="{00000000-0005-0000-0000-0000660B0000}"/>
    <cellStyle name="20% - 强调文字颜色 4 2 17 5 2 7" xfId="10691" xr:uid="{00000000-0005-0000-0000-0000670B0000}"/>
    <cellStyle name="20% - 强调文字颜色 4 2 17 5 2 8" xfId="10694" xr:uid="{00000000-0005-0000-0000-0000680B0000}"/>
    <cellStyle name="20% - 强调文字颜色 4 2 17 5 3" xfId="3247" xr:uid="{00000000-0005-0000-0000-0000690B0000}"/>
    <cellStyle name="20% - 强调文字颜色 4 2 17 5 4" xfId="3249" xr:uid="{00000000-0005-0000-0000-00006A0B0000}"/>
    <cellStyle name="20% - 强调文字颜色 4 2 17 5 5" xfId="10701" xr:uid="{00000000-0005-0000-0000-00006B0B0000}"/>
    <cellStyle name="20% - 强调文字颜色 4 2 17 5 6" xfId="8228" xr:uid="{00000000-0005-0000-0000-00006C0B0000}"/>
    <cellStyle name="20% - 强调文字颜色 4 2 17 5 6 2" xfId="10704" xr:uid="{00000000-0005-0000-0000-00006D0B0000}"/>
    <cellStyle name="20% - 强调文字颜色 4 2 17 5 6 3" xfId="10707" xr:uid="{00000000-0005-0000-0000-00006E0B0000}"/>
    <cellStyle name="20% - 强调文字颜色 4 2 17 5 7" xfId="8234" xr:uid="{00000000-0005-0000-0000-00006F0B0000}"/>
    <cellStyle name="20% - 强调文字颜色 4 2 17 5 8" xfId="8240" xr:uid="{00000000-0005-0000-0000-0000700B0000}"/>
    <cellStyle name="20% - 强调文字颜色 4 2 17 5 9" xfId="8243" xr:uid="{00000000-0005-0000-0000-0000710B0000}"/>
    <cellStyle name="20% - 强调文字颜色 4 2 17 6" xfId="5517" xr:uid="{00000000-0005-0000-0000-0000720B0000}"/>
    <cellStyle name="20% - 强调文字颜色 4 2 17 6 2" xfId="10175" xr:uid="{00000000-0005-0000-0000-0000730B0000}"/>
    <cellStyle name="20% - 强调文字颜色 4 2 17 6 2 2" xfId="10712" xr:uid="{00000000-0005-0000-0000-0000740B0000}"/>
    <cellStyle name="20% - 强调文字颜色 4 2 17 6 2 3" xfId="10717" xr:uid="{00000000-0005-0000-0000-0000750B0000}"/>
    <cellStyle name="20% - 强调文字颜色 4 2 17 6 3" xfId="10181" xr:uid="{00000000-0005-0000-0000-0000760B0000}"/>
    <cellStyle name="20% - 强调文字颜色 4 2 17 6 4" xfId="10720" xr:uid="{00000000-0005-0000-0000-0000770B0000}"/>
    <cellStyle name="20% - 强调文字颜色 4 2 17 6 5" xfId="10723" xr:uid="{00000000-0005-0000-0000-0000780B0000}"/>
    <cellStyle name="20% - 强调文字颜色 4 2 17 6 6" xfId="8344" xr:uid="{00000000-0005-0000-0000-0000790B0000}"/>
    <cellStyle name="20% - 强调文字颜色 4 2 17 6 7" xfId="8349" xr:uid="{00000000-0005-0000-0000-00007A0B0000}"/>
    <cellStyle name="20% - 强调文字颜色 4 2 17 6 8" xfId="4528" xr:uid="{00000000-0005-0000-0000-00007B0B0000}"/>
    <cellStyle name="20% - 强调文字颜色 4 2 17 7" xfId="2229" xr:uid="{00000000-0005-0000-0000-00007C0B0000}"/>
    <cellStyle name="20% - 强调文字颜色 4 2 17 8" xfId="2255" xr:uid="{00000000-0005-0000-0000-00007D0B0000}"/>
    <cellStyle name="20% - 强调文字颜色 4 2 17 9" xfId="2271" xr:uid="{00000000-0005-0000-0000-00007E0B0000}"/>
    <cellStyle name="20% - 强调文字颜色 4 2 17 9 2" xfId="8157" xr:uid="{00000000-0005-0000-0000-00007F0B0000}"/>
    <cellStyle name="20% - 强调文字颜色 4 2 17 9 3" xfId="8166" xr:uid="{00000000-0005-0000-0000-0000800B0000}"/>
    <cellStyle name="20% - 强调文字颜色 4 2 18" xfId="10729" xr:uid="{00000000-0005-0000-0000-0000810B0000}"/>
    <cellStyle name="20% - 强调文字颜色 4 2 18 10" xfId="10731" xr:uid="{00000000-0005-0000-0000-0000820B0000}"/>
    <cellStyle name="20% - 强调文字颜色 4 2 18 11" xfId="10732" xr:uid="{00000000-0005-0000-0000-0000830B0000}"/>
    <cellStyle name="20% - 强调文字颜色 4 2 18 12" xfId="3358" xr:uid="{00000000-0005-0000-0000-0000840B0000}"/>
    <cellStyle name="20% - 强调文字颜色 4 2 18 13" xfId="6602" xr:uid="{00000000-0005-0000-0000-0000850B0000}"/>
    <cellStyle name="20% - 强调文字颜色 4 2 18 14" xfId="6616" xr:uid="{00000000-0005-0000-0000-0000860B0000}"/>
    <cellStyle name="20% - 强调文字颜色 4 2 18 2" xfId="10739" xr:uid="{00000000-0005-0000-0000-0000870B0000}"/>
    <cellStyle name="20% - 强调文字颜色 4 2 18 3" xfId="10742" xr:uid="{00000000-0005-0000-0000-0000880B0000}"/>
    <cellStyle name="20% - 强调文字颜色 4 2 18 4" xfId="10748" xr:uid="{00000000-0005-0000-0000-0000890B0000}"/>
    <cellStyle name="20% - 强调文字颜色 4 2 18 5" xfId="10752" xr:uid="{00000000-0005-0000-0000-00008A0B0000}"/>
    <cellStyle name="20% - 强调文字颜色 4 2 18 5 10" xfId="875" xr:uid="{00000000-0005-0000-0000-00008B0B0000}"/>
    <cellStyle name="20% - 强调文字颜色 4 2 18 5 11" xfId="888" xr:uid="{00000000-0005-0000-0000-00008C0B0000}"/>
    <cellStyle name="20% - 强调文字颜色 4 2 18 5 2" xfId="3167" xr:uid="{00000000-0005-0000-0000-00008D0B0000}"/>
    <cellStyle name="20% - 强调文字颜色 4 2 18 5 2 2" xfId="4804" xr:uid="{00000000-0005-0000-0000-00008E0B0000}"/>
    <cellStyle name="20% - 强调文字颜色 4 2 18 5 2 2 2" xfId="10754" xr:uid="{00000000-0005-0000-0000-00008F0B0000}"/>
    <cellStyle name="20% - 强调文字颜色 4 2 18 5 2 2 3" xfId="10755" xr:uid="{00000000-0005-0000-0000-0000900B0000}"/>
    <cellStyle name="20% - 强调文字颜色 4 2 18 5 2 3" xfId="4815" xr:uid="{00000000-0005-0000-0000-0000910B0000}"/>
    <cellStyle name="20% - 强调文字颜色 4 2 18 5 2 4" xfId="8934" xr:uid="{00000000-0005-0000-0000-0000920B0000}"/>
    <cellStyle name="20% - 强调文字颜色 4 2 18 5 2 5" xfId="8941" xr:uid="{00000000-0005-0000-0000-0000930B0000}"/>
    <cellStyle name="20% - 强调文字颜色 4 2 18 5 2 6" xfId="8947" xr:uid="{00000000-0005-0000-0000-0000940B0000}"/>
    <cellStyle name="20% - 强调文字颜色 4 2 18 5 2 7" xfId="8995" xr:uid="{00000000-0005-0000-0000-0000950B0000}"/>
    <cellStyle name="20% - 强调文字颜色 4 2 18 5 2 8" xfId="9029" xr:uid="{00000000-0005-0000-0000-0000960B0000}"/>
    <cellStyle name="20% - 强调文字颜色 4 2 18 5 3" xfId="3171" xr:uid="{00000000-0005-0000-0000-0000970B0000}"/>
    <cellStyle name="20% - 强调文字颜色 4 2 18 5 4" xfId="3174" xr:uid="{00000000-0005-0000-0000-0000980B0000}"/>
    <cellStyle name="20% - 强调文字颜色 4 2 18 5 5" xfId="3178" xr:uid="{00000000-0005-0000-0000-0000990B0000}"/>
    <cellStyle name="20% - 强调文字颜色 4 2 18 5 6" xfId="502" xr:uid="{00000000-0005-0000-0000-00009A0B0000}"/>
    <cellStyle name="20% - 强调文字颜色 4 2 18 5 6 2" xfId="9886" xr:uid="{00000000-0005-0000-0000-00009B0B0000}"/>
    <cellStyle name="20% - 强调文字颜色 4 2 18 5 6 3" xfId="8779" xr:uid="{00000000-0005-0000-0000-00009C0B0000}"/>
    <cellStyle name="20% - 强调文字颜色 4 2 18 5 7" xfId="10756" xr:uid="{00000000-0005-0000-0000-00009D0B0000}"/>
    <cellStyle name="20% - 强调文字颜色 4 2 18 5 8" xfId="10759" xr:uid="{00000000-0005-0000-0000-00009E0B0000}"/>
    <cellStyle name="20% - 强调文字颜色 4 2 18 5 9" xfId="10762" xr:uid="{00000000-0005-0000-0000-00009F0B0000}"/>
    <cellStyle name="20% - 强调文字颜色 4 2 18 6" xfId="10767" xr:uid="{00000000-0005-0000-0000-0000A00B0000}"/>
    <cellStyle name="20% - 强调文字颜色 4 2 18 6 2" xfId="10771" xr:uid="{00000000-0005-0000-0000-0000A10B0000}"/>
    <cellStyle name="20% - 强调文字颜色 4 2 18 6 2 2" xfId="7260" xr:uid="{00000000-0005-0000-0000-0000A20B0000}"/>
    <cellStyle name="20% - 强调文字颜色 4 2 18 6 2 3" xfId="7264" xr:uid="{00000000-0005-0000-0000-0000A30B0000}"/>
    <cellStyle name="20% - 强调文字颜色 4 2 18 6 3" xfId="10775" xr:uid="{00000000-0005-0000-0000-0000A40B0000}"/>
    <cellStyle name="20% - 强调文字颜色 4 2 18 6 4" xfId="10781" xr:uid="{00000000-0005-0000-0000-0000A50B0000}"/>
    <cellStyle name="20% - 强调文字颜色 4 2 18 6 5" xfId="10785" xr:uid="{00000000-0005-0000-0000-0000A60B0000}"/>
    <cellStyle name="20% - 强调文字颜色 4 2 18 6 6" xfId="10788" xr:uid="{00000000-0005-0000-0000-0000A70B0000}"/>
    <cellStyle name="20% - 强调文字颜色 4 2 18 6 7" xfId="10791" xr:uid="{00000000-0005-0000-0000-0000A80B0000}"/>
    <cellStyle name="20% - 强调文字颜色 4 2 18 6 8" xfId="10795" xr:uid="{00000000-0005-0000-0000-0000A90B0000}"/>
    <cellStyle name="20% - 强调文字颜色 4 2 18 7" xfId="10798" xr:uid="{00000000-0005-0000-0000-0000AA0B0000}"/>
    <cellStyle name="20% - 强调文字颜色 4 2 18 8" xfId="9133" xr:uid="{00000000-0005-0000-0000-0000AB0B0000}"/>
    <cellStyle name="20% - 强调文字颜色 4 2 18 9" xfId="9159" xr:uid="{00000000-0005-0000-0000-0000AC0B0000}"/>
    <cellStyle name="20% - 强调文字颜色 4 2 18 9 2" xfId="8281" xr:uid="{00000000-0005-0000-0000-0000AD0B0000}"/>
    <cellStyle name="20% - 强调文字颜色 4 2 18 9 3" xfId="8287" xr:uid="{00000000-0005-0000-0000-0000AE0B0000}"/>
    <cellStyle name="20% - 强调文字颜色 4 2 19" xfId="10801" xr:uid="{00000000-0005-0000-0000-0000AF0B0000}"/>
    <cellStyle name="20% - 强调文字颜色 4 2 19 10" xfId="10802" xr:uid="{00000000-0005-0000-0000-0000B00B0000}"/>
    <cellStyle name="20% - 强调文字颜色 4 2 19 11" xfId="3587" xr:uid="{00000000-0005-0000-0000-0000B10B0000}"/>
    <cellStyle name="20% - 强调文字颜色 4 2 19 12" xfId="3602" xr:uid="{00000000-0005-0000-0000-0000B20B0000}"/>
    <cellStyle name="20% - 强调文字颜色 4 2 19 13" xfId="5930" xr:uid="{00000000-0005-0000-0000-0000B30B0000}"/>
    <cellStyle name="20% - 强调文字颜色 4 2 19 14" xfId="5942" xr:uid="{00000000-0005-0000-0000-0000B40B0000}"/>
    <cellStyle name="20% - 强调文字颜色 4 2 19 2" xfId="1559" xr:uid="{00000000-0005-0000-0000-0000B50B0000}"/>
    <cellStyle name="20% - 强调文字颜色 4 2 19 3" xfId="1566" xr:uid="{00000000-0005-0000-0000-0000B60B0000}"/>
    <cellStyle name="20% - 强调文字颜色 4 2 19 4" xfId="10807" xr:uid="{00000000-0005-0000-0000-0000B70B0000}"/>
    <cellStyle name="20% - 强调文字颜色 4 2 19 5" xfId="10810" xr:uid="{00000000-0005-0000-0000-0000B80B0000}"/>
    <cellStyle name="20% - 强调文字颜色 4 2 19 5 10" xfId="10816" xr:uid="{00000000-0005-0000-0000-0000B90B0000}"/>
    <cellStyle name="20% - 强调文字颜色 4 2 19 5 11" xfId="10819" xr:uid="{00000000-0005-0000-0000-0000BA0B0000}"/>
    <cellStyle name="20% - 强调文字颜色 4 2 19 5 2" xfId="6806" xr:uid="{00000000-0005-0000-0000-0000BB0B0000}"/>
    <cellStyle name="20% - 强调文字颜色 4 2 19 5 2 2" xfId="10820" xr:uid="{00000000-0005-0000-0000-0000BC0B0000}"/>
    <cellStyle name="20% - 强调文字颜色 4 2 19 5 2 2 2" xfId="8324" xr:uid="{00000000-0005-0000-0000-0000BD0B0000}"/>
    <cellStyle name="20% - 强调文字颜色 4 2 19 5 2 2 3" xfId="10824" xr:uid="{00000000-0005-0000-0000-0000BE0B0000}"/>
    <cellStyle name="20% - 强调文字颜色 4 2 19 5 2 3" xfId="10827" xr:uid="{00000000-0005-0000-0000-0000BF0B0000}"/>
    <cellStyle name="20% - 强调文字颜色 4 2 19 5 2 4" xfId="10830" xr:uid="{00000000-0005-0000-0000-0000C00B0000}"/>
    <cellStyle name="20% - 强调文字颜色 4 2 19 5 2 5" xfId="10833" xr:uid="{00000000-0005-0000-0000-0000C10B0000}"/>
    <cellStyle name="20% - 强调文字颜色 4 2 19 5 2 6" xfId="10834" xr:uid="{00000000-0005-0000-0000-0000C20B0000}"/>
    <cellStyle name="20% - 强调文字颜色 4 2 19 5 2 7" xfId="10533" xr:uid="{00000000-0005-0000-0000-0000C30B0000}"/>
    <cellStyle name="20% - 强调文字颜色 4 2 19 5 2 8" xfId="10537" xr:uid="{00000000-0005-0000-0000-0000C40B0000}"/>
    <cellStyle name="20% - 强调文字颜色 4 2 19 5 3" xfId="10835" xr:uid="{00000000-0005-0000-0000-0000C50B0000}"/>
    <cellStyle name="20% - 强调文字颜色 4 2 19 5 4" xfId="10836" xr:uid="{00000000-0005-0000-0000-0000C60B0000}"/>
    <cellStyle name="20% - 强调文字颜色 4 2 19 5 5" xfId="10838" xr:uid="{00000000-0005-0000-0000-0000C70B0000}"/>
    <cellStyle name="20% - 强调文字颜色 4 2 19 5 6" xfId="10840" xr:uid="{00000000-0005-0000-0000-0000C80B0000}"/>
    <cellStyle name="20% - 强调文字颜色 4 2 19 5 6 2" xfId="872" xr:uid="{00000000-0005-0000-0000-0000C90B0000}"/>
    <cellStyle name="20% - 强调文字颜色 4 2 19 5 6 3" xfId="885" xr:uid="{00000000-0005-0000-0000-0000CA0B0000}"/>
    <cellStyle name="20% - 强调文字颜色 4 2 19 5 7" xfId="10842" xr:uid="{00000000-0005-0000-0000-0000CB0B0000}"/>
    <cellStyle name="20% - 强调文字颜色 4 2 19 5 8" xfId="10844" xr:uid="{00000000-0005-0000-0000-0000CC0B0000}"/>
    <cellStyle name="20% - 强调文字颜色 4 2 19 5 9" xfId="10846" xr:uid="{00000000-0005-0000-0000-0000CD0B0000}"/>
    <cellStyle name="20% - 强调文字颜色 4 2 19 6" xfId="10849" xr:uid="{00000000-0005-0000-0000-0000CE0B0000}"/>
    <cellStyle name="20% - 强调文字颜色 4 2 19 6 2" xfId="9952" xr:uid="{00000000-0005-0000-0000-0000CF0B0000}"/>
    <cellStyle name="20% - 强调文字颜色 4 2 19 6 2 2" xfId="10854" xr:uid="{00000000-0005-0000-0000-0000D00B0000}"/>
    <cellStyle name="20% - 强调文字颜色 4 2 19 6 2 3" xfId="10859" xr:uid="{00000000-0005-0000-0000-0000D10B0000}"/>
    <cellStyle name="20% - 强调文字颜色 4 2 19 6 3" xfId="9957" xr:uid="{00000000-0005-0000-0000-0000D20B0000}"/>
    <cellStyle name="20% - 强调文字颜色 4 2 19 6 4" xfId="10862" xr:uid="{00000000-0005-0000-0000-0000D30B0000}"/>
    <cellStyle name="20% - 强调文字颜色 4 2 19 6 5" xfId="10866" xr:uid="{00000000-0005-0000-0000-0000D40B0000}"/>
    <cellStyle name="20% - 强调文字颜色 4 2 19 6 6" xfId="10870" xr:uid="{00000000-0005-0000-0000-0000D50B0000}"/>
    <cellStyle name="20% - 强调文字颜色 4 2 19 6 7" xfId="8954" xr:uid="{00000000-0005-0000-0000-0000D60B0000}"/>
    <cellStyle name="20% - 强调文字颜色 4 2 19 6 8" xfId="8959" xr:uid="{00000000-0005-0000-0000-0000D70B0000}"/>
    <cellStyle name="20% - 强调文字颜色 4 2 19 7" xfId="10156" xr:uid="{00000000-0005-0000-0000-0000D80B0000}"/>
    <cellStyle name="20% - 强调文字颜色 4 2 19 8" xfId="10162" xr:uid="{00000000-0005-0000-0000-0000D90B0000}"/>
    <cellStyle name="20% - 强调文字颜色 4 2 19 9" xfId="4701" xr:uid="{00000000-0005-0000-0000-0000DA0B0000}"/>
    <cellStyle name="20% - 强调文字颜色 4 2 19 9 2" xfId="8386" xr:uid="{00000000-0005-0000-0000-0000DB0B0000}"/>
    <cellStyle name="20% - 强调文字颜色 4 2 19 9 3" xfId="8394" xr:uid="{00000000-0005-0000-0000-0000DC0B0000}"/>
    <cellStyle name="20% - 强调文字颜色 4 2 2" xfId="10876" xr:uid="{00000000-0005-0000-0000-0000DD0B0000}"/>
    <cellStyle name="20% - 强调文字颜色 4 2 2 10" xfId="10887" xr:uid="{00000000-0005-0000-0000-0000DE0B0000}"/>
    <cellStyle name="20% - 强调文字颜色 4 2 2 11" xfId="10897" xr:uid="{00000000-0005-0000-0000-0000DF0B0000}"/>
    <cellStyle name="20% - 强调文字颜色 4 2 2 12" xfId="10900" xr:uid="{00000000-0005-0000-0000-0000E00B0000}"/>
    <cellStyle name="20% - 强调文字颜色 4 2 2 13" xfId="10902" xr:uid="{00000000-0005-0000-0000-0000E10B0000}"/>
    <cellStyle name="20% - 强调文字颜色 4 2 2 14" xfId="10904" xr:uid="{00000000-0005-0000-0000-0000E20B0000}"/>
    <cellStyle name="20% - 强调文字颜色 4 2 2 2" xfId="9776" xr:uid="{00000000-0005-0000-0000-0000E30B0000}"/>
    <cellStyle name="20% - 强调文字颜色 4 2 2 3" xfId="9856" xr:uid="{00000000-0005-0000-0000-0000E40B0000}"/>
    <cellStyle name="20% - 强调文字颜色 4 2 2 4" xfId="9859" xr:uid="{00000000-0005-0000-0000-0000E50B0000}"/>
    <cellStyle name="20% - 强调文字颜色 4 2 2 5" xfId="9864" xr:uid="{00000000-0005-0000-0000-0000E60B0000}"/>
    <cellStyle name="20% - 强调文字颜色 4 2 2 6" xfId="9869" xr:uid="{00000000-0005-0000-0000-0000E70B0000}"/>
    <cellStyle name="20% - 强调文字颜色 4 2 2 7" xfId="9875" xr:uid="{00000000-0005-0000-0000-0000E80B0000}"/>
    <cellStyle name="20% - 强调文字颜色 4 2 2 8" xfId="2799" xr:uid="{00000000-0005-0000-0000-0000E90B0000}"/>
    <cellStyle name="20% - 强调文字颜色 4 2 2 9" xfId="2806" xr:uid="{00000000-0005-0000-0000-0000EA0B0000}"/>
    <cellStyle name="20% - 强调文字颜色 4 2 20" xfId="2513" xr:uid="{00000000-0005-0000-0000-0000EB0B0000}"/>
    <cellStyle name="20% - 强调文字颜色 4 2 20 10" xfId="10906" xr:uid="{00000000-0005-0000-0000-0000EC0B0000}"/>
    <cellStyle name="20% - 强调文字颜色 4 2 20 11" xfId="10910" xr:uid="{00000000-0005-0000-0000-0000ED0B0000}"/>
    <cellStyle name="20% - 强调文字颜色 4 2 20 12" xfId="10658" xr:uid="{00000000-0005-0000-0000-0000EE0B0000}"/>
    <cellStyle name="20% - 强调文字颜色 4 2 20 13" xfId="10667" xr:uid="{00000000-0005-0000-0000-0000EF0B0000}"/>
    <cellStyle name="20% - 强调文字颜色 4 2 20 14" xfId="10671" xr:uid="{00000000-0005-0000-0000-0000F00B0000}"/>
    <cellStyle name="20% - 强调文字颜色 4 2 20 2" xfId="4869" xr:uid="{00000000-0005-0000-0000-0000F10B0000}"/>
    <cellStyle name="20% - 强调文字颜色 4 2 20 3" xfId="4878" xr:uid="{00000000-0005-0000-0000-0000F20B0000}"/>
    <cellStyle name="20% - 强调文字颜色 4 2 20 4" xfId="1104" xr:uid="{00000000-0005-0000-0000-0000F30B0000}"/>
    <cellStyle name="20% - 强调文字颜色 4 2 20 5" xfId="10918" xr:uid="{00000000-0005-0000-0000-0000F40B0000}"/>
    <cellStyle name="20% - 强调文字颜色 4 2 20 5 10" xfId="10920" xr:uid="{00000000-0005-0000-0000-0000F50B0000}"/>
    <cellStyle name="20% - 强调文字颜色 4 2 20 5 11" xfId="10052" xr:uid="{00000000-0005-0000-0000-0000F60B0000}"/>
    <cellStyle name="20% - 强调文字颜色 4 2 20 5 2" xfId="9782" xr:uid="{00000000-0005-0000-0000-0000F70B0000}"/>
    <cellStyle name="20% - 强调文字颜色 4 2 20 5 2 2" xfId="10931" xr:uid="{00000000-0005-0000-0000-0000F80B0000}"/>
    <cellStyle name="20% - 强调文字颜色 4 2 20 5 2 2 2" xfId="9431" xr:uid="{00000000-0005-0000-0000-0000F90B0000}"/>
    <cellStyle name="20% - 强调文字颜色 4 2 20 5 2 2 3" xfId="9440" xr:uid="{00000000-0005-0000-0000-0000FA0B0000}"/>
    <cellStyle name="20% - 强调文字颜色 4 2 20 5 2 3" xfId="10938" xr:uid="{00000000-0005-0000-0000-0000FB0B0000}"/>
    <cellStyle name="20% - 强调文字颜色 4 2 20 5 2 4" xfId="10943" xr:uid="{00000000-0005-0000-0000-0000FC0B0000}"/>
    <cellStyle name="20% - 强调文字颜色 4 2 20 5 2 5" xfId="10949" xr:uid="{00000000-0005-0000-0000-0000FD0B0000}"/>
    <cellStyle name="20% - 强调文字颜色 4 2 20 5 2 6" xfId="10951" xr:uid="{00000000-0005-0000-0000-0000FE0B0000}"/>
    <cellStyle name="20% - 强调文字颜色 4 2 20 5 2 7" xfId="10953" xr:uid="{00000000-0005-0000-0000-0000FF0B0000}"/>
    <cellStyle name="20% - 强调文字颜色 4 2 20 5 2 8" xfId="10957" xr:uid="{00000000-0005-0000-0000-0000000C0000}"/>
    <cellStyle name="20% - 强调文字颜色 4 2 20 5 3" xfId="9797" xr:uid="{00000000-0005-0000-0000-0000010C0000}"/>
    <cellStyle name="20% - 强调文字颜色 4 2 20 5 4" xfId="9523" xr:uid="{00000000-0005-0000-0000-0000020C0000}"/>
    <cellStyle name="20% - 强调文字颜色 4 2 20 5 5" xfId="9535" xr:uid="{00000000-0005-0000-0000-0000030C0000}"/>
    <cellStyle name="20% - 强调文字颜色 4 2 20 5 6" xfId="9810" xr:uid="{00000000-0005-0000-0000-0000040C0000}"/>
    <cellStyle name="20% - 强调文字颜色 4 2 20 5 6 2" xfId="10960" xr:uid="{00000000-0005-0000-0000-0000050C0000}"/>
    <cellStyle name="20% - 强调文字颜色 4 2 20 5 6 3" xfId="10964" xr:uid="{00000000-0005-0000-0000-0000060C0000}"/>
    <cellStyle name="20% - 强调文字颜色 4 2 20 5 7" xfId="10970" xr:uid="{00000000-0005-0000-0000-0000070C0000}"/>
    <cellStyle name="20% - 强调文字颜色 4 2 20 5 8" xfId="10975" xr:uid="{00000000-0005-0000-0000-0000080C0000}"/>
    <cellStyle name="20% - 强调文字颜色 4 2 20 5 9" xfId="10980" xr:uid="{00000000-0005-0000-0000-0000090C0000}"/>
    <cellStyle name="20% - 强调文字颜色 4 2 20 6" xfId="1169" xr:uid="{00000000-0005-0000-0000-00000A0C0000}"/>
    <cellStyle name="20% - 强调文字颜色 4 2 20 6 2" xfId="10988" xr:uid="{00000000-0005-0000-0000-00000B0C0000}"/>
    <cellStyle name="20% - 强调文字颜色 4 2 20 6 2 2" xfId="6813" xr:uid="{00000000-0005-0000-0000-00000C0C0000}"/>
    <cellStyle name="20% - 强调文字颜色 4 2 20 6 2 3" xfId="6825" xr:uid="{00000000-0005-0000-0000-00000D0C0000}"/>
    <cellStyle name="20% - 强调文字颜色 4 2 20 6 3" xfId="10998" xr:uid="{00000000-0005-0000-0000-00000E0C0000}"/>
    <cellStyle name="20% - 强调文字颜色 4 2 20 6 4" xfId="11008" xr:uid="{00000000-0005-0000-0000-00000F0C0000}"/>
    <cellStyle name="20% - 强调文字颜色 4 2 20 6 5" xfId="11017" xr:uid="{00000000-0005-0000-0000-0000100C0000}"/>
    <cellStyle name="20% - 强调文字颜色 4 2 20 6 6" xfId="11026" xr:uid="{00000000-0005-0000-0000-0000110C0000}"/>
    <cellStyle name="20% - 强调文字颜色 4 2 20 6 7" xfId="9451" xr:uid="{00000000-0005-0000-0000-0000120C0000}"/>
    <cellStyle name="20% - 强调文字颜色 4 2 20 6 8" xfId="9462" xr:uid="{00000000-0005-0000-0000-0000130C0000}"/>
    <cellStyle name="20% - 强调文字颜色 4 2 20 7" xfId="1192" xr:uid="{00000000-0005-0000-0000-0000140C0000}"/>
    <cellStyle name="20% - 强调文字颜色 4 2 20 8" xfId="11038" xr:uid="{00000000-0005-0000-0000-0000150C0000}"/>
    <cellStyle name="20% - 强调文字颜色 4 2 20 9" xfId="8084" xr:uid="{00000000-0005-0000-0000-0000160C0000}"/>
    <cellStyle name="20% - 强调文字颜色 4 2 20 9 2" xfId="8088" xr:uid="{00000000-0005-0000-0000-0000170C0000}"/>
    <cellStyle name="20% - 强调文字颜色 4 2 20 9 3" xfId="8105" xr:uid="{00000000-0005-0000-0000-0000180C0000}"/>
    <cellStyle name="20% - 强调文字颜色 4 2 3" xfId="11043" xr:uid="{00000000-0005-0000-0000-0000190C0000}"/>
    <cellStyle name="20% - 强调文字颜色 4 2 3 10" xfId="11044" xr:uid="{00000000-0005-0000-0000-00001A0C0000}"/>
    <cellStyle name="20% - 强调文字颜色 4 2 3 11" xfId="11045" xr:uid="{00000000-0005-0000-0000-00001B0C0000}"/>
    <cellStyle name="20% - 强调文字颜色 4 2 3 12" xfId="11046" xr:uid="{00000000-0005-0000-0000-00001C0C0000}"/>
    <cellStyle name="20% - 强调文字颜色 4 2 3 13" xfId="11049" xr:uid="{00000000-0005-0000-0000-00001D0C0000}"/>
    <cellStyle name="20% - 强调文字颜色 4 2 3 14" xfId="2002" xr:uid="{00000000-0005-0000-0000-00001E0C0000}"/>
    <cellStyle name="20% - 强调文字颜色 4 2 3 2" xfId="9323" xr:uid="{00000000-0005-0000-0000-00001F0C0000}"/>
    <cellStyle name="20% - 强调文字颜色 4 2 3 3" xfId="9328" xr:uid="{00000000-0005-0000-0000-0000200C0000}"/>
    <cellStyle name="20% - 强调文字颜色 4 2 3 4" xfId="9337" xr:uid="{00000000-0005-0000-0000-0000210C0000}"/>
    <cellStyle name="20% - 强调文字颜色 4 2 3 5" xfId="10211" xr:uid="{00000000-0005-0000-0000-0000220C0000}"/>
    <cellStyle name="20% - 强调文字颜色 4 2 3 6" xfId="10213" xr:uid="{00000000-0005-0000-0000-0000230C0000}"/>
    <cellStyle name="20% - 强调文字颜色 4 2 3 7" xfId="900" xr:uid="{00000000-0005-0000-0000-0000240C0000}"/>
    <cellStyle name="20% - 强调文字颜色 4 2 3 8" xfId="935" xr:uid="{00000000-0005-0000-0000-0000250C0000}"/>
    <cellStyle name="20% - 强调文字颜色 4 2 3 9" xfId="974" xr:uid="{00000000-0005-0000-0000-0000260C0000}"/>
    <cellStyle name="20% - 强调文字颜色 4 2 4" xfId="11057" xr:uid="{00000000-0005-0000-0000-0000270C0000}"/>
    <cellStyle name="20% - 强调文字颜色 4 2 4 10" xfId="8001" xr:uid="{00000000-0005-0000-0000-0000280C0000}"/>
    <cellStyle name="20% - 强调文字颜色 4 2 4 11" xfId="10166" xr:uid="{00000000-0005-0000-0000-0000290C0000}"/>
    <cellStyle name="20% - 强调文字颜色 4 2 4 12" xfId="10168" xr:uid="{00000000-0005-0000-0000-00002A0C0000}"/>
    <cellStyle name="20% - 强调文字颜色 4 2 4 13" xfId="10170" xr:uid="{00000000-0005-0000-0000-00002B0C0000}"/>
    <cellStyle name="20% - 强调文字颜色 4 2 4 14" xfId="10176" xr:uid="{00000000-0005-0000-0000-00002C0C0000}"/>
    <cellStyle name="20% - 强调文字颜色 4 2 4 2" xfId="220" xr:uid="{00000000-0005-0000-0000-00002D0C0000}"/>
    <cellStyle name="20% - 强调文字颜色 4 2 4 3" xfId="9415" xr:uid="{00000000-0005-0000-0000-00002E0C0000}"/>
    <cellStyle name="20% - 强调文字颜色 4 2 4 4" xfId="10236" xr:uid="{00000000-0005-0000-0000-00002F0C0000}"/>
    <cellStyle name="20% - 强调文字颜色 4 2 4 5" xfId="10242" xr:uid="{00000000-0005-0000-0000-0000300C0000}"/>
    <cellStyle name="20% - 强调文字颜色 4 2 4 6" xfId="10248" xr:uid="{00000000-0005-0000-0000-0000310C0000}"/>
    <cellStyle name="20% - 强调文字颜色 4 2 4 7" xfId="10255" xr:uid="{00000000-0005-0000-0000-0000320C0000}"/>
    <cellStyle name="20% - 强调文字颜色 4 2 4 8" xfId="11058" xr:uid="{00000000-0005-0000-0000-0000330C0000}"/>
    <cellStyle name="20% - 强调文字颜色 4 2 4 9" xfId="6451" xr:uid="{00000000-0005-0000-0000-0000340C0000}"/>
    <cellStyle name="20% - 强调文字颜色 4 2 5" xfId="11060" xr:uid="{00000000-0005-0000-0000-0000350C0000}"/>
    <cellStyle name="20% - 强调文字颜色 4 2 6" xfId="11061" xr:uid="{00000000-0005-0000-0000-0000360C0000}"/>
    <cellStyle name="20% - 强调文字颜色 4 2 7" xfId="11062" xr:uid="{00000000-0005-0000-0000-0000370C0000}"/>
    <cellStyle name="20% - 强调文字颜色 4 2 8" xfId="11063" xr:uid="{00000000-0005-0000-0000-0000380C0000}"/>
    <cellStyle name="20% - 强调文字颜色 4 2 9" xfId="11064" xr:uid="{00000000-0005-0000-0000-0000390C0000}"/>
    <cellStyle name="20% - 强调文字颜色 4 3" xfId="11065" xr:uid="{00000000-0005-0000-0000-00003A0C0000}"/>
    <cellStyle name="20% - 强调文字颜色 4 3 10" xfId="6974" xr:uid="{00000000-0005-0000-0000-00003B0C0000}"/>
    <cellStyle name="20% - 强调文字颜色 4 3 11" xfId="6980" xr:uid="{00000000-0005-0000-0000-00003C0C0000}"/>
    <cellStyle name="20% - 强调文字颜色 4 3 12" xfId="6988" xr:uid="{00000000-0005-0000-0000-00003D0C0000}"/>
    <cellStyle name="20% - 强调文字颜色 4 3 13" xfId="6995" xr:uid="{00000000-0005-0000-0000-00003E0C0000}"/>
    <cellStyle name="20% - 强调文字颜色 4 3 14" xfId="7003" xr:uid="{00000000-0005-0000-0000-00003F0C0000}"/>
    <cellStyle name="20% - 强调文字颜色 4 3 15" xfId="2765" xr:uid="{00000000-0005-0000-0000-0000400C0000}"/>
    <cellStyle name="20% - 强调文字颜色 4 3 16" xfId="11070" xr:uid="{00000000-0005-0000-0000-0000410C0000}"/>
    <cellStyle name="20% - 强调文字颜色 4 3 17" xfId="11075" xr:uid="{00000000-0005-0000-0000-0000420C0000}"/>
    <cellStyle name="20% - 强调文字颜色 4 3 17 10" xfId="395" xr:uid="{00000000-0005-0000-0000-0000430C0000}"/>
    <cellStyle name="20% - 强调文字颜色 4 3 17 11" xfId="8407" xr:uid="{00000000-0005-0000-0000-0000440C0000}"/>
    <cellStyle name="20% - 强调文字颜色 4 3 17 12" xfId="9364" xr:uid="{00000000-0005-0000-0000-0000450C0000}"/>
    <cellStyle name="20% - 强调文字颜色 4 3 17 13" xfId="11076" xr:uid="{00000000-0005-0000-0000-0000460C0000}"/>
    <cellStyle name="20% - 强调文字颜色 4 3 17 14" xfId="11077" xr:uid="{00000000-0005-0000-0000-0000470C0000}"/>
    <cellStyle name="20% - 强调文字颜色 4 3 17 2" xfId="11081" xr:uid="{00000000-0005-0000-0000-0000480C0000}"/>
    <cellStyle name="20% - 强调文字颜色 4 3 17 2 2" xfId="11082" xr:uid="{00000000-0005-0000-0000-0000490C0000}"/>
    <cellStyle name="20% - 强调文字颜色 4 3 17 3" xfId="338" xr:uid="{00000000-0005-0000-0000-00004A0C0000}"/>
    <cellStyle name="20% - 强调文字颜色 4 3 17 4" xfId="6418" xr:uid="{00000000-0005-0000-0000-00004B0C0000}"/>
    <cellStyle name="20% - 强调文字颜色 4 3 17 5" xfId="6420" xr:uid="{00000000-0005-0000-0000-00004C0C0000}"/>
    <cellStyle name="20% - 强调文字颜色 4 3 17 5 10" xfId="938" xr:uid="{00000000-0005-0000-0000-00004D0C0000}"/>
    <cellStyle name="20% - 强调文字颜色 4 3 17 5 11" xfId="975" xr:uid="{00000000-0005-0000-0000-00004E0C0000}"/>
    <cellStyle name="20% - 强调文字颜色 4 3 17 5 2" xfId="3678" xr:uid="{00000000-0005-0000-0000-00004F0C0000}"/>
    <cellStyle name="20% - 强调文字颜色 4 3 17 5 2 2" xfId="1797" xr:uid="{00000000-0005-0000-0000-0000500C0000}"/>
    <cellStyle name="20% - 强调文字颜色 4 3 17 5 2 2 2" xfId="10146" xr:uid="{00000000-0005-0000-0000-0000510C0000}"/>
    <cellStyle name="20% - 强调文字颜色 4 3 17 5 2 2 3" xfId="9357" xr:uid="{00000000-0005-0000-0000-0000520C0000}"/>
    <cellStyle name="20% - 强调文字颜色 4 3 17 5 2 3" xfId="1817" xr:uid="{00000000-0005-0000-0000-0000530C0000}"/>
    <cellStyle name="20% - 强调文字颜色 4 3 17 5 2 4" xfId="8003" xr:uid="{00000000-0005-0000-0000-0000540C0000}"/>
    <cellStyle name="20% - 强调文字颜色 4 3 17 5 2 5" xfId="8006" xr:uid="{00000000-0005-0000-0000-0000550C0000}"/>
    <cellStyle name="20% - 强调文字颜色 4 3 17 5 2 6" xfId="8033" xr:uid="{00000000-0005-0000-0000-0000560C0000}"/>
    <cellStyle name="20% - 强调文字颜色 4 3 17 5 2 7" xfId="8038" xr:uid="{00000000-0005-0000-0000-0000570C0000}"/>
    <cellStyle name="20% - 强调文字颜色 4 3 17 5 2 8" xfId="8043" xr:uid="{00000000-0005-0000-0000-0000580C0000}"/>
    <cellStyle name="20% - 强调文字颜色 4 3 17 5 3" xfId="2556" xr:uid="{00000000-0005-0000-0000-0000590C0000}"/>
    <cellStyle name="20% - 强调文字颜色 4 3 17 5 4" xfId="2575" xr:uid="{00000000-0005-0000-0000-00005A0C0000}"/>
    <cellStyle name="20% - 强调文字颜色 4 3 17 5 5" xfId="8062" xr:uid="{00000000-0005-0000-0000-00005B0C0000}"/>
    <cellStyle name="20% - 强调文字颜色 4 3 17 5 6" xfId="8067" xr:uid="{00000000-0005-0000-0000-00005C0C0000}"/>
    <cellStyle name="20% - 强调文字颜色 4 3 17 5 6 2" xfId="275" xr:uid="{00000000-0005-0000-0000-00005D0C0000}"/>
    <cellStyle name="20% - 强调文字颜色 4 3 17 5 6 3" xfId="1353" xr:uid="{00000000-0005-0000-0000-00005E0C0000}"/>
    <cellStyle name="20% - 强调文字颜色 4 3 17 5 7" xfId="8220" xr:uid="{00000000-0005-0000-0000-00005F0C0000}"/>
    <cellStyle name="20% - 强调文字颜色 4 3 17 5 8" xfId="8326" xr:uid="{00000000-0005-0000-0000-0000600C0000}"/>
    <cellStyle name="20% - 强调文字颜色 4 3 17 5 9" xfId="8408" xr:uid="{00000000-0005-0000-0000-0000610C0000}"/>
    <cellStyle name="20% - 强调文字颜色 4 3 17 6" xfId="6427" xr:uid="{00000000-0005-0000-0000-0000620C0000}"/>
    <cellStyle name="20% - 强调文字颜色 4 3 17 6 2" xfId="4785" xr:uid="{00000000-0005-0000-0000-0000630C0000}"/>
    <cellStyle name="20% - 强调文字颜色 4 3 17 6 2 2" xfId="788" xr:uid="{00000000-0005-0000-0000-0000640C0000}"/>
    <cellStyle name="20% - 强调文字颜色 4 3 17 6 2 3" xfId="11087" xr:uid="{00000000-0005-0000-0000-0000650C0000}"/>
    <cellStyle name="20% - 强调文字颜色 4 3 17 6 3" xfId="4791" xr:uid="{00000000-0005-0000-0000-0000660C0000}"/>
    <cellStyle name="20% - 强调文字颜色 4 3 17 6 4" xfId="4797" xr:uid="{00000000-0005-0000-0000-0000670C0000}"/>
    <cellStyle name="20% - 强调文字颜色 4 3 17 6 5" xfId="11089" xr:uid="{00000000-0005-0000-0000-0000680C0000}"/>
    <cellStyle name="20% - 强调文字颜色 4 3 17 6 6" xfId="11090" xr:uid="{00000000-0005-0000-0000-0000690C0000}"/>
    <cellStyle name="20% - 强调文字颜色 4 3 17 6 7" xfId="11091" xr:uid="{00000000-0005-0000-0000-00006A0C0000}"/>
    <cellStyle name="20% - 强调文字颜色 4 3 17 6 8" xfId="11092" xr:uid="{00000000-0005-0000-0000-00006B0C0000}"/>
    <cellStyle name="20% - 强调文字颜色 4 3 17 7" xfId="6436" xr:uid="{00000000-0005-0000-0000-00006C0C0000}"/>
    <cellStyle name="20% - 强调文字颜色 4 3 17 8" xfId="6445" xr:uid="{00000000-0005-0000-0000-00006D0C0000}"/>
    <cellStyle name="20% - 强调文字颜色 4 3 17 9" xfId="6544" xr:uid="{00000000-0005-0000-0000-00006E0C0000}"/>
    <cellStyle name="20% - 强调文字颜色 4 3 17 9 2" xfId="3024" xr:uid="{00000000-0005-0000-0000-00006F0C0000}"/>
    <cellStyle name="20% - 强调文字颜色 4 3 17 9 3" xfId="5230" xr:uid="{00000000-0005-0000-0000-0000700C0000}"/>
    <cellStyle name="20% - 强调文字颜色 4 3 18" xfId="4619" xr:uid="{00000000-0005-0000-0000-0000710C0000}"/>
    <cellStyle name="20% - 强调文字颜色 4 3 18 10" xfId="11093" xr:uid="{00000000-0005-0000-0000-0000720C0000}"/>
    <cellStyle name="20% - 强调文字颜色 4 3 18 11" xfId="11094" xr:uid="{00000000-0005-0000-0000-0000730C0000}"/>
    <cellStyle name="20% - 强调文字颜色 4 3 18 12" xfId="11096" xr:uid="{00000000-0005-0000-0000-0000740C0000}"/>
    <cellStyle name="20% - 强调文字颜色 4 3 18 13" xfId="11099" xr:uid="{00000000-0005-0000-0000-0000750C0000}"/>
    <cellStyle name="20% - 强调文字颜色 4 3 18 14" xfId="10736" xr:uid="{00000000-0005-0000-0000-0000760C0000}"/>
    <cellStyle name="20% - 强调文字颜色 4 3 18 2" xfId="3551" xr:uid="{00000000-0005-0000-0000-0000770C0000}"/>
    <cellStyle name="20% - 强调文字颜色 4 3 18 3" xfId="11100" xr:uid="{00000000-0005-0000-0000-0000780C0000}"/>
    <cellStyle name="20% - 强调文字颜色 4 3 18 4" xfId="11101" xr:uid="{00000000-0005-0000-0000-0000790C0000}"/>
    <cellStyle name="20% - 强调文字颜色 4 3 18 5" xfId="11102" xr:uid="{00000000-0005-0000-0000-00007A0C0000}"/>
    <cellStyle name="20% - 强调文字颜色 4 3 18 5 10" xfId="11104" xr:uid="{00000000-0005-0000-0000-00007B0C0000}"/>
    <cellStyle name="20% - 强调文字颜色 4 3 18 5 11" xfId="11105" xr:uid="{00000000-0005-0000-0000-00007C0C0000}"/>
    <cellStyle name="20% - 强调文字颜色 4 3 18 5 2" xfId="6674" xr:uid="{00000000-0005-0000-0000-00007D0C0000}"/>
    <cellStyle name="20% - 强调文字颜色 4 3 18 5 2 2" xfId="2246" xr:uid="{00000000-0005-0000-0000-00007E0C0000}"/>
    <cellStyle name="20% - 强调文字颜色 4 3 18 5 2 2 2" xfId="5992" xr:uid="{00000000-0005-0000-0000-00007F0C0000}"/>
    <cellStyle name="20% - 强调文字颜色 4 3 18 5 2 2 3" xfId="6000" xr:uid="{00000000-0005-0000-0000-0000800C0000}"/>
    <cellStyle name="20% - 强调文字颜色 4 3 18 5 2 3" xfId="2268" xr:uid="{00000000-0005-0000-0000-0000810C0000}"/>
    <cellStyle name="20% - 强调文字颜色 4 3 18 5 2 4" xfId="2282" xr:uid="{00000000-0005-0000-0000-0000820C0000}"/>
    <cellStyle name="20% - 强调文字颜色 4 3 18 5 2 5" xfId="2294" xr:uid="{00000000-0005-0000-0000-0000830C0000}"/>
    <cellStyle name="20% - 强调文字颜色 4 3 18 5 2 6" xfId="830" xr:uid="{00000000-0005-0000-0000-0000840C0000}"/>
    <cellStyle name="20% - 强调文字颜色 4 3 18 5 2 7" xfId="861" xr:uid="{00000000-0005-0000-0000-0000850C0000}"/>
    <cellStyle name="20% - 强调文字颜色 4 3 18 5 2 8" xfId="845" xr:uid="{00000000-0005-0000-0000-0000860C0000}"/>
    <cellStyle name="20% - 强调文字颜色 4 3 18 5 3" xfId="6680" xr:uid="{00000000-0005-0000-0000-0000870C0000}"/>
    <cellStyle name="20% - 强调文字颜色 4 3 18 5 4" xfId="6686" xr:uid="{00000000-0005-0000-0000-0000880C0000}"/>
    <cellStyle name="20% - 强调文字颜色 4 3 18 5 5" xfId="11106" xr:uid="{00000000-0005-0000-0000-0000890C0000}"/>
    <cellStyle name="20% - 强调文字颜色 4 3 18 5 6" xfId="11109" xr:uid="{00000000-0005-0000-0000-00008A0C0000}"/>
    <cellStyle name="20% - 强调文字颜色 4 3 18 5 6 2" xfId="11117" xr:uid="{00000000-0005-0000-0000-00008B0C0000}"/>
    <cellStyle name="20% - 强调文字颜色 4 3 18 5 6 3" xfId="11123" xr:uid="{00000000-0005-0000-0000-00008C0C0000}"/>
    <cellStyle name="20% - 强调文字颜色 4 3 18 5 7" xfId="428" xr:uid="{00000000-0005-0000-0000-00008D0C0000}"/>
    <cellStyle name="20% - 强调文字颜色 4 3 18 5 8" xfId="11124" xr:uid="{00000000-0005-0000-0000-00008E0C0000}"/>
    <cellStyle name="20% - 强调文字颜色 4 3 18 5 9" xfId="11127" xr:uid="{00000000-0005-0000-0000-00008F0C0000}"/>
    <cellStyle name="20% - 强调文字颜色 4 3 18 6" xfId="11129" xr:uid="{00000000-0005-0000-0000-0000900C0000}"/>
    <cellStyle name="20% - 强调文字颜色 4 3 18 6 2" xfId="2610" xr:uid="{00000000-0005-0000-0000-0000910C0000}"/>
    <cellStyle name="20% - 强调文字颜色 4 3 18 6 2 2" xfId="2634" xr:uid="{00000000-0005-0000-0000-0000920C0000}"/>
    <cellStyle name="20% - 强调文字颜色 4 3 18 6 2 3" xfId="9729" xr:uid="{00000000-0005-0000-0000-0000930C0000}"/>
    <cellStyle name="20% - 强调文字颜色 4 3 18 6 3" xfId="2714" xr:uid="{00000000-0005-0000-0000-0000940C0000}"/>
    <cellStyle name="20% - 强调文字颜色 4 3 18 6 4" xfId="2732" xr:uid="{00000000-0005-0000-0000-0000950C0000}"/>
    <cellStyle name="20% - 强调文字颜色 4 3 18 6 5" xfId="5486" xr:uid="{00000000-0005-0000-0000-0000960C0000}"/>
    <cellStyle name="20% - 强调文字颜色 4 3 18 6 6" xfId="5560" xr:uid="{00000000-0005-0000-0000-0000970C0000}"/>
    <cellStyle name="20% - 强调文字颜色 4 3 18 6 7" xfId="5567" xr:uid="{00000000-0005-0000-0000-0000980C0000}"/>
    <cellStyle name="20% - 强调文字颜色 4 3 18 6 8" xfId="5573" xr:uid="{00000000-0005-0000-0000-0000990C0000}"/>
    <cellStyle name="20% - 强调文字颜色 4 3 18 7" xfId="11130" xr:uid="{00000000-0005-0000-0000-00009A0C0000}"/>
    <cellStyle name="20% - 强调文字颜色 4 3 18 8" xfId="11132" xr:uid="{00000000-0005-0000-0000-00009B0C0000}"/>
    <cellStyle name="20% - 强调文字颜色 4 3 18 9" xfId="11134" xr:uid="{00000000-0005-0000-0000-00009C0C0000}"/>
    <cellStyle name="20% - 强调文字颜色 4 3 18 9 2" xfId="7976" xr:uid="{00000000-0005-0000-0000-00009D0C0000}"/>
    <cellStyle name="20% - 强调文字颜色 4 3 18 9 3" xfId="7983" xr:uid="{00000000-0005-0000-0000-00009E0C0000}"/>
    <cellStyle name="20% - 强调文字颜色 4 3 19" xfId="4627" xr:uid="{00000000-0005-0000-0000-00009F0C0000}"/>
    <cellStyle name="20% - 强调文字颜色 4 3 19 10" xfId="439" xr:uid="{00000000-0005-0000-0000-0000A00C0000}"/>
    <cellStyle name="20% - 强调文字颜色 4 3 19 11" xfId="11137" xr:uid="{00000000-0005-0000-0000-0000A10C0000}"/>
    <cellStyle name="20% - 强调文字颜色 4 3 19 12" xfId="11141" xr:uid="{00000000-0005-0000-0000-0000A20C0000}"/>
    <cellStyle name="20% - 强调文字颜色 4 3 19 13" xfId="11145" xr:uid="{00000000-0005-0000-0000-0000A30C0000}"/>
    <cellStyle name="20% - 强调文字颜色 4 3 19 14" xfId="11147" xr:uid="{00000000-0005-0000-0000-0000A40C0000}"/>
    <cellStyle name="20% - 强调文字颜色 4 3 19 2" xfId="11149" xr:uid="{00000000-0005-0000-0000-0000A50C0000}"/>
    <cellStyle name="20% - 强调文字颜色 4 3 19 3" xfId="11153" xr:uid="{00000000-0005-0000-0000-0000A60C0000}"/>
    <cellStyle name="20% - 强调文字颜色 4 3 19 4" xfId="11112" xr:uid="{00000000-0005-0000-0000-0000A70C0000}"/>
    <cellStyle name="20% - 强调文字颜色 4 3 19 5" xfId="11118" xr:uid="{00000000-0005-0000-0000-0000A80C0000}"/>
    <cellStyle name="20% - 强调文字颜色 4 3 19 5 10" xfId="3730" xr:uid="{00000000-0005-0000-0000-0000A90C0000}"/>
    <cellStyle name="20% - 强调文字颜色 4 3 19 5 11" xfId="11157" xr:uid="{00000000-0005-0000-0000-0000AA0C0000}"/>
    <cellStyle name="20% - 强调文字颜色 4 3 19 5 2" xfId="9094" xr:uid="{00000000-0005-0000-0000-0000AB0C0000}"/>
    <cellStyle name="20% - 强调文字颜色 4 3 19 5 2 2" xfId="11160" xr:uid="{00000000-0005-0000-0000-0000AC0C0000}"/>
    <cellStyle name="20% - 强调文字颜色 4 3 19 5 2 2 2" xfId="11162" xr:uid="{00000000-0005-0000-0000-0000AD0C0000}"/>
    <cellStyle name="20% - 强调文字颜色 4 3 19 5 2 2 3" xfId="11164" xr:uid="{00000000-0005-0000-0000-0000AE0C0000}"/>
    <cellStyle name="20% - 强调文字颜色 4 3 19 5 2 3" xfId="11167" xr:uid="{00000000-0005-0000-0000-0000AF0C0000}"/>
    <cellStyle name="20% - 强调文字颜色 4 3 19 5 2 4" xfId="11169" xr:uid="{00000000-0005-0000-0000-0000B00C0000}"/>
    <cellStyle name="20% - 强调文字颜色 4 3 19 5 2 5" xfId="11171" xr:uid="{00000000-0005-0000-0000-0000B10C0000}"/>
    <cellStyle name="20% - 强调文字颜色 4 3 19 5 2 6" xfId="11173" xr:uid="{00000000-0005-0000-0000-0000B20C0000}"/>
    <cellStyle name="20% - 强调文字颜色 4 3 19 5 2 7" xfId="11175" xr:uid="{00000000-0005-0000-0000-0000B30C0000}"/>
    <cellStyle name="20% - 强调文字颜色 4 3 19 5 2 8" xfId="8681" xr:uid="{00000000-0005-0000-0000-0000B40C0000}"/>
    <cellStyle name="20% - 强调文字颜色 4 3 19 5 3" xfId="9096" xr:uid="{00000000-0005-0000-0000-0000B50C0000}"/>
    <cellStyle name="20% - 强调文字颜色 4 3 19 5 4" xfId="9098" xr:uid="{00000000-0005-0000-0000-0000B60C0000}"/>
    <cellStyle name="20% - 强调文字颜色 4 3 19 5 5" xfId="11178" xr:uid="{00000000-0005-0000-0000-0000B70C0000}"/>
    <cellStyle name="20% - 强调文字颜色 4 3 19 5 6" xfId="11181" xr:uid="{00000000-0005-0000-0000-0000B80C0000}"/>
    <cellStyle name="20% - 强调文字颜色 4 3 19 5 6 2" xfId="4236" xr:uid="{00000000-0005-0000-0000-0000B90C0000}"/>
    <cellStyle name="20% - 强调文字颜色 4 3 19 5 6 3" xfId="4246" xr:uid="{00000000-0005-0000-0000-0000BA0C0000}"/>
    <cellStyle name="20% - 强调文字颜色 4 3 19 5 7" xfId="11182" xr:uid="{00000000-0005-0000-0000-0000BB0C0000}"/>
    <cellStyle name="20% - 强调文字颜色 4 3 19 5 8" xfId="11183" xr:uid="{00000000-0005-0000-0000-0000BC0C0000}"/>
    <cellStyle name="20% - 强调文字颜色 4 3 19 5 9" xfId="11185" xr:uid="{00000000-0005-0000-0000-0000BD0C0000}"/>
    <cellStyle name="20% - 强调文字颜色 4 3 19 6" xfId="11187" xr:uid="{00000000-0005-0000-0000-0000BE0C0000}"/>
    <cellStyle name="20% - 强调文字颜色 4 3 19 6 2" xfId="9862" xr:uid="{00000000-0005-0000-0000-0000BF0C0000}"/>
    <cellStyle name="20% - 强调文字颜色 4 3 19 6 2 2" xfId="4951" xr:uid="{00000000-0005-0000-0000-0000C00C0000}"/>
    <cellStyle name="20% - 强调文字颜色 4 3 19 6 2 3" xfId="11189" xr:uid="{00000000-0005-0000-0000-0000C10C0000}"/>
    <cellStyle name="20% - 强调文字颜色 4 3 19 6 3" xfId="9868" xr:uid="{00000000-0005-0000-0000-0000C20C0000}"/>
    <cellStyle name="20% - 强调文字颜色 4 3 19 6 4" xfId="9874" xr:uid="{00000000-0005-0000-0000-0000C30C0000}"/>
    <cellStyle name="20% - 强调文字颜色 4 3 19 6 5" xfId="2797" xr:uid="{00000000-0005-0000-0000-0000C40C0000}"/>
    <cellStyle name="20% - 强调文字颜色 4 3 19 6 6" xfId="2804" xr:uid="{00000000-0005-0000-0000-0000C50C0000}"/>
    <cellStyle name="20% - 强调文字颜色 4 3 19 6 7" xfId="2813" xr:uid="{00000000-0005-0000-0000-0000C60C0000}"/>
    <cellStyle name="20% - 强调文字颜色 4 3 19 6 8" xfId="2819" xr:uid="{00000000-0005-0000-0000-0000C70C0000}"/>
    <cellStyle name="20% - 强调文字颜色 4 3 19 7" xfId="11191" xr:uid="{00000000-0005-0000-0000-0000C80C0000}"/>
    <cellStyle name="20% - 强调文字颜色 4 3 19 8" xfId="1026" xr:uid="{00000000-0005-0000-0000-0000C90C0000}"/>
    <cellStyle name="20% - 强调文字颜色 4 3 19 9" xfId="1031" xr:uid="{00000000-0005-0000-0000-0000CA0C0000}"/>
    <cellStyle name="20% - 强调文字颜色 4 3 19 9 2" xfId="10301" xr:uid="{00000000-0005-0000-0000-0000CB0C0000}"/>
    <cellStyle name="20% - 强调文字颜色 4 3 19 9 3" xfId="10307" xr:uid="{00000000-0005-0000-0000-0000CC0C0000}"/>
    <cellStyle name="20% - 强调文字颜色 4 3 2" xfId="833" xr:uid="{00000000-0005-0000-0000-0000CD0C0000}"/>
    <cellStyle name="20% - 强调文字颜色 4 3 2 10" xfId="11200" xr:uid="{00000000-0005-0000-0000-0000CE0C0000}"/>
    <cellStyle name="20% - 强调文字颜色 4 3 2 11" xfId="11204" xr:uid="{00000000-0005-0000-0000-0000CF0C0000}"/>
    <cellStyle name="20% - 强调文字颜色 4 3 2 12" xfId="11210" xr:uid="{00000000-0005-0000-0000-0000D00C0000}"/>
    <cellStyle name="20% - 强调文字颜色 4 3 2 13" xfId="11215" xr:uid="{00000000-0005-0000-0000-0000D10C0000}"/>
    <cellStyle name="20% - 强调文字颜色 4 3 2 14" xfId="11219" xr:uid="{00000000-0005-0000-0000-0000D20C0000}"/>
    <cellStyle name="20% - 强调文字颜色 4 3 2 2" xfId="11223" xr:uid="{00000000-0005-0000-0000-0000D30C0000}"/>
    <cellStyle name="20% - 强调文字颜色 4 3 2 3" xfId="5648" xr:uid="{00000000-0005-0000-0000-0000D40C0000}"/>
    <cellStyle name="20% - 强调文字颜色 4 3 2 4" xfId="5654" xr:uid="{00000000-0005-0000-0000-0000D50C0000}"/>
    <cellStyle name="20% - 强调文字颜色 4 3 2 5" xfId="11228" xr:uid="{00000000-0005-0000-0000-0000D60C0000}"/>
    <cellStyle name="20% - 强调文字颜色 4 3 2 6" xfId="11234" xr:uid="{00000000-0005-0000-0000-0000D70C0000}"/>
    <cellStyle name="20% - 强调文字颜色 4 3 2 7" xfId="11242" xr:uid="{00000000-0005-0000-0000-0000D80C0000}"/>
    <cellStyle name="20% - 强调文字颜色 4 3 2 8" xfId="11248" xr:uid="{00000000-0005-0000-0000-0000D90C0000}"/>
    <cellStyle name="20% - 强调文字颜色 4 3 2 9" xfId="9278" xr:uid="{00000000-0005-0000-0000-0000DA0C0000}"/>
    <cellStyle name="20% - 强调文字颜色 4 3 20" xfId="2764" xr:uid="{00000000-0005-0000-0000-0000DB0C0000}"/>
    <cellStyle name="20% - 强调文字颜色 4 3 20 10" xfId="1698" xr:uid="{00000000-0005-0000-0000-0000DC0C0000}"/>
    <cellStyle name="20% - 强调文字颜色 4 3 20 11" xfId="1723" xr:uid="{00000000-0005-0000-0000-0000DD0C0000}"/>
    <cellStyle name="20% - 强调文字颜色 4 3 20 12" xfId="4800" xr:uid="{00000000-0005-0000-0000-0000DE0C0000}"/>
    <cellStyle name="20% - 强调文字颜色 4 3 20 13" xfId="4812" xr:uid="{00000000-0005-0000-0000-0000DF0C0000}"/>
    <cellStyle name="20% - 强调文字颜色 4 3 20 14" xfId="8939" xr:uid="{00000000-0005-0000-0000-0000E00C0000}"/>
    <cellStyle name="20% - 强调文字颜色 4 3 20 2" xfId="7716" xr:uid="{00000000-0005-0000-0000-0000E10C0000}"/>
    <cellStyle name="20% - 强调文字颜色 4 3 20 3" xfId="3629" xr:uid="{00000000-0005-0000-0000-0000E20C0000}"/>
    <cellStyle name="20% - 强调文字颜色 4 3 20 4" xfId="2239" xr:uid="{00000000-0005-0000-0000-0000E30C0000}"/>
    <cellStyle name="20% - 强调文字颜色 4 3 20 5" xfId="2263" xr:uid="{00000000-0005-0000-0000-0000E40C0000}"/>
    <cellStyle name="20% - 强调文字颜色 4 3 20 5 10" xfId="11253" xr:uid="{00000000-0005-0000-0000-0000E50C0000}"/>
    <cellStyle name="20% - 强调文字颜色 4 3 20 5 11" xfId="11257" xr:uid="{00000000-0005-0000-0000-0000E60C0000}"/>
    <cellStyle name="20% - 强调文字颜色 4 3 20 5 2" xfId="6661" xr:uid="{00000000-0005-0000-0000-0000E70C0000}"/>
    <cellStyle name="20% - 强调文字颜色 4 3 20 5 2 2" xfId="4904" xr:uid="{00000000-0005-0000-0000-0000E80C0000}"/>
    <cellStyle name="20% - 强调文字颜色 4 3 20 5 2 2 2" xfId="4927" xr:uid="{00000000-0005-0000-0000-0000E90C0000}"/>
    <cellStyle name="20% - 强调文字颜色 4 3 20 5 2 2 3" xfId="4933" xr:uid="{00000000-0005-0000-0000-0000EA0C0000}"/>
    <cellStyle name="20% - 强调文字颜色 4 3 20 5 2 3" xfId="5205" xr:uid="{00000000-0005-0000-0000-0000EB0C0000}"/>
    <cellStyle name="20% - 强调文字颜色 4 3 20 5 2 4" xfId="11260" xr:uid="{00000000-0005-0000-0000-0000EC0C0000}"/>
    <cellStyle name="20% - 强调文字颜色 4 3 20 5 2 5" xfId="11262" xr:uid="{00000000-0005-0000-0000-0000ED0C0000}"/>
    <cellStyle name="20% - 强调文字颜色 4 3 20 5 2 6" xfId="11264" xr:uid="{00000000-0005-0000-0000-0000EE0C0000}"/>
    <cellStyle name="20% - 强调文字颜色 4 3 20 5 2 7" xfId="11267" xr:uid="{00000000-0005-0000-0000-0000EF0C0000}"/>
    <cellStyle name="20% - 强调文字颜色 4 3 20 5 2 8" xfId="11270" xr:uid="{00000000-0005-0000-0000-0000F00C0000}"/>
    <cellStyle name="20% - 强调文字颜色 4 3 20 5 3" xfId="6665" xr:uid="{00000000-0005-0000-0000-0000F10C0000}"/>
    <cellStyle name="20% - 强调文字颜色 4 3 20 5 4" xfId="11273" xr:uid="{00000000-0005-0000-0000-0000F20C0000}"/>
    <cellStyle name="20% - 强调文字颜色 4 3 20 5 5" xfId="11278" xr:uid="{00000000-0005-0000-0000-0000F30C0000}"/>
    <cellStyle name="20% - 强调文字颜色 4 3 20 5 6" xfId="11283" xr:uid="{00000000-0005-0000-0000-0000F40C0000}"/>
    <cellStyle name="20% - 强调文字颜色 4 3 20 5 6 2" xfId="11286" xr:uid="{00000000-0005-0000-0000-0000F50C0000}"/>
    <cellStyle name="20% - 强调文字颜色 4 3 20 5 6 3" xfId="11290" xr:uid="{00000000-0005-0000-0000-0000F60C0000}"/>
    <cellStyle name="20% - 强调文字颜色 4 3 20 5 7" xfId="11291" xr:uid="{00000000-0005-0000-0000-0000F70C0000}"/>
    <cellStyle name="20% - 强调文字颜色 4 3 20 5 8" xfId="11293" xr:uid="{00000000-0005-0000-0000-0000F80C0000}"/>
    <cellStyle name="20% - 强调文字颜色 4 3 20 5 9" xfId="10583" xr:uid="{00000000-0005-0000-0000-0000F90C0000}"/>
    <cellStyle name="20% - 强调文字颜色 4 3 20 6" xfId="2279" xr:uid="{00000000-0005-0000-0000-0000FA0C0000}"/>
    <cellStyle name="20% - 强调文字颜色 4 3 20 6 2" xfId="290" xr:uid="{00000000-0005-0000-0000-0000FB0C0000}"/>
    <cellStyle name="20% - 强调文字颜色 4 3 20 6 2 2" xfId="10037" xr:uid="{00000000-0005-0000-0000-0000FC0C0000}"/>
    <cellStyle name="20% - 强调文字颜色 4 3 20 6 2 3" xfId="10043" xr:uid="{00000000-0005-0000-0000-0000FD0C0000}"/>
    <cellStyle name="20% - 强调文字颜色 4 3 20 6 3" xfId="638" xr:uid="{00000000-0005-0000-0000-0000FE0C0000}"/>
    <cellStyle name="20% - 强调文字颜色 4 3 20 6 4" xfId="669" xr:uid="{00000000-0005-0000-0000-0000FF0C0000}"/>
    <cellStyle name="20% - 强调文字颜色 4 3 20 6 5" xfId="11300" xr:uid="{00000000-0005-0000-0000-0000000D0000}"/>
    <cellStyle name="20% - 强调文字颜色 4 3 20 6 6" xfId="11302" xr:uid="{00000000-0005-0000-0000-0000010D0000}"/>
    <cellStyle name="20% - 强调文字颜色 4 3 20 6 7" xfId="11304" xr:uid="{00000000-0005-0000-0000-0000020D0000}"/>
    <cellStyle name="20% - 强调文字颜色 4 3 20 6 8" xfId="5282" xr:uid="{00000000-0005-0000-0000-0000030D0000}"/>
    <cellStyle name="20% - 强调文字颜色 4 3 20 7" xfId="2291" xr:uid="{00000000-0005-0000-0000-0000040D0000}"/>
    <cellStyle name="20% - 强调文字颜色 4 3 20 8" xfId="827" xr:uid="{00000000-0005-0000-0000-0000050D0000}"/>
    <cellStyle name="20% - 强调文字颜色 4 3 20 9" xfId="860" xr:uid="{00000000-0005-0000-0000-0000060D0000}"/>
    <cellStyle name="20% - 强调文字颜色 4 3 20 9 2" xfId="11307" xr:uid="{00000000-0005-0000-0000-0000070D0000}"/>
    <cellStyle name="20% - 强调文字颜色 4 3 20 9 3" xfId="11309" xr:uid="{00000000-0005-0000-0000-0000080D0000}"/>
    <cellStyle name="20% - 强调文字颜色 4 3 3" xfId="11310" xr:uid="{00000000-0005-0000-0000-0000090D0000}"/>
    <cellStyle name="20% - 强调文字颜色 4 3 3 10" xfId="11312" xr:uid="{00000000-0005-0000-0000-00000A0D0000}"/>
    <cellStyle name="20% - 强调文字颜色 4 3 3 11" xfId="11315" xr:uid="{00000000-0005-0000-0000-00000B0D0000}"/>
    <cellStyle name="20% - 强调文字颜色 4 3 3 12" xfId="11318" xr:uid="{00000000-0005-0000-0000-00000C0D0000}"/>
    <cellStyle name="20% - 强调文字颜色 4 3 3 13" xfId="11321" xr:uid="{00000000-0005-0000-0000-00000D0D0000}"/>
    <cellStyle name="20% - 强调文字颜色 4 3 3 14" xfId="11326" xr:uid="{00000000-0005-0000-0000-00000E0D0000}"/>
    <cellStyle name="20% - 强调文字颜色 4 3 3 2" xfId="9543" xr:uid="{00000000-0005-0000-0000-00000F0D0000}"/>
    <cellStyle name="20% - 强调文字颜色 4 3 3 3" xfId="9548" xr:uid="{00000000-0005-0000-0000-0000100D0000}"/>
    <cellStyle name="20% - 强调文字颜色 4 3 3 4" xfId="9553" xr:uid="{00000000-0005-0000-0000-0000110D0000}"/>
    <cellStyle name="20% - 强调文字颜色 4 3 3 5" xfId="11330" xr:uid="{00000000-0005-0000-0000-0000120D0000}"/>
    <cellStyle name="20% - 强调文字颜色 4 3 3 6" xfId="3213" xr:uid="{00000000-0005-0000-0000-0000130D0000}"/>
    <cellStyle name="20% - 强调文字颜色 4 3 3 7" xfId="3238" xr:uid="{00000000-0005-0000-0000-0000140D0000}"/>
    <cellStyle name="20% - 强调文字颜色 4 3 3 8" xfId="2934" xr:uid="{00000000-0005-0000-0000-0000150D0000}"/>
    <cellStyle name="20% - 强调文字颜色 4 3 3 9" xfId="11334" xr:uid="{00000000-0005-0000-0000-0000160D0000}"/>
    <cellStyle name="20% - 强调文字颜色 4 3 4" xfId="11222" xr:uid="{00000000-0005-0000-0000-0000170D0000}"/>
    <cellStyle name="20% - 强调文字颜色 4 3 4 10" xfId="6657" xr:uid="{00000000-0005-0000-0000-0000180D0000}"/>
    <cellStyle name="20% - 强调文字颜色 4 3 4 11" xfId="6662" xr:uid="{00000000-0005-0000-0000-0000190D0000}"/>
    <cellStyle name="20% - 强调文字颜色 4 3 4 12" xfId="11271" xr:uid="{00000000-0005-0000-0000-00001A0D0000}"/>
    <cellStyle name="20% - 强调文字颜色 4 3 4 13" xfId="11275" xr:uid="{00000000-0005-0000-0000-00001B0D0000}"/>
    <cellStyle name="20% - 强调文字颜色 4 3 4 14" xfId="11279" xr:uid="{00000000-0005-0000-0000-00001C0D0000}"/>
    <cellStyle name="20% - 强调文字颜色 4 3 4 2" xfId="4736" xr:uid="{00000000-0005-0000-0000-00001D0D0000}"/>
    <cellStyle name="20% - 强调文字颜色 4 3 4 3" xfId="9581" xr:uid="{00000000-0005-0000-0000-00001E0D0000}"/>
    <cellStyle name="20% - 强调文字颜色 4 3 4 4" xfId="11339" xr:uid="{00000000-0005-0000-0000-00001F0D0000}"/>
    <cellStyle name="20% - 强调文字颜色 4 3 4 5" xfId="11344" xr:uid="{00000000-0005-0000-0000-0000200D0000}"/>
    <cellStyle name="20% - 强调文字颜色 4 3 4 6" xfId="11351" xr:uid="{00000000-0005-0000-0000-0000210D0000}"/>
    <cellStyle name="20% - 强调文字颜色 4 3 4 7" xfId="10814" xr:uid="{00000000-0005-0000-0000-0000220D0000}"/>
    <cellStyle name="20% - 强调文字颜色 4 3 4 8" xfId="10817" xr:uid="{00000000-0005-0000-0000-0000230D0000}"/>
    <cellStyle name="20% - 强调文字颜色 4 3 4 9" xfId="11356" xr:uid="{00000000-0005-0000-0000-0000240D0000}"/>
    <cellStyle name="20% - 强调文字颜色 4 3 5" xfId="5643" xr:uid="{00000000-0005-0000-0000-0000250D0000}"/>
    <cellStyle name="20% - 强调文字颜色 4 3 6" xfId="5649" xr:uid="{00000000-0005-0000-0000-0000260D0000}"/>
    <cellStyle name="20% - 强调文字颜色 4 3 7" xfId="11224" xr:uid="{00000000-0005-0000-0000-0000270D0000}"/>
    <cellStyle name="20% - 强调文字颜色 4 3 8" xfId="11230" xr:uid="{00000000-0005-0000-0000-0000280D0000}"/>
    <cellStyle name="20% - 强调文字颜色 4 3 9" xfId="11237" xr:uid="{00000000-0005-0000-0000-0000290D0000}"/>
    <cellStyle name="20% - 强调文字颜色 4 4" xfId="11357" xr:uid="{00000000-0005-0000-0000-00002A0D0000}"/>
    <cellStyle name="20% - 强调文字颜色 4 4 10" xfId="9855" xr:uid="{00000000-0005-0000-0000-00002B0D0000}"/>
    <cellStyle name="20% - 强调文字颜色 4 4 11" xfId="9478" xr:uid="{00000000-0005-0000-0000-00002C0D0000}"/>
    <cellStyle name="20% - 强调文字颜色 4 4 12" xfId="9484" xr:uid="{00000000-0005-0000-0000-00002D0D0000}"/>
    <cellStyle name="20% - 强调文字颜色 4 4 13" xfId="9489" xr:uid="{00000000-0005-0000-0000-00002E0D0000}"/>
    <cellStyle name="20% - 强调文字颜色 4 4 14" xfId="9491" xr:uid="{00000000-0005-0000-0000-00002F0D0000}"/>
    <cellStyle name="20% - 强调文字颜色 4 4 15" xfId="9555" xr:uid="{00000000-0005-0000-0000-0000300D0000}"/>
    <cellStyle name="20% - 强调文字颜色 4 4 16" xfId="9582" xr:uid="{00000000-0005-0000-0000-0000310D0000}"/>
    <cellStyle name="20% - 强调文字颜色 4 4 17" xfId="9590" xr:uid="{00000000-0005-0000-0000-0000320D0000}"/>
    <cellStyle name="20% - 强调文字颜色 4 4 17 10" xfId="11360" xr:uid="{00000000-0005-0000-0000-0000330D0000}"/>
    <cellStyle name="20% - 强调文字颜色 4 4 17 11" xfId="9570" xr:uid="{00000000-0005-0000-0000-0000340D0000}"/>
    <cellStyle name="20% - 强调文字颜色 4 4 17 12" xfId="9574" xr:uid="{00000000-0005-0000-0000-0000350D0000}"/>
    <cellStyle name="20% - 强调文字颜色 4 4 17 13" xfId="11361" xr:uid="{00000000-0005-0000-0000-0000360D0000}"/>
    <cellStyle name="20% - 强调文字颜色 4 4 17 14" xfId="11363" xr:uid="{00000000-0005-0000-0000-0000370D0000}"/>
    <cellStyle name="20% - 强调文字颜色 4 4 17 2" xfId="11364" xr:uid="{00000000-0005-0000-0000-0000380D0000}"/>
    <cellStyle name="20% - 强调文字颜色 4 4 17 3" xfId="11374" xr:uid="{00000000-0005-0000-0000-0000390D0000}"/>
    <cellStyle name="20% - 强调文字颜色 4 4 17 4" xfId="7107" xr:uid="{00000000-0005-0000-0000-00003A0D0000}"/>
    <cellStyle name="20% - 强调文字颜色 4 4 17 5" xfId="7120" xr:uid="{00000000-0005-0000-0000-00003B0D0000}"/>
    <cellStyle name="20% - 强调文字颜色 4 4 17 5 10" xfId="10462" xr:uid="{00000000-0005-0000-0000-00003C0D0000}"/>
    <cellStyle name="20% - 强调文字颜色 4 4 17 5 11" xfId="10466" xr:uid="{00000000-0005-0000-0000-00003D0D0000}"/>
    <cellStyle name="20% - 强调文字颜色 4 4 17 5 2" xfId="11375" xr:uid="{00000000-0005-0000-0000-00003E0D0000}"/>
    <cellStyle name="20% - 强调文字颜色 4 4 17 5 2 2" xfId="11376" xr:uid="{00000000-0005-0000-0000-00003F0D0000}"/>
    <cellStyle name="20% - 强调文字颜色 4 4 17 5 2 2 2" xfId="11382" xr:uid="{00000000-0005-0000-0000-0000400D0000}"/>
    <cellStyle name="20% - 强调文字颜色 4 4 17 5 2 2 3" xfId="11385" xr:uid="{00000000-0005-0000-0000-0000410D0000}"/>
    <cellStyle name="20% - 强调文字颜色 4 4 17 5 2 3" xfId="11386" xr:uid="{00000000-0005-0000-0000-0000420D0000}"/>
    <cellStyle name="20% - 强调文字颜色 4 4 17 5 2 4" xfId="11392" xr:uid="{00000000-0005-0000-0000-0000430D0000}"/>
    <cellStyle name="20% - 强调文字颜色 4 4 17 5 2 5" xfId="11394" xr:uid="{00000000-0005-0000-0000-0000440D0000}"/>
    <cellStyle name="20% - 强调文字颜色 4 4 17 5 2 6" xfId="11396" xr:uid="{00000000-0005-0000-0000-0000450D0000}"/>
    <cellStyle name="20% - 强调文字颜色 4 4 17 5 2 7" xfId="11398" xr:uid="{00000000-0005-0000-0000-0000460D0000}"/>
    <cellStyle name="20% - 强调文字颜色 4 4 17 5 2 8" xfId="11151" xr:uid="{00000000-0005-0000-0000-0000470D0000}"/>
    <cellStyle name="20% - 强调文字颜色 4 4 17 5 3" xfId="11400" xr:uid="{00000000-0005-0000-0000-0000480D0000}"/>
    <cellStyle name="20% - 强调文字颜色 4 4 17 5 4" xfId="11401" xr:uid="{00000000-0005-0000-0000-0000490D0000}"/>
    <cellStyle name="20% - 强调文字颜色 4 4 17 5 5" xfId="11402" xr:uid="{00000000-0005-0000-0000-00004A0D0000}"/>
    <cellStyle name="20% - 强调文字颜色 4 4 17 5 6" xfId="11403" xr:uid="{00000000-0005-0000-0000-00004B0D0000}"/>
    <cellStyle name="20% - 强调文字颜色 4 4 17 5 6 2" xfId="11406" xr:uid="{00000000-0005-0000-0000-00004C0D0000}"/>
    <cellStyle name="20% - 强调文字颜色 4 4 17 5 6 3" xfId="11408" xr:uid="{00000000-0005-0000-0000-00004D0D0000}"/>
    <cellStyle name="20% - 强调文字颜色 4 4 17 5 7" xfId="11409" xr:uid="{00000000-0005-0000-0000-00004E0D0000}"/>
    <cellStyle name="20% - 强调文字颜色 4 4 17 5 8" xfId="1209" xr:uid="{00000000-0005-0000-0000-00004F0D0000}"/>
    <cellStyle name="20% - 强调文字颜色 4 4 17 5 9" xfId="531" xr:uid="{00000000-0005-0000-0000-0000500D0000}"/>
    <cellStyle name="20% - 强调文字颜色 4 4 17 6" xfId="7127" xr:uid="{00000000-0005-0000-0000-0000510D0000}"/>
    <cellStyle name="20% - 强调文字颜色 4 4 17 6 2" xfId="3173" xr:uid="{00000000-0005-0000-0000-0000520D0000}"/>
    <cellStyle name="20% - 强调文字颜色 4 4 17 6 2 2" xfId="11414" xr:uid="{00000000-0005-0000-0000-0000530D0000}"/>
    <cellStyle name="20% - 强调文字颜色 4 4 17 6 2 3" xfId="8465" xr:uid="{00000000-0005-0000-0000-0000540D0000}"/>
    <cellStyle name="20% - 强调文字颜色 4 4 17 6 3" xfId="3177" xr:uid="{00000000-0005-0000-0000-0000550D0000}"/>
    <cellStyle name="20% - 强调文字颜色 4 4 17 6 4" xfId="501" xr:uid="{00000000-0005-0000-0000-0000560D0000}"/>
    <cellStyle name="20% - 强调文字颜色 4 4 17 6 5" xfId="10758" xr:uid="{00000000-0005-0000-0000-0000570D0000}"/>
    <cellStyle name="20% - 强调文字颜色 4 4 17 6 6" xfId="10761" xr:uid="{00000000-0005-0000-0000-0000580D0000}"/>
    <cellStyle name="20% - 强调文字颜色 4 4 17 6 7" xfId="10764" xr:uid="{00000000-0005-0000-0000-0000590D0000}"/>
    <cellStyle name="20% - 强调文字颜色 4 4 17 6 8" xfId="11103" xr:uid="{00000000-0005-0000-0000-00005A0D0000}"/>
    <cellStyle name="20% - 强调文字颜色 4 4 17 7" xfId="7133" xr:uid="{00000000-0005-0000-0000-00005B0D0000}"/>
    <cellStyle name="20% - 强调文字颜色 4 4 17 8" xfId="7140" xr:uid="{00000000-0005-0000-0000-00005C0D0000}"/>
    <cellStyle name="20% - 强调文字颜色 4 4 17 9" xfId="11421" xr:uid="{00000000-0005-0000-0000-00005D0D0000}"/>
    <cellStyle name="20% - 强调文字颜色 4 4 17 9 2" xfId="11423" xr:uid="{00000000-0005-0000-0000-00005E0D0000}"/>
    <cellStyle name="20% - 强调文字颜色 4 4 17 9 3" xfId="8731" xr:uid="{00000000-0005-0000-0000-00005F0D0000}"/>
    <cellStyle name="20% - 强调文字颜色 4 4 18" xfId="9597" xr:uid="{00000000-0005-0000-0000-0000600D0000}"/>
    <cellStyle name="20% - 强调文字颜色 4 4 18 10" xfId="11429" xr:uid="{00000000-0005-0000-0000-0000610D0000}"/>
    <cellStyle name="20% - 强调文字颜色 4 4 18 11" xfId="11431" xr:uid="{00000000-0005-0000-0000-0000620D0000}"/>
    <cellStyle name="20% - 强调文字颜色 4 4 18 12" xfId="11434" xr:uid="{00000000-0005-0000-0000-0000630D0000}"/>
    <cellStyle name="20% - 强调文字颜色 4 4 18 13" xfId="11438" xr:uid="{00000000-0005-0000-0000-0000640D0000}"/>
    <cellStyle name="20% - 强调文字颜色 4 4 18 14" xfId="11442" xr:uid="{00000000-0005-0000-0000-0000650D0000}"/>
    <cellStyle name="20% - 强调文字颜色 4 4 18 2" xfId="4644" xr:uid="{00000000-0005-0000-0000-0000660D0000}"/>
    <cellStyle name="20% - 强调文字颜色 4 4 18 3" xfId="9613" xr:uid="{00000000-0005-0000-0000-0000670D0000}"/>
    <cellStyle name="20% - 强调文字颜色 4 4 18 4" xfId="11447" xr:uid="{00000000-0005-0000-0000-0000680D0000}"/>
    <cellStyle name="20% - 强调文字颜色 4 4 18 5" xfId="11451" xr:uid="{00000000-0005-0000-0000-0000690D0000}"/>
    <cellStyle name="20% - 强调文字颜色 4 4 18 5 10" xfId="11462" xr:uid="{00000000-0005-0000-0000-00006A0D0000}"/>
    <cellStyle name="20% - 强调文字颜色 4 4 18 5 11" xfId="11473" xr:uid="{00000000-0005-0000-0000-00006B0D0000}"/>
    <cellStyle name="20% - 强调文字颜色 4 4 18 5 2" xfId="11474" xr:uid="{00000000-0005-0000-0000-00006C0D0000}"/>
    <cellStyle name="20% - 强调文字颜色 4 4 18 5 2 2" xfId="493" xr:uid="{00000000-0005-0000-0000-00006D0D0000}"/>
    <cellStyle name="20% - 强调文字颜色 4 4 18 5 2 2 2" xfId="10320" xr:uid="{00000000-0005-0000-0000-00006E0D0000}"/>
    <cellStyle name="20% - 强调文字颜色 4 4 18 5 2 2 3" xfId="10323" xr:uid="{00000000-0005-0000-0000-00006F0D0000}"/>
    <cellStyle name="20% - 强调文字颜色 4 4 18 5 2 3" xfId="10132" xr:uid="{00000000-0005-0000-0000-0000700D0000}"/>
    <cellStyle name="20% - 强调文字颜色 4 4 18 5 2 4" xfId="11480" xr:uid="{00000000-0005-0000-0000-0000710D0000}"/>
    <cellStyle name="20% - 强调文字颜色 4 4 18 5 2 5" xfId="11483" xr:uid="{00000000-0005-0000-0000-0000720D0000}"/>
    <cellStyle name="20% - 强调文字颜色 4 4 18 5 2 6" xfId="4223" xr:uid="{00000000-0005-0000-0000-0000730D0000}"/>
    <cellStyle name="20% - 强调文字颜色 4 4 18 5 2 7" xfId="4229" xr:uid="{00000000-0005-0000-0000-0000740D0000}"/>
    <cellStyle name="20% - 强调文字颜色 4 4 18 5 2 8" xfId="2062" xr:uid="{00000000-0005-0000-0000-0000750D0000}"/>
    <cellStyle name="20% - 强调文字颜色 4 4 18 5 3" xfId="2464" xr:uid="{00000000-0005-0000-0000-0000760D0000}"/>
    <cellStyle name="20% - 强调文字颜色 4 4 18 5 4" xfId="2481" xr:uid="{00000000-0005-0000-0000-0000770D0000}"/>
    <cellStyle name="20% - 强调文字颜色 4 4 18 5 5" xfId="11485" xr:uid="{00000000-0005-0000-0000-0000780D0000}"/>
    <cellStyle name="20% - 强调文字颜色 4 4 18 5 6" xfId="11487" xr:uid="{00000000-0005-0000-0000-0000790D0000}"/>
    <cellStyle name="20% - 强调文字颜色 4 4 18 5 6 2" xfId="6516" xr:uid="{00000000-0005-0000-0000-00007A0D0000}"/>
    <cellStyle name="20% - 强调文字颜色 4 4 18 5 6 3" xfId="6525" xr:uid="{00000000-0005-0000-0000-00007B0D0000}"/>
    <cellStyle name="20% - 强调文字颜色 4 4 18 5 7" xfId="11489" xr:uid="{00000000-0005-0000-0000-00007C0D0000}"/>
    <cellStyle name="20% - 强调文字颜色 4 4 18 5 8" xfId="11490" xr:uid="{00000000-0005-0000-0000-00007D0D0000}"/>
    <cellStyle name="20% - 强调文字颜色 4 4 18 5 9" xfId="11493" xr:uid="{00000000-0005-0000-0000-00007E0D0000}"/>
    <cellStyle name="20% - 强调文字颜色 4 4 18 6" xfId="11498" xr:uid="{00000000-0005-0000-0000-00007F0D0000}"/>
    <cellStyle name="20% - 强调文字颜色 4 4 18 6 2" xfId="10837" xr:uid="{00000000-0005-0000-0000-0000800D0000}"/>
    <cellStyle name="20% - 强调文字颜色 4 4 18 6 2 2" xfId="667" xr:uid="{00000000-0005-0000-0000-0000810D0000}"/>
    <cellStyle name="20% - 强调文字颜色 4 4 18 6 2 3" xfId="11298" xr:uid="{00000000-0005-0000-0000-0000820D0000}"/>
    <cellStyle name="20% - 强调文字颜色 4 4 18 6 3" xfId="10839" xr:uid="{00000000-0005-0000-0000-0000830D0000}"/>
    <cellStyle name="20% - 强调文字颜色 4 4 18 6 4" xfId="10841" xr:uid="{00000000-0005-0000-0000-0000840D0000}"/>
    <cellStyle name="20% - 强调文字颜色 4 4 18 6 5" xfId="10843" xr:uid="{00000000-0005-0000-0000-0000850D0000}"/>
    <cellStyle name="20% - 强调文字颜色 4 4 18 6 6" xfId="10845" xr:uid="{00000000-0005-0000-0000-0000860D0000}"/>
    <cellStyle name="20% - 强调文字颜色 4 4 18 6 7" xfId="10847" xr:uid="{00000000-0005-0000-0000-0000870D0000}"/>
    <cellStyle name="20% - 强调文字颜色 4 4 18 6 8" xfId="11499" xr:uid="{00000000-0005-0000-0000-0000880D0000}"/>
    <cellStyle name="20% - 强调文字颜色 4 4 18 7" xfId="11504" xr:uid="{00000000-0005-0000-0000-0000890D0000}"/>
    <cellStyle name="20% - 强调文字颜色 4 4 18 8" xfId="11507" xr:uid="{00000000-0005-0000-0000-00008A0D0000}"/>
    <cellStyle name="20% - 强调文字颜色 4 4 18 9" xfId="11510" xr:uid="{00000000-0005-0000-0000-00008B0D0000}"/>
    <cellStyle name="20% - 强调文字颜色 4 4 18 9 2" xfId="11384" xr:uid="{00000000-0005-0000-0000-00008C0D0000}"/>
    <cellStyle name="20% - 强调文字颜色 4 4 18 9 3" xfId="11512" xr:uid="{00000000-0005-0000-0000-00008D0D0000}"/>
    <cellStyle name="20% - 强调文字颜色 4 4 19" xfId="11513" xr:uid="{00000000-0005-0000-0000-00008E0D0000}"/>
    <cellStyle name="20% - 强调文字颜色 4 4 19 10" xfId="2176" xr:uid="{00000000-0005-0000-0000-00008F0D0000}"/>
    <cellStyle name="20% - 强调文字颜色 4 4 19 11" xfId="11521" xr:uid="{00000000-0005-0000-0000-0000900D0000}"/>
    <cellStyle name="20% - 强调文字颜色 4 4 19 12" xfId="11524" xr:uid="{00000000-0005-0000-0000-0000910D0000}"/>
    <cellStyle name="20% - 强调文字颜色 4 4 19 13" xfId="11527" xr:uid="{00000000-0005-0000-0000-0000920D0000}"/>
    <cellStyle name="20% - 强调文字颜色 4 4 19 14" xfId="11530" xr:uid="{00000000-0005-0000-0000-0000930D0000}"/>
    <cellStyle name="20% - 强调文字颜色 4 4 19 2" xfId="11531" xr:uid="{00000000-0005-0000-0000-0000940D0000}"/>
    <cellStyle name="20% - 强调文字颜色 4 4 19 3" xfId="11533" xr:uid="{00000000-0005-0000-0000-0000950D0000}"/>
    <cellStyle name="20% - 强调文字颜色 4 4 19 4" xfId="11535" xr:uid="{00000000-0005-0000-0000-0000960D0000}"/>
    <cellStyle name="20% - 强调文字颜色 4 4 19 5" xfId="11537" xr:uid="{00000000-0005-0000-0000-0000970D0000}"/>
    <cellStyle name="20% - 强调文字颜色 4 4 19 5 10" xfId="11540" xr:uid="{00000000-0005-0000-0000-0000980D0000}"/>
    <cellStyle name="20% - 强调文字颜色 4 4 19 5 11" xfId="11542" xr:uid="{00000000-0005-0000-0000-0000990D0000}"/>
    <cellStyle name="20% - 强调文字颜色 4 4 19 5 2" xfId="11543" xr:uid="{00000000-0005-0000-0000-00009A0D0000}"/>
    <cellStyle name="20% - 强调文字颜色 4 4 19 5 2 2" xfId="11545" xr:uid="{00000000-0005-0000-0000-00009B0D0000}"/>
    <cellStyle name="20% - 强调文字颜色 4 4 19 5 2 2 2" xfId="11551" xr:uid="{00000000-0005-0000-0000-00009C0D0000}"/>
    <cellStyle name="20% - 强调文字颜色 4 4 19 5 2 2 3" xfId="11553" xr:uid="{00000000-0005-0000-0000-00009D0D0000}"/>
    <cellStyle name="20% - 强调文字颜色 4 4 19 5 2 3" xfId="11559" xr:uid="{00000000-0005-0000-0000-00009E0D0000}"/>
    <cellStyle name="20% - 强调文字颜色 4 4 19 5 2 4" xfId="3907" xr:uid="{00000000-0005-0000-0000-00009F0D0000}"/>
    <cellStyle name="20% - 强调文字颜色 4 4 19 5 2 5" xfId="2627" xr:uid="{00000000-0005-0000-0000-0000A00D0000}"/>
    <cellStyle name="20% - 强调文字颜色 4 4 19 5 2 6" xfId="11562" xr:uid="{00000000-0005-0000-0000-0000A10D0000}"/>
    <cellStyle name="20% - 强调文字颜色 4 4 19 5 2 7" xfId="11566" xr:uid="{00000000-0005-0000-0000-0000A20D0000}"/>
    <cellStyle name="20% - 强调文字颜色 4 4 19 5 2 8" xfId="11570" xr:uid="{00000000-0005-0000-0000-0000A30D0000}"/>
    <cellStyle name="20% - 强调文字颜色 4 4 19 5 3" xfId="11571" xr:uid="{00000000-0005-0000-0000-0000A40D0000}"/>
    <cellStyle name="20% - 强调文字颜色 4 4 19 5 4" xfId="11572" xr:uid="{00000000-0005-0000-0000-0000A50D0000}"/>
    <cellStyle name="20% - 强调文字颜色 4 4 19 5 5" xfId="11575" xr:uid="{00000000-0005-0000-0000-0000A60D0000}"/>
    <cellStyle name="20% - 强调文字颜色 4 4 19 5 6" xfId="11579" xr:uid="{00000000-0005-0000-0000-0000A70D0000}"/>
    <cellStyle name="20% - 强调文字颜色 4 4 19 5 6 2" xfId="8027" xr:uid="{00000000-0005-0000-0000-0000A80D0000}"/>
    <cellStyle name="20% - 强调文字颜色 4 4 19 5 6 3" xfId="8030" xr:uid="{00000000-0005-0000-0000-0000A90D0000}"/>
    <cellStyle name="20% - 强调文字颜色 4 4 19 5 7" xfId="11580" xr:uid="{00000000-0005-0000-0000-0000AA0D0000}"/>
    <cellStyle name="20% - 强调文字颜色 4 4 19 5 8" xfId="11581" xr:uid="{00000000-0005-0000-0000-0000AB0D0000}"/>
    <cellStyle name="20% - 强调文字颜色 4 4 19 5 9" xfId="11583" xr:uid="{00000000-0005-0000-0000-0000AC0D0000}"/>
    <cellStyle name="20% - 强调文字颜色 4 4 19 6" xfId="11585" xr:uid="{00000000-0005-0000-0000-0000AD0D0000}"/>
    <cellStyle name="20% - 强调文字颜色 4 4 19 6 2" xfId="3825" xr:uid="{00000000-0005-0000-0000-0000AE0D0000}"/>
    <cellStyle name="20% - 强调文字颜色 4 4 19 6 2 2" xfId="4215" xr:uid="{00000000-0005-0000-0000-0000AF0D0000}"/>
    <cellStyle name="20% - 强调文字颜色 4 4 19 6 2 3" xfId="4275" xr:uid="{00000000-0005-0000-0000-0000B00D0000}"/>
    <cellStyle name="20% - 强调文字颜色 4 4 19 6 3" xfId="11589" xr:uid="{00000000-0005-0000-0000-0000B10D0000}"/>
    <cellStyle name="20% - 强调文字颜色 4 4 19 6 4" xfId="11592" xr:uid="{00000000-0005-0000-0000-0000B20D0000}"/>
    <cellStyle name="20% - 强调文字颜色 4 4 19 6 5" xfId="6076" xr:uid="{00000000-0005-0000-0000-0000B30D0000}"/>
    <cellStyle name="20% - 强调文字颜色 4 4 19 6 6" xfId="6080" xr:uid="{00000000-0005-0000-0000-0000B40D0000}"/>
    <cellStyle name="20% - 强调文字颜色 4 4 19 6 7" xfId="6082" xr:uid="{00000000-0005-0000-0000-0000B50D0000}"/>
    <cellStyle name="20% - 强调文字颜色 4 4 19 6 8" xfId="6084" xr:uid="{00000000-0005-0000-0000-0000B60D0000}"/>
    <cellStyle name="20% - 强调文字颜色 4 4 19 7" xfId="9911" xr:uid="{00000000-0005-0000-0000-0000B70D0000}"/>
    <cellStyle name="20% - 强调文字颜色 4 4 19 8" xfId="9915" xr:uid="{00000000-0005-0000-0000-0000B80D0000}"/>
    <cellStyle name="20% - 强调文字颜色 4 4 19 9" xfId="10355" xr:uid="{00000000-0005-0000-0000-0000B90D0000}"/>
    <cellStyle name="20% - 强调文字颜色 4 4 19 9 2" xfId="2308" xr:uid="{00000000-0005-0000-0000-0000BA0D0000}"/>
    <cellStyle name="20% - 强调文字颜色 4 4 19 9 3" xfId="2317" xr:uid="{00000000-0005-0000-0000-0000BB0D0000}"/>
    <cellStyle name="20% - 强调文字颜色 4 4 2" xfId="9511" xr:uid="{00000000-0005-0000-0000-0000BC0D0000}"/>
    <cellStyle name="20% - 强调文字颜色 4 4 20" xfId="9554" xr:uid="{00000000-0005-0000-0000-0000BD0D0000}"/>
    <cellStyle name="20% - 强调文字颜色 4 4 20 10" xfId="5991" xr:uid="{00000000-0005-0000-0000-0000BE0D0000}"/>
    <cellStyle name="20% - 强调文字颜色 4 4 20 11" xfId="5998" xr:uid="{00000000-0005-0000-0000-0000BF0D0000}"/>
    <cellStyle name="20% - 强调文字颜色 4 4 20 12" xfId="10821" xr:uid="{00000000-0005-0000-0000-0000C00D0000}"/>
    <cellStyle name="20% - 强调文字颜色 4 4 20 13" xfId="10828" xr:uid="{00000000-0005-0000-0000-0000C10D0000}"/>
    <cellStyle name="20% - 强调文字颜色 4 4 20 14" xfId="10831" xr:uid="{00000000-0005-0000-0000-0000C20D0000}"/>
    <cellStyle name="20% - 强调文字颜色 4 4 20 2" xfId="9565" xr:uid="{00000000-0005-0000-0000-0000C30D0000}"/>
    <cellStyle name="20% - 强调文字颜色 4 4 20 3" xfId="4709" xr:uid="{00000000-0005-0000-0000-0000C40D0000}"/>
    <cellStyle name="20% - 强调文字颜色 4 4 20 4" xfId="4718" xr:uid="{00000000-0005-0000-0000-0000C50D0000}"/>
    <cellStyle name="20% - 强调文字颜色 4 4 20 5" xfId="4724" xr:uid="{00000000-0005-0000-0000-0000C60D0000}"/>
    <cellStyle name="20% - 强调文字颜色 4 4 20 5 10" xfId="5559" xr:uid="{00000000-0005-0000-0000-0000C70D0000}"/>
    <cellStyle name="20% - 强调文字颜色 4 4 20 5 11" xfId="5566" xr:uid="{00000000-0005-0000-0000-0000C80D0000}"/>
    <cellStyle name="20% - 强调文字颜色 4 4 20 5 2" xfId="11593" xr:uid="{00000000-0005-0000-0000-0000C90D0000}"/>
    <cellStyle name="20% - 强调文字颜色 4 4 20 5 2 2" xfId="11596" xr:uid="{00000000-0005-0000-0000-0000CA0D0000}"/>
    <cellStyle name="20% - 强调文字颜色 4 4 20 5 2 2 2" xfId="4124" xr:uid="{00000000-0005-0000-0000-0000CB0D0000}"/>
    <cellStyle name="20% - 强调文字颜色 4 4 20 5 2 2 3" xfId="4132" xr:uid="{00000000-0005-0000-0000-0000CC0D0000}"/>
    <cellStyle name="20% - 强调文字颜色 4 4 20 5 2 3" xfId="6298" xr:uid="{00000000-0005-0000-0000-0000CD0D0000}"/>
    <cellStyle name="20% - 强调文字颜色 4 4 20 5 2 4" xfId="6302" xr:uid="{00000000-0005-0000-0000-0000CE0D0000}"/>
    <cellStyle name="20% - 强调文字颜色 4 4 20 5 2 5" xfId="6697" xr:uid="{00000000-0005-0000-0000-0000CF0D0000}"/>
    <cellStyle name="20% - 强调文字颜色 4 4 20 5 2 6" xfId="6705" xr:uid="{00000000-0005-0000-0000-0000D00D0000}"/>
    <cellStyle name="20% - 强调文字颜色 4 4 20 5 2 7" xfId="6711" xr:uid="{00000000-0005-0000-0000-0000D10D0000}"/>
    <cellStyle name="20% - 强调文字颜色 4 4 20 5 2 8" xfId="6716" xr:uid="{00000000-0005-0000-0000-0000D20D0000}"/>
    <cellStyle name="20% - 强调文字颜色 4 4 20 5 3" xfId="11599" xr:uid="{00000000-0005-0000-0000-0000D30D0000}"/>
    <cellStyle name="20% - 强调文字颜色 4 4 20 5 4" xfId="11601" xr:uid="{00000000-0005-0000-0000-0000D40D0000}"/>
    <cellStyle name="20% - 强调文字颜色 4 4 20 5 5" xfId="11603" xr:uid="{00000000-0005-0000-0000-0000D50D0000}"/>
    <cellStyle name="20% - 强调文字颜色 4 4 20 5 6" xfId="11606" xr:uid="{00000000-0005-0000-0000-0000D60D0000}"/>
    <cellStyle name="20% - 强调文字颜色 4 4 20 5 6 2" xfId="11608" xr:uid="{00000000-0005-0000-0000-0000D70D0000}"/>
    <cellStyle name="20% - 强调文字颜色 4 4 20 5 6 3" xfId="11610" xr:uid="{00000000-0005-0000-0000-0000D80D0000}"/>
    <cellStyle name="20% - 强调文字颜色 4 4 20 5 7" xfId="11611" xr:uid="{00000000-0005-0000-0000-0000D90D0000}"/>
    <cellStyle name="20% - 强调文字颜色 4 4 20 5 8" xfId="11618" xr:uid="{00000000-0005-0000-0000-0000DA0D0000}"/>
    <cellStyle name="20% - 强调文字颜色 4 4 20 5 9" xfId="11626" xr:uid="{00000000-0005-0000-0000-0000DB0D0000}"/>
    <cellStyle name="20% - 强调文字颜色 4 4 20 6" xfId="4732" xr:uid="{00000000-0005-0000-0000-0000DC0D0000}"/>
    <cellStyle name="20% - 强调文字颜色 4 4 20 6 2" xfId="11628" xr:uid="{00000000-0005-0000-0000-0000DD0D0000}"/>
    <cellStyle name="20% - 强调文字颜色 4 4 20 6 2 2" xfId="5156" xr:uid="{00000000-0005-0000-0000-0000DE0D0000}"/>
    <cellStyle name="20% - 强调文字颜色 4 4 20 6 2 3" xfId="5165" xr:uid="{00000000-0005-0000-0000-0000DF0D0000}"/>
    <cellStyle name="20% - 强调文字颜色 4 4 20 6 3" xfId="11632" xr:uid="{00000000-0005-0000-0000-0000E00D0000}"/>
    <cellStyle name="20% - 强调文字颜色 4 4 20 6 4" xfId="11635" xr:uid="{00000000-0005-0000-0000-0000E10D0000}"/>
    <cellStyle name="20% - 强调文字颜色 4 4 20 6 5" xfId="11638" xr:uid="{00000000-0005-0000-0000-0000E20D0000}"/>
    <cellStyle name="20% - 强调文字颜色 4 4 20 6 6" xfId="11641" xr:uid="{00000000-0005-0000-0000-0000E30D0000}"/>
    <cellStyle name="20% - 强调文字颜色 4 4 20 6 7" xfId="8359" xr:uid="{00000000-0005-0000-0000-0000E40D0000}"/>
    <cellStyle name="20% - 强调文字颜色 4 4 20 6 8" xfId="5797" xr:uid="{00000000-0005-0000-0000-0000E50D0000}"/>
    <cellStyle name="20% - 强调文字颜色 4 4 20 7" xfId="4741" xr:uid="{00000000-0005-0000-0000-0000E60D0000}"/>
    <cellStyle name="20% - 强调文字颜色 4 4 20 8" xfId="9579" xr:uid="{00000000-0005-0000-0000-0000E70D0000}"/>
    <cellStyle name="20% - 强调文字颜色 4 4 20 9" xfId="11340" xr:uid="{00000000-0005-0000-0000-0000E80D0000}"/>
    <cellStyle name="20% - 强调文字颜色 4 4 20 9 2" xfId="11645" xr:uid="{00000000-0005-0000-0000-0000E90D0000}"/>
    <cellStyle name="20% - 强调文字颜色 4 4 20 9 3" xfId="11647" xr:uid="{00000000-0005-0000-0000-0000EA0D0000}"/>
    <cellStyle name="20% - 强调文字颜色 4 4 3" xfId="9515" xr:uid="{00000000-0005-0000-0000-0000EB0D0000}"/>
    <cellStyle name="20% - 强调文字颜色 4 4 4" xfId="9540" xr:uid="{00000000-0005-0000-0000-0000EC0D0000}"/>
    <cellStyle name="20% - 强调文字颜色 4 4 5" xfId="9544" xr:uid="{00000000-0005-0000-0000-0000ED0D0000}"/>
    <cellStyle name="20% - 强调文字颜色 4 4 6" xfId="9549" xr:uid="{00000000-0005-0000-0000-0000EE0D0000}"/>
    <cellStyle name="20% - 强调文字颜色 4 4 7" xfId="11329" xr:uid="{00000000-0005-0000-0000-0000EF0D0000}"/>
    <cellStyle name="20% - 强调文字颜色 4 4 8" xfId="3212" xr:uid="{00000000-0005-0000-0000-0000F00D0000}"/>
    <cellStyle name="20% - 强调文字颜色 4 4 9" xfId="3237" xr:uid="{00000000-0005-0000-0000-0000F10D0000}"/>
    <cellStyle name="20% - 强调文字颜色 4 5" xfId="11649" xr:uid="{00000000-0005-0000-0000-0000F20D0000}"/>
    <cellStyle name="20% - 强调文字颜色 4 5 10" xfId="7631" xr:uid="{00000000-0005-0000-0000-0000F30D0000}"/>
    <cellStyle name="20% - 强调文字颜色 4 5 11" xfId="8930" xr:uid="{00000000-0005-0000-0000-0000F40D0000}"/>
    <cellStyle name="20% - 强调文字颜色 4 5 12" xfId="924" xr:uid="{00000000-0005-0000-0000-0000F50D0000}"/>
    <cellStyle name="20% - 强调文字颜色 4 5 13" xfId="961" xr:uid="{00000000-0005-0000-0000-0000F60D0000}"/>
    <cellStyle name="20% - 强调文字颜色 4 5 14" xfId="994" xr:uid="{00000000-0005-0000-0000-0000F70D0000}"/>
    <cellStyle name="20% - 强调文字颜色 4 5 2" xfId="4720" xr:uid="{00000000-0005-0000-0000-0000F80D0000}"/>
    <cellStyle name="20% - 强调文字颜色 4 5 3" xfId="4726" xr:uid="{00000000-0005-0000-0000-0000F90D0000}"/>
    <cellStyle name="20% - 强调文字颜色 4 5 4" xfId="4734" xr:uid="{00000000-0005-0000-0000-0000FA0D0000}"/>
    <cellStyle name="20% - 强调文字颜色 4 5 5" xfId="9576" xr:uid="{00000000-0005-0000-0000-0000FB0D0000}"/>
    <cellStyle name="20% - 强调文字颜色 4 5 6" xfId="11337" xr:uid="{00000000-0005-0000-0000-0000FC0D0000}"/>
    <cellStyle name="20% - 强调文字颜色 4 5 7" xfId="11342" xr:uid="{00000000-0005-0000-0000-0000FD0D0000}"/>
    <cellStyle name="20% - 强调文字颜色 4 5 8" xfId="11349" xr:uid="{00000000-0005-0000-0000-0000FE0D0000}"/>
    <cellStyle name="20% - 强调文字颜色 4 5 9" xfId="10812" xr:uid="{00000000-0005-0000-0000-0000FF0D0000}"/>
    <cellStyle name="20% - 强调文字颜色 4 6" xfId="11650" xr:uid="{00000000-0005-0000-0000-0000000E0000}"/>
    <cellStyle name="20% - 强调文字颜色 4 6 10" xfId="11651" xr:uid="{00000000-0005-0000-0000-0000010E0000}"/>
    <cellStyle name="20% - 强调文字颜色 4 6 11" xfId="11652" xr:uid="{00000000-0005-0000-0000-0000020E0000}"/>
    <cellStyle name="20% - 强调文字颜色 4 6 12" xfId="11079" xr:uid="{00000000-0005-0000-0000-0000030E0000}"/>
    <cellStyle name="20% - 强调文字颜色 4 6 13" xfId="334" xr:uid="{00000000-0005-0000-0000-0000040E0000}"/>
    <cellStyle name="20% - 强调文字颜色 4 6 14" xfId="6411" xr:uid="{00000000-0005-0000-0000-0000050E0000}"/>
    <cellStyle name="20% - 强调文字颜色 4 6 2" xfId="4442" xr:uid="{00000000-0005-0000-0000-0000060E0000}"/>
    <cellStyle name="20% - 强调文字颜色 4 6 3" xfId="4458" xr:uid="{00000000-0005-0000-0000-0000070E0000}"/>
    <cellStyle name="20% - 强调文字颜色 4 6 4" xfId="4474" xr:uid="{00000000-0005-0000-0000-0000080E0000}"/>
    <cellStyle name="20% - 强调文字颜色 4 6 5" xfId="4486" xr:uid="{00000000-0005-0000-0000-0000090E0000}"/>
    <cellStyle name="20% - 强调文字颜色 4 6 6" xfId="4500" xr:uid="{00000000-0005-0000-0000-00000A0E0000}"/>
    <cellStyle name="20% - 强调文字颜色 4 6 7" xfId="4509" xr:uid="{00000000-0005-0000-0000-00000B0E0000}"/>
    <cellStyle name="20% - 强调文字颜色 4 6 8" xfId="11653" xr:uid="{00000000-0005-0000-0000-00000C0E0000}"/>
    <cellStyle name="20% - 强调文字颜色 4 6 9" xfId="11656" xr:uid="{00000000-0005-0000-0000-00000D0E0000}"/>
    <cellStyle name="20% - 强调文字颜色 4 7" xfId="11659" xr:uid="{00000000-0005-0000-0000-00000E0E0000}"/>
    <cellStyle name="20% - 强调文字颜色 4 8" xfId="11662" xr:uid="{00000000-0005-0000-0000-00000F0E0000}"/>
    <cellStyle name="20% - 强调文字颜色 4 9" xfId="11665" xr:uid="{00000000-0005-0000-0000-0000100E0000}"/>
    <cellStyle name="20% - 强调文字颜色 5 10" xfId="10682" xr:uid="{00000000-0005-0000-0000-0000110E0000}"/>
    <cellStyle name="20% - 强调文字颜色 5 11" xfId="10686" xr:uid="{00000000-0005-0000-0000-0000120E0000}"/>
    <cellStyle name="20% - 强调文字颜色 5 12" xfId="10689" xr:uid="{00000000-0005-0000-0000-0000130E0000}"/>
    <cellStyle name="20% - 强调文字颜色 5 12 10" xfId="11669" xr:uid="{00000000-0005-0000-0000-0000140E0000}"/>
    <cellStyle name="20% - 强调文字颜色 5 12 11" xfId="11670" xr:uid="{00000000-0005-0000-0000-0000150E0000}"/>
    <cellStyle name="20% - 强调文字颜色 5 12 12" xfId="11675" xr:uid="{00000000-0005-0000-0000-0000160E0000}"/>
    <cellStyle name="20% - 强调文字颜色 5 12 13" xfId="11681" xr:uid="{00000000-0005-0000-0000-0000170E0000}"/>
    <cellStyle name="20% - 强调文字颜色 5 12 14" xfId="11685" xr:uid="{00000000-0005-0000-0000-0000180E0000}"/>
    <cellStyle name="20% - 强调文字颜色 5 12 2" xfId="11689" xr:uid="{00000000-0005-0000-0000-0000190E0000}"/>
    <cellStyle name="20% - 强调文字颜色 5 12 3" xfId="11692" xr:uid="{00000000-0005-0000-0000-00001A0E0000}"/>
    <cellStyle name="20% - 强调文字颜色 5 12 4" xfId="11695" xr:uid="{00000000-0005-0000-0000-00001B0E0000}"/>
    <cellStyle name="20% - 强调文字颜色 5 12 5" xfId="7535" xr:uid="{00000000-0005-0000-0000-00001C0E0000}"/>
    <cellStyle name="20% - 强调文字颜色 5 12 5 10" xfId="11696" xr:uid="{00000000-0005-0000-0000-00001D0E0000}"/>
    <cellStyle name="20% - 强调文字颜色 5 12 5 11" xfId="11700" xr:uid="{00000000-0005-0000-0000-00001E0E0000}"/>
    <cellStyle name="20% - 强调文字颜色 5 12 5 2" xfId="11373" xr:uid="{00000000-0005-0000-0000-00001F0E0000}"/>
    <cellStyle name="20% - 强调文字颜色 5 12 5 2 2" xfId="10699" xr:uid="{00000000-0005-0000-0000-0000200E0000}"/>
    <cellStyle name="20% - 强调文字颜色 5 12 5 2 2 2" xfId="11701" xr:uid="{00000000-0005-0000-0000-0000210E0000}"/>
    <cellStyle name="20% - 强调文字颜色 5 12 5 2 2 3" xfId="6255" xr:uid="{00000000-0005-0000-0000-0000220E0000}"/>
    <cellStyle name="20% - 强调文字颜色 5 12 5 2 3" xfId="11710" xr:uid="{00000000-0005-0000-0000-0000230E0000}"/>
    <cellStyle name="20% - 强调文字颜色 5 12 5 2 4" xfId="11717" xr:uid="{00000000-0005-0000-0000-0000240E0000}"/>
    <cellStyle name="20% - 强调文字颜色 5 12 5 2 5" xfId="11726" xr:uid="{00000000-0005-0000-0000-0000250E0000}"/>
    <cellStyle name="20% - 强调文字颜色 5 12 5 2 6" xfId="11733" xr:uid="{00000000-0005-0000-0000-0000260E0000}"/>
    <cellStyle name="20% - 强调文字颜色 5 12 5 2 7" xfId="11736" xr:uid="{00000000-0005-0000-0000-0000270E0000}"/>
    <cellStyle name="20% - 强调文字颜色 5 12 5 2 8" xfId="11742" xr:uid="{00000000-0005-0000-0000-0000280E0000}"/>
    <cellStyle name="20% - 强调文字颜色 5 12 5 3" xfId="7106" xr:uid="{00000000-0005-0000-0000-0000290E0000}"/>
    <cellStyle name="20% - 强调文字颜色 5 12 5 4" xfId="7119" xr:uid="{00000000-0005-0000-0000-00002A0E0000}"/>
    <cellStyle name="20% - 强调文字颜色 5 12 5 5" xfId="7126" xr:uid="{00000000-0005-0000-0000-00002B0E0000}"/>
    <cellStyle name="20% - 强调文字颜色 5 12 5 6" xfId="7132" xr:uid="{00000000-0005-0000-0000-00002C0E0000}"/>
    <cellStyle name="20% - 强调文字颜色 5 12 5 6 2" xfId="10779" xr:uid="{00000000-0005-0000-0000-00002D0E0000}"/>
    <cellStyle name="20% - 强调文字颜色 5 12 5 6 3" xfId="10783" xr:uid="{00000000-0005-0000-0000-00002E0E0000}"/>
    <cellStyle name="20% - 强调文字颜色 5 12 5 7" xfId="7139" xr:uid="{00000000-0005-0000-0000-00002F0E0000}"/>
    <cellStyle name="20% - 强调文字颜色 5 12 5 8" xfId="11418" xr:uid="{00000000-0005-0000-0000-0000300E0000}"/>
    <cellStyle name="20% - 强调文字颜色 5 12 5 9" xfId="11743" xr:uid="{00000000-0005-0000-0000-0000310E0000}"/>
    <cellStyle name="20% - 强调文字颜色 5 12 6" xfId="7547" xr:uid="{00000000-0005-0000-0000-0000320E0000}"/>
    <cellStyle name="20% - 强调文字颜色 5 12 6 2" xfId="9612" xr:uid="{00000000-0005-0000-0000-0000330E0000}"/>
    <cellStyle name="20% - 强调文字颜色 5 12 6 2 2" xfId="11746" xr:uid="{00000000-0005-0000-0000-0000340E0000}"/>
    <cellStyle name="20% - 强调文字颜色 5 12 6 2 3" xfId="11748" xr:uid="{00000000-0005-0000-0000-0000350E0000}"/>
    <cellStyle name="20% - 强调文字颜色 5 12 6 3" xfId="11446" xr:uid="{00000000-0005-0000-0000-0000360E0000}"/>
    <cellStyle name="20% - 强调文字颜色 5 12 6 4" xfId="11450" xr:uid="{00000000-0005-0000-0000-0000370E0000}"/>
    <cellStyle name="20% - 强调文字颜色 5 12 6 5" xfId="11497" xr:uid="{00000000-0005-0000-0000-0000380E0000}"/>
    <cellStyle name="20% - 强调文字颜色 5 12 6 6" xfId="11502" xr:uid="{00000000-0005-0000-0000-0000390E0000}"/>
    <cellStyle name="20% - 强调文字颜色 5 12 6 7" xfId="11505" xr:uid="{00000000-0005-0000-0000-00003A0E0000}"/>
    <cellStyle name="20% - 强调文字颜色 5 12 6 8" xfId="11508" xr:uid="{00000000-0005-0000-0000-00003B0E0000}"/>
    <cellStyle name="20% - 强调文字颜色 5 12 7" xfId="11755" xr:uid="{00000000-0005-0000-0000-00003C0E0000}"/>
    <cellStyle name="20% - 强调文字颜色 5 12 8" xfId="11765" xr:uid="{00000000-0005-0000-0000-00003D0E0000}"/>
    <cellStyle name="20% - 强调文字颜色 5 12 9" xfId="11772" xr:uid="{00000000-0005-0000-0000-00003E0E0000}"/>
    <cellStyle name="20% - 强调文字颜色 5 12 9 2" xfId="11780" xr:uid="{00000000-0005-0000-0000-00003F0E0000}"/>
    <cellStyle name="20% - 强调文字颜色 5 12 9 3" xfId="11786" xr:uid="{00000000-0005-0000-0000-0000400E0000}"/>
    <cellStyle name="20% - 强调文字颜色 5 13" xfId="10692" xr:uid="{00000000-0005-0000-0000-0000410E0000}"/>
    <cellStyle name="20% - 强调文字颜色 5 14" xfId="11704" xr:uid="{00000000-0005-0000-0000-0000420E0000}"/>
    <cellStyle name="20% - 强调文字颜色 5 15" xfId="11712" xr:uid="{00000000-0005-0000-0000-0000430E0000}"/>
    <cellStyle name="20% - 强调文字颜色 5 16" xfId="11719" xr:uid="{00000000-0005-0000-0000-0000440E0000}"/>
    <cellStyle name="20% - 强调文字颜色 5 16 10" xfId="11792" xr:uid="{00000000-0005-0000-0000-0000450E0000}"/>
    <cellStyle name="20% - 强调文字颜色 5 16 11" xfId="11796" xr:uid="{00000000-0005-0000-0000-0000460E0000}"/>
    <cellStyle name="20% - 强调文字颜色 5 16 12" xfId="11799" xr:uid="{00000000-0005-0000-0000-0000470E0000}"/>
    <cellStyle name="20% - 强调文字颜色 5 16 13" xfId="11802" xr:uid="{00000000-0005-0000-0000-0000480E0000}"/>
    <cellStyle name="20% - 强调文字颜色 5 16 14" xfId="11806" xr:uid="{00000000-0005-0000-0000-0000490E0000}"/>
    <cellStyle name="20% - 强调文字颜色 5 16 2" xfId="4835" xr:uid="{00000000-0005-0000-0000-00004A0E0000}"/>
    <cellStyle name="20% - 强调文字颜色 5 16 3" xfId="4857" xr:uid="{00000000-0005-0000-0000-00004B0E0000}"/>
    <cellStyle name="20% - 强调文字颜色 5 16 4" xfId="11807" xr:uid="{00000000-0005-0000-0000-00004C0E0000}"/>
    <cellStyle name="20% - 强调文字颜色 5 16 5" xfId="11813" xr:uid="{00000000-0005-0000-0000-00004D0E0000}"/>
    <cellStyle name="20% - 强调文字颜色 5 16 5 10" xfId="6597" xr:uid="{00000000-0005-0000-0000-00004E0E0000}"/>
    <cellStyle name="20% - 强调文字颜色 5 16 5 11" xfId="1479" xr:uid="{00000000-0005-0000-0000-00004F0E0000}"/>
    <cellStyle name="20% - 强调文字颜色 5 16 5 2" xfId="8610" xr:uid="{00000000-0005-0000-0000-0000500E0000}"/>
    <cellStyle name="20% - 强调文字颜色 5 16 5 2 2" xfId="11822" xr:uid="{00000000-0005-0000-0000-0000510E0000}"/>
    <cellStyle name="20% - 强调文字颜色 5 16 5 2 2 2" xfId="8052" xr:uid="{00000000-0005-0000-0000-0000520E0000}"/>
    <cellStyle name="20% - 强调文字颜色 5 16 5 2 2 3" xfId="9879" xr:uid="{00000000-0005-0000-0000-0000530E0000}"/>
    <cellStyle name="20% - 强调文字颜色 5 16 5 2 3" xfId="11831" xr:uid="{00000000-0005-0000-0000-0000540E0000}"/>
    <cellStyle name="20% - 强调文字颜色 5 16 5 2 4" xfId="11836" xr:uid="{00000000-0005-0000-0000-0000550E0000}"/>
    <cellStyle name="20% - 强调文字颜色 5 16 5 2 5" xfId="11841" xr:uid="{00000000-0005-0000-0000-0000560E0000}"/>
    <cellStyle name="20% - 强调文字颜色 5 16 5 2 6" xfId="11847" xr:uid="{00000000-0005-0000-0000-0000570E0000}"/>
    <cellStyle name="20% - 强调文字颜色 5 16 5 2 7" xfId="10148" xr:uid="{00000000-0005-0000-0000-0000580E0000}"/>
    <cellStyle name="20% - 强调文字颜色 5 16 5 2 8" xfId="9359" xr:uid="{00000000-0005-0000-0000-0000590E0000}"/>
    <cellStyle name="20% - 强调文字颜色 5 16 5 3" xfId="11851" xr:uid="{00000000-0005-0000-0000-00005A0E0000}"/>
    <cellStyle name="20% - 强调文字颜色 5 16 5 4" xfId="9139" xr:uid="{00000000-0005-0000-0000-00005B0E0000}"/>
    <cellStyle name="20% - 强调文字颜色 5 16 5 5" xfId="9149" xr:uid="{00000000-0005-0000-0000-00005C0E0000}"/>
    <cellStyle name="20% - 强调文字颜色 5 16 5 6" xfId="11427" xr:uid="{00000000-0005-0000-0000-00005D0E0000}"/>
    <cellStyle name="20% - 强调文字颜色 5 16 5 6 2" xfId="3900" xr:uid="{00000000-0005-0000-0000-00005E0E0000}"/>
    <cellStyle name="20% - 强调文字颜色 5 16 5 6 3" xfId="4110" xr:uid="{00000000-0005-0000-0000-00005F0E0000}"/>
    <cellStyle name="20% - 强调文字颜色 5 16 5 7" xfId="8734" xr:uid="{00000000-0005-0000-0000-0000600E0000}"/>
    <cellStyle name="20% - 强调文字颜色 5 16 5 8" xfId="8741" xr:uid="{00000000-0005-0000-0000-0000610E0000}"/>
    <cellStyle name="20% - 强调文字颜色 5 16 5 9" xfId="11858" xr:uid="{00000000-0005-0000-0000-0000620E0000}"/>
    <cellStyle name="20% - 强调文字颜色 5 16 6" xfId="11868" xr:uid="{00000000-0005-0000-0000-0000630E0000}"/>
    <cellStyle name="20% - 强调文字颜色 5 16 6 2" xfId="8273" xr:uid="{00000000-0005-0000-0000-0000640E0000}"/>
    <cellStyle name="20% - 强调文字颜色 5 16 6 2 2" xfId="1549" xr:uid="{00000000-0005-0000-0000-0000650E0000}"/>
    <cellStyle name="20% - 强调文字颜色 5 16 6 2 3" xfId="11871" xr:uid="{00000000-0005-0000-0000-0000660E0000}"/>
    <cellStyle name="20% - 强调文字颜色 5 16 6 3" xfId="8280" xr:uid="{00000000-0005-0000-0000-0000670E0000}"/>
    <cellStyle name="20% - 强调文字颜色 5 16 6 4" xfId="8286" xr:uid="{00000000-0005-0000-0000-0000680E0000}"/>
    <cellStyle name="20% - 强调文字颜色 5 16 6 5" xfId="8292" xr:uid="{00000000-0005-0000-0000-0000690E0000}"/>
    <cellStyle name="20% - 强调文字颜色 5 16 6 6" xfId="8298" xr:uid="{00000000-0005-0000-0000-00006A0E0000}"/>
    <cellStyle name="20% - 强调文字颜色 5 16 6 7" xfId="8305" xr:uid="{00000000-0005-0000-0000-00006B0E0000}"/>
    <cellStyle name="20% - 强调文字颜色 5 16 6 8" xfId="11874" xr:uid="{00000000-0005-0000-0000-00006C0E0000}"/>
    <cellStyle name="20% - 强调文字颜色 5 16 7" xfId="11460" xr:uid="{00000000-0005-0000-0000-00006D0E0000}"/>
    <cellStyle name="20% - 强调文字颜色 5 16 8" xfId="11470" xr:uid="{00000000-0005-0000-0000-00006E0E0000}"/>
    <cellStyle name="20% - 强调文字颜色 5 16 9" xfId="11880" xr:uid="{00000000-0005-0000-0000-00006F0E0000}"/>
    <cellStyle name="20% - 强调文字颜色 5 16 9 2" xfId="549" xr:uid="{00000000-0005-0000-0000-0000700E0000}"/>
    <cellStyle name="20% - 强调文字颜色 5 16 9 3" xfId="586" xr:uid="{00000000-0005-0000-0000-0000710E0000}"/>
    <cellStyle name="20% - 强调文字颜色 5 17" xfId="11727" xr:uid="{00000000-0005-0000-0000-0000720E0000}"/>
    <cellStyle name="20% - 强调文字颜色 5 17 10" xfId="11888" xr:uid="{00000000-0005-0000-0000-0000730E0000}"/>
    <cellStyle name="20% - 强调文字颜色 5 17 11" xfId="11893" xr:uid="{00000000-0005-0000-0000-0000740E0000}"/>
    <cellStyle name="20% - 强调文字颜色 5 17 12" xfId="11898" xr:uid="{00000000-0005-0000-0000-0000750E0000}"/>
    <cellStyle name="20% - 强调文字颜色 5 17 13" xfId="11903" xr:uid="{00000000-0005-0000-0000-0000760E0000}"/>
    <cellStyle name="20% - 强调文字颜色 5 17 14" xfId="11910" xr:uid="{00000000-0005-0000-0000-0000770E0000}"/>
    <cellStyle name="20% - 强调文字颜色 5 17 2" xfId="11912" xr:uid="{00000000-0005-0000-0000-0000780E0000}"/>
    <cellStyle name="20% - 强调文字颜色 5 17 3" xfId="11913" xr:uid="{00000000-0005-0000-0000-0000790E0000}"/>
    <cellStyle name="20% - 强调文字颜色 5 17 4" xfId="11915" xr:uid="{00000000-0005-0000-0000-00007A0E0000}"/>
    <cellStyle name="20% - 强调文字颜色 5 17 5" xfId="11917" xr:uid="{00000000-0005-0000-0000-00007B0E0000}"/>
    <cellStyle name="20% - 强调文字颜色 5 17 5 10" xfId="7276" xr:uid="{00000000-0005-0000-0000-00007C0E0000}"/>
    <cellStyle name="20% - 强调文字颜色 5 17 5 11" xfId="7279" xr:uid="{00000000-0005-0000-0000-00007D0E0000}"/>
    <cellStyle name="20% - 强调文字颜色 5 17 5 2" xfId="8770" xr:uid="{00000000-0005-0000-0000-00007E0E0000}"/>
    <cellStyle name="20% - 强调文字颜色 5 17 5 2 2" xfId="3815" xr:uid="{00000000-0005-0000-0000-00007F0E0000}"/>
    <cellStyle name="20% - 强调文字颜色 5 17 5 2 2 2" xfId="4203" xr:uid="{00000000-0005-0000-0000-0000800E0000}"/>
    <cellStyle name="20% - 强调文字颜色 5 17 5 2 2 3" xfId="4264" xr:uid="{00000000-0005-0000-0000-0000810E0000}"/>
    <cellStyle name="20% - 强调文字颜色 5 17 5 2 3" xfId="5273" xr:uid="{00000000-0005-0000-0000-0000820E0000}"/>
    <cellStyle name="20% - 强调文字颜色 5 17 5 2 4" xfId="5293" xr:uid="{00000000-0005-0000-0000-0000830E0000}"/>
    <cellStyle name="20% - 强调文字颜色 5 17 5 2 5" xfId="5304" xr:uid="{00000000-0005-0000-0000-0000840E0000}"/>
    <cellStyle name="20% - 强调文字颜色 5 17 5 2 6" xfId="5317" xr:uid="{00000000-0005-0000-0000-0000850E0000}"/>
    <cellStyle name="20% - 强调文字颜色 5 17 5 2 7" xfId="7444" xr:uid="{00000000-0005-0000-0000-0000860E0000}"/>
    <cellStyle name="20% - 强调文字颜色 5 17 5 2 8" xfId="7448" xr:uid="{00000000-0005-0000-0000-0000870E0000}"/>
    <cellStyle name="20% - 强调文字颜色 5 17 5 3" xfId="11922" xr:uid="{00000000-0005-0000-0000-0000880E0000}"/>
    <cellStyle name="20% - 强调文字颜色 5 17 5 4" xfId="11923" xr:uid="{00000000-0005-0000-0000-0000890E0000}"/>
    <cellStyle name="20% - 强调文字颜色 5 17 5 5" xfId="11378" xr:uid="{00000000-0005-0000-0000-00008A0E0000}"/>
    <cellStyle name="20% - 强调文字颜色 5 17 5 6" xfId="11383" xr:uid="{00000000-0005-0000-0000-00008B0E0000}"/>
    <cellStyle name="20% - 强调文字颜色 5 17 5 6 2" xfId="2730" xr:uid="{00000000-0005-0000-0000-00008C0E0000}"/>
    <cellStyle name="20% - 强调文字颜色 5 17 5 6 3" xfId="5484" xr:uid="{00000000-0005-0000-0000-00008D0E0000}"/>
    <cellStyle name="20% - 强调文字颜色 5 17 5 7" xfId="11511" xr:uid="{00000000-0005-0000-0000-00008E0E0000}"/>
    <cellStyle name="20% - 强调文字颜色 5 17 5 8" xfId="11924" xr:uid="{00000000-0005-0000-0000-00008F0E0000}"/>
    <cellStyle name="20% - 强调文字颜色 5 17 5 9" xfId="11925" xr:uid="{00000000-0005-0000-0000-0000900E0000}"/>
    <cellStyle name="20% - 强调文字颜色 5 17 6" xfId="11927" xr:uid="{00000000-0005-0000-0000-0000910E0000}"/>
    <cellStyle name="20% - 强调文字颜色 5 17 6 2" xfId="8376" xr:uid="{00000000-0005-0000-0000-0000920E0000}"/>
    <cellStyle name="20% - 强调文字颜色 5 17 6 2 2" xfId="11929" xr:uid="{00000000-0005-0000-0000-0000930E0000}"/>
    <cellStyle name="20% - 强调文字颜色 5 17 6 2 3" xfId="11932" xr:uid="{00000000-0005-0000-0000-0000940E0000}"/>
    <cellStyle name="20% - 强调文字颜色 5 17 6 3" xfId="8383" xr:uid="{00000000-0005-0000-0000-0000950E0000}"/>
    <cellStyle name="20% - 强调文字颜色 5 17 6 4" xfId="8390" xr:uid="{00000000-0005-0000-0000-0000960E0000}"/>
    <cellStyle name="20% - 强调文字颜色 5 17 6 5" xfId="8397" xr:uid="{00000000-0005-0000-0000-0000970E0000}"/>
    <cellStyle name="20% - 强调文字颜色 5 17 6 6" xfId="8402" xr:uid="{00000000-0005-0000-0000-0000980E0000}"/>
    <cellStyle name="20% - 强调文字颜色 5 17 6 7" xfId="5148" xr:uid="{00000000-0005-0000-0000-0000990E0000}"/>
    <cellStyle name="20% - 强调文字颜色 5 17 6 8" xfId="5152" xr:uid="{00000000-0005-0000-0000-00009A0E0000}"/>
    <cellStyle name="20% - 强调文字颜色 5 17 7" xfId="11934" xr:uid="{00000000-0005-0000-0000-00009B0E0000}"/>
    <cellStyle name="20% - 强调文字颜色 5 17 8" xfId="10959" xr:uid="{00000000-0005-0000-0000-00009C0E0000}"/>
    <cellStyle name="20% - 强调文字颜色 5 17 9" xfId="10963" xr:uid="{00000000-0005-0000-0000-00009D0E0000}"/>
    <cellStyle name="20% - 强调文字颜色 5 17 9 2" xfId="3007" xr:uid="{00000000-0005-0000-0000-00009E0E0000}"/>
    <cellStyle name="20% - 强调文字颜色 5 17 9 3" xfId="3016" xr:uid="{00000000-0005-0000-0000-00009F0E0000}"/>
    <cellStyle name="20% - 强调文字颜色 5 18" xfId="11734" xr:uid="{00000000-0005-0000-0000-0000A00E0000}"/>
    <cellStyle name="20% - 强调文字颜色 5 18 10" xfId="11935" xr:uid="{00000000-0005-0000-0000-0000A10E0000}"/>
    <cellStyle name="20% - 强调文字颜色 5 18 11" xfId="11937" xr:uid="{00000000-0005-0000-0000-0000A20E0000}"/>
    <cellStyle name="20% - 强调文字颜色 5 18 12" xfId="11938" xr:uid="{00000000-0005-0000-0000-0000A30E0000}"/>
    <cellStyle name="20% - 强调文字颜色 5 18 13" xfId="11939" xr:uid="{00000000-0005-0000-0000-0000A40E0000}"/>
    <cellStyle name="20% - 强调文字颜色 5 18 14" xfId="11948" xr:uid="{00000000-0005-0000-0000-0000A50E0000}"/>
    <cellStyle name="20% - 强调文字颜色 5 18 2" xfId="11955" xr:uid="{00000000-0005-0000-0000-0000A60E0000}"/>
    <cellStyle name="20% - 强调文字颜色 5 18 3" xfId="11962" xr:uid="{00000000-0005-0000-0000-0000A70E0000}"/>
    <cellStyle name="20% - 强调文字颜色 5 18 4" xfId="11969" xr:uid="{00000000-0005-0000-0000-0000A80E0000}"/>
    <cellStyle name="20% - 强调文字颜色 5 18 5" xfId="11976" xr:uid="{00000000-0005-0000-0000-0000A90E0000}"/>
    <cellStyle name="20% - 强调文字颜色 5 18 5 10" xfId="7846" xr:uid="{00000000-0005-0000-0000-0000AA0E0000}"/>
    <cellStyle name="20% - 强调文字颜色 5 18 5 11" xfId="7862" xr:uid="{00000000-0005-0000-0000-0000AB0E0000}"/>
    <cellStyle name="20% - 强调文字颜色 5 18 5 2" xfId="1986" xr:uid="{00000000-0005-0000-0000-0000AC0E0000}"/>
    <cellStyle name="20% - 强调文字颜色 5 18 5 2 2" xfId="1183" xr:uid="{00000000-0005-0000-0000-0000AD0E0000}"/>
    <cellStyle name="20% - 强调文字颜色 5 18 5 2 2 2" xfId="4625" xr:uid="{00000000-0005-0000-0000-0000AE0E0000}"/>
    <cellStyle name="20% - 强调文字颜色 5 18 5 2 2 3" xfId="11197" xr:uid="{00000000-0005-0000-0000-0000AF0E0000}"/>
    <cellStyle name="20% - 强调文字颜色 5 18 5 2 3" xfId="11031" xr:uid="{00000000-0005-0000-0000-0000B00E0000}"/>
    <cellStyle name="20% - 强调文字颜色 5 18 5 2 4" xfId="8078" xr:uid="{00000000-0005-0000-0000-0000B10E0000}"/>
    <cellStyle name="20% - 强调文字颜色 5 18 5 2 5" xfId="8138" xr:uid="{00000000-0005-0000-0000-0000B20E0000}"/>
    <cellStyle name="20% - 强调文字颜色 5 18 5 2 6" xfId="8144" xr:uid="{00000000-0005-0000-0000-0000B30E0000}"/>
    <cellStyle name="20% - 强调文字颜色 5 18 5 2 7" xfId="8152" xr:uid="{00000000-0005-0000-0000-0000B40E0000}"/>
    <cellStyle name="20% - 强调文字颜色 5 18 5 2 8" xfId="8161" xr:uid="{00000000-0005-0000-0000-0000B50E0000}"/>
    <cellStyle name="20% - 强调文字颜色 5 18 5 3" xfId="2006" xr:uid="{00000000-0005-0000-0000-0000B60E0000}"/>
    <cellStyle name="20% - 强调文字颜色 5 18 5 4" xfId="2219" xr:uid="{00000000-0005-0000-0000-0000B70E0000}"/>
    <cellStyle name="20% - 强调文字颜色 5 18 5 5" xfId="2298" xr:uid="{00000000-0005-0000-0000-0000B80E0000}"/>
    <cellStyle name="20% - 强调文字颜色 5 18 5 6" xfId="2306" xr:uid="{00000000-0005-0000-0000-0000B90E0000}"/>
    <cellStyle name="20% - 强调文字颜色 5 18 5 6 2" xfId="10152" xr:uid="{00000000-0005-0000-0000-0000BA0E0000}"/>
    <cellStyle name="20% - 强调文字颜色 5 18 5 6 3" xfId="10158" xr:uid="{00000000-0005-0000-0000-0000BB0E0000}"/>
    <cellStyle name="20% - 强调文字颜色 5 18 5 7" xfId="2314" xr:uid="{00000000-0005-0000-0000-0000BC0E0000}"/>
    <cellStyle name="20% - 强调文字颜色 5 18 5 8" xfId="3234" xr:uid="{00000000-0005-0000-0000-0000BD0E0000}"/>
    <cellStyle name="20% - 强调文字颜色 5 18 5 9" xfId="427" xr:uid="{00000000-0005-0000-0000-0000BE0E0000}"/>
    <cellStyle name="20% - 强调文字颜色 5 18 6" xfId="8253" xr:uid="{00000000-0005-0000-0000-0000BF0E0000}"/>
    <cellStyle name="20% - 强调文字颜色 5 18 6 2" xfId="2370" xr:uid="{00000000-0005-0000-0000-0000C00E0000}"/>
    <cellStyle name="20% - 强调文字颜色 5 18 6 2 2" xfId="11977" xr:uid="{00000000-0005-0000-0000-0000C10E0000}"/>
    <cellStyle name="20% - 强调文字颜色 5 18 6 2 3" xfId="11978" xr:uid="{00000000-0005-0000-0000-0000C20E0000}"/>
    <cellStyle name="20% - 强调文字颜色 5 18 6 3" xfId="2392" xr:uid="{00000000-0005-0000-0000-0000C30E0000}"/>
    <cellStyle name="20% - 强调文字颜色 5 18 6 4" xfId="2624" xr:uid="{00000000-0005-0000-0000-0000C40E0000}"/>
    <cellStyle name="20% - 强调文字颜色 5 18 6 5" xfId="2728" xr:uid="{00000000-0005-0000-0000-0000C50E0000}"/>
    <cellStyle name="20% - 强调文字颜色 5 18 6 6" xfId="2748" xr:uid="{00000000-0005-0000-0000-0000C60E0000}"/>
    <cellStyle name="20% - 强调文字颜色 5 18 6 7" xfId="2757" xr:uid="{00000000-0005-0000-0000-0000C70E0000}"/>
    <cellStyle name="20% - 强调文字颜色 5 18 6 8" xfId="7201" xr:uid="{00000000-0005-0000-0000-0000C80E0000}"/>
    <cellStyle name="20% - 强调文字颜色 5 18 7" xfId="8257" xr:uid="{00000000-0005-0000-0000-0000C90E0000}"/>
    <cellStyle name="20% - 强调文字颜色 5 18 8" xfId="8263" xr:uid="{00000000-0005-0000-0000-0000CA0E0000}"/>
    <cellStyle name="20% - 强调文字颜色 5 18 9" xfId="5499" xr:uid="{00000000-0005-0000-0000-0000CB0E0000}"/>
    <cellStyle name="20% - 强调文字颜色 5 18 9 2" xfId="10136" xr:uid="{00000000-0005-0000-0000-0000CC0E0000}"/>
    <cellStyle name="20% - 强调文字颜色 5 18 9 3" xfId="10142" xr:uid="{00000000-0005-0000-0000-0000CD0E0000}"/>
    <cellStyle name="20% - 强调文字颜色 5 19" xfId="11738" xr:uid="{00000000-0005-0000-0000-0000CE0E0000}"/>
    <cellStyle name="20% - 强调文字颜色 5 2" xfId="4879" xr:uid="{00000000-0005-0000-0000-0000CF0E0000}"/>
    <cellStyle name="20% - 强调文字颜色 5 2 10" xfId="11558" xr:uid="{00000000-0005-0000-0000-0000D00E0000}"/>
    <cellStyle name="20% - 强调文字颜色 5 2 11" xfId="3906" xr:uid="{00000000-0005-0000-0000-0000D10E0000}"/>
    <cellStyle name="20% - 强调文字颜色 5 2 12" xfId="2626" xr:uid="{00000000-0005-0000-0000-0000D20E0000}"/>
    <cellStyle name="20% - 强调文字颜色 5 2 13" xfId="11561" xr:uid="{00000000-0005-0000-0000-0000D30E0000}"/>
    <cellStyle name="20% - 强调文字颜色 5 2 14" xfId="11565" xr:uid="{00000000-0005-0000-0000-0000D40E0000}"/>
    <cellStyle name="20% - 强调文字颜色 5 2 15" xfId="11569" xr:uid="{00000000-0005-0000-0000-0000D50E0000}"/>
    <cellStyle name="20% - 强调文字颜色 5 2 16" xfId="11980" xr:uid="{00000000-0005-0000-0000-0000D60E0000}"/>
    <cellStyle name="20% - 强调文字颜色 5 2 17" xfId="11983" xr:uid="{00000000-0005-0000-0000-0000D70E0000}"/>
    <cellStyle name="20% - 强调文字颜色 5 2 17 10" xfId="7134" xr:uid="{00000000-0005-0000-0000-0000D80E0000}"/>
    <cellStyle name="20% - 强调文字颜色 5 2 17 11" xfId="11419" xr:uid="{00000000-0005-0000-0000-0000D90E0000}"/>
    <cellStyle name="20% - 强调文字颜色 5 2 17 12" xfId="11744" xr:uid="{00000000-0005-0000-0000-0000DA0E0000}"/>
    <cellStyle name="20% - 强调文字颜色 5 2 17 13" xfId="466" xr:uid="{00000000-0005-0000-0000-0000DB0E0000}"/>
    <cellStyle name="20% - 强调文字颜色 5 2 17 14" xfId="194" xr:uid="{00000000-0005-0000-0000-0000DC0E0000}"/>
    <cellStyle name="20% - 强调文字颜色 5 2 17 2" xfId="11984" xr:uid="{00000000-0005-0000-0000-0000DD0E0000}"/>
    <cellStyle name="20% - 强调文字颜色 5 2 17 3" xfId="11986" xr:uid="{00000000-0005-0000-0000-0000DE0E0000}"/>
    <cellStyle name="20% - 强调文字颜色 5 2 17 4" xfId="11989" xr:uid="{00000000-0005-0000-0000-0000DF0E0000}"/>
    <cellStyle name="20% - 强调文字颜色 5 2 17 5" xfId="11992" xr:uid="{00000000-0005-0000-0000-0000E00E0000}"/>
    <cellStyle name="20% - 强调文字颜色 5 2 17 5 10" xfId="7454" xr:uid="{00000000-0005-0000-0000-0000E10E0000}"/>
    <cellStyle name="20% - 强调文字颜色 5 2 17 5 11" xfId="7458" xr:uid="{00000000-0005-0000-0000-0000E20E0000}"/>
    <cellStyle name="20% - 强调文字颜色 5 2 17 5 2" xfId="11997" xr:uid="{00000000-0005-0000-0000-0000E30E0000}"/>
    <cellStyle name="20% - 强调文字颜色 5 2 17 5 2 2" xfId="199" xr:uid="{00000000-0005-0000-0000-0000E40E0000}"/>
    <cellStyle name="20% - 强调文字颜色 5 2 17 5 2 2 2" xfId="11940" xr:uid="{00000000-0005-0000-0000-0000E50E0000}"/>
    <cellStyle name="20% - 强调文字颜色 5 2 17 5 2 2 3" xfId="11943" xr:uid="{00000000-0005-0000-0000-0000E60E0000}"/>
    <cellStyle name="20% - 强调文字颜色 5 2 17 5 2 3" xfId="3785" xr:uid="{00000000-0005-0000-0000-0000E70E0000}"/>
    <cellStyle name="20% - 强调文字颜色 5 2 17 5 2 4" xfId="3795" xr:uid="{00000000-0005-0000-0000-0000E80E0000}"/>
    <cellStyle name="20% - 强调文字颜色 5 2 17 5 2 5" xfId="12000" xr:uid="{00000000-0005-0000-0000-0000E90E0000}"/>
    <cellStyle name="20% - 强调文字颜色 5 2 17 5 2 6" xfId="12003" xr:uid="{00000000-0005-0000-0000-0000EA0E0000}"/>
    <cellStyle name="20% - 强调文字颜色 5 2 17 5 2 7" xfId="12006" xr:uid="{00000000-0005-0000-0000-0000EB0E0000}"/>
    <cellStyle name="20% - 强调文字颜色 5 2 17 5 2 8" xfId="12009" xr:uid="{00000000-0005-0000-0000-0000EC0E0000}"/>
    <cellStyle name="20% - 强调文字颜色 5 2 17 5 3" xfId="4169" xr:uid="{00000000-0005-0000-0000-0000ED0E0000}"/>
    <cellStyle name="20% - 强调文字颜色 5 2 17 5 4" xfId="4179" xr:uid="{00000000-0005-0000-0000-0000EE0E0000}"/>
    <cellStyle name="20% - 强调文字颜色 5 2 17 5 5" xfId="12014" xr:uid="{00000000-0005-0000-0000-0000EF0E0000}"/>
    <cellStyle name="20% - 强调文字颜色 5 2 17 5 6" xfId="12018" xr:uid="{00000000-0005-0000-0000-0000F00E0000}"/>
    <cellStyle name="20% - 强调文字颜色 5 2 17 5 6 2" xfId="12020" xr:uid="{00000000-0005-0000-0000-0000F10E0000}"/>
    <cellStyle name="20% - 强调文字颜色 5 2 17 5 6 3" xfId="12022" xr:uid="{00000000-0005-0000-0000-0000F20E0000}"/>
    <cellStyle name="20% - 强调文字颜色 5 2 17 5 7" xfId="8483" xr:uid="{00000000-0005-0000-0000-0000F30E0000}"/>
    <cellStyle name="20% - 强调文字颜色 5 2 17 5 8" xfId="8488" xr:uid="{00000000-0005-0000-0000-0000F40E0000}"/>
    <cellStyle name="20% - 强调文字颜色 5 2 17 5 9" xfId="12023" xr:uid="{00000000-0005-0000-0000-0000F50E0000}"/>
    <cellStyle name="20% - 强调文字颜色 5 2 17 6" xfId="12026" xr:uid="{00000000-0005-0000-0000-0000F60E0000}"/>
    <cellStyle name="20% - 强调文字颜色 5 2 17 6 2" xfId="11617" xr:uid="{00000000-0005-0000-0000-0000F70E0000}"/>
    <cellStyle name="20% - 强调文字颜色 5 2 17 6 2 2" xfId="4022" xr:uid="{00000000-0005-0000-0000-0000F80E0000}"/>
    <cellStyle name="20% - 强调文字颜色 5 2 17 6 2 3" xfId="4031" xr:uid="{00000000-0005-0000-0000-0000F90E0000}"/>
    <cellStyle name="20% - 强调文字颜色 5 2 17 6 3" xfId="11625" xr:uid="{00000000-0005-0000-0000-0000FA0E0000}"/>
    <cellStyle name="20% - 强调文字颜色 5 2 17 6 4" xfId="10492" xr:uid="{00000000-0005-0000-0000-0000FB0E0000}"/>
    <cellStyle name="20% - 强调文字颜色 5 2 17 6 5" xfId="10500" xr:uid="{00000000-0005-0000-0000-0000FC0E0000}"/>
    <cellStyle name="20% - 强调文字颜色 5 2 17 6 6" xfId="10512" xr:uid="{00000000-0005-0000-0000-0000FD0E0000}"/>
    <cellStyle name="20% - 强调文字颜色 5 2 17 6 7" xfId="10520" xr:uid="{00000000-0005-0000-0000-0000FE0E0000}"/>
    <cellStyle name="20% - 强调文字颜色 5 2 17 6 8" xfId="10532" xr:uid="{00000000-0005-0000-0000-0000FF0E0000}"/>
    <cellStyle name="20% - 强调文字颜色 5 2 17 7" xfId="5778" xr:uid="{00000000-0005-0000-0000-0000000F0000}"/>
    <cellStyle name="20% - 强调文字颜色 5 2 17 8" xfId="5809" xr:uid="{00000000-0005-0000-0000-0000010F0000}"/>
    <cellStyle name="20% - 强调文字颜色 5 2 17 9" xfId="5819" xr:uid="{00000000-0005-0000-0000-0000020F0000}"/>
    <cellStyle name="20% - 强调文字颜色 5 2 17 9 2" xfId="7744" xr:uid="{00000000-0005-0000-0000-0000030F0000}"/>
    <cellStyle name="20% - 强调文字颜色 5 2 17 9 3" xfId="7747" xr:uid="{00000000-0005-0000-0000-0000040F0000}"/>
    <cellStyle name="20% - 强调文字颜色 5 2 18" xfId="12030" xr:uid="{00000000-0005-0000-0000-0000050F0000}"/>
    <cellStyle name="20% - 强调文字颜色 5 2 18 10" xfId="2857" xr:uid="{00000000-0005-0000-0000-0000060F0000}"/>
    <cellStyle name="20% - 强调文字颜色 5 2 18 11" xfId="12031" xr:uid="{00000000-0005-0000-0000-0000070F0000}"/>
    <cellStyle name="20% - 强调文字颜色 5 2 18 12" xfId="12039" xr:uid="{00000000-0005-0000-0000-0000080F0000}"/>
    <cellStyle name="20% - 强调文字颜色 5 2 18 13" xfId="12041" xr:uid="{00000000-0005-0000-0000-0000090F0000}"/>
    <cellStyle name="20% - 强调文字颜色 5 2 18 14" xfId="12043" xr:uid="{00000000-0005-0000-0000-00000A0F0000}"/>
    <cellStyle name="20% - 强调文字颜色 5 2 18 2" xfId="6736" xr:uid="{00000000-0005-0000-0000-00000B0F0000}"/>
    <cellStyle name="20% - 强调文字颜色 5 2 18 3" xfId="6746" xr:uid="{00000000-0005-0000-0000-00000C0F0000}"/>
    <cellStyle name="20% - 强调文字颜色 5 2 18 4" xfId="6757" xr:uid="{00000000-0005-0000-0000-00000D0F0000}"/>
    <cellStyle name="20% - 强调文字颜色 5 2 18 5" xfId="8099" xr:uid="{00000000-0005-0000-0000-00000E0F0000}"/>
    <cellStyle name="20% - 强调文字颜色 5 2 18 5 10" xfId="8783" xr:uid="{00000000-0005-0000-0000-00000F0F0000}"/>
    <cellStyle name="20% - 强调文字颜色 5 2 18 5 11" xfId="8798" xr:uid="{00000000-0005-0000-0000-0000100F0000}"/>
    <cellStyle name="20% - 强调文字颜色 5 2 18 5 2" xfId="12044" xr:uid="{00000000-0005-0000-0000-0000110F0000}"/>
    <cellStyle name="20% - 强调文字颜色 5 2 18 5 2 2" xfId="1577" xr:uid="{00000000-0005-0000-0000-0000120F0000}"/>
    <cellStyle name="20% - 强调文字颜色 5 2 18 5 2 2 2" xfId="12048" xr:uid="{00000000-0005-0000-0000-0000130F0000}"/>
    <cellStyle name="20% - 强调文字颜色 5 2 18 5 2 2 3" xfId="6370" xr:uid="{00000000-0005-0000-0000-0000140F0000}"/>
    <cellStyle name="20% - 强调文字颜色 5 2 18 5 2 3" xfId="1592" xr:uid="{00000000-0005-0000-0000-0000150F0000}"/>
    <cellStyle name="20% - 强调文字颜色 5 2 18 5 2 4" xfId="1608" xr:uid="{00000000-0005-0000-0000-0000160F0000}"/>
    <cellStyle name="20% - 强调文字颜色 5 2 18 5 2 5" xfId="1634" xr:uid="{00000000-0005-0000-0000-0000170F0000}"/>
    <cellStyle name="20% - 强调文字颜色 5 2 18 5 2 6" xfId="1647" xr:uid="{00000000-0005-0000-0000-0000180F0000}"/>
    <cellStyle name="20% - 强调文字颜色 5 2 18 5 2 7" xfId="1662" xr:uid="{00000000-0005-0000-0000-0000190F0000}"/>
    <cellStyle name="20% - 强调文字颜色 5 2 18 5 2 8" xfId="12050" xr:uid="{00000000-0005-0000-0000-00001A0F0000}"/>
    <cellStyle name="20% - 强调文字颜色 5 2 18 5 3" xfId="12053" xr:uid="{00000000-0005-0000-0000-00001B0F0000}"/>
    <cellStyle name="20% - 强调文字颜色 5 2 18 5 4" xfId="12057" xr:uid="{00000000-0005-0000-0000-00001C0F0000}"/>
    <cellStyle name="20% - 强调文字颜色 5 2 18 5 5" xfId="12062" xr:uid="{00000000-0005-0000-0000-00001D0F0000}"/>
    <cellStyle name="20% - 强调文字颜色 5 2 18 5 6" xfId="12068" xr:uid="{00000000-0005-0000-0000-00001E0F0000}"/>
    <cellStyle name="20% - 强调文字颜色 5 2 18 5 6 2" xfId="9034" xr:uid="{00000000-0005-0000-0000-00001F0F0000}"/>
    <cellStyle name="20% - 强调文字颜色 5 2 18 5 6 3" xfId="9041" xr:uid="{00000000-0005-0000-0000-0000200F0000}"/>
    <cellStyle name="20% - 强调文字颜色 5 2 18 5 7" xfId="12073" xr:uid="{00000000-0005-0000-0000-0000210F0000}"/>
    <cellStyle name="20% - 强调文字颜色 5 2 18 5 8" xfId="2440" xr:uid="{00000000-0005-0000-0000-0000220F0000}"/>
    <cellStyle name="20% - 强调文字颜色 5 2 18 5 9" xfId="2448" xr:uid="{00000000-0005-0000-0000-0000230F0000}"/>
    <cellStyle name="20% - 强调文字颜色 5 2 18 6" xfId="6198" xr:uid="{00000000-0005-0000-0000-0000240F0000}"/>
    <cellStyle name="20% - 强调文字颜色 5 2 18 6 2" xfId="3061" xr:uid="{00000000-0005-0000-0000-0000250F0000}"/>
    <cellStyle name="20% - 强调文字颜色 5 2 18 6 2 2" xfId="2134" xr:uid="{00000000-0005-0000-0000-0000260F0000}"/>
    <cellStyle name="20% - 强调文字颜色 5 2 18 6 2 3" xfId="2153" xr:uid="{00000000-0005-0000-0000-0000270F0000}"/>
    <cellStyle name="20% - 强调文字颜色 5 2 18 6 3" xfId="3075" xr:uid="{00000000-0005-0000-0000-0000280F0000}"/>
    <cellStyle name="20% - 强调文字颜色 5 2 18 6 4" xfId="8207" xr:uid="{00000000-0005-0000-0000-0000290F0000}"/>
    <cellStyle name="20% - 强调文字颜色 5 2 18 6 5" xfId="8214" xr:uid="{00000000-0005-0000-0000-00002A0F0000}"/>
    <cellStyle name="20% - 强调文字颜色 5 2 18 6 6" xfId="12082" xr:uid="{00000000-0005-0000-0000-00002B0F0000}"/>
    <cellStyle name="20% - 强调文字颜色 5 2 18 6 7" xfId="12087" xr:uid="{00000000-0005-0000-0000-00002C0F0000}"/>
    <cellStyle name="20% - 强调文字颜色 5 2 18 6 8" xfId="12091" xr:uid="{00000000-0005-0000-0000-00002D0F0000}"/>
    <cellStyle name="20% - 强调文字颜色 5 2 18 7" xfId="6207" xr:uid="{00000000-0005-0000-0000-00002E0F0000}"/>
    <cellStyle name="20% - 强调文字颜色 5 2 18 8" xfId="12098" xr:uid="{00000000-0005-0000-0000-00002F0F0000}"/>
    <cellStyle name="20% - 强调文字颜色 5 2 18 9" xfId="12104" xr:uid="{00000000-0005-0000-0000-0000300F0000}"/>
    <cellStyle name="20% - 强调文字颜色 5 2 18 9 2" xfId="2788" xr:uid="{00000000-0005-0000-0000-0000310F0000}"/>
    <cellStyle name="20% - 强调文字颜色 5 2 18 9 3" xfId="12105" xr:uid="{00000000-0005-0000-0000-0000320F0000}"/>
    <cellStyle name="20% - 强调文字颜色 5 2 19" xfId="12108" xr:uid="{00000000-0005-0000-0000-0000330F0000}"/>
    <cellStyle name="20% - 强调文字颜色 5 2 19 10" xfId="491" xr:uid="{00000000-0005-0000-0000-0000340F0000}"/>
    <cellStyle name="20% - 强调文字颜色 5 2 19 11" xfId="10130" xr:uid="{00000000-0005-0000-0000-0000350F0000}"/>
    <cellStyle name="20% - 强调文字颜色 5 2 19 12" xfId="11478" xr:uid="{00000000-0005-0000-0000-0000360F0000}"/>
    <cellStyle name="20% - 强调文字颜色 5 2 19 13" xfId="11481" xr:uid="{00000000-0005-0000-0000-0000370F0000}"/>
    <cellStyle name="20% - 强调文字颜色 5 2 19 14" xfId="4220" xr:uid="{00000000-0005-0000-0000-0000380F0000}"/>
    <cellStyle name="20% - 强调文字颜色 5 2 19 2" xfId="7558" xr:uid="{00000000-0005-0000-0000-0000390F0000}"/>
    <cellStyle name="20% - 强调文字颜色 5 2 19 3" xfId="7570" xr:uid="{00000000-0005-0000-0000-00003A0F0000}"/>
    <cellStyle name="20% - 强调文字颜色 5 2 19 4" xfId="12113" xr:uid="{00000000-0005-0000-0000-00003B0F0000}"/>
    <cellStyle name="20% - 强调文字颜色 5 2 19 5" xfId="12117" xr:uid="{00000000-0005-0000-0000-00003C0F0000}"/>
    <cellStyle name="20% - 强调文字颜色 5 2 19 5 10" xfId="9483" xr:uid="{00000000-0005-0000-0000-00003D0F0000}"/>
    <cellStyle name="20% - 强调文字颜色 5 2 19 5 11" xfId="9488" xr:uid="{00000000-0005-0000-0000-00003E0F0000}"/>
    <cellStyle name="20% - 强调文字颜色 5 2 19 5 2" xfId="12122" xr:uid="{00000000-0005-0000-0000-00003F0F0000}"/>
    <cellStyle name="20% - 强调文字颜色 5 2 19 5 2 2" xfId="10324" xr:uid="{00000000-0005-0000-0000-0000400F0000}"/>
    <cellStyle name="20% - 强调文字颜色 5 2 19 5 2 2 2" xfId="12124" xr:uid="{00000000-0005-0000-0000-0000410F0000}"/>
    <cellStyle name="20% - 强调文字颜色 5 2 19 5 2 2 3" xfId="12126" xr:uid="{00000000-0005-0000-0000-0000420F0000}"/>
    <cellStyle name="20% - 强调文字颜色 5 2 19 5 2 3" xfId="10331" xr:uid="{00000000-0005-0000-0000-0000430F0000}"/>
    <cellStyle name="20% - 强调文字颜色 5 2 19 5 2 4" xfId="10337" xr:uid="{00000000-0005-0000-0000-0000440F0000}"/>
    <cellStyle name="20% - 强调文字颜色 5 2 19 5 2 5" xfId="12128" xr:uid="{00000000-0005-0000-0000-0000450F0000}"/>
    <cellStyle name="20% - 强调文字颜色 5 2 19 5 2 6" xfId="12131" xr:uid="{00000000-0005-0000-0000-0000460F0000}"/>
    <cellStyle name="20% - 强调文字颜色 5 2 19 5 2 7" xfId="12135" xr:uid="{00000000-0005-0000-0000-0000470F0000}"/>
    <cellStyle name="20% - 强调文字颜色 5 2 19 5 2 8" xfId="12139" xr:uid="{00000000-0005-0000-0000-0000480F0000}"/>
    <cellStyle name="20% - 强调文字颜色 5 2 19 5 3" xfId="12144" xr:uid="{00000000-0005-0000-0000-0000490F0000}"/>
    <cellStyle name="20% - 强调文字颜色 5 2 19 5 4" xfId="12151" xr:uid="{00000000-0005-0000-0000-00004A0F0000}"/>
    <cellStyle name="20% - 强调文字颜色 5 2 19 5 5" xfId="12158" xr:uid="{00000000-0005-0000-0000-00004B0F0000}"/>
    <cellStyle name="20% - 强调文字颜色 5 2 19 5 6" xfId="12166" xr:uid="{00000000-0005-0000-0000-00004C0F0000}"/>
    <cellStyle name="20% - 强调文字颜色 5 2 19 5 6 2" xfId="4065" xr:uid="{00000000-0005-0000-0000-00004D0F0000}"/>
    <cellStyle name="20% - 强调文字颜色 5 2 19 5 6 3" xfId="4073" xr:uid="{00000000-0005-0000-0000-00004E0F0000}"/>
    <cellStyle name="20% - 强调文字颜色 5 2 19 5 7" xfId="12175" xr:uid="{00000000-0005-0000-0000-00004F0F0000}"/>
    <cellStyle name="20% - 强调文字颜色 5 2 19 5 8" xfId="12182" xr:uid="{00000000-0005-0000-0000-0000500F0000}"/>
    <cellStyle name="20% - 强调文字颜色 5 2 19 5 9" xfId="12191" xr:uid="{00000000-0005-0000-0000-0000510F0000}"/>
    <cellStyle name="20% - 强调文字颜色 5 2 19 6" xfId="12194" xr:uid="{00000000-0005-0000-0000-0000520F0000}"/>
    <cellStyle name="20% - 强调文字颜色 5 2 19 6 2" xfId="1207" xr:uid="{00000000-0005-0000-0000-0000530F0000}"/>
    <cellStyle name="20% - 强调文字颜色 5 2 19 6 2 2" xfId="10505" xr:uid="{00000000-0005-0000-0000-0000540F0000}"/>
    <cellStyle name="20% - 强调文字颜色 5 2 19 6 2 3" xfId="10524" xr:uid="{00000000-0005-0000-0000-0000550F0000}"/>
    <cellStyle name="20% - 强调文字颜色 5 2 19 6 3" xfId="530" xr:uid="{00000000-0005-0000-0000-0000560F0000}"/>
    <cellStyle name="20% - 强调文字颜色 5 2 19 6 4" xfId="6039" xr:uid="{00000000-0005-0000-0000-0000570F0000}"/>
    <cellStyle name="20% - 强调文字颜色 5 2 19 6 5" xfId="6045" xr:uid="{00000000-0005-0000-0000-0000580F0000}"/>
    <cellStyle name="20% - 强调文字颜色 5 2 19 6 6" xfId="6053" xr:uid="{00000000-0005-0000-0000-0000590F0000}"/>
    <cellStyle name="20% - 强调文字颜色 5 2 19 6 7" xfId="6061" xr:uid="{00000000-0005-0000-0000-00005A0F0000}"/>
    <cellStyle name="20% - 强调文字颜色 5 2 19 6 8" xfId="6067" xr:uid="{00000000-0005-0000-0000-00005B0F0000}"/>
    <cellStyle name="20% - 强调文字颜色 5 2 19 7" xfId="12197" xr:uid="{00000000-0005-0000-0000-00005C0F0000}"/>
    <cellStyle name="20% - 强调文字颜色 5 2 19 8" xfId="12201" xr:uid="{00000000-0005-0000-0000-00005D0F0000}"/>
    <cellStyle name="20% - 强调文字颜色 5 2 19 9" xfId="10476" xr:uid="{00000000-0005-0000-0000-00005E0F0000}"/>
    <cellStyle name="20% - 强调文字颜色 5 2 19 9 2" xfId="12204" xr:uid="{00000000-0005-0000-0000-00005F0F0000}"/>
    <cellStyle name="20% - 强调文字颜色 5 2 19 9 3" xfId="12207" xr:uid="{00000000-0005-0000-0000-0000600F0000}"/>
    <cellStyle name="20% - 强调文字颜色 5 2 2" xfId="12209" xr:uid="{00000000-0005-0000-0000-0000610F0000}"/>
    <cellStyle name="20% - 强调文字颜色 5 2 2 10" xfId="12213" xr:uid="{00000000-0005-0000-0000-0000620F0000}"/>
    <cellStyle name="20% - 强调文字颜色 5 2 2 11" xfId="4648" xr:uid="{00000000-0005-0000-0000-0000630F0000}"/>
    <cellStyle name="20% - 强调文字颜色 5 2 2 12" xfId="4656" xr:uid="{00000000-0005-0000-0000-0000640F0000}"/>
    <cellStyle name="20% - 强调文字颜色 5 2 2 13" xfId="12215" xr:uid="{00000000-0005-0000-0000-0000650F0000}"/>
    <cellStyle name="20% - 强调文字颜色 5 2 2 14" xfId="12217" xr:uid="{00000000-0005-0000-0000-0000660F0000}"/>
    <cellStyle name="20% - 强调文字颜色 5 2 2 2" xfId="12218" xr:uid="{00000000-0005-0000-0000-0000670F0000}"/>
    <cellStyle name="20% - 强调文字颜色 5 2 2 3" xfId="12221" xr:uid="{00000000-0005-0000-0000-0000680F0000}"/>
    <cellStyle name="20% - 强调文字颜色 5 2 2 4" xfId="12224" xr:uid="{00000000-0005-0000-0000-0000690F0000}"/>
    <cellStyle name="20% - 强调文字颜色 5 2 2 5" xfId="12228" xr:uid="{00000000-0005-0000-0000-00006A0F0000}"/>
    <cellStyle name="20% - 强调文字颜色 5 2 2 6" xfId="12232" xr:uid="{00000000-0005-0000-0000-00006B0F0000}"/>
    <cellStyle name="20% - 强调文字颜色 5 2 2 7" xfId="12236" xr:uid="{00000000-0005-0000-0000-00006C0F0000}"/>
    <cellStyle name="20% - 强调文字颜色 5 2 2 8" xfId="12238" xr:uid="{00000000-0005-0000-0000-00006D0F0000}"/>
    <cellStyle name="20% - 强调文字颜色 5 2 2 9" xfId="8318" xr:uid="{00000000-0005-0000-0000-00006E0F0000}"/>
    <cellStyle name="20% - 强调文字颜色 5 2 20" xfId="11568" xr:uid="{00000000-0005-0000-0000-00006F0F0000}"/>
    <cellStyle name="20% - 强调文字颜色 5 2 20 10" xfId="10141" xr:uid="{00000000-0005-0000-0000-0000700F0000}"/>
    <cellStyle name="20% - 强调文字颜色 5 2 20 11" xfId="12241" xr:uid="{00000000-0005-0000-0000-0000710F0000}"/>
    <cellStyle name="20% - 强调文字颜色 5 2 20 12" xfId="12242" xr:uid="{00000000-0005-0000-0000-0000720F0000}"/>
    <cellStyle name="20% - 强调文字颜色 5 2 20 13" xfId="12243" xr:uid="{00000000-0005-0000-0000-0000730F0000}"/>
    <cellStyle name="20% - 强调文字颜色 5 2 20 14" xfId="8229" xr:uid="{00000000-0005-0000-0000-0000740F0000}"/>
    <cellStyle name="20% - 强调文字颜色 5 2 20 2" xfId="7230" xr:uid="{00000000-0005-0000-0000-0000750F0000}"/>
    <cellStyle name="20% - 强调文字颜色 5 2 20 3" xfId="7237" xr:uid="{00000000-0005-0000-0000-0000760F0000}"/>
    <cellStyle name="20% - 强调文字颜色 5 2 20 4" xfId="7248" xr:uid="{00000000-0005-0000-0000-0000770F0000}"/>
    <cellStyle name="20% - 强调文字颜色 5 2 20 5" xfId="12246" xr:uid="{00000000-0005-0000-0000-0000780F0000}"/>
    <cellStyle name="20% - 强调文字颜色 5 2 20 5 10" xfId="12247" xr:uid="{00000000-0005-0000-0000-0000790F0000}"/>
    <cellStyle name="20% - 强调文字颜色 5 2 20 5 11" xfId="12249" xr:uid="{00000000-0005-0000-0000-00007A0F0000}"/>
    <cellStyle name="20% - 强调文字颜色 5 2 20 5 2" xfId="12255" xr:uid="{00000000-0005-0000-0000-00007B0F0000}"/>
    <cellStyle name="20% - 强调文字颜色 5 2 20 5 2 2" xfId="12259" xr:uid="{00000000-0005-0000-0000-00007C0F0000}"/>
    <cellStyle name="20% - 强调文字颜色 5 2 20 5 2 2 2" xfId="12260" xr:uid="{00000000-0005-0000-0000-00007D0F0000}"/>
    <cellStyle name="20% - 强调文字颜色 5 2 20 5 2 2 3" xfId="12261" xr:uid="{00000000-0005-0000-0000-00007E0F0000}"/>
    <cellStyle name="20% - 强调文字颜色 5 2 20 5 2 3" xfId="12262" xr:uid="{00000000-0005-0000-0000-00007F0F0000}"/>
    <cellStyle name="20% - 强调文字颜色 5 2 20 5 2 4" xfId="12263" xr:uid="{00000000-0005-0000-0000-0000800F0000}"/>
    <cellStyle name="20% - 强调文字颜色 5 2 20 5 2 5" xfId="12264" xr:uid="{00000000-0005-0000-0000-0000810F0000}"/>
    <cellStyle name="20% - 强调文字颜色 5 2 20 5 2 6" xfId="12265" xr:uid="{00000000-0005-0000-0000-0000820F0000}"/>
    <cellStyle name="20% - 强调文字颜色 5 2 20 5 2 7" xfId="12266" xr:uid="{00000000-0005-0000-0000-0000830F0000}"/>
    <cellStyle name="20% - 强调文字颜色 5 2 20 5 2 8" xfId="12267" xr:uid="{00000000-0005-0000-0000-0000840F0000}"/>
    <cellStyle name="20% - 强调文字颜色 5 2 20 5 3" xfId="12272" xr:uid="{00000000-0005-0000-0000-0000850F0000}"/>
    <cellStyle name="20% - 强调文字颜色 5 2 20 5 4" xfId="10099" xr:uid="{00000000-0005-0000-0000-0000860F0000}"/>
    <cellStyle name="20% - 强调文字颜色 5 2 20 5 5" xfId="10106" xr:uid="{00000000-0005-0000-0000-0000870F0000}"/>
    <cellStyle name="20% - 强调文字颜色 5 2 20 5 6" xfId="11952" xr:uid="{00000000-0005-0000-0000-0000880F0000}"/>
    <cellStyle name="20% - 强调文字颜色 5 2 20 5 6 2" xfId="10352" xr:uid="{00000000-0005-0000-0000-0000890F0000}"/>
    <cellStyle name="20% - 强调文字颜色 5 2 20 5 6 3" xfId="12275" xr:uid="{00000000-0005-0000-0000-00008A0F0000}"/>
    <cellStyle name="20% - 强调文字颜色 5 2 20 5 7" xfId="11959" xr:uid="{00000000-0005-0000-0000-00008B0F0000}"/>
    <cellStyle name="20% - 强调文字颜色 5 2 20 5 8" xfId="11963" xr:uid="{00000000-0005-0000-0000-00008C0F0000}"/>
    <cellStyle name="20% - 强调文字颜色 5 2 20 5 9" xfId="11970" xr:uid="{00000000-0005-0000-0000-00008D0F0000}"/>
    <cellStyle name="20% - 强调文字颜色 5 2 20 6" xfId="12278" xr:uid="{00000000-0005-0000-0000-00008E0F0000}"/>
    <cellStyle name="20% - 强调文字颜色 5 2 20 6 2" xfId="11249" xr:uid="{00000000-0005-0000-0000-00008F0F0000}"/>
    <cellStyle name="20% - 强调文字颜色 5 2 20 6 2 2" xfId="12284" xr:uid="{00000000-0005-0000-0000-0000900F0000}"/>
    <cellStyle name="20% - 强调文字颜色 5 2 20 6 2 3" xfId="12290" xr:uid="{00000000-0005-0000-0000-0000910F0000}"/>
    <cellStyle name="20% - 强调文字颜色 5 2 20 6 3" xfId="9280" xr:uid="{00000000-0005-0000-0000-0000920F0000}"/>
    <cellStyle name="20% - 强调文字颜色 5 2 20 6 4" xfId="9289" xr:uid="{00000000-0005-0000-0000-0000930F0000}"/>
    <cellStyle name="20% - 强调文字颜色 5 2 20 6 5" xfId="12297" xr:uid="{00000000-0005-0000-0000-0000940F0000}"/>
    <cellStyle name="20% - 强调文字颜色 5 2 20 6 6" xfId="12305" xr:uid="{00000000-0005-0000-0000-0000950F0000}"/>
    <cellStyle name="20% - 强调文字颜色 5 2 20 6 7" xfId="12309" xr:uid="{00000000-0005-0000-0000-0000960F0000}"/>
    <cellStyle name="20% - 强调文字颜色 5 2 20 6 8" xfId="12313" xr:uid="{00000000-0005-0000-0000-0000970F0000}"/>
    <cellStyle name="20% - 强调文字颜色 5 2 20 7" xfId="12317" xr:uid="{00000000-0005-0000-0000-0000980F0000}"/>
    <cellStyle name="20% - 强调文字颜色 5 2 20 8" xfId="2954" xr:uid="{00000000-0005-0000-0000-0000990F0000}"/>
    <cellStyle name="20% - 强调文字颜色 5 2 20 9" xfId="2970" xr:uid="{00000000-0005-0000-0000-00009A0F0000}"/>
    <cellStyle name="20% - 强调文字颜色 5 2 20 9 2" xfId="10405" xr:uid="{00000000-0005-0000-0000-00009B0F0000}"/>
    <cellStyle name="20% - 强调文字颜色 5 2 20 9 3" xfId="10417" xr:uid="{00000000-0005-0000-0000-00009C0F0000}"/>
    <cellStyle name="20% - 强调文字颜色 5 2 3" xfId="12319" xr:uid="{00000000-0005-0000-0000-00009D0F0000}"/>
    <cellStyle name="20% - 强调文字颜色 5 2 3 10" xfId="12322" xr:uid="{00000000-0005-0000-0000-00009E0F0000}"/>
    <cellStyle name="20% - 强调文字颜色 5 2 3 11" xfId="12326" xr:uid="{00000000-0005-0000-0000-00009F0F0000}"/>
    <cellStyle name="20% - 强调文字颜色 5 2 3 12" xfId="12329" xr:uid="{00000000-0005-0000-0000-0000A00F0000}"/>
    <cellStyle name="20% - 强调文字颜色 5 2 3 13" xfId="12331" xr:uid="{00000000-0005-0000-0000-0000A10F0000}"/>
    <cellStyle name="20% - 强调文字颜色 5 2 3 14" xfId="12333" xr:uid="{00000000-0005-0000-0000-0000A20F0000}"/>
    <cellStyle name="20% - 强调文字颜色 5 2 3 2" xfId="8510" xr:uid="{00000000-0005-0000-0000-0000A30F0000}"/>
    <cellStyle name="20% - 强调文字颜色 5 2 3 3" xfId="8517" xr:uid="{00000000-0005-0000-0000-0000A40F0000}"/>
    <cellStyle name="20% - 强调文字颜色 5 2 3 4" xfId="8524" xr:uid="{00000000-0005-0000-0000-0000A50F0000}"/>
    <cellStyle name="20% - 强调文字颜色 5 2 3 5" xfId="8532" xr:uid="{00000000-0005-0000-0000-0000A60F0000}"/>
    <cellStyle name="20% - 强调文字颜色 5 2 3 6" xfId="8538" xr:uid="{00000000-0005-0000-0000-0000A70F0000}"/>
    <cellStyle name="20% - 强调文字颜色 5 2 3 7" xfId="2774" xr:uid="{00000000-0005-0000-0000-0000A80F0000}"/>
    <cellStyle name="20% - 强调文字颜色 5 2 3 8" xfId="2782" xr:uid="{00000000-0005-0000-0000-0000A90F0000}"/>
    <cellStyle name="20% - 强调文字颜色 5 2 3 9" xfId="12334" xr:uid="{00000000-0005-0000-0000-0000AA0F0000}"/>
    <cellStyle name="20% - 强调文字颜色 5 2 4" xfId="12337" xr:uid="{00000000-0005-0000-0000-0000AB0F0000}"/>
    <cellStyle name="20% - 强调文字颜色 5 2 4 10" xfId="4592" xr:uid="{00000000-0005-0000-0000-0000AC0F0000}"/>
    <cellStyle name="20% - 强调文字颜色 5 2 4 11" xfId="4763" xr:uid="{00000000-0005-0000-0000-0000AD0F0000}"/>
    <cellStyle name="20% - 强调文字颜色 5 2 4 12" xfId="4775" xr:uid="{00000000-0005-0000-0000-0000AE0F0000}"/>
    <cellStyle name="20% - 强调文字颜色 5 2 4 13" xfId="4782" xr:uid="{00000000-0005-0000-0000-0000AF0F0000}"/>
    <cellStyle name="20% - 强调文字颜色 5 2 4 14" xfId="4788" xr:uid="{00000000-0005-0000-0000-0000B00F0000}"/>
    <cellStyle name="20% - 强调文字颜色 5 2 4 2" xfId="7024" xr:uid="{00000000-0005-0000-0000-0000B10F0000}"/>
    <cellStyle name="20% - 强调文字颜色 5 2 4 3" xfId="7032" xr:uid="{00000000-0005-0000-0000-0000B20F0000}"/>
    <cellStyle name="20% - 强调文字颜色 5 2 4 4" xfId="7045" xr:uid="{00000000-0005-0000-0000-0000B30F0000}"/>
    <cellStyle name="20% - 强调文字颜色 5 2 4 5" xfId="7054" xr:uid="{00000000-0005-0000-0000-0000B40F0000}"/>
    <cellStyle name="20% - 强调文字颜色 5 2 4 6" xfId="12338" xr:uid="{00000000-0005-0000-0000-0000B50F0000}"/>
    <cellStyle name="20% - 强调文字颜色 5 2 4 7" xfId="7208" xr:uid="{00000000-0005-0000-0000-0000B60F0000}"/>
    <cellStyle name="20% - 强调文字颜色 5 2 4 8" xfId="7214" xr:uid="{00000000-0005-0000-0000-0000B70F0000}"/>
    <cellStyle name="20% - 强调文字颜色 5 2 4 9" xfId="7180" xr:uid="{00000000-0005-0000-0000-0000B80F0000}"/>
    <cellStyle name="20% - 强调文字颜色 5 2 5" xfId="12343" xr:uid="{00000000-0005-0000-0000-0000B90F0000}"/>
    <cellStyle name="20% - 强调文字颜色 5 2 6" xfId="12345" xr:uid="{00000000-0005-0000-0000-0000BA0F0000}"/>
    <cellStyle name="20% - 强调文字颜色 5 2 7" xfId="12347" xr:uid="{00000000-0005-0000-0000-0000BB0F0000}"/>
    <cellStyle name="20% - 强调文字颜色 5 2 8" xfId="12248" xr:uid="{00000000-0005-0000-0000-0000BC0F0000}"/>
    <cellStyle name="20% - 强调文字颜色 5 2 9" xfId="12251" xr:uid="{00000000-0005-0000-0000-0000BD0F0000}"/>
    <cellStyle name="20% - 强调文字颜色 5 3" xfId="1105" xr:uid="{00000000-0005-0000-0000-0000BE0F0000}"/>
    <cellStyle name="20% - 强调文字颜色 5 3 10" xfId="12351" xr:uid="{00000000-0005-0000-0000-0000BF0F0000}"/>
    <cellStyle name="20% - 强调文字颜色 5 3 11" xfId="8810" xr:uid="{00000000-0005-0000-0000-0000C00F0000}"/>
    <cellStyle name="20% - 强调文字颜色 5 3 12" xfId="8826" xr:uid="{00000000-0005-0000-0000-0000C10F0000}"/>
    <cellStyle name="20% - 强调文字颜色 5 3 13" xfId="8833" xr:uid="{00000000-0005-0000-0000-0000C20F0000}"/>
    <cellStyle name="20% - 强调文字颜色 5 3 14" xfId="8842" xr:uid="{00000000-0005-0000-0000-0000C30F0000}"/>
    <cellStyle name="20% - 强调文字颜色 5 3 15" xfId="1374" xr:uid="{00000000-0005-0000-0000-0000C40F0000}"/>
    <cellStyle name="20% - 强调文字颜色 5 3 16" xfId="1387" xr:uid="{00000000-0005-0000-0000-0000C50F0000}"/>
    <cellStyle name="20% - 强调文字颜色 5 3 17" xfId="1400" xr:uid="{00000000-0005-0000-0000-0000C60F0000}"/>
    <cellStyle name="20% - 强调文字颜色 5 3 17 10" xfId="12352" xr:uid="{00000000-0005-0000-0000-0000C70F0000}"/>
    <cellStyle name="20% - 强调文字颜色 5 3 17 11" xfId="12364" xr:uid="{00000000-0005-0000-0000-0000C80F0000}"/>
    <cellStyle name="20% - 强调文字颜色 5 3 17 12" xfId="12381" xr:uid="{00000000-0005-0000-0000-0000C90F0000}"/>
    <cellStyle name="20% - 强调文字颜色 5 3 17 13" xfId="12387" xr:uid="{00000000-0005-0000-0000-0000CA0F0000}"/>
    <cellStyle name="20% - 强调文字颜色 5 3 17 14" xfId="12389" xr:uid="{00000000-0005-0000-0000-0000CB0F0000}"/>
    <cellStyle name="20% - 强调文字颜色 5 3 17 2" xfId="12391" xr:uid="{00000000-0005-0000-0000-0000CC0F0000}"/>
    <cellStyle name="20% - 强调文字颜色 5 3 17 2 2" xfId="12393" xr:uid="{00000000-0005-0000-0000-0000CD0F0000}"/>
    <cellStyle name="20% - 强调文字颜色 5 3 17 3" xfId="12395" xr:uid="{00000000-0005-0000-0000-0000CE0F0000}"/>
    <cellStyle name="20% - 强调文字颜色 5 3 17 4" xfId="12397" xr:uid="{00000000-0005-0000-0000-0000CF0F0000}"/>
    <cellStyle name="20% - 强调文字颜色 5 3 17 5" xfId="12399" xr:uid="{00000000-0005-0000-0000-0000D00F0000}"/>
    <cellStyle name="20% - 强调文字颜色 5 3 17 5 10" xfId="3293" xr:uid="{00000000-0005-0000-0000-0000D10F0000}"/>
    <cellStyle name="20% - 强调文字颜色 5 3 17 5 11" xfId="3873" xr:uid="{00000000-0005-0000-0000-0000D20F0000}"/>
    <cellStyle name="20% - 强调文字颜色 5 3 17 5 2" xfId="12403" xr:uid="{00000000-0005-0000-0000-0000D30F0000}"/>
    <cellStyle name="20% - 强调文字颜色 5 3 17 5 2 2" xfId="12404" xr:uid="{00000000-0005-0000-0000-0000D40F0000}"/>
    <cellStyle name="20% - 强调文字颜色 5 3 17 5 2 2 2" xfId="12408" xr:uid="{00000000-0005-0000-0000-0000D50F0000}"/>
    <cellStyle name="20% - 强调文字颜色 5 3 17 5 2 2 3" xfId="12409" xr:uid="{00000000-0005-0000-0000-0000D60F0000}"/>
    <cellStyle name="20% - 强调文字颜色 5 3 17 5 2 3" xfId="12411" xr:uid="{00000000-0005-0000-0000-0000D70F0000}"/>
    <cellStyle name="20% - 强调文字颜色 5 3 17 5 2 4" xfId="12413" xr:uid="{00000000-0005-0000-0000-0000D80F0000}"/>
    <cellStyle name="20% - 强调文字颜色 5 3 17 5 2 5" xfId="12415" xr:uid="{00000000-0005-0000-0000-0000D90F0000}"/>
    <cellStyle name="20% - 强调文字颜色 5 3 17 5 2 6" xfId="12418" xr:uid="{00000000-0005-0000-0000-0000DA0F0000}"/>
    <cellStyle name="20% - 强调文字颜色 5 3 17 5 2 7" xfId="12421" xr:uid="{00000000-0005-0000-0000-0000DB0F0000}"/>
    <cellStyle name="20% - 强调文字颜色 5 3 17 5 2 8" xfId="1846" xr:uid="{00000000-0005-0000-0000-0000DC0F0000}"/>
    <cellStyle name="20% - 强调文字颜色 5 3 17 5 3" xfId="12426" xr:uid="{00000000-0005-0000-0000-0000DD0F0000}"/>
    <cellStyle name="20% - 强调文字颜色 5 3 17 5 4" xfId="12430" xr:uid="{00000000-0005-0000-0000-0000DE0F0000}"/>
    <cellStyle name="20% - 强调文字颜色 5 3 17 5 5" xfId="8421" xr:uid="{00000000-0005-0000-0000-0000DF0F0000}"/>
    <cellStyle name="20% - 强调文字颜色 5 3 17 5 6" xfId="8431" xr:uid="{00000000-0005-0000-0000-0000E00F0000}"/>
    <cellStyle name="20% - 强调文字颜色 5 3 17 5 6 2" xfId="12431" xr:uid="{00000000-0005-0000-0000-0000E10F0000}"/>
    <cellStyle name="20% - 强调文字颜色 5 3 17 5 6 3" xfId="12432" xr:uid="{00000000-0005-0000-0000-0000E20F0000}"/>
    <cellStyle name="20% - 强调文字颜色 5 3 17 5 7" xfId="8442" xr:uid="{00000000-0005-0000-0000-0000E30F0000}"/>
    <cellStyle name="20% - 强调文字颜色 5 3 17 5 8" xfId="8444" xr:uid="{00000000-0005-0000-0000-0000E40F0000}"/>
    <cellStyle name="20% - 强调文字颜色 5 3 17 5 9" xfId="8451" xr:uid="{00000000-0005-0000-0000-0000E50F0000}"/>
    <cellStyle name="20% - 强调文字颜色 5 3 17 6" xfId="12435" xr:uid="{00000000-0005-0000-0000-0000E60F0000}"/>
    <cellStyle name="20% - 强调文字颜色 5 3 17 6 2" xfId="12439" xr:uid="{00000000-0005-0000-0000-0000E70F0000}"/>
    <cellStyle name="20% - 强调文字颜色 5 3 17 6 2 2" xfId="12440" xr:uid="{00000000-0005-0000-0000-0000E80F0000}"/>
    <cellStyle name="20% - 强调文字颜色 5 3 17 6 2 3" xfId="12442" xr:uid="{00000000-0005-0000-0000-0000E90F0000}"/>
    <cellStyle name="20% - 强调文字颜色 5 3 17 6 3" xfId="3706" xr:uid="{00000000-0005-0000-0000-0000EA0F0000}"/>
    <cellStyle name="20% - 强调文字颜色 5 3 17 6 4" xfId="3717" xr:uid="{00000000-0005-0000-0000-0000EB0F0000}"/>
    <cellStyle name="20% - 强调文字颜色 5 3 17 6 5" xfId="3731" xr:uid="{00000000-0005-0000-0000-0000EC0F0000}"/>
    <cellStyle name="20% - 强调文字颜色 5 3 17 6 6" xfId="11159" xr:uid="{00000000-0005-0000-0000-0000ED0F0000}"/>
    <cellStyle name="20% - 强调文字颜色 5 3 17 6 7" xfId="12443" xr:uid="{00000000-0005-0000-0000-0000EE0F0000}"/>
    <cellStyle name="20% - 强调文字颜色 5 3 17 6 8" xfId="12444" xr:uid="{00000000-0005-0000-0000-0000EF0F0000}"/>
    <cellStyle name="20% - 强调文字颜色 5 3 17 7" xfId="12447" xr:uid="{00000000-0005-0000-0000-0000F00F0000}"/>
    <cellStyle name="20% - 强调文字颜色 5 3 17 8" xfId="8189" xr:uid="{00000000-0005-0000-0000-0000F10F0000}"/>
    <cellStyle name="20% - 强调文字颜色 5 3 17 9" xfId="8198" xr:uid="{00000000-0005-0000-0000-0000F20F0000}"/>
    <cellStyle name="20% - 强调文字颜色 5 3 17 9 2" xfId="12448" xr:uid="{00000000-0005-0000-0000-0000F30F0000}"/>
    <cellStyle name="20% - 强调文字颜色 5 3 17 9 3" xfId="12449" xr:uid="{00000000-0005-0000-0000-0000F40F0000}"/>
    <cellStyle name="20% - 强调文字颜色 5 3 18" xfId="1416" xr:uid="{00000000-0005-0000-0000-0000F50F0000}"/>
    <cellStyle name="20% - 强调文字颜色 5 3 18 10" xfId="1431" xr:uid="{00000000-0005-0000-0000-0000F60F0000}"/>
    <cellStyle name="20% - 强调文字颜色 5 3 18 11" xfId="1463" xr:uid="{00000000-0005-0000-0000-0000F70F0000}"/>
    <cellStyle name="20% - 强调文字颜色 5 3 18 12" xfId="12451" xr:uid="{00000000-0005-0000-0000-0000F80F0000}"/>
    <cellStyle name="20% - 强调文字颜色 5 3 18 13" xfId="12452" xr:uid="{00000000-0005-0000-0000-0000F90F0000}"/>
    <cellStyle name="20% - 强调文字颜色 5 3 18 14" xfId="12453" xr:uid="{00000000-0005-0000-0000-0000FA0F0000}"/>
    <cellStyle name="20% - 强调文字颜色 5 3 18 2" xfId="1481" xr:uid="{00000000-0005-0000-0000-0000FB0F0000}"/>
    <cellStyle name="20% - 强调文字颜色 5 3 18 3" xfId="1575" xr:uid="{00000000-0005-0000-0000-0000FC0F0000}"/>
    <cellStyle name="20% - 强调文字颜色 5 3 18 4" xfId="1580" xr:uid="{00000000-0005-0000-0000-0000FD0F0000}"/>
    <cellStyle name="20% - 强调文字颜色 5 3 18 5" xfId="1595" xr:uid="{00000000-0005-0000-0000-0000FE0F0000}"/>
    <cellStyle name="20% - 强调文字颜色 5 3 18 5 10" xfId="4293" xr:uid="{00000000-0005-0000-0000-0000FF0F0000}"/>
    <cellStyle name="20% - 强调文字颜色 5 3 18 5 11" xfId="3951" xr:uid="{00000000-0005-0000-0000-000000100000}"/>
    <cellStyle name="20% - 强调文字颜色 5 3 18 5 2" xfId="12457" xr:uid="{00000000-0005-0000-0000-000001100000}"/>
    <cellStyle name="20% - 强调文字颜色 5 3 18 5 2 2" xfId="12459" xr:uid="{00000000-0005-0000-0000-000002100000}"/>
    <cellStyle name="20% - 强调文字颜色 5 3 18 5 2 2 2" xfId="12460" xr:uid="{00000000-0005-0000-0000-000003100000}"/>
    <cellStyle name="20% - 强调文字颜色 5 3 18 5 2 2 3" xfId="8856" xr:uid="{00000000-0005-0000-0000-000004100000}"/>
    <cellStyle name="20% - 强调文字颜色 5 3 18 5 2 3" xfId="12462" xr:uid="{00000000-0005-0000-0000-000005100000}"/>
    <cellStyle name="20% - 强调文字颜色 5 3 18 5 2 4" xfId="12463" xr:uid="{00000000-0005-0000-0000-000006100000}"/>
    <cellStyle name="20% - 强调文字颜色 5 3 18 5 2 5" xfId="12464" xr:uid="{00000000-0005-0000-0000-000007100000}"/>
    <cellStyle name="20% - 强调文字颜色 5 3 18 5 2 6" xfId="12466" xr:uid="{00000000-0005-0000-0000-000008100000}"/>
    <cellStyle name="20% - 强调文字颜色 5 3 18 5 2 7" xfId="12469" xr:uid="{00000000-0005-0000-0000-000009100000}"/>
    <cellStyle name="20% - 强调文字颜色 5 3 18 5 2 8" xfId="4045" xr:uid="{00000000-0005-0000-0000-00000A100000}"/>
    <cellStyle name="20% - 强调文字颜色 5 3 18 5 3" xfId="12474" xr:uid="{00000000-0005-0000-0000-00000B100000}"/>
    <cellStyle name="20% - 强调文字颜色 5 3 18 5 4" xfId="12479" xr:uid="{00000000-0005-0000-0000-00000C100000}"/>
    <cellStyle name="20% - 强调文字颜色 5 3 18 5 5" xfId="12485" xr:uid="{00000000-0005-0000-0000-00000D100000}"/>
    <cellStyle name="20% - 强调文字颜色 5 3 18 5 6" xfId="12489" xr:uid="{00000000-0005-0000-0000-00000E100000}"/>
    <cellStyle name="20% - 强调文字颜色 5 3 18 5 6 2" xfId="11319" xr:uid="{00000000-0005-0000-0000-00000F100000}"/>
    <cellStyle name="20% - 强调文字颜色 5 3 18 5 6 3" xfId="11324" xr:uid="{00000000-0005-0000-0000-000010100000}"/>
    <cellStyle name="20% - 强调文字颜色 5 3 18 5 7" xfId="12496" xr:uid="{00000000-0005-0000-0000-000011100000}"/>
    <cellStyle name="20% - 强调文字颜色 5 3 18 5 8" xfId="12500" xr:uid="{00000000-0005-0000-0000-000012100000}"/>
    <cellStyle name="20% - 强调文字颜色 5 3 18 5 9" xfId="12501" xr:uid="{00000000-0005-0000-0000-000013100000}"/>
    <cellStyle name="20% - 强调文字颜色 5 3 18 6" xfId="1610" xr:uid="{00000000-0005-0000-0000-000014100000}"/>
    <cellStyle name="20% - 强调文字颜色 5 3 18 6 2" xfId="12503" xr:uid="{00000000-0005-0000-0000-000015100000}"/>
    <cellStyle name="20% - 强调文字颜色 5 3 18 6 2 2" xfId="12505" xr:uid="{00000000-0005-0000-0000-000016100000}"/>
    <cellStyle name="20% - 强调文字颜色 5 3 18 6 2 3" xfId="12507" xr:uid="{00000000-0005-0000-0000-000017100000}"/>
    <cellStyle name="20% - 强调文字颜色 5 3 18 6 3" xfId="440" xr:uid="{00000000-0005-0000-0000-000018100000}"/>
    <cellStyle name="20% - 强调文字颜色 5 3 18 6 4" xfId="11138" xr:uid="{00000000-0005-0000-0000-000019100000}"/>
    <cellStyle name="20% - 强调文字颜色 5 3 18 6 5" xfId="11142" xr:uid="{00000000-0005-0000-0000-00001A100000}"/>
    <cellStyle name="20% - 强调文字颜色 5 3 18 6 6" xfId="11146" xr:uid="{00000000-0005-0000-0000-00001B100000}"/>
    <cellStyle name="20% - 强调文字颜色 5 3 18 6 7" xfId="11148" xr:uid="{00000000-0005-0000-0000-00001C100000}"/>
    <cellStyle name="20% - 强调文字颜色 5 3 18 6 8" xfId="12508" xr:uid="{00000000-0005-0000-0000-00001D100000}"/>
    <cellStyle name="20% - 强调文字颜色 5 3 18 7" xfId="1635" xr:uid="{00000000-0005-0000-0000-00001E100000}"/>
    <cellStyle name="20% - 强调文字颜色 5 3 18 8" xfId="1651" xr:uid="{00000000-0005-0000-0000-00001F100000}"/>
    <cellStyle name="20% - 强调文字颜色 5 3 18 9" xfId="1666" xr:uid="{00000000-0005-0000-0000-000020100000}"/>
    <cellStyle name="20% - 强调文字颜色 5 3 18 9 2" xfId="12509" xr:uid="{00000000-0005-0000-0000-000021100000}"/>
    <cellStyle name="20% - 强调文字颜色 5 3 18 9 3" xfId="12511" xr:uid="{00000000-0005-0000-0000-000022100000}"/>
    <cellStyle name="20% - 强调文字颜色 5 3 19" xfId="1678" xr:uid="{00000000-0005-0000-0000-000023100000}"/>
    <cellStyle name="20% - 强调文字颜色 5 3 19 10" xfId="11546" xr:uid="{00000000-0005-0000-0000-000024100000}"/>
    <cellStyle name="20% - 强调文字颜色 5 3 19 11" xfId="11560" xr:uid="{00000000-0005-0000-0000-000025100000}"/>
    <cellStyle name="20% - 强调文字颜色 5 3 19 12" xfId="3909" xr:uid="{00000000-0005-0000-0000-000026100000}"/>
    <cellStyle name="20% - 强调文字颜色 5 3 19 13" xfId="2629" xr:uid="{00000000-0005-0000-0000-000027100000}"/>
    <cellStyle name="20% - 强调文字颜色 5 3 19 14" xfId="11563" xr:uid="{00000000-0005-0000-0000-000028100000}"/>
    <cellStyle name="20% - 强调文字颜色 5 3 19 2" xfId="12513" xr:uid="{00000000-0005-0000-0000-000029100000}"/>
    <cellStyle name="20% - 强调文字颜色 5 3 19 3" xfId="12523" xr:uid="{00000000-0005-0000-0000-00002A100000}"/>
    <cellStyle name="20% - 强调文字颜色 5 3 19 4" xfId="12534" xr:uid="{00000000-0005-0000-0000-00002B100000}"/>
    <cellStyle name="20% - 强调文字颜色 5 3 19 5" xfId="12540" xr:uid="{00000000-0005-0000-0000-00002C100000}"/>
    <cellStyle name="20% - 强调文字颜色 5 3 19 5 10" xfId="12542" xr:uid="{00000000-0005-0000-0000-00002D100000}"/>
    <cellStyle name="20% - 强调文字颜色 5 3 19 5 11" xfId="5731" xr:uid="{00000000-0005-0000-0000-00002E100000}"/>
    <cellStyle name="20% - 强调文字颜色 5 3 19 5 2" xfId="12547" xr:uid="{00000000-0005-0000-0000-00002F100000}"/>
    <cellStyle name="20% - 强调文字颜色 5 3 19 5 2 2" xfId="12549" xr:uid="{00000000-0005-0000-0000-000030100000}"/>
    <cellStyle name="20% - 强调文字颜色 5 3 19 5 2 2 2" xfId="12556" xr:uid="{00000000-0005-0000-0000-000031100000}"/>
    <cellStyle name="20% - 强调文字颜色 5 3 19 5 2 2 3" xfId="12559" xr:uid="{00000000-0005-0000-0000-000032100000}"/>
    <cellStyle name="20% - 强调文字颜色 5 3 19 5 2 3" xfId="12561" xr:uid="{00000000-0005-0000-0000-000033100000}"/>
    <cellStyle name="20% - 强调文字颜色 5 3 19 5 2 4" xfId="12566" xr:uid="{00000000-0005-0000-0000-000034100000}"/>
    <cellStyle name="20% - 强调文字颜色 5 3 19 5 2 5" xfId="12571" xr:uid="{00000000-0005-0000-0000-000035100000}"/>
    <cellStyle name="20% - 强调文字颜色 5 3 19 5 2 6" xfId="12576" xr:uid="{00000000-0005-0000-0000-000036100000}"/>
    <cellStyle name="20% - 强调文字颜色 5 3 19 5 2 7" xfId="10871" xr:uid="{00000000-0005-0000-0000-000037100000}"/>
    <cellStyle name="20% - 强调文字颜色 5 3 19 5 2 8" xfId="11039" xr:uid="{00000000-0005-0000-0000-000038100000}"/>
    <cellStyle name="20% - 强调文字颜色 5 3 19 5 3" xfId="12583" xr:uid="{00000000-0005-0000-0000-000039100000}"/>
    <cellStyle name="20% - 强调文字颜色 5 3 19 5 4" xfId="12588" xr:uid="{00000000-0005-0000-0000-00003A100000}"/>
    <cellStyle name="20% - 强调文字颜色 5 3 19 5 5" xfId="12592" xr:uid="{00000000-0005-0000-0000-00003B100000}"/>
    <cellStyle name="20% - 强调文字颜色 5 3 19 5 6" xfId="12598" xr:uid="{00000000-0005-0000-0000-00003C100000}"/>
    <cellStyle name="20% - 强调文字颜色 5 3 19 5 6 2" xfId="6860" xr:uid="{00000000-0005-0000-0000-00003D100000}"/>
    <cellStyle name="20% - 强调文字颜色 5 3 19 5 6 3" xfId="2320" xr:uid="{00000000-0005-0000-0000-00003E100000}"/>
    <cellStyle name="20% - 强调文字颜色 5 3 19 5 7" xfId="12604" xr:uid="{00000000-0005-0000-0000-00003F100000}"/>
    <cellStyle name="20% - 强调文字颜色 5 3 19 5 8" xfId="12606" xr:uid="{00000000-0005-0000-0000-000040100000}"/>
    <cellStyle name="20% - 强调文字颜色 5 3 19 5 9" xfId="12609" xr:uid="{00000000-0005-0000-0000-000041100000}"/>
    <cellStyle name="20% - 强调文字颜色 5 3 19 6" xfId="12612" xr:uid="{00000000-0005-0000-0000-000042100000}"/>
    <cellStyle name="20% - 强调文字颜色 5 3 19 6 2" xfId="12615" xr:uid="{00000000-0005-0000-0000-000043100000}"/>
    <cellStyle name="20% - 强调文字颜色 5 3 19 6 2 2" xfId="12618" xr:uid="{00000000-0005-0000-0000-000044100000}"/>
    <cellStyle name="20% - 强调文字颜色 5 3 19 6 2 3" xfId="12627" xr:uid="{00000000-0005-0000-0000-000045100000}"/>
    <cellStyle name="20% - 强调文字颜色 5 3 19 6 3" xfId="12639" xr:uid="{00000000-0005-0000-0000-000046100000}"/>
    <cellStyle name="20% - 强调文字颜色 5 3 19 6 4" xfId="12646" xr:uid="{00000000-0005-0000-0000-000047100000}"/>
    <cellStyle name="20% - 强调文字颜色 5 3 19 6 5" xfId="12652" xr:uid="{00000000-0005-0000-0000-000048100000}"/>
    <cellStyle name="20% - 强调文字颜色 5 3 19 6 6" xfId="12658" xr:uid="{00000000-0005-0000-0000-000049100000}"/>
    <cellStyle name="20% - 强调文字颜色 5 3 19 6 7" xfId="12661" xr:uid="{00000000-0005-0000-0000-00004A100000}"/>
    <cellStyle name="20% - 强调文字颜色 5 3 19 6 8" xfId="12664" xr:uid="{00000000-0005-0000-0000-00004B100000}"/>
    <cellStyle name="20% - 强调文字颜色 5 3 19 7" xfId="12668" xr:uid="{00000000-0005-0000-0000-00004C100000}"/>
    <cellStyle name="20% - 强调文字颜色 5 3 19 8" xfId="1788" xr:uid="{00000000-0005-0000-0000-00004D100000}"/>
    <cellStyle name="20% - 强调文字颜色 5 3 19 9" xfId="2179" xr:uid="{00000000-0005-0000-0000-00004E100000}"/>
    <cellStyle name="20% - 强调文字颜色 5 3 19 9 2" xfId="12670" xr:uid="{00000000-0005-0000-0000-00004F100000}"/>
    <cellStyle name="20% - 强调文字颜色 5 3 19 9 3" xfId="12671" xr:uid="{00000000-0005-0000-0000-000050100000}"/>
    <cellStyle name="20% - 强调文字颜色 5 3 2" xfId="12672" xr:uid="{00000000-0005-0000-0000-000051100000}"/>
    <cellStyle name="20% - 强调文字颜色 5 3 2 10" xfId="12673" xr:uid="{00000000-0005-0000-0000-000052100000}"/>
    <cellStyle name="20% - 强调文字颜色 5 3 2 11" xfId="12674" xr:uid="{00000000-0005-0000-0000-000053100000}"/>
    <cellStyle name="20% - 强调文字颜色 5 3 2 12" xfId="12675" xr:uid="{00000000-0005-0000-0000-000054100000}"/>
    <cellStyle name="20% - 强调文字颜色 5 3 2 13" xfId="12677" xr:uid="{00000000-0005-0000-0000-000055100000}"/>
    <cellStyle name="20% - 强调文字颜色 5 3 2 14" xfId="12679" xr:uid="{00000000-0005-0000-0000-000056100000}"/>
    <cellStyle name="20% - 强调文字颜色 5 3 2 2" xfId="12680" xr:uid="{00000000-0005-0000-0000-000057100000}"/>
    <cellStyle name="20% - 强调文字颜色 5 3 2 3" xfId="12681" xr:uid="{00000000-0005-0000-0000-000058100000}"/>
    <cellStyle name="20% - 强调文字颜色 5 3 2 4" xfId="12682" xr:uid="{00000000-0005-0000-0000-000059100000}"/>
    <cellStyle name="20% - 强调文字颜色 5 3 2 5" xfId="12683" xr:uid="{00000000-0005-0000-0000-00005A100000}"/>
    <cellStyle name="20% - 强调文字颜色 5 3 2 6" xfId="12684" xr:uid="{00000000-0005-0000-0000-00005B100000}"/>
    <cellStyle name="20% - 强调文字颜色 5 3 2 7" xfId="12685" xr:uid="{00000000-0005-0000-0000-00005C100000}"/>
    <cellStyle name="20% - 强调文字颜色 5 3 2 8" xfId="12689" xr:uid="{00000000-0005-0000-0000-00005D100000}"/>
    <cellStyle name="20% - 强调文字颜色 5 3 2 9" xfId="5099" xr:uid="{00000000-0005-0000-0000-00005E100000}"/>
    <cellStyle name="20% - 强调文字颜色 5 3 20" xfId="1376" xr:uid="{00000000-0005-0000-0000-00005F100000}"/>
    <cellStyle name="20% - 强调文字颜色 5 3 20 10" xfId="12690" xr:uid="{00000000-0005-0000-0000-000060100000}"/>
    <cellStyle name="20% - 强调文字颜色 5 3 20 11" xfId="12691" xr:uid="{00000000-0005-0000-0000-000061100000}"/>
    <cellStyle name="20% - 强调文字颜色 5 3 20 12" xfId="8688" xr:uid="{00000000-0005-0000-0000-000062100000}"/>
    <cellStyle name="20% - 强调文字颜色 5 3 20 13" xfId="8701" xr:uid="{00000000-0005-0000-0000-000063100000}"/>
    <cellStyle name="20% - 强调文字颜色 5 3 20 14" xfId="8706" xr:uid="{00000000-0005-0000-0000-000064100000}"/>
    <cellStyle name="20% - 强调文字颜色 5 3 20 2" xfId="8845" xr:uid="{00000000-0005-0000-0000-000065100000}"/>
    <cellStyle name="20% - 强调文字颜色 5 3 20 3" xfId="6624" xr:uid="{00000000-0005-0000-0000-000066100000}"/>
    <cellStyle name="20% - 强调文字颜色 5 3 20 4" xfId="6631" xr:uid="{00000000-0005-0000-0000-000067100000}"/>
    <cellStyle name="20% - 强调文字颜色 5 3 20 5" xfId="6638" xr:uid="{00000000-0005-0000-0000-000068100000}"/>
    <cellStyle name="20% - 强调文字颜色 5 3 20 5 10" xfId="12693" xr:uid="{00000000-0005-0000-0000-000069100000}"/>
    <cellStyle name="20% - 强调文字颜色 5 3 20 5 11" xfId="12696" xr:uid="{00000000-0005-0000-0000-00006A100000}"/>
    <cellStyle name="20% - 强调文字颜色 5 3 20 5 2" xfId="12699" xr:uid="{00000000-0005-0000-0000-00006B100000}"/>
    <cellStyle name="20% - 强调文字颜色 5 3 20 5 2 2" xfId="12700" xr:uid="{00000000-0005-0000-0000-00006C100000}"/>
    <cellStyle name="20% - 强调文字颜色 5 3 20 5 2 2 2" xfId="12667" xr:uid="{00000000-0005-0000-0000-00006D100000}"/>
    <cellStyle name="20% - 强调文字颜色 5 3 20 5 2 2 3" xfId="1787" xr:uid="{00000000-0005-0000-0000-00006E100000}"/>
    <cellStyle name="20% - 强调文字颜色 5 3 20 5 2 3" xfId="12701" xr:uid="{00000000-0005-0000-0000-00006F100000}"/>
    <cellStyle name="20% - 强调文字颜色 5 3 20 5 2 4" xfId="12702" xr:uid="{00000000-0005-0000-0000-000070100000}"/>
    <cellStyle name="20% - 强调文字颜色 5 3 20 5 2 5" xfId="12703" xr:uid="{00000000-0005-0000-0000-000071100000}"/>
    <cellStyle name="20% - 强调文字颜色 5 3 20 5 2 6" xfId="12704" xr:uid="{00000000-0005-0000-0000-000072100000}"/>
    <cellStyle name="20% - 强调文字颜色 5 3 20 5 2 7" xfId="12706" xr:uid="{00000000-0005-0000-0000-000073100000}"/>
    <cellStyle name="20% - 强调文字颜色 5 3 20 5 2 8" xfId="12708" xr:uid="{00000000-0005-0000-0000-000074100000}"/>
    <cellStyle name="20% - 强调文字颜色 5 3 20 5 3" xfId="12711" xr:uid="{00000000-0005-0000-0000-000075100000}"/>
    <cellStyle name="20% - 强调文字颜色 5 3 20 5 4" xfId="12715" xr:uid="{00000000-0005-0000-0000-000076100000}"/>
    <cellStyle name="20% - 强调文字颜色 5 3 20 5 5" xfId="12719" xr:uid="{00000000-0005-0000-0000-000077100000}"/>
    <cellStyle name="20% - 强调文字颜色 5 3 20 5 6" xfId="12723" xr:uid="{00000000-0005-0000-0000-000078100000}"/>
    <cellStyle name="20% - 强调文字颜色 5 3 20 5 6 2" xfId="12725" xr:uid="{00000000-0005-0000-0000-000079100000}"/>
    <cellStyle name="20% - 强调文字颜色 5 3 20 5 6 3" xfId="12726" xr:uid="{00000000-0005-0000-0000-00007A100000}"/>
    <cellStyle name="20% - 强调文字颜色 5 3 20 5 7" xfId="12729" xr:uid="{00000000-0005-0000-0000-00007B100000}"/>
    <cellStyle name="20% - 强调文字颜色 5 3 20 5 8" xfId="12730" xr:uid="{00000000-0005-0000-0000-00007C100000}"/>
    <cellStyle name="20% - 强调文字颜色 5 3 20 5 9" xfId="12731" xr:uid="{00000000-0005-0000-0000-00007D100000}"/>
    <cellStyle name="20% - 强调文字颜色 5 3 20 6" xfId="6644" xr:uid="{00000000-0005-0000-0000-00007E100000}"/>
    <cellStyle name="20% - 强调文字颜色 5 3 20 6 2" xfId="12737" xr:uid="{00000000-0005-0000-0000-00007F100000}"/>
    <cellStyle name="20% - 强调文字颜色 5 3 20 6 2 2" xfId="12740" xr:uid="{00000000-0005-0000-0000-000080100000}"/>
    <cellStyle name="20% - 强调文字颜色 5 3 20 6 2 3" xfId="12743" xr:uid="{00000000-0005-0000-0000-000081100000}"/>
    <cellStyle name="20% - 强调文字颜色 5 3 20 6 3" xfId="12750" xr:uid="{00000000-0005-0000-0000-000082100000}"/>
    <cellStyle name="20% - 强调文字颜色 5 3 20 6 4" xfId="12756" xr:uid="{00000000-0005-0000-0000-000083100000}"/>
    <cellStyle name="20% - 强调文字颜色 5 3 20 6 5" xfId="12763" xr:uid="{00000000-0005-0000-0000-000084100000}"/>
    <cellStyle name="20% - 强调文字颜色 5 3 20 6 6" xfId="12773" xr:uid="{00000000-0005-0000-0000-000085100000}"/>
    <cellStyle name="20% - 强调文字颜色 5 3 20 6 7" xfId="12775" xr:uid="{00000000-0005-0000-0000-000086100000}"/>
    <cellStyle name="20% - 强调文字颜色 5 3 20 6 8" xfId="6731" xr:uid="{00000000-0005-0000-0000-000087100000}"/>
    <cellStyle name="20% - 强调文字颜色 5 3 20 7" xfId="6651" xr:uid="{00000000-0005-0000-0000-000088100000}"/>
    <cellStyle name="20% - 强调文字颜色 5 3 20 8" xfId="324" xr:uid="{00000000-0005-0000-0000-000089100000}"/>
    <cellStyle name="20% - 强调文字颜色 5 3 20 9" xfId="599" xr:uid="{00000000-0005-0000-0000-00008A100000}"/>
    <cellStyle name="20% - 强调文字颜色 5 3 20 9 2" xfId="12777" xr:uid="{00000000-0005-0000-0000-00008B100000}"/>
    <cellStyle name="20% - 强调文字颜色 5 3 20 9 3" xfId="12779" xr:uid="{00000000-0005-0000-0000-00008C100000}"/>
    <cellStyle name="20% - 强调文字颜色 5 3 3" xfId="12780" xr:uid="{00000000-0005-0000-0000-00008D100000}"/>
    <cellStyle name="20% - 强调文字颜色 5 3 3 10" xfId="12787" xr:uid="{00000000-0005-0000-0000-00008E100000}"/>
    <cellStyle name="20% - 强调文字颜色 5 3 3 11" xfId="12792" xr:uid="{00000000-0005-0000-0000-00008F100000}"/>
    <cellStyle name="20% - 强调文字颜色 5 3 3 12" xfId="12797" xr:uid="{00000000-0005-0000-0000-000090100000}"/>
    <cellStyle name="20% - 强调文字颜色 5 3 3 13" xfId="12802" xr:uid="{00000000-0005-0000-0000-000091100000}"/>
    <cellStyle name="20% - 强调文字颜色 5 3 3 14" xfId="12808" xr:uid="{00000000-0005-0000-0000-000092100000}"/>
    <cellStyle name="20% - 强调文字颜色 5 3 3 2" xfId="12810" xr:uid="{00000000-0005-0000-0000-000093100000}"/>
    <cellStyle name="20% - 强调文字颜色 5 3 3 3" xfId="12811" xr:uid="{00000000-0005-0000-0000-000094100000}"/>
    <cellStyle name="20% - 强调文字颜色 5 3 3 4" xfId="12812" xr:uid="{00000000-0005-0000-0000-000095100000}"/>
    <cellStyle name="20% - 强调文字颜色 5 3 3 5" xfId="12813" xr:uid="{00000000-0005-0000-0000-000096100000}"/>
    <cellStyle name="20% - 强调文字颜色 5 3 3 6" xfId="12815" xr:uid="{00000000-0005-0000-0000-000097100000}"/>
    <cellStyle name="20% - 强调文字颜色 5 3 3 7" xfId="12817" xr:uid="{00000000-0005-0000-0000-000098100000}"/>
    <cellStyle name="20% - 强调文字颜色 5 3 3 8" xfId="12820" xr:uid="{00000000-0005-0000-0000-000099100000}"/>
    <cellStyle name="20% - 强调文字颜色 5 3 3 9" xfId="12826" xr:uid="{00000000-0005-0000-0000-00009A100000}"/>
    <cellStyle name="20% - 强调文字颜色 5 3 4" xfId="12828" xr:uid="{00000000-0005-0000-0000-00009B100000}"/>
    <cellStyle name="20% - 强调文字颜色 5 3 4 10" xfId="12830" xr:uid="{00000000-0005-0000-0000-00009C100000}"/>
    <cellStyle name="20% - 强调文字颜色 5 3 4 11" xfId="12831" xr:uid="{00000000-0005-0000-0000-00009D100000}"/>
    <cellStyle name="20% - 强调文字颜色 5 3 4 12" xfId="12833" xr:uid="{00000000-0005-0000-0000-00009E100000}"/>
    <cellStyle name="20% - 强调文字颜色 5 3 4 13" xfId="12836" xr:uid="{00000000-0005-0000-0000-00009F100000}"/>
    <cellStyle name="20% - 强调文字颜色 5 3 4 14" xfId="12840" xr:uid="{00000000-0005-0000-0000-0000A0100000}"/>
    <cellStyle name="20% - 强调文字颜色 5 3 4 2" xfId="12843" xr:uid="{00000000-0005-0000-0000-0000A1100000}"/>
    <cellStyle name="20% - 强调文字颜色 5 3 4 3" xfId="12844" xr:uid="{00000000-0005-0000-0000-0000A2100000}"/>
    <cellStyle name="20% - 强调文字颜色 5 3 4 4" xfId="5323" xr:uid="{00000000-0005-0000-0000-0000A3100000}"/>
    <cellStyle name="20% - 强调文字颜色 5 3 4 5" xfId="5325" xr:uid="{00000000-0005-0000-0000-0000A4100000}"/>
    <cellStyle name="20% - 强调文字颜色 5 3 4 6" xfId="8806" xr:uid="{00000000-0005-0000-0000-0000A5100000}"/>
    <cellStyle name="20% - 强调文字颜色 5 3 4 7" xfId="12846" xr:uid="{00000000-0005-0000-0000-0000A6100000}"/>
    <cellStyle name="20% - 强调文字颜色 5 3 4 8" xfId="12848" xr:uid="{00000000-0005-0000-0000-0000A7100000}"/>
    <cellStyle name="20% - 强调文字颜色 5 3 4 9" xfId="12850" xr:uid="{00000000-0005-0000-0000-0000A8100000}"/>
    <cellStyle name="20% - 强调文字颜色 5 3 5" xfId="12851" xr:uid="{00000000-0005-0000-0000-0000A9100000}"/>
    <cellStyle name="20% - 强调文字颜色 5 3 6" xfId="12852" xr:uid="{00000000-0005-0000-0000-0000AA100000}"/>
    <cellStyle name="20% - 强调文字颜色 5 3 7" xfId="12853" xr:uid="{00000000-0005-0000-0000-0000AB100000}"/>
    <cellStyle name="20% - 强调文字颜色 5 3 8" xfId="12856" xr:uid="{00000000-0005-0000-0000-0000AC100000}"/>
    <cellStyle name="20% - 强调文字颜色 5 3 9" xfId="12858" xr:uid="{00000000-0005-0000-0000-0000AD100000}"/>
    <cellStyle name="20% - 强调文字颜色 5 4" xfId="10913" xr:uid="{00000000-0005-0000-0000-0000AE100000}"/>
    <cellStyle name="20% - 强调文字颜色 5 4 10" xfId="10925" xr:uid="{00000000-0005-0000-0000-0000AF100000}"/>
    <cellStyle name="20% - 强调文字颜色 5 4 11" xfId="10059" xr:uid="{00000000-0005-0000-0000-0000B0100000}"/>
    <cellStyle name="20% - 强调文字颜色 5 4 12" xfId="10067" xr:uid="{00000000-0005-0000-0000-0000B1100000}"/>
    <cellStyle name="20% - 强调文字颜色 5 4 13" xfId="2083" xr:uid="{00000000-0005-0000-0000-0000B2100000}"/>
    <cellStyle name="20% - 强调文字颜色 5 4 14" xfId="3120" xr:uid="{00000000-0005-0000-0000-0000B3100000}"/>
    <cellStyle name="20% - 强调文字颜色 5 4 15" xfId="10119" xr:uid="{00000000-0005-0000-0000-0000B4100000}"/>
    <cellStyle name="20% - 强调文字颜色 5 4 16" xfId="10135" xr:uid="{00000000-0005-0000-0000-0000B5100000}"/>
    <cellStyle name="20% - 强调文字颜色 5 4 17" xfId="10138" xr:uid="{00000000-0005-0000-0000-0000B6100000}"/>
    <cellStyle name="20% - 强调文字颜色 5 4 17 10" xfId="3380" xr:uid="{00000000-0005-0000-0000-0000B7100000}"/>
    <cellStyle name="20% - 强调文字颜色 5 4 17 11" xfId="3388" xr:uid="{00000000-0005-0000-0000-0000B8100000}"/>
    <cellStyle name="20% - 强调文字颜色 5 4 17 12" xfId="12860" xr:uid="{00000000-0005-0000-0000-0000B9100000}"/>
    <cellStyle name="20% - 强调文字颜色 5 4 17 13" xfId="12862" xr:uid="{00000000-0005-0000-0000-0000BA100000}"/>
    <cellStyle name="20% - 强调文字颜色 5 4 17 14" xfId="12865" xr:uid="{00000000-0005-0000-0000-0000BB100000}"/>
    <cellStyle name="20% - 强调文字颜色 5 4 17 2" xfId="12866" xr:uid="{00000000-0005-0000-0000-0000BC100000}"/>
    <cellStyle name="20% - 强调文字颜色 5 4 17 3" xfId="12868" xr:uid="{00000000-0005-0000-0000-0000BD100000}"/>
    <cellStyle name="20% - 强调文字颜色 5 4 17 4" xfId="12869" xr:uid="{00000000-0005-0000-0000-0000BE100000}"/>
    <cellStyle name="20% - 强调文字颜色 5 4 17 5" xfId="12870" xr:uid="{00000000-0005-0000-0000-0000BF100000}"/>
    <cellStyle name="20% - 强调文字颜色 5 4 17 5 10" xfId="12873" xr:uid="{00000000-0005-0000-0000-0000C0100000}"/>
    <cellStyle name="20% - 强调文字颜色 5 4 17 5 11" xfId="12875" xr:uid="{00000000-0005-0000-0000-0000C1100000}"/>
    <cellStyle name="20% - 强调文字颜色 5 4 17 5 2" xfId="12878" xr:uid="{00000000-0005-0000-0000-0000C2100000}"/>
    <cellStyle name="20% - 强调文字颜色 5 4 17 5 2 2" xfId="9561" xr:uid="{00000000-0005-0000-0000-0000C3100000}"/>
    <cellStyle name="20% - 强调文字颜色 5 4 17 5 2 2 2" xfId="9564" xr:uid="{00000000-0005-0000-0000-0000C4100000}"/>
    <cellStyle name="20% - 强调文字颜色 5 4 17 5 2 2 3" xfId="4707" xr:uid="{00000000-0005-0000-0000-0000C5100000}"/>
    <cellStyle name="20% - 强调文字颜色 5 4 17 5 2 3" xfId="9589" xr:uid="{00000000-0005-0000-0000-0000C6100000}"/>
    <cellStyle name="20% - 强调文字颜色 5 4 17 5 2 4" xfId="9596" xr:uid="{00000000-0005-0000-0000-0000C7100000}"/>
    <cellStyle name="20% - 强调文字颜色 5 4 17 5 2 5" xfId="9604" xr:uid="{00000000-0005-0000-0000-0000C8100000}"/>
    <cellStyle name="20% - 强调文字颜色 5 4 17 5 2 6" xfId="11519" xr:uid="{00000000-0005-0000-0000-0000C9100000}"/>
    <cellStyle name="20% - 强调文字颜色 5 4 17 5 2 7" xfId="12883" xr:uid="{00000000-0005-0000-0000-0000CA100000}"/>
    <cellStyle name="20% - 强调文字颜色 5 4 17 5 2 8" xfId="12888" xr:uid="{00000000-0005-0000-0000-0000CB100000}"/>
    <cellStyle name="20% - 强调文字颜色 5 4 17 5 3" xfId="12891" xr:uid="{00000000-0005-0000-0000-0000CC100000}"/>
    <cellStyle name="20% - 强调文字颜色 5 4 17 5 4" xfId="12894" xr:uid="{00000000-0005-0000-0000-0000CD100000}"/>
    <cellStyle name="20% - 强调文字颜色 5 4 17 5 5" xfId="12897" xr:uid="{00000000-0005-0000-0000-0000CE100000}"/>
    <cellStyle name="20% - 强调文字颜色 5 4 17 5 6" xfId="12902" xr:uid="{00000000-0005-0000-0000-0000CF100000}"/>
    <cellStyle name="20% - 强调文字颜色 5 4 17 5 6 2" xfId="6615" xr:uid="{00000000-0005-0000-0000-0000D0100000}"/>
    <cellStyle name="20% - 强调文字颜色 5 4 17 5 6 3" xfId="5964" xr:uid="{00000000-0005-0000-0000-0000D1100000}"/>
    <cellStyle name="20% - 强调文字颜色 5 4 17 5 7" xfId="12907" xr:uid="{00000000-0005-0000-0000-0000D2100000}"/>
    <cellStyle name="20% - 强调文字颜色 5 4 17 5 8" xfId="12909" xr:uid="{00000000-0005-0000-0000-0000D3100000}"/>
    <cellStyle name="20% - 强调文字颜色 5 4 17 5 9" xfId="12911" xr:uid="{00000000-0005-0000-0000-0000D4100000}"/>
    <cellStyle name="20% - 强调文字颜色 5 4 17 6" xfId="12914" xr:uid="{00000000-0005-0000-0000-0000D5100000}"/>
    <cellStyle name="20% - 强调文字颜色 5 4 17 6 2" xfId="12060" xr:uid="{00000000-0005-0000-0000-0000D6100000}"/>
    <cellStyle name="20% - 强调文字颜色 5 4 17 6 2 2" xfId="12919" xr:uid="{00000000-0005-0000-0000-0000D7100000}"/>
    <cellStyle name="20% - 强调文字颜色 5 4 17 6 2 3" xfId="12926" xr:uid="{00000000-0005-0000-0000-0000D8100000}"/>
    <cellStyle name="20% - 强调文字颜色 5 4 17 6 3" xfId="12066" xr:uid="{00000000-0005-0000-0000-0000D9100000}"/>
    <cellStyle name="20% - 强调文字颜色 5 4 17 6 4" xfId="12071" xr:uid="{00000000-0005-0000-0000-0000DA100000}"/>
    <cellStyle name="20% - 强调文字颜色 5 4 17 6 5" xfId="12077" xr:uid="{00000000-0005-0000-0000-0000DB100000}"/>
    <cellStyle name="20% - 强调文字颜色 5 4 17 6 6" xfId="2444" xr:uid="{00000000-0005-0000-0000-0000DC100000}"/>
    <cellStyle name="20% - 强调文字颜色 5 4 17 6 7" xfId="2447" xr:uid="{00000000-0005-0000-0000-0000DD100000}"/>
    <cellStyle name="20% - 强调文字颜色 5 4 17 6 8" xfId="12928" xr:uid="{00000000-0005-0000-0000-0000DE100000}"/>
    <cellStyle name="20% - 强调文字颜色 5 4 17 7" xfId="12930" xr:uid="{00000000-0005-0000-0000-0000DF100000}"/>
    <cellStyle name="20% - 强调文字颜色 5 4 17 8" xfId="12931" xr:uid="{00000000-0005-0000-0000-0000E0100000}"/>
    <cellStyle name="20% - 强调文字颜色 5 4 17 9" xfId="12933" xr:uid="{00000000-0005-0000-0000-0000E1100000}"/>
    <cellStyle name="20% - 强调文字颜色 5 4 17 9 2" xfId="12935" xr:uid="{00000000-0005-0000-0000-0000E2100000}"/>
    <cellStyle name="20% - 强调文字颜色 5 4 17 9 3" xfId="12937" xr:uid="{00000000-0005-0000-0000-0000E3100000}"/>
    <cellStyle name="20% - 强调文字颜色 5 4 18" xfId="10140" xr:uid="{00000000-0005-0000-0000-0000E4100000}"/>
    <cellStyle name="20% - 强调文字颜色 5 4 18 10" xfId="12941" xr:uid="{00000000-0005-0000-0000-0000E5100000}"/>
    <cellStyle name="20% - 强调文字颜色 5 4 18 11" xfId="12943" xr:uid="{00000000-0005-0000-0000-0000E6100000}"/>
    <cellStyle name="20% - 强调文字颜色 5 4 18 12" xfId="12948" xr:uid="{00000000-0005-0000-0000-0000E7100000}"/>
    <cellStyle name="20% - 强调文字颜色 5 4 18 13" xfId="12952" xr:uid="{00000000-0005-0000-0000-0000E8100000}"/>
    <cellStyle name="20% - 强调文字颜色 5 4 18 14" xfId="12956" xr:uid="{00000000-0005-0000-0000-0000E9100000}"/>
    <cellStyle name="20% - 强调文字颜色 5 4 18 2" xfId="7281" xr:uid="{00000000-0005-0000-0000-0000EA100000}"/>
    <cellStyle name="20% - 强调文字颜色 5 4 18 3" xfId="10144" xr:uid="{00000000-0005-0000-0000-0000EB100000}"/>
    <cellStyle name="20% - 强调文字颜色 5 4 18 4" xfId="12960" xr:uid="{00000000-0005-0000-0000-0000EC100000}"/>
    <cellStyle name="20% - 强调文字颜色 5 4 18 5" xfId="12962" xr:uid="{00000000-0005-0000-0000-0000ED100000}"/>
    <cellStyle name="20% - 强调文字颜色 5 4 18 5 10" xfId="12965" xr:uid="{00000000-0005-0000-0000-0000EE100000}"/>
    <cellStyle name="20% - 强调文字颜色 5 4 18 5 11" xfId="12968" xr:uid="{00000000-0005-0000-0000-0000EF100000}"/>
    <cellStyle name="20% - 强调文字颜色 5 4 18 5 2" xfId="12972" xr:uid="{00000000-0005-0000-0000-0000F0100000}"/>
    <cellStyle name="20% - 强调文字颜色 5 4 18 5 2 2" xfId="12973" xr:uid="{00000000-0005-0000-0000-0000F1100000}"/>
    <cellStyle name="20% - 强调文字颜色 5 4 18 5 2 2 2" xfId="12974" xr:uid="{00000000-0005-0000-0000-0000F2100000}"/>
    <cellStyle name="20% - 强调文字颜色 5 4 18 5 2 2 3" xfId="10850" xr:uid="{00000000-0005-0000-0000-0000F3100000}"/>
    <cellStyle name="20% - 强调文字颜色 5 4 18 5 2 3" xfId="12975" xr:uid="{00000000-0005-0000-0000-0000F4100000}"/>
    <cellStyle name="20% - 强调文字颜色 5 4 18 5 2 4" xfId="12976" xr:uid="{00000000-0005-0000-0000-0000F5100000}"/>
    <cellStyle name="20% - 强调文字颜色 5 4 18 5 2 5" xfId="12980" xr:uid="{00000000-0005-0000-0000-0000F6100000}"/>
    <cellStyle name="20% - 强调文字颜色 5 4 18 5 2 6" xfId="12985" xr:uid="{00000000-0005-0000-0000-0000F7100000}"/>
    <cellStyle name="20% - 强调文字颜色 5 4 18 5 2 7" xfId="12990" xr:uid="{00000000-0005-0000-0000-0000F8100000}"/>
    <cellStyle name="20% - 强调文字颜色 5 4 18 5 2 8" xfId="5675" xr:uid="{00000000-0005-0000-0000-0000F9100000}"/>
    <cellStyle name="20% - 强调文字颜色 5 4 18 5 3" xfId="681" xr:uid="{00000000-0005-0000-0000-0000FA100000}"/>
    <cellStyle name="20% - 强调文字颜色 5 4 18 5 4" xfId="713" xr:uid="{00000000-0005-0000-0000-0000FB100000}"/>
    <cellStyle name="20% - 强调文字颜色 5 4 18 5 5" xfId="12997" xr:uid="{00000000-0005-0000-0000-0000FC100000}"/>
    <cellStyle name="20% - 强调文字颜色 5 4 18 5 6" xfId="13004" xr:uid="{00000000-0005-0000-0000-0000FD100000}"/>
    <cellStyle name="20% - 强调文字颜色 5 4 18 5 6 2" xfId="8977" xr:uid="{00000000-0005-0000-0000-0000FE100000}"/>
    <cellStyle name="20% - 强调文字颜色 5 4 18 5 6 3" xfId="8983" xr:uid="{00000000-0005-0000-0000-0000FF100000}"/>
    <cellStyle name="20% - 强调文字颜色 5 4 18 5 7" xfId="13011" xr:uid="{00000000-0005-0000-0000-000000110000}"/>
    <cellStyle name="20% - 强调文字颜色 5 4 18 5 8" xfId="13024" xr:uid="{00000000-0005-0000-0000-000001110000}"/>
    <cellStyle name="20% - 强调文字颜色 5 4 18 5 9" xfId="13026" xr:uid="{00000000-0005-0000-0000-000002110000}"/>
    <cellStyle name="20% - 强调文字颜色 5 4 18 6" xfId="13030" xr:uid="{00000000-0005-0000-0000-000003110000}"/>
    <cellStyle name="20% - 强调文字颜色 5 4 18 6 2" xfId="12147" xr:uid="{00000000-0005-0000-0000-000004110000}"/>
    <cellStyle name="20% - 强调文字颜色 5 4 18 6 2 2" xfId="13031" xr:uid="{00000000-0005-0000-0000-000005110000}"/>
    <cellStyle name="20% - 强调文字颜色 5 4 18 6 2 3" xfId="13033" xr:uid="{00000000-0005-0000-0000-000006110000}"/>
    <cellStyle name="20% - 强调文字颜色 5 4 18 6 3" xfId="12154" xr:uid="{00000000-0005-0000-0000-000007110000}"/>
    <cellStyle name="20% - 强调文字颜色 5 4 18 6 4" xfId="12160" xr:uid="{00000000-0005-0000-0000-000008110000}"/>
    <cellStyle name="20% - 强调文字颜色 5 4 18 6 5" xfId="12168" xr:uid="{00000000-0005-0000-0000-000009110000}"/>
    <cellStyle name="20% - 强调文字颜色 5 4 18 6 6" xfId="12177" xr:uid="{00000000-0005-0000-0000-00000A110000}"/>
    <cellStyle name="20% - 强调文字颜色 5 4 18 6 7" xfId="12186" xr:uid="{00000000-0005-0000-0000-00000B110000}"/>
    <cellStyle name="20% - 强调文字颜色 5 4 18 6 8" xfId="13037" xr:uid="{00000000-0005-0000-0000-00000C110000}"/>
    <cellStyle name="20% - 强调文字颜色 5 4 18 7" xfId="13042" xr:uid="{00000000-0005-0000-0000-00000D110000}"/>
    <cellStyle name="20% - 强调文字颜色 5 4 18 8" xfId="13044" xr:uid="{00000000-0005-0000-0000-00000E110000}"/>
    <cellStyle name="20% - 强调文字颜色 5 4 18 9" xfId="819" xr:uid="{00000000-0005-0000-0000-00000F110000}"/>
    <cellStyle name="20% - 强调文字颜色 5 4 18 9 2" xfId="824" xr:uid="{00000000-0005-0000-0000-000010110000}"/>
    <cellStyle name="20% - 强调文字颜色 5 4 18 9 3" xfId="857" xr:uid="{00000000-0005-0000-0000-000011110000}"/>
    <cellStyle name="20% - 强调文字颜色 5 4 19" xfId="12240" xr:uid="{00000000-0005-0000-0000-000012110000}"/>
    <cellStyle name="20% - 强调文字颜色 5 4 19 10" xfId="13046" xr:uid="{00000000-0005-0000-0000-000013110000}"/>
    <cellStyle name="20% - 强调文字颜色 5 4 19 11" xfId="13048" xr:uid="{00000000-0005-0000-0000-000014110000}"/>
    <cellStyle name="20% - 强调文字颜色 5 4 19 12" xfId="13049" xr:uid="{00000000-0005-0000-0000-000015110000}"/>
    <cellStyle name="20% - 强调文字颜色 5 4 19 13" xfId="13050" xr:uid="{00000000-0005-0000-0000-000016110000}"/>
    <cellStyle name="20% - 强调文字颜色 5 4 19 14" xfId="13053" xr:uid="{00000000-0005-0000-0000-000017110000}"/>
    <cellStyle name="20% - 强调文字颜色 5 4 19 2" xfId="13056" xr:uid="{00000000-0005-0000-0000-000018110000}"/>
    <cellStyle name="20% - 强调文字颜色 5 4 19 3" xfId="13061" xr:uid="{00000000-0005-0000-0000-000019110000}"/>
    <cellStyle name="20% - 强调文字颜色 5 4 19 4" xfId="13066" xr:uid="{00000000-0005-0000-0000-00001A110000}"/>
    <cellStyle name="20% - 强调文字颜色 5 4 19 5" xfId="13070" xr:uid="{00000000-0005-0000-0000-00001B110000}"/>
    <cellStyle name="20% - 强调文字颜色 5 4 19 5 10" xfId="13071" xr:uid="{00000000-0005-0000-0000-00001C110000}"/>
    <cellStyle name="20% - 强调文字颜色 5 4 19 5 11" xfId="13072" xr:uid="{00000000-0005-0000-0000-00001D110000}"/>
    <cellStyle name="20% - 强调文字颜色 5 4 19 5 2" xfId="13076" xr:uid="{00000000-0005-0000-0000-00001E110000}"/>
    <cellStyle name="20% - 强调文字颜色 5 4 19 5 2 2" xfId="13077" xr:uid="{00000000-0005-0000-0000-00001F110000}"/>
    <cellStyle name="20% - 强调文字颜色 5 4 19 5 2 2 2" xfId="13078" xr:uid="{00000000-0005-0000-0000-000020110000}"/>
    <cellStyle name="20% - 强调文字颜色 5 4 19 5 2 2 3" xfId="13079" xr:uid="{00000000-0005-0000-0000-000021110000}"/>
    <cellStyle name="20% - 强调文字颜色 5 4 19 5 2 3" xfId="13082" xr:uid="{00000000-0005-0000-0000-000022110000}"/>
    <cellStyle name="20% - 强调文字颜色 5 4 19 5 2 4" xfId="13083" xr:uid="{00000000-0005-0000-0000-000023110000}"/>
    <cellStyle name="20% - 强调文字颜色 5 4 19 5 2 5" xfId="13087" xr:uid="{00000000-0005-0000-0000-000024110000}"/>
    <cellStyle name="20% - 强调文字颜色 5 4 19 5 2 6" xfId="13091" xr:uid="{00000000-0005-0000-0000-000025110000}"/>
    <cellStyle name="20% - 强调文字颜色 5 4 19 5 2 7" xfId="13095" xr:uid="{00000000-0005-0000-0000-000026110000}"/>
    <cellStyle name="20% - 强调文字颜色 5 4 19 5 2 8" xfId="13098" xr:uid="{00000000-0005-0000-0000-000027110000}"/>
    <cellStyle name="20% - 强调文字颜色 5 4 19 5 3" xfId="13101" xr:uid="{00000000-0005-0000-0000-000028110000}"/>
    <cellStyle name="20% - 强调文字颜色 5 4 19 5 4" xfId="13104" xr:uid="{00000000-0005-0000-0000-000029110000}"/>
    <cellStyle name="20% - 强调文字颜色 5 4 19 5 5" xfId="13108" xr:uid="{00000000-0005-0000-0000-00002A110000}"/>
    <cellStyle name="20% - 强调文字颜色 5 4 19 5 6" xfId="13111" xr:uid="{00000000-0005-0000-0000-00002B110000}"/>
    <cellStyle name="20% - 强调文字颜色 5 4 19 5 6 2" xfId="9330" xr:uid="{00000000-0005-0000-0000-00002C110000}"/>
    <cellStyle name="20% - 强调文字颜色 5 4 19 5 6 3" xfId="9338" xr:uid="{00000000-0005-0000-0000-00002D110000}"/>
    <cellStyle name="20% - 强调文字颜色 5 4 19 5 7" xfId="1247" xr:uid="{00000000-0005-0000-0000-00002E110000}"/>
    <cellStyle name="20% - 强调文字颜色 5 4 19 5 8" xfId="1258" xr:uid="{00000000-0005-0000-0000-00002F110000}"/>
    <cellStyle name="20% - 强调文字颜色 5 4 19 5 9" xfId="13114" xr:uid="{00000000-0005-0000-0000-000030110000}"/>
    <cellStyle name="20% - 强调文字颜色 5 4 19 6" xfId="13118" xr:uid="{00000000-0005-0000-0000-000031110000}"/>
    <cellStyle name="20% - 强调文字颜色 5 4 19 6 2" xfId="13122" xr:uid="{00000000-0005-0000-0000-000032110000}"/>
    <cellStyle name="20% - 强调文字颜色 5 4 19 6 2 2" xfId="13124" xr:uid="{00000000-0005-0000-0000-000033110000}"/>
    <cellStyle name="20% - 强调文字颜色 5 4 19 6 2 3" xfId="13127" xr:uid="{00000000-0005-0000-0000-000034110000}"/>
    <cellStyle name="20% - 强调文字颜色 5 4 19 6 3" xfId="13131" xr:uid="{00000000-0005-0000-0000-000035110000}"/>
    <cellStyle name="20% - 强调文字颜色 5 4 19 6 4" xfId="13136" xr:uid="{00000000-0005-0000-0000-000036110000}"/>
    <cellStyle name="20% - 强调文字颜色 5 4 19 6 5" xfId="13141" xr:uid="{00000000-0005-0000-0000-000037110000}"/>
    <cellStyle name="20% - 强调文字颜色 5 4 19 6 6" xfId="13146" xr:uid="{00000000-0005-0000-0000-000038110000}"/>
    <cellStyle name="20% - 强调文字颜色 5 4 19 6 7" xfId="13149" xr:uid="{00000000-0005-0000-0000-000039110000}"/>
    <cellStyle name="20% - 强调文字颜色 5 4 19 6 8" xfId="13151" xr:uid="{00000000-0005-0000-0000-00003A110000}"/>
    <cellStyle name="20% - 强调文字颜色 5 4 19 7" xfId="6515" xr:uid="{00000000-0005-0000-0000-00003B110000}"/>
    <cellStyle name="20% - 强调文字颜色 5 4 19 8" xfId="6522" xr:uid="{00000000-0005-0000-0000-00003C110000}"/>
    <cellStyle name="20% - 强调文字颜色 5 4 19 9" xfId="1096" xr:uid="{00000000-0005-0000-0000-00003D110000}"/>
    <cellStyle name="20% - 强调文字颜色 5 4 19 9 2" xfId="1117" xr:uid="{00000000-0005-0000-0000-00003E110000}"/>
    <cellStyle name="20% - 强调文字颜色 5 4 19 9 3" xfId="1139" xr:uid="{00000000-0005-0000-0000-00003F110000}"/>
    <cellStyle name="20% - 强调文字颜色 5 4 2" xfId="9778" xr:uid="{00000000-0005-0000-0000-000040110000}"/>
    <cellStyle name="20% - 强调文字颜色 5 4 20" xfId="10120" xr:uid="{00000000-0005-0000-0000-000041110000}"/>
    <cellStyle name="20% - 强调文字颜色 5 4 20 10" xfId="11163" xr:uid="{00000000-0005-0000-0000-000042110000}"/>
    <cellStyle name="20% - 强调文字颜色 5 4 20 11" xfId="11166" xr:uid="{00000000-0005-0000-0000-000043110000}"/>
    <cellStyle name="20% - 强调文字颜色 5 4 20 12" xfId="13153" xr:uid="{00000000-0005-0000-0000-000044110000}"/>
    <cellStyle name="20% - 强调文字颜色 5 4 20 13" xfId="13154" xr:uid="{00000000-0005-0000-0000-000045110000}"/>
    <cellStyle name="20% - 强调文字颜色 5 4 20 14" xfId="13155" xr:uid="{00000000-0005-0000-0000-000046110000}"/>
    <cellStyle name="20% - 强调文字颜色 5 4 20 2" xfId="10126" xr:uid="{00000000-0005-0000-0000-000047110000}"/>
    <cellStyle name="20% - 强调文字颜色 5 4 20 3" xfId="7376" xr:uid="{00000000-0005-0000-0000-000048110000}"/>
    <cellStyle name="20% - 强调文字颜色 5 4 20 4" xfId="7382" xr:uid="{00000000-0005-0000-0000-000049110000}"/>
    <cellStyle name="20% - 强调文字颜色 5 4 20 5" xfId="7388" xr:uid="{00000000-0005-0000-0000-00004A110000}"/>
    <cellStyle name="20% - 强调文字颜色 5 4 20 5 10" xfId="7577" xr:uid="{00000000-0005-0000-0000-00004B110000}"/>
    <cellStyle name="20% - 强调文字颜色 5 4 20 5 11" xfId="7579" xr:uid="{00000000-0005-0000-0000-00004C110000}"/>
    <cellStyle name="20% - 强调文字颜色 5 4 20 5 2" xfId="13158" xr:uid="{00000000-0005-0000-0000-00004D110000}"/>
    <cellStyle name="20% - 强调文字颜色 5 4 20 5 2 2" xfId="13160" xr:uid="{00000000-0005-0000-0000-00004E110000}"/>
    <cellStyle name="20% - 强调文字颜色 5 4 20 5 2 2 2" xfId="3799" xr:uid="{00000000-0005-0000-0000-00004F110000}"/>
    <cellStyle name="20% - 强调文字颜色 5 4 20 5 2 2 3" xfId="3804" xr:uid="{00000000-0005-0000-0000-000050110000}"/>
    <cellStyle name="20% - 强调文字颜色 5 4 20 5 2 3" xfId="13162" xr:uid="{00000000-0005-0000-0000-000051110000}"/>
    <cellStyle name="20% - 强调文字颜色 5 4 20 5 2 4" xfId="13165" xr:uid="{00000000-0005-0000-0000-000052110000}"/>
    <cellStyle name="20% - 强调文字颜色 5 4 20 5 2 5" xfId="13170" xr:uid="{00000000-0005-0000-0000-000053110000}"/>
    <cellStyle name="20% - 强调文字颜色 5 4 20 5 2 6" xfId="13177" xr:uid="{00000000-0005-0000-0000-000054110000}"/>
    <cellStyle name="20% - 强调文字颜色 5 4 20 5 2 7" xfId="13183" xr:uid="{00000000-0005-0000-0000-000055110000}"/>
    <cellStyle name="20% - 强调文字颜色 5 4 20 5 2 8" xfId="5787" xr:uid="{00000000-0005-0000-0000-000056110000}"/>
    <cellStyle name="20% - 强调文字颜色 5 4 20 5 3" xfId="13186" xr:uid="{00000000-0005-0000-0000-000057110000}"/>
    <cellStyle name="20% - 强调文字颜色 5 4 20 5 4" xfId="13190" xr:uid="{00000000-0005-0000-0000-000058110000}"/>
    <cellStyle name="20% - 强调文字颜色 5 4 20 5 5" xfId="13193" xr:uid="{00000000-0005-0000-0000-000059110000}"/>
    <cellStyle name="20% - 强调文字颜色 5 4 20 5 6" xfId="9681" xr:uid="{00000000-0005-0000-0000-00005A110000}"/>
    <cellStyle name="20% - 强调文字颜色 5 4 20 5 6 2" xfId="13194" xr:uid="{00000000-0005-0000-0000-00005B110000}"/>
    <cellStyle name="20% - 强调文字颜色 5 4 20 5 6 3" xfId="13196" xr:uid="{00000000-0005-0000-0000-00005C110000}"/>
    <cellStyle name="20% - 强调文字颜色 5 4 20 5 7" xfId="9687" xr:uid="{00000000-0005-0000-0000-00005D110000}"/>
    <cellStyle name="20% - 强调文字颜色 5 4 20 5 8" xfId="13200" xr:uid="{00000000-0005-0000-0000-00005E110000}"/>
    <cellStyle name="20% - 强调文字颜色 5 4 20 5 9" xfId="13204" xr:uid="{00000000-0005-0000-0000-00005F110000}"/>
    <cellStyle name="20% - 强调文字颜色 5 4 20 6" xfId="765" xr:uid="{00000000-0005-0000-0000-000060110000}"/>
    <cellStyle name="20% - 强调文字颜色 5 4 20 6 2" xfId="13209" xr:uid="{00000000-0005-0000-0000-000061110000}"/>
    <cellStyle name="20% - 强调文字颜色 5 4 20 6 2 2" xfId="13217" xr:uid="{00000000-0005-0000-0000-000062110000}"/>
    <cellStyle name="20% - 强调文字颜色 5 4 20 6 2 3" xfId="13226" xr:uid="{00000000-0005-0000-0000-000063110000}"/>
    <cellStyle name="20% - 强调文字颜色 5 4 20 6 3" xfId="13231" xr:uid="{00000000-0005-0000-0000-000064110000}"/>
    <cellStyle name="20% - 强调文字颜色 5 4 20 6 4" xfId="13237" xr:uid="{00000000-0005-0000-0000-000065110000}"/>
    <cellStyle name="20% - 强调文字颜色 5 4 20 6 5" xfId="13240" xr:uid="{00000000-0005-0000-0000-000066110000}"/>
    <cellStyle name="20% - 强调文字颜色 5 4 20 6 6" xfId="13243" xr:uid="{00000000-0005-0000-0000-000067110000}"/>
    <cellStyle name="20% - 强调文字颜色 5 4 20 6 7" xfId="13244" xr:uid="{00000000-0005-0000-0000-000068110000}"/>
    <cellStyle name="20% - 强调文字颜色 5 4 20 6 8" xfId="8308" xr:uid="{00000000-0005-0000-0000-000069110000}"/>
    <cellStyle name="20% - 强调文字颜色 5 4 20 7" xfId="489" xr:uid="{00000000-0005-0000-0000-00006A110000}"/>
    <cellStyle name="20% - 强调文字颜色 5 4 20 8" xfId="10128" xr:uid="{00000000-0005-0000-0000-00006B110000}"/>
    <cellStyle name="20% - 强调文字颜色 5 4 20 9" xfId="11477" xr:uid="{00000000-0005-0000-0000-00006C110000}"/>
    <cellStyle name="20% - 强调文字颜色 5 4 20 9 2" xfId="13247" xr:uid="{00000000-0005-0000-0000-00006D110000}"/>
    <cellStyle name="20% - 强调文字颜色 5 4 20 9 3" xfId="13251" xr:uid="{00000000-0005-0000-0000-00006E110000}"/>
    <cellStyle name="20% - 强调文字颜色 5 4 3" xfId="9793" xr:uid="{00000000-0005-0000-0000-00006F110000}"/>
    <cellStyle name="20% - 强调文字颜色 5 4 4" xfId="9517" xr:uid="{00000000-0005-0000-0000-000070110000}"/>
    <cellStyle name="20% - 强调文字颜色 5 4 5" xfId="9530" xr:uid="{00000000-0005-0000-0000-000071110000}"/>
    <cellStyle name="20% - 强调文字颜色 5 4 6" xfId="9806" xr:uid="{00000000-0005-0000-0000-000072110000}"/>
    <cellStyle name="20% - 强调文字颜色 5 4 7" xfId="10966" xr:uid="{00000000-0005-0000-0000-000073110000}"/>
    <cellStyle name="20% - 强调文字颜色 5 4 8" xfId="10971" xr:uid="{00000000-0005-0000-0000-000074110000}"/>
    <cellStyle name="20% - 强调文字颜色 5 4 9" xfId="10976" xr:uid="{00000000-0005-0000-0000-000075110000}"/>
    <cellStyle name="20% - 强调文字颜色 5 5" xfId="1165" xr:uid="{00000000-0005-0000-0000-000076110000}"/>
    <cellStyle name="20% - 强调文字颜色 5 5 10" xfId="12552" xr:uid="{00000000-0005-0000-0000-000077110000}"/>
    <cellStyle name="20% - 强调文字颜色 5 5 11" xfId="12564" xr:uid="{00000000-0005-0000-0000-000078110000}"/>
    <cellStyle name="20% - 强调文字颜色 5 5 12" xfId="12569" xr:uid="{00000000-0005-0000-0000-000079110000}"/>
    <cellStyle name="20% - 强调文字颜色 5 5 13" xfId="12573" xr:uid="{00000000-0005-0000-0000-00007A110000}"/>
    <cellStyle name="20% - 强调文字颜色 5 5 14" xfId="12578" xr:uid="{00000000-0005-0000-0000-00007B110000}"/>
    <cellStyle name="20% - 强调文字颜色 5 5 2" xfId="10981" xr:uid="{00000000-0005-0000-0000-00007C110000}"/>
    <cellStyle name="20% - 强调文字颜色 5 5 3" xfId="10991" xr:uid="{00000000-0005-0000-0000-00007D110000}"/>
    <cellStyle name="20% - 强调文字颜色 5 5 4" xfId="11001" xr:uid="{00000000-0005-0000-0000-00007E110000}"/>
    <cellStyle name="20% - 强调文字颜色 5 5 5" xfId="11012" xr:uid="{00000000-0005-0000-0000-00007F110000}"/>
    <cellStyle name="20% - 强调文字颜色 5 5 6" xfId="11021" xr:uid="{00000000-0005-0000-0000-000080110000}"/>
    <cellStyle name="20% - 强调文字颜色 5 5 7" xfId="9446" xr:uid="{00000000-0005-0000-0000-000081110000}"/>
    <cellStyle name="20% - 强调文字颜色 5 5 8" xfId="9456" xr:uid="{00000000-0005-0000-0000-000082110000}"/>
    <cellStyle name="20% - 强调文字颜色 5 5 9" xfId="13252" xr:uid="{00000000-0005-0000-0000-000083110000}"/>
    <cellStyle name="20% - 强调文字颜色 5 6" xfId="1188" xr:uid="{00000000-0005-0000-0000-000084110000}"/>
    <cellStyle name="20% - 强调文字颜色 5 6 10" xfId="3430" xr:uid="{00000000-0005-0000-0000-000085110000}"/>
    <cellStyle name="20% - 强调文字颜色 5 6 11" xfId="13256" xr:uid="{00000000-0005-0000-0000-000086110000}"/>
    <cellStyle name="20% - 强调文字颜色 5 6 12" xfId="13258" xr:uid="{00000000-0005-0000-0000-000087110000}"/>
    <cellStyle name="20% - 强调文字颜色 5 6 13" xfId="11366" xr:uid="{00000000-0005-0000-0000-000088110000}"/>
    <cellStyle name="20% - 强调文字颜色 5 6 14" xfId="7103" xr:uid="{00000000-0005-0000-0000-000089110000}"/>
    <cellStyle name="20% - 强调文字颜色 5 6 2" xfId="13266" xr:uid="{00000000-0005-0000-0000-00008A110000}"/>
    <cellStyle name="20% - 强调文字颜色 5 6 3" xfId="11202" xr:uid="{00000000-0005-0000-0000-00008B110000}"/>
    <cellStyle name="20% - 强调文字颜色 5 6 4" xfId="11209" xr:uid="{00000000-0005-0000-0000-00008C110000}"/>
    <cellStyle name="20% - 强调文字颜色 5 6 5" xfId="11213" xr:uid="{00000000-0005-0000-0000-00008D110000}"/>
    <cellStyle name="20% - 强调文字颜色 5 6 6" xfId="11216" xr:uid="{00000000-0005-0000-0000-00008E110000}"/>
    <cellStyle name="20% - 强调文字颜色 5 6 7" xfId="11220" xr:uid="{00000000-0005-0000-0000-00008F110000}"/>
    <cellStyle name="20% - 强调文字颜色 5 6 8" xfId="13268" xr:uid="{00000000-0005-0000-0000-000090110000}"/>
    <cellStyle name="20% - 强调文字颜色 5 6 9" xfId="13273" xr:uid="{00000000-0005-0000-0000-000091110000}"/>
    <cellStyle name="20% - 强调文字颜色 5 7" xfId="11034" xr:uid="{00000000-0005-0000-0000-000092110000}"/>
    <cellStyle name="20% - 强调文字颜色 5 8" xfId="8080" xr:uid="{00000000-0005-0000-0000-000093110000}"/>
    <cellStyle name="20% - 强调文字颜色 5 9" xfId="13277" xr:uid="{00000000-0005-0000-0000-000094110000}"/>
    <cellStyle name="20% - 强调文字颜色 6 10" xfId="13281" xr:uid="{00000000-0005-0000-0000-000095110000}"/>
    <cellStyle name="20% - 强调文字颜色 6 11" xfId="13285" xr:uid="{00000000-0005-0000-0000-000096110000}"/>
    <cellStyle name="20% - 强调文字颜色 6 12" xfId="13288" xr:uid="{00000000-0005-0000-0000-000097110000}"/>
    <cellStyle name="20% - 强调文字颜色 6 12 10" xfId="509" xr:uid="{00000000-0005-0000-0000-000098110000}"/>
    <cellStyle name="20% - 强调文字颜色 6 12 11" xfId="550" xr:uid="{00000000-0005-0000-0000-000099110000}"/>
    <cellStyle name="20% - 强调文字颜色 6 12 12" xfId="1222" xr:uid="{00000000-0005-0000-0000-00009A110000}"/>
    <cellStyle name="20% - 强调文字颜色 6 12 13" xfId="1233" xr:uid="{00000000-0005-0000-0000-00009B110000}"/>
    <cellStyle name="20% - 强调文字颜色 6 12 14" xfId="7769" xr:uid="{00000000-0005-0000-0000-00009C110000}"/>
    <cellStyle name="20% - 强调文字颜色 6 12 2" xfId="13293" xr:uid="{00000000-0005-0000-0000-00009D110000}"/>
    <cellStyle name="20% - 强调文字颜色 6 12 3" xfId="352" xr:uid="{00000000-0005-0000-0000-00009E110000}"/>
    <cellStyle name="20% - 强调文字颜色 6 12 4" xfId="311" xr:uid="{00000000-0005-0000-0000-00009F110000}"/>
    <cellStyle name="20% - 强调文字颜色 6 12 5" xfId="353" xr:uid="{00000000-0005-0000-0000-0000A0110000}"/>
    <cellStyle name="20% - 强调文字颜色 6 12 5 10" xfId="7877" xr:uid="{00000000-0005-0000-0000-0000A1110000}"/>
    <cellStyle name="20% - 强调文字颜色 6 12 5 11" xfId="7884" xr:uid="{00000000-0005-0000-0000-0000A2110000}"/>
    <cellStyle name="20% - 强调文字颜色 6 12 5 2" xfId="13296" xr:uid="{00000000-0005-0000-0000-0000A3110000}"/>
    <cellStyle name="20% - 强调文字颜色 6 12 5 2 2" xfId="8050" xr:uid="{00000000-0005-0000-0000-0000A4110000}"/>
    <cellStyle name="20% - 强调文字颜色 6 12 5 2 2 2" xfId="13301" xr:uid="{00000000-0005-0000-0000-0000A5110000}"/>
    <cellStyle name="20% - 强调文字颜色 6 12 5 2 2 3" xfId="13302" xr:uid="{00000000-0005-0000-0000-0000A6110000}"/>
    <cellStyle name="20% - 强调文字颜色 6 12 5 2 3" xfId="8060" xr:uid="{00000000-0005-0000-0000-0000A7110000}"/>
    <cellStyle name="20% - 强调文字颜色 6 12 5 2 4" xfId="9885" xr:uid="{00000000-0005-0000-0000-0000A8110000}"/>
    <cellStyle name="20% - 强调文字颜色 6 12 5 2 5" xfId="8778" xr:uid="{00000000-0005-0000-0000-0000A9110000}"/>
    <cellStyle name="20% - 强调文字颜色 6 12 5 2 6" xfId="8790" xr:uid="{00000000-0005-0000-0000-0000AA110000}"/>
    <cellStyle name="20% - 强调文字颜色 6 12 5 2 7" xfId="8794" xr:uid="{00000000-0005-0000-0000-0000AB110000}"/>
    <cellStyle name="20% - 强调文字颜色 6 12 5 2 8" xfId="8801" xr:uid="{00000000-0005-0000-0000-0000AC110000}"/>
    <cellStyle name="20% - 强调文字颜色 6 12 5 3" xfId="9623" xr:uid="{00000000-0005-0000-0000-0000AD110000}"/>
    <cellStyle name="20% - 强调文字颜色 6 12 5 4" xfId="9628" xr:uid="{00000000-0005-0000-0000-0000AE110000}"/>
    <cellStyle name="20% - 强调文字颜色 6 12 5 5" xfId="9633" xr:uid="{00000000-0005-0000-0000-0000AF110000}"/>
    <cellStyle name="20% - 强调文字颜色 6 12 5 6" xfId="9637" xr:uid="{00000000-0005-0000-0000-0000B0110000}"/>
    <cellStyle name="20% - 强调文字颜色 6 12 5 6 2" xfId="8209" xr:uid="{00000000-0005-0000-0000-0000B1110000}"/>
    <cellStyle name="20% - 强调文字颜色 6 12 5 6 3" xfId="8217" xr:uid="{00000000-0005-0000-0000-0000B2110000}"/>
    <cellStyle name="20% - 强调文字颜色 6 12 5 7" xfId="9642" xr:uid="{00000000-0005-0000-0000-0000B3110000}"/>
    <cellStyle name="20% - 强调文字颜色 6 12 5 8" xfId="13313" xr:uid="{00000000-0005-0000-0000-0000B4110000}"/>
    <cellStyle name="20% - 强调文字颜色 6 12 5 9" xfId="13318" xr:uid="{00000000-0005-0000-0000-0000B5110000}"/>
    <cellStyle name="20% - 强调文字颜色 6 12 6" xfId="359" xr:uid="{00000000-0005-0000-0000-0000B6110000}"/>
    <cellStyle name="20% - 强调文字颜色 6 12 6 2" xfId="13321" xr:uid="{00000000-0005-0000-0000-0000B7110000}"/>
    <cellStyle name="20% - 强调文字颜色 6 12 6 2 2" xfId="13324" xr:uid="{00000000-0005-0000-0000-0000B8110000}"/>
    <cellStyle name="20% - 强调文字颜色 6 12 6 2 3" xfId="13328" xr:uid="{00000000-0005-0000-0000-0000B9110000}"/>
    <cellStyle name="20% - 强调文字颜色 6 12 6 3" xfId="13331" xr:uid="{00000000-0005-0000-0000-0000BA110000}"/>
    <cellStyle name="20% - 强调文字颜色 6 12 6 4" xfId="13335" xr:uid="{00000000-0005-0000-0000-0000BB110000}"/>
    <cellStyle name="20% - 强调文字颜色 6 12 6 5" xfId="13337" xr:uid="{00000000-0005-0000-0000-0000BC110000}"/>
    <cellStyle name="20% - 强调文字颜色 6 12 6 6" xfId="13338" xr:uid="{00000000-0005-0000-0000-0000BD110000}"/>
    <cellStyle name="20% - 强调文字颜色 6 12 6 7" xfId="13340" xr:uid="{00000000-0005-0000-0000-0000BE110000}"/>
    <cellStyle name="20% - 强调文字颜色 6 12 6 8" xfId="816" xr:uid="{00000000-0005-0000-0000-0000BF110000}"/>
    <cellStyle name="20% - 强调文字颜色 6 12 7" xfId="13345" xr:uid="{00000000-0005-0000-0000-0000C0110000}"/>
    <cellStyle name="20% - 强调文字颜色 6 12 8" xfId="9212" xr:uid="{00000000-0005-0000-0000-0000C1110000}"/>
    <cellStyle name="20% - 强调文字颜色 6 12 9" xfId="9218" xr:uid="{00000000-0005-0000-0000-0000C2110000}"/>
    <cellStyle name="20% - 强调文字颜色 6 12 9 2" xfId="13350" xr:uid="{00000000-0005-0000-0000-0000C3110000}"/>
    <cellStyle name="20% - 强调文字颜色 6 12 9 3" xfId="13355" xr:uid="{00000000-0005-0000-0000-0000C4110000}"/>
    <cellStyle name="20% - 强调文字颜色 6 13" xfId="13358" xr:uid="{00000000-0005-0000-0000-0000C5110000}"/>
    <cellStyle name="20% - 强调文字颜色 6 14" xfId="13360" xr:uid="{00000000-0005-0000-0000-0000C6110000}"/>
    <cellStyle name="20% - 强调文字颜色 6 15" xfId="13362" xr:uid="{00000000-0005-0000-0000-0000C7110000}"/>
    <cellStyle name="20% - 强调文字颜色 6 16" xfId="13368" xr:uid="{00000000-0005-0000-0000-0000C8110000}"/>
    <cellStyle name="20% - 强调文字颜色 6 16 10" xfId="13374" xr:uid="{00000000-0005-0000-0000-0000C9110000}"/>
    <cellStyle name="20% - 强调文字颜色 6 16 11" xfId="13378" xr:uid="{00000000-0005-0000-0000-0000CA110000}"/>
    <cellStyle name="20% - 强调文字颜色 6 16 12" xfId="13384" xr:uid="{00000000-0005-0000-0000-0000CB110000}"/>
    <cellStyle name="20% - 强调文字颜色 6 16 13" xfId="13391" xr:uid="{00000000-0005-0000-0000-0000CC110000}"/>
    <cellStyle name="20% - 强调文字颜色 6 16 14" xfId="13395" xr:uid="{00000000-0005-0000-0000-0000CD110000}"/>
    <cellStyle name="20% - 强调文字颜色 6 16 2" xfId="13400" xr:uid="{00000000-0005-0000-0000-0000CE110000}"/>
    <cellStyle name="20% - 强调文字颜色 6 16 3" xfId="13404" xr:uid="{00000000-0005-0000-0000-0000CF110000}"/>
    <cellStyle name="20% - 强调文字颜色 6 16 4" xfId="13409" xr:uid="{00000000-0005-0000-0000-0000D0110000}"/>
    <cellStyle name="20% - 强调文字颜色 6 16 5" xfId="13415" xr:uid="{00000000-0005-0000-0000-0000D1110000}"/>
    <cellStyle name="20% - 强调文字颜色 6 16 5 10" xfId="7599" xr:uid="{00000000-0005-0000-0000-0000D2110000}"/>
    <cellStyle name="20% - 强调文字颜色 6 16 5 11" xfId="7929" xr:uid="{00000000-0005-0000-0000-0000D3110000}"/>
    <cellStyle name="20% - 强调文字颜色 6 16 5 2" xfId="7928" xr:uid="{00000000-0005-0000-0000-0000D4110000}"/>
    <cellStyle name="20% - 强调文字颜色 6 16 5 2 2" xfId="13421" xr:uid="{00000000-0005-0000-0000-0000D5110000}"/>
    <cellStyle name="20% - 强调文字颜色 6 16 5 2 2 2" xfId="13426" xr:uid="{00000000-0005-0000-0000-0000D6110000}"/>
    <cellStyle name="20% - 强调文字颜色 6 16 5 2 2 3" xfId="9036" xr:uid="{00000000-0005-0000-0000-0000D7110000}"/>
    <cellStyle name="20% - 强调文字颜色 6 16 5 2 3" xfId="7094" xr:uid="{00000000-0005-0000-0000-0000D8110000}"/>
    <cellStyle name="20% - 强调文字颜色 6 16 5 2 4" xfId="7287" xr:uid="{00000000-0005-0000-0000-0000D9110000}"/>
    <cellStyle name="20% - 强调文字颜色 6 16 5 2 5" xfId="7367" xr:uid="{00000000-0005-0000-0000-0000DA110000}"/>
    <cellStyle name="20% - 强调文字颜色 6 16 5 2 6" xfId="7436" xr:uid="{00000000-0005-0000-0000-0000DB110000}"/>
    <cellStyle name="20% - 强调文字颜色 6 16 5 2 7" xfId="2382" xr:uid="{00000000-0005-0000-0000-0000DC110000}"/>
    <cellStyle name="20% - 强调文字颜色 6 16 5 2 8" xfId="2614" xr:uid="{00000000-0005-0000-0000-0000DD110000}"/>
    <cellStyle name="20% - 强调文字颜色 6 16 5 3" xfId="5904" xr:uid="{00000000-0005-0000-0000-0000DE110000}"/>
    <cellStyle name="20% - 强调文字颜色 6 16 5 4" xfId="5908" xr:uid="{00000000-0005-0000-0000-0000DF110000}"/>
    <cellStyle name="20% - 强调文字颜色 6 16 5 5" xfId="5913" xr:uid="{00000000-0005-0000-0000-0000E0110000}"/>
    <cellStyle name="20% - 强调文字颜色 6 16 5 6" xfId="272" xr:uid="{00000000-0005-0000-0000-0000E1110000}"/>
    <cellStyle name="20% - 强调文字颜色 6 16 5 6 2" xfId="3596" xr:uid="{00000000-0005-0000-0000-0000E2110000}"/>
    <cellStyle name="20% - 强调文字颜色 6 16 5 6 3" xfId="3608" xr:uid="{00000000-0005-0000-0000-0000E3110000}"/>
    <cellStyle name="20% - 强调文字颜色 6 16 5 7" xfId="5883" xr:uid="{00000000-0005-0000-0000-0000E4110000}"/>
    <cellStyle name="20% - 强调文字颜色 6 16 5 8" xfId="5889" xr:uid="{00000000-0005-0000-0000-0000E5110000}"/>
    <cellStyle name="20% - 强调文字颜色 6 16 5 9" xfId="5892" xr:uid="{00000000-0005-0000-0000-0000E6110000}"/>
    <cellStyle name="20% - 强调文字颜色 6 16 6" xfId="13431" xr:uid="{00000000-0005-0000-0000-0000E7110000}"/>
    <cellStyle name="20% - 强调文字颜色 6 16 6 2" xfId="7960" xr:uid="{00000000-0005-0000-0000-0000E8110000}"/>
    <cellStyle name="20% - 强调文字颜色 6 16 6 2 2" xfId="13433" xr:uid="{00000000-0005-0000-0000-0000E9110000}"/>
    <cellStyle name="20% - 强调文字颜色 6 16 6 2 3" xfId="9619" xr:uid="{00000000-0005-0000-0000-0000EA110000}"/>
    <cellStyle name="20% - 强调文字颜色 6 16 6 3" xfId="7967" xr:uid="{00000000-0005-0000-0000-0000EB110000}"/>
    <cellStyle name="20% - 强调文字颜色 6 16 6 4" xfId="7974" xr:uid="{00000000-0005-0000-0000-0000EC110000}"/>
    <cellStyle name="20% - 强调文字颜色 6 16 6 5" xfId="7981" xr:uid="{00000000-0005-0000-0000-0000ED110000}"/>
    <cellStyle name="20% - 强调文字颜色 6 16 6 6" xfId="7990" xr:uid="{00000000-0005-0000-0000-0000EE110000}"/>
    <cellStyle name="20% - 强调文字颜色 6 16 6 7" xfId="10565" xr:uid="{00000000-0005-0000-0000-0000EF110000}"/>
    <cellStyle name="20% - 强调文字颜色 6 16 6 8" xfId="13435" xr:uid="{00000000-0005-0000-0000-0000F0110000}"/>
    <cellStyle name="20% - 强调文字颜色 6 16 7" xfId="13437" xr:uid="{00000000-0005-0000-0000-0000F1110000}"/>
    <cellStyle name="20% - 强调文字颜色 6 16 8" xfId="13440" xr:uid="{00000000-0005-0000-0000-0000F2110000}"/>
    <cellStyle name="20% - 强调文字颜色 6 16 9" xfId="13443" xr:uid="{00000000-0005-0000-0000-0000F3110000}"/>
    <cellStyle name="20% - 强调文字颜色 6 16 9 2" xfId="13445" xr:uid="{00000000-0005-0000-0000-0000F4110000}"/>
    <cellStyle name="20% - 强调文字颜色 6 16 9 3" xfId="13448" xr:uid="{00000000-0005-0000-0000-0000F5110000}"/>
    <cellStyle name="20% - 强调文字颜色 6 17" xfId="13453" xr:uid="{00000000-0005-0000-0000-0000F6110000}"/>
    <cellStyle name="20% - 强调文字颜色 6 17 10" xfId="7493" xr:uid="{00000000-0005-0000-0000-0000F7110000}"/>
    <cellStyle name="20% - 强调文字颜色 6 17 11" xfId="7499" xr:uid="{00000000-0005-0000-0000-0000F8110000}"/>
    <cellStyle name="20% - 强调文字颜色 6 17 12" xfId="7503" xr:uid="{00000000-0005-0000-0000-0000F9110000}"/>
    <cellStyle name="20% - 强调文字颜色 6 17 13" xfId="7525" xr:uid="{00000000-0005-0000-0000-0000FA110000}"/>
    <cellStyle name="20% - 强调文字颜色 6 17 14" xfId="7513" xr:uid="{00000000-0005-0000-0000-0000FB110000}"/>
    <cellStyle name="20% - 强调文字颜色 6 17 2" xfId="13454" xr:uid="{00000000-0005-0000-0000-0000FC110000}"/>
    <cellStyle name="20% - 强调文字颜色 6 17 3" xfId="13455" xr:uid="{00000000-0005-0000-0000-0000FD110000}"/>
    <cellStyle name="20% - 强调文字颜色 6 17 4" xfId="13456" xr:uid="{00000000-0005-0000-0000-0000FE110000}"/>
    <cellStyle name="20% - 强调文字颜色 6 17 5" xfId="13457" xr:uid="{00000000-0005-0000-0000-0000FF110000}"/>
    <cellStyle name="20% - 强调文字颜色 6 17 5 10" xfId="10718" xr:uid="{00000000-0005-0000-0000-000000120000}"/>
    <cellStyle name="20% - 强调文字颜色 6 17 5 11" xfId="10721" xr:uid="{00000000-0005-0000-0000-000001120000}"/>
    <cellStyle name="20% - 强调文字颜色 6 17 5 2" xfId="9420" xr:uid="{00000000-0005-0000-0000-000002120000}"/>
    <cellStyle name="20% - 强调文字颜色 6 17 5 2 2" xfId="1528" xr:uid="{00000000-0005-0000-0000-000003120000}"/>
    <cellStyle name="20% - 强调文字颜色 6 17 5 2 2 2" xfId="13458" xr:uid="{00000000-0005-0000-0000-000004120000}"/>
    <cellStyle name="20% - 强调文字颜色 6 17 5 2 2 3" xfId="13461" xr:uid="{00000000-0005-0000-0000-000005120000}"/>
    <cellStyle name="20% - 强调文字颜色 6 17 5 2 3" xfId="1537" xr:uid="{00000000-0005-0000-0000-000006120000}"/>
    <cellStyle name="20% - 强调文字颜色 6 17 5 2 4" xfId="1544" xr:uid="{00000000-0005-0000-0000-000007120000}"/>
    <cellStyle name="20% - 强调文字颜色 6 17 5 2 5" xfId="1555" xr:uid="{00000000-0005-0000-0000-000008120000}"/>
    <cellStyle name="20% - 强调文字颜色 6 17 5 2 6" xfId="1562" xr:uid="{00000000-0005-0000-0000-000009120000}"/>
    <cellStyle name="20% - 强调文字颜色 6 17 5 2 7" xfId="10805" xr:uid="{00000000-0005-0000-0000-00000A120000}"/>
    <cellStyle name="20% - 强调文字颜色 6 17 5 2 8" xfId="10808" xr:uid="{00000000-0005-0000-0000-00000B120000}"/>
    <cellStyle name="20% - 强调文字颜色 6 17 5 3" xfId="10241" xr:uid="{00000000-0005-0000-0000-00000C120000}"/>
    <cellStyle name="20% - 强调文字颜色 6 17 5 4" xfId="10247" xr:uid="{00000000-0005-0000-0000-00000D120000}"/>
    <cellStyle name="20% - 强调文字颜色 6 17 5 5" xfId="10254" xr:uid="{00000000-0005-0000-0000-00000E120000}"/>
    <cellStyle name="20% - 强调文字颜色 6 17 5 6" xfId="10261" xr:uid="{00000000-0005-0000-0000-00000F120000}"/>
    <cellStyle name="20% - 强调文字颜色 6 17 5 6 2" xfId="13470" xr:uid="{00000000-0005-0000-0000-000010120000}"/>
    <cellStyle name="20% - 强调文字颜色 6 17 5 6 3" xfId="13476" xr:uid="{00000000-0005-0000-0000-000011120000}"/>
    <cellStyle name="20% - 强调文字颜色 6 17 5 7" xfId="13479" xr:uid="{00000000-0005-0000-0000-000012120000}"/>
    <cellStyle name="20% - 强调文字颜色 6 17 5 8" xfId="6456" xr:uid="{00000000-0005-0000-0000-000013120000}"/>
    <cellStyle name="20% - 强调文字颜色 6 17 5 9" xfId="6460" xr:uid="{00000000-0005-0000-0000-000014120000}"/>
    <cellStyle name="20% - 强调文字颜色 6 17 6" xfId="13480" xr:uid="{00000000-0005-0000-0000-000015120000}"/>
    <cellStyle name="20% - 强调文字颜色 6 17 6 2" xfId="10289" xr:uid="{00000000-0005-0000-0000-000016120000}"/>
    <cellStyle name="20% - 强调文字颜色 6 17 6 2 2" xfId="13483" xr:uid="{00000000-0005-0000-0000-000017120000}"/>
    <cellStyle name="20% - 强调文字颜色 6 17 6 2 3" xfId="13490" xr:uid="{00000000-0005-0000-0000-000018120000}"/>
    <cellStyle name="20% - 强调文字颜色 6 17 6 3" xfId="10296" xr:uid="{00000000-0005-0000-0000-000019120000}"/>
    <cellStyle name="20% - 强调文字颜色 6 17 6 4" xfId="10300" xr:uid="{00000000-0005-0000-0000-00001A120000}"/>
    <cellStyle name="20% - 强调文字颜色 6 17 6 5" xfId="10306" xr:uid="{00000000-0005-0000-0000-00001B120000}"/>
    <cellStyle name="20% - 强调文字颜色 6 17 6 6" xfId="10314" xr:uid="{00000000-0005-0000-0000-00001C120000}"/>
    <cellStyle name="20% - 强调文字颜色 6 17 6 7" xfId="10601" xr:uid="{00000000-0005-0000-0000-00001D120000}"/>
    <cellStyle name="20% - 强调文字颜色 6 17 6 8" xfId="13493" xr:uid="{00000000-0005-0000-0000-00001E120000}"/>
    <cellStyle name="20% - 强调文字颜色 6 17 7" xfId="13494" xr:uid="{00000000-0005-0000-0000-00001F120000}"/>
    <cellStyle name="20% - 强调文字颜色 6 17 8" xfId="13495" xr:uid="{00000000-0005-0000-0000-000020120000}"/>
    <cellStyle name="20% - 强调文字颜色 6 17 9" xfId="13496" xr:uid="{00000000-0005-0000-0000-000021120000}"/>
    <cellStyle name="20% - 强调文字颜色 6 17 9 2" xfId="13499" xr:uid="{00000000-0005-0000-0000-000022120000}"/>
    <cellStyle name="20% - 强调文字颜色 6 17 9 3" xfId="13501" xr:uid="{00000000-0005-0000-0000-000023120000}"/>
    <cellStyle name="20% - 强调文字颜色 6 18" xfId="13505" xr:uid="{00000000-0005-0000-0000-000024120000}"/>
    <cellStyle name="20% - 强调文字颜色 6 18 10" xfId="13506" xr:uid="{00000000-0005-0000-0000-000025120000}"/>
    <cellStyle name="20% - 强调文字颜色 6 18 11" xfId="10929" xr:uid="{00000000-0005-0000-0000-000026120000}"/>
    <cellStyle name="20% - 强调文字颜色 6 18 12" xfId="10935" xr:uid="{00000000-0005-0000-0000-000027120000}"/>
    <cellStyle name="20% - 强调文字颜色 6 18 13" xfId="10939" xr:uid="{00000000-0005-0000-0000-000028120000}"/>
    <cellStyle name="20% - 强调文字颜色 6 18 14" xfId="10945" xr:uid="{00000000-0005-0000-0000-000029120000}"/>
    <cellStyle name="20% - 强调文字颜色 6 18 2" xfId="13508" xr:uid="{00000000-0005-0000-0000-00002A120000}"/>
    <cellStyle name="20% - 强调文字颜色 6 18 3" xfId="13509" xr:uid="{00000000-0005-0000-0000-00002B120000}"/>
    <cellStyle name="20% - 强调文字颜色 6 18 4" xfId="13513" xr:uid="{00000000-0005-0000-0000-00002C120000}"/>
    <cellStyle name="20% - 强调文字颜色 6 18 5" xfId="13517" xr:uid="{00000000-0005-0000-0000-00002D120000}"/>
    <cellStyle name="20% - 强调文字颜色 6 18 5 10" xfId="11292" xr:uid="{00000000-0005-0000-0000-00002E120000}"/>
    <cellStyle name="20% - 强调文字颜色 6 18 5 11" xfId="11296" xr:uid="{00000000-0005-0000-0000-00002F120000}"/>
    <cellStyle name="20% - 强调文字颜色 6 18 5 2" xfId="9578" xr:uid="{00000000-0005-0000-0000-000030120000}"/>
    <cellStyle name="20% - 强调文字颜色 6 18 5 2 2" xfId="612" xr:uid="{00000000-0005-0000-0000-000031120000}"/>
    <cellStyle name="20% - 强调文字颜色 6 18 5 2 2 2" xfId="2810" xr:uid="{00000000-0005-0000-0000-000032120000}"/>
    <cellStyle name="20% - 强调文字颜色 6 18 5 2 2 3" xfId="2818" xr:uid="{00000000-0005-0000-0000-000033120000}"/>
    <cellStyle name="20% - 强调文字颜色 6 18 5 2 3" xfId="648" xr:uid="{00000000-0005-0000-0000-000034120000}"/>
    <cellStyle name="20% - 强调文字颜色 6 18 5 2 4" xfId="2097" xr:uid="{00000000-0005-0000-0000-000035120000}"/>
    <cellStyle name="20% - 强调文字颜色 6 18 5 2 5" xfId="2101" xr:uid="{00000000-0005-0000-0000-000036120000}"/>
    <cellStyle name="20% - 强调文字颜色 6 18 5 2 6" xfId="2106" xr:uid="{00000000-0005-0000-0000-000037120000}"/>
    <cellStyle name="20% - 强调文字颜色 6 18 5 2 7" xfId="13519" xr:uid="{00000000-0005-0000-0000-000038120000}"/>
    <cellStyle name="20% - 强调文字颜色 6 18 5 2 8" xfId="7743" xr:uid="{00000000-0005-0000-0000-000039120000}"/>
    <cellStyle name="20% - 强调文字颜色 6 18 5 3" xfId="11338" xr:uid="{00000000-0005-0000-0000-00003A120000}"/>
    <cellStyle name="20% - 强调文字颜色 6 18 5 4" xfId="11343" xr:uid="{00000000-0005-0000-0000-00003B120000}"/>
    <cellStyle name="20% - 强调文字颜色 6 18 5 5" xfId="11350" xr:uid="{00000000-0005-0000-0000-00003C120000}"/>
    <cellStyle name="20% - 强调文字颜色 6 18 5 6" xfId="10813" xr:uid="{00000000-0005-0000-0000-00003D120000}"/>
    <cellStyle name="20% - 强调文字颜色 6 18 5 6 2" xfId="13521" xr:uid="{00000000-0005-0000-0000-00003E120000}"/>
    <cellStyle name="20% - 强调文字颜色 6 18 5 6 3" xfId="13522" xr:uid="{00000000-0005-0000-0000-00003F120000}"/>
    <cellStyle name="20% - 强调文字颜色 6 18 5 7" xfId="13523" xr:uid="{00000000-0005-0000-0000-000040120000}"/>
    <cellStyle name="20% - 强调文字颜色 6 18 5 8" xfId="13524" xr:uid="{00000000-0005-0000-0000-000041120000}"/>
    <cellStyle name="20% - 强调文字颜色 6 18 5 9" xfId="13525" xr:uid="{00000000-0005-0000-0000-000042120000}"/>
    <cellStyle name="20% - 强调文字颜色 6 18 6" xfId="13526" xr:uid="{00000000-0005-0000-0000-000043120000}"/>
    <cellStyle name="20% - 强调文字颜色 6 18 6 2" xfId="4485" xr:uid="{00000000-0005-0000-0000-000044120000}"/>
    <cellStyle name="20% - 强调文字颜色 6 18 6 2 2" xfId="13528" xr:uid="{00000000-0005-0000-0000-000045120000}"/>
    <cellStyle name="20% - 强调文字颜色 6 18 6 2 3" xfId="13531" xr:uid="{00000000-0005-0000-0000-000046120000}"/>
    <cellStyle name="20% - 强调文字颜色 6 18 6 3" xfId="4499" xr:uid="{00000000-0005-0000-0000-000047120000}"/>
    <cellStyle name="20% - 强调文字颜色 6 18 6 4" xfId="4508" xr:uid="{00000000-0005-0000-0000-000048120000}"/>
    <cellStyle name="20% - 强调文字颜色 6 18 6 5" xfId="11655" xr:uid="{00000000-0005-0000-0000-000049120000}"/>
    <cellStyle name="20% - 强调文字颜色 6 18 6 6" xfId="11658" xr:uid="{00000000-0005-0000-0000-00004A120000}"/>
    <cellStyle name="20% - 强调文字颜色 6 18 6 7" xfId="10411" xr:uid="{00000000-0005-0000-0000-00004B120000}"/>
    <cellStyle name="20% - 强调文字颜色 6 18 6 8" xfId="10424" xr:uid="{00000000-0005-0000-0000-00004C120000}"/>
    <cellStyle name="20% - 强调文字颜色 6 18 7" xfId="13532" xr:uid="{00000000-0005-0000-0000-00004D120000}"/>
    <cellStyle name="20% - 强调文字颜色 6 18 8" xfId="13534" xr:uid="{00000000-0005-0000-0000-00004E120000}"/>
    <cellStyle name="20% - 强调文字颜色 6 18 9" xfId="10354" xr:uid="{00000000-0005-0000-0000-00004F120000}"/>
    <cellStyle name="20% - 强调文字颜色 6 18 9 2" xfId="9918" xr:uid="{00000000-0005-0000-0000-000050120000}"/>
    <cellStyle name="20% - 强调文字颜色 6 18 9 3" xfId="10357" xr:uid="{00000000-0005-0000-0000-000051120000}"/>
    <cellStyle name="20% - 强调文字颜色 6 19" xfId="13541" xr:uid="{00000000-0005-0000-0000-000052120000}"/>
    <cellStyle name="20% - 强调文字颜色 6 2" xfId="6588" xr:uid="{00000000-0005-0000-0000-000053120000}"/>
    <cellStyle name="20% - 强调文字颜色 6 2 10" xfId="12239" xr:uid="{00000000-0005-0000-0000-000054120000}"/>
    <cellStyle name="20% - 强调文字颜色 6 2 11" xfId="8320" xr:uid="{00000000-0005-0000-0000-000055120000}"/>
    <cellStyle name="20% - 强调文字颜色 6 2 12" xfId="8322" xr:uid="{00000000-0005-0000-0000-000056120000}"/>
    <cellStyle name="20% - 强调文字颜色 6 2 13" xfId="10823" xr:uid="{00000000-0005-0000-0000-000057120000}"/>
    <cellStyle name="20% - 强调文字颜色 6 2 14" xfId="13542" xr:uid="{00000000-0005-0000-0000-000058120000}"/>
    <cellStyle name="20% - 强调文字颜色 6 2 15" xfId="13545" xr:uid="{00000000-0005-0000-0000-000059120000}"/>
    <cellStyle name="20% - 强调文字颜色 6 2 16" xfId="13550" xr:uid="{00000000-0005-0000-0000-00005A120000}"/>
    <cellStyle name="20% - 强调文字颜色 6 2 17" xfId="13551" xr:uid="{00000000-0005-0000-0000-00005B120000}"/>
    <cellStyle name="20% - 强调文字颜色 6 2 17 10" xfId="6840" xr:uid="{00000000-0005-0000-0000-00005C120000}"/>
    <cellStyle name="20% - 强调文字颜色 6 2 17 11" xfId="13553" xr:uid="{00000000-0005-0000-0000-00005D120000}"/>
    <cellStyle name="20% - 强调文字颜色 6 2 17 12" xfId="13557" xr:uid="{00000000-0005-0000-0000-00005E120000}"/>
    <cellStyle name="20% - 强调文字颜色 6 2 17 13" xfId="13559" xr:uid="{00000000-0005-0000-0000-00005F120000}"/>
    <cellStyle name="20% - 强调文字颜色 6 2 17 14" xfId="13561" xr:uid="{00000000-0005-0000-0000-000060120000}"/>
    <cellStyle name="20% - 强调文字颜色 6 2 17 2" xfId="6798" xr:uid="{00000000-0005-0000-0000-000061120000}"/>
    <cellStyle name="20% - 强调文字颜色 6 2 17 3" xfId="6907" xr:uid="{00000000-0005-0000-0000-000062120000}"/>
    <cellStyle name="20% - 强调文字颜色 6 2 17 4" xfId="13564" xr:uid="{00000000-0005-0000-0000-000063120000}"/>
    <cellStyle name="20% - 强调文字颜色 6 2 17 5" xfId="13567" xr:uid="{00000000-0005-0000-0000-000064120000}"/>
    <cellStyle name="20% - 强调文字颜色 6 2 17 5 10" xfId="9386" xr:uid="{00000000-0005-0000-0000-000065120000}"/>
    <cellStyle name="20% - 强调文字颜色 6 2 17 5 11" xfId="9402" xr:uid="{00000000-0005-0000-0000-000066120000}"/>
    <cellStyle name="20% - 强调文字颜色 6 2 17 5 2" xfId="13568" xr:uid="{00000000-0005-0000-0000-000067120000}"/>
    <cellStyle name="20% - 强调文字颜色 6 2 17 5 2 2" xfId="13574" xr:uid="{00000000-0005-0000-0000-000068120000}"/>
    <cellStyle name="20% - 强调文字颜色 6 2 17 5 2 2 2" xfId="7313" xr:uid="{00000000-0005-0000-0000-000069120000}"/>
    <cellStyle name="20% - 强调文字颜色 6 2 17 5 2 2 3" xfId="13575" xr:uid="{00000000-0005-0000-0000-00006A120000}"/>
    <cellStyle name="20% - 强调文字颜色 6 2 17 5 2 3" xfId="13576" xr:uid="{00000000-0005-0000-0000-00006B120000}"/>
    <cellStyle name="20% - 强调文字颜色 6 2 17 5 2 4" xfId="13577" xr:uid="{00000000-0005-0000-0000-00006C120000}"/>
    <cellStyle name="20% - 强调文字颜色 6 2 17 5 2 5" xfId="13580" xr:uid="{00000000-0005-0000-0000-00006D120000}"/>
    <cellStyle name="20% - 强调文字颜色 6 2 17 5 2 6" xfId="13583" xr:uid="{00000000-0005-0000-0000-00006E120000}"/>
    <cellStyle name="20% - 强调文字颜色 6 2 17 5 2 7" xfId="13586" xr:uid="{00000000-0005-0000-0000-00006F120000}"/>
    <cellStyle name="20% - 强调文字颜色 6 2 17 5 2 8" xfId="3208" xr:uid="{00000000-0005-0000-0000-000070120000}"/>
    <cellStyle name="20% - 强调文字颜色 6 2 17 5 3" xfId="13588" xr:uid="{00000000-0005-0000-0000-000071120000}"/>
    <cellStyle name="20% - 强调文字颜色 6 2 17 5 4" xfId="13593" xr:uid="{00000000-0005-0000-0000-000072120000}"/>
    <cellStyle name="20% - 强调文字颜色 6 2 17 5 5" xfId="13602" xr:uid="{00000000-0005-0000-0000-000073120000}"/>
    <cellStyle name="20% - 强调文字颜色 6 2 17 5 6" xfId="13607" xr:uid="{00000000-0005-0000-0000-000074120000}"/>
    <cellStyle name="20% - 强调文字颜色 6 2 17 5 6 2" xfId="13609" xr:uid="{00000000-0005-0000-0000-000075120000}"/>
    <cellStyle name="20% - 强调文字颜色 6 2 17 5 6 3" xfId="13611" xr:uid="{00000000-0005-0000-0000-000076120000}"/>
    <cellStyle name="20% - 强调文字颜色 6 2 17 5 7" xfId="13616" xr:uid="{00000000-0005-0000-0000-000077120000}"/>
    <cellStyle name="20% - 强调文字颜色 6 2 17 5 8" xfId="2525" xr:uid="{00000000-0005-0000-0000-000078120000}"/>
    <cellStyle name="20% - 强调文字颜色 6 2 17 5 9" xfId="5132" xr:uid="{00000000-0005-0000-0000-000079120000}"/>
    <cellStyle name="20% - 强调文字颜色 6 2 17 6" xfId="13622" xr:uid="{00000000-0005-0000-0000-00007A120000}"/>
    <cellStyle name="20% - 强调文字颜色 6 2 17 6 2" xfId="13628" xr:uid="{00000000-0005-0000-0000-00007B120000}"/>
    <cellStyle name="20% - 强调文字颜色 6 2 17 6 2 2" xfId="13631" xr:uid="{00000000-0005-0000-0000-00007C120000}"/>
    <cellStyle name="20% - 强调文字颜色 6 2 17 6 2 3" xfId="13634" xr:uid="{00000000-0005-0000-0000-00007D120000}"/>
    <cellStyle name="20% - 强调文字颜色 6 2 17 6 3" xfId="13640" xr:uid="{00000000-0005-0000-0000-00007E120000}"/>
    <cellStyle name="20% - 强调文字颜色 6 2 17 6 4" xfId="13645" xr:uid="{00000000-0005-0000-0000-00007F120000}"/>
    <cellStyle name="20% - 强调文字颜色 6 2 17 6 5" xfId="13650" xr:uid="{00000000-0005-0000-0000-000080120000}"/>
    <cellStyle name="20% - 强调文字颜色 6 2 17 6 6" xfId="12626" xr:uid="{00000000-0005-0000-0000-000081120000}"/>
    <cellStyle name="20% - 强调文字颜色 6 2 17 6 7" xfId="12634" xr:uid="{00000000-0005-0000-0000-000082120000}"/>
    <cellStyle name="20% - 强调文字颜色 6 2 17 6 8" xfId="13658" xr:uid="{00000000-0005-0000-0000-000083120000}"/>
    <cellStyle name="20% - 强调文字颜色 6 2 17 7" xfId="13662" xr:uid="{00000000-0005-0000-0000-000084120000}"/>
    <cellStyle name="20% - 强调文字颜色 6 2 17 8" xfId="13666" xr:uid="{00000000-0005-0000-0000-000085120000}"/>
    <cellStyle name="20% - 强调文字颜色 6 2 17 9" xfId="13672" xr:uid="{00000000-0005-0000-0000-000086120000}"/>
    <cellStyle name="20% - 强调文字颜色 6 2 17 9 2" xfId="13675" xr:uid="{00000000-0005-0000-0000-000087120000}"/>
    <cellStyle name="20% - 强调文字颜色 6 2 17 9 3" xfId="13678" xr:uid="{00000000-0005-0000-0000-000088120000}"/>
    <cellStyle name="20% - 强调文字颜色 6 2 18" xfId="13679" xr:uid="{00000000-0005-0000-0000-000089120000}"/>
    <cellStyle name="20% - 强调文字颜色 6 2 18 10" xfId="13681" xr:uid="{00000000-0005-0000-0000-00008A120000}"/>
    <cellStyle name="20% - 强调文字颜色 6 2 18 11" xfId="13683" xr:uid="{00000000-0005-0000-0000-00008B120000}"/>
    <cellStyle name="20% - 强调文字颜色 6 2 18 12" xfId="13685" xr:uid="{00000000-0005-0000-0000-00008C120000}"/>
    <cellStyle name="20% - 强调文字颜色 6 2 18 13" xfId="13687" xr:uid="{00000000-0005-0000-0000-00008D120000}"/>
    <cellStyle name="20% - 强调文字颜色 6 2 18 14" xfId="13689" xr:uid="{00000000-0005-0000-0000-00008E120000}"/>
    <cellStyle name="20% - 强调文字颜色 6 2 18 2" xfId="476" xr:uid="{00000000-0005-0000-0000-00008F120000}"/>
    <cellStyle name="20% - 强调文字颜色 6 2 18 3" xfId="8642" xr:uid="{00000000-0005-0000-0000-000090120000}"/>
    <cellStyle name="20% - 强调文字颜色 6 2 18 4" xfId="8647" xr:uid="{00000000-0005-0000-0000-000091120000}"/>
    <cellStyle name="20% - 强调文字颜色 6 2 18 5" xfId="13692" xr:uid="{00000000-0005-0000-0000-000092120000}"/>
    <cellStyle name="20% - 强调文字颜色 6 2 18 5 10" xfId="10770" xr:uid="{00000000-0005-0000-0000-000093120000}"/>
    <cellStyle name="20% - 强调文字颜色 6 2 18 5 11" xfId="10774" xr:uid="{00000000-0005-0000-0000-000094120000}"/>
    <cellStyle name="20% - 强调文字颜色 6 2 18 5 2" xfId="2649" xr:uid="{00000000-0005-0000-0000-000095120000}"/>
    <cellStyle name="20% - 强调文字颜色 6 2 18 5 2 2" xfId="13695" xr:uid="{00000000-0005-0000-0000-000096120000}"/>
    <cellStyle name="20% - 强调文字颜色 6 2 18 5 2 2 2" xfId="13698" xr:uid="{00000000-0005-0000-0000-000097120000}"/>
    <cellStyle name="20% - 强调文字颜色 6 2 18 5 2 2 3" xfId="13699" xr:uid="{00000000-0005-0000-0000-000098120000}"/>
    <cellStyle name="20% - 强调文字颜色 6 2 18 5 2 3" xfId="13700" xr:uid="{00000000-0005-0000-0000-000099120000}"/>
    <cellStyle name="20% - 强调文字颜色 6 2 18 5 2 4" xfId="13703" xr:uid="{00000000-0005-0000-0000-00009A120000}"/>
    <cellStyle name="20% - 强调文字颜色 6 2 18 5 2 5" xfId="13706" xr:uid="{00000000-0005-0000-0000-00009B120000}"/>
    <cellStyle name="20% - 强调文字颜色 6 2 18 5 2 6" xfId="13709" xr:uid="{00000000-0005-0000-0000-00009C120000}"/>
    <cellStyle name="20% - 强调文字颜色 6 2 18 5 2 7" xfId="13712" xr:uid="{00000000-0005-0000-0000-00009D120000}"/>
    <cellStyle name="20% - 强调文字颜色 6 2 18 5 2 8" xfId="13715" xr:uid="{00000000-0005-0000-0000-00009E120000}"/>
    <cellStyle name="20% - 强调文字颜色 6 2 18 5 3" xfId="2668" xr:uid="{00000000-0005-0000-0000-00009F120000}"/>
    <cellStyle name="20% - 强调文字颜色 6 2 18 5 4" xfId="3288" xr:uid="{00000000-0005-0000-0000-0000A0120000}"/>
    <cellStyle name="20% - 强调文字颜色 6 2 18 5 5" xfId="13718" xr:uid="{00000000-0005-0000-0000-0000A1120000}"/>
    <cellStyle name="20% - 强调文字颜色 6 2 18 5 6" xfId="13722" xr:uid="{00000000-0005-0000-0000-0000A2120000}"/>
    <cellStyle name="20% - 强调文字颜色 6 2 18 5 6 2" xfId="13727" xr:uid="{00000000-0005-0000-0000-0000A3120000}"/>
    <cellStyle name="20% - 强调文字颜色 6 2 18 5 6 3" xfId="13729" xr:uid="{00000000-0005-0000-0000-0000A4120000}"/>
    <cellStyle name="20% - 强调文字颜色 6 2 18 5 7" xfId="13730" xr:uid="{00000000-0005-0000-0000-0000A5120000}"/>
    <cellStyle name="20% - 强调文字颜色 6 2 18 5 8" xfId="13734" xr:uid="{00000000-0005-0000-0000-0000A6120000}"/>
    <cellStyle name="20% - 强调文字颜色 6 2 18 5 9" xfId="13739" xr:uid="{00000000-0005-0000-0000-0000A7120000}"/>
    <cellStyle name="20% - 强调文字颜色 6 2 18 6" xfId="13742" xr:uid="{00000000-0005-0000-0000-0000A8120000}"/>
    <cellStyle name="20% - 强调文字颜色 6 2 18 6 2" xfId="13747" xr:uid="{00000000-0005-0000-0000-0000A9120000}"/>
    <cellStyle name="20% - 强调文字颜色 6 2 18 6 2 2" xfId="13750" xr:uid="{00000000-0005-0000-0000-0000AA120000}"/>
    <cellStyle name="20% - 强调文字颜色 6 2 18 6 2 3" xfId="13752" xr:uid="{00000000-0005-0000-0000-0000AB120000}"/>
    <cellStyle name="20% - 强调文字颜色 6 2 18 6 3" xfId="13755" xr:uid="{00000000-0005-0000-0000-0000AC120000}"/>
    <cellStyle name="20% - 强调文字颜色 6 2 18 6 4" xfId="13758" xr:uid="{00000000-0005-0000-0000-0000AD120000}"/>
    <cellStyle name="20% - 强调文字颜色 6 2 18 6 5" xfId="13761" xr:uid="{00000000-0005-0000-0000-0000AE120000}"/>
    <cellStyle name="20% - 强调文字颜色 6 2 18 6 6" xfId="13766" xr:uid="{00000000-0005-0000-0000-0000AF120000}"/>
    <cellStyle name="20% - 强调文字颜色 6 2 18 6 7" xfId="3754" xr:uid="{00000000-0005-0000-0000-0000B0120000}"/>
    <cellStyle name="20% - 强调文字颜色 6 2 18 6 8" xfId="3762" xr:uid="{00000000-0005-0000-0000-0000B1120000}"/>
    <cellStyle name="20% - 强调文字颜色 6 2 18 7" xfId="13772" xr:uid="{00000000-0005-0000-0000-0000B2120000}"/>
    <cellStyle name="20% - 强调文字颜色 6 2 18 8" xfId="13779" xr:uid="{00000000-0005-0000-0000-0000B3120000}"/>
    <cellStyle name="20% - 强调文字颜色 6 2 18 9" xfId="13784" xr:uid="{00000000-0005-0000-0000-0000B4120000}"/>
    <cellStyle name="20% - 强调文字颜色 6 2 18 9 2" xfId="13785" xr:uid="{00000000-0005-0000-0000-0000B5120000}"/>
    <cellStyle name="20% - 强调文字颜色 6 2 18 9 3" xfId="13786" xr:uid="{00000000-0005-0000-0000-0000B6120000}"/>
    <cellStyle name="20% - 强调文字颜色 6 2 19" xfId="13787" xr:uid="{00000000-0005-0000-0000-0000B7120000}"/>
    <cellStyle name="20% - 强调文字颜色 6 2 19 10" xfId="12046" xr:uid="{00000000-0005-0000-0000-0000B8120000}"/>
    <cellStyle name="20% - 强调文字颜色 6 2 19 11" xfId="12055" xr:uid="{00000000-0005-0000-0000-0000B9120000}"/>
    <cellStyle name="20% - 强调文字颜色 6 2 19 12" xfId="12059" xr:uid="{00000000-0005-0000-0000-0000BA120000}"/>
    <cellStyle name="20% - 强调文字颜色 6 2 19 13" xfId="12065" xr:uid="{00000000-0005-0000-0000-0000BB120000}"/>
    <cellStyle name="20% - 强调文字颜色 6 2 19 14" xfId="12070" xr:uid="{00000000-0005-0000-0000-0000BC120000}"/>
    <cellStyle name="20% - 强调文字颜色 6 2 19 2" xfId="13789" xr:uid="{00000000-0005-0000-0000-0000BD120000}"/>
    <cellStyle name="20% - 强调文字颜色 6 2 19 3" xfId="13794" xr:uid="{00000000-0005-0000-0000-0000BE120000}"/>
    <cellStyle name="20% - 强调文字颜色 6 2 19 4" xfId="13799" xr:uid="{00000000-0005-0000-0000-0000BF120000}"/>
    <cellStyle name="20% - 强调文字颜色 6 2 19 5" xfId="13803" xr:uid="{00000000-0005-0000-0000-0000C0120000}"/>
    <cellStyle name="20% - 强调文字颜色 6 2 19 5 10" xfId="13806" xr:uid="{00000000-0005-0000-0000-0000C1120000}"/>
    <cellStyle name="20% - 强调文字颜色 6 2 19 5 11" xfId="13808" xr:uid="{00000000-0005-0000-0000-0000C2120000}"/>
    <cellStyle name="20% - 强调文字颜色 6 2 19 5 2" xfId="13809" xr:uid="{00000000-0005-0000-0000-0000C3120000}"/>
    <cellStyle name="20% - 强调文字颜色 6 2 19 5 2 2" xfId="13815" xr:uid="{00000000-0005-0000-0000-0000C4120000}"/>
    <cellStyle name="20% - 强调文字颜色 6 2 19 5 2 2 2" xfId="13817" xr:uid="{00000000-0005-0000-0000-0000C5120000}"/>
    <cellStyle name="20% - 强调文字颜色 6 2 19 5 2 2 3" xfId="13818" xr:uid="{00000000-0005-0000-0000-0000C6120000}"/>
    <cellStyle name="20% - 强调文字颜色 6 2 19 5 2 3" xfId="13819" xr:uid="{00000000-0005-0000-0000-0000C7120000}"/>
    <cellStyle name="20% - 强调文字颜色 6 2 19 5 2 4" xfId="10123" xr:uid="{00000000-0005-0000-0000-0000C8120000}"/>
    <cellStyle name="20% - 强调文字颜色 6 2 19 5 2 5" xfId="7373" xr:uid="{00000000-0005-0000-0000-0000C9120000}"/>
    <cellStyle name="20% - 强调文字颜色 6 2 19 5 2 6" xfId="7379" xr:uid="{00000000-0005-0000-0000-0000CA120000}"/>
    <cellStyle name="20% - 强调文字颜色 6 2 19 5 2 7" xfId="7385" xr:uid="{00000000-0005-0000-0000-0000CB120000}"/>
    <cellStyle name="20% - 强调文字颜色 6 2 19 5 2 8" xfId="762" xr:uid="{00000000-0005-0000-0000-0000CC120000}"/>
    <cellStyle name="20% - 强调文字颜色 6 2 19 5 3" xfId="13821" xr:uid="{00000000-0005-0000-0000-0000CD120000}"/>
    <cellStyle name="20% - 强调文字颜色 6 2 19 5 4" xfId="13826" xr:uid="{00000000-0005-0000-0000-0000CE120000}"/>
    <cellStyle name="20% - 强调文字颜色 6 2 19 5 5" xfId="13832" xr:uid="{00000000-0005-0000-0000-0000CF120000}"/>
    <cellStyle name="20% - 强调文字颜色 6 2 19 5 6" xfId="13839" xr:uid="{00000000-0005-0000-0000-0000D0120000}"/>
    <cellStyle name="20% - 强调文字颜色 6 2 19 5 6 2" xfId="13845" xr:uid="{00000000-0005-0000-0000-0000D1120000}"/>
    <cellStyle name="20% - 强调文字颜色 6 2 19 5 6 3" xfId="13848" xr:uid="{00000000-0005-0000-0000-0000D2120000}"/>
    <cellStyle name="20% - 强调文字颜色 6 2 19 5 7" xfId="13851" xr:uid="{00000000-0005-0000-0000-0000D3120000}"/>
    <cellStyle name="20% - 强调文字颜色 6 2 19 5 8" xfId="13857" xr:uid="{00000000-0005-0000-0000-0000D4120000}"/>
    <cellStyle name="20% - 强调文字颜色 6 2 19 5 9" xfId="13864" xr:uid="{00000000-0005-0000-0000-0000D5120000}"/>
    <cellStyle name="20% - 强调文字颜色 6 2 19 6" xfId="13868" xr:uid="{00000000-0005-0000-0000-0000D6120000}"/>
    <cellStyle name="20% - 强调文字颜色 6 2 19 6 2" xfId="13875" xr:uid="{00000000-0005-0000-0000-0000D7120000}"/>
    <cellStyle name="20% - 强调文字颜色 6 2 19 6 2 2" xfId="13877" xr:uid="{00000000-0005-0000-0000-0000D8120000}"/>
    <cellStyle name="20% - 强调文字颜色 6 2 19 6 2 3" xfId="13879" xr:uid="{00000000-0005-0000-0000-0000D9120000}"/>
    <cellStyle name="20% - 强调文字颜色 6 2 19 6 3" xfId="13886" xr:uid="{00000000-0005-0000-0000-0000DA120000}"/>
    <cellStyle name="20% - 强调文字颜色 6 2 19 6 4" xfId="13893" xr:uid="{00000000-0005-0000-0000-0000DB120000}"/>
    <cellStyle name="20% - 强调文字颜色 6 2 19 6 5" xfId="13897" xr:uid="{00000000-0005-0000-0000-0000DC120000}"/>
    <cellStyle name="20% - 强调文字颜色 6 2 19 6 6" xfId="13901" xr:uid="{00000000-0005-0000-0000-0000DD120000}"/>
    <cellStyle name="20% - 强调文字颜色 6 2 19 6 7" xfId="13904" xr:uid="{00000000-0005-0000-0000-0000DE120000}"/>
    <cellStyle name="20% - 强调文字颜色 6 2 19 6 8" xfId="13907" xr:uid="{00000000-0005-0000-0000-0000DF120000}"/>
    <cellStyle name="20% - 强调文字颜色 6 2 19 7" xfId="13911" xr:uid="{00000000-0005-0000-0000-0000E0120000}"/>
    <cellStyle name="20% - 强调文字颜色 6 2 19 8" xfId="13915" xr:uid="{00000000-0005-0000-0000-0000E1120000}"/>
    <cellStyle name="20% - 强调文字颜色 6 2 19 9" xfId="13919" xr:uid="{00000000-0005-0000-0000-0000E2120000}"/>
    <cellStyle name="20% - 强调文字颜色 6 2 19 9 2" xfId="6692" xr:uid="{00000000-0005-0000-0000-0000E3120000}"/>
    <cellStyle name="20% - 强调文字颜色 6 2 19 9 3" xfId="13920" xr:uid="{00000000-0005-0000-0000-0000E4120000}"/>
    <cellStyle name="20% - 强调文字颜色 6 2 2" xfId="13921" xr:uid="{00000000-0005-0000-0000-0000E5120000}"/>
    <cellStyle name="20% - 强调文字颜色 6 2 2 10" xfId="5219" xr:uid="{00000000-0005-0000-0000-0000E6120000}"/>
    <cellStyle name="20% - 强调文字颜色 6 2 2 11" xfId="2840" xr:uid="{00000000-0005-0000-0000-0000E7120000}"/>
    <cellStyle name="20% - 强调文字颜色 6 2 2 12" xfId="2861" xr:uid="{00000000-0005-0000-0000-0000E8120000}"/>
    <cellStyle name="20% - 强调文字颜色 6 2 2 13" xfId="2879" xr:uid="{00000000-0005-0000-0000-0000E9120000}"/>
    <cellStyle name="20% - 强调文字颜色 6 2 2 14" xfId="2896" xr:uid="{00000000-0005-0000-0000-0000EA120000}"/>
    <cellStyle name="20% - 强调文字颜色 6 2 2 2" xfId="1312" xr:uid="{00000000-0005-0000-0000-0000EB120000}"/>
    <cellStyle name="20% - 强调文字颜色 6 2 2 3" xfId="1884" xr:uid="{00000000-0005-0000-0000-0000EC120000}"/>
    <cellStyle name="20% - 强调文字颜色 6 2 2 4" xfId="2342" xr:uid="{00000000-0005-0000-0000-0000ED120000}"/>
    <cellStyle name="20% - 强调文字颜色 6 2 2 5" xfId="2792" xr:uid="{00000000-0005-0000-0000-0000EE120000}"/>
    <cellStyle name="20% - 强调文字颜色 6 2 2 6" xfId="13923" xr:uid="{00000000-0005-0000-0000-0000EF120000}"/>
    <cellStyle name="20% - 强调文字颜色 6 2 2 7" xfId="13924" xr:uid="{00000000-0005-0000-0000-0000F0120000}"/>
    <cellStyle name="20% - 强调文字颜色 6 2 2 8" xfId="13926" xr:uid="{00000000-0005-0000-0000-0000F1120000}"/>
    <cellStyle name="20% - 强调文字颜色 6 2 2 9" xfId="13929" xr:uid="{00000000-0005-0000-0000-0000F2120000}"/>
    <cellStyle name="20% - 强调文字颜色 6 2 20" xfId="13546" xr:uid="{00000000-0005-0000-0000-0000F3120000}"/>
    <cellStyle name="20% - 强调文字颜色 6 2 20 10" xfId="4151" xr:uid="{00000000-0005-0000-0000-0000F4120000}"/>
    <cellStyle name="20% - 强调文字颜色 6 2 20 11" xfId="4157" xr:uid="{00000000-0005-0000-0000-0000F5120000}"/>
    <cellStyle name="20% - 强调文字颜色 6 2 20 12" xfId="4162" xr:uid="{00000000-0005-0000-0000-0000F6120000}"/>
    <cellStyle name="20% - 强调文字颜色 6 2 20 13" xfId="4186" xr:uid="{00000000-0005-0000-0000-0000F7120000}"/>
    <cellStyle name="20% - 强调文字颜色 6 2 20 14" xfId="4193" xr:uid="{00000000-0005-0000-0000-0000F8120000}"/>
    <cellStyle name="20% - 强调文字颜色 6 2 20 2" xfId="13931" xr:uid="{00000000-0005-0000-0000-0000F9120000}"/>
    <cellStyle name="20% - 强调文字颜色 6 2 20 3" xfId="7812" xr:uid="{00000000-0005-0000-0000-0000FA120000}"/>
    <cellStyle name="20% - 强调文字颜色 6 2 20 4" xfId="7822" xr:uid="{00000000-0005-0000-0000-0000FB120000}"/>
    <cellStyle name="20% - 强调文字颜色 6 2 20 5" xfId="2025" xr:uid="{00000000-0005-0000-0000-0000FC120000}"/>
    <cellStyle name="20% - 强调文字颜色 6 2 20 5 10" xfId="251" xr:uid="{00000000-0005-0000-0000-0000FD120000}"/>
    <cellStyle name="20% - 强调文字颜色 6 2 20 5 11" xfId="13935" xr:uid="{00000000-0005-0000-0000-0000FE120000}"/>
    <cellStyle name="20% - 强调文字颜色 6 2 20 5 2" xfId="1322" xr:uid="{00000000-0005-0000-0000-0000FF120000}"/>
    <cellStyle name="20% - 强调文字颜色 6 2 20 5 2 2" xfId="13936" xr:uid="{00000000-0005-0000-0000-000000130000}"/>
    <cellStyle name="20% - 强调文字颜色 6 2 20 5 2 2 2" xfId="13939" xr:uid="{00000000-0005-0000-0000-000001130000}"/>
    <cellStyle name="20% - 强调文字颜色 6 2 20 5 2 2 3" xfId="6700" xr:uid="{00000000-0005-0000-0000-000002130000}"/>
    <cellStyle name="20% - 强调文字颜色 6 2 20 5 2 3" xfId="13940" xr:uid="{00000000-0005-0000-0000-000003130000}"/>
    <cellStyle name="20% - 强调文字颜色 6 2 20 5 2 4" xfId="13943" xr:uid="{00000000-0005-0000-0000-000004130000}"/>
    <cellStyle name="20% - 强调文字颜色 6 2 20 5 2 5" xfId="13945" xr:uid="{00000000-0005-0000-0000-000005130000}"/>
    <cellStyle name="20% - 强调文字颜色 6 2 20 5 2 6" xfId="13947" xr:uid="{00000000-0005-0000-0000-000006130000}"/>
    <cellStyle name="20% - 强调文字颜色 6 2 20 5 2 7" xfId="13949" xr:uid="{00000000-0005-0000-0000-000007130000}"/>
    <cellStyle name="20% - 强调文字颜色 6 2 20 5 2 8" xfId="13951" xr:uid="{00000000-0005-0000-0000-000008130000}"/>
    <cellStyle name="20% - 强调文字颜色 6 2 20 5 3" xfId="1333" xr:uid="{00000000-0005-0000-0000-000009130000}"/>
    <cellStyle name="20% - 强调文字颜色 6 2 20 5 4" xfId="1345" xr:uid="{00000000-0005-0000-0000-00000A130000}"/>
    <cellStyle name="20% - 强调文字颜色 6 2 20 5 5" xfId="261" xr:uid="{00000000-0005-0000-0000-00000B130000}"/>
    <cellStyle name="20% - 强调文字颜色 6 2 20 5 6" xfId="1364" xr:uid="{00000000-0005-0000-0000-00000C130000}"/>
    <cellStyle name="20% - 强调文字颜色 6 2 20 5 6 2" xfId="2821" xr:uid="{00000000-0005-0000-0000-00000D130000}"/>
    <cellStyle name="20% - 强调文字颜色 6 2 20 5 6 3" xfId="2827" xr:uid="{00000000-0005-0000-0000-00000E130000}"/>
    <cellStyle name="20% - 强调文字颜色 6 2 20 5 7" xfId="13958" xr:uid="{00000000-0005-0000-0000-00000F130000}"/>
    <cellStyle name="20% - 强调文字颜色 6 2 20 5 8" xfId="13960" xr:uid="{00000000-0005-0000-0000-000010130000}"/>
    <cellStyle name="20% - 强调文字颜色 6 2 20 5 9" xfId="3068" xr:uid="{00000000-0005-0000-0000-000011130000}"/>
    <cellStyle name="20% - 强调文字颜色 6 2 20 6" xfId="2037" xr:uid="{00000000-0005-0000-0000-000012130000}"/>
    <cellStyle name="20% - 强调文字颜色 6 2 20 6 2" xfId="13971" xr:uid="{00000000-0005-0000-0000-000013130000}"/>
    <cellStyle name="20% - 强调文字颜色 6 2 20 6 2 2" xfId="13976" xr:uid="{00000000-0005-0000-0000-000014130000}"/>
    <cellStyle name="20% - 强调文字颜色 6 2 20 6 2 3" xfId="13980" xr:uid="{00000000-0005-0000-0000-000015130000}"/>
    <cellStyle name="20% - 强调文字颜色 6 2 20 6 3" xfId="13990" xr:uid="{00000000-0005-0000-0000-000016130000}"/>
    <cellStyle name="20% - 强调文字颜色 6 2 20 6 4" xfId="14001" xr:uid="{00000000-0005-0000-0000-000017130000}"/>
    <cellStyle name="20% - 强调文字颜色 6 2 20 6 5" xfId="12361" xr:uid="{00000000-0005-0000-0000-000018130000}"/>
    <cellStyle name="20% - 强调文字颜色 6 2 20 6 6" xfId="12373" xr:uid="{00000000-0005-0000-0000-000019130000}"/>
    <cellStyle name="20% - 强调文字颜色 6 2 20 6 7" xfId="12379" xr:uid="{00000000-0005-0000-0000-00001A130000}"/>
    <cellStyle name="20% - 强调文字颜色 6 2 20 6 8" xfId="12385" xr:uid="{00000000-0005-0000-0000-00001B130000}"/>
    <cellStyle name="20% - 强调文字颜色 6 2 20 7" xfId="8598" xr:uid="{00000000-0005-0000-0000-00001C130000}"/>
    <cellStyle name="20% - 强调文字颜色 6 2 20 8" xfId="8604" xr:uid="{00000000-0005-0000-0000-00001D130000}"/>
    <cellStyle name="20% - 强调文字颜色 6 2 20 9" xfId="8615" xr:uid="{00000000-0005-0000-0000-00001E130000}"/>
    <cellStyle name="20% - 强调文字颜色 6 2 20 9 2" xfId="14009" xr:uid="{00000000-0005-0000-0000-00001F130000}"/>
    <cellStyle name="20% - 强调文字颜色 6 2 20 9 3" xfId="14015" xr:uid="{00000000-0005-0000-0000-000020130000}"/>
    <cellStyle name="20% - 强调文字颜色 6 2 3" xfId="14017" xr:uid="{00000000-0005-0000-0000-000021130000}"/>
    <cellStyle name="20% - 强调文字颜色 6 2 3 10" xfId="14021" xr:uid="{00000000-0005-0000-0000-000022130000}"/>
    <cellStyle name="20% - 强调文字颜色 6 2 3 11" xfId="14023" xr:uid="{00000000-0005-0000-0000-000023130000}"/>
    <cellStyle name="20% - 强调文字颜色 6 2 3 12" xfId="14025" xr:uid="{00000000-0005-0000-0000-000024130000}"/>
    <cellStyle name="20% - 强调文字颜色 6 2 3 13" xfId="14029" xr:uid="{00000000-0005-0000-0000-000025130000}"/>
    <cellStyle name="20% - 强调文字颜色 6 2 3 14" xfId="14034" xr:uid="{00000000-0005-0000-0000-000026130000}"/>
    <cellStyle name="20% - 强调文字颜色 6 2 3 2" xfId="14036" xr:uid="{00000000-0005-0000-0000-000027130000}"/>
    <cellStyle name="20% - 强调文字颜色 6 2 3 3" xfId="14037" xr:uid="{00000000-0005-0000-0000-000028130000}"/>
    <cellStyle name="20% - 强调文字颜色 6 2 3 4" xfId="6260" xr:uid="{00000000-0005-0000-0000-000029130000}"/>
    <cellStyle name="20% - 强调文字颜色 6 2 3 5" xfId="6269" xr:uid="{00000000-0005-0000-0000-00002A130000}"/>
    <cellStyle name="20% - 强调文字颜色 6 2 3 6" xfId="6277" xr:uid="{00000000-0005-0000-0000-00002B130000}"/>
    <cellStyle name="20% - 强调文字颜色 6 2 3 7" xfId="4826" xr:uid="{00000000-0005-0000-0000-00002C130000}"/>
    <cellStyle name="20% - 强调文字颜色 6 2 3 8" xfId="4849" xr:uid="{00000000-0005-0000-0000-00002D130000}"/>
    <cellStyle name="20% - 强调文字颜色 6 2 3 9" xfId="4862" xr:uid="{00000000-0005-0000-0000-00002E130000}"/>
    <cellStyle name="20% - 强调文字颜色 6 2 4" xfId="14039" xr:uid="{00000000-0005-0000-0000-00002F130000}"/>
    <cellStyle name="20% - 强调文字颜色 6 2 4 10" xfId="14040" xr:uid="{00000000-0005-0000-0000-000030130000}"/>
    <cellStyle name="20% - 强调文字颜色 6 2 4 11" xfId="14041" xr:uid="{00000000-0005-0000-0000-000031130000}"/>
    <cellStyle name="20% - 强调文字颜色 6 2 4 12" xfId="14042" xr:uid="{00000000-0005-0000-0000-000032130000}"/>
    <cellStyle name="20% - 强调文字颜色 6 2 4 13" xfId="14044" xr:uid="{00000000-0005-0000-0000-000033130000}"/>
    <cellStyle name="20% - 强调文字颜色 6 2 4 14" xfId="14046" xr:uid="{00000000-0005-0000-0000-000034130000}"/>
    <cellStyle name="20% - 强调文字颜色 6 2 4 2" xfId="14049" xr:uid="{00000000-0005-0000-0000-000035130000}"/>
    <cellStyle name="20% - 强调文字颜色 6 2 4 3" xfId="14050" xr:uid="{00000000-0005-0000-0000-000036130000}"/>
    <cellStyle name="20% - 强调文字颜色 6 2 4 4" xfId="14052" xr:uid="{00000000-0005-0000-0000-000037130000}"/>
    <cellStyle name="20% - 强调文字颜色 6 2 4 5" xfId="14054" xr:uid="{00000000-0005-0000-0000-000038130000}"/>
    <cellStyle name="20% - 强调文字颜色 6 2 4 6" xfId="6539" xr:uid="{00000000-0005-0000-0000-000039130000}"/>
    <cellStyle name="20% - 强调文字颜色 6 2 4 7" xfId="6561" xr:uid="{00000000-0005-0000-0000-00003A130000}"/>
    <cellStyle name="20% - 强调文字颜色 6 2 4 8" xfId="6566" xr:uid="{00000000-0005-0000-0000-00003B130000}"/>
    <cellStyle name="20% - 强调文字颜色 6 2 4 9" xfId="6572" xr:uid="{00000000-0005-0000-0000-00003C130000}"/>
    <cellStyle name="20% - 强调文字颜色 6 2 5" xfId="14056" xr:uid="{00000000-0005-0000-0000-00003D130000}"/>
    <cellStyle name="20% - 强调文字颜色 6 2 6" xfId="14058" xr:uid="{00000000-0005-0000-0000-00003E130000}"/>
    <cellStyle name="20% - 强调文字颜色 6 2 7" xfId="14060" xr:uid="{00000000-0005-0000-0000-00003F130000}"/>
    <cellStyle name="20% - 强调文字颜色 6 2 8" xfId="14061" xr:uid="{00000000-0005-0000-0000-000040130000}"/>
    <cellStyle name="20% - 强调文字颜色 6 2 9" xfId="14064" xr:uid="{00000000-0005-0000-0000-000041130000}"/>
    <cellStyle name="20% - 强调文字颜色 6 3" xfId="7735" xr:uid="{00000000-0005-0000-0000-000042130000}"/>
    <cellStyle name="20% - 强调文字颜色 6 3 10" xfId="14065" xr:uid="{00000000-0005-0000-0000-000043130000}"/>
    <cellStyle name="20% - 强调文字颜色 6 3 11" xfId="14067" xr:uid="{00000000-0005-0000-0000-000044130000}"/>
    <cellStyle name="20% - 强调文字颜色 6 3 12" xfId="14068" xr:uid="{00000000-0005-0000-0000-000045130000}"/>
    <cellStyle name="20% - 强调文字颜色 6 3 13" xfId="14069" xr:uid="{00000000-0005-0000-0000-000046130000}"/>
    <cellStyle name="20% - 强调文字颜色 6 3 14" xfId="14070" xr:uid="{00000000-0005-0000-0000-000047130000}"/>
    <cellStyle name="20% - 强调文字颜色 6 3 15" xfId="14072" xr:uid="{00000000-0005-0000-0000-000048130000}"/>
    <cellStyle name="20% - 强调文字颜色 6 3 16" xfId="14076" xr:uid="{00000000-0005-0000-0000-000049130000}"/>
    <cellStyle name="20% - 强调文字颜色 6 3 17" xfId="14083" xr:uid="{00000000-0005-0000-0000-00004A130000}"/>
    <cellStyle name="20% - 强调文字颜色 6 3 17 10" xfId="6970" xr:uid="{00000000-0005-0000-0000-00004B130000}"/>
    <cellStyle name="20% - 强调文字颜色 6 3 17 11" xfId="7589" xr:uid="{00000000-0005-0000-0000-00004C130000}"/>
    <cellStyle name="20% - 强调文字颜色 6 3 17 12" xfId="7921" xr:uid="{00000000-0005-0000-0000-00004D130000}"/>
    <cellStyle name="20% - 强调文字颜色 6 3 17 13" xfId="14084" xr:uid="{00000000-0005-0000-0000-00004E130000}"/>
    <cellStyle name="20% - 强调文字颜色 6 3 17 14" xfId="14085" xr:uid="{00000000-0005-0000-0000-00004F130000}"/>
    <cellStyle name="20% - 强调文字颜色 6 3 17 2" xfId="9219" xr:uid="{00000000-0005-0000-0000-000050130000}"/>
    <cellStyle name="20% - 强调文字颜色 6 3 17 2 2" xfId="9243" xr:uid="{00000000-0005-0000-0000-000051130000}"/>
    <cellStyle name="20% - 强调文字颜色 6 3 17 3" xfId="9442" xr:uid="{00000000-0005-0000-0000-000052130000}"/>
    <cellStyle name="20% - 强调文字颜色 6 3 17 4" xfId="14086" xr:uid="{00000000-0005-0000-0000-000053130000}"/>
    <cellStyle name="20% - 强调文字颜色 6 3 17 5" xfId="14087" xr:uid="{00000000-0005-0000-0000-000054130000}"/>
    <cellStyle name="20% - 强调文字颜色 6 3 17 5 10" xfId="14090" xr:uid="{00000000-0005-0000-0000-000055130000}"/>
    <cellStyle name="20% - 强调文字颜色 6 3 17 5 11" xfId="14092" xr:uid="{00000000-0005-0000-0000-000056130000}"/>
    <cellStyle name="20% - 强调文字颜色 6 3 17 5 2" xfId="14093" xr:uid="{00000000-0005-0000-0000-000057130000}"/>
    <cellStyle name="20% - 强调文字颜色 6 3 17 5 2 2" xfId="4302" xr:uid="{00000000-0005-0000-0000-000058130000}"/>
    <cellStyle name="20% - 强调文字颜色 6 3 17 5 2 2 2" xfId="12834" xr:uid="{00000000-0005-0000-0000-000059130000}"/>
    <cellStyle name="20% - 强调文字颜色 6 3 17 5 2 2 3" xfId="12837" xr:uid="{00000000-0005-0000-0000-00005A130000}"/>
    <cellStyle name="20% - 强调文字颜色 6 3 17 5 2 3" xfId="4559" xr:uid="{00000000-0005-0000-0000-00005B130000}"/>
    <cellStyle name="20% - 强调文字颜色 6 3 17 5 2 4" xfId="4580" xr:uid="{00000000-0005-0000-0000-00005C130000}"/>
    <cellStyle name="20% - 强调文字颜色 6 3 17 5 2 5" xfId="14098" xr:uid="{00000000-0005-0000-0000-00005D130000}"/>
    <cellStyle name="20% - 强调文字颜色 6 3 17 5 2 6" xfId="14100" xr:uid="{00000000-0005-0000-0000-00005E130000}"/>
    <cellStyle name="20% - 强调文字颜色 6 3 17 5 2 7" xfId="14103" xr:uid="{00000000-0005-0000-0000-00005F130000}"/>
    <cellStyle name="20% - 强调文字颜色 6 3 17 5 2 8" xfId="14106" xr:uid="{00000000-0005-0000-0000-000060130000}"/>
    <cellStyle name="20% - 强调文字颜色 6 3 17 5 3" xfId="14108" xr:uid="{00000000-0005-0000-0000-000061130000}"/>
    <cellStyle name="20% - 强调文字颜色 6 3 17 5 4" xfId="14111" xr:uid="{00000000-0005-0000-0000-000062130000}"/>
    <cellStyle name="20% - 强调文字颜色 6 3 17 5 5" xfId="14117" xr:uid="{00000000-0005-0000-0000-000063130000}"/>
    <cellStyle name="20% - 强调文字颜色 6 3 17 5 6" xfId="14121" xr:uid="{00000000-0005-0000-0000-000064130000}"/>
    <cellStyle name="20% - 强调文字颜色 6 3 17 5 6 2" xfId="14124" xr:uid="{00000000-0005-0000-0000-000065130000}"/>
    <cellStyle name="20% - 强调文字颜色 6 3 17 5 6 3" xfId="14128" xr:uid="{00000000-0005-0000-0000-000066130000}"/>
    <cellStyle name="20% - 强调文字颜色 6 3 17 5 7" xfId="14133" xr:uid="{00000000-0005-0000-0000-000067130000}"/>
    <cellStyle name="20% - 强调文字颜色 6 3 17 5 8" xfId="14134" xr:uid="{00000000-0005-0000-0000-000068130000}"/>
    <cellStyle name="20% - 强调文字颜色 6 3 17 5 9" xfId="14135" xr:uid="{00000000-0005-0000-0000-000069130000}"/>
    <cellStyle name="20% - 强调文字颜色 6 3 17 6" xfId="12872" xr:uid="{00000000-0005-0000-0000-00006A130000}"/>
    <cellStyle name="20% - 强调文字颜色 6 3 17 6 2" xfId="14139" xr:uid="{00000000-0005-0000-0000-00006B130000}"/>
    <cellStyle name="20% - 强调文字颜色 6 3 17 6 2 2" xfId="14140" xr:uid="{00000000-0005-0000-0000-00006C130000}"/>
    <cellStyle name="20% - 强调文字颜色 6 3 17 6 2 3" xfId="14142" xr:uid="{00000000-0005-0000-0000-00006D130000}"/>
    <cellStyle name="20% - 强调文字颜色 6 3 17 6 3" xfId="14146" xr:uid="{00000000-0005-0000-0000-00006E130000}"/>
    <cellStyle name="20% - 强调文字颜色 6 3 17 6 4" xfId="14150" xr:uid="{00000000-0005-0000-0000-00006F130000}"/>
    <cellStyle name="20% - 强调文字颜色 6 3 17 6 5" xfId="3578" xr:uid="{00000000-0005-0000-0000-000070130000}"/>
    <cellStyle name="20% - 强调文字颜色 6 3 17 6 6" xfId="3583" xr:uid="{00000000-0005-0000-0000-000071130000}"/>
    <cellStyle name="20% - 强调文字颜色 6 3 17 6 7" xfId="3586" xr:uid="{00000000-0005-0000-0000-000072130000}"/>
    <cellStyle name="20% - 强调文字颜色 6 3 17 6 8" xfId="3601" xr:uid="{00000000-0005-0000-0000-000073130000}"/>
    <cellStyle name="20% - 强调文字颜色 6 3 17 7" xfId="12874" xr:uid="{00000000-0005-0000-0000-000074130000}"/>
    <cellStyle name="20% - 强调文字颜色 6 3 17 8" xfId="14152" xr:uid="{00000000-0005-0000-0000-000075130000}"/>
    <cellStyle name="20% - 强调文字颜色 6 3 17 9" xfId="14155" xr:uid="{00000000-0005-0000-0000-000076130000}"/>
    <cellStyle name="20% - 强调文字颜色 6 3 17 9 2" xfId="14156" xr:uid="{00000000-0005-0000-0000-000077130000}"/>
    <cellStyle name="20% - 强调文字颜色 6 3 17 9 3" xfId="14160" xr:uid="{00000000-0005-0000-0000-000078130000}"/>
    <cellStyle name="20% - 强调文字颜色 6 3 18" xfId="2731" xr:uid="{00000000-0005-0000-0000-000079130000}"/>
    <cellStyle name="20% - 强调文字颜色 6 3 18 10" xfId="575" xr:uid="{00000000-0005-0000-0000-00007A130000}"/>
    <cellStyle name="20% - 强调文字颜色 6 3 18 11" xfId="418" xr:uid="{00000000-0005-0000-0000-00007B130000}"/>
    <cellStyle name="20% - 强调文字颜色 6 3 18 12" xfId="291" xr:uid="{00000000-0005-0000-0000-00007C130000}"/>
    <cellStyle name="20% - 强调文字颜色 6 3 18 13" xfId="639" xr:uid="{00000000-0005-0000-0000-00007D130000}"/>
    <cellStyle name="20% - 强调文字颜色 6 3 18 14" xfId="670" xr:uid="{00000000-0005-0000-0000-00007E130000}"/>
    <cellStyle name="20% - 强调文字颜色 6 3 18 2" xfId="5353" xr:uid="{00000000-0005-0000-0000-00007F130000}"/>
    <cellStyle name="20% - 强调文字颜色 6 3 18 3" xfId="5403" xr:uid="{00000000-0005-0000-0000-000080130000}"/>
    <cellStyle name="20% - 强调文字颜色 6 3 18 4" xfId="5418" xr:uid="{00000000-0005-0000-0000-000081130000}"/>
    <cellStyle name="20% - 强调文字颜色 6 3 18 5" xfId="5431" xr:uid="{00000000-0005-0000-0000-000082130000}"/>
    <cellStyle name="20% - 强调文字颜色 6 3 18 5 10" xfId="14166" xr:uid="{00000000-0005-0000-0000-000083130000}"/>
    <cellStyle name="20% - 强调文字颜色 6 3 18 5 11" xfId="14167" xr:uid="{00000000-0005-0000-0000-000084130000}"/>
    <cellStyle name="20% - 强调文字颜色 6 3 18 5 2" xfId="1932" xr:uid="{00000000-0005-0000-0000-000085130000}"/>
    <cellStyle name="20% - 强调文字颜色 6 3 18 5 2 2" xfId="14168" xr:uid="{00000000-0005-0000-0000-000086130000}"/>
    <cellStyle name="20% - 强调文字颜色 6 3 18 5 2 2 2" xfId="14173" xr:uid="{00000000-0005-0000-0000-000087130000}"/>
    <cellStyle name="20% - 强调文字颜色 6 3 18 5 2 2 3" xfId="14174" xr:uid="{00000000-0005-0000-0000-000088130000}"/>
    <cellStyle name="20% - 强调文字颜色 6 3 18 5 2 3" xfId="14175" xr:uid="{00000000-0005-0000-0000-000089130000}"/>
    <cellStyle name="20% - 强调文字颜色 6 3 18 5 2 4" xfId="14177" xr:uid="{00000000-0005-0000-0000-00008A130000}"/>
    <cellStyle name="20% - 强调文字颜色 6 3 18 5 2 5" xfId="14180" xr:uid="{00000000-0005-0000-0000-00008B130000}"/>
    <cellStyle name="20% - 强调文字颜色 6 3 18 5 2 6" xfId="14184" xr:uid="{00000000-0005-0000-0000-00008C130000}"/>
    <cellStyle name="20% - 强调文字颜色 6 3 18 5 2 7" xfId="14188" xr:uid="{00000000-0005-0000-0000-00008D130000}"/>
    <cellStyle name="20% - 强调文字颜色 6 3 18 5 2 8" xfId="8013" xr:uid="{00000000-0005-0000-0000-00008E130000}"/>
    <cellStyle name="20% - 强调文字颜色 6 3 18 5 3" xfId="1962" xr:uid="{00000000-0005-0000-0000-00008F130000}"/>
    <cellStyle name="20% - 强调文字颜色 6 3 18 5 4" xfId="1858" xr:uid="{00000000-0005-0000-0000-000090130000}"/>
    <cellStyle name="20% - 强调文字颜色 6 3 18 5 5" xfId="13427" xr:uid="{00000000-0005-0000-0000-000091130000}"/>
    <cellStyle name="20% - 强调文字颜色 6 3 18 5 6" xfId="9037" xr:uid="{00000000-0005-0000-0000-000092130000}"/>
    <cellStyle name="20% - 强调文字颜色 6 3 18 5 6 2" xfId="7753" xr:uid="{00000000-0005-0000-0000-000093130000}"/>
    <cellStyle name="20% - 强调文字颜色 6 3 18 5 6 3" xfId="14192" xr:uid="{00000000-0005-0000-0000-000094130000}"/>
    <cellStyle name="20% - 强调文字颜色 6 3 18 5 7" xfId="9043" xr:uid="{00000000-0005-0000-0000-000095130000}"/>
    <cellStyle name="20% - 强调文字颜色 6 3 18 5 8" xfId="14193" xr:uid="{00000000-0005-0000-0000-000096130000}"/>
    <cellStyle name="20% - 强调文字颜色 6 3 18 5 9" xfId="14194" xr:uid="{00000000-0005-0000-0000-000097130000}"/>
    <cellStyle name="20% - 强调文字颜色 6 3 18 6" xfId="5445" xr:uid="{00000000-0005-0000-0000-000098130000}"/>
    <cellStyle name="20% - 强调文字颜色 6 3 18 6 2" xfId="14201" xr:uid="{00000000-0005-0000-0000-000099130000}"/>
    <cellStyle name="20% - 强调文字颜色 6 3 18 6 2 2" xfId="14204" xr:uid="{00000000-0005-0000-0000-00009A130000}"/>
    <cellStyle name="20% - 强调文字颜色 6 3 18 6 2 3" xfId="14207" xr:uid="{00000000-0005-0000-0000-00009B130000}"/>
    <cellStyle name="20% - 强调文字颜色 6 3 18 6 3" xfId="14214" xr:uid="{00000000-0005-0000-0000-00009C130000}"/>
    <cellStyle name="20% - 强调文字颜色 6 3 18 6 4" xfId="14220" xr:uid="{00000000-0005-0000-0000-00009D130000}"/>
    <cellStyle name="20% - 强调文字颜色 6 3 18 6 5" xfId="3748" xr:uid="{00000000-0005-0000-0000-00009E130000}"/>
    <cellStyle name="20% - 强调文字颜色 6 3 18 6 6" xfId="7148" xr:uid="{00000000-0005-0000-0000-00009F130000}"/>
    <cellStyle name="20% - 强调文字颜色 6 3 18 6 7" xfId="7150" xr:uid="{00000000-0005-0000-0000-0000A0130000}"/>
    <cellStyle name="20% - 强调文字颜色 6 3 18 6 8" xfId="7156" xr:uid="{00000000-0005-0000-0000-0000A1130000}"/>
    <cellStyle name="20% - 强调文字颜色 6 3 18 7" xfId="5461" xr:uid="{00000000-0005-0000-0000-0000A2130000}"/>
    <cellStyle name="20% - 强调文字颜色 6 3 18 8" xfId="14223" xr:uid="{00000000-0005-0000-0000-0000A3130000}"/>
    <cellStyle name="20% - 强调文字颜色 6 3 18 9" xfId="14227" xr:uid="{00000000-0005-0000-0000-0000A4130000}"/>
    <cellStyle name="20% - 强调文字颜色 6 3 18 9 2" xfId="14229" xr:uid="{00000000-0005-0000-0000-0000A5130000}"/>
    <cellStyle name="20% - 强调文字颜色 6 3 18 9 3" xfId="14232" xr:uid="{00000000-0005-0000-0000-0000A6130000}"/>
    <cellStyle name="20% - 强调文字颜色 6 3 19" xfId="5485" xr:uid="{00000000-0005-0000-0000-0000A7130000}"/>
    <cellStyle name="20% - 强调文字颜色 6 3 19 10" xfId="14234" xr:uid="{00000000-0005-0000-0000-0000A8130000}"/>
    <cellStyle name="20% - 强调文字颜色 6 3 19 11" xfId="14240" xr:uid="{00000000-0005-0000-0000-0000A9130000}"/>
    <cellStyle name="20% - 强调文字颜色 6 3 19 12" xfId="14246" xr:uid="{00000000-0005-0000-0000-0000AA130000}"/>
    <cellStyle name="20% - 强调文字颜色 6 3 19 13" xfId="14248" xr:uid="{00000000-0005-0000-0000-0000AB130000}"/>
    <cellStyle name="20% - 强调文字颜色 6 3 19 14" xfId="14249" xr:uid="{00000000-0005-0000-0000-0000AC130000}"/>
    <cellStyle name="20% - 强调文字颜色 6 3 19 2" xfId="14250" xr:uid="{00000000-0005-0000-0000-0000AD130000}"/>
    <cellStyle name="20% - 强调文字颜色 6 3 19 3" xfId="14251" xr:uid="{00000000-0005-0000-0000-0000AE130000}"/>
    <cellStyle name="20% - 强调文字颜色 6 3 19 4" xfId="14252" xr:uid="{00000000-0005-0000-0000-0000AF130000}"/>
    <cellStyle name="20% - 强调文字颜色 6 3 19 5" xfId="14253" xr:uid="{00000000-0005-0000-0000-0000B0130000}"/>
    <cellStyle name="20% - 强调文字颜色 6 3 19 5 10" xfId="14254" xr:uid="{00000000-0005-0000-0000-0000B1130000}"/>
    <cellStyle name="20% - 强调文字颜色 6 3 19 5 11" xfId="14255" xr:uid="{00000000-0005-0000-0000-0000B2130000}"/>
    <cellStyle name="20% - 强调文字颜色 6 3 19 5 2" xfId="14257" xr:uid="{00000000-0005-0000-0000-0000B3130000}"/>
    <cellStyle name="20% - 强调文字颜色 6 3 19 5 2 2" xfId="14260" xr:uid="{00000000-0005-0000-0000-0000B4130000}"/>
    <cellStyle name="20% - 强调文字颜色 6 3 19 5 2 2 2" xfId="14263" xr:uid="{00000000-0005-0000-0000-0000B5130000}"/>
    <cellStyle name="20% - 强调文字颜色 6 3 19 5 2 2 3" xfId="14266" xr:uid="{00000000-0005-0000-0000-0000B6130000}"/>
    <cellStyle name="20% - 强调文字颜色 6 3 19 5 2 3" xfId="14269" xr:uid="{00000000-0005-0000-0000-0000B7130000}"/>
    <cellStyle name="20% - 强调文字颜色 6 3 19 5 2 4" xfId="3824" xr:uid="{00000000-0005-0000-0000-0000B8130000}"/>
    <cellStyle name="20% - 强调文字颜色 6 3 19 5 2 5" xfId="11588" xr:uid="{00000000-0005-0000-0000-0000B9130000}"/>
    <cellStyle name="20% - 强调文字颜色 6 3 19 5 2 6" xfId="11591" xr:uid="{00000000-0005-0000-0000-0000BA130000}"/>
    <cellStyle name="20% - 强调文字颜色 6 3 19 5 2 7" xfId="6075" xr:uid="{00000000-0005-0000-0000-0000BB130000}"/>
    <cellStyle name="20% - 强调文字颜色 6 3 19 5 2 8" xfId="6079" xr:uid="{00000000-0005-0000-0000-0000BC130000}"/>
    <cellStyle name="20% - 强调文字颜色 6 3 19 5 3" xfId="14273" xr:uid="{00000000-0005-0000-0000-0000BD130000}"/>
    <cellStyle name="20% - 强调文字颜色 6 3 19 5 4" xfId="14275" xr:uid="{00000000-0005-0000-0000-0000BE130000}"/>
    <cellStyle name="20% - 强调文字颜色 6 3 19 5 5" xfId="14277" xr:uid="{00000000-0005-0000-0000-0000BF130000}"/>
    <cellStyle name="20% - 强调文字颜色 6 3 19 5 6" xfId="14280" xr:uid="{00000000-0005-0000-0000-0000C0130000}"/>
    <cellStyle name="20% - 强调文字颜色 6 3 19 5 6 2" xfId="2621" xr:uid="{00000000-0005-0000-0000-0000C1130000}"/>
    <cellStyle name="20% - 强调文字颜色 6 3 19 5 6 3" xfId="2725" xr:uid="{00000000-0005-0000-0000-0000C2130000}"/>
    <cellStyle name="20% - 强调文字颜色 6 3 19 5 7" xfId="14284" xr:uid="{00000000-0005-0000-0000-0000C3130000}"/>
    <cellStyle name="20% - 强调文字颜色 6 3 19 5 8" xfId="14285" xr:uid="{00000000-0005-0000-0000-0000C4130000}"/>
    <cellStyle name="20% - 强调文字颜色 6 3 19 5 9" xfId="14286" xr:uid="{00000000-0005-0000-0000-0000C5130000}"/>
    <cellStyle name="20% - 强调文字颜色 6 3 19 6" xfId="14287" xr:uid="{00000000-0005-0000-0000-0000C6130000}"/>
    <cellStyle name="20% - 强调文字颜色 6 3 19 6 2" xfId="14290" xr:uid="{00000000-0005-0000-0000-0000C7130000}"/>
    <cellStyle name="20% - 强调文字颜色 6 3 19 6 2 2" xfId="14292" xr:uid="{00000000-0005-0000-0000-0000C8130000}"/>
    <cellStyle name="20% - 强调文字颜色 6 3 19 6 2 3" xfId="14295" xr:uid="{00000000-0005-0000-0000-0000C9130000}"/>
    <cellStyle name="20% - 强调文字颜色 6 3 19 6 3" xfId="3439" xr:uid="{00000000-0005-0000-0000-0000CA130000}"/>
    <cellStyle name="20% - 强调文字颜色 6 3 19 6 4" xfId="3457" xr:uid="{00000000-0005-0000-0000-0000CB130000}"/>
    <cellStyle name="20% - 强调文字颜色 6 3 19 6 5" xfId="8335" xr:uid="{00000000-0005-0000-0000-0000CC130000}"/>
    <cellStyle name="20% - 强调文字颜色 6 3 19 6 6" xfId="8339" xr:uid="{00000000-0005-0000-0000-0000CD130000}"/>
    <cellStyle name="20% - 强调文字颜色 6 3 19 6 7" xfId="7099" xr:uid="{00000000-0005-0000-0000-0000CE130000}"/>
    <cellStyle name="20% - 强调文字颜色 6 3 19 6 8" xfId="7114" xr:uid="{00000000-0005-0000-0000-0000CF130000}"/>
    <cellStyle name="20% - 强调文字颜色 6 3 19 7" xfId="14296" xr:uid="{00000000-0005-0000-0000-0000D0130000}"/>
    <cellStyle name="20% - 强调文字颜色 6 3 19 8" xfId="14297" xr:uid="{00000000-0005-0000-0000-0000D1130000}"/>
    <cellStyle name="20% - 强调文字颜色 6 3 19 9" xfId="14298" xr:uid="{00000000-0005-0000-0000-0000D2130000}"/>
    <cellStyle name="20% - 强调文字颜色 6 3 19 9 2" xfId="14303" xr:uid="{00000000-0005-0000-0000-0000D3130000}"/>
    <cellStyle name="20% - 强调文字颜色 6 3 19 9 3" xfId="14309" xr:uid="{00000000-0005-0000-0000-0000D4130000}"/>
    <cellStyle name="20% - 强调文字颜色 6 3 2" xfId="14311" xr:uid="{00000000-0005-0000-0000-0000D5130000}"/>
    <cellStyle name="20% - 强调文字颜色 6 3 2 10" xfId="11433" xr:uid="{00000000-0005-0000-0000-0000D6130000}"/>
    <cellStyle name="20% - 强调文字颜色 6 3 2 11" xfId="11437" xr:uid="{00000000-0005-0000-0000-0000D7130000}"/>
    <cellStyle name="20% - 强调文字颜色 6 3 2 12" xfId="11441" xr:uid="{00000000-0005-0000-0000-0000D8130000}"/>
    <cellStyle name="20% - 强调文字颜色 6 3 2 13" xfId="14313" xr:uid="{00000000-0005-0000-0000-0000D9130000}"/>
    <cellStyle name="20% - 强调文字颜色 6 3 2 14" xfId="14315" xr:uid="{00000000-0005-0000-0000-0000DA130000}"/>
    <cellStyle name="20% - 强调文字颜色 6 3 2 2" xfId="13365" xr:uid="{00000000-0005-0000-0000-0000DB130000}"/>
    <cellStyle name="20% - 强调文字颜色 6 3 2 3" xfId="13451" xr:uid="{00000000-0005-0000-0000-0000DC130000}"/>
    <cellStyle name="20% - 强调文字颜色 6 3 2 4" xfId="13503" xr:uid="{00000000-0005-0000-0000-0000DD130000}"/>
    <cellStyle name="20% - 强调文字颜色 6 3 2 5" xfId="13538" xr:uid="{00000000-0005-0000-0000-0000DE130000}"/>
    <cellStyle name="20% - 强调文字颜色 6 3 2 6" xfId="14320" xr:uid="{00000000-0005-0000-0000-0000DF130000}"/>
    <cellStyle name="20% - 强调文字颜色 6 3 2 7" xfId="14322" xr:uid="{00000000-0005-0000-0000-0000E0130000}"/>
    <cellStyle name="20% - 强调文字颜色 6 3 2 8" xfId="7758" xr:uid="{00000000-0005-0000-0000-0000E1130000}"/>
    <cellStyle name="20% - 强调文字颜色 6 3 2 9" xfId="7786" xr:uid="{00000000-0005-0000-0000-0000E2130000}"/>
    <cellStyle name="20% - 强调文字颜色 6 3 20" xfId="14073" xr:uid="{00000000-0005-0000-0000-0000E3130000}"/>
    <cellStyle name="20% - 强调文字颜色 6 3 20 10" xfId="14325" xr:uid="{00000000-0005-0000-0000-0000E4130000}"/>
    <cellStyle name="20% - 强调文字颜色 6 3 20 11" xfId="14327" xr:uid="{00000000-0005-0000-0000-0000E5130000}"/>
    <cellStyle name="20% - 强调文字颜色 6 3 20 12" xfId="14328" xr:uid="{00000000-0005-0000-0000-0000E6130000}"/>
    <cellStyle name="20% - 强调文字颜色 6 3 20 13" xfId="14331" xr:uid="{00000000-0005-0000-0000-0000E7130000}"/>
    <cellStyle name="20% - 强调文字颜色 6 3 20 14" xfId="14334" xr:uid="{00000000-0005-0000-0000-0000E8130000}"/>
    <cellStyle name="20% - 强调文字颜色 6 3 20 2" xfId="9710" xr:uid="{00000000-0005-0000-0000-0000E9130000}"/>
    <cellStyle name="20% - 强调文字颜色 6 3 20 3" xfId="9050" xr:uid="{00000000-0005-0000-0000-0000EA130000}"/>
    <cellStyle name="20% - 强调文字颜色 6 3 20 4" xfId="9055" xr:uid="{00000000-0005-0000-0000-0000EB130000}"/>
    <cellStyle name="20% - 强调文字颜色 6 3 20 5" xfId="2395" xr:uid="{00000000-0005-0000-0000-0000EC130000}"/>
    <cellStyle name="20% - 强调文字颜色 6 3 20 5 10" xfId="7890" xr:uid="{00000000-0005-0000-0000-0000ED130000}"/>
    <cellStyle name="20% - 强调文字颜色 6 3 20 5 11" xfId="7896" xr:uid="{00000000-0005-0000-0000-0000EE130000}"/>
    <cellStyle name="20% - 强调文字颜色 6 3 20 5 2" xfId="13372" xr:uid="{00000000-0005-0000-0000-0000EF130000}"/>
    <cellStyle name="20% - 强调文字颜色 6 3 20 5 2 2" xfId="14340" xr:uid="{00000000-0005-0000-0000-0000F0130000}"/>
    <cellStyle name="20% - 强调文字颜色 6 3 20 5 2 2 2" xfId="11987" xr:uid="{00000000-0005-0000-0000-0000F1130000}"/>
    <cellStyle name="20% - 强调文字颜色 6 3 20 5 2 2 3" xfId="11990" xr:uid="{00000000-0005-0000-0000-0000F2130000}"/>
    <cellStyle name="20% - 强调文字颜色 6 3 20 5 2 3" xfId="14349" xr:uid="{00000000-0005-0000-0000-0000F3130000}"/>
    <cellStyle name="20% - 强调文字颜色 6 3 20 5 2 4" xfId="14358" xr:uid="{00000000-0005-0000-0000-0000F4130000}"/>
    <cellStyle name="20% - 强调文字颜色 6 3 20 5 2 5" xfId="14363" xr:uid="{00000000-0005-0000-0000-0000F5130000}"/>
    <cellStyle name="20% - 强调文字颜色 6 3 20 5 2 6" xfId="14368" xr:uid="{00000000-0005-0000-0000-0000F6130000}"/>
    <cellStyle name="20% - 强调文字颜色 6 3 20 5 2 7" xfId="14371" xr:uid="{00000000-0005-0000-0000-0000F7130000}"/>
    <cellStyle name="20% - 强调文字颜色 6 3 20 5 2 8" xfId="14375" xr:uid="{00000000-0005-0000-0000-0000F8130000}"/>
    <cellStyle name="20% - 强调文字颜色 6 3 20 5 3" xfId="13380" xr:uid="{00000000-0005-0000-0000-0000F9130000}"/>
    <cellStyle name="20% - 强调文字颜色 6 3 20 5 4" xfId="13386" xr:uid="{00000000-0005-0000-0000-0000FA130000}"/>
    <cellStyle name="20% - 强调文字颜色 6 3 20 5 5" xfId="13392" xr:uid="{00000000-0005-0000-0000-0000FB130000}"/>
    <cellStyle name="20% - 强调文字颜色 6 3 20 5 6" xfId="13396" xr:uid="{00000000-0005-0000-0000-0000FC130000}"/>
    <cellStyle name="20% - 强调文字颜色 6 3 20 5 6 2" xfId="14379" xr:uid="{00000000-0005-0000-0000-0000FD130000}"/>
    <cellStyle name="20% - 强调文字颜色 6 3 20 5 6 3" xfId="14386" xr:uid="{00000000-0005-0000-0000-0000FE130000}"/>
    <cellStyle name="20% - 强调文字颜色 6 3 20 5 7" xfId="14389" xr:uid="{00000000-0005-0000-0000-0000FF130000}"/>
    <cellStyle name="20% - 强调文字颜色 6 3 20 5 8" xfId="14390" xr:uid="{00000000-0005-0000-0000-000000140000}"/>
    <cellStyle name="20% - 强调文字颜色 6 3 20 5 9" xfId="14391" xr:uid="{00000000-0005-0000-0000-000001140000}"/>
    <cellStyle name="20% - 强调文字颜色 6 3 20 6" xfId="2408" xr:uid="{00000000-0005-0000-0000-000002140000}"/>
    <cellStyle name="20% - 强调文字颜色 6 3 20 6 2" xfId="2563" xr:uid="{00000000-0005-0000-0000-000003140000}"/>
    <cellStyle name="20% - 强调文字颜色 6 3 20 6 2 2" xfId="5033" xr:uid="{00000000-0005-0000-0000-000004140000}"/>
    <cellStyle name="20% - 强调文字颜色 6 3 20 6 2 3" xfId="5043" xr:uid="{00000000-0005-0000-0000-000005140000}"/>
    <cellStyle name="20% - 强调文字颜色 6 3 20 6 3" xfId="14395" xr:uid="{00000000-0005-0000-0000-000006140000}"/>
    <cellStyle name="20% - 强调文字颜色 6 3 20 6 4" xfId="14398" xr:uid="{00000000-0005-0000-0000-000007140000}"/>
    <cellStyle name="20% - 强调文字颜色 6 3 20 6 5" xfId="14401" xr:uid="{00000000-0005-0000-0000-000008140000}"/>
    <cellStyle name="20% - 强调文字颜色 6 3 20 6 6" xfId="14404" xr:uid="{00000000-0005-0000-0000-000009140000}"/>
    <cellStyle name="20% - 强调文字颜色 6 3 20 6 7" xfId="14409" xr:uid="{00000000-0005-0000-0000-00000A140000}"/>
    <cellStyle name="20% - 强调文字颜色 6 3 20 6 8" xfId="10371" xr:uid="{00000000-0005-0000-0000-00000B140000}"/>
    <cellStyle name="20% - 强调文字颜色 6 3 20 7" xfId="9058" xr:uid="{00000000-0005-0000-0000-00000C140000}"/>
    <cellStyle name="20% - 强调文字颜色 6 3 20 8" xfId="14412" xr:uid="{00000000-0005-0000-0000-00000D140000}"/>
    <cellStyle name="20% - 强调文字颜色 6 3 20 9" xfId="14415" xr:uid="{00000000-0005-0000-0000-00000E140000}"/>
    <cellStyle name="20% - 强调文字颜色 6 3 20 9 2" xfId="2872" xr:uid="{00000000-0005-0000-0000-00000F140000}"/>
    <cellStyle name="20% - 强调文字颜色 6 3 20 9 3" xfId="14416" xr:uid="{00000000-0005-0000-0000-000010140000}"/>
    <cellStyle name="20% - 强调文字颜色 6 3 3" xfId="14420" xr:uid="{00000000-0005-0000-0000-000011140000}"/>
    <cellStyle name="20% - 强调文字颜色 6 3 3 10" xfId="11522" xr:uid="{00000000-0005-0000-0000-000012140000}"/>
    <cellStyle name="20% - 强调文字颜色 6 3 3 11" xfId="11525" xr:uid="{00000000-0005-0000-0000-000013140000}"/>
    <cellStyle name="20% - 强调文字颜色 6 3 3 12" xfId="11528" xr:uid="{00000000-0005-0000-0000-000014140000}"/>
    <cellStyle name="20% - 强调文字颜色 6 3 3 13" xfId="14421" xr:uid="{00000000-0005-0000-0000-000015140000}"/>
    <cellStyle name="20% - 强调文字颜色 6 3 3 14" xfId="14422" xr:uid="{00000000-0005-0000-0000-000016140000}"/>
    <cellStyle name="20% - 强调文字颜色 6 3 3 2" xfId="11856" xr:uid="{00000000-0005-0000-0000-000017140000}"/>
    <cellStyle name="20% - 强调文字颜色 6 3 3 3" xfId="14425" xr:uid="{00000000-0005-0000-0000-000018140000}"/>
    <cellStyle name="20% - 强调文字颜色 6 3 3 4" xfId="14428" xr:uid="{00000000-0005-0000-0000-000019140000}"/>
    <cellStyle name="20% - 强调文字颜色 6 3 3 5" xfId="14431" xr:uid="{00000000-0005-0000-0000-00001A140000}"/>
    <cellStyle name="20% - 强调文字颜色 6 3 3 6" xfId="14434" xr:uid="{00000000-0005-0000-0000-00001B140000}"/>
    <cellStyle name="20% - 强调文字颜色 6 3 3 7" xfId="14436" xr:uid="{00000000-0005-0000-0000-00001C140000}"/>
    <cellStyle name="20% - 强调文字颜色 6 3 3 8" xfId="4893" xr:uid="{00000000-0005-0000-0000-00001D140000}"/>
    <cellStyle name="20% - 强调文字颜色 6 3 3 9" xfId="7831" xr:uid="{00000000-0005-0000-0000-00001E140000}"/>
    <cellStyle name="20% - 强调文字颜色 6 3 4" xfId="11594" xr:uid="{00000000-0005-0000-0000-00001F140000}"/>
    <cellStyle name="20% - 强调文字颜色 6 3 4 10" xfId="10852" xr:uid="{00000000-0005-0000-0000-000020140000}"/>
    <cellStyle name="20% - 强调文字颜色 6 3 4 11" xfId="10856" xr:uid="{00000000-0005-0000-0000-000021140000}"/>
    <cellStyle name="20% - 强调文字颜色 6 3 4 12" xfId="14439" xr:uid="{00000000-0005-0000-0000-000022140000}"/>
    <cellStyle name="20% - 强调文字颜色 6 3 4 13" xfId="14441" xr:uid="{00000000-0005-0000-0000-000023140000}"/>
    <cellStyle name="20% - 强调文字颜色 6 3 4 14" xfId="14445" xr:uid="{00000000-0005-0000-0000-000024140000}"/>
    <cellStyle name="20% - 强调文字颜色 6 3 4 2" xfId="11598" xr:uid="{00000000-0005-0000-0000-000025140000}"/>
    <cellStyle name="20% - 强调文字颜色 6 3 4 3" xfId="6301" xr:uid="{00000000-0005-0000-0000-000026140000}"/>
    <cellStyle name="20% - 强调文字颜色 6 3 4 4" xfId="6306" xr:uid="{00000000-0005-0000-0000-000027140000}"/>
    <cellStyle name="20% - 强调文字颜色 6 3 4 5" xfId="6699" xr:uid="{00000000-0005-0000-0000-000028140000}"/>
    <cellStyle name="20% - 强调文字颜色 6 3 4 6" xfId="6707" xr:uid="{00000000-0005-0000-0000-000029140000}"/>
    <cellStyle name="20% - 强调文字颜色 6 3 4 7" xfId="6712" xr:uid="{00000000-0005-0000-0000-00002A140000}"/>
    <cellStyle name="20% - 强调文字颜色 6 3 4 8" xfId="6717" xr:uid="{00000000-0005-0000-0000-00002B140000}"/>
    <cellStyle name="20% - 强调文字颜色 6 3 4 9" xfId="14446" xr:uid="{00000000-0005-0000-0000-00002C140000}"/>
    <cellStyle name="20% - 强调文字颜色 6 3 5" xfId="11600" xr:uid="{00000000-0005-0000-0000-00002D140000}"/>
    <cellStyle name="20% - 强调文字颜色 6 3 6" xfId="11602" xr:uid="{00000000-0005-0000-0000-00002E140000}"/>
    <cellStyle name="20% - 强调文字颜色 6 3 7" xfId="11605" xr:uid="{00000000-0005-0000-0000-00002F140000}"/>
    <cellStyle name="20% - 强调文字颜色 6 3 8" xfId="11607" xr:uid="{00000000-0005-0000-0000-000030140000}"/>
    <cellStyle name="20% - 强调文字颜色 6 3 9" xfId="11612" xr:uid="{00000000-0005-0000-0000-000031140000}"/>
    <cellStyle name="20% - 强调文字颜色 6 4" xfId="14447" xr:uid="{00000000-0005-0000-0000-000032140000}"/>
    <cellStyle name="20% - 强调文字颜色 6 4 10" xfId="14453" xr:uid="{00000000-0005-0000-0000-000033140000}"/>
    <cellStyle name="20% - 强调文字颜色 6 4 11" xfId="14457" xr:uid="{00000000-0005-0000-0000-000034140000}"/>
    <cellStyle name="20% - 强调文字颜色 6 4 12" xfId="14462" xr:uid="{00000000-0005-0000-0000-000035140000}"/>
    <cellStyle name="20% - 强调文字颜色 6 4 13" xfId="14470" xr:uid="{00000000-0005-0000-0000-000036140000}"/>
    <cellStyle name="20% - 强调文字颜色 6 4 14" xfId="14472" xr:uid="{00000000-0005-0000-0000-000037140000}"/>
    <cellStyle name="20% - 强调文字颜色 6 4 15" xfId="14474" xr:uid="{00000000-0005-0000-0000-000038140000}"/>
    <cellStyle name="20% - 强调文字颜色 6 4 16" xfId="14477" xr:uid="{00000000-0005-0000-0000-000039140000}"/>
    <cellStyle name="20% - 强调文字颜色 6 4 17" xfId="1286" xr:uid="{00000000-0005-0000-0000-00003A140000}"/>
    <cellStyle name="20% - 强调文字颜色 6 4 17 10" xfId="14478" xr:uid="{00000000-0005-0000-0000-00003B140000}"/>
    <cellStyle name="20% - 强调文字颜色 6 4 17 11" xfId="6880" xr:uid="{00000000-0005-0000-0000-00003C140000}"/>
    <cellStyle name="20% - 强调文字颜色 6 4 17 12" xfId="6883" xr:uid="{00000000-0005-0000-0000-00003D140000}"/>
    <cellStyle name="20% - 强调文字颜色 6 4 17 13" xfId="14479" xr:uid="{00000000-0005-0000-0000-00003E140000}"/>
    <cellStyle name="20% - 强调文字颜色 6 4 17 14" xfId="14482" xr:uid="{00000000-0005-0000-0000-00003F140000}"/>
    <cellStyle name="20% - 强调文字颜色 6 4 17 2" xfId="4615" xr:uid="{00000000-0005-0000-0000-000040140000}"/>
    <cellStyle name="20% - 强调文字颜色 6 4 17 3" xfId="4623" xr:uid="{00000000-0005-0000-0000-000041140000}"/>
    <cellStyle name="20% - 强调文字颜色 6 4 17 4" xfId="11195" xr:uid="{00000000-0005-0000-0000-000042140000}"/>
    <cellStyle name="20% - 强调文字颜色 6 4 17 5" xfId="14487" xr:uid="{00000000-0005-0000-0000-000043140000}"/>
    <cellStyle name="20% - 强调文字颜色 6 4 17 5 10" xfId="14490" xr:uid="{00000000-0005-0000-0000-000044140000}"/>
    <cellStyle name="20% - 强调文字颜色 6 4 17 5 11" xfId="14493" xr:uid="{00000000-0005-0000-0000-000045140000}"/>
    <cellStyle name="20% - 强调文字颜色 6 4 17 5 2" xfId="1239" xr:uid="{00000000-0005-0000-0000-000046140000}"/>
    <cellStyle name="20% - 强调文字颜色 6 4 17 5 2 2" xfId="1243" xr:uid="{00000000-0005-0000-0000-000047140000}"/>
    <cellStyle name="20% - 强调文字颜色 6 4 17 5 2 2 2" xfId="14494" xr:uid="{00000000-0005-0000-0000-000048140000}"/>
    <cellStyle name="20% - 强调文字颜色 6 4 17 5 2 2 3" xfId="14496" xr:uid="{00000000-0005-0000-0000-000049140000}"/>
    <cellStyle name="20% - 强调文字颜色 6 4 17 5 2 3" xfId="1255" xr:uid="{00000000-0005-0000-0000-00004A140000}"/>
    <cellStyle name="20% - 强调文字颜色 6 4 17 5 2 4" xfId="14497" xr:uid="{00000000-0005-0000-0000-00004B140000}"/>
    <cellStyle name="20% - 强调文字颜色 6 4 17 5 2 5" xfId="14498" xr:uid="{00000000-0005-0000-0000-00004C140000}"/>
    <cellStyle name="20% - 强调文字颜色 6 4 17 5 2 6" xfId="14499" xr:uid="{00000000-0005-0000-0000-00004D140000}"/>
    <cellStyle name="20% - 强调文字颜色 6 4 17 5 2 7" xfId="14500" xr:uid="{00000000-0005-0000-0000-00004E140000}"/>
    <cellStyle name="20% - 强调文字颜色 6 4 17 5 2 8" xfId="14501" xr:uid="{00000000-0005-0000-0000-00004F140000}"/>
    <cellStyle name="20% - 强调文字颜色 6 4 17 5 3" xfId="14505" xr:uid="{00000000-0005-0000-0000-000050140000}"/>
    <cellStyle name="20% - 强调文字颜色 6 4 17 5 4" xfId="14508" xr:uid="{00000000-0005-0000-0000-000051140000}"/>
    <cellStyle name="20% - 强调文字颜色 6 4 17 5 5" xfId="14511" xr:uid="{00000000-0005-0000-0000-000052140000}"/>
    <cellStyle name="20% - 强调文字颜色 6 4 17 5 6" xfId="14514" xr:uid="{00000000-0005-0000-0000-000053140000}"/>
    <cellStyle name="20% - 强调文字颜色 6 4 17 5 6 2" xfId="12855" xr:uid="{00000000-0005-0000-0000-000054140000}"/>
    <cellStyle name="20% - 强调文字颜色 6 4 17 5 6 3" xfId="12857" xr:uid="{00000000-0005-0000-0000-000055140000}"/>
    <cellStyle name="20% - 强调文字颜色 6 4 17 5 7" xfId="14517" xr:uid="{00000000-0005-0000-0000-000056140000}"/>
    <cellStyle name="20% - 强调文字颜色 6 4 17 5 8" xfId="14518" xr:uid="{00000000-0005-0000-0000-000057140000}"/>
    <cellStyle name="20% - 强调文字颜色 6 4 17 5 9" xfId="14519" xr:uid="{00000000-0005-0000-0000-000058140000}"/>
    <cellStyle name="20% - 强调文字颜色 6 4 17 6" xfId="12964" xr:uid="{00000000-0005-0000-0000-000059140000}"/>
    <cellStyle name="20% - 强调文字颜色 6 4 17 6 2" xfId="3292" xr:uid="{00000000-0005-0000-0000-00005A140000}"/>
    <cellStyle name="20% - 强调文字颜色 6 4 17 6 2 2" xfId="3302" xr:uid="{00000000-0005-0000-0000-00005B140000}"/>
    <cellStyle name="20% - 强调文字颜色 6 4 17 6 2 3" xfId="3310" xr:uid="{00000000-0005-0000-0000-00005C140000}"/>
    <cellStyle name="20% - 强调文字颜色 6 4 17 6 3" xfId="13720" xr:uid="{00000000-0005-0000-0000-00005D140000}"/>
    <cellStyle name="20% - 强调文字颜色 6 4 17 6 4" xfId="13724" xr:uid="{00000000-0005-0000-0000-00005E140000}"/>
    <cellStyle name="20% - 强调文字颜色 6 4 17 6 5" xfId="13732" xr:uid="{00000000-0005-0000-0000-00005F140000}"/>
    <cellStyle name="20% - 强调文字颜色 6 4 17 6 6" xfId="13736" xr:uid="{00000000-0005-0000-0000-000060140000}"/>
    <cellStyle name="20% - 强调文字颜色 6 4 17 6 7" xfId="13737" xr:uid="{00000000-0005-0000-0000-000061140000}"/>
    <cellStyle name="20% - 强调文字颜色 6 4 17 6 8" xfId="14521" xr:uid="{00000000-0005-0000-0000-000062140000}"/>
    <cellStyle name="20% - 强调文字颜色 6 4 17 7" xfId="12967" xr:uid="{00000000-0005-0000-0000-000063140000}"/>
    <cellStyle name="20% - 强调文字颜色 6 4 17 8" xfId="14524" xr:uid="{00000000-0005-0000-0000-000064140000}"/>
    <cellStyle name="20% - 强调文字颜色 6 4 17 9" xfId="14527" xr:uid="{00000000-0005-0000-0000-000065140000}"/>
    <cellStyle name="20% - 强调文字颜色 6 4 17 9 2" xfId="4376" xr:uid="{00000000-0005-0000-0000-000066140000}"/>
    <cellStyle name="20% - 强调文字颜色 6 4 17 9 3" xfId="4390" xr:uid="{00000000-0005-0000-0000-000067140000}"/>
    <cellStyle name="20% - 强调文字颜色 6 4 18" xfId="1297" xr:uid="{00000000-0005-0000-0000-000068140000}"/>
    <cellStyle name="20% - 强调文字颜色 6 4 18 10" xfId="4114" xr:uid="{00000000-0005-0000-0000-000069140000}"/>
    <cellStyle name="20% - 强调文字颜色 6 4 18 11" xfId="4122" xr:uid="{00000000-0005-0000-0000-00006A140000}"/>
    <cellStyle name="20% - 强调文字颜色 6 4 18 12" xfId="4130" xr:uid="{00000000-0005-0000-0000-00006B140000}"/>
    <cellStyle name="20% - 强调文字颜色 6 4 18 13" xfId="4146" xr:uid="{00000000-0005-0000-0000-00006C140000}"/>
    <cellStyle name="20% - 强调文字颜色 6 4 18 14" xfId="4216" xr:uid="{00000000-0005-0000-0000-00006D140000}"/>
    <cellStyle name="20% - 强调文字颜色 6 4 18 2" xfId="9736" xr:uid="{00000000-0005-0000-0000-00006E140000}"/>
    <cellStyle name="20% - 强调文字颜色 6 4 18 3" xfId="14529" xr:uid="{00000000-0005-0000-0000-00006F140000}"/>
    <cellStyle name="20% - 强调文字颜色 6 4 18 4" xfId="14530" xr:uid="{00000000-0005-0000-0000-000070140000}"/>
    <cellStyle name="20% - 强调文字颜色 6 4 18 5" xfId="14531" xr:uid="{00000000-0005-0000-0000-000071140000}"/>
    <cellStyle name="20% - 强调文字颜色 6 4 18 5 10" xfId="6175" xr:uid="{00000000-0005-0000-0000-000072140000}"/>
    <cellStyle name="20% - 强调文字颜色 6 4 18 5 11" xfId="6180" xr:uid="{00000000-0005-0000-0000-000073140000}"/>
    <cellStyle name="20% - 强调文字颜色 6 4 18 5 2" xfId="8879" xr:uid="{00000000-0005-0000-0000-000074140000}"/>
    <cellStyle name="20% - 强调文字颜色 6 4 18 5 2 2" xfId="14533" xr:uid="{00000000-0005-0000-0000-000075140000}"/>
    <cellStyle name="20% - 强调文字颜色 6 4 18 5 2 2 2" xfId="14536" xr:uid="{00000000-0005-0000-0000-000076140000}"/>
    <cellStyle name="20% - 强调文字颜色 6 4 18 5 2 2 3" xfId="14539" xr:uid="{00000000-0005-0000-0000-000077140000}"/>
    <cellStyle name="20% - 强调文字颜色 6 4 18 5 2 3" xfId="14542" xr:uid="{00000000-0005-0000-0000-000078140000}"/>
    <cellStyle name="20% - 强调文字颜色 6 4 18 5 2 4" xfId="14544" xr:uid="{00000000-0005-0000-0000-000079140000}"/>
    <cellStyle name="20% - 强调文字颜色 6 4 18 5 2 5" xfId="14548" xr:uid="{00000000-0005-0000-0000-00007A140000}"/>
    <cellStyle name="20% - 强调文字颜色 6 4 18 5 2 6" xfId="14551" xr:uid="{00000000-0005-0000-0000-00007B140000}"/>
    <cellStyle name="20% - 强调文字颜色 6 4 18 5 2 7" xfId="14554" xr:uid="{00000000-0005-0000-0000-00007C140000}"/>
    <cellStyle name="20% - 强调文字颜色 6 4 18 5 2 8" xfId="2373" xr:uid="{00000000-0005-0000-0000-00007D140000}"/>
    <cellStyle name="20% - 强调文字颜色 6 4 18 5 3" xfId="7521" xr:uid="{00000000-0005-0000-0000-00007E140000}"/>
    <cellStyle name="20% - 强调文字颜色 6 4 18 5 4" xfId="5595" xr:uid="{00000000-0005-0000-0000-00007F140000}"/>
    <cellStyle name="20% - 强调文字颜色 6 4 18 5 5" xfId="5605" xr:uid="{00000000-0005-0000-0000-000080140000}"/>
    <cellStyle name="20% - 强调文字颜色 6 4 18 5 6" xfId="14557" xr:uid="{00000000-0005-0000-0000-000081140000}"/>
    <cellStyle name="20% - 强调文字颜色 6 4 18 5 6 2" xfId="14560" xr:uid="{00000000-0005-0000-0000-000082140000}"/>
    <cellStyle name="20% - 强调文字颜色 6 4 18 5 6 3" xfId="14564" xr:uid="{00000000-0005-0000-0000-000083140000}"/>
    <cellStyle name="20% - 强调文字颜色 6 4 18 5 7" xfId="14569" xr:uid="{00000000-0005-0000-0000-000084140000}"/>
    <cellStyle name="20% - 强调文字颜色 6 4 18 5 8" xfId="14571" xr:uid="{00000000-0005-0000-0000-000085140000}"/>
    <cellStyle name="20% - 强调文字颜色 6 4 18 5 9" xfId="14573" xr:uid="{00000000-0005-0000-0000-000086140000}"/>
    <cellStyle name="20% - 强调文字颜色 6 4 18 6" xfId="14575" xr:uid="{00000000-0005-0000-0000-000087140000}"/>
    <cellStyle name="20% - 强调文字颜色 6 4 18 6 2" xfId="13830" xr:uid="{00000000-0005-0000-0000-000088140000}"/>
    <cellStyle name="20% - 强调文字颜色 6 4 18 6 2 2" xfId="14578" xr:uid="{00000000-0005-0000-0000-000089140000}"/>
    <cellStyle name="20% - 强调文字颜色 6 4 18 6 2 3" xfId="14582" xr:uid="{00000000-0005-0000-0000-00008A140000}"/>
    <cellStyle name="20% - 强调文字颜色 6 4 18 6 3" xfId="13837" xr:uid="{00000000-0005-0000-0000-00008B140000}"/>
    <cellStyle name="20% - 强调文字颜色 6 4 18 6 4" xfId="13843" xr:uid="{00000000-0005-0000-0000-00008C140000}"/>
    <cellStyle name="20% - 强调文字颜色 6 4 18 6 5" xfId="13854" xr:uid="{00000000-0005-0000-0000-00008D140000}"/>
    <cellStyle name="20% - 强调文字颜色 6 4 18 6 6" xfId="13860" xr:uid="{00000000-0005-0000-0000-00008E140000}"/>
    <cellStyle name="20% - 强调文字颜色 6 4 18 6 7" xfId="13861" xr:uid="{00000000-0005-0000-0000-00008F140000}"/>
    <cellStyle name="20% - 强调文字颜色 6 4 18 6 8" xfId="14585" xr:uid="{00000000-0005-0000-0000-000090140000}"/>
    <cellStyle name="20% - 强调文字颜色 6 4 18 7" xfId="14587" xr:uid="{00000000-0005-0000-0000-000091140000}"/>
    <cellStyle name="20% - 强调文字颜色 6 4 18 8" xfId="14588" xr:uid="{00000000-0005-0000-0000-000092140000}"/>
    <cellStyle name="20% - 强调文字颜色 6 4 18 9" xfId="3943" xr:uid="{00000000-0005-0000-0000-000093140000}"/>
    <cellStyle name="20% - 强调文字颜色 6 4 18 9 2" xfId="3947" xr:uid="{00000000-0005-0000-0000-000094140000}"/>
    <cellStyle name="20% - 强调文字颜色 6 4 18 9 3" xfId="4000" xr:uid="{00000000-0005-0000-0000-000095140000}"/>
    <cellStyle name="20% - 强调文字颜色 6 4 19" xfId="1308" xr:uid="{00000000-0005-0000-0000-000096140000}"/>
    <cellStyle name="20% - 强调文字颜色 6 4 19 10" xfId="14589" xr:uid="{00000000-0005-0000-0000-000097140000}"/>
    <cellStyle name="20% - 强调文字颜色 6 4 19 11" xfId="14590" xr:uid="{00000000-0005-0000-0000-000098140000}"/>
    <cellStyle name="20% - 强调文字颜色 6 4 19 12" xfId="14592" xr:uid="{00000000-0005-0000-0000-000099140000}"/>
    <cellStyle name="20% - 强调文字颜色 6 4 19 13" xfId="14594" xr:uid="{00000000-0005-0000-0000-00009A140000}"/>
    <cellStyle name="20% - 强调文字颜色 6 4 19 14" xfId="14595" xr:uid="{00000000-0005-0000-0000-00009B140000}"/>
    <cellStyle name="20% - 强调文字颜色 6 4 19 2" xfId="14596" xr:uid="{00000000-0005-0000-0000-00009C140000}"/>
    <cellStyle name="20% - 强调文字颜色 6 4 19 3" xfId="8089" xr:uid="{00000000-0005-0000-0000-00009D140000}"/>
    <cellStyle name="20% - 强调文字颜色 6 4 19 4" xfId="8106" xr:uid="{00000000-0005-0000-0000-00009E140000}"/>
    <cellStyle name="20% - 强调文字颜色 6 4 19 5" xfId="8113" xr:uid="{00000000-0005-0000-0000-00009F140000}"/>
    <cellStyle name="20% - 强调文字颜色 6 4 19 5 10" xfId="6819" xr:uid="{00000000-0005-0000-0000-0000A0140000}"/>
    <cellStyle name="20% - 强调文字颜色 6 4 19 5 11" xfId="6828" xr:uid="{00000000-0005-0000-0000-0000A1140000}"/>
    <cellStyle name="20% - 强调文字颜色 6 4 19 5 2" xfId="14601" xr:uid="{00000000-0005-0000-0000-0000A2140000}"/>
    <cellStyle name="20% - 强调文字颜色 6 4 19 5 2 2" xfId="14603" xr:uid="{00000000-0005-0000-0000-0000A3140000}"/>
    <cellStyle name="20% - 强调文字颜色 6 4 19 5 2 2 2" xfId="11674" xr:uid="{00000000-0005-0000-0000-0000A4140000}"/>
    <cellStyle name="20% - 强调文字颜色 6 4 19 5 2 2 3" xfId="11680" xr:uid="{00000000-0005-0000-0000-0000A5140000}"/>
    <cellStyle name="20% - 强调文字颜色 6 4 19 5 2 3" xfId="14605" xr:uid="{00000000-0005-0000-0000-0000A6140000}"/>
    <cellStyle name="20% - 强调文字颜色 6 4 19 5 2 4" xfId="13119" xr:uid="{00000000-0005-0000-0000-0000A7140000}"/>
    <cellStyle name="20% - 强调文字颜色 6 4 19 5 2 5" xfId="13128" xr:uid="{00000000-0005-0000-0000-0000A8140000}"/>
    <cellStyle name="20% - 强调文字颜色 6 4 19 5 2 6" xfId="13133" xr:uid="{00000000-0005-0000-0000-0000A9140000}"/>
    <cellStyle name="20% - 强调文字颜色 6 4 19 5 2 7" xfId="13138" xr:uid="{00000000-0005-0000-0000-0000AA140000}"/>
    <cellStyle name="20% - 强调文字颜色 6 4 19 5 2 8" xfId="13143" xr:uid="{00000000-0005-0000-0000-0000AB140000}"/>
    <cellStyle name="20% - 强调文字颜色 6 4 19 5 3" xfId="14609" xr:uid="{00000000-0005-0000-0000-0000AC140000}"/>
    <cellStyle name="20% - 强调文字颜色 6 4 19 5 4" xfId="14613" xr:uid="{00000000-0005-0000-0000-0000AD140000}"/>
    <cellStyle name="20% - 强调文字颜色 6 4 19 5 5" xfId="14618" xr:uid="{00000000-0005-0000-0000-0000AE140000}"/>
    <cellStyle name="20% - 强调文字颜色 6 4 19 5 6" xfId="14622" xr:uid="{00000000-0005-0000-0000-0000AF140000}"/>
    <cellStyle name="20% - 强调文字颜色 6 4 19 5 6 2" xfId="14624" xr:uid="{00000000-0005-0000-0000-0000B0140000}"/>
    <cellStyle name="20% - 强调文字颜色 6 4 19 5 6 3" xfId="14626" xr:uid="{00000000-0005-0000-0000-0000B1140000}"/>
    <cellStyle name="20% - 强调文字颜色 6 4 19 5 7" xfId="14630" xr:uid="{00000000-0005-0000-0000-0000B2140000}"/>
    <cellStyle name="20% - 强调文字颜色 6 4 19 5 8" xfId="14633" xr:uid="{00000000-0005-0000-0000-0000B3140000}"/>
    <cellStyle name="20% - 强调文字颜色 6 4 19 5 9" xfId="14636" xr:uid="{00000000-0005-0000-0000-0000B4140000}"/>
    <cellStyle name="20% - 强调文字颜色 6 4 19 6" xfId="8119" xr:uid="{00000000-0005-0000-0000-0000B5140000}"/>
    <cellStyle name="20% - 强调文字颜色 6 4 19 6 2" xfId="14640" xr:uid="{00000000-0005-0000-0000-0000B6140000}"/>
    <cellStyle name="20% - 强调文字颜色 6 4 19 6 2 2" xfId="14642" xr:uid="{00000000-0005-0000-0000-0000B7140000}"/>
    <cellStyle name="20% - 强调文字颜色 6 4 19 6 2 3" xfId="14643" xr:uid="{00000000-0005-0000-0000-0000B8140000}"/>
    <cellStyle name="20% - 强调文字颜色 6 4 19 6 3" xfId="10907" xr:uid="{00000000-0005-0000-0000-0000B9140000}"/>
    <cellStyle name="20% - 强调文字颜色 6 4 19 6 4" xfId="10911" xr:uid="{00000000-0005-0000-0000-0000BA140000}"/>
    <cellStyle name="20% - 强调文字颜色 6 4 19 6 5" xfId="10659" xr:uid="{00000000-0005-0000-0000-0000BB140000}"/>
    <cellStyle name="20% - 强调文字颜色 6 4 19 6 6" xfId="10668" xr:uid="{00000000-0005-0000-0000-0000BC140000}"/>
    <cellStyle name="20% - 强调文字颜色 6 4 19 6 7" xfId="10672" xr:uid="{00000000-0005-0000-0000-0000BD140000}"/>
    <cellStyle name="20% - 强调文字颜色 6 4 19 6 8" xfId="10678" xr:uid="{00000000-0005-0000-0000-0000BE140000}"/>
    <cellStyle name="20% - 强调文字颜色 6 4 19 7" xfId="8124" xr:uid="{00000000-0005-0000-0000-0000BF140000}"/>
    <cellStyle name="20% - 强调文字颜色 6 4 19 8" xfId="8130" xr:uid="{00000000-0005-0000-0000-0000C0140000}"/>
    <cellStyle name="20% - 强调文字颜色 6 4 19 9" xfId="1810" xr:uid="{00000000-0005-0000-0000-0000C1140000}"/>
    <cellStyle name="20% - 强调文字颜色 6 4 19 9 2" xfId="1836" xr:uid="{00000000-0005-0000-0000-0000C2140000}"/>
    <cellStyle name="20% - 强调文字颜色 6 4 19 9 3" xfId="1868" xr:uid="{00000000-0005-0000-0000-0000C3140000}"/>
    <cellStyle name="20% - 强调文字颜色 6 4 2" xfId="14644" xr:uid="{00000000-0005-0000-0000-0000C4140000}"/>
    <cellStyle name="20% - 强调文字颜色 6 4 20" xfId="14475" xr:uid="{00000000-0005-0000-0000-0000C5140000}"/>
    <cellStyle name="20% - 强调文字颜色 6 4 20 10" xfId="7536" xr:uid="{00000000-0005-0000-0000-0000C6140000}"/>
    <cellStyle name="20% - 强调文字颜色 6 4 20 11" xfId="7548" xr:uid="{00000000-0005-0000-0000-0000C7140000}"/>
    <cellStyle name="20% - 强调文字颜色 6 4 20 12" xfId="14646" xr:uid="{00000000-0005-0000-0000-0000C8140000}"/>
    <cellStyle name="20% - 强调文字颜色 6 4 20 13" xfId="14652" xr:uid="{00000000-0005-0000-0000-0000C9140000}"/>
    <cellStyle name="20% - 强调文字颜色 6 4 20 14" xfId="14659" xr:uid="{00000000-0005-0000-0000-0000CA140000}"/>
    <cellStyle name="20% - 强调文字颜色 6 4 20 2" xfId="9999" xr:uid="{00000000-0005-0000-0000-0000CB140000}"/>
    <cellStyle name="20% - 强调文字颜色 6 4 20 3" xfId="9787" xr:uid="{00000000-0005-0000-0000-0000CC140000}"/>
    <cellStyle name="20% - 强调文字颜色 6 4 20 4" xfId="9802" xr:uid="{00000000-0005-0000-0000-0000CD140000}"/>
    <cellStyle name="20% - 强调文字颜色 6 4 20 5" xfId="9525" xr:uid="{00000000-0005-0000-0000-0000CE140000}"/>
    <cellStyle name="20% - 强调文字颜色 6 4 20 5 10" xfId="14662" xr:uid="{00000000-0005-0000-0000-0000CF140000}"/>
    <cellStyle name="20% - 强调文字颜色 6 4 20 5 11" xfId="14666" xr:uid="{00000000-0005-0000-0000-0000D0140000}"/>
    <cellStyle name="20% - 强调文字颜色 6 4 20 5 2" xfId="14670" xr:uid="{00000000-0005-0000-0000-0000D1140000}"/>
    <cellStyle name="20% - 强调文字颜色 6 4 20 5 2 2" xfId="839" xr:uid="{00000000-0005-0000-0000-0000D2140000}"/>
    <cellStyle name="20% - 强调文字颜色 6 4 20 5 2 2 2" xfId="14672" xr:uid="{00000000-0005-0000-0000-0000D3140000}"/>
    <cellStyle name="20% - 强调文字颜色 6 4 20 5 2 2 3" xfId="14673" xr:uid="{00000000-0005-0000-0000-0000D4140000}"/>
    <cellStyle name="20% - 强调文字颜色 6 4 20 5 2 3" xfId="866" xr:uid="{00000000-0005-0000-0000-0000D5140000}"/>
    <cellStyle name="20% - 强调文字颜色 6 4 20 5 2 4" xfId="851" xr:uid="{00000000-0005-0000-0000-0000D6140000}"/>
    <cellStyle name="20% - 强调文字颜色 6 4 20 5 2 5" xfId="14675" xr:uid="{00000000-0005-0000-0000-0000D7140000}"/>
    <cellStyle name="20% - 强调文字颜色 6 4 20 5 2 6" xfId="14677" xr:uid="{00000000-0005-0000-0000-0000D8140000}"/>
    <cellStyle name="20% - 强调文字颜色 6 4 20 5 2 7" xfId="14679" xr:uid="{00000000-0005-0000-0000-0000D9140000}"/>
    <cellStyle name="20% - 强调文字颜色 6 4 20 5 2 8" xfId="14681" xr:uid="{00000000-0005-0000-0000-0000DA140000}"/>
    <cellStyle name="20% - 强调文字颜色 6 4 20 5 3" xfId="14685" xr:uid="{00000000-0005-0000-0000-0000DB140000}"/>
    <cellStyle name="20% - 强调文字颜色 6 4 20 5 4" xfId="14689" xr:uid="{00000000-0005-0000-0000-0000DC140000}"/>
    <cellStyle name="20% - 强调文字颜色 6 4 20 5 5" xfId="14693" xr:uid="{00000000-0005-0000-0000-0000DD140000}"/>
    <cellStyle name="20% - 强调文字颜色 6 4 20 5 6" xfId="14697" xr:uid="{00000000-0005-0000-0000-0000DE140000}"/>
    <cellStyle name="20% - 强调文字颜色 6 4 20 5 6 2" xfId="14698" xr:uid="{00000000-0005-0000-0000-0000DF140000}"/>
    <cellStyle name="20% - 强调文字颜色 6 4 20 5 6 3" xfId="14699" xr:uid="{00000000-0005-0000-0000-0000E0140000}"/>
    <cellStyle name="20% - 强调文字颜色 6 4 20 5 7" xfId="14703" xr:uid="{00000000-0005-0000-0000-0000E1140000}"/>
    <cellStyle name="20% - 强调文字颜色 6 4 20 5 8" xfId="14705" xr:uid="{00000000-0005-0000-0000-0000E2140000}"/>
    <cellStyle name="20% - 强调文字颜色 6 4 20 5 9" xfId="14707" xr:uid="{00000000-0005-0000-0000-0000E3140000}"/>
    <cellStyle name="20% - 强调文字颜色 6 4 20 6" xfId="9537" xr:uid="{00000000-0005-0000-0000-0000E4140000}"/>
    <cellStyle name="20% - 强调文字颜色 6 4 20 6 2" xfId="11467" xr:uid="{00000000-0005-0000-0000-0000E5140000}"/>
    <cellStyle name="20% - 强调文字颜色 6 4 20 6 2 2" xfId="1137" xr:uid="{00000000-0005-0000-0000-0000E6140000}"/>
    <cellStyle name="20% - 强调文字颜色 6 4 20 6 2 3" xfId="1149" xr:uid="{00000000-0005-0000-0000-0000E7140000}"/>
    <cellStyle name="20% - 强调文字颜色 6 4 20 6 3" xfId="11882" xr:uid="{00000000-0005-0000-0000-0000E8140000}"/>
    <cellStyle name="20% - 强调文字颜色 6 4 20 6 4" xfId="14711" xr:uid="{00000000-0005-0000-0000-0000E9140000}"/>
    <cellStyle name="20% - 强调文字颜色 6 4 20 6 5" xfId="14714" xr:uid="{00000000-0005-0000-0000-0000EA140000}"/>
    <cellStyle name="20% - 强调文字颜色 6 4 20 6 6" xfId="14719" xr:uid="{00000000-0005-0000-0000-0000EB140000}"/>
    <cellStyle name="20% - 强调文字颜色 6 4 20 6 7" xfId="14722" xr:uid="{00000000-0005-0000-0000-0000EC140000}"/>
    <cellStyle name="20% - 强调文字颜色 6 4 20 6 8" xfId="10573" xr:uid="{00000000-0005-0000-0000-0000ED140000}"/>
    <cellStyle name="20% - 强调文字颜色 6 4 20 7" xfId="9812" xr:uid="{00000000-0005-0000-0000-0000EE140000}"/>
    <cellStyle name="20% - 强调文字颜色 6 4 20 8" xfId="14725" xr:uid="{00000000-0005-0000-0000-0000EF140000}"/>
    <cellStyle name="20% - 强调文字颜色 6 4 20 9" xfId="14730" xr:uid="{00000000-0005-0000-0000-0000F0140000}"/>
    <cellStyle name="20% - 强调文字颜色 6 4 20 9 2" xfId="14731" xr:uid="{00000000-0005-0000-0000-0000F1140000}"/>
    <cellStyle name="20% - 强调文字颜色 6 4 20 9 3" xfId="14733" xr:uid="{00000000-0005-0000-0000-0000F2140000}"/>
    <cellStyle name="20% - 强调文字颜色 6 4 3" xfId="14735" xr:uid="{00000000-0005-0000-0000-0000F3140000}"/>
    <cellStyle name="20% - 强调文字颜色 6 4 4" xfId="11629" xr:uid="{00000000-0005-0000-0000-0000F4140000}"/>
    <cellStyle name="20% - 强调文字颜色 6 4 5" xfId="11633" xr:uid="{00000000-0005-0000-0000-0000F5140000}"/>
    <cellStyle name="20% - 强调文字颜色 6 4 6" xfId="11636" xr:uid="{00000000-0005-0000-0000-0000F6140000}"/>
    <cellStyle name="20% - 强调文字颜色 6 4 7" xfId="11639" xr:uid="{00000000-0005-0000-0000-0000F7140000}"/>
    <cellStyle name="20% - 强调文字颜色 6 4 8" xfId="11642" xr:uid="{00000000-0005-0000-0000-0000F8140000}"/>
    <cellStyle name="20% - 强调文字颜色 6 4 9" xfId="8360" xr:uid="{00000000-0005-0000-0000-0000F9140000}"/>
    <cellStyle name="20% - 强调文字颜色 6 5" xfId="14737" xr:uid="{00000000-0005-0000-0000-0000FA140000}"/>
    <cellStyle name="20% - 强调文字颜色 6 5 10" xfId="14740" xr:uid="{00000000-0005-0000-0000-0000FB140000}"/>
    <cellStyle name="20% - 强调文字颜色 6 5 11" xfId="14742" xr:uid="{00000000-0005-0000-0000-0000FC140000}"/>
    <cellStyle name="20% - 强调文字颜色 6 5 12" xfId="14744" xr:uid="{00000000-0005-0000-0000-0000FD140000}"/>
    <cellStyle name="20% - 强调文字颜色 6 5 13" xfId="14745" xr:uid="{00000000-0005-0000-0000-0000FE140000}"/>
    <cellStyle name="20% - 强调文字颜色 6 5 14" xfId="14746" xr:uid="{00000000-0005-0000-0000-0000FF140000}"/>
    <cellStyle name="20% - 强调文字颜色 6 5 2" xfId="14748" xr:uid="{00000000-0005-0000-0000-000000150000}"/>
    <cellStyle name="20% - 强调文字颜色 6 5 3" xfId="11428" xr:uid="{00000000-0005-0000-0000-000001150000}"/>
    <cellStyle name="20% - 强调文字颜色 6 5 4" xfId="11430" xr:uid="{00000000-0005-0000-0000-000002150000}"/>
    <cellStyle name="20% - 强调文字颜色 6 5 5" xfId="11432" xr:uid="{00000000-0005-0000-0000-000003150000}"/>
    <cellStyle name="20% - 强调文字颜色 6 5 6" xfId="11435" xr:uid="{00000000-0005-0000-0000-000004150000}"/>
    <cellStyle name="20% - 强调文字颜色 6 5 7" xfId="11439" xr:uid="{00000000-0005-0000-0000-000005150000}"/>
    <cellStyle name="20% - 强调文字颜色 6 5 8" xfId="14312" xr:uid="{00000000-0005-0000-0000-000006150000}"/>
    <cellStyle name="20% - 强调文字颜色 6 5 9" xfId="14314" xr:uid="{00000000-0005-0000-0000-000007150000}"/>
    <cellStyle name="20% - 强调文字颜色 6 6" xfId="2046" xr:uid="{00000000-0005-0000-0000-000008150000}"/>
    <cellStyle name="20% - 强调文字颜色 6 6 10" xfId="8753" xr:uid="{00000000-0005-0000-0000-000009150000}"/>
    <cellStyle name="20% - 强调文字颜色 6 6 11" xfId="14749" xr:uid="{00000000-0005-0000-0000-00000A150000}"/>
    <cellStyle name="20% - 强调文字颜色 6 6 12" xfId="14750" xr:uid="{00000000-0005-0000-0000-00000B150000}"/>
    <cellStyle name="20% - 强调文字颜色 6 6 13" xfId="8767" xr:uid="{00000000-0005-0000-0000-00000C150000}"/>
    <cellStyle name="20% - 强调文字颜色 6 6 14" xfId="11918" xr:uid="{00000000-0005-0000-0000-00000D150000}"/>
    <cellStyle name="20% - 强调文字颜色 6 6 2" xfId="14754" xr:uid="{00000000-0005-0000-0000-00000E150000}"/>
    <cellStyle name="20% - 强调文字颜色 6 6 3" xfId="14757" xr:uid="{00000000-0005-0000-0000-00000F150000}"/>
    <cellStyle name="20% - 强调文字颜色 6 6 4" xfId="14761" xr:uid="{00000000-0005-0000-0000-000010150000}"/>
    <cellStyle name="20% - 强调文字颜色 6 6 5" xfId="14764" xr:uid="{00000000-0005-0000-0000-000011150000}"/>
    <cellStyle name="20% - 强调文字颜色 6 6 6" xfId="14766" xr:uid="{00000000-0005-0000-0000-000012150000}"/>
    <cellStyle name="20% - 强调文字颜色 6 6 7" xfId="14768" xr:uid="{00000000-0005-0000-0000-000013150000}"/>
    <cellStyle name="20% - 强调文字颜色 6 6 8" xfId="14769" xr:uid="{00000000-0005-0000-0000-000014150000}"/>
    <cellStyle name="20% - 强调文字颜色 6 6 9" xfId="14773" xr:uid="{00000000-0005-0000-0000-000015150000}"/>
    <cellStyle name="20% - 强调文字颜色 6 7" xfId="2110" xr:uid="{00000000-0005-0000-0000-000016150000}"/>
    <cellStyle name="20% - 强调文字颜色 6 8" xfId="2132" xr:uid="{00000000-0005-0000-0000-000017150000}"/>
    <cellStyle name="20% - 强调文字颜色 6 9" xfId="2150" xr:uid="{00000000-0005-0000-0000-000018150000}"/>
    <cellStyle name="20% - 輔色1" xfId="19" xr:uid="{00000000-0005-0000-0000-000006000000}"/>
    <cellStyle name="20% - 輔色1 2" xfId="38499" xr:uid="{00000000-0005-0000-0000-000000000000}"/>
    <cellStyle name="20% - 輔色2" xfId="20" xr:uid="{00000000-0005-0000-0000-000007000000}"/>
    <cellStyle name="20% - 輔色2 2" xfId="38498" xr:uid="{00000000-0005-0000-0000-000001000000}"/>
    <cellStyle name="20% - 輔色3" xfId="12514" xr:uid="{00000000-0005-0000-0000-00001B150000}"/>
    <cellStyle name="20% - 輔色4" xfId="12524" xr:uid="{00000000-0005-0000-0000-00001C150000}"/>
    <cellStyle name="20% - 輔色5" xfId="12535" xr:uid="{00000000-0005-0000-0000-00001D150000}"/>
    <cellStyle name="20% - 輔色6" xfId="12541" xr:uid="{00000000-0005-0000-0000-00001E150000}"/>
    <cellStyle name="25*62*210" xfId="38510" xr:uid="{9E452765-6BC3-41C2-99E3-9E3152A2C41E}"/>
    <cellStyle name="40% - Accent1 2" xfId="21" xr:uid="{00000000-0005-0000-0000-000008000000}"/>
    <cellStyle name="40% - Accent2 2" xfId="22" xr:uid="{00000000-0005-0000-0000-000009000000}"/>
    <cellStyle name="40% - Accent3 2" xfId="23" xr:uid="{00000000-0005-0000-0000-00000A000000}"/>
    <cellStyle name="40% - Accent4 2" xfId="24" xr:uid="{00000000-0005-0000-0000-00000B000000}"/>
    <cellStyle name="40% - Accent5 2" xfId="25" xr:uid="{00000000-0005-0000-0000-00000C000000}"/>
    <cellStyle name="40% - Accent6 2" xfId="26" xr:uid="{00000000-0005-0000-0000-00000D000000}"/>
    <cellStyle name="40% - 强调文字颜色 1 10" xfId="13862" xr:uid="{00000000-0005-0000-0000-00001F150000}"/>
    <cellStyle name="40% - 强调文字颜色 1 11" xfId="14586" xr:uid="{00000000-0005-0000-0000-000020150000}"/>
    <cellStyle name="40% - 强调文字颜色 1 12" xfId="14775" xr:uid="{00000000-0005-0000-0000-000021150000}"/>
    <cellStyle name="40% - 强调文字颜色 1 12 10" xfId="7836" xr:uid="{00000000-0005-0000-0000-000022150000}"/>
    <cellStyle name="40% - 强调文字颜色 1 12 11" xfId="7848" xr:uid="{00000000-0005-0000-0000-000023150000}"/>
    <cellStyle name="40% - 强调文字颜色 1 12 12" xfId="7864" xr:uid="{00000000-0005-0000-0000-000024150000}"/>
    <cellStyle name="40% - 强调文字颜色 1 12 13" xfId="10284" xr:uid="{00000000-0005-0000-0000-000025150000}"/>
    <cellStyle name="40% - 强调文字颜色 1 12 14" xfId="10292" xr:uid="{00000000-0005-0000-0000-000026150000}"/>
    <cellStyle name="40% - 强调文字颜色 1 12 2" xfId="13619" xr:uid="{00000000-0005-0000-0000-000027150000}"/>
    <cellStyle name="40% - 强调文字颜色 1 12 3" xfId="2527" xr:uid="{00000000-0005-0000-0000-000028150000}"/>
    <cellStyle name="40% - 强调文字颜色 1 12 4" xfId="5130" xr:uid="{00000000-0005-0000-0000-000029150000}"/>
    <cellStyle name="40% - 强调文字颜色 1 12 5" xfId="14778" xr:uid="{00000000-0005-0000-0000-00002A150000}"/>
    <cellStyle name="40% - 强调文字颜色 1 12 5 10" xfId="14780" xr:uid="{00000000-0005-0000-0000-00002B150000}"/>
    <cellStyle name="40% - 强调文字颜色 1 12 5 11" xfId="14782" xr:uid="{00000000-0005-0000-0000-00002C150000}"/>
    <cellStyle name="40% - 强调文字颜色 1 12 5 2" xfId="10735" xr:uid="{00000000-0005-0000-0000-00002D150000}"/>
    <cellStyle name="40% - 强调文字颜色 1 12 5 2 2" xfId="14785" xr:uid="{00000000-0005-0000-0000-00002E150000}"/>
    <cellStyle name="40% - 强调文字颜色 1 12 5 2 2 2" xfId="14788" xr:uid="{00000000-0005-0000-0000-00002F150000}"/>
    <cellStyle name="40% - 强调文字颜色 1 12 5 2 2 3" xfId="14792" xr:uid="{00000000-0005-0000-0000-000030150000}"/>
    <cellStyle name="40% - 强调文字颜色 1 12 5 2 3" xfId="14794" xr:uid="{00000000-0005-0000-0000-000031150000}"/>
    <cellStyle name="40% - 强调文字颜色 1 12 5 2 4" xfId="10697" xr:uid="{00000000-0005-0000-0000-000032150000}"/>
    <cellStyle name="40% - 强调文字颜色 1 12 5 2 5" xfId="11706" xr:uid="{00000000-0005-0000-0000-000033150000}"/>
    <cellStyle name="40% - 强调文字颜色 1 12 5 2 6" xfId="11714" xr:uid="{00000000-0005-0000-0000-000034150000}"/>
    <cellStyle name="40% - 强调文字颜色 1 12 5 2 7" xfId="11722" xr:uid="{00000000-0005-0000-0000-000035150000}"/>
    <cellStyle name="40% - 强调文字颜色 1 12 5 2 8" xfId="11730" xr:uid="{00000000-0005-0000-0000-000036150000}"/>
    <cellStyle name="40% - 强调文字颜色 1 12 5 3" xfId="14797" xr:uid="{00000000-0005-0000-0000-000037150000}"/>
    <cellStyle name="40% - 强调文字颜色 1 12 5 4" xfId="14800" xr:uid="{00000000-0005-0000-0000-000038150000}"/>
    <cellStyle name="40% - 强调文字颜色 1 12 5 5" xfId="14802" xr:uid="{00000000-0005-0000-0000-000039150000}"/>
    <cellStyle name="40% - 强调文字颜色 1 12 5 6" xfId="14805" xr:uid="{00000000-0005-0000-0000-00003A150000}"/>
    <cellStyle name="40% - 强调文字颜色 1 12 5 6 2" xfId="14806" xr:uid="{00000000-0005-0000-0000-00003B150000}"/>
    <cellStyle name="40% - 强调文字颜色 1 12 5 6 3" xfId="14807" xr:uid="{00000000-0005-0000-0000-00003C150000}"/>
    <cellStyle name="40% - 强调文字颜色 1 12 5 7" xfId="14810" xr:uid="{00000000-0005-0000-0000-00003D150000}"/>
    <cellStyle name="40% - 强调文字颜色 1 12 5 8" xfId="9135" xr:uid="{00000000-0005-0000-0000-00003E150000}"/>
    <cellStyle name="40% - 强调文字颜色 1 12 5 9" xfId="9161" xr:uid="{00000000-0005-0000-0000-00003F150000}"/>
    <cellStyle name="40% - 强调文字颜色 1 12 6" xfId="14812" xr:uid="{00000000-0005-0000-0000-000040150000}"/>
    <cellStyle name="40% - 强调文字颜色 1 12 6 2" xfId="14813" xr:uid="{00000000-0005-0000-0000-000041150000}"/>
    <cellStyle name="40% - 强调文字颜色 1 12 6 2 2" xfId="14814" xr:uid="{00000000-0005-0000-0000-000042150000}"/>
    <cellStyle name="40% - 强调文字颜色 1 12 6 2 3" xfId="14817" xr:uid="{00000000-0005-0000-0000-000043150000}"/>
    <cellStyle name="40% - 强调文字颜色 1 12 6 3" xfId="14819" xr:uid="{00000000-0005-0000-0000-000044150000}"/>
    <cellStyle name="40% - 强调文字颜色 1 12 6 4" xfId="14820" xr:uid="{00000000-0005-0000-0000-000045150000}"/>
    <cellStyle name="40% - 强调文字颜色 1 12 6 5" xfId="14822" xr:uid="{00000000-0005-0000-0000-000046150000}"/>
    <cellStyle name="40% - 强调文字颜色 1 12 6 6" xfId="14824" xr:uid="{00000000-0005-0000-0000-000047150000}"/>
    <cellStyle name="40% - 强调文字颜色 1 12 6 7" xfId="10153" xr:uid="{00000000-0005-0000-0000-000048150000}"/>
    <cellStyle name="40% - 强调文字颜色 1 12 6 8" xfId="10159" xr:uid="{00000000-0005-0000-0000-000049150000}"/>
    <cellStyle name="40% - 强调文字颜色 1 12 7" xfId="14826" xr:uid="{00000000-0005-0000-0000-00004A150000}"/>
    <cellStyle name="40% - 强调文字颜色 1 12 8" xfId="14828" xr:uid="{00000000-0005-0000-0000-00004B150000}"/>
    <cellStyle name="40% - 强调文字颜色 1 12 9" xfId="14829" xr:uid="{00000000-0005-0000-0000-00004C150000}"/>
    <cellStyle name="40% - 强调文字颜色 1 12 9 2" xfId="12498" xr:uid="{00000000-0005-0000-0000-00004D150000}"/>
    <cellStyle name="40% - 强调文字颜色 1 12 9 3" xfId="12499" xr:uid="{00000000-0005-0000-0000-00004E150000}"/>
    <cellStyle name="40% - 强调文字颜色 1 13" xfId="14831" xr:uid="{00000000-0005-0000-0000-00004F150000}"/>
    <cellStyle name="40% - 强调文字颜色 1 14" xfId="14832" xr:uid="{00000000-0005-0000-0000-000050150000}"/>
    <cellStyle name="40% - 强调文字颜色 1 15" xfId="14834" xr:uid="{00000000-0005-0000-0000-000051150000}"/>
    <cellStyle name="40% - 强调文字颜色 1 16" xfId="14836" xr:uid="{00000000-0005-0000-0000-000052150000}"/>
    <cellStyle name="40% - 强调文字颜色 1 16 10" xfId="10582" xr:uid="{00000000-0005-0000-0000-000053150000}"/>
    <cellStyle name="40% - 强调文字颜色 1 16 11" xfId="14837" xr:uid="{00000000-0005-0000-0000-000054150000}"/>
    <cellStyle name="40% - 强调文字颜色 1 16 12" xfId="14838" xr:uid="{00000000-0005-0000-0000-000055150000}"/>
    <cellStyle name="40% - 强调文字颜色 1 16 13" xfId="14839" xr:uid="{00000000-0005-0000-0000-000056150000}"/>
    <cellStyle name="40% - 强调文字颜色 1 16 14" xfId="14840" xr:uid="{00000000-0005-0000-0000-000057150000}"/>
    <cellStyle name="40% - 强调文字颜色 1 16 2" xfId="14841" xr:uid="{00000000-0005-0000-0000-000058150000}"/>
    <cellStyle name="40% - 强调文字颜色 1 16 3" xfId="14842" xr:uid="{00000000-0005-0000-0000-000059150000}"/>
    <cellStyle name="40% - 强调文字颜色 1 16 4" xfId="14843" xr:uid="{00000000-0005-0000-0000-00005A150000}"/>
    <cellStyle name="40% - 强调文字颜色 1 16 5" xfId="14844" xr:uid="{00000000-0005-0000-0000-00005B150000}"/>
    <cellStyle name="40% - 强调文字颜色 1 16 5 10" xfId="5283" xr:uid="{00000000-0005-0000-0000-00005C150000}"/>
    <cellStyle name="40% - 强调文字颜色 1 16 5 11" xfId="6089" xr:uid="{00000000-0005-0000-0000-00005D150000}"/>
    <cellStyle name="40% - 强调文字颜色 1 16 5 2" xfId="1917" xr:uid="{00000000-0005-0000-0000-00005E150000}"/>
    <cellStyle name="40% - 强调文字颜色 1 16 5 2 2" xfId="14846" xr:uid="{00000000-0005-0000-0000-00005F150000}"/>
    <cellStyle name="40% - 强调文字颜色 1 16 5 2 2 2" xfId="14847" xr:uid="{00000000-0005-0000-0000-000060150000}"/>
    <cellStyle name="40% - 强调文字颜色 1 16 5 2 2 3" xfId="11411" xr:uid="{00000000-0005-0000-0000-000061150000}"/>
    <cellStyle name="40% - 强调文字颜色 1 16 5 2 3" xfId="14851" xr:uid="{00000000-0005-0000-0000-000062150000}"/>
    <cellStyle name="40% - 强调文字颜色 1 16 5 2 4" xfId="11817" xr:uid="{00000000-0005-0000-0000-000063150000}"/>
    <cellStyle name="40% - 强调文字颜色 1 16 5 2 5" xfId="11826" xr:uid="{00000000-0005-0000-0000-000064150000}"/>
    <cellStyle name="40% - 强调文字颜色 1 16 5 2 6" xfId="11835" xr:uid="{00000000-0005-0000-0000-000065150000}"/>
    <cellStyle name="40% - 强调文字颜色 1 16 5 2 7" xfId="11840" xr:uid="{00000000-0005-0000-0000-000066150000}"/>
    <cellStyle name="40% - 强调文字颜色 1 16 5 2 8" xfId="11846" xr:uid="{00000000-0005-0000-0000-000067150000}"/>
    <cellStyle name="40% - 强调文字颜色 1 16 5 3" xfId="1942" xr:uid="{00000000-0005-0000-0000-000068150000}"/>
    <cellStyle name="40% - 强调文字颜色 1 16 5 4" xfId="1831" xr:uid="{00000000-0005-0000-0000-000069150000}"/>
    <cellStyle name="40% - 强调文字颜色 1 16 5 5" xfId="1863" xr:uid="{00000000-0005-0000-0000-00006A150000}"/>
    <cellStyle name="40% - 强调文字颜色 1 16 5 6" xfId="5063" xr:uid="{00000000-0005-0000-0000-00006B150000}"/>
    <cellStyle name="40% - 强调文字颜色 1 16 5 6 2" xfId="3721" xr:uid="{00000000-0005-0000-0000-00006C150000}"/>
    <cellStyle name="40% - 强调文字颜色 1 16 5 6 3" xfId="3736" xr:uid="{00000000-0005-0000-0000-00006D150000}"/>
    <cellStyle name="40% - 强调文字颜色 1 16 5 7" xfId="5072" xr:uid="{00000000-0005-0000-0000-00006E150000}"/>
    <cellStyle name="40% - 强调文字颜色 1 16 5 8" xfId="14855" xr:uid="{00000000-0005-0000-0000-00006F150000}"/>
    <cellStyle name="40% - 强调文字颜色 1 16 5 9" xfId="14859" xr:uid="{00000000-0005-0000-0000-000070150000}"/>
    <cellStyle name="40% - 强调文字颜色 1 16 6" xfId="10984" xr:uid="{00000000-0005-0000-0000-000071150000}"/>
    <cellStyle name="40% - 强调文字颜色 1 16 6 2" xfId="6810" xr:uid="{00000000-0005-0000-0000-000072150000}"/>
    <cellStyle name="40% - 强调文字颜色 1 16 6 2 2" xfId="14860" xr:uid="{00000000-0005-0000-0000-000073150000}"/>
    <cellStyle name="40% - 强调文字颜色 1 16 6 2 3" xfId="14862" xr:uid="{00000000-0005-0000-0000-000074150000}"/>
    <cellStyle name="40% - 强调文字颜色 1 16 6 3" xfId="6822" xr:uid="{00000000-0005-0000-0000-000075150000}"/>
    <cellStyle name="40% - 强调文字颜色 1 16 6 4" xfId="14865" xr:uid="{00000000-0005-0000-0000-000076150000}"/>
    <cellStyle name="40% - 强调文字颜色 1 16 6 5" xfId="14866" xr:uid="{00000000-0005-0000-0000-000077150000}"/>
    <cellStyle name="40% - 强调文字颜色 1 16 6 6" xfId="14867" xr:uid="{00000000-0005-0000-0000-000078150000}"/>
    <cellStyle name="40% - 强调文字颜色 1 16 6 7" xfId="14868" xr:uid="{00000000-0005-0000-0000-000079150000}"/>
    <cellStyle name="40% - 强调文字颜色 1 16 6 8" xfId="13351" xr:uid="{00000000-0005-0000-0000-00007A150000}"/>
    <cellStyle name="40% - 强调文字颜色 1 16 7" xfId="10994" xr:uid="{00000000-0005-0000-0000-00007B150000}"/>
    <cellStyle name="40% - 强调文字颜色 1 16 8" xfId="11004" xr:uid="{00000000-0005-0000-0000-00007C150000}"/>
    <cellStyle name="40% - 强调文字颜色 1 16 9" xfId="11013" xr:uid="{00000000-0005-0000-0000-00007D150000}"/>
    <cellStyle name="40% - 强调文字颜色 1 16 9 2" xfId="2472" xr:uid="{00000000-0005-0000-0000-00007E150000}"/>
    <cellStyle name="40% - 强调文字颜色 1 16 9 3" xfId="2495" xr:uid="{00000000-0005-0000-0000-00007F150000}"/>
    <cellStyle name="40% - 强调文字颜色 1 17" xfId="14871" xr:uid="{00000000-0005-0000-0000-000080150000}"/>
    <cellStyle name="40% - 强调文字颜色 1 17 10" xfId="4435" xr:uid="{00000000-0005-0000-0000-000081150000}"/>
    <cellStyle name="40% - 强调文字颜色 1 17 11" xfId="4446" xr:uid="{00000000-0005-0000-0000-000082150000}"/>
    <cellStyle name="40% - 强调文字颜色 1 17 12" xfId="4463" xr:uid="{00000000-0005-0000-0000-000083150000}"/>
    <cellStyle name="40% - 强调文字颜色 1 17 13" xfId="4480" xr:uid="{00000000-0005-0000-0000-000084150000}"/>
    <cellStyle name="40% - 强调文字颜色 1 17 14" xfId="4493" xr:uid="{00000000-0005-0000-0000-000085150000}"/>
    <cellStyle name="40% - 强调文字颜色 1 17 2" xfId="2771" xr:uid="{00000000-0005-0000-0000-000086150000}"/>
    <cellStyle name="40% - 强调文字颜色 1 17 3" xfId="14872" xr:uid="{00000000-0005-0000-0000-000087150000}"/>
    <cellStyle name="40% - 强调文字颜色 1 17 4" xfId="14875" xr:uid="{00000000-0005-0000-0000-000088150000}"/>
    <cellStyle name="40% - 强调文字颜色 1 17 5" xfId="14878" xr:uid="{00000000-0005-0000-0000-000089150000}"/>
    <cellStyle name="40% - 强调文字颜色 1 17 5 10" xfId="14880" xr:uid="{00000000-0005-0000-0000-00008A150000}"/>
    <cellStyle name="40% - 强调文字颜色 1 17 5 11" xfId="14883" xr:uid="{00000000-0005-0000-0000-00008B150000}"/>
    <cellStyle name="40% - 强调文字颜色 1 17 5 2" xfId="3552" xr:uid="{00000000-0005-0000-0000-00008C150000}"/>
    <cellStyle name="40% - 强调文字颜色 1 17 5 2 2" xfId="14885" xr:uid="{00000000-0005-0000-0000-00008D150000}"/>
    <cellStyle name="40% - 强调文字颜色 1 17 5 2 2 2" xfId="3280" xr:uid="{00000000-0005-0000-0000-00008E150000}"/>
    <cellStyle name="40% - 强调文字颜色 1 17 5 2 2 3" xfId="3872" xr:uid="{00000000-0005-0000-0000-00008F150000}"/>
    <cellStyle name="40% - 强调文字颜色 1 17 5 2 3" xfId="3562" xr:uid="{00000000-0005-0000-0000-000090150000}"/>
    <cellStyle name="40% - 强调文字颜色 1 17 5 2 4" xfId="3811" xr:uid="{00000000-0005-0000-0000-000091150000}"/>
    <cellStyle name="40% - 强调文字颜色 1 17 5 2 5" xfId="5270" xr:uid="{00000000-0005-0000-0000-000092150000}"/>
    <cellStyle name="40% - 强调文字颜色 1 17 5 2 6" xfId="5290" xr:uid="{00000000-0005-0000-0000-000093150000}"/>
    <cellStyle name="40% - 强调文字颜色 1 17 5 2 7" xfId="5300" xr:uid="{00000000-0005-0000-0000-000094150000}"/>
    <cellStyle name="40% - 强调文字颜色 1 17 5 2 8" xfId="5312" xr:uid="{00000000-0005-0000-0000-000095150000}"/>
    <cellStyle name="40% - 强调文字颜色 1 17 5 3" xfId="14886" xr:uid="{00000000-0005-0000-0000-000096150000}"/>
    <cellStyle name="40% - 强调文字颜色 1 17 5 4" xfId="14894" xr:uid="{00000000-0005-0000-0000-000097150000}"/>
    <cellStyle name="40% - 强调文字颜色 1 17 5 5" xfId="14900" xr:uid="{00000000-0005-0000-0000-000098150000}"/>
    <cellStyle name="40% - 强调文字颜色 1 17 5 6" xfId="14905" xr:uid="{00000000-0005-0000-0000-000099150000}"/>
    <cellStyle name="40% - 强调文字颜色 1 17 5 6 2" xfId="14075" xr:uid="{00000000-0005-0000-0000-00009A150000}"/>
    <cellStyle name="40% - 强调文字颜色 1 17 5 6 3" xfId="14080" xr:uid="{00000000-0005-0000-0000-00009B150000}"/>
    <cellStyle name="40% - 强调文字颜色 1 17 5 7" xfId="14910" xr:uid="{00000000-0005-0000-0000-00009C150000}"/>
    <cellStyle name="40% - 强调文字颜色 1 17 5 8" xfId="14239" xr:uid="{00000000-0005-0000-0000-00009D150000}"/>
    <cellStyle name="40% - 强调文字颜色 1 17 5 9" xfId="14245" xr:uid="{00000000-0005-0000-0000-00009E150000}"/>
    <cellStyle name="40% - 强调文字颜色 1 17 6" xfId="13263" xr:uid="{00000000-0005-0000-0000-00009F150000}"/>
    <cellStyle name="40% - 强调文字颜色 1 17 6 2" xfId="14913" xr:uid="{00000000-0005-0000-0000-0000A0150000}"/>
    <cellStyle name="40% - 强调文字颜色 1 17 6 2 2" xfId="14916" xr:uid="{00000000-0005-0000-0000-0000A1150000}"/>
    <cellStyle name="40% - 强调文字颜色 1 17 6 2 3" xfId="14921" xr:uid="{00000000-0005-0000-0000-0000A2150000}"/>
    <cellStyle name="40% - 强调文字颜色 1 17 6 3" xfId="14924" xr:uid="{00000000-0005-0000-0000-0000A3150000}"/>
    <cellStyle name="40% - 强调文字颜色 1 17 6 4" xfId="11113" xr:uid="{00000000-0005-0000-0000-0000A4150000}"/>
    <cellStyle name="40% - 强调文字颜色 1 17 6 5" xfId="11119" xr:uid="{00000000-0005-0000-0000-0000A5150000}"/>
    <cellStyle name="40% - 强调文字颜色 1 17 6 6" xfId="14926" xr:uid="{00000000-0005-0000-0000-0000A6150000}"/>
    <cellStyle name="40% - 强调文字颜色 1 17 6 7" xfId="14928" xr:uid="{00000000-0005-0000-0000-0000A7150000}"/>
    <cellStyle name="40% - 强调文字颜色 1 17 6 8" xfId="14934" xr:uid="{00000000-0005-0000-0000-0000A8150000}"/>
    <cellStyle name="40% - 强调文字颜色 1 17 7" xfId="11199" xr:uid="{00000000-0005-0000-0000-0000A9150000}"/>
    <cellStyle name="40% - 强调文字颜色 1 17 8" xfId="11207" xr:uid="{00000000-0005-0000-0000-0000AA150000}"/>
    <cellStyle name="40% - 强调文字颜色 1 17 9" xfId="11212" xr:uid="{00000000-0005-0000-0000-0000AB150000}"/>
    <cellStyle name="40% - 强调文字颜色 1 17 9 2" xfId="3286" xr:uid="{00000000-0005-0000-0000-0000AC150000}"/>
    <cellStyle name="40% - 强调文字颜色 1 17 9 3" xfId="14935" xr:uid="{00000000-0005-0000-0000-0000AD150000}"/>
    <cellStyle name="40% - 强调文字颜色 1 18" xfId="14939" xr:uid="{00000000-0005-0000-0000-0000AE150000}"/>
    <cellStyle name="40% - 强调文字颜色 1 18 10" xfId="14941" xr:uid="{00000000-0005-0000-0000-0000AF150000}"/>
    <cellStyle name="40% - 强调文字颜色 1 18 11" xfId="14946" xr:uid="{00000000-0005-0000-0000-0000B0150000}"/>
    <cellStyle name="40% - 强调文字颜色 1 18 12" xfId="12280" xr:uid="{00000000-0005-0000-0000-0000B1150000}"/>
    <cellStyle name="40% - 强调文字颜色 1 18 13" xfId="12286" xr:uid="{00000000-0005-0000-0000-0000B2150000}"/>
    <cellStyle name="40% - 强调文字颜色 1 18 14" xfId="14950" xr:uid="{00000000-0005-0000-0000-0000B3150000}"/>
    <cellStyle name="40% - 强调文字颜色 1 18 2" xfId="14954" xr:uid="{00000000-0005-0000-0000-0000B4150000}"/>
    <cellStyle name="40% - 强调文字颜色 1 18 3" xfId="14960" xr:uid="{00000000-0005-0000-0000-0000B5150000}"/>
    <cellStyle name="40% - 强调文字颜色 1 18 4" xfId="14966" xr:uid="{00000000-0005-0000-0000-0000B6150000}"/>
    <cellStyle name="40% - 强调文字颜色 1 18 5" xfId="14968" xr:uid="{00000000-0005-0000-0000-0000B7150000}"/>
    <cellStyle name="40% - 强调文字颜色 1 18 5 10" xfId="3419" xr:uid="{00000000-0005-0000-0000-0000B8150000}"/>
    <cellStyle name="40% - 强调文字颜色 1 18 5 11" xfId="3542" xr:uid="{00000000-0005-0000-0000-0000B9150000}"/>
    <cellStyle name="40% - 强调文字颜色 1 18 5 2" xfId="14970" xr:uid="{00000000-0005-0000-0000-0000BA150000}"/>
    <cellStyle name="40% - 强调文字颜色 1 18 5 2 2" xfId="14972" xr:uid="{00000000-0005-0000-0000-0000BB150000}"/>
    <cellStyle name="40% - 强调文字颜色 1 18 5 2 2 2" xfId="9786" xr:uid="{00000000-0005-0000-0000-0000BC150000}"/>
    <cellStyle name="40% - 强调文字颜色 1 18 5 2 2 3" xfId="9801" xr:uid="{00000000-0005-0000-0000-0000BD150000}"/>
    <cellStyle name="40% - 强调文字颜色 1 18 5 2 3" xfId="1172" xr:uid="{00000000-0005-0000-0000-0000BE150000}"/>
    <cellStyle name="40% - 强调文字颜色 1 18 5 2 4" xfId="1185" xr:uid="{00000000-0005-0000-0000-0000BF150000}"/>
    <cellStyle name="40% - 强调文字颜色 1 18 5 2 5" xfId="11032" xr:uid="{00000000-0005-0000-0000-0000C0150000}"/>
    <cellStyle name="40% - 强调文字颜色 1 18 5 2 6" xfId="8074" xr:uid="{00000000-0005-0000-0000-0000C1150000}"/>
    <cellStyle name="40% - 强调文字颜色 1 18 5 2 7" xfId="8137" xr:uid="{00000000-0005-0000-0000-0000C2150000}"/>
    <cellStyle name="40% - 强调文字颜色 1 18 5 2 8" xfId="8147" xr:uid="{00000000-0005-0000-0000-0000C3150000}"/>
    <cellStyle name="40% - 强调文字颜色 1 18 5 3" xfId="14974" xr:uid="{00000000-0005-0000-0000-0000C4150000}"/>
    <cellStyle name="40% - 强调文字颜色 1 18 5 4" xfId="5495" xr:uid="{00000000-0005-0000-0000-0000C5150000}"/>
    <cellStyle name="40% - 强调文字颜色 1 18 5 5" xfId="5533" xr:uid="{00000000-0005-0000-0000-0000C6150000}"/>
    <cellStyle name="40% - 强调文字颜色 1 18 5 6" xfId="5537" xr:uid="{00000000-0005-0000-0000-0000C7150000}"/>
    <cellStyle name="40% - 强调文字颜色 1 18 5 6 2" xfId="14821" xr:uid="{00000000-0005-0000-0000-0000C8150000}"/>
    <cellStyle name="40% - 强调文字颜色 1 18 5 6 3" xfId="14823" xr:uid="{00000000-0005-0000-0000-0000C9150000}"/>
    <cellStyle name="40% - 强调文字颜色 1 18 5 7" xfId="5541" xr:uid="{00000000-0005-0000-0000-0000CA150000}"/>
    <cellStyle name="40% - 强调文字颜色 1 18 5 8" xfId="5545" xr:uid="{00000000-0005-0000-0000-0000CB150000}"/>
    <cellStyle name="40% - 强调文字颜色 1 18 5 9" xfId="5551" xr:uid="{00000000-0005-0000-0000-0000CC150000}"/>
    <cellStyle name="40% - 强调文字颜色 1 18 6" xfId="14975" xr:uid="{00000000-0005-0000-0000-0000CD150000}"/>
    <cellStyle name="40% - 强调文字颜色 1 18 6 2" xfId="14977" xr:uid="{00000000-0005-0000-0000-0000CE150000}"/>
    <cellStyle name="40% - 强调文字颜色 1 18 6 2 2" xfId="2486" xr:uid="{00000000-0005-0000-0000-0000CF150000}"/>
    <cellStyle name="40% - 强调文字颜色 1 18 6 2 3" xfId="14978" xr:uid="{00000000-0005-0000-0000-0000D0150000}"/>
    <cellStyle name="40% - 强调文字颜色 1 18 6 3" xfId="14981" xr:uid="{00000000-0005-0000-0000-0000D1150000}"/>
    <cellStyle name="40% - 强调文字颜色 1 18 6 4" xfId="14983" xr:uid="{00000000-0005-0000-0000-0000D2150000}"/>
    <cellStyle name="40% - 强调文字颜色 1 18 6 5" xfId="14985" xr:uid="{00000000-0005-0000-0000-0000D3150000}"/>
    <cellStyle name="40% - 强调文字颜色 1 18 6 6" xfId="14987" xr:uid="{00000000-0005-0000-0000-0000D4150000}"/>
    <cellStyle name="40% - 强调文字颜色 1 18 6 7" xfId="14988" xr:uid="{00000000-0005-0000-0000-0000D5150000}"/>
    <cellStyle name="40% - 强调文字颜色 1 18 6 8" xfId="14990" xr:uid="{00000000-0005-0000-0000-0000D6150000}"/>
    <cellStyle name="40% - 强调文字颜色 1 18 7" xfId="14991" xr:uid="{00000000-0005-0000-0000-0000D7150000}"/>
    <cellStyle name="40% - 强调文字颜色 1 18 8" xfId="14992" xr:uid="{00000000-0005-0000-0000-0000D8150000}"/>
    <cellStyle name="40% - 强调文字颜色 1 18 9" xfId="14993" xr:uid="{00000000-0005-0000-0000-0000D9150000}"/>
    <cellStyle name="40% - 强调文字颜色 1 18 9 2" xfId="14995" xr:uid="{00000000-0005-0000-0000-0000DA150000}"/>
    <cellStyle name="40% - 强调文字颜色 1 18 9 3" xfId="14997" xr:uid="{00000000-0005-0000-0000-0000DB150000}"/>
    <cellStyle name="40% - 强调文字颜色 1 19" xfId="14998" xr:uid="{00000000-0005-0000-0000-0000DC150000}"/>
    <cellStyle name="40% - 强调文字颜色 1 2" xfId="15005" xr:uid="{00000000-0005-0000-0000-0000DD150000}"/>
    <cellStyle name="40% - 强调文字颜色 1 2 10" xfId="10112" xr:uid="{00000000-0005-0000-0000-0000DE150000}"/>
    <cellStyle name="40% - 强调文字颜色 1 2 11" xfId="10116" xr:uid="{00000000-0005-0000-0000-0000DF150000}"/>
    <cellStyle name="40% - 强调文字颜色 1 2 12" xfId="15007" xr:uid="{00000000-0005-0000-0000-0000E0150000}"/>
    <cellStyle name="40% - 强调文字颜色 1 2 13" xfId="15009" xr:uid="{00000000-0005-0000-0000-0000E1150000}"/>
    <cellStyle name="40% - 强调文字颜色 1 2 14" xfId="15012" xr:uid="{00000000-0005-0000-0000-0000E2150000}"/>
    <cellStyle name="40% - 强调文字颜色 1 2 15" xfId="15015" xr:uid="{00000000-0005-0000-0000-0000E3150000}"/>
    <cellStyle name="40% - 强调文字颜色 1 2 16" xfId="15018" xr:uid="{00000000-0005-0000-0000-0000E4150000}"/>
    <cellStyle name="40% - 强调文字颜色 1 2 17" xfId="15020" xr:uid="{00000000-0005-0000-0000-0000E5150000}"/>
    <cellStyle name="40% - 强调文字颜色 1 2 17 10" xfId="8474" xr:uid="{00000000-0005-0000-0000-0000E6150000}"/>
    <cellStyle name="40% - 强调文字颜色 1 2 17 11" xfId="8574" xr:uid="{00000000-0005-0000-0000-0000E7150000}"/>
    <cellStyle name="40% - 强调文字颜色 1 2 17 12" xfId="8621" xr:uid="{00000000-0005-0000-0000-0000E8150000}"/>
    <cellStyle name="40% - 强调文字颜色 1 2 17 13" xfId="8628" xr:uid="{00000000-0005-0000-0000-0000E9150000}"/>
    <cellStyle name="40% - 强调文字颜色 1 2 17 14" xfId="8635" xr:uid="{00000000-0005-0000-0000-0000EA150000}"/>
    <cellStyle name="40% - 强调文字颜色 1 2 17 2" xfId="15022" xr:uid="{00000000-0005-0000-0000-0000EB150000}"/>
    <cellStyle name="40% - 强调文字颜色 1 2 17 3" xfId="15024" xr:uid="{00000000-0005-0000-0000-0000EC150000}"/>
    <cellStyle name="40% - 强调文字颜色 1 2 17 4" xfId="15028" xr:uid="{00000000-0005-0000-0000-0000ED150000}"/>
    <cellStyle name="40% - 强调文字颜色 1 2 17 5" xfId="15032" xr:uid="{00000000-0005-0000-0000-0000EE150000}"/>
    <cellStyle name="40% - 强调文字颜色 1 2 17 5 10" xfId="5263" xr:uid="{00000000-0005-0000-0000-0000EF150000}"/>
    <cellStyle name="40% - 强调文字颜色 1 2 17 5 11" xfId="3557" xr:uid="{00000000-0005-0000-0000-0000F0150000}"/>
    <cellStyle name="40% - 强调文字颜色 1 2 17 5 2" xfId="3891" xr:uid="{00000000-0005-0000-0000-0000F1150000}"/>
    <cellStyle name="40% - 强调文字颜色 1 2 17 5 2 2" xfId="15034" xr:uid="{00000000-0005-0000-0000-0000F2150000}"/>
    <cellStyle name="40% - 强调文字颜色 1 2 17 5 2 2 2" xfId="9858" xr:uid="{00000000-0005-0000-0000-0000F3150000}"/>
    <cellStyle name="40% - 强调文字颜色 1 2 17 5 2 2 3" xfId="9863" xr:uid="{00000000-0005-0000-0000-0000F4150000}"/>
    <cellStyle name="40% - 强调文字颜色 1 2 17 5 2 3" xfId="15036" xr:uid="{00000000-0005-0000-0000-0000F5150000}"/>
    <cellStyle name="40% - 强调文字颜色 1 2 17 5 2 4" xfId="15038" xr:uid="{00000000-0005-0000-0000-0000F6150000}"/>
    <cellStyle name="40% - 强调文字颜色 1 2 17 5 2 5" xfId="15039" xr:uid="{00000000-0005-0000-0000-0000F7150000}"/>
    <cellStyle name="40% - 强调文字颜色 1 2 17 5 2 6" xfId="15042" xr:uid="{00000000-0005-0000-0000-0000F8150000}"/>
    <cellStyle name="40% - 强调文字颜色 1 2 17 5 2 7" xfId="15043" xr:uid="{00000000-0005-0000-0000-0000F9150000}"/>
    <cellStyle name="40% - 强调文字颜色 1 2 17 5 2 8" xfId="12694" xr:uid="{00000000-0005-0000-0000-0000FA150000}"/>
    <cellStyle name="40% - 强调文字颜色 1 2 17 5 3" xfId="4995" xr:uid="{00000000-0005-0000-0000-0000FB150000}"/>
    <cellStyle name="40% - 强调文字颜色 1 2 17 5 4" xfId="11994" xr:uid="{00000000-0005-0000-0000-0000FC150000}"/>
    <cellStyle name="40% - 强调文字颜色 1 2 17 5 5" xfId="4166" xr:uid="{00000000-0005-0000-0000-0000FD150000}"/>
    <cellStyle name="40% - 强调文字颜色 1 2 17 5 6" xfId="4176" xr:uid="{00000000-0005-0000-0000-0000FE150000}"/>
    <cellStyle name="40% - 强调文字颜色 1 2 17 5 6 2" xfId="8069" xr:uid="{00000000-0005-0000-0000-0000FF150000}"/>
    <cellStyle name="40% - 强调文字颜色 1 2 17 5 6 3" xfId="8222" xr:uid="{00000000-0005-0000-0000-000000160000}"/>
    <cellStyle name="40% - 强调文字颜色 1 2 17 5 7" xfId="12010" xr:uid="{00000000-0005-0000-0000-000001160000}"/>
    <cellStyle name="40% - 强调文字颜色 1 2 17 5 8" xfId="12015" xr:uid="{00000000-0005-0000-0000-000002160000}"/>
    <cellStyle name="40% - 强调文字颜色 1 2 17 5 9" xfId="8481" xr:uid="{00000000-0005-0000-0000-000003160000}"/>
    <cellStyle name="40% - 强调文字颜色 1 2 17 6" xfId="15046" xr:uid="{00000000-0005-0000-0000-000004160000}"/>
    <cellStyle name="40% - 强调文字颜色 1 2 17 6 2" xfId="12838" xr:uid="{00000000-0005-0000-0000-000005160000}"/>
    <cellStyle name="40% - 强调文字颜色 1 2 17 6 2 2" xfId="15048" xr:uid="{00000000-0005-0000-0000-000006160000}"/>
    <cellStyle name="40% - 强调文字颜色 1 2 17 6 2 3" xfId="15050" xr:uid="{00000000-0005-0000-0000-000007160000}"/>
    <cellStyle name="40% - 强调文字颜色 1 2 17 6 3" xfId="15051" xr:uid="{00000000-0005-0000-0000-000008160000}"/>
    <cellStyle name="40% - 强调文字颜色 1 2 17 6 4" xfId="11613" xr:uid="{00000000-0005-0000-0000-000009160000}"/>
    <cellStyle name="40% - 强调文字颜色 1 2 17 6 5" xfId="11620" xr:uid="{00000000-0005-0000-0000-00000A160000}"/>
    <cellStyle name="40% - 强调文字颜色 1 2 17 6 6" xfId="10487" xr:uid="{00000000-0005-0000-0000-00000B160000}"/>
    <cellStyle name="40% - 强调文字颜色 1 2 17 6 7" xfId="10495" xr:uid="{00000000-0005-0000-0000-00000C160000}"/>
    <cellStyle name="40% - 强调文字颜色 1 2 17 6 8" xfId="10503" xr:uid="{00000000-0005-0000-0000-00000D160000}"/>
    <cellStyle name="40% - 强调文字颜色 1 2 17 7" xfId="4118" xr:uid="{00000000-0005-0000-0000-00000E160000}"/>
    <cellStyle name="40% - 强调文字颜色 1 2 17 8" xfId="4125" xr:uid="{00000000-0005-0000-0000-00000F160000}"/>
    <cellStyle name="40% - 强调文字颜色 1 2 17 9" xfId="4133" xr:uid="{00000000-0005-0000-0000-000010160000}"/>
    <cellStyle name="40% - 强调文字颜色 1 2 17 9 2" xfId="2103" xr:uid="{00000000-0005-0000-0000-000011160000}"/>
    <cellStyle name="40% - 强调文字颜色 1 2 17 9 3" xfId="13518" xr:uid="{00000000-0005-0000-0000-000012160000}"/>
    <cellStyle name="40% - 强调文字颜色 1 2 18" xfId="15053" xr:uid="{00000000-0005-0000-0000-000013160000}"/>
    <cellStyle name="40% - 强调文字颜色 1 2 18 10" xfId="13578" xr:uid="{00000000-0005-0000-0000-000014160000}"/>
    <cellStyle name="40% - 强调文字颜色 1 2 18 11" xfId="13581" xr:uid="{00000000-0005-0000-0000-000015160000}"/>
    <cellStyle name="40% - 强调文字颜色 1 2 18 12" xfId="13584" xr:uid="{00000000-0005-0000-0000-000016160000}"/>
    <cellStyle name="40% - 强调文字颜色 1 2 18 13" xfId="13587" xr:uid="{00000000-0005-0000-0000-000017160000}"/>
    <cellStyle name="40% - 强调文字颜色 1 2 18 14" xfId="3209" xr:uid="{00000000-0005-0000-0000-000018160000}"/>
    <cellStyle name="40% - 强调文字颜色 1 2 18 2" xfId="15054" xr:uid="{00000000-0005-0000-0000-000019160000}"/>
    <cellStyle name="40% - 强调文字颜色 1 2 18 3" xfId="15055" xr:uid="{00000000-0005-0000-0000-00001A160000}"/>
    <cellStyle name="40% - 强调文字颜色 1 2 18 4" xfId="15058" xr:uid="{00000000-0005-0000-0000-00001B160000}"/>
    <cellStyle name="40% - 强调文字颜色 1 2 18 5" xfId="15060" xr:uid="{00000000-0005-0000-0000-00001C160000}"/>
    <cellStyle name="40% - 强调文字颜色 1 2 18 5 10" xfId="1803" xr:uid="{00000000-0005-0000-0000-00001D160000}"/>
    <cellStyle name="40% - 强调文字颜色 1 2 18 5 11" xfId="1822" xr:uid="{00000000-0005-0000-0000-00001E160000}"/>
    <cellStyle name="40% - 强调文字颜色 1 2 18 5 2" xfId="15061" xr:uid="{00000000-0005-0000-0000-00001F160000}"/>
    <cellStyle name="40% - 强调文字颜色 1 2 18 5 2 2" xfId="9013" xr:uid="{00000000-0005-0000-0000-000020160000}"/>
    <cellStyle name="40% - 强调文字颜色 1 2 18 5 2 2 2" xfId="4944" xr:uid="{00000000-0005-0000-0000-000021160000}"/>
    <cellStyle name="40% - 强调文字颜色 1 2 18 5 2 2 3" xfId="4947" xr:uid="{00000000-0005-0000-0000-000022160000}"/>
    <cellStyle name="40% - 强调文字颜色 1 2 18 5 2 3" xfId="9020" xr:uid="{00000000-0005-0000-0000-000023160000}"/>
    <cellStyle name="40% - 强调文字颜色 1 2 18 5 2 4" xfId="9025" xr:uid="{00000000-0005-0000-0000-000024160000}"/>
    <cellStyle name="40% - 强调文字颜色 1 2 18 5 2 5" xfId="15065" xr:uid="{00000000-0005-0000-0000-000025160000}"/>
    <cellStyle name="40% - 强调文字颜色 1 2 18 5 2 6" xfId="11254" xr:uid="{00000000-0005-0000-0000-000026160000}"/>
    <cellStyle name="40% - 强调文字颜色 1 2 18 5 2 7" xfId="11258" xr:uid="{00000000-0005-0000-0000-000027160000}"/>
    <cellStyle name="40% - 强调文字颜色 1 2 18 5 2 8" xfId="15067" xr:uid="{00000000-0005-0000-0000-000028160000}"/>
    <cellStyle name="40% - 强调文字颜色 1 2 18 5 3" xfId="15068" xr:uid="{00000000-0005-0000-0000-000029160000}"/>
    <cellStyle name="40% - 强调文字颜色 1 2 18 5 4" xfId="12047" xr:uid="{00000000-0005-0000-0000-00002A160000}"/>
    <cellStyle name="40% - 强调文字颜色 1 2 18 5 5" xfId="12056" xr:uid="{00000000-0005-0000-0000-00002B160000}"/>
    <cellStyle name="40% - 强调文字颜色 1 2 18 5 6" xfId="12061" xr:uid="{00000000-0005-0000-0000-00002C160000}"/>
    <cellStyle name="40% - 强调文字颜色 1 2 18 5 6 2" xfId="12922" xr:uid="{00000000-0005-0000-0000-00002D160000}"/>
    <cellStyle name="40% - 强调文字颜色 1 2 18 5 6 3" xfId="12925" xr:uid="{00000000-0005-0000-0000-00002E160000}"/>
    <cellStyle name="40% - 强调文字颜色 1 2 18 5 7" xfId="12067" xr:uid="{00000000-0005-0000-0000-00002F160000}"/>
    <cellStyle name="40% - 强调文字颜色 1 2 18 5 8" xfId="12072" xr:uid="{00000000-0005-0000-0000-000030160000}"/>
    <cellStyle name="40% - 强调文字颜色 1 2 18 5 9" xfId="12075" xr:uid="{00000000-0005-0000-0000-000031160000}"/>
    <cellStyle name="40% - 强调文字颜色 1 2 18 6" xfId="15073" xr:uid="{00000000-0005-0000-0000-000032160000}"/>
    <cellStyle name="40% - 强调文字颜色 1 2 18 6 2" xfId="15074" xr:uid="{00000000-0005-0000-0000-000033160000}"/>
    <cellStyle name="40% - 强调文字颜色 1 2 18 6 2 2" xfId="11661" xr:uid="{00000000-0005-0000-0000-000034160000}"/>
    <cellStyle name="40% - 强调文字颜色 1 2 18 6 2 3" xfId="11664" xr:uid="{00000000-0005-0000-0000-000035160000}"/>
    <cellStyle name="40% - 强调文字颜色 1 2 18 6 3" xfId="15077" xr:uid="{00000000-0005-0000-0000-000036160000}"/>
    <cellStyle name="40% - 强调文字颜色 1 2 18 6 4" xfId="3059" xr:uid="{00000000-0005-0000-0000-000037160000}"/>
    <cellStyle name="40% - 强调文字颜色 1 2 18 6 5" xfId="3073" xr:uid="{00000000-0005-0000-0000-000038160000}"/>
    <cellStyle name="40% - 强调文字颜色 1 2 18 6 6" xfId="8204" xr:uid="{00000000-0005-0000-0000-000039160000}"/>
    <cellStyle name="40% - 强调文字颜色 1 2 18 6 7" xfId="8211" xr:uid="{00000000-0005-0000-0000-00003A160000}"/>
    <cellStyle name="40% - 强调文字颜色 1 2 18 6 8" xfId="12078" xr:uid="{00000000-0005-0000-0000-00003B160000}"/>
    <cellStyle name="40% - 强调文字颜色 1 2 18 7" xfId="15081" xr:uid="{00000000-0005-0000-0000-00003C160000}"/>
    <cellStyle name="40% - 强调文字颜色 1 2 18 8" xfId="15084" xr:uid="{00000000-0005-0000-0000-00003D160000}"/>
    <cellStyle name="40% - 强调文字颜色 1 2 18 9" xfId="15088" xr:uid="{00000000-0005-0000-0000-00003E160000}"/>
    <cellStyle name="40% - 强调文字颜色 1 2 18 9 2" xfId="15090" xr:uid="{00000000-0005-0000-0000-00003F160000}"/>
    <cellStyle name="40% - 强调文字颜色 1 2 18 9 3" xfId="15091" xr:uid="{00000000-0005-0000-0000-000040160000}"/>
    <cellStyle name="40% - 强调文字颜色 1 2 19" xfId="12407" xr:uid="{00000000-0005-0000-0000-000041160000}"/>
    <cellStyle name="40% - 强调文字颜色 1 2 19 10" xfId="1107" xr:uid="{00000000-0005-0000-0000-000042160000}"/>
    <cellStyle name="40% - 强调文字颜色 1 2 19 11" xfId="14971" xr:uid="{00000000-0005-0000-0000-000043160000}"/>
    <cellStyle name="40% - 强调文字颜色 1 2 19 12" xfId="1171" xr:uid="{00000000-0005-0000-0000-000044160000}"/>
    <cellStyle name="40% - 强调文字颜色 1 2 19 13" xfId="1184" xr:uid="{00000000-0005-0000-0000-000045160000}"/>
    <cellStyle name="40% - 强调文字颜色 1 2 19 14" xfId="11030" xr:uid="{00000000-0005-0000-0000-000046160000}"/>
    <cellStyle name="40% - 强调文字颜色 1 2 19 2" xfId="15092" xr:uid="{00000000-0005-0000-0000-000047160000}"/>
    <cellStyle name="40% - 强调文字颜色 1 2 19 3" xfId="11161" xr:uid="{00000000-0005-0000-0000-000048160000}"/>
    <cellStyle name="40% - 强调文字颜色 1 2 19 4" xfId="11168" xr:uid="{00000000-0005-0000-0000-000049160000}"/>
    <cellStyle name="40% - 强调文字颜色 1 2 19 5" xfId="11170" xr:uid="{00000000-0005-0000-0000-00004A160000}"/>
    <cellStyle name="40% - 强调文字颜色 1 2 19 5 10" xfId="10342" xr:uid="{00000000-0005-0000-0000-00004B160000}"/>
    <cellStyle name="40% - 强调文字颜色 1 2 19 5 11" xfId="10346" xr:uid="{00000000-0005-0000-0000-00004C160000}"/>
    <cellStyle name="40% - 强调文字颜色 1 2 19 5 2" xfId="15093" xr:uid="{00000000-0005-0000-0000-00004D160000}"/>
    <cellStyle name="40% - 强调文字颜色 1 2 19 5 2 2" xfId="13189" xr:uid="{00000000-0005-0000-0000-00004E160000}"/>
    <cellStyle name="40% - 强调文字颜色 1 2 19 5 2 2 2" xfId="7556" xr:uid="{00000000-0005-0000-0000-00004F160000}"/>
    <cellStyle name="40% - 强调文字颜色 1 2 19 5 2 2 3" xfId="7561" xr:uid="{00000000-0005-0000-0000-000050160000}"/>
    <cellStyle name="40% - 强调文字颜色 1 2 19 5 2 3" xfId="13192" xr:uid="{00000000-0005-0000-0000-000051160000}"/>
    <cellStyle name="40% - 强调文字颜色 1 2 19 5 2 4" xfId="9680" xr:uid="{00000000-0005-0000-0000-000052160000}"/>
    <cellStyle name="40% - 强调文字颜色 1 2 19 5 2 5" xfId="9686" xr:uid="{00000000-0005-0000-0000-000053160000}"/>
    <cellStyle name="40% - 强调文字颜色 1 2 19 5 2 6" xfId="13198" xr:uid="{00000000-0005-0000-0000-000054160000}"/>
    <cellStyle name="40% - 强调文字颜色 1 2 19 5 2 7" xfId="13202" xr:uid="{00000000-0005-0000-0000-000055160000}"/>
    <cellStyle name="40% - 强调文字颜色 1 2 19 5 2 8" xfId="15095" xr:uid="{00000000-0005-0000-0000-000056160000}"/>
    <cellStyle name="40% - 强调文字颜色 1 2 19 5 3" xfId="15097" xr:uid="{00000000-0005-0000-0000-000057160000}"/>
    <cellStyle name="40% - 强调文字颜色 1 2 19 5 4" xfId="12121" xr:uid="{00000000-0005-0000-0000-000058160000}"/>
    <cellStyle name="40% - 强调文字颜色 1 2 19 5 5" xfId="12143" xr:uid="{00000000-0005-0000-0000-000059160000}"/>
    <cellStyle name="40% - 强调文字颜色 1 2 19 5 6" xfId="12150" xr:uid="{00000000-0005-0000-0000-00005A160000}"/>
    <cellStyle name="40% - 强调文字颜色 1 2 19 5 6 2" xfId="13032" xr:uid="{00000000-0005-0000-0000-00005B160000}"/>
    <cellStyle name="40% - 强调文字颜色 1 2 19 5 6 3" xfId="13034" xr:uid="{00000000-0005-0000-0000-00005C160000}"/>
    <cellStyle name="40% - 强调文字颜色 1 2 19 5 7" xfId="12157" xr:uid="{00000000-0005-0000-0000-00005D160000}"/>
    <cellStyle name="40% - 强调文字颜色 1 2 19 5 8" xfId="12164" xr:uid="{00000000-0005-0000-0000-00005E160000}"/>
    <cellStyle name="40% - 强调文字颜色 1 2 19 5 9" xfId="12173" xr:uid="{00000000-0005-0000-0000-00005F160000}"/>
    <cellStyle name="40% - 强调文字颜色 1 2 19 6" xfId="11172" xr:uid="{00000000-0005-0000-0000-000060160000}"/>
    <cellStyle name="40% - 强调文字颜色 1 2 19 6 2" xfId="15099" xr:uid="{00000000-0005-0000-0000-000061160000}"/>
    <cellStyle name="40% - 强调文字颜色 1 2 19 6 2 2" xfId="15100" xr:uid="{00000000-0005-0000-0000-000062160000}"/>
    <cellStyle name="40% - 强调文字颜色 1 2 19 6 2 3" xfId="15102" xr:uid="{00000000-0005-0000-0000-000063160000}"/>
    <cellStyle name="40% - 强调文字颜色 1 2 19 6 3" xfId="15103" xr:uid="{00000000-0005-0000-0000-000064160000}"/>
    <cellStyle name="40% - 强调文字颜色 1 2 19 6 4" xfId="1200" xr:uid="{00000000-0005-0000-0000-000065160000}"/>
    <cellStyle name="40% - 强调文字颜色 1 2 19 6 5" xfId="522" xr:uid="{00000000-0005-0000-0000-000066160000}"/>
    <cellStyle name="40% - 强调文字颜色 1 2 19 6 6" xfId="6034" xr:uid="{00000000-0005-0000-0000-000067160000}"/>
    <cellStyle name="40% - 强调文字颜色 1 2 19 6 7" xfId="6040" xr:uid="{00000000-0005-0000-0000-000068160000}"/>
    <cellStyle name="40% - 强调文字颜色 1 2 19 6 8" xfId="6047" xr:uid="{00000000-0005-0000-0000-000069160000}"/>
    <cellStyle name="40% - 强调文字颜色 1 2 19 7" xfId="11174" xr:uid="{00000000-0005-0000-0000-00006A160000}"/>
    <cellStyle name="40% - 强调文字颜色 1 2 19 8" xfId="11176" xr:uid="{00000000-0005-0000-0000-00006B160000}"/>
    <cellStyle name="40% - 强调文字颜色 1 2 19 9" xfId="8682" xr:uid="{00000000-0005-0000-0000-00006C160000}"/>
    <cellStyle name="40% - 强调文字颜色 1 2 19 9 2" xfId="15106" xr:uid="{00000000-0005-0000-0000-00006D160000}"/>
    <cellStyle name="40% - 强调文字颜色 1 2 19 9 3" xfId="15107" xr:uid="{00000000-0005-0000-0000-00006E160000}"/>
    <cellStyle name="40% - 强调文字颜色 1 2 2" xfId="15110" xr:uid="{00000000-0005-0000-0000-00006F160000}"/>
    <cellStyle name="40% - 强调文字颜色 1 2 2 10" xfId="14651" xr:uid="{00000000-0005-0000-0000-000070160000}"/>
    <cellStyle name="40% - 强调文字颜色 1 2 2 11" xfId="14657" xr:uid="{00000000-0005-0000-0000-000071160000}"/>
    <cellStyle name="40% - 强调文字颜色 1 2 2 12" xfId="15114" xr:uid="{00000000-0005-0000-0000-000072160000}"/>
    <cellStyle name="40% - 强调文字颜色 1 2 2 13" xfId="15119" xr:uid="{00000000-0005-0000-0000-000073160000}"/>
    <cellStyle name="40% - 强调文字颜色 1 2 2 14" xfId="15121" xr:uid="{00000000-0005-0000-0000-000074160000}"/>
    <cellStyle name="40% - 强调文字颜色 1 2 2 2" xfId="7222" xr:uid="{00000000-0005-0000-0000-000075160000}"/>
    <cellStyle name="40% - 强调文字颜色 1 2 2 3" xfId="7227" xr:uid="{00000000-0005-0000-0000-000076160000}"/>
    <cellStyle name="40% - 强调文字颜色 1 2 2 4" xfId="7232" xr:uid="{00000000-0005-0000-0000-000077160000}"/>
    <cellStyle name="40% - 强调文字颜色 1 2 2 5" xfId="7238" xr:uid="{00000000-0005-0000-0000-000078160000}"/>
    <cellStyle name="40% - 强调文字颜色 1 2 2 6" xfId="7249" xr:uid="{00000000-0005-0000-0000-000079160000}"/>
    <cellStyle name="40% - 强调文字颜色 1 2 2 7" xfId="15122" xr:uid="{00000000-0005-0000-0000-00007A160000}"/>
    <cellStyle name="40% - 强调文字颜色 1 2 2 8" xfId="15126" xr:uid="{00000000-0005-0000-0000-00007B160000}"/>
    <cellStyle name="40% - 强调文字颜色 1 2 2 9" xfId="15130" xr:uid="{00000000-0005-0000-0000-00007C160000}"/>
    <cellStyle name="40% - 强调文字颜色 1 2 20" xfId="15016" xr:uid="{00000000-0005-0000-0000-00007D160000}"/>
    <cellStyle name="40% - 强调文字颜色 1 2 20 10" xfId="12417" xr:uid="{00000000-0005-0000-0000-00007E160000}"/>
    <cellStyle name="40% - 强调文字颜色 1 2 20 11" xfId="12420" xr:uid="{00000000-0005-0000-0000-00007F160000}"/>
    <cellStyle name="40% - 强调文字颜色 1 2 20 12" xfId="12423" xr:uid="{00000000-0005-0000-0000-000080160000}"/>
    <cellStyle name="40% - 强调文字颜色 1 2 20 13" xfId="1849" xr:uid="{00000000-0005-0000-0000-000081160000}"/>
    <cellStyle name="40% - 强调文字颜色 1 2 20 14" xfId="1873" xr:uid="{00000000-0005-0000-0000-000082160000}"/>
    <cellStyle name="40% - 强调文字颜色 1 2 20 2" xfId="15137" xr:uid="{00000000-0005-0000-0000-000083160000}"/>
    <cellStyle name="40% - 强调文字颜色 1 2 20 3" xfId="8970" xr:uid="{00000000-0005-0000-0000-000084160000}"/>
    <cellStyle name="40% - 强调文字颜色 1 2 20 4" xfId="8975" xr:uid="{00000000-0005-0000-0000-000085160000}"/>
    <cellStyle name="40% - 强调文字颜色 1 2 20 5" xfId="8981" xr:uid="{00000000-0005-0000-0000-000086160000}"/>
    <cellStyle name="40% - 强调文字颜色 1 2 20 5 10" xfId="12631" xr:uid="{00000000-0005-0000-0000-000087160000}"/>
    <cellStyle name="40% - 强调文字颜色 1 2 20 5 11" xfId="13654" xr:uid="{00000000-0005-0000-0000-000088160000}"/>
    <cellStyle name="40% - 强调文字颜色 1 2 20 5 2" xfId="15138" xr:uid="{00000000-0005-0000-0000-000089160000}"/>
    <cellStyle name="40% - 强调文字颜色 1 2 20 5 2 2" xfId="7429" xr:uid="{00000000-0005-0000-0000-00008A160000}"/>
    <cellStyle name="40% - 强调文字颜色 1 2 20 5 2 2 2" xfId="15139" xr:uid="{00000000-0005-0000-0000-00008B160000}"/>
    <cellStyle name="40% - 强调文字颜色 1 2 20 5 2 2 3" xfId="6068" xr:uid="{00000000-0005-0000-0000-00008C160000}"/>
    <cellStyle name="40% - 强调文字颜色 1 2 20 5 2 3" xfId="13498" xr:uid="{00000000-0005-0000-0000-00008D160000}"/>
    <cellStyle name="40% - 强调文字颜色 1 2 20 5 2 4" xfId="13500" xr:uid="{00000000-0005-0000-0000-00008E160000}"/>
    <cellStyle name="40% - 强调文字颜色 1 2 20 5 2 5" xfId="15141" xr:uid="{00000000-0005-0000-0000-00008F160000}"/>
    <cellStyle name="40% - 强调文字颜色 1 2 20 5 2 6" xfId="15142" xr:uid="{00000000-0005-0000-0000-000090160000}"/>
    <cellStyle name="40% - 强调文字颜色 1 2 20 5 2 7" xfId="15143" xr:uid="{00000000-0005-0000-0000-000091160000}"/>
    <cellStyle name="40% - 强调文字颜色 1 2 20 5 2 8" xfId="15145" xr:uid="{00000000-0005-0000-0000-000092160000}"/>
    <cellStyle name="40% - 强调文字颜色 1 2 20 5 3" xfId="15147" xr:uid="{00000000-0005-0000-0000-000093160000}"/>
    <cellStyle name="40% - 强调文字颜色 1 2 20 5 4" xfId="12252" xr:uid="{00000000-0005-0000-0000-000094160000}"/>
    <cellStyle name="40% - 强调文字颜色 1 2 20 5 5" xfId="12269" xr:uid="{00000000-0005-0000-0000-000095160000}"/>
    <cellStyle name="40% - 强调文字颜色 1 2 20 5 6" xfId="10094" xr:uid="{00000000-0005-0000-0000-000096160000}"/>
    <cellStyle name="40% - 强调文字颜色 1 2 20 5 6 2" xfId="15148" xr:uid="{00000000-0005-0000-0000-000097160000}"/>
    <cellStyle name="40% - 强调文字颜色 1 2 20 5 6 3" xfId="15149" xr:uid="{00000000-0005-0000-0000-000098160000}"/>
    <cellStyle name="40% - 强调文字颜色 1 2 20 5 7" xfId="10102" xr:uid="{00000000-0005-0000-0000-000099160000}"/>
    <cellStyle name="40% - 强调文字颜色 1 2 20 5 8" xfId="11950" xr:uid="{00000000-0005-0000-0000-00009A160000}"/>
    <cellStyle name="40% - 强调文字颜色 1 2 20 5 9" xfId="11957" xr:uid="{00000000-0005-0000-0000-00009B160000}"/>
    <cellStyle name="40% - 强调文字颜色 1 2 20 6" xfId="6899" xr:uid="{00000000-0005-0000-0000-00009C160000}"/>
    <cellStyle name="40% - 强调文字颜色 1 2 20 6 2" xfId="11231" xr:uid="{00000000-0005-0000-0000-00009D160000}"/>
    <cellStyle name="40% - 强调文字颜色 1 2 20 6 2 2" xfId="9914" xr:uid="{00000000-0005-0000-0000-00009E160000}"/>
    <cellStyle name="40% - 强调文字颜色 1 2 20 6 2 3" xfId="9916" xr:uid="{00000000-0005-0000-0000-00009F160000}"/>
    <cellStyle name="40% - 强调文字颜色 1 2 20 6 3" xfId="11238" xr:uid="{00000000-0005-0000-0000-0000A0160000}"/>
    <cellStyle name="40% - 强调文字颜色 1 2 20 6 4" xfId="11243" xr:uid="{00000000-0005-0000-0000-0000A1160000}"/>
    <cellStyle name="40% - 强调文字颜色 1 2 20 6 5" xfId="9273" xr:uid="{00000000-0005-0000-0000-0000A2160000}"/>
    <cellStyle name="40% - 强调文字颜色 1 2 20 6 6" xfId="9282" xr:uid="{00000000-0005-0000-0000-0000A3160000}"/>
    <cellStyle name="40% - 强调文字颜色 1 2 20 6 7" xfId="12293" xr:uid="{00000000-0005-0000-0000-0000A4160000}"/>
    <cellStyle name="40% - 强调文字颜色 1 2 20 6 8" xfId="12302" xr:uid="{00000000-0005-0000-0000-0000A5160000}"/>
    <cellStyle name="40% - 强调文字颜色 1 2 20 7" xfId="3199" xr:uid="{00000000-0005-0000-0000-0000A6160000}"/>
    <cellStyle name="40% - 强调文字颜色 1 2 20 8" xfId="3257" xr:uid="{00000000-0005-0000-0000-0000A7160000}"/>
    <cellStyle name="40% - 强调文字颜色 1 2 20 9" xfId="2653" xr:uid="{00000000-0005-0000-0000-0000A8160000}"/>
    <cellStyle name="40% - 强调文字颜色 1 2 20 9 2" xfId="15150" xr:uid="{00000000-0005-0000-0000-0000A9160000}"/>
    <cellStyle name="40% - 强调文字颜色 1 2 20 9 3" xfId="15151" xr:uid="{00000000-0005-0000-0000-0000AA160000}"/>
    <cellStyle name="40% - 强调文字颜色 1 2 3" xfId="15154" xr:uid="{00000000-0005-0000-0000-0000AB160000}"/>
    <cellStyle name="40% - 强调文字颜色 1 2 3 10" xfId="10961" xr:uid="{00000000-0005-0000-0000-0000AC160000}"/>
    <cellStyle name="40% - 强调文字颜色 1 2 3 11" xfId="10965" xr:uid="{00000000-0005-0000-0000-0000AD160000}"/>
    <cellStyle name="40% - 强调文字颜色 1 2 3 12" xfId="15156" xr:uid="{00000000-0005-0000-0000-0000AE160000}"/>
    <cellStyle name="40% - 强调文字颜色 1 2 3 13" xfId="2055" xr:uid="{00000000-0005-0000-0000-0000AF160000}"/>
    <cellStyle name="40% - 强调文字颜色 1 2 3 14" xfId="2121" xr:uid="{00000000-0005-0000-0000-0000B0160000}"/>
    <cellStyle name="40% - 强调文字颜色 1 2 3 2" xfId="7266" xr:uid="{00000000-0005-0000-0000-0000B1160000}"/>
    <cellStyle name="40% - 强调文字颜色 1 2 3 3" xfId="7268" xr:uid="{00000000-0005-0000-0000-0000B2160000}"/>
    <cellStyle name="40% - 强调文字颜色 1 2 3 4" xfId="7270" xr:uid="{00000000-0005-0000-0000-0000B3160000}"/>
    <cellStyle name="40% - 强调文字颜色 1 2 3 5" xfId="7272" xr:uid="{00000000-0005-0000-0000-0000B4160000}"/>
    <cellStyle name="40% - 强调文字颜色 1 2 3 6" xfId="15157" xr:uid="{00000000-0005-0000-0000-0000B5160000}"/>
    <cellStyle name="40% - 强调文字颜色 1 2 3 7" xfId="15159" xr:uid="{00000000-0005-0000-0000-0000B6160000}"/>
    <cellStyle name="40% - 强调文字颜色 1 2 3 8" xfId="15162" xr:uid="{00000000-0005-0000-0000-0000B7160000}"/>
    <cellStyle name="40% - 强调文字颜色 1 2 3 9" xfId="5655" xr:uid="{00000000-0005-0000-0000-0000B8160000}"/>
    <cellStyle name="40% - 强调文字颜色 1 2 4" xfId="15166" xr:uid="{00000000-0005-0000-0000-0000B9160000}"/>
    <cellStyle name="40% - 强调文字颜色 1 2 4 10" xfId="14481" xr:uid="{00000000-0005-0000-0000-0000BA160000}"/>
    <cellStyle name="40% - 强调文字颜色 1 2 4 11" xfId="14484" xr:uid="{00000000-0005-0000-0000-0000BB160000}"/>
    <cellStyle name="40% - 强调文字颜色 1 2 4 12" xfId="15167" xr:uid="{00000000-0005-0000-0000-0000BC160000}"/>
    <cellStyle name="40% - 强调文字颜色 1 2 4 13" xfId="15168" xr:uid="{00000000-0005-0000-0000-0000BD160000}"/>
    <cellStyle name="40% - 强调文字颜色 1 2 4 14" xfId="11365" xr:uid="{00000000-0005-0000-0000-0000BE160000}"/>
    <cellStyle name="40% - 强调文字颜色 1 2 4 2" xfId="15169" xr:uid="{00000000-0005-0000-0000-0000BF160000}"/>
    <cellStyle name="40% - 强调文字颜色 1 2 4 3" xfId="13159" xr:uid="{00000000-0005-0000-0000-0000C0160000}"/>
    <cellStyle name="40% - 强调文字颜色 1 2 4 4" xfId="13161" xr:uid="{00000000-0005-0000-0000-0000C1160000}"/>
    <cellStyle name="40% - 强调文字颜色 1 2 4 5" xfId="13164" xr:uid="{00000000-0005-0000-0000-0000C2160000}"/>
    <cellStyle name="40% - 强调文字颜色 1 2 4 6" xfId="13168" xr:uid="{00000000-0005-0000-0000-0000C3160000}"/>
    <cellStyle name="40% - 强调文字颜色 1 2 4 7" xfId="13173" xr:uid="{00000000-0005-0000-0000-0000C4160000}"/>
    <cellStyle name="40% - 强调文字颜色 1 2 4 8" xfId="13180" xr:uid="{00000000-0005-0000-0000-0000C5160000}"/>
    <cellStyle name="40% - 强调文字颜色 1 2 4 9" xfId="5783" xr:uid="{00000000-0005-0000-0000-0000C6160000}"/>
    <cellStyle name="40% - 强调文字颜色 1 2 5" xfId="15173" xr:uid="{00000000-0005-0000-0000-0000C7160000}"/>
    <cellStyle name="40% - 强调文字颜色 1 2 6" xfId="7401" xr:uid="{00000000-0005-0000-0000-0000C8160000}"/>
    <cellStyle name="40% - 强调文字颜色 1 2 7" xfId="7413" xr:uid="{00000000-0005-0000-0000-0000C9160000}"/>
    <cellStyle name="40% - 强调文字颜色 1 2 8" xfId="7422" xr:uid="{00000000-0005-0000-0000-0000CA160000}"/>
    <cellStyle name="40% - 强调文字颜色 1 2 9" xfId="246" xr:uid="{00000000-0005-0000-0000-0000CB160000}"/>
    <cellStyle name="40% - 强调文字颜色 1 3" xfId="15180" xr:uid="{00000000-0005-0000-0000-0000CC160000}"/>
    <cellStyle name="40% - 强调文字颜色 1 3 10" xfId="6523" xr:uid="{00000000-0005-0000-0000-0000CD160000}"/>
    <cellStyle name="40% - 强调文字颜色 1 3 11" xfId="1097" xr:uid="{00000000-0005-0000-0000-0000CE160000}"/>
    <cellStyle name="40% - 强调文字颜色 1 3 12" xfId="1153" xr:uid="{00000000-0005-0000-0000-0000CF160000}"/>
    <cellStyle name="40% - 强调文字颜色 1 3 13" xfId="1164" xr:uid="{00000000-0005-0000-0000-0000D0160000}"/>
    <cellStyle name="40% - 强调文字颜色 1 3 14" xfId="1181" xr:uid="{00000000-0005-0000-0000-0000D1160000}"/>
    <cellStyle name="40% - 强调文字颜色 1 3 15" xfId="1196" xr:uid="{00000000-0005-0000-0000-0000D2160000}"/>
    <cellStyle name="40% - 强调文字颜色 1 3 16" xfId="1213" xr:uid="{00000000-0005-0000-0000-0000D3160000}"/>
    <cellStyle name="40% - 强调文字颜色 1 3 17" xfId="536" xr:uid="{00000000-0005-0000-0000-0000D4160000}"/>
    <cellStyle name="40% - 强调文字颜色 1 3 17 10" xfId="15181" xr:uid="{00000000-0005-0000-0000-0000D5160000}"/>
    <cellStyle name="40% - 强调文字颜色 1 3 17 11" xfId="15184" xr:uid="{00000000-0005-0000-0000-0000D6160000}"/>
    <cellStyle name="40% - 强调文字颜色 1 3 17 12" xfId="15186" xr:uid="{00000000-0005-0000-0000-0000D7160000}"/>
    <cellStyle name="40% - 强调文字颜色 1 3 17 13" xfId="15188" xr:uid="{00000000-0005-0000-0000-0000D8160000}"/>
    <cellStyle name="40% - 强调文字颜色 1 3 17 14" xfId="15190" xr:uid="{00000000-0005-0000-0000-0000D9160000}"/>
    <cellStyle name="40% - 强调文字颜色 1 3 17 2" xfId="15193" xr:uid="{00000000-0005-0000-0000-0000DA160000}"/>
    <cellStyle name="40% - 强调文字颜色 1 3 17 2 2" xfId="15196" xr:uid="{00000000-0005-0000-0000-0000DB160000}"/>
    <cellStyle name="40% - 强调文字颜色 1 3 17 3" xfId="15198" xr:uid="{00000000-0005-0000-0000-0000DC160000}"/>
    <cellStyle name="40% - 强调文字颜色 1 3 17 4" xfId="15202" xr:uid="{00000000-0005-0000-0000-0000DD160000}"/>
    <cellStyle name="40% - 强调文字颜色 1 3 17 5" xfId="15206" xr:uid="{00000000-0005-0000-0000-0000DE160000}"/>
    <cellStyle name="40% - 强调文字颜色 1 3 17 5 10" xfId="15209" xr:uid="{00000000-0005-0000-0000-0000DF160000}"/>
    <cellStyle name="40% - 强调文字颜色 1 3 17 5 11" xfId="15135" xr:uid="{00000000-0005-0000-0000-0000E0160000}"/>
    <cellStyle name="40% - 强调文字颜色 1 3 17 5 2" xfId="15210" xr:uid="{00000000-0005-0000-0000-0000E1160000}"/>
    <cellStyle name="40% - 强调文字颜色 1 3 17 5 2 2" xfId="15213" xr:uid="{00000000-0005-0000-0000-0000E2160000}"/>
    <cellStyle name="40% - 强调文字颜色 1 3 17 5 2 2 2" xfId="15214" xr:uid="{00000000-0005-0000-0000-0000E3160000}"/>
    <cellStyle name="40% - 强调文字颜色 1 3 17 5 2 2 3" xfId="1115" xr:uid="{00000000-0005-0000-0000-0000E4160000}"/>
    <cellStyle name="40% - 强调文字颜色 1 3 17 5 2 3" xfId="15220" xr:uid="{00000000-0005-0000-0000-0000E5160000}"/>
    <cellStyle name="40% - 强调文字颜色 1 3 17 5 2 4" xfId="15224" xr:uid="{00000000-0005-0000-0000-0000E6160000}"/>
    <cellStyle name="40% - 强调文字颜色 1 3 17 5 2 5" xfId="15227" xr:uid="{00000000-0005-0000-0000-0000E7160000}"/>
    <cellStyle name="40% - 强调文字颜色 1 3 17 5 2 6" xfId="15230" xr:uid="{00000000-0005-0000-0000-0000E8160000}"/>
    <cellStyle name="40% - 强调文字颜色 1 3 17 5 2 7" xfId="15233" xr:uid="{00000000-0005-0000-0000-0000E9160000}"/>
    <cellStyle name="40% - 强调文字颜色 1 3 17 5 2 8" xfId="15235" xr:uid="{00000000-0005-0000-0000-0000EA160000}"/>
    <cellStyle name="40% - 强调文字颜色 1 3 17 5 3" xfId="15237" xr:uid="{00000000-0005-0000-0000-0000EB160000}"/>
    <cellStyle name="40% - 强调文字颜色 1 3 17 5 4" xfId="12401" xr:uid="{00000000-0005-0000-0000-0000EC160000}"/>
    <cellStyle name="40% - 强调文字颜色 1 3 17 5 5" xfId="12424" xr:uid="{00000000-0005-0000-0000-0000ED160000}"/>
    <cellStyle name="40% - 强调文字颜色 1 3 17 5 6" xfId="12428" xr:uid="{00000000-0005-0000-0000-0000EE160000}"/>
    <cellStyle name="40% - 强调文字颜色 1 3 17 5 6 2" xfId="8427" xr:uid="{00000000-0005-0000-0000-0000EF160000}"/>
    <cellStyle name="40% - 强调文字颜色 1 3 17 5 6 3" xfId="8439" xr:uid="{00000000-0005-0000-0000-0000F0160000}"/>
    <cellStyle name="40% - 强调文字颜色 1 3 17 5 7" xfId="8418" xr:uid="{00000000-0005-0000-0000-0000F1160000}"/>
    <cellStyle name="40% - 强调文字颜色 1 3 17 5 8" xfId="8428" xr:uid="{00000000-0005-0000-0000-0000F2160000}"/>
    <cellStyle name="40% - 强调文字颜色 1 3 17 5 9" xfId="8440" xr:uid="{00000000-0005-0000-0000-0000F3160000}"/>
    <cellStyle name="40% - 强调文字颜色 1 3 17 6" xfId="15241" xr:uid="{00000000-0005-0000-0000-0000F4160000}"/>
    <cellStyle name="40% - 强调文字颜色 1 3 17 6 2" xfId="14443" xr:uid="{00000000-0005-0000-0000-0000F5160000}"/>
    <cellStyle name="40% - 强调文字颜色 1 3 17 6 2 2" xfId="11098" xr:uid="{00000000-0005-0000-0000-0000F6160000}"/>
    <cellStyle name="40% - 强调文字颜色 1 3 17 6 2 3" xfId="10733" xr:uid="{00000000-0005-0000-0000-0000F7160000}"/>
    <cellStyle name="40% - 强调文字颜色 1 3 17 6 3" xfId="15244" xr:uid="{00000000-0005-0000-0000-0000F8160000}"/>
    <cellStyle name="40% - 强调文字颜色 1 3 17 6 4" xfId="12438" xr:uid="{00000000-0005-0000-0000-0000F9160000}"/>
    <cellStyle name="40% - 强调文字颜色 1 3 17 6 5" xfId="3705" xr:uid="{00000000-0005-0000-0000-0000FA160000}"/>
    <cellStyle name="40% - 强调文字颜色 1 3 17 6 6" xfId="3716" xr:uid="{00000000-0005-0000-0000-0000FB160000}"/>
    <cellStyle name="40% - 强调文字颜色 1 3 17 6 7" xfId="3728" xr:uid="{00000000-0005-0000-0000-0000FC160000}"/>
    <cellStyle name="40% - 强调文字颜色 1 3 17 6 8" xfId="11156" xr:uid="{00000000-0005-0000-0000-0000FD160000}"/>
    <cellStyle name="40% - 强调文字颜色 1 3 17 7" xfId="5031" xr:uid="{00000000-0005-0000-0000-0000FE160000}"/>
    <cellStyle name="40% - 强调文字颜色 1 3 17 8" xfId="5040" xr:uid="{00000000-0005-0000-0000-0000FF160000}"/>
    <cellStyle name="40% - 强调文字颜色 1 3 17 9" xfId="5048" xr:uid="{00000000-0005-0000-0000-000000170000}"/>
    <cellStyle name="40% - 强调文字颜色 1 3 17 9 2" xfId="15245" xr:uid="{00000000-0005-0000-0000-000001170000}"/>
    <cellStyle name="40% - 强调文字颜色 1 3 17 9 3" xfId="15246" xr:uid="{00000000-0005-0000-0000-000002170000}"/>
    <cellStyle name="40% - 强调文字颜色 1 3 18" xfId="15247" xr:uid="{00000000-0005-0000-0000-000003170000}"/>
    <cellStyle name="40% - 强调文字颜色 1 3 18 10" xfId="13704" xr:uid="{00000000-0005-0000-0000-000004170000}"/>
    <cellStyle name="40% - 强调文字颜色 1 3 18 11" xfId="13707" xr:uid="{00000000-0005-0000-0000-000005170000}"/>
    <cellStyle name="40% - 强调文字颜色 1 3 18 12" xfId="13710" xr:uid="{00000000-0005-0000-0000-000006170000}"/>
    <cellStyle name="40% - 强调文字颜色 1 3 18 13" xfId="13713" xr:uid="{00000000-0005-0000-0000-000007170000}"/>
    <cellStyle name="40% - 强调文字颜色 1 3 18 14" xfId="13716" xr:uid="{00000000-0005-0000-0000-000008170000}"/>
    <cellStyle name="40% - 强调文字颜色 1 3 18 2" xfId="15250" xr:uid="{00000000-0005-0000-0000-000009170000}"/>
    <cellStyle name="40% - 强调文字颜色 1 3 18 3" xfId="15251" xr:uid="{00000000-0005-0000-0000-00000A170000}"/>
    <cellStyle name="40% - 强调文字颜色 1 3 18 4" xfId="8584" xr:uid="{00000000-0005-0000-0000-00000B170000}"/>
    <cellStyle name="40% - 强调文字颜色 1 3 18 5" xfId="8591" xr:uid="{00000000-0005-0000-0000-00000C170000}"/>
    <cellStyle name="40% - 强调文字颜色 1 3 18 5 10" xfId="5194" xr:uid="{00000000-0005-0000-0000-00000D170000}"/>
    <cellStyle name="40% - 强调文字颜色 1 3 18 5 11" xfId="15253" xr:uid="{00000000-0005-0000-0000-00000E170000}"/>
    <cellStyle name="40% - 强调文字颜色 1 3 18 5 2" xfId="15254" xr:uid="{00000000-0005-0000-0000-00000F170000}"/>
    <cellStyle name="40% - 强调文字颜色 1 3 18 5 2 2" xfId="11022" xr:uid="{00000000-0005-0000-0000-000010170000}"/>
    <cellStyle name="40% - 强调文字颜色 1 3 18 5 2 2 2" xfId="15096" xr:uid="{00000000-0005-0000-0000-000011170000}"/>
    <cellStyle name="40% - 强调文字颜色 1 3 18 5 2 2 3" xfId="15255" xr:uid="{00000000-0005-0000-0000-000012170000}"/>
    <cellStyle name="40% - 强调文字颜色 1 3 18 5 2 3" xfId="9448" xr:uid="{00000000-0005-0000-0000-000013170000}"/>
    <cellStyle name="40% - 强调文字颜色 1 3 18 5 2 4" xfId="9458" xr:uid="{00000000-0005-0000-0000-000014170000}"/>
    <cellStyle name="40% - 强调文字颜色 1 3 18 5 2 5" xfId="13254" xr:uid="{00000000-0005-0000-0000-000015170000}"/>
    <cellStyle name="40% - 强调文字颜色 1 3 18 5 2 6" xfId="15257" xr:uid="{00000000-0005-0000-0000-000016170000}"/>
    <cellStyle name="40% - 强调文字颜色 1 3 18 5 2 7" xfId="15260" xr:uid="{00000000-0005-0000-0000-000017170000}"/>
    <cellStyle name="40% - 强调文字颜色 1 3 18 5 2 8" xfId="15262" xr:uid="{00000000-0005-0000-0000-000018170000}"/>
    <cellStyle name="40% - 强调文字颜色 1 3 18 5 3" xfId="15264" xr:uid="{00000000-0005-0000-0000-000019170000}"/>
    <cellStyle name="40% - 强调文字颜色 1 3 18 5 4" xfId="12456" xr:uid="{00000000-0005-0000-0000-00001A170000}"/>
    <cellStyle name="40% - 强调文字颜色 1 3 18 5 5" xfId="12472" xr:uid="{00000000-0005-0000-0000-00001B170000}"/>
    <cellStyle name="40% - 强调文字颜色 1 3 18 5 6" xfId="12477" xr:uid="{00000000-0005-0000-0000-00001C170000}"/>
    <cellStyle name="40% - 强调文字颜色 1 3 18 5 6 2" xfId="15265" xr:uid="{00000000-0005-0000-0000-00001D170000}"/>
    <cellStyle name="40% - 强调文字颜色 1 3 18 5 6 3" xfId="15266" xr:uid="{00000000-0005-0000-0000-00001E170000}"/>
    <cellStyle name="40% - 强调文字颜色 1 3 18 5 7" xfId="12484" xr:uid="{00000000-0005-0000-0000-00001F170000}"/>
    <cellStyle name="40% - 强调文字颜色 1 3 18 5 8" xfId="12488" xr:uid="{00000000-0005-0000-0000-000020170000}"/>
    <cellStyle name="40% - 强调文字颜色 1 3 18 5 9" xfId="12494" xr:uid="{00000000-0005-0000-0000-000021170000}"/>
    <cellStyle name="40% - 强调文字颜色 1 3 18 6" xfId="15269" xr:uid="{00000000-0005-0000-0000-000022170000}"/>
    <cellStyle name="40% - 强调文字颜色 1 3 18 6 2" xfId="15272" xr:uid="{00000000-0005-0000-0000-000023170000}"/>
    <cellStyle name="40% - 强调文字颜色 1 3 18 6 2 2" xfId="11436" xr:uid="{00000000-0005-0000-0000-000024170000}"/>
    <cellStyle name="40% - 强调文字颜色 1 3 18 6 2 3" xfId="11440" xr:uid="{00000000-0005-0000-0000-000025170000}"/>
    <cellStyle name="40% - 强调文字颜色 1 3 18 6 3" xfId="15274" xr:uid="{00000000-0005-0000-0000-000026170000}"/>
    <cellStyle name="40% - 强调文字颜色 1 3 18 6 4" xfId="12502" xr:uid="{00000000-0005-0000-0000-000027170000}"/>
    <cellStyle name="40% - 强调文字颜色 1 3 18 6 5" xfId="437" xr:uid="{00000000-0005-0000-0000-000028170000}"/>
    <cellStyle name="40% - 强调文字颜色 1 3 18 6 6" xfId="11135" xr:uid="{00000000-0005-0000-0000-000029170000}"/>
    <cellStyle name="40% - 强调文字颜色 1 3 18 6 7" xfId="11139" xr:uid="{00000000-0005-0000-0000-00002A170000}"/>
    <cellStyle name="40% - 强调文字颜色 1 3 18 6 8" xfId="11143" xr:uid="{00000000-0005-0000-0000-00002B170000}"/>
    <cellStyle name="40% - 强调文字颜色 1 3 18 7" xfId="15277" xr:uid="{00000000-0005-0000-0000-00002C170000}"/>
    <cellStyle name="40% - 强调文字颜色 1 3 18 8" xfId="15278" xr:uid="{00000000-0005-0000-0000-00002D170000}"/>
    <cellStyle name="40% - 强调文字颜色 1 3 18 9" xfId="15287" xr:uid="{00000000-0005-0000-0000-00002E170000}"/>
    <cellStyle name="40% - 强调文字颜色 1 3 18 9 2" xfId="15288" xr:uid="{00000000-0005-0000-0000-00002F170000}"/>
    <cellStyle name="40% - 强调文字颜色 1 3 18 9 3" xfId="15289" xr:uid="{00000000-0005-0000-0000-000030170000}"/>
    <cellStyle name="40% - 强调文字颜色 1 3 19" xfId="15290" xr:uid="{00000000-0005-0000-0000-000031170000}"/>
    <cellStyle name="40% - 强调文字颜色 1 3 19 10" xfId="14062" xr:uid="{00000000-0005-0000-0000-000032170000}"/>
    <cellStyle name="40% - 强调文字颜色 1 3 19 11" xfId="15293" xr:uid="{00000000-0005-0000-0000-000033170000}"/>
    <cellStyle name="40% - 强调文字颜色 1 3 19 12" xfId="4170" xr:uid="{00000000-0005-0000-0000-000034170000}"/>
    <cellStyle name="40% - 强调文字颜色 1 3 19 13" xfId="4180" xr:uid="{00000000-0005-0000-0000-000035170000}"/>
    <cellStyle name="40% - 强调文字颜色 1 3 19 14" xfId="15296" xr:uid="{00000000-0005-0000-0000-000036170000}"/>
    <cellStyle name="40% - 强调文字颜色 1 3 19 2" xfId="15301" xr:uid="{00000000-0005-0000-0000-000037170000}"/>
    <cellStyle name="40% - 强调文字颜色 1 3 19 3" xfId="15302" xr:uid="{00000000-0005-0000-0000-000038170000}"/>
    <cellStyle name="40% - 强调文字颜色 1 3 19 4" xfId="15303" xr:uid="{00000000-0005-0000-0000-000039170000}"/>
    <cellStyle name="40% - 强调文字颜色 1 3 19 5" xfId="15304" xr:uid="{00000000-0005-0000-0000-00003A170000}"/>
    <cellStyle name="40% - 强调文字颜色 1 3 19 5 10" xfId="7265" xr:uid="{00000000-0005-0000-0000-00003B170000}"/>
    <cellStyle name="40% - 强调文字颜色 1 3 19 5 11" xfId="15308" xr:uid="{00000000-0005-0000-0000-00003C170000}"/>
    <cellStyle name="40% - 强调文字颜色 1 3 19 5 2" xfId="15309" xr:uid="{00000000-0005-0000-0000-00003D170000}"/>
    <cellStyle name="40% - 强调文字颜色 1 3 19 5 2 2" xfId="14688" xr:uid="{00000000-0005-0000-0000-00003E170000}"/>
    <cellStyle name="40% - 强调文字颜色 1 3 19 5 2 2 2" xfId="12323" xr:uid="{00000000-0005-0000-0000-00003F170000}"/>
    <cellStyle name="40% - 强调文字颜色 1 3 19 5 2 2 3" xfId="12327" xr:uid="{00000000-0005-0000-0000-000040170000}"/>
    <cellStyle name="40% - 强调文字颜色 1 3 19 5 2 3" xfId="14692" xr:uid="{00000000-0005-0000-0000-000041170000}"/>
    <cellStyle name="40% - 强调文字颜色 1 3 19 5 2 4" xfId="14696" xr:uid="{00000000-0005-0000-0000-000042170000}"/>
    <cellStyle name="40% - 强调文字颜色 1 3 19 5 2 5" xfId="14702" xr:uid="{00000000-0005-0000-0000-000043170000}"/>
    <cellStyle name="40% - 强调文字颜色 1 3 19 5 2 6" xfId="14704" xr:uid="{00000000-0005-0000-0000-000044170000}"/>
    <cellStyle name="40% - 强调文字颜色 1 3 19 5 2 7" xfId="14706" xr:uid="{00000000-0005-0000-0000-000045170000}"/>
    <cellStyle name="40% - 强调文字颜色 1 3 19 5 2 8" xfId="15311" xr:uid="{00000000-0005-0000-0000-000046170000}"/>
    <cellStyle name="40% - 强调文字颜色 1 3 19 5 3" xfId="15312" xr:uid="{00000000-0005-0000-0000-000047170000}"/>
    <cellStyle name="40% - 强调文字颜色 1 3 19 5 4" xfId="12545" xr:uid="{00000000-0005-0000-0000-000048170000}"/>
    <cellStyle name="40% - 强调文字颜色 1 3 19 5 5" xfId="12582" xr:uid="{00000000-0005-0000-0000-000049170000}"/>
    <cellStyle name="40% - 强调文字颜色 1 3 19 5 6" xfId="12587" xr:uid="{00000000-0005-0000-0000-00004A170000}"/>
    <cellStyle name="40% - 强调文字颜色 1 3 19 5 6 2" xfId="15318" xr:uid="{00000000-0005-0000-0000-00004B170000}"/>
    <cellStyle name="40% - 强调文字颜色 1 3 19 5 6 3" xfId="15324" xr:uid="{00000000-0005-0000-0000-00004C170000}"/>
    <cellStyle name="40% - 强调文字颜色 1 3 19 5 7" xfId="12591" xr:uid="{00000000-0005-0000-0000-00004D170000}"/>
    <cellStyle name="40% - 强调文字颜色 1 3 19 5 8" xfId="12595" xr:uid="{00000000-0005-0000-0000-00004E170000}"/>
    <cellStyle name="40% - 强调文字颜色 1 3 19 5 9" xfId="12601" xr:uid="{00000000-0005-0000-0000-00004F170000}"/>
    <cellStyle name="40% - 强调文字颜色 1 3 19 6" xfId="15326" xr:uid="{00000000-0005-0000-0000-000050170000}"/>
    <cellStyle name="40% - 强调文字颜色 1 3 19 6 2" xfId="15327" xr:uid="{00000000-0005-0000-0000-000051170000}"/>
    <cellStyle name="40% - 强调文字颜色 1 3 19 6 2 2" xfId="15330" xr:uid="{00000000-0005-0000-0000-000052170000}"/>
    <cellStyle name="40% - 强调文字颜色 1 3 19 6 2 3" xfId="15332" xr:uid="{00000000-0005-0000-0000-000053170000}"/>
    <cellStyle name="40% - 强调文字颜色 1 3 19 6 3" xfId="15333" xr:uid="{00000000-0005-0000-0000-000054170000}"/>
    <cellStyle name="40% - 强调文字颜色 1 3 19 6 4" xfId="12614" xr:uid="{00000000-0005-0000-0000-000055170000}"/>
    <cellStyle name="40% - 强调文字颜色 1 3 19 6 5" xfId="12637" xr:uid="{00000000-0005-0000-0000-000056170000}"/>
    <cellStyle name="40% - 强调文字颜色 1 3 19 6 6" xfId="12644" xr:uid="{00000000-0005-0000-0000-000057170000}"/>
    <cellStyle name="40% - 强调文字颜色 1 3 19 6 7" xfId="12650" xr:uid="{00000000-0005-0000-0000-000058170000}"/>
    <cellStyle name="40% - 强调文字颜色 1 3 19 6 8" xfId="12654" xr:uid="{00000000-0005-0000-0000-000059170000}"/>
    <cellStyle name="40% - 强调文字颜色 1 3 19 7" xfId="15334" xr:uid="{00000000-0005-0000-0000-00005A170000}"/>
    <cellStyle name="40% - 强调文字颜色 1 3 19 8" xfId="15335" xr:uid="{00000000-0005-0000-0000-00005B170000}"/>
    <cellStyle name="40% - 强调文字颜色 1 3 19 9" xfId="15336" xr:uid="{00000000-0005-0000-0000-00005C170000}"/>
    <cellStyle name="40% - 强调文字颜色 1 3 19 9 2" xfId="15337" xr:uid="{00000000-0005-0000-0000-00005D170000}"/>
    <cellStyle name="40% - 强调文字颜色 1 3 19 9 3" xfId="15338" xr:uid="{00000000-0005-0000-0000-00005E170000}"/>
    <cellStyle name="40% - 强调文字颜色 1 3 2" xfId="15340" xr:uid="{00000000-0005-0000-0000-00005F170000}"/>
    <cellStyle name="40% - 强调文字颜色 1 3 2 10" xfId="15345" xr:uid="{00000000-0005-0000-0000-000060170000}"/>
    <cellStyle name="40% - 强调文字颜色 1 3 2 11" xfId="15352" xr:uid="{00000000-0005-0000-0000-000061170000}"/>
    <cellStyle name="40% - 强调文字颜色 1 3 2 12" xfId="5967" xr:uid="{00000000-0005-0000-0000-000062170000}"/>
    <cellStyle name="40% - 强调文字颜色 1 3 2 13" xfId="5981" xr:uid="{00000000-0005-0000-0000-000063170000}"/>
    <cellStyle name="40% - 强调文字颜色 1 3 2 14" xfId="5986" xr:uid="{00000000-0005-0000-0000-000064170000}"/>
    <cellStyle name="40% - 强调文字颜色 1 3 2 2" xfId="496" xr:uid="{00000000-0005-0000-0000-000065170000}"/>
    <cellStyle name="40% - 强调文字颜色 1 3 2 3" xfId="772" xr:uid="{00000000-0005-0000-0000-000066170000}"/>
    <cellStyle name="40% - 强调文字颜色 1 3 2 4" xfId="779" xr:uid="{00000000-0005-0000-0000-000067170000}"/>
    <cellStyle name="40% - 强调文字颜色 1 3 2 5" xfId="794" xr:uid="{00000000-0005-0000-0000-000068170000}"/>
    <cellStyle name="40% - 强调文字颜色 1 3 2 6" xfId="15355" xr:uid="{00000000-0005-0000-0000-000069170000}"/>
    <cellStyle name="40% - 强调文字颜色 1 3 2 7" xfId="15357" xr:uid="{00000000-0005-0000-0000-00006A170000}"/>
    <cellStyle name="40% - 强调文字颜色 1 3 2 8" xfId="15359" xr:uid="{00000000-0005-0000-0000-00006B170000}"/>
    <cellStyle name="40% - 强调文字颜色 1 3 2 9" xfId="15361" xr:uid="{00000000-0005-0000-0000-00006C170000}"/>
    <cellStyle name="40% - 强调文字颜色 1 3 20" xfId="1197" xr:uid="{00000000-0005-0000-0000-00006D170000}"/>
    <cellStyle name="40% - 强调文字颜色 1 3 20 10" xfId="12465" xr:uid="{00000000-0005-0000-0000-00006E170000}"/>
    <cellStyle name="40% - 强调文字颜色 1 3 20 11" xfId="12467" xr:uid="{00000000-0005-0000-0000-00006F170000}"/>
    <cellStyle name="40% - 强调文字颜色 1 3 20 12" xfId="12470" xr:uid="{00000000-0005-0000-0000-000070170000}"/>
    <cellStyle name="40% - 强调文字颜色 1 3 20 13" xfId="4047" xr:uid="{00000000-0005-0000-0000-000071170000}"/>
    <cellStyle name="40% - 强调文字颜色 1 3 20 14" xfId="4054" xr:uid="{00000000-0005-0000-0000-000072170000}"/>
    <cellStyle name="40% - 强调文字颜色 1 3 20 2" xfId="15252" xr:uid="{00000000-0005-0000-0000-000073170000}"/>
    <cellStyle name="40% - 强调文字颜色 1 3 20 3" xfId="10612" xr:uid="{00000000-0005-0000-0000-000074170000}"/>
    <cellStyle name="40% - 强调文字颜色 1 3 20 4" xfId="10616" xr:uid="{00000000-0005-0000-0000-000075170000}"/>
    <cellStyle name="40% - 强调文字颜色 1 3 20 5" xfId="15363" xr:uid="{00000000-0005-0000-0000-000076170000}"/>
    <cellStyle name="40% - 强调文字颜色 1 3 20 5 10" xfId="15365" xr:uid="{00000000-0005-0000-0000-000077170000}"/>
    <cellStyle name="40% - 强调文字颜色 1 3 20 5 11" xfId="15366" xr:uid="{00000000-0005-0000-0000-000078170000}"/>
    <cellStyle name="40% - 强调文字颜色 1 3 20 5 2" xfId="15367" xr:uid="{00000000-0005-0000-0000-000079170000}"/>
    <cellStyle name="40% - 强调文字颜色 1 3 20 5 2 2" xfId="4547" xr:uid="{00000000-0005-0000-0000-00007A170000}"/>
    <cellStyle name="40% - 强调文字颜色 1 3 20 5 2 2 2" xfId="4561" xr:uid="{00000000-0005-0000-0000-00007B170000}"/>
    <cellStyle name="40% - 强调文字颜色 1 3 20 5 2 2 3" xfId="4584" xr:uid="{00000000-0005-0000-0000-00007C170000}"/>
    <cellStyle name="40% - 强调文字颜色 1 3 20 5 2 3" xfId="4601" xr:uid="{00000000-0005-0000-0000-00007D170000}"/>
    <cellStyle name="40% - 强调文字颜色 1 3 20 5 2 4" xfId="4609" xr:uid="{00000000-0005-0000-0000-00007E170000}"/>
    <cellStyle name="40% - 强调文字颜色 1 3 20 5 2 5" xfId="400" xr:uid="{00000000-0005-0000-0000-00007F170000}"/>
    <cellStyle name="40% - 强调文字颜色 1 3 20 5 2 6" xfId="15368" xr:uid="{00000000-0005-0000-0000-000080170000}"/>
    <cellStyle name="40% - 强调文字颜色 1 3 20 5 2 7" xfId="15369" xr:uid="{00000000-0005-0000-0000-000081170000}"/>
    <cellStyle name="40% - 强调文字颜色 1 3 20 5 2 8" xfId="13289" xr:uid="{00000000-0005-0000-0000-000082170000}"/>
    <cellStyle name="40% - 强调文字颜色 1 3 20 5 3" xfId="15370" xr:uid="{00000000-0005-0000-0000-000083170000}"/>
    <cellStyle name="40% - 强调文字颜色 1 3 20 5 4" xfId="12697" xr:uid="{00000000-0005-0000-0000-000084170000}"/>
    <cellStyle name="40% - 强调文字颜色 1 3 20 5 5" xfId="12709" xr:uid="{00000000-0005-0000-0000-000085170000}"/>
    <cellStyle name="40% - 强调文字颜色 1 3 20 5 6" xfId="12713" xr:uid="{00000000-0005-0000-0000-000086170000}"/>
    <cellStyle name="40% - 强调文字颜色 1 3 20 5 6 2" xfId="15371" xr:uid="{00000000-0005-0000-0000-000087170000}"/>
    <cellStyle name="40% - 强调文字颜色 1 3 20 5 6 3" xfId="15372" xr:uid="{00000000-0005-0000-0000-000088170000}"/>
    <cellStyle name="40% - 强调文字颜色 1 3 20 5 7" xfId="12717" xr:uid="{00000000-0005-0000-0000-000089170000}"/>
    <cellStyle name="40% - 强调文字颜色 1 3 20 5 8" xfId="12720" xr:uid="{00000000-0005-0000-0000-00008A170000}"/>
    <cellStyle name="40% - 强调文字颜色 1 3 20 5 9" xfId="12727" xr:uid="{00000000-0005-0000-0000-00008B170000}"/>
    <cellStyle name="40% - 强调文字颜色 1 3 20 6" xfId="15373" xr:uid="{00000000-0005-0000-0000-00008C170000}"/>
    <cellStyle name="40% - 强调文字颜色 1 3 20 6 2" xfId="7670" xr:uid="{00000000-0005-0000-0000-00008D170000}"/>
    <cellStyle name="40% - 强调文字颜色 1 3 20 6 2 2" xfId="15375" xr:uid="{00000000-0005-0000-0000-00008E170000}"/>
    <cellStyle name="40% - 强调文字颜色 1 3 20 6 2 3" xfId="10543" xr:uid="{00000000-0005-0000-0000-00008F170000}"/>
    <cellStyle name="40% - 强调文字颜色 1 3 20 6 3" xfId="15379" xr:uid="{00000000-0005-0000-0000-000090170000}"/>
    <cellStyle name="40% - 强调文字颜色 1 3 20 6 4" xfId="12732" xr:uid="{00000000-0005-0000-0000-000091170000}"/>
    <cellStyle name="40% - 强调文字颜色 1 3 20 6 5" xfId="12745" xr:uid="{00000000-0005-0000-0000-000092170000}"/>
    <cellStyle name="40% - 强调文字颜色 1 3 20 6 6" xfId="12751" xr:uid="{00000000-0005-0000-0000-000093170000}"/>
    <cellStyle name="40% - 强调文字颜色 1 3 20 6 7" xfId="12759" xr:uid="{00000000-0005-0000-0000-000094170000}"/>
    <cellStyle name="40% - 强调文字颜色 1 3 20 6 8" xfId="12768" xr:uid="{00000000-0005-0000-0000-000095170000}"/>
    <cellStyle name="40% - 强调文字颜色 1 3 20 7" xfId="4136" xr:uid="{00000000-0005-0000-0000-000096170000}"/>
    <cellStyle name="40% - 强调文字颜色 1 3 20 8" xfId="4205" xr:uid="{00000000-0005-0000-0000-000097170000}"/>
    <cellStyle name="40% - 强调文字颜色 1 3 20 9" xfId="4265" xr:uid="{00000000-0005-0000-0000-000098170000}"/>
    <cellStyle name="40% - 强调文字颜色 1 3 20 9 2" xfId="15381" xr:uid="{00000000-0005-0000-0000-000099170000}"/>
    <cellStyle name="40% - 强调文字颜色 1 3 20 9 3" xfId="15382" xr:uid="{00000000-0005-0000-0000-00009A170000}"/>
    <cellStyle name="40% - 强调文字颜色 1 3 3" xfId="14228" xr:uid="{00000000-0005-0000-0000-00009B170000}"/>
    <cellStyle name="40% - 强调文字颜色 1 3 3 10" xfId="15384" xr:uid="{00000000-0005-0000-0000-00009C170000}"/>
    <cellStyle name="40% - 强调文字颜色 1 3 3 11" xfId="15386" xr:uid="{00000000-0005-0000-0000-00009D170000}"/>
    <cellStyle name="40% - 强调文字颜色 1 3 3 12" xfId="15387" xr:uid="{00000000-0005-0000-0000-00009E170000}"/>
    <cellStyle name="40% - 强调文字颜色 1 3 3 13" xfId="15388" xr:uid="{00000000-0005-0000-0000-00009F170000}"/>
    <cellStyle name="40% - 强调文字颜色 1 3 3 14" xfId="15390" xr:uid="{00000000-0005-0000-0000-0000A0170000}"/>
    <cellStyle name="40% - 强调文字颜色 1 3 3 2" xfId="15391" xr:uid="{00000000-0005-0000-0000-0000A1170000}"/>
    <cellStyle name="40% - 强调文字颜色 1 3 3 3" xfId="15394" xr:uid="{00000000-0005-0000-0000-0000A2170000}"/>
    <cellStyle name="40% - 强调文字颜色 1 3 3 4" xfId="15397" xr:uid="{00000000-0005-0000-0000-0000A3170000}"/>
    <cellStyle name="40% - 强调文字颜色 1 3 3 5" xfId="15399" xr:uid="{00000000-0005-0000-0000-0000A4170000}"/>
    <cellStyle name="40% - 强调文字颜色 1 3 3 6" xfId="15401" xr:uid="{00000000-0005-0000-0000-0000A5170000}"/>
    <cellStyle name="40% - 强调文字颜色 1 3 3 7" xfId="15403" xr:uid="{00000000-0005-0000-0000-0000A6170000}"/>
    <cellStyle name="40% - 强调文字颜色 1 3 3 8" xfId="15406" xr:uid="{00000000-0005-0000-0000-0000A7170000}"/>
    <cellStyle name="40% - 强调文字颜色 1 3 3 9" xfId="3591" xr:uid="{00000000-0005-0000-0000-0000A8170000}"/>
    <cellStyle name="40% - 强调文字颜色 1 3 4" xfId="14231" xr:uid="{00000000-0005-0000-0000-0000A9170000}"/>
    <cellStyle name="40% - 强调文字颜色 1 3 4 10" xfId="7776" xr:uid="{00000000-0005-0000-0000-0000AA170000}"/>
    <cellStyle name="40% - 强调文字颜色 1 3 4 11" xfId="8749" xr:uid="{00000000-0005-0000-0000-0000AB170000}"/>
    <cellStyle name="40% - 强调文字颜色 1 3 4 12" xfId="8755" xr:uid="{00000000-0005-0000-0000-0000AC170000}"/>
    <cellStyle name="40% - 强调文字颜色 1 3 4 13" xfId="8759" xr:uid="{00000000-0005-0000-0000-0000AD170000}"/>
    <cellStyle name="40% - 强调文字颜色 1 3 4 14" xfId="8764" xr:uid="{00000000-0005-0000-0000-0000AE170000}"/>
    <cellStyle name="40% - 强调文字颜色 1 3 4 2" xfId="15412" xr:uid="{00000000-0005-0000-0000-0000AF170000}"/>
    <cellStyle name="40% - 强调文字颜色 1 3 4 3" xfId="13212" xr:uid="{00000000-0005-0000-0000-0000B0170000}"/>
    <cellStyle name="40% - 强调文字颜色 1 3 4 4" xfId="13221" xr:uid="{00000000-0005-0000-0000-0000B1170000}"/>
    <cellStyle name="40% - 强调文字颜色 1 3 4 5" xfId="15415" xr:uid="{00000000-0005-0000-0000-0000B2170000}"/>
    <cellStyle name="40% - 强调文字颜色 1 3 4 6" xfId="15422" xr:uid="{00000000-0005-0000-0000-0000B3170000}"/>
    <cellStyle name="40% - 强调文字颜色 1 3 4 7" xfId="15346" xr:uid="{00000000-0005-0000-0000-0000B4170000}"/>
    <cellStyle name="40% - 强调文字颜色 1 3 4 8" xfId="15353" xr:uid="{00000000-0005-0000-0000-0000B5170000}"/>
    <cellStyle name="40% - 强调文字颜色 1 3 4 9" xfId="5968" xr:uid="{00000000-0005-0000-0000-0000B6170000}"/>
    <cellStyle name="40% - 强调文字颜色 1 3 5" xfId="15424" xr:uid="{00000000-0005-0000-0000-0000B7170000}"/>
    <cellStyle name="40% - 强调文字颜色 1 3 6" xfId="15425" xr:uid="{00000000-0005-0000-0000-0000B8170000}"/>
    <cellStyle name="40% - 强调文字颜色 1 3 7" xfId="15426" xr:uid="{00000000-0005-0000-0000-0000B9170000}"/>
    <cellStyle name="40% - 强调文字颜色 1 3 8" xfId="15427" xr:uid="{00000000-0005-0000-0000-0000BA170000}"/>
    <cellStyle name="40% - 强调文字颜色 1 3 9" xfId="15428" xr:uid="{00000000-0005-0000-0000-0000BB170000}"/>
    <cellStyle name="40% - 强调文字颜色 1 4" xfId="7876" xr:uid="{00000000-0005-0000-0000-0000BC170000}"/>
    <cellStyle name="40% - 强调文字颜色 1 4 10" xfId="15429" xr:uid="{00000000-0005-0000-0000-0000BD170000}"/>
    <cellStyle name="40% - 强调文字颜色 1 4 11" xfId="15433" xr:uid="{00000000-0005-0000-0000-0000BE170000}"/>
    <cellStyle name="40% - 强调文字颜色 1 4 12" xfId="15437" xr:uid="{00000000-0005-0000-0000-0000BF170000}"/>
    <cellStyle name="40% - 强调文字颜色 1 4 13" xfId="15438" xr:uid="{00000000-0005-0000-0000-0000C0170000}"/>
    <cellStyle name="40% - 强调文字颜色 1 4 14" xfId="15439" xr:uid="{00000000-0005-0000-0000-0000C1170000}"/>
    <cellStyle name="40% - 强调文字颜色 1 4 15" xfId="15441" xr:uid="{00000000-0005-0000-0000-0000C2170000}"/>
    <cellStyle name="40% - 强调文字颜色 1 4 16" xfId="15444" xr:uid="{00000000-0005-0000-0000-0000C3170000}"/>
    <cellStyle name="40% - 强调文字颜色 1 4 17" xfId="15446" xr:uid="{00000000-0005-0000-0000-0000C4170000}"/>
    <cellStyle name="40% - 强调文字颜色 1 4 17 10" xfId="15448" xr:uid="{00000000-0005-0000-0000-0000C5170000}"/>
    <cellStyle name="40% - 强调文字颜色 1 4 17 11" xfId="3979" xr:uid="{00000000-0005-0000-0000-0000C6170000}"/>
    <cellStyle name="40% - 强调文字颜色 1 4 17 12" xfId="4911" xr:uid="{00000000-0005-0000-0000-0000C7170000}"/>
    <cellStyle name="40% - 强调文字颜色 1 4 17 13" xfId="5213" xr:uid="{00000000-0005-0000-0000-0000C8170000}"/>
    <cellStyle name="40% - 强调文字颜色 1 4 17 14" xfId="2836" xr:uid="{00000000-0005-0000-0000-0000C9170000}"/>
    <cellStyle name="40% - 强调文字颜色 1 4 17 2" xfId="15449" xr:uid="{00000000-0005-0000-0000-0000CA170000}"/>
    <cellStyle name="40% - 强调文字颜色 1 4 17 3" xfId="6737" xr:uid="{00000000-0005-0000-0000-0000CB170000}"/>
    <cellStyle name="40% - 强调文字颜色 1 4 17 4" xfId="6747" xr:uid="{00000000-0005-0000-0000-0000CC170000}"/>
    <cellStyle name="40% - 强调文字颜色 1 4 17 5" xfId="6758" xr:uid="{00000000-0005-0000-0000-0000CD170000}"/>
    <cellStyle name="40% - 强调文字颜色 1 4 17 5 10" xfId="5089" xr:uid="{00000000-0005-0000-0000-0000CE170000}"/>
    <cellStyle name="40% - 强调文字颜色 1 4 17 5 11" xfId="9103" xr:uid="{00000000-0005-0000-0000-0000CF170000}"/>
    <cellStyle name="40% - 强调文字颜色 1 4 17 5 2" xfId="15450" xr:uid="{00000000-0005-0000-0000-0000D0170000}"/>
    <cellStyle name="40% - 强调文字颜色 1 4 17 5 2 2" xfId="3337" xr:uid="{00000000-0005-0000-0000-0000D1170000}"/>
    <cellStyle name="40% - 强调文字颜色 1 4 17 5 2 2 2" xfId="9185" xr:uid="{00000000-0005-0000-0000-0000D2170000}"/>
    <cellStyle name="40% - 强调文字颜色 1 4 17 5 2 2 3" xfId="6220" xr:uid="{00000000-0005-0000-0000-0000D3170000}"/>
    <cellStyle name="40% - 强调文字颜色 1 4 17 5 2 3" xfId="3349" xr:uid="{00000000-0005-0000-0000-0000D4170000}"/>
    <cellStyle name="40% - 强调文字颜色 1 4 17 5 2 4" xfId="3365" xr:uid="{00000000-0005-0000-0000-0000D5170000}"/>
    <cellStyle name="40% - 强调文字颜色 1 4 17 5 2 5" xfId="9203" xr:uid="{00000000-0005-0000-0000-0000D6170000}"/>
    <cellStyle name="40% - 强调文字颜色 1 4 17 5 2 6" xfId="15456" xr:uid="{00000000-0005-0000-0000-0000D7170000}"/>
    <cellStyle name="40% - 强调文字颜色 1 4 17 5 2 7" xfId="15459" xr:uid="{00000000-0005-0000-0000-0000D8170000}"/>
    <cellStyle name="40% - 强调文字颜色 1 4 17 5 2 8" xfId="15461" xr:uid="{00000000-0005-0000-0000-0000D9170000}"/>
    <cellStyle name="40% - 强调文字颜色 1 4 17 5 3" xfId="15462" xr:uid="{00000000-0005-0000-0000-0000DA170000}"/>
    <cellStyle name="40% - 强调文字颜色 1 4 17 5 4" xfId="12876" xr:uid="{00000000-0005-0000-0000-0000DB170000}"/>
    <cellStyle name="40% - 强调文字颜色 1 4 17 5 5" xfId="12889" xr:uid="{00000000-0005-0000-0000-0000DC170000}"/>
    <cellStyle name="40% - 强调文字颜色 1 4 17 5 6" xfId="12892" xr:uid="{00000000-0005-0000-0000-0000DD170000}"/>
    <cellStyle name="40% - 强调文字颜色 1 4 17 5 6 2" xfId="14119" xr:uid="{00000000-0005-0000-0000-0000DE170000}"/>
    <cellStyle name="40% - 强调文字颜色 1 4 17 5 6 3" xfId="14131" xr:uid="{00000000-0005-0000-0000-0000DF170000}"/>
    <cellStyle name="40% - 强调文字颜色 1 4 17 5 7" xfId="12895" xr:uid="{00000000-0005-0000-0000-0000E0170000}"/>
    <cellStyle name="40% - 强调文字颜色 1 4 17 5 8" xfId="12899" xr:uid="{00000000-0005-0000-0000-0000E1170000}"/>
    <cellStyle name="40% - 强调文字颜色 1 4 17 5 9" xfId="12905" xr:uid="{00000000-0005-0000-0000-0000E2170000}"/>
    <cellStyle name="40% - 强调文字颜色 1 4 17 6" xfId="8100" xr:uid="{00000000-0005-0000-0000-0000E3170000}"/>
    <cellStyle name="40% - 强调文字颜色 1 4 17 6 2" xfId="12045" xr:uid="{00000000-0005-0000-0000-0000E4170000}"/>
    <cellStyle name="40% - 强调文字颜色 1 4 17 6 2 2" xfId="1578" xr:uid="{00000000-0005-0000-0000-0000E5170000}"/>
    <cellStyle name="40% - 强调文字颜色 1 4 17 6 2 3" xfId="1593" xr:uid="{00000000-0005-0000-0000-0000E6170000}"/>
    <cellStyle name="40% - 强调文字颜色 1 4 17 6 3" xfId="12054" xr:uid="{00000000-0005-0000-0000-0000E7170000}"/>
    <cellStyle name="40% - 强调文字颜色 1 4 17 6 4" xfId="12058" xr:uid="{00000000-0005-0000-0000-0000E8170000}"/>
    <cellStyle name="40% - 强调文字颜色 1 4 17 6 5" xfId="12063" xr:uid="{00000000-0005-0000-0000-0000E9170000}"/>
    <cellStyle name="40% - 强调文字颜色 1 4 17 6 6" xfId="12069" xr:uid="{00000000-0005-0000-0000-0000EA170000}"/>
    <cellStyle name="40% - 强调文字颜色 1 4 17 6 7" xfId="12074" xr:uid="{00000000-0005-0000-0000-0000EB170000}"/>
    <cellStyle name="40% - 强调文字颜色 1 4 17 6 8" xfId="2441" xr:uid="{00000000-0005-0000-0000-0000EC170000}"/>
    <cellStyle name="40% - 强调文字颜色 1 4 17 7" xfId="6199" xr:uid="{00000000-0005-0000-0000-0000ED170000}"/>
    <cellStyle name="40% - 强调文字颜色 1 4 17 8" xfId="6208" xr:uid="{00000000-0005-0000-0000-0000EE170000}"/>
    <cellStyle name="40% - 强调文字颜色 1 4 17 9" xfId="12099" xr:uid="{00000000-0005-0000-0000-0000EF170000}"/>
    <cellStyle name="40% - 强调文字颜色 1 4 17 9 2" xfId="15464" xr:uid="{00000000-0005-0000-0000-0000F0170000}"/>
    <cellStyle name="40% - 强调文字颜色 1 4 17 9 3" xfId="15465" xr:uid="{00000000-0005-0000-0000-0000F1170000}"/>
    <cellStyle name="40% - 强调文字颜色 1 4 18" xfId="15467" xr:uid="{00000000-0005-0000-0000-0000F2170000}"/>
    <cellStyle name="40% - 强调文字颜色 1 4 18 10" xfId="10124" xr:uid="{00000000-0005-0000-0000-0000F3170000}"/>
    <cellStyle name="40% - 强调文字颜色 1 4 18 11" xfId="7374" xr:uid="{00000000-0005-0000-0000-0000F4170000}"/>
    <cellStyle name="40% - 强调文字颜色 1 4 18 12" xfId="7380" xr:uid="{00000000-0005-0000-0000-0000F5170000}"/>
    <cellStyle name="40% - 强调文字颜色 1 4 18 13" xfId="7386" xr:uid="{00000000-0005-0000-0000-0000F6170000}"/>
    <cellStyle name="40% - 强调文字颜色 1 4 18 14" xfId="763" xr:uid="{00000000-0005-0000-0000-0000F7170000}"/>
    <cellStyle name="40% - 强调文字颜色 1 4 18 2" xfId="15468" xr:uid="{00000000-0005-0000-0000-0000F8170000}"/>
    <cellStyle name="40% - 强调文字颜色 1 4 18 3" xfId="7559" xr:uid="{00000000-0005-0000-0000-0000F9170000}"/>
    <cellStyle name="40% - 强调文字颜色 1 4 18 4" xfId="7571" xr:uid="{00000000-0005-0000-0000-0000FA170000}"/>
    <cellStyle name="40% - 强调文字颜色 1 4 18 5" xfId="12114" xr:uid="{00000000-0005-0000-0000-0000FB170000}"/>
    <cellStyle name="40% - 强调文字颜色 1 4 18 5 10" xfId="6985" xr:uid="{00000000-0005-0000-0000-0000FC170000}"/>
    <cellStyle name="40% - 强调文字颜色 1 4 18 5 11" xfId="6992" xr:uid="{00000000-0005-0000-0000-0000FD170000}"/>
    <cellStyle name="40% - 强调文字颜色 1 4 18 5 2" xfId="11740" xr:uid="{00000000-0005-0000-0000-0000FE170000}"/>
    <cellStyle name="40% - 强调文字颜色 1 4 18 5 2 2" xfId="12299" xr:uid="{00000000-0005-0000-0000-0000FF170000}"/>
    <cellStyle name="40% - 强调文字颜色 1 4 18 5 2 2 2" xfId="15469" xr:uid="{00000000-0005-0000-0000-000000180000}"/>
    <cellStyle name="40% - 强调文字颜色 1 4 18 5 2 2 3" xfId="15471" xr:uid="{00000000-0005-0000-0000-000001180000}"/>
    <cellStyle name="40% - 强调文字颜色 1 4 18 5 2 3" xfId="12306" xr:uid="{00000000-0005-0000-0000-000002180000}"/>
    <cellStyle name="40% - 强调文字颜色 1 4 18 5 2 4" xfId="12310" xr:uid="{00000000-0005-0000-0000-000003180000}"/>
    <cellStyle name="40% - 强调文字颜色 1 4 18 5 2 5" xfId="15472" xr:uid="{00000000-0005-0000-0000-000004180000}"/>
    <cellStyle name="40% - 强调文字颜色 1 4 18 5 2 6" xfId="15474" xr:uid="{00000000-0005-0000-0000-000005180000}"/>
    <cellStyle name="40% - 强调文字颜色 1 4 18 5 2 7" xfId="15477" xr:uid="{00000000-0005-0000-0000-000006180000}"/>
    <cellStyle name="40% - 强调文字颜色 1 4 18 5 2 8" xfId="15480" xr:uid="{00000000-0005-0000-0000-000007180000}"/>
    <cellStyle name="40% - 强调文字颜色 1 4 18 5 3" xfId="15483" xr:uid="{00000000-0005-0000-0000-000008180000}"/>
    <cellStyle name="40% - 强调文字颜色 1 4 18 5 4" xfId="12970" xr:uid="{00000000-0005-0000-0000-000009180000}"/>
    <cellStyle name="40% - 强调文字颜色 1 4 18 5 5" xfId="678" xr:uid="{00000000-0005-0000-0000-00000A180000}"/>
    <cellStyle name="40% - 强调文字颜色 1 4 18 5 6" xfId="709" xr:uid="{00000000-0005-0000-0000-00000B180000}"/>
    <cellStyle name="40% - 强调文字颜色 1 4 18 5 6 2" xfId="2695" xr:uid="{00000000-0005-0000-0000-00000C180000}"/>
    <cellStyle name="40% - 强调文字颜色 1 4 18 5 6 3" xfId="1127" xr:uid="{00000000-0005-0000-0000-00000D180000}"/>
    <cellStyle name="40% - 强调文字颜色 1 4 18 5 7" xfId="12993" xr:uid="{00000000-0005-0000-0000-00000E180000}"/>
    <cellStyle name="40% - 强调文字颜色 1 4 18 5 8" xfId="12999" xr:uid="{00000000-0005-0000-0000-00000F180000}"/>
    <cellStyle name="40% - 强调文字颜色 1 4 18 5 9" xfId="13019" xr:uid="{00000000-0005-0000-0000-000010180000}"/>
    <cellStyle name="40% - 强调文字颜色 1 4 18 6" xfId="12118" xr:uid="{00000000-0005-0000-0000-000011180000}"/>
    <cellStyle name="40% - 强调文字颜色 1 4 18 6 2" xfId="12123" xr:uid="{00000000-0005-0000-0000-000012180000}"/>
    <cellStyle name="40% - 强调文字颜色 1 4 18 6 2 2" xfId="10325" xr:uid="{00000000-0005-0000-0000-000013180000}"/>
    <cellStyle name="40% - 强调文字颜色 1 4 18 6 2 3" xfId="10332" xr:uid="{00000000-0005-0000-0000-000014180000}"/>
    <cellStyle name="40% - 强调文字颜色 1 4 18 6 3" xfId="12145" xr:uid="{00000000-0005-0000-0000-000015180000}"/>
    <cellStyle name="40% - 强调文字颜色 1 4 18 6 4" xfId="12152" xr:uid="{00000000-0005-0000-0000-000016180000}"/>
    <cellStyle name="40% - 强调文字颜色 1 4 18 6 5" xfId="12159" xr:uid="{00000000-0005-0000-0000-000017180000}"/>
    <cellStyle name="40% - 强调文字颜色 1 4 18 6 6" xfId="12167" xr:uid="{00000000-0005-0000-0000-000018180000}"/>
    <cellStyle name="40% - 强调文字颜色 1 4 18 6 7" xfId="12176" xr:uid="{00000000-0005-0000-0000-000019180000}"/>
    <cellStyle name="40% - 强调文字颜色 1 4 18 6 8" xfId="12183" xr:uid="{00000000-0005-0000-0000-00001A180000}"/>
    <cellStyle name="40% - 强调文字颜色 1 4 18 7" xfId="12195" xr:uid="{00000000-0005-0000-0000-00001B180000}"/>
    <cellStyle name="40% - 强调文字颜色 1 4 18 8" xfId="12198" xr:uid="{00000000-0005-0000-0000-00001C180000}"/>
    <cellStyle name="40% - 强调文字颜色 1 4 18 9" xfId="12202" xr:uid="{00000000-0005-0000-0000-00001D180000}"/>
    <cellStyle name="40% - 强调文字颜色 1 4 18 9 2" xfId="15485" xr:uid="{00000000-0005-0000-0000-00001E180000}"/>
    <cellStyle name="40% - 强调文字颜色 1 4 18 9 3" xfId="15490" xr:uid="{00000000-0005-0000-0000-00001F180000}"/>
    <cellStyle name="40% - 强调文字颜色 1 4 19" xfId="15493" xr:uid="{00000000-0005-0000-0000-000020180000}"/>
    <cellStyle name="40% - 强调文字颜色 1 4 19 10" xfId="5073" xr:uid="{00000000-0005-0000-0000-000021180000}"/>
    <cellStyle name="40% - 强调文字颜色 1 4 19 11" xfId="15494" xr:uid="{00000000-0005-0000-0000-000022180000}"/>
    <cellStyle name="40% - 强调文字颜色 1 4 19 12" xfId="4837" xr:uid="{00000000-0005-0000-0000-000023180000}"/>
    <cellStyle name="40% - 强调文字颜色 1 4 19 13" xfId="4842" xr:uid="{00000000-0005-0000-0000-000024180000}"/>
    <cellStyle name="40% - 强调文字颜色 1 4 19 14" xfId="15497" xr:uid="{00000000-0005-0000-0000-000025180000}"/>
    <cellStyle name="40% - 强调文字颜色 1 4 19 2" xfId="15502" xr:uid="{00000000-0005-0000-0000-000026180000}"/>
    <cellStyle name="40% - 强调文字颜色 1 4 19 3" xfId="15505" xr:uid="{00000000-0005-0000-0000-000027180000}"/>
    <cellStyle name="40% - 强调文字颜色 1 4 19 4" xfId="15510" xr:uid="{00000000-0005-0000-0000-000028180000}"/>
    <cellStyle name="40% - 强调文字颜色 1 4 19 5" xfId="15515" xr:uid="{00000000-0005-0000-0000-000029180000}"/>
    <cellStyle name="40% - 强调文字颜色 1 4 19 5 10" xfId="8828" xr:uid="{00000000-0005-0000-0000-00002A180000}"/>
    <cellStyle name="40% - 强调文字颜色 1 4 19 5 11" xfId="8836" xr:uid="{00000000-0005-0000-0000-00002B180000}"/>
    <cellStyle name="40% - 强调文字颜色 1 4 19 5 2" xfId="15516" xr:uid="{00000000-0005-0000-0000-00002C180000}"/>
    <cellStyle name="40% - 强调文字颜色 1 4 19 5 2 2" xfId="12560" xr:uid="{00000000-0005-0000-0000-00002D180000}"/>
    <cellStyle name="40% - 强调文字颜色 1 4 19 5 2 2 2" xfId="422" xr:uid="{00000000-0005-0000-0000-00002E180000}"/>
    <cellStyle name="40% - 强调文字颜色 1 4 19 5 2 2 3" xfId="15519" xr:uid="{00000000-0005-0000-0000-00002F180000}"/>
    <cellStyle name="40% - 强调文字颜色 1 4 19 5 2 3" xfId="15522" xr:uid="{00000000-0005-0000-0000-000030180000}"/>
    <cellStyle name="40% - 强调文字颜色 1 4 19 5 2 4" xfId="15526" xr:uid="{00000000-0005-0000-0000-000031180000}"/>
    <cellStyle name="40% - 强调文字颜色 1 4 19 5 2 5" xfId="15529" xr:uid="{00000000-0005-0000-0000-000032180000}"/>
    <cellStyle name="40% - 强调文字颜色 1 4 19 5 2 6" xfId="15530" xr:uid="{00000000-0005-0000-0000-000033180000}"/>
    <cellStyle name="40% - 强调文字颜色 1 4 19 5 2 7" xfId="15532" xr:uid="{00000000-0005-0000-0000-000034180000}"/>
    <cellStyle name="40% - 强调文字颜色 1 4 19 5 2 8" xfId="15534" xr:uid="{00000000-0005-0000-0000-000035180000}"/>
    <cellStyle name="40% - 强调文字颜色 1 4 19 5 3" xfId="15538" xr:uid="{00000000-0005-0000-0000-000036180000}"/>
    <cellStyle name="40% - 强调文字颜色 1 4 19 5 4" xfId="13075" xr:uid="{00000000-0005-0000-0000-000037180000}"/>
    <cellStyle name="40% - 强调文字颜色 1 4 19 5 5" xfId="13100" xr:uid="{00000000-0005-0000-0000-000038180000}"/>
    <cellStyle name="40% - 强调文字颜色 1 4 19 5 6" xfId="13103" xr:uid="{00000000-0005-0000-0000-000039180000}"/>
    <cellStyle name="40% - 强调文字颜色 1 4 19 5 6 2" xfId="15541" xr:uid="{00000000-0005-0000-0000-00003A180000}"/>
    <cellStyle name="40% - 强调文字颜色 1 4 19 5 6 3" xfId="15545" xr:uid="{00000000-0005-0000-0000-00003B180000}"/>
    <cellStyle name="40% - 强调文字颜色 1 4 19 5 7" xfId="13107" xr:uid="{00000000-0005-0000-0000-00003C180000}"/>
    <cellStyle name="40% - 强调文字颜色 1 4 19 5 8" xfId="13110" xr:uid="{00000000-0005-0000-0000-00003D180000}"/>
    <cellStyle name="40% - 强调文字颜色 1 4 19 5 9" xfId="1246" xr:uid="{00000000-0005-0000-0000-00003E180000}"/>
    <cellStyle name="40% - 强调文字颜色 1 4 19 6" xfId="14600" xr:uid="{00000000-0005-0000-0000-00003F180000}"/>
    <cellStyle name="40% - 强调文字颜色 1 4 19 6 2" xfId="14602" xr:uid="{00000000-0005-0000-0000-000040180000}"/>
    <cellStyle name="40% - 强调文字颜色 1 4 19 6 2 2" xfId="11671" xr:uid="{00000000-0005-0000-0000-000041180000}"/>
    <cellStyle name="40% - 强调文字颜色 1 4 19 6 2 3" xfId="11677" xr:uid="{00000000-0005-0000-0000-000042180000}"/>
    <cellStyle name="40% - 强调文字颜色 1 4 19 6 3" xfId="14604" xr:uid="{00000000-0005-0000-0000-000043180000}"/>
    <cellStyle name="40% - 强调文字颜色 1 4 19 6 4" xfId="13121" xr:uid="{00000000-0005-0000-0000-000044180000}"/>
    <cellStyle name="40% - 强调文字颜色 1 4 19 6 5" xfId="13130" xr:uid="{00000000-0005-0000-0000-000045180000}"/>
    <cellStyle name="40% - 强调文字颜色 1 4 19 6 6" xfId="13135" xr:uid="{00000000-0005-0000-0000-000046180000}"/>
    <cellStyle name="40% - 强调文字颜色 1 4 19 6 7" xfId="13140" xr:uid="{00000000-0005-0000-0000-000047180000}"/>
    <cellStyle name="40% - 强调文字颜色 1 4 19 6 8" xfId="13145" xr:uid="{00000000-0005-0000-0000-000048180000}"/>
    <cellStyle name="40% - 强调文字颜色 1 4 19 7" xfId="14608" xr:uid="{00000000-0005-0000-0000-000049180000}"/>
    <cellStyle name="40% - 强调文字颜色 1 4 19 8" xfId="14612" xr:uid="{00000000-0005-0000-0000-00004A180000}"/>
    <cellStyle name="40% - 强调文字颜色 1 4 19 9" xfId="14616" xr:uid="{00000000-0005-0000-0000-00004B180000}"/>
    <cellStyle name="40% - 强调文字颜色 1 4 19 9 2" xfId="15546" xr:uid="{00000000-0005-0000-0000-00004C180000}"/>
    <cellStyle name="40% - 强调文字颜色 1 4 19 9 3" xfId="15215" xr:uid="{00000000-0005-0000-0000-00004D180000}"/>
    <cellStyle name="40% - 强调文字颜色 1 4 2" xfId="15548" xr:uid="{00000000-0005-0000-0000-00004E180000}"/>
    <cellStyle name="40% - 强调文字颜色 1 4 20" xfId="15442" xr:uid="{00000000-0005-0000-0000-00004F180000}"/>
    <cellStyle name="40% - 强调文字颜色 1 4 20 10" xfId="12575" xr:uid="{00000000-0005-0000-0000-000050180000}"/>
    <cellStyle name="40% - 强调文字颜色 1 4 20 11" xfId="12580" xr:uid="{00000000-0005-0000-0000-000051180000}"/>
    <cellStyle name="40% - 强调文字颜色 1 4 20 12" xfId="10874" xr:uid="{00000000-0005-0000-0000-000052180000}"/>
    <cellStyle name="40% - 强调文字颜色 1 4 20 13" xfId="11042" xr:uid="{00000000-0005-0000-0000-000053180000}"/>
    <cellStyle name="40% - 强调文字颜色 1 4 20 14" xfId="11054" xr:uid="{00000000-0005-0000-0000-000054180000}"/>
    <cellStyle name="40% - 强调文字颜色 1 4 20 2" xfId="15305" xr:uid="{00000000-0005-0000-0000-000055180000}"/>
    <cellStyle name="40% - 强调文字颜色 1 4 20 3" xfId="15550" xr:uid="{00000000-0005-0000-0000-000056180000}"/>
    <cellStyle name="40% - 强调文字颜色 1 4 20 4" xfId="15552" xr:uid="{00000000-0005-0000-0000-000057180000}"/>
    <cellStyle name="40% - 强调文字颜色 1 4 20 5" xfId="15554" xr:uid="{00000000-0005-0000-0000-000058180000}"/>
    <cellStyle name="40% - 强调文字颜色 1 4 20 5 10" xfId="3695" xr:uid="{00000000-0005-0000-0000-000059180000}"/>
    <cellStyle name="40% - 强调文字颜色 1 4 20 5 11" xfId="3699" xr:uid="{00000000-0005-0000-0000-00005A180000}"/>
    <cellStyle name="40% - 强调文字颜色 1 4 20 5 2" xfId="15556" xr:uid="{00000000-0005-0000-0000-00005B180000}"/>
    <cellStyle name="40% - 强调文字颜色 1 4 20 5 2 2" xfId="7226" xr:uid="{00000000-0005-0000-0000-00005C180000}"/>
    <cellStyle name="40% - 强调文字颜色 1 4 20 5 2 2 2" xfId="4532" xr:uid="{00000000-0005-0000-0000-00005D180000}"/>
    <cellStyle name="40% - 强调文字颜色 1 4 20 5 2 2 3" xfId="4542" xr:uid="{00000000-0005-0000-0000-00005E180000}"/>
    <cellStyle name="40% - 强调文字颜色 1 4 20 5 2 3" xfId="7231" xr:uid="{00000000-0005-0000-0000-00005F180000}"/>
    <cellStyle name="40% - 强调文字颜色 1 4 20 5 2 4" xfId="7240" xr:uid="{00000000-0005-0000-0000-000060180000}"/>
    <cellStyle name="40% - 强调文字颜色 1 4 20 5 2 5" xfId="7251" xr:uid="{00000000-0005-0000-0000-000061180000}"/>
    <cellStyle name="40% - 强调文字颜色 1 4 20 5 2 6" xfId="15124" xr:uid="{00000000-0005-0000-0000-000062180000}"/>
    <cellStyle name="40% - 强调文字颜色 1 4 20 5 2 7" xfId="15128" xr:uid="{00000000-0005-0000-0000-000063180000}"/>
    <cellStyle name="40% - 强调文字颜色 1 4 20 5 2 8" xfId="15132" xr:uid="{00000000-0005-0000-0000-000064180000}"/>
    <cellStyle name="40% - 强调文字颜色 1 4 20 5 3" xfId="15558" xr:uid="{00000000-0005-0000-0000-000065180000}"/>
    <cellStyle name="40% - 强调文字颜色 1 4 20 5 4" xfId="13157" xr:uid="{00000000-0005-0000-0000-000066180000}"/>
    <cellStyle name="40% - 强调文字颜色 1 4 20 5 5" xfId="13185" xr:uid="{00000000-0005-0000-0000-000067180000}"/>
    <cellStyle name="40% - 强调文字颜色 1 4 20 5 6" xfId="13188" xr:uid="{00000000-0005-0000-0000-000068180000}"/>
    <cellStyle name="40% - 强调文字颜色 1 4 20 5 6 2" xfId="7555" xr:uid="{00000000-0005-0000-0000-000069180000}"/>
    <cellStyle name="40% - 强调文字颜色 1 4 20 5 6 3" xfId="7560" xr:uid="{00000000-0005-0000-0000-00006A180000}"/>
    <cellStyle name="40% - 强调文字颜色 1 4 20 5 7" xfId="13191" xr:uid="{00000000-0005-0000-0000-00006B180000}"/>
    <cellStyle name="40% - 强调文字颜色 1 4 20 5 8" xfId="9679" xr:uid="{00000000-0005-0000-0000-00006C180000}"/>
    <cellStyle name="40% - 强调文字颜色 1 4 20 5 9" xfId="9684" xr:uid="{00000000-0005-0000-0000-00006D180000}"/>
    <cellStyle name="40% - 强调文字颜色 1 4 20 6" xfId="15561" xr:uid="{00000000-0005-0000-0000-00006E180000}"/>
    <cellStyle name="40% - 强调文字颜色 1 4 20 6 2" xfId="15563" xr:uid="{00000000-0005-0000-0000-00006F180000}"/>
    <cellStyle name="40% - 强调文字颜色 1 4 20 6 2 2" xfId="771" xr:uid="{00000000-0005-0000-0000-000070180000}"/>
    <cellStyle name="40% - 强调文字颜色 1 4 20 6 2 3" xfId="778" xr:uid="{00000000-0005-0000-0000-000071180000}"/>
    <cellStyle name="40% - 强调文字颜色 1 4 20 6 3" xfId="15566" xr:uid="{00000000-0005-0000-0000-000072180000}"/>
    <cellStyle name="40% - 强调文字颜色 1 4 20 6 4" xfId="13206" xr:uid="{00000000-0005-0000-0000-000073180000}"/>
    <cellStyle name="40% - 强调文字颜色 1 4 20 6 5" xfId="13228" xr:uid="{00000000-0005-0000-0000-000074180000}"/>
    <cellStyle name="40% - 强调文字颜色 1 4 20 6 6" xfId="13232" xr:uid="{00000000-0005-0000-0000-000075180000}"/>
    <cellStyle name="40% - 强调文字颜色 1 4 20 6 7" xfId="13238" xr:uid="{00000000-0005-0000-0000-000076180000}"/>
    <cellStyle name="40% - 强调文字颜色 1 4 20 6 8" xfId="13242" xr:uid="{00000000-0005-0000-0000-000077180000}"/>
    <cellStyle name="40% - 强调文字颜色 1 4 20 7" xfId="7529" xr:uid="{00000000-0005-0000-0000-000078180000}"/>
    <cellStyle name="40% - 强调文字颜色 1 4 20 8" xfId="5664" xr:uid="{00000000-0005-0000-0000-000079180000}"/>
    <cellStyle name="40% - 强调文字颜色 1 4 20 9" xfId="15571" xr:uid="{00000000-0005-0000-0000-00007A180000}"/>
    <cellStyle name="40% - 强调文字颜色 1 4 20 9 2" xfId="9470" xr:uid="{00000000-0005-0000-0000-00007B180000}"/>
    <cellStyle name="40% - 强调文字颜色 1 4 20 9 3" xfId="9473" xr:uid="{00000000-0005-0000-0000-00007C180000}"/>
    <cellStyle name="40% - 强调文字颜色 1 4 3" xfId="15573" xr:uid="{00000000-0005-0000-0000-00007D180000}"/>
    <cellStyle name="40% - 强调文字颜色 1 4 4" xfId="15580" xr:uid="{00000000-0005-0000-0000-00007E180000}"/>
    <cellStyle name="40% - 强调文字颜色 1 4 5" xfId="15585" xr:uid="{00000000-0005-0000-0000-00007F180000}"/>
    <cellStyle name="40% - 强调文字颜色 1 4 6" xfId="15588" xr:uid="{00000000-0005-0000-0000-000080180000}"/>
    <cellStyle name="40% - 强调文字颜色 1 4 7" xfId="15591" xr:uid="{00000000-0005-0000-0000-000081180000}"/>
    <cellStyle name="40% - 强调文字颜色 1 4 8" xfId="15595" xr:uid="{00000000-0005-0000-0000-000082180000}"/>
    <cellStyle name="40% - 强调文字颜色 1 4 9" xfId="15599" xr:uid="{00000000-0005-0000-0000-000083180000}"/>
    <cellStyle name="40% - 强调文字颜色 1 5" xfId="7883" xr:uid="{00000000-0005-0000-0000-000084180000}"/>
    <cellStyle name="40% - 强调文字颜色 1 5 10" xfId="11214" xr:uid="{00000000-0005-0000-0000-000085180000}"/>
    <cellStyle name="40% - 强调文字颜色 1 5 11" xfId="11218" xr:uid="{00000000-0005-0000-0000-000086180000}"/>
    <cellStyle name="40% - 强调文字颜色 1 5 12" xfId="13270" xr:uid="{00000000-0005-0000-0000-000087180000}"/>
    <cellStyle name="40% - 强调文字颜色 1 5 13" xfId="13275" xr:uid="{00000000-0005-0000-0000-000088180000}"/>
    <cellStyle name="40% - 强调文字颜色 1 5 14" xfId="10454" xr:uid="{00000000-0005-0000-0000-000089180000}"/>
    <cellStyle name="40% - 强调文字颜色 1 5 2" xfId="15604" xr:uid="{00000000-0005-0000-0000-00008A180000}"/>
    <cellStyle name="40% - 强调文字颜色 1 5 3" xfId="15608" xr:uid="{00000000-0005-0000-0000-00008B180000}"/>
    <cellStyle name="40% - 强调文字颜色 1 5 4" xfId="15613" xr:uid="{00000000-0005-0000-0000-00008C180000}"/>
    <cellStyle name="40% - 强调文字颜色 1 5 5" xfId="15618" xr:uid="{00000000-0005-0000-0000-00008D180000}"/>
    <cellStyle name="40% - 强调文字颜色 1 5 6" xfId="2635" xr:uid="{00000000-0005-0000-0000-00008E180000}"/>
    <cellStyle name="40% - 强调文字颜色 1 5 7" xfId="9730" xr:uid="{00000000-0005-0000-0000-00008F180000}"/>
    <cellStyle name="40% - 强调文字颜色 1 5 8" xfId="15622" xr:uid="{00000000-0005-0000-0000-000090180000}"/>
    <cellStyle name="40% - 强调文字颜色 1 5 9" xfId="15626" xr:uid="{00000000-0005-0000-0000-000091180000}"/>
    <cellStyle name="40% - 强调文字颜色 1 6" xfId="15629" xr:uid="{00000000-0005-0000-0000-000092180000}"/>
    <cellStyle name="40% - 强调文字颜色 1 6 10" xfId="11323" xr:uid="{00000000-0005-0000-0000-000093180000}"/>
    <cellStyle name="40% - 强调文字颜色 1 6 11" xfId="11328" xr:uid="{00000000-0005-0000-0000-000094180000}"/>
    <cellStyle name="40% - 强调文字颜色 1 6 12" xfId="15630" xr:uid="{00000000-0005-0000-0000-000095180000}"/>
    <cellStyle name="40% - 强调文字颜色 1 6 13" xfId="15631" xr:uid="{00000000-0005-0000-0000-000096180000}"/>
    <cellStyle name="40% - 强调文字颜色 1 6 14" xfId="15632" xr:uid="{00000000-0005-0000-0000-000097180000}"/>
    <cellStyle name="40% - 强调文字颜色 1 6 2" xfId="15634" xr:uid="{00000000-0005-0000-0000-000098180000}"/>
    <cellStyle name="40% - 强调文字颜色 1 6 3" xfId="15639" xr:uid="{00000000-0005-0000-0000-000099180000}"/>
    <cellStyle name="40% - 强调文字颜色 1 6 4" xfId="15644" xr:uid="{00000000-0005-0000-0000-00009A180000}"/>
    <cellStyle name="40% - 强调文字颜色 1 6 5" xfId="15650" xr:uid="{00000000-0005-0000-0000-00009B180000}"/>
    <cellStyle name="40% - 强调文字颜色 1 6 6" xfId="15655" xr:uid="{00000000-0005-0000-0000-00009C180000}"/>
    <cellStyle name="40% - 强调文字颜色 1 6 7" xfId="15661" xr:uid="{00000000-0005-0000-0000-00009D180000}"/>
    <cellStyle name="40% - 强调文字颜色 1 6 8" xfId="10884" xr:uid="{00000000-0005-0000-0000-00009E180000}"/>
    <cellStyle name="40% - 强调文字颜色 1 6 9" xfId="10894" xr:uid="{00000000-0005-0000-0000-00009F180000}"/>
    <cellStyle name="40% - 强调文字颜色 1 7" xfId="15663" xr:uid="{00000000-0005-0000-0000-0000A0180000}"/>
    <cellStyle name="40% - 强调文字颜色 1 8" xfId="15665" xr:uid="{00000000-0005-0000-0000-0000A1180000}"/>
    <cellStyle name="40% - 强调文字颜色 1 9" xfId="15670" xr:uid="{00000000-0005-0000-0000-0000A2180000}"/>
    <cellStyle name="40% - 强调文字颜色 2 10" xfId="15671" xr:uid="{00000000-0005-0000-0000-0000A3180000}"/>
    <cellStyle name="40% - 强调文字颜色 2 11" xfId="693" xr:uid="{00000000-0005-0000-0000-0000A4180000}"/>
    <cellStyle name="40% - 强调文字颜色 2 12" xfId="726" xr:uid="{00000000-0005-0000-0000-0000A5180000}"/>
    <cellStyle name="40% - 强调文字颜色 2 12 10" xfId="15673" xr:uid="{00000000-0005-0000-0000-0000A6180000}"/>
    <cellStyle name="40% - 强调文字颜色 2 12 11" xfId="15675" xr:uid="{00000000-0005-0000-0000-0000A7180000}"/>
    <cellStyle name="40% - 强调文字颜色 2 12 12" xfId="15677" xr:uid="{00000000-0005-0000-0000-0000A8180000}"/>
    <cellStyle name="40% - 强调文字颜色 2 12 13" xfId="15679" xr:uid="{00000000-0005-0000-0000-0000A9180000}"/>
    <cellStyle name="40% - 强调文字颜色 2 12 14" xfId="15681" xr:uid="{00000000-0005-0000-0000-0000AA180000}"/>
    <cellStyle name="40% - 强调文字颜色 2 12 2" xfId="15682" xr:uid="{00000000-0005-0000-0000-0000AB180000}"/>
    <cellStyle name="40% - 强调文字颜色 2 12 3" xfId="15684" xr:uid="{00000000-0005-0000-0000-0000AC180000}"/>
    <cellStyle name="40% - 强调文字颜色 2 12 4" xfId="15686" xr:uid="{00000000-0005-0000-0000-0000AD180000}"/>
    <cellStyle name="40% - 强调文字颜色 2 12 5" xfId="15688" xr:uid="{00000000-0005-0000-0000-0000AE180000}"/>
    <cellStyle name="40% - 强调文字颜色 2 12 5 10" xfId="15690" xr:uid="{00000000-0005-0000-0000-0000AF180000}"/>
    <cellStyle name="40% - 强调文字颜色 2 12 5 11" xfId="15692" xr:uid="{00000000-0005-0000-0000-0000B0180000}"/>
    <cellStyle name="40% - 强调文字颜色 2 12 5 2" xfId="6739" xr:uid="{00000000-0005-0000-0000-0000B1180000}"/>
    <cellStyle name="40% - 强调文字颜色 2 12 5 2 2" xfId="8035" xr:uid="{00000000-0005-0000-0000-0000B2180000}"/>
    <cellStyle name="40% - 强调文字颜色 2 12 5 2 2 2" xfId="7580" xr:uid="{00000000-0005-0000-0000-0000B3180000}"/>
    <cellStyle name="40% - 强调文字颜色 2 12 5 2 2 3" xfId="7394" xr:uid="{00000000-0005-0000-0000-0000B4180000}"/>
    <cellStyle name="40% - 强调文字颜色 2 12 5 2 3" xfId="8040" xr:uid="{00000000-0005-0000-0000-0000B5180000}"/>
    <cellStyle name="40% - 强调文字颜色 2 12 5 2 4" xfId="8046" xr:uid="{00000000-0005-0000-0000-0000B6180000}"/>
    <cellStyle name="40% - 强调文字颜色 2 12 5 2 5" xfId="8053" xr:uid="{00000000-0005-0000-0000-0000B7180000}"/>
    <cellStyle name="40% - 强调文字颜色 2 12 5 2 6" xfId="9880" xr:uid="{00000000-0005-0000-0000-0000B8180000}"/>
    <cellStyle name="40% - 强调文字颜色 2 12 5 2 7" xfId="8775" xr:uid="{00000000-0005-0000-0000-0000B9180000}"/>
    <cellStyle name="40% - 强调文字颜色 2 12 5 2 8" xfId="8784" xr:uid="{00000000-0005-0000-0000-0000BA180000}"/>
    <cellStyle name="40% - 强调文字颜色 2 12 5 3" xfId="6748" xr:uid="{00000000-0005-0000-0000-0000BB180000}"/>
    <cellStyle name="40% - 强调文字颜色 2 12 5 4" xfId="6760" xr:uid="{00000000-0005-0000-0000-0000BC180000}"/>
    <cellStyle name="40% - 强调文字颜色 2 12 5 5" xfId="15695" xr:uid="{00000000-0005-0000-0000-0000BD180000}"/>
    <cellStyle name="40% - 强调文字颜色 2 12 5 6" xfId="15700" xr:uid="{00000000-0005-0000-0000-0000BE180000}"/>
    <cellStyle name="40% - 强调文字颜色 2 12 5 6 2" xfId="3062" xr:uid="{00000000-0005-0000-0000-0000BF180000}"/>
    <cellStyle name="40% - 强调文字颜色 2 12 5 6 3" xfId="3076" xr:uid="{00000000-0005-0000-0000-0000C0180000}"/>
    <cellStyle name="40% - 强调文字颜色 2 12 5 7" xfId="15705" xr:uid="{00000000-0005-0000-0000-0000C1180000}"/>
    <cellStyle name="40% - 强调文字颜色 2 12 5 8" xfId="15709" xr:uid="{00000000-0005-0000-0000-0000C2180000}"/>
    <cellStyle name="40% - 强调文字颜色 2 12 5 9" xfId="15713" xr:uid="{00000000-0005-0000-0000-0000C3180000}"/>
    <cellStyle name="40% - 强调文字颜色 2 12 6" xfId="15717" xr:uid="{00000000-0005-0000-0000-0000C4180000}"/>
    <cellStyle name="40% - 强调文字颜色 2 12 6 2" xfId="7562" xr:uid="{00000000-0005-0000-0000-0000C5180000}"/>
    <cellStyle name="40% - 强调文字颜色 2 12 6 2 2" xfId="15719" xr:uid="{00000000-0005-0000-0000-0000C6180000}"/>
    <cellStyle name="40% - 强调文字颜色 2 12 6 2 3" xfId="15722" xr:uid="{00000000-0005-0000-0000-0000C7180000}"/>
    <cellStyle name="40% - 强调文字颜色 2 12 6 3" xfId="7572" xr:uid="{00000000-0005-0000-0000-0000C8180000}"/>
    <cellStyle name="40% - 强调文字颜色 2 12 6 4" xfId="15724" xr:uid="{00000000-0005-0000-0000-0000C9180000}"/>
    <cellStyle name="40% - 强调文字颜色 2 12 6 5" xfId="15727" xr:uid="{00000000-0005-0000-0000-0000CA180000}"/>
    <cellStyle name="40% - 强调文字颜色 2 12 6 6" xfId="15730" xr:uid="{00000000-0005-0000-0000-0000CB180000}"/>
    <cellStyle name="40% - 强调文字颜色 2 12 6 7" xfId="15733" xr:uid="{00000000-0005-0000-0000-0000CC180000}"/>
    <cellStyle name="40% - 强调文字颜色 2 12 6 8" xfId="15736" xr:uid="{00000000-0005-0000-0000-0000CD180000}"/>
    <cellStyle name="40% - 强调文字颜色 2 12 7" xfId="15739" xr:uid="{00000000-0005-0000-0000-0000CE180000}"/>
    <cellStyle name="40% - 强调文字颜色 2 12 8" xfId="15741" xr:uid="{00000000-0005-0000-0000-0000CF180000}"/>
    <cellStyle name="40% - 强调文字颜色 2 12 9" xfId="15746" xr:uid="{00000000-0005-0000-0000-0000D0180000}"/>
    <cellStyle name="40% - 强调文字颜色 2 12 9 2" xfId="13009" xr:uid="{00000000-0005-0000-0000-0000D1180000}"/>
    <cellStyle name="40% - 强调文字颜色 2 12 9 3" xfId="13022" xr:uid="{00000000-0005-0000-0000-0000D2180000}"/>
    <cellStyle name="40% - 强调文字颜色 2 13" xfId="751" xr:uid="{00000000-0005-0000-0000-0000D3180000}"/>
    <cellStyle name="40% - 强调文字颜色 2 14" xfId="1277" xr:uid="{00000000-0005-0000-0000-0000D4180000}"/>
    <cellStyle name="40% - 强调文字颜色 2 15" xfId="1291" xr:uid="{00000000-0005-0000-0000-0000D5180000}"/>
    <cellStyle name="40% - 强调文字颜色 2 16" xfId="1301" xr:uid="{00000000-0005-0000-0000-0000D6180000}"/>
    <cellStyle name="40% - 强调文字颜色 2 16 10" xfId="10614" xr:uid="{00000000-0005-0000-0000-0000D7180000}"/>
    <cellStyle name="40% - 强调文字颜色 2 16 11" xfId="15364" xr:uid="{00000000-0005-0000-0000-0000D8180000}"/>
    <cellStyle name="40% - 强调文字颜色 2 16 12" xfId="15374" xr:uid="{00000000-0005-0000-0000-0000D9180000}"/>
    <cellStyle name="40% - 强调文字颜色 2 16 13" xfId="4138" xr:uid="{00000000-0005-0000-0000-0000DA180000}"/>
    <cellStyle name="40% - 强调文字颜色 2 16 14" xfId="4204" xr:uid="{00000000-0005-0000-0000-0000DB180000}"/>
    <cellStyle name="40% - 强调文字颜色 2 16 2" xfId="15749" xr:uid="{00000000-0005-0000-0000-0000DC180000}"/>
    <cellStyle name="40% - 强调文字颜色 2 16 3" xfId="15750" xr:uid="{00000000-0005-0000-0000-0000DD180000}"/>
    <cellStyle name="40% - 强调文字颜色 2 16 4" xfId="15751" xr:uid="{00000000-0005-0000-0000-0000DE180000}"/>
    <cellStyle name="40% - 强调文字颜色 2 16 5" xfId="15753" xr:uid="{00000000-0005-0000-0000-0000DF180000}"/>
    <cellStyle name="40% - 强调文字颜色 2 16 5 10" xfId="15756" xr:uid="{00000000-0005-0000-0000-0000E0180000}"/>
    <cellStyle name="40% - 强调文字颜色 2 16 5 11" xfId="15758" xr:uid="{00000000-0005-0000-0000-0000E1180000}"/>
    <cellStyle name="40% - 强调文字颜色 2 16 5 2" xfId="3321" xr:uid="{00000000-0005-0000-0000-0000E2180000}"/>
    <cellStyle name="40% - 强调文字颜色 2 16 5 2 2" xfId="15761" xr:uid="{00000000-0005-0000-0000-0000E3180000}"/>
    <cellStyle name="40% - 强调文字颜色 2 16 5 2 2 2" xfId="15767" xr:uid="{00000000-0005-0000-0000-0000E4180000}"/>
    <cellStyle name="40% - 强调文字颜色 2 16 5 2 2 3" xfId="12918" xr:uid="{00000000-0005-0000-0000-0000E5180000}"/>
    <cellStyle name="40% - 强调文字颜色 2 16 5 2 3" xfId="15770" xr:uid="{00000000-0005-0000-0000-0000E6180000}"/>
    <cellStyle name="40% - 强调文字颜色 2 16 5 2 4" xfId="13418" xr:uid="{00000000-0005-0000-0000-0000E7180000}"/>
    <cellStyle name="40% - 强调文字颜色 2 16 5 2 5" xfId="7091" xr:uid="{00000000-0005-0000-0000-0000E8180000}"/>
    <cellStyle name="40% - 强调文字颜色 2 16 5 2 6" xfId="7286" xr:uid="{00000000-0005-0000-0000-0000E9180000}"/>
    <cellStyle name="40% - 强调文字颜色 2 16 5 2 7" xfId="7366" xr:uid="{00000000-0005-0000-0000-0000EA180000}"/>
    <cellStyle name="40% - 强调文字颜色 2 16 5 2 8" xfId="7435" xr:uid="{00000000-0005-0000-0000-0000EB180000}"/>
    <cellStyle name="40% - 强调文字颜色 2 16 5 3" xfId="3331" xr:uid="{00000000-0005-0000-0000-0000EC180000}"/>
    <cellStyle name="40% - 强调文字颜色 2 16 5 4" xfId="3344" xr:uid="{00000000-0005-0000-0000-0000ED180000}"/>
    <cellStyle name="40% - 强调文字颜色 2 16 5 5" xfId="3357" xr:uid="{00000000-0005-0000-0000-0000EE180000}"/>
    <cellStyle name="40% - 强调文字颜色 2 16 5 6" xfId="3372" xr:uid="{00000000-0005-0000-0000-0000EF180000}"/>
    <cellStyle name="40% - 强调文字颜色 2 16 5 6 2" xfId="15404" xr:uid="{00000000-0005-0000-0000-0000F0180000}"/>
    <cellStyle name="40% - 强调文字颜色 2 16 5 6 3" xfId="15407" xr:uid="{00000000-0005-0000-0000-0000F1180000}"/>
    <cellStyle name="40% - 强调文字颜色 2 16 5 7" xfId="15773" xr:uid="{00000000-0005-0000-0000-0000F2180000}"/>
    <cellStyle name="40% - 强调文字颜色 2 16 5 8" xfId="15775" xr:uid="{00000000-0005-0000-0000-0000F3180000}"/>
    <cellStyle name="40% - 强调文字颜色 2 16 5 9" xfId="15778" xr:uid="{00000000-0005-0000-0000-0000F4180000}"/>
    <cellStyle name="40% - 强调文字颜色 2 16 6" xfId="15780" xr:uid="{00000000-0005-0000-0000-0000F5180000}"/>
    <cellStyle name="40% - 强调文字颜色 2 16 6 2" xfId="15781" xr:uid="{00000000-0005-0000-0000-0000F6180000}"/>
    <cellStyle name="40% - 强调文字颜色 2 16 6 2 2" xfId="15783" xr:uid="{00000000-0005-0000-0000-0000F7180000}"/>
    <cellStyle name="40% - 强调文字颜色 2 16 6 2 3" xfId="15785" xr:uid="{00000000-0005-0000-0000-0000F8180000}"/>
    <cellStyle name="40% - 强调文字颜色 2 16 6 3" xfId="15787" xr:uid="{00000000-0005-0000-0000-0000F9180000}"/>
    <cellStyle name="40% - 强调文字颜色 2 16 6 4" xfId="15789" xr:uid="{00000000-0005-0000-0000-0000FA180000}"/>
    <cellStyle name="40% - 强调文字颜色 2 16 6 5" xfId="15791" xr:uid="{00000000-0005-0000-0000-0000FB180000}"/>
    <cellStyle name="40% - 强调文字颜色 2 16 6 6" xfId="15794" xr:uid="{00000000-0005-0000-0000-0000FC180000}"/>
    <cellStyle name="40% - 强调文字颜色 2 16 6 7" xfId="15797" xr:uid="{00000000-0005-0000-0000-0000FD180000}"/>
    <cellStyle name="40% - 强调文字颜色 2 16 6 8" xfId="15799" xr:uid="{00000000-0005-0000-0000-0000FE180000}"/>
    <cellStyle name="40% - 强调文字颜色 2 16 7" xfId="15800" xr:uid="{00000000-0005-0000-0000-0000FF180000}"/>
    <cellStyle name="40% - 强调文字颜色 2 16 8" xfId="15801" xr:uid="{00000000-0005-0000-0000-000000190000}"/>
    <cellStyle name="40% - 强调文字颜色 2 16 9" xfId="15804" xr:uid="{00000000-0005-0000-0000-000001190000}"/>
    <cellStyle name="40% - 强调文字颜色 2 16 9 2" xfId="15807" xr:uid="{00000000-0005-0000-0000-000002190000}"/>
    <cellStyle name="40% - 强调文字颜色 2 16 9 3" xfId="15810" xr:uid="{00000000-0005-0000-0000-000003190000}"/>
    <cellStyle name="40% - 强调文字颜色 2 17" xfId="1311" xr:uid="{00000000-0005-0000-0000-000004190000}"/>
    <cellStyle name="40% - 强调文字颜色 2 17 10" xfId="1318" xr:uid="{00000000-0005-0000-0000-000005190000}"/>
    <cellStyle name="40% - 强调文字颜色 2 17 11" xfId="1328" xr:uid="{00000000-0005-0000-0000-000006190000}"/>
    <cellStyle name="40% - 强调文字颜色 2 17 12" xfId="1340" xr:uid="{00000000-0005-0000-0000-000007190000}"/>
    <cellStyle name="40% - 强调文字颜色 2 17 13" xfId="256" xr:uid="{00000000-0005-0000-0000-000008190000}"/>
    <cellStyle name="40% - 强调文字颜色 2 17 14" xfId="1359" xr:uid="{00000000-0005-0000-0000-000009190000}"/>
    <cellStyle name="40% - 强调文字颜色 2 17 2" xfId="1377" xr:uid="{00000000-0005-0000-0000-00000A190000}"/>
    <cellStyle name="40% - 强调文字颜色 2 17 3" xfId="1389" xr:uid="{00000000-0005-0000-0000-00000B190000}"/>
    <cellStyle name="40% - 强调文字颜色 2 17 4" xfId="1403" xr:uid="{00000000-0005-0000-0000-00000C190000}"/>
    <cellStyle name="40% - 强调文字颜色 2 17 5" xfId="1418" xr:uid="{00000000-0005-0000-0000-00000D190000}"/>
    <cellStyle name="40% - 强调文字颜色 2 17 5 10" xfId="1425" xr:uid="{00000000-0005-0000-0000-00000E190000}"/>
    <cellStyle name="40% - 强调文字颜色 2 17 5 11" xfId="1456" xr:uid="{00000000-0005-0000-0000-00000F190000}"/>
    <cellStyle name="40% - 强调文字颜色 2 17 5 2" xfId="1476" xr:uid="{00000000-0005-0000-0000-000010190000}"/>
    <cellStyle name="40% - 强调文字颜色 2 17 5 2 2" xfId="1488" xr:uid="{00000000-0005-0000-0000-000011190000}"/>
    <cellStyle name="40% - 强调文字颜色 2 17 5 2 2 2" xfId="1504" xr:uid="{00000000-0005-0000-0000-000012190000}"/>
    <cellStyle name="40% - 强调文字颜色 2 17 5 2 2 3" xfId="1518" xr:uid="{00000000-0005-0000-0000-000013190000}"/>
    <cellStyle name="40% - 强调文字颜色 2 17 5 2 3" xfId="231" xr:uid="{00000000-0005-0000-0000-000014190000}"/>
    <cellStyle name="40% - 强调文字颜色 2 17 5 2 4" xfId="1526" xr:uid="{00000000-0005-0000-0000-000015190000}"/>
    <cellStyle name="40% - 强调文字颜色 2 17 5 2 5" xfId="1536" xr:uid="{00000000-0005-0000-0000-000016190000}"/>
    <cellStyle name="40% - 强调文字颜色 2 17 5 2 6" xfId="1543" xr:uid="{00000000-0005-0000-0000-000017190000}"/>
    <cellStyle name="40% - 强调文字颜色 2 17 5 2 7" xfId="1554" xr:uid="{00000000-0005-0000-0000-000018190000}"/>
    <cellStyle name="40% - 强调文字颜色 2 17 5 2 8" xfId="1560" xr:uid="{00000000-0005-0000-0000-000019190000}"/>
    <cellStyle name="40% - 强调文字颜色 2 17 5 3" xfId="1567" xr:uid="{00000000-0005-0000-0000-00001A190000}"/>
    <cellStyle name="40% - 强调文字颜色 2 17 5 4" xfId="1582" xr:uid="{00000000-0005-0000-0000-00001B190000}"/>
    <cellStyle name="40% - 强调文字颜色 2 17 5 5" xfId="1599" xr:uid="{00000000-0005-0000-0000-00001C190000}"/>
    <cellStyle name="40% - 强调文字颜色 2 17 5 6" xfId="1616" xr:uid="{00000000-0005-0000-0000-00001D190000}"/>
    <cellStyle name="40% - 强调文字颜色 2 17 5 6 2" xfId="1623" xr:uid="{00000000-0005-0000-0000-00001E190000}"/>
    <cellStyle name="40% - 强调文字颜色 2 17 5 6 3" xfId="442" xr:uid="{00000000-0005-0000-0000-00001F190000}"/>
    <cellStyle name="40% - 强调文字颜色 2 17 5 7" xfId="1638" xr:uid="{00000000-0005-0000-0000-000020190000}"/>
    <cellStyle name="40% - 强调文字颜色 2 17 5 8" xfId="1654" xr:uid="{00000000-0005-0000-0000-000021190000}"/>
    <cellStyle name="40% - 强调文字颜色 2 17 5 9" xfId="1669" xr:uid="{00000000-0005-0000-0000-000022190000}"/>
    <cellStyle name="40% - 强调文字颜色 2 17 6" xfId="1681" xr:uid="{00000000-0005-0000-0000-000023190000}"/>
    <cellStyle name="40% - 强调文字颜色 2 17 6 2" xfId="1686" xr:uid="{00000000-0005-0000-0000-000024190000}"/>
    <cellStyle name="40% - 强调文字颜色 2 17 6 2 2" xfId="1710" xr:uid="{00000000-0005-0000-0000-000025190000}"/>
    <cellStyle name="40% - 强调文字颜色 2 17 6 2 3" xfId="1734" xr:uid="{00000000-0005-0000-0000-000026190000}"/>
    <cellStyle name="40% - 强调文字颜色 2 17 6 3" xfId="1740" xr:uid="{00000000-0005-0000-0000-000027190000}"/>
    <cellStyle name="40% - 强调文字颜色 2 17 6 4" xfId="1751" xr:uid="{00000000-0005-0000-0000-000028190000}"/>
    <cellStyle name="40% - 强调文字颜色 2 17 6 5" xfId="1761" xr:uid="{00000000-0005-0000-0000-000029190000}"/>
    <cellStyle name="40% - 强调文字颜色 2 17 6 6" xfId="382" xr:uid="{00000000-0005-0000-0000-00002A190000}"/>
    <cellStyle name="40% - 强调文字颜色 2 17 6 7" xfId="1772" xr:uid="{00000000-0005-0000-0000-00002B190000}"/>
    <cellStyle name="40% - 强调文字颜色 2 17 6 8" xfId="1778" xr:uid="{00000000-0005-0000-0000-00002C190000}"/>
    <cellStyle name="40% - 强调文字颜色 2 17 7" xfId="1790" xr:uid="{00000000-0005-0000-0000-00002D190000}"/>
    <cellStyle name="40% - 强调文字颜色 2 17 8" xfId="1805" xr:uid="{00000000-0005-0000-0000-00002E190000}"/>
    <cellStyle name="40% - 强调文字颜色 2 17 9" xfId="1824" xr:uid="{00000000-0005-0000-0000-00002F190000}"/>
    <cellStyle name="40% - 强调文字颜色 2 17 9 2" xfId="1848" xr:uid="{00000000-0005-0000-0000-000030190000}"/>
    <cellStyle name="40% - 强调文字颜色 2 17 9 3" xfId="1872" xr:uid="{00000000-0005-0000-0000-000031190000}"/>
    <cellStyle name="40% - 强调文字颜色 2 18" xfId="1883" xr:uid="{00000000-0005-0000-0000-000032190000}"/>
    <cellStyle name="40% - 强调文字颜色 2 18 10" xfId="626" xr:uid="{00000000-0005-0000-0000-000033190000}"/>
    <cellStyle name="40% - 强调文字颜色 2 18 11" xfId="656" xr:uid="{00000000-0005-0000-0000-000034190000}"/>
    <cellStyle name="40% - 强调文字颜色 2 18 12" xfId="1897" xr:uid="{00000000-0005-0000-0000-000035190000}"/>
    <cellStyle name="40% - 强调文字颜色 2 18 13" xfId="1923" xr:uid="{00000000-0005-0000-0000-000036190000}"/>
    <cellStyle name="40% - 强调文字颜色 2 18 14" xfId="1948" xr:uid="{00000000-0005-0000-0000-000037190000}"/>
    <cellStyle name="40% - 强调文字颜色 2 18 2" xfId="1969" xr:uid="{00000000-0005-0000-0000-000038190000}"/>
    <cellStyle name="40% - 强调文字颜色 2 18 3" xfId="1980" xr:uid="{00000000-0005-0000-0000-000039190000}"/>
    <cellStyle name="40% - 强调文字颜色 2 18 4" xfId="1988" xr:uid="{00000000-0005-0000-0000-00003A190000}"/>
    <cellStyle name="40% - 强调文字颜色 2 18 5" xfId="2008" xr:uid="{00000000-0005-0000-0000-00003B190000}"/>
    <cellStyle name="40% - 强调文字颜色 2 18 5 10" xfId="2023" xr:uid="{00000000-0005-0000-0000-00003C190000}"/>
    <cellStyle name="40% - 强调文字颜色 2 18 5 11" xfId="2035" xr:uid="{00000000-0005-0000-0000-00003D190000}"/>
    <cellStyle name="40% - 强调文字颜色 2 18 5 2" xfId="2052" xr:uid="{00000000-0005-0000-0000-00003E190000}"/>
    <cellStyle name="40% - 强调文字颜色 2 18 5 2 2" xfId="321" xr:uid="{00000000-0005-0000-0000-00003F190000}"/>
    <cellStyle name="40% - 强调文字颜色 2 18 5 2 2 2" xfId="2059" xr:uid="{00000000-0005-0000-0000-000040190000}"/>
    <cellStyle name="40% - 强调文字颜色 2 18 5 2 2 3" xfId="2088" xr:uid="{00000000-0005-0000-0000-000041190000}"/>
    <cellStyle name="40% - 强调文字颜色 2 18 5 2 3" xfId="596" xr:uid="{00000000-0005-0000-0000-000042190000}"/>
    <cellStyle name="40% - 强调文字颜色 2 18 5 2 4" xfId="610" xr:uid="{00000000-0005-0000-0000-000043190000}"/>
    <cellStyle name="40% - 强调文字颜色 2 18 5 2 5" xfId="644" xr:uid="{00000000-0005-0000-0000-000044190000}"/>
    <cellStyle name="40% - 强调文字颜色 2 18 5 2 6" xfId="2094" xr:uid="{00000000-0005-0000-0000-000045190000}"/>
    <cellStyle name="40% - 强调文字颜色 2 18 5 2 7" xfId="2098" xr:uid="{00000000-0005-0000-0000-000046190000}"/>
    <cellStyle name="40% - 强调文字颜色 2 18 5 2 8" xfId="2102" xr:uid="{00000000-0005-0000-0000-000047190000}"/>
    <cellStyle name="40% - 强调文字颜色 2 18 5 3" xfId="2117" xr:uid="{00000000-0005-0000-0000-000048190000}"/>
    <cellStyle name="40% - 强调文字颜色 2 18 5 4" xfId="2142" xr:uid="{00000000-0005-0000-0000-000049190000}"/>
    <cellStyle name="40% - 强调文字颜色 2 18 5 5" xfId="2160" xr:uid="{00000000-0005-0000-0000-00004A190000}"/>
    <cellStyle name="40% - 强调文字颜色 2 18 5 6" xfId="2169" xr:uid="{00000000-0005-0000-0000-00004B190000}"/>
    <cellStyle name="40% - 强调文字颜色 2 18 5 6 2" xfId="1784" xr:uid="{00000000-0005-0000-0000-00004C190000}"/>
    <cellStyle name="40% - 强调文字颜色 2 18 5 6 3" xfId="2177" xr:uid="{00000000-0005-0000-0000-00004D190000}"/>
    <cellStyle name="40% - 强调文字颜色 2 18 5 7" xfId="2185" xr:uid="{00000000-0005-0000-0000-00004E190000}"/>
    <cellStyle name="40% - 强调文字颜色 2 18 5 8" xfId="2194" xr:uid="{00000000-0005-0000-0000-00004F190000}"/>
    <cellStyle name="40% - 强调文字颜色 2 18 5 9" xfId="2205" xr:uid="{00000000-0005-0000-0000-000050190000}"/>
    <cellStyle name="40% - 强调文字颜色 2 18 6" xfId="2220" xr:uid="{00000000-0005-0000-0000-000051190000}"/>
    <cellStyle name="40% - 强调文字颜色 2 18 6 2" xfId="2231" xr:uid="{00000000-0005-0000-0000-000052190000}"/>
    <cellStyle name="40% - 强调文字颜色 2 18 6 2 2" xfId="722" xr:uid="{00000000-0005-0000-0000-000053190000}"/>
    <cellStyle name="40% - 强调文字颜色 2 18 6 2 3" xfId="758" xr:uid="{00000000-0005-0000-0000-000054190000}"/>
    <cellStyle name="40% - 强调文字颜色 2 18 6 3" xfId="2257" xr:uid="{00000000-0005-0000-0000-000055190000}"/>
    <cellStyle name="40% - 强调文字颜色 2 18 6 4" xfId="2273" xr:uid="{00000000-0005-0000-0000-000056190000}"/>
    <cellStyle name="40% - 强调文字颜色 2 18 6 5" xfId="2287" xr:uid="{00000000-0005-0000-0000-000057190000}"/>
    <cellStyle name="40% - 强调文字颜色 2 18 6 6" xfId="835" xr:uid="{00000000-0005-0000-0000-000058190000}"/>
    <cellStyle name="40% - 强调文字颜色 2 18 6 7" xfId="862" xr:uid="{00000000-0005-0000-0000-000059190000}"/>
    <cellStyle name="40% - 强调文字颜色 2 18 6 8" xfId="847" xr:uid="{00000000-0005-0000-0000-00005A190000}"/>
    <cellStyle name="40% - 强调文字颜色 2 18 7" xfId="2299" xr:uid="{00000000-0005-0000-0000-00005B190000}"/>
    <cellStyle name="40% - 强调文字颜色 2 18 8" xfId="2307" xr:uid="{00000000-0005-0000-0000-00005C190000}"/>
    <cellStyle name="40% - 强调文字颜色 2 18 9" xfId="2316" xr:uid="{00000000-0005-0000-0000-00005D190000}"/>
    <cellStyle name="40% - 强调文字颜色 2 18 9 2" xfId="2330" xr:uid="{00000000-0005-0000-0000-00005E190000}"/>
    <cellStyle name="40% - 强调文字颜色 2 18 9 3" xfId="2333" xr:uid="{00000000-0005-0000-0000-00005F190000}"/>
    <cellStyle name="40% - 强调文字颜色 2 19" xfId="2341" xr:uid="{00000000-0005-0000-0000-000060190000}"/>
    <cellStyle name="40% - 强调文字颜色 2 2" xfId="15811" xr:uid="{00000000-0005-0000-0000-000061190000}"/>
    <cellStyle name="40% - 强调文字颜色 2 2 10" xfId="15812" xr:uid="{00000000-0005-0000-0000-000062190000}"/>
    <cellStyle name="40% - 强调文字颜色 2 2 11" xfId="15813" xr:uid="{00000000-0005-0000-0000-000063190000}"/>
    <cellStyle name="40% - 强调文字颜色 2 2 12" xfId="15814" xr:uid="{00000000-0005-0000-0000-000064190000}"/>
    <cellStyle name="40% - 强调文字颜色 2 2 13" xfId="15815" xr:uid="{00000000-0005-0000-0000-000065190000}"/>
    <cellStyle name="40% - 强调文字颜色 2 2 14" xfId="15816" xr:uid="{00000000-0005-0000-0000-000066190000}"/>
    <cellStyle name="40% - 强调文字颜色 2 2 15" xfId="15817" xr:uid="{00000000-0005-0000-0000-000067190000}"/>
    <cellStyle name="40% - 强调文字颜色 2 2 16" xfId="15819" xr:uid="{00000000-0005-0000-0000-000068190000}"/>
    <cellStyle name="40% - 强调文字颜色 2 2 17" xfId="15820" xr:uid="{00000000-0005-0000-0000-000069190000}"/>
    <cellStyle name="40% - 强调文字颜色 2 2 17 10" xfId="4553" xr:uid="{00000000-0005-0000-0000-00006A190000}"/>
    <cellStyle name="40% - 强调文字颜色 2 2 17 11" xfId="4574" xr:uid="{00000000-0005-0000-0000-00006B190000}"/>
    <cellStyle name="40% - 强调文字颜色 2 2 17 12" xfId="15825" xr:uid="{00000000-0005-0000-0000-00006C190000}"/>
    <cellStyle name="40% - 强调文字颜色 2 2 17 13" xfId="15830" xr:uid="{00000000-0005-0000-0000-00006D190000}"/>
    <cellStyle name="40% - 强调文字颜色 2 2 17 14" xfId="15833" xr:uid="{00000000-0005-0000-0000-00006E190000}"/>
    <cellStyle name="40% - 强调文字颜色 2 2 17 2" xfId="5121" xr:uid="{00000000-0005-0000-0000-00006F190000}"/>
    <cellStyle name="40% - 强调文字颜色 2 2 17 3" xfId="15835" xr:uid="{00000000-0005-0000-0000-000070190000}"/>
    <cellStyle name="40% - 强调文字颜色 2 2 17 4" xfId="15839" xr:uid="{00000000-0005-0000-0000-000071190000}"/>
    <cellStyle name="40% - 强调文字颜色 2 2 17 5" xfId="15841" xr:uid="{00000000-0005-0000-0000-000072190000}"/>
    <cellStyle name="40% - 强调文字颜色 2 2 17 5 10" xfId="15846" xr:uid="{00000000-0005-0000-0000-000073190000}"/>
    <cellStyle name="40% - 强调文字颜色 2 2 17 5 11" xfId="14005" xr:uid="{00000000-0005-0000-0000-000074190000}"/>
    <cellStyle name="40% - 强调文字颜色 2 2 17 5 2" xfId="15849" xr:uid="{00000000-0005-0000-0000-000075190000}"/>
    <cellStyle name="40% - 强调文字颜色 2 2 17 5 2 2" xfId="15855" xr:uid="{00000000-0005-0000-0000-000076190000}"/>
    <cellStyle name="40% - 强调文字颜色 2 2 17 5 2 2 2" xfId="15857" xr:uid="{00000000-0005-0000-0000-000077190000}"/>
    <cellStyle name="40% - 强调文字颜色 2 2 17 5 2 2 3" xfId="15859" xr:uid="{00000000-0005-0000-0000-000078190000}"/>
    <cellStyle name="40% - 强调文字颜色 2 2 17 5 2 3" xfId="15864" xr:uid="{00000000-0005-0000-0000-000079190000}"/>
    <cellStyle name="40% - 强调文字颜色 2 2 17 5 2 4" xfId="13812" xr:uid="{00000000-0005-0000-0000-00007A190000}"/>
    <cellStyle name="40% - 强调文字颜色 2 2 17 5 2 5" xfId="13824" xr:uid="{00000000-0005-0000-0000-00007B190000}"/>
    <cellStyle name="40% - 强调文字颜色 2 2 17 5 2 6" xfId="13829" xr:uid="{00000000-0005-0000-0000-00007C190000}"/>
    <cellStyle name="40% - 强调文字颜色 2 2 17 5 2 7" xfId="13836" xr:uid="{00000000-0005-0000-0000-00007D190000}"/>
    <cellStyle name="40% - 强调文字颜色 2 2 17 5 2 8" xfId="13842" xr:uid="{00000000-0005-0000-0000-00007E190000}"/>
    <cellStyle name="40% - 强调文字颜色 2 2 17 5 3" xfId="15867" xr:uid="{00000000-0005-0000-0000-00007F190000}"/>
    <cellStyle name="40% - 强调文字颜色 2 2 17 5 4" xfId="13572" xr:uid="{00000000-0005-0000-0000-000080190000}"/>
    <cellStyle name="40% - 强调文字颜色 2 2 17 5 5" xfId="13591" xr:uid="{00000000-0005-0000-0000-000081190000}"/>
    <cellStyle name="40% - 强调文字颜色 2 2 17 5 6" xfId="13597" xr:uid="{00000000-0005-0000-0000-000082190000}"/>
    <cellStyle name="40% - 强调文字颜色 2 2 17 5 6 2" xfId="10232" xr:uid="{00000000-0005-0000-0000-000083190000}"/>
    <cellStyle name="40% - 强调文字颜色 2 2 17 5 6 3" xfId="6029" xr:uid="{00000000-0005-0000-0000-000084190000}"/>
    <cellStyle name="40% - 强调文字颜色 2 2 17 5 7" xfId="13600" xr:uid="{00000000-0005-0000-0000-000085190000}"/>
    <cellStyle name="40% - 强调文字颜色 2 2 17 5 8" xfId="13605" xr:uid="{00000000-0005-0000-0000-000086190000}"/>
    <cellStyle name="40% - 强调文字颜色 2 2 17 5 9" xfId="13614" xr:uid="{00000000-0005-0000-0000-000087190000}"/>
    <cellStyle name="40% - 强调文字颜色 2 2 17 6" xfId="15870" xr:uid="{00000000-0005-0000-0000-000088190000}"/>
    <cellStyle name="40% - 强调文字颜色 2 2 17 6 2" xfId="15871" xr:uid="{00000000-0005-0000-0000-000089190000}"/>
    <cellStyle name="40% - 强调文字颜色 2 2 17 6 2 2" xfId="15875" xr:uid="{00000000-0005-0000-0000-00008A190000}"/>
    <cellStyle name="40% - 强调文字颜色 2 2 17 6 2 3" xfId="15878" xr:uid="{00000000-0005-0000-0000-00008B190000}"/>
    <cellStyle name="40% - 强调文字颜色 2 2 17 6 3" xfId="15880" xr:uid="{00000000-0005-0000-0000-00008C190000}"/>
    <cellStyle name="40% - 强调文字颜色 2 2 17 6 4" xfId="13624" xr:uid="{00000000-0005-0000-0000-00008D190000}"/>
    <cellStyle name="40% - 强调文字颜色 2 2 17 6 5" xfId="13636" xr:uid="{00000000-0005-0000-0000-00008E190000}"/>
    <cellStyle name="40% - 强调文字颜色 2 2 17 6 6" xfId="13642" xr:uid="{00000000-0005-0000-0000-00008F190000}"/>
    <cellStyle name="40% - 强调文字颜色 2 2 17 6 7" xfId="13647" xr:uid="{00000000-0005-0000-0000-000090190000}"/>
    <cellStyle name="40% - 强调文字颜色 2 2 17 6 8" xfId="12621" xr:uid="{00000000-0005-0000-0000-000091190000}"/>
    <cellStyle name="40% - 强调文字颜色 2 2 17 7" xfId="869" xr:uid="{00000000-0005-0000-0000-000092190000}"/>
    <cellStyle name="40% - 强调文字颜色 2 2 17 8" xfId="880" xr:uid="{00000000-0005-0000-0000-000093190000}"/>
    <cellStyle name="40% - 强调文字颜色 2 2 17 9" xfId="893" xr:uid="{00000000-0005-0000-0000-000094190000}"/>
    <cellStyle name="40% - 强调文字颜色 2 2 17 9 2" xfId="5694" xr:uid="{00000000-0005-0000-0000-000095190000}"/>
    <cellStyle name="40% - 强调文字颜色 2 2 17 9 3" xfId="15881" xr:uid="{00000000-0005-0000-0000-000096190000}"/>
    <cellStyle name="40% - 强调文字颜色 2 2 18" xfId="15883" xr:uid="{00000000-0005-0000-0000-000097190000}"/>
    <cellStyle name="40% - 强调文字颜色 2 2 18 10" xfId="15885" xr:uid="{00000000-0005-0000-0000-000098190000}"/>
    <cellStyle name="40% - 强调文字颜色 2 2 18 11" xfId="15886" xr:uid="{00000000-0005-0000-0000-000099190000}"/>
    <cellStyle name="40% - 强调文字颜色 2 2 18 12" xfId="15887" xr:uid="{00000000-0005-0000-0000-00009A190000}"/>
    <cellStyle name="40% - 强调文字颜色 2 2 18 13" xfId="15888" xr:uid="{00000000-0005-0000-0000-00009B190000}"/>
    <cellStyle name="40% - 强调文字颜色 2 2 18 14" xfId="618" xr:uid="{00000000-0005-0000-0000-00009C190000}"/>
    <cellStyle name="40% - 强调文字颜色 2 2 18 2" xfId="14502" xr:uid="{00000000-0005-0000-0000-00009D190000}"/>
    <cellStyle name="40% - 强调文字颜色 2 2 18 3" xfId="15889" xr:uid="{00000000-0005-0000-0000-00009E190000}"/>
    <cellStyle name="40% - 强调文字颜色 2 2 18 4" xfId="15891" xr:uid="{00000000-0005-0000-0000-00009F190000}"/>
    <cellStyle name="40% - 强调文字颜色 2 2 18 5" xfId="15893" xr:uid="{00000000-0005-0000-0000-0000A0190000}"/>
    <cellStyle name="40% - 强调文字颜色 2 2 18 5 10" xfId="15894" xr:uid="{00000000-0005-0000-0000-0000A1190000}"/>
    <cellStyle name="40% - 强调文字颜色 2 2 18 5 11" xfId="15895" xr:uid="{00000000-0005-0000-0000-0000A2190000}"/>
    <cellStyle name="40% - 强调文字颜色 2 2 18 5 2" xfId="3197" xr:uid="{00000000-0005-0000-0000-0000A3190000}"/>
    <cellStyle name="40% - 强调文字颜色 2 2 18 5 2 2" xfId="3226" xr:uid="{00000000-0005-0000-0000-0000A4190000}"/>
    <cellStyle name="40% - 强调文字颜色 2 2 18 5 2 2 2" xfId="1998" xr:uid="{00000000-0005-0000-0000-0000A5190000}"/>
    <cellStyle name="40% - 强调文字颜色 2 2 18 5 2 2 3" xfId="2214" xr:uid="{00000000-0005-0000-0000-0000A6190000}"/>
    <cellStyle name="40% - 强调文字颜色 2 2 18 5 2 3" xfId="3245" xr:uid="{00000000-0005-0000-0000-0000A7190000}"/>
    <cellStyle name="40% - 强调文字颜色 2 2 18 5 2 4" xfId="2939" xr:uid="{00000000-0005-0000-0000-0000A8190000}"/>
    <cellStyle name="40% - 强调文字颜色 2 2 18 5 2 5" xfId="2019" xr:uid="{00000000-0005-0000-0000-0000A9190000}"/>
    <cellStyle name="40% - 强调文字颜色 2 2 18 5 2 6" xfId="2031" xr:uid="{00000000-0005-0000-0000-0000AA190000}"/>
    <cellStyle name="40% - 强调文字颜色 2 2 18 5 2 7" xfId="1484" xr:uid="{00000000-0005-0000-0000-0000AB190000}"/>
    <cellStyle name="40% - 强调文字颜色 2 2 18 5 2 8" xfId="227" xr:uid="{00000000-0005-0000-0000-0000AC190000}"/>
    <cellStyle name="40% - 强调文字颜色 2 2 18 5 3" xfId="3254" xr:uid="{00000000-0005-0000-0000-0000AD190000}"/>
    <cellStyle name="40% - 强调文字颜色 2 2 18 5 4" xfId="2651" xr:uid="{00000000-0005-0000-0000-0000AE190000}"/>
    <cellStyle name="40% - 强调文字颜色 2 2 18 5 5" xfId="2670" xr:uid="{00000000-0005-0000-0000-0000AF190000}"/>
    <cellStyle name="40% - 强调文字颜色 2 2 18 5 6" xfId="3290" xr:uid="{00000000-0005-0000-0000-0000B0190000}"/>
    <cellStyle name="40% - 强调文字颜色 2 2 18 5 6 2" xfId="3303" xr:uid="{00000000-0005-0000-0000-0000B1190000}"/>
    <cellStyle name="40% - 强调文字颜色 2 2 18 5 6 3" xfId="3308" xr:uid="{00000000-0005-0000-0000-0000B2190000}"/>
    <cellStyle name="40% - 强调文字颜色 2 2 18 5 7" xfId="13721" xr:uid="{00000000-0005-0000-0000-0000B3190000}"/>
    <cellStyle name="40% - 强调文字颜色 2 2 18 5 8" xfId="13725" xr:uid="{00000000-0005-0000-0000-0000B4190000}"/>
    <cellStyle name="40% - 强调文字颜色 2 2 18 5 9" xfId="13733" xr:uid="{00000000-0005-0000-0000-0000B5190000}"/>
    <cellStyle name="40% - 强调文字颜色 2 2 18 6" xfId="15898" xr:uid="{00000000-0005-0000-0000-0000B6190000}"/>
    <cellStyle name="40% - 强调文字颜色 2 2 18 6 2" xfId="15899" xr:uid="{00000000-0005-0000-0000-0000B7190000}"/>
    <cellStyle name="40% - 强调文字颜色 2 2 18 6 2 2" xfId="15902" xr:uid="{00000000-0005-0000-0000-0000B8190000}"/>
    <cellStyle name="40% - 强调文字颜色 2 2 18 6 2 3" xfId="15904" xr:uid="{00000000-0005-0000-0000-0000B9190000}"/>
    <cellStyle name="40% - 强调文字颜色 2 2 18 6 3" xfId="15905" xr:uid="{00000000-0005-0000-0000-0000BA190000}"/>
    <cellStyle name="40% - 强调文字颜色 2 2 18 6 4" xfId="13745" xr:uid="{00000000-0005-0000-0000-0000BB190000}"/>
    <cellStyle name="40% - 强调文字颜色 2 2 18 6 5" xfId="13753" xr:uid="{00000000-0005-0000-0000-0000BC190000}"/>
    <cellStyle name="40% - 强调文字颜色 2 2 18 6 6" xfId="13756" xr:uid="{00000000-0005-0000-0000-0000BD190000}"/>
    <cellStyle name="40% - 强调文字颜色 2 2 18 6 7" xfId="13759" xr:uid="{00000000-0005-0000-0000-0000BE190000}"/>
    <cellStyle name="40% - 强调文字颜色 2 2 18 6 8" xfId="13764" xr:uid="{00000000-0005-0000-0000-0000BF190000}"/>
    <cellStyle name="40% - 强调文字颜色 2 2 18 7" xfId="15907" xr:uid="{00000000-0005-0000-0000-0000C0190000}"/>
    <cellStyle name="40% - 强调文字颜色 2 2 18 8" xfId="15909" xr:uid="{00000000-0005-0000-0000-0000C1190000}"/>
    <cellStyle name="40% - 强调文字颜色 2 2 18 9" xfId="15912" xr:uid="{00000000-0005-0000-0000-0000C2190000}"/>
    <cellStyle name="40% - 强调文字颜色 2 2 18 9 2" xfId="15914" xr:uid="{00000000-0005-0000-0000-0000C3190000}"/>
    <cellStyle name="40% - 强调文字颜色 2 2 18 9 3" xfId="15917" xr:uid="{00000000-0005-0000-0000-0000C4190000}"/>
    <cellStyle name="40% - 强调文字颜色 2 2 19" xfId="15920" xr:uid="{00000000-0005-0000-0000-0000C5190000}"/>
    <cellStyle name="40% - 强调文字颜色 2 2 19 10" xfId="9298" xr:uid="{00000000-0005-0000-0000-0000C6190000}"/>
    <cellStyle name="40% - 强调文字颜色 2 2 19 11" xfId="9305" xr:uid="{00000000-0005-0000-0000-0000C7190000}"/>
    <cellStyle name="40% - 强调文字颜色 2 2 19 12" xfId="9326" xr:uid="{00000000-0005-0000-0000-0000C8190000}"/>
    <cellStyle name="40% - 强调文字颜色 2 2 19 13" xfId="9335" xr:uid="{00000000-0005-0000-0000-0000C9190000}"/>
    <cellStyle name="40% - 强调文字颜色 2 2 19 14" xfId="9344" xr:uid="{00000000-0005-0000-0000-0000CA190000}"/>
    <cellStyle name="40% - 强调文字颜色 2 2 19 2" xfId="15923" xr:uid="{00000000-0005-0000-0000-0000CB190000}"/>
    <cellStyle name="40% - 强调文字颜色 2 2 19 3" xfId="15924" xr:uid="{00000000-0005-0000-0000-0000CC190000}"/>
    <cellStyle name="40% - 强调文字颜色 2 2 19 4" xfId="15925" xr:uid="{00000000-0005-0000-0000-0000CD190000}"/>
    <cellStyle name="40% - 强调文字颜色 2 2 19 5" xfId="15847" xr:uid="{00000000-0005-0000-0000-0000CE190000}"/>
    <cellStyle name="40% - 强调文字颜色 2 2 19 5 10" xfId="15171" xr:uid="{00000000-0005-0000-0000-0000CF190000}"/>
    <cellStyle name="40% - 强调文字颜色 2 2 19 5 11" xfId="7399" xr:uid="{00000000-0005-0000-0000-0000D0190000}"/>
    <cellStyle name="40% - 强调文字颜色 2 2 19 5 2" xfId="15852" xr:uid="{00000000-0005-0000-0000-0000D1190000}"/>
    <cellStyle name="40% - 强调文字颜色 2 2 19 5 2 2" xfId="15856" xr:uid="{00000000-0005-0000-0000-0000D2190000}"/>
    <cellStyle name="40% - 强调文字颜色 2 2 19 5 2 2 2" xfId="15926" xr:uid="{00000000-0005-0000-0000-0000D3190000}"/>
    <cellStyle name="40% - 强调文字颜色 2 2 19 5 2 2 3" xfId="15927" xr:uid="{00000000-0005-0000-0000-0000D4190000}"/>
    <cellStyle name="40% - 强调文字颜色 2 2 19 5 2 3" xfId="15858" xr:uid="{00000000-0005-0000-0000-0000D5190000}"/>
    <cellStyle name="40% - 强调文字颜色 2 2 19 5 2 4" xfId="15929" xr:uid="{00000000-0005-0000-0000-0000D6190000}"/>
    <cellStyle name="40% - 强调文字颜色 2 2 19 5 2 5" xfId="15932" xr:uid="{00000000-0005-0000-0000-0000D7190000}"/>
    <cellStyle name="40% - 强调文字颜色 2 2 19 5 2 6" xfId="8692" xr:uid="{00000000-0005-0000-0000-0000D8190000}"/>
    <cellStyle name="40% - 强调文字颜色 2 2 19 5 2 7" xfId="8694" xr:uid="{00000000-0005-0000-0000-0000D9190000}"/>
    <cellStyle name="40% - 强调文字颜色 2 2 19 5 2 8" xfId="15470" xr:uid="{00000000-0005-0000-0000-0000DA190000}"/>
    <cellStyle name="40% - 强调文字颜色 2 2 19 5 3" xfId="15861" xr:uid="{00000000-0005-0000-0000-0000DB190000}"/>
    <cellStyle name="40% - 强调文字颜色 2 2 19 5 4" xfId="13814" xr:uid="{00000000-0005-0000-0000-0000DC190000}"/>
    <cellStyle name="40% - 强调文字颜色 2 2 19 5 5" xfId="13825" xr:uid="{00000000-0005-0000-0000-0000DD190000}"/>
    <cellStyle name="40% - 强调文字颜色 2 2 19 5 6" xfId="13831" xr:uid="{00000000-0005-0000-0000-0000DE190000}"/>
    <cellStyle name="40% - 强调文字颜色 2 2 19 5 6 2" xfId="14580" xr:uid="{00000000-0005-0000-0000-0000DF190000}"/>
    <cellStyle name="40% - 强调文字颜色 2 2 19 5 6 3" xfId="14584" xr:uid="{00000000-0005-0000-0000-0000E0190000}"/>
    <cellStyle name="40% - 强调文字颜色 2 2 19 5 7" xfId="13838" xr:uid="{00000000-0005-0000-0000-0000E1190000}"/>
    <cellStyle name="40% - 强调文字颜色 2 2 19 5 8" xfId="13844" xr:uid="{00000000-0005-0000-0000-0000E2190000}"/>
    <cellStyle name="40% - 强调文字颜色 2 2 19 5 9" xfId="13855" xr:uid="{00000000-0005-0000-0000-0000E3190000}"/>
    <cellStyle name="40% - 强调文字颜色 2 2 19 6" xfId="15865" xr:uid="{00000000-0005-0000-0000-0000E4190000}"/>
    <cellStyle name="40% - 强调文字颜色 2 2 19 6 2" xfId="15934" xr:uid="{00000000-0005-0000-0000-0000E5190000}"/>
    <cellStyle name="40% - 强调文字颜色 2 2 19 6 2 2" xfId="15935" xr:uid="{00000000-0005-0000-0000-0000E6190000}"/>
    <cellStyle name="40% - 强调文字颜色 2 2 19 6 2 3" xfId="15937" xr:uid="{00000000-0005-0000-0000-0000E7190000}"/>
    <cellStyle name="40% - 强调文字颜色 2 2 19 6 3" xfId="15939" xr:uid="{00000000-0005-0000-0000-0000E8190000}"/>
    <cellStyle name="40% - 强调文字颜色 2 2 19 6 4" xfId="13871" xr:uid="{00000000-0005-0000-0000-0000E9190000}"/>
    <cellStyle name="40% - 强调文字颜色 2 2 19 6 5" xfId="13882" xr:uid="{00000000-0005-0000-0000-0000EA190000}"/>
    <cellStyle name="40% - 强调文字颜色 2 2 19 6 6" xfId="13889" xr:uid="{00000000-0005-0000-0000-0000EB190000}"/>
    <cellStyle name="40% - 强调文字颜色 2 2 19 6 7" xfId="13894" xr:uid="{00000000-0005-0000-0000-0000EC190000}"/>
    <cellStyle name="40% - 强调文字颜色 2 2 19 6 8" xfId="13899" xr:uid="{00000000-0005-0000-0000-0000ED190000}"/>
    <cellStyle name="40% - 强调文字颜色 2 2 19 7" xfId="13569" xr:uid="{00000000-0005-0000-0000-0000EE190000}"/>
    <cellStyle name="40% - 强调文字颜色 2 2 19 8" xfId="13589" xr:uid="{00000000-0005-0000-0000-0000EF190000}"/>
    <cellStyle name="40% - 强调文字颜色 2 2 19 9" xfId="13594" xr:uid="{00000000-0005-0000-0000-0000F0190000}"/>
    <cellStyle name="40% - 强调文字颜色 2 2 19 9 2" xfId="10226" xr:uid="{00000000-0005-0000-0000-0000F1190000}"/>
    <cellStyle name="40% - 强调文字颜色 2 2 19 9 3" xfId="6026" xr:uid="{00000000-0005-0000-0000-0000F2190000}"/>
    <cellStyle name="40% - 强调文字颜色 2 2 2" xfId="15940" xr:uid="{00000000-0005-0000-0000-0000F3190000}"/>
    <cellStyle name="40% - 强调文字颜色 2 2 2 10" xfId="15942" xr:uid="{00000000-0005-0000-0000-0000F4190000}"/>
    <cellStyle name="40% - 强调文字颜色 2 2 2 11" xfId="15948" xr:uid="{00000000-0005-0000-0000-0000F5190000}"/>
    <cellStyle name="40% - 强调文字颜色 2 2 2 12" xfId="15952" xr:uid="{00000000-0005-0000-0000-0000F6190000}"/>
    <cellStyle name="40% - 强调文字颜色 2 2 2 13" xfId="15956" xr:uid="{00000000-0005-0000-0000-0000F7190000}"/>
    <cellStyle name="40% - 强调文字颜色 2 2 2 14" xfId="15959" xr:uid="{00000000-0005-0000-0000-0000F8190000}"/>
    <cellStyle name="40% - 强调文字颜色 2 2 2 2" xfId="15962" xr:uid="{00000000-0005-0000-0000-0000F9190000}"/>
    <cellStyle name="40% - 强调文字颜色 2 2 2 3" xfId="15967" xr:uid="{00000000-0005-0000-0000-0000FA190000}"/>
    <cellStyle name="40% - 强调文字颜色 2 2 2 4" xfId="15969" xr:uid="{00000000-0005-0000-0000-0000FB190000}"/>
    <cellStyle name="40% - 强调文字颜色 2 2 2 5" xfId="15971" xr:uid="{00000000-0005-0000-0000-0000FC190000}"/>
    <cellStyle name="40% - 强调文字颜色 2 2 2 6" xfId="15973" xr:uid="{00000000-0005-0000-0000-0000FD190000}"/>
    <cellStyle name="40% - 强调文字颜色 2 2 2 7" xfId="15975" xr:uid="{00000000-0005-0000-0000-0000FE190000}"/>
    <cellStyle name="40% - 强调文字颜色 2 2 2 8" xfId="15976" xr:uid="{00000000-0005-0000-0000-0000FF190000}"/>
    <cellStyle name="40% - 强调文字颜色 2 2 2 9" xfId="15978" xr:uid="{00000000-0005-0000-0000-0000001A0000}"/>
    <cellStyle name="40% - 强调文字颜色 2 2 20" xfId="15818" xr:uid="{00000000-0005-0000-0000-0000011A0000}"/>
    <cellStyle name="40% - 强调文字颜色 2 2 20 10" xfId="1071" xr:uid="{00000000-0005-0000-0000-0000021A0000}"/>
    <cellStyle name="40% - 强调文字颜色 2 2 20 11" xfId="1091" xr:uid="{00000000-0005-0000-0000-0000031A0000}"/>
    <cellStyle name="40% - 强调文字颜色 2 2 20 12" xfId="15979" xr:uid="{00000000-0005-0000-0000-0000041A0000}"/>
    <cellStyle name="40% - 强调文字颜色 2 2 20 13" xfId="13444" xr:uid="{00000000-0005-0000-0000-0000051A0000}"/>
    <cellStyle name="40% - 强调文字颜色 2 2 20 14" xfId="13446" xr:uid="{00000000-0005-0000-0000-0000061A0000}"/>
    <cellStyle name="40% - 强调文字颜色 2 2 20 2" xfId="535" xr:uid="{00000000-0005-0000-0000-0000071A0000}"/>
    <cellStyle name="40% - 强调文字颜色 2 2 20 3" xfId="15249" xr:uid="{00000000-0005-0000-0000-0000081A0000}"/>
    <cellStyle name="40% - 强调文字颜色 2 2 20 4" xfId="15292" xr:uid="{00000000-0005-0000-0000-0000091A0000}"/>
    <cellStyle name="40% - 强调文字颜色 2 2 20 5" xfId="15980" xr:uid="{00000000-0005-0000-0000-00000A1A0000}"/>
    <cellStyle name="40% - 强调文字颜色 2 2 20 5 10" xfId="15982" xr:uid="{00000000-0005-0000-0000-00000B1A0000}"/>
    <cellStyle name="40% - 强调文字颜色 2 2 20 5 11" xfId="15984" xr:uid="{00000000-0005-0000-0000-00000C1A0000}"/>
    <cellStyle name="40% - 强调文字颜色 2 2 20 5 2" xfId="15985" xr:uid="{00000000-0005-0000-0000-00000D1A0000}"/>
    <cellStyle name="40% - 强调文字颜色 2 2 20 5 2 2" xfId="5801" xr:uid="{00000000-0005-0000-0000-00000E1A0000}"/>
    <cellStyle name="40% - 强调文字颜色 2 2 20 5 2 2 2" xfId="4233" xr:uid="{00000000-0005-0000-0000-00000F1A0000}"/>
    <cellStyle name="40% - 强调文字颜色 2 2 20 5 2 2 3" xfId="2067" xr:uid="{00000000-0005-0000-0000-0000101A0000}"/>
    <cellStyle name="40% - 强调文字颜色 2 2 20 5 2 3" xfId="8367" xr:uid="{00000000-0005-0000-0000-0000111A0000}"/>
    <cellStyle name="40% - 强调文字颜色 2 2 20 5 2 4" xfId="6160" xr:uid="{00000000-0005-0000-0000-0000121A0000}"/>
    <cellStyle name="40% - 强调文字颜色 2 2 20 5 2 5" xfId="6163" xr:uid="{00000000-0005-0000-0000-0000131A0000}"/>
    <cellStyle name="40% - 强调文字颜色 2 2 20 5 2 6" xfId="15986" xr:uid="{00000000-0005-0000-0000-0000141A0000}"/>
    <cellStyle name="40% - 强调文字颜色 2 2 20 5 2 7" xfId="15987" xr:uid="{00000000-0005-0000-0000-0000151A0000}"/>
    <cellStyle name="40% - 强调文字颜色 2 2 20 5 2 8" xfId="15988" xr:uid="{00000000-0005-0000-0000-0000161A0000}"/>
    <cellStyle name="40% - 强调文字颜色 2 2 20 5 3" xfId="15989" xr:uid="{00000000-0005-0000-0000-0000171A0000}"/>
    <cellStyle name="40% - 强调文字颜色 2 2 20 5 4" xfId="1320" xr:uid="{00000000-0005-0000-0000-0000181A0000}"/>
    <cellStyle name="40% - 强调文字颜色 2 2 20 5 5" xfId="1331" xr:uid="{00000000-0005-0000-0000-0000191A0000}"/>
    <cellStyle name="40% - 强调文字颜色 2 2 20 5 6" xfId="1343" xr:uid="{00000000-0005-0000-0000-00001A1A0000}"/>
    <cellStyle name="40% - 强调文字颜色 2 2 20 5 6 2" xfId="15991" xr:uid="{00000000-0005-0000-0000-00001B1A0000}"/>
    <cellStyle name="40% - 强调文字颜色 2 2 20 5 6 3" xfId="15992" xr:uid="{00000000-0005-0000-0000-00001C1A0000}"/>
    <cellStyle name="40% - 强调文字颜色 2 2 20 5 7" xfId="259" xr:uid="{00000000-0005-0000-0000-00001D1A0000}"/>
    <cellStyle name="40% - 强调文字颜色 2 2 20 5 8" xfId="1362" xr:uid="{00000000-0005-0000-0000-00001E1A0000}"/>
    <cellStyle name="40% - 强调文字颜色 2 2 20 5 9" xfId="13956" xr:uid="{00000000-0005-0000-0000-00001F1A0000}"/>
    <cellStyle name="40% - 强调文字颜色 2 2 20 6" xfId="15140" xr:uid="{00000000-0005-0000-0000-0000201A0000}"/>
    <cellStyle name="40% - 强调文字颜色 2 2 20 6 2" xfId="15993" xr:uid="{00000000-0005-0000-0000-0000211A0000}"/>
    <cellStyle name="40% - 强调文字颜色 2 2 20 6 2 2" xfId="15997" xr:uid="{00000000-0005-0000-0000-0000221A0000}"/>
    <cellStyle name="40% - 强调文字颜色 2 2 20 6 2 3" xfId="11703" xr:uid="{00000000-0005-0000-0000-0000231A0000}"/>
    <cellStyle name="40% - 强调文字颜色 2 2 20 6 3" xfId="15998" xr:uid="{00000000-0005-0000-0000-0000241A0000}"/>
    <cellStyle name="40% - 强调文字颜色 2 2 20 6 4" xfId="13963" xr:uid="{00000000-0005-0000-0000-0000251A0000}"/>
    <cellStyle name="40% - 强调文字颜色 2 2 20 6 5" xfId="13983" xr:uid="{00000000-0005-0000-0000-0000261A0000}"/>
    <cellStyle name="40% - 强调文字颜色 2 2 20 6 6" xfId="13993" xr:uid="{00000000-0005-0000-0000-0000271A0000}"/>
    <cellStyle name="40% - 强调文字颜色 2 2 20 6 7" xfId="12354" xr:uid="{00000000-0005-0000-0000-0000281A0000}"/>
    <cellStyle name="40% - 强调文字颜色 2 2 20 6 8" xfId="12366" xr:uid="{00000000-0005-0000-0000-0000291A0000}"/>
    <cellStyle name="40% - 强调文字颜色 2 2 20 7" xfId="6069" xr:uid="{00000000-0005-0000-0000-00002A1A0000}"/>
    <cellStyle name="40% - 强调文字颜色 2 2 20 8" xfId="1894" xr:uid="{00000000-0005-0000-0000-00002B1A0000}"/>
    <cellStyle name="40% - 强调文字颜色 2 2 20 9" xfId="1918" xr:uid="{00000000-0005-0000-0000-00002C1A0000}"/>
    <cellStyle name="40% - 强调文字颜色 2 2 20 9 2" xfId="16003" xr:uid="{00000000-0005-0000-0000-00002D1A0000}"/>
    <cellStyle name="40% - 强调文字颜色 2 2 20 9 3" xfId="15843" xr:uid="{00000000-0005-0000-0000-00002E1A0000}"/>
    <cellStyle name="40% - 强调文字颜色 2 2 3" xfId="16004" xr:uid="{00000000-0005-0000-0000-00002F1A0000}"/>
    <cellStyle name="40% - 强调文字颜色 2 2 3 10" xfId="16007" xr:uid="{00000000-0005-0000-0000-0000301A0000}"/>
    <cellStyle name="40% - 强调文字颜色 2 2 3 11" xfId="16010" xr:uid="{00000000-0005-0000-0000-0000311A0000}"/>
    <cellStyle name="40% - 强调文字颜色 2 2 3 12" xfId="16013" xr:uid="{00000000-0005-0000-0000-0000321A0000}"/>
    <cellStyle name="40% - 强调文字颜色 2 2 3 13" xfId="16015" xr:uid="{00000000-0005-0000-0000-0000331A0000}"/>
    <cellStyle name="40% - 强调文字颜色 2 2 3 14" xfId="16017" xr:uid="{00000000-0005-0000-0000-0000341A0000}"/>
    <cellStyle name="40% - 强调文字颜色 2 2 3 2" xfId="16018" xr:uid="{00000000-0005-0000-0000-0000351A0000}"/>
    <cellStyle name="40% - 强调文字颜色 2 2 3 3" xfId="16020" xr:uid="{00000000-0005-0000-0000-0000361A0000}"/>
    <cellStyle name="40% - 强调文字颜色 2 2 3 4" xfId="16021" xr:uid="{00000000-0005-0000-0000-0000371A0000}"/>
    <cellStyle name="40% - 强调文字颜色 2 2 3 5" xfId="16022" xr:uid="{00000000-0005-0000-0000-0000381A0000}"/>
    <cellStyle name="40% - 强调文字颜色 2 2 3 6" xfId="16023" xr:uid="{00000000-0005-0000-0000-0000391A0000}"/>
    <cellStyle name="40% - 强调文字颜色 2 2 3 7" xfId="16024" xr:uid="{00000000-0005-0000-0000-00003A1A0000}"/>
    <cellStyle name="40% - 强调文字颜色 2 2 3 8" xfId="16025" xr:uid="{00000000-0005-0000-0000-00003B1A0000}"/>
    <cellStyle name="40% - 强调文字颜色 2 2 3 9" xfId="3709" xr:uid="{00000000-0005-0000-0000-00003C1A0000}"/>
    <cellStyle name="40% - 强调文字颜色 2 2 4" xfId="16026" xr:uid="{00000000-0005-0000-0000-00003D1A0000}"/>
    <cellStyle name="40% - 强调文字颜色 2 2 4 10" xfId="16028" xr:uid="{00000000-0005-0000-0000-00003E1A0000}"/>
    <cellStyle name="40% - 强调文字颜色 2 2 4 11" xfId="16030" xr:uid="{00000000-0005-0000-0000-00003F1A0000}"/>
    <cellStyle name="40% - 强调文字颜色 2 2 4 12" xfId="14577" xr:uid="{00000000-0005-0000-0000-0000401A0000}"/>
    <cellStyle name="40% - 强调文字颜色 2 2 4 13" xfId="14581" xr:uid="{00000000-0005-0000-0000-0000411A0000}"/>
    <cellStyle name="40% - 强调文字颜色 2 2 4 14" xfId="12867" xr:uid="{00000000-0005-0000-0000-0000421A0000}"/>
    <cellStyle name="40% - 强调文字颜色 2 2 4 2" xfId="13805" xr:uid="{00000000-0005-0000-0000-0000431A0000}"/>
    <cellStyle name="40% - 强调文字颜色 2 2 4 3" xfId="13807" xr:uid="{00000000-0005-0000-0000-0000441A0000}"/>
    <cellStyle name="40% - 强调文字颜色 2 2 4 4" xfId="16031" xr:uid="{00000000-0005-0000-0000-0000451A0000}"/>
    <cellStyle name="40% - 强调文字颜色 2 2 4 5" xfId="16032" xr:uid="{00000000-0005-0000-0000-0000461A0000}"/>
    <cellStyle name="40% - 强调文字颜色 2 2 4 6" xfId="16033" xr:uid="{00000000-0005-0000-0000-0000471A0000}"/>
    <cellStyle name="40% - 强调文字颜色 2 2 4 7" xfId="16034" xr:uid="{00000000-0005-0000-0000-0000481A0000}"/>
    <cellStyle name="40% - 强调文字颜色 2 2 4 8" xfId="16035" xr:uid="{00000000-0005-0000-0000-0000491A0000}"/>
    <cellStyle name="40% - 强调文字颜色 2 2 4 9" xfId="16036" xr:uid="{00000000-0005-0000-0000-00004A1A0000}"/>
    <cellStyle name="40% - 强调文字颜色 2 2 5" xfId="16037" xr:uid="{00000000-0005-0000-0000-00004B1A0000}"/>
    <cellStyle name="40% - 强调文字颜色 2 2 6" xfId="16038" xr:uid="{00000000-0005-0000-0000-00004C1A0000}"/>
    <cellStyle name="40% - 强调文字颜色 2 2 7" xfId="319" xr:uid="{00000000-0005-0000-0000-00004D1A0000}"/>
    <cellStyle name="40% - 强调文字颜色 2 2 8" xfId="1717" xr:uid="{00000000-0005-0000-0000-00004E1A0000}"/>
    <cellStyle name="40% - 强调文字颜色 2 2 9" xfId="1719" xr:uid="{00000000-0005-0000-0000-00004F1A0000}"/>
    <cellStyle name="40% - 强调文字颜色 2 3" xfId="16040" xr:uid="{00000000-0005-0000-0000-0000501A0000}"/>
    <cellStyle name="40% - 强调文字颜色 2 3 10" xfId="16042" xr:uid="{00000000-0005-0000-0000-0000511A0000}"/>
    <cellStyle name="40% - 强调文字颜色 2 3 11" xfId="16044" xr:uid="{00000000-0005-0000-0000-0000521A0000}"/>
    <cellStyle name="40% - 强调文字颜色 2 3 12" xfId="15378" xr:uid="{00000000-0005-0000-0000-0000531A0000}"/>
    <cellStyle name="40% - 强调文字颜色 2 3 13" xfId="10547" xr:uid="{00000000-0005-0000-0000-0000541A0000}"/>
    <cellStyle name="40% - 强调文字颜色 2 3 14" xfId="10550" xr:uid="{00000000-0005-0000-0000-0000551A0000}"/>
    <cellStyle name="40% - 强调文字颜色 2 3 15" xfId="16045" xr:uid="{00000000-0005-0000-0000-0000561A0000}"/>
    <cellStyle name="40% - 强调文字颜色 2 3 16" xfId="16047" xr:uid="{00000000-0005-0000-0000-0000571A0000}"/>
    <cellStyle name="40% - 强调文字颜色 2 3 17" xfId="16048" xr:uid="{00000000-0005-0000-0000-0000581A0000}"/>
    <cellStyle name="40% - 强调文字颜色 2 3 17 10" xfId="12165" xr:uid="{00000000-0005-0000-0000-0000591A0000}"/>
    <cellStyle name="40% - 强调文字颜色 2 3 17 11" xfId="12174" xr:uid="{00000000-0005-0000-0000-00005A1A0000}"/>
    <cellStyle name="40% - 强调文字颜色 2 3 17 12" xfId="12181" xr:uid="{00000000-0005-0000-0000-00005B1A0000}"/>
    <cellStyle name="40% - 强调文字颜色 2 3 17 13" xfId="12190" xr:uid="{00000000-0005-0000-0000-00005C1A0000}"/>
    <cellStyle name="40% - 强调文字颜色 2 3 17 14" xfId="13040" xr:uid="{00000000-0005-0000-0000-00005D1A0000}"/>
    <cellStyle name="40% - 强调文字颜色 2 3 17 2" xfId="16051" xr:uid="{00000000-0005-0000-0000-00005E1A0000}"/>
    <cellStyle name="40% - 强调文字颜色 2 3 17 2 2" xfId="7083" xr:uid="{00000000-0005-0000-0000-00005F1A0000}"/>
    <cellStyle name="40% - 强调文字颜色 2 3 17 3" xfId="16052" xr:uid="{00000000-0005-0000-0000-0000601A0000}"/>
    <cellStyle name="40% - 强调文字颜色 2 3 17 4" xfId="16054" xr:uid="{00000000-0005-0000-0000-0000611A0000}"/>
    <cellStyle name="40% - 强调文字颜色 2 3 17 5" xfId="16057" xr:uid="{00000000-0005-0000-0000-0000621A0000}"/>
    <cellStyle name="40% - 强调文字颜色 2 3 17 5 10" xfId="6610" xr:uid="{00000000-0005-0000-0000-0000631A0000}"/>
    <cellStyle name="40% - 强调文字颜色 2 3 17 5 11" xfId="6613" xr:uid="{00000000-0005-0000-0000-0000641A0000}"/>
    <cellStyle name="40% - 强调文字颜色 2 3 17 5 2" xfId="16060" xr:uid="{00000000-0005-0000-0000-0000651A0000}"/>
    <cellStyle name="40% - 强调文字颜色 2 3 17 5 2 2" xfId="16067" xr:uid="{00000000-0005-0000-0000-0000661A0000}"/>
    <cellStyle name="40% - 强调文字颜色 2 3 17 5 2 2 2" xfId="11229" xr:uid="{00000000-0005-0000-0000-0000671A0000}"/>
    <cellStyle name="40% - 强调文字颜色 2 3 17 5 2 2 3" xfId="11235" xr:uid="{00000000-0005-0000-0000-0000681A0000}"/>
    <cellStyle name="40% - 强调文字颜色 2 3 17 5 2 3" xfId="16071" xr:uid="{00000000-0005-0000-0000-0000691A0000}"/>
    <cellStyle name="40% - 强调文字颜色 2 3 17 5 2 4" xfId="16074" xr:uid="{00000000-0005-0000-0000-00006A1A0000}"/>
    <cellStyle name="40% - 强调文字颜色 2 3 17 5 2 5" xfId="16080" xr:uid="{00000000-0005-0000-0000-00006B1A0000}"/>
    <cellStyle name="40% - 强调文字颜色 2 3 17 5 2 6" xfId="16086" xr:uid="{00000000-0005-0000-0000-00006C1A0000}"/>
    <cellStyle name="40% - 强调文字颜色 2 3 17 5 2 7" xfId="16092" xr:uid="{00000000-0005-0000-0000-00006D1A0000}"/>
    <cellStyle name="40% - 强调文字颜色 2 3 17 5 2 8" xfId="16098" xr:uid="{00000000-0005-0000-0000-00006E1A0000}"/>
    <cellStyle name="40% - 强调文字颜色 2 3 17 5 3" xfId="16105" xr:uid="{00000000-0005-0000-0000-00006F1A0000}"/>
    <cellStyle name="40% - 强调文字颜色 2 3 17 5 4" xfId="14095" xr:uid="{00000000-0005-0000-0000-0000701A0000}"/>
    <cellStyle name="40% - 强调文字颜色 2 3 17 5 5" xfId="14110" xr:uid="{00000000-0005-0000-0000-0000711A0000}"/>
    <cellStyle name="40% - 强调文字颜色 2 3 17 5 6" xfId="14114" xr:uid="{00000000-0005-0000-0000-0000721A0000}"/>
    <cellStyle name="40% - 强调文字颜色 2 3 17 5 6 2" xfId="16110" xr:uid="{00000000-0005-0000-0000-0000731A0000}"/>
    <cellStyle name="40% - 强调文字颜色 2 3 17 5 6 3" xfId="16114" xr:uid="{00000000-0005-0000-0000-0000741A0000}"/>
    <cellStyle name="40% - 强调文字颜色 2 3 17 5 7" xfId="14116" xr:uid="{00000000-0005-0000-0000-0000751A0000}"/>
    <cellStyle name="40% - 强调文字颜色 2 3 17 5 8" xfId="14120" xr:uid="{00000000-0005-0000-0000-0000761A0000}"/>
    <cellStyle name="40% - 强调文字颜色 2 3 17 5 9" xfId="14132" xr:uid="{00000000-0005-0000-0000-0000771A0000}"/>
    <cellStyle name="40% - 强调文字颜色 2 3 17 6" xfId="16118" xr:uid="{00000000-0005-0000-0000-0000781A0000}"/>
    <cellStyle name="40% - 强调文字颜色 2 3 17 6 2" xfId="16119" xr:uid="{00000000-0005-0000-0000-0000791A0000}"/>
    <cellStyle name="40% - 强调文字颜色 2 3 17 6 2 2" xfId="9260" xr:uid="{00000000-0005-0000-0000-00007A1A0000}"/>
    <cellStyle name="40% - 强调文字颜色 2 3 17 6 2 3" xfId="9265" xr:uid="{00000000-0005-0000-0000-00007B1A0000}"/>
    <cellStyle name="40% - 强调文字颜色 2 3 17 6 3" xfId="16121" xr:uid="{00000000-0005-0000-0000-00007C1A0000}"/>
    <cellStyle name="40% - 强调文字颜色 2 3 17 6 4" xfId="14136" xr:uid="{00000000-0005-0000-0000-00007D1A0000}"/>
    <cellStyle name="40% - 强调文字颜色 2 3 17 6 5" xfId="14143" xr:uid="{00000000-0005-0000-0000-00007E1A0000}"/>
    <cellStyle name="40% - 强调文字颜色 2 3 17 6 6" xfId="14147" xr:uid="{00000000-0005-0000-0000-00007F1A0000}"/>
    <cellStyle name="40% - 强调文字颜色 2 3 17 6 7" xfId="3574" xr:uid="{00000000-0005-0000-0000-0000801A0000}"/>
    <cellStyle name="40% - 强调文字颜色 2 3 17 6 8" xfId="3581" xr:uid="{00000000-0005-0000-0000-0000811A0000}"/>
    <cellStyle name="40% - 强调文字颜色 2 3 17 7" xfId="7648" xr:uid="{00000000-0005-0000-0000-0000821A0000}"/>
    <cellStyle name="40% - 强调文字颜色 2 3 17 8" xfId="7654" xr:uid="{00000000-0005-0000-0000-0000831A0000}"/>
    <cellStyle name="40% - 强调文字颜色 2 3 17 9" xfId="7662" xr:uid="{00000000-0005-0000-0000-0000841A0000}"/>
    <cellStyle name="40% - 强调文字颜色 2 3 17 9 2" xfId="10646" xr:uid="{00000000-0005-0000-0000-0000851A0000}"/>
    <cellStyle name="40% - 强调文字颜色 2 3 17 9 3" xfId="16124" xr:uid="{00000000-0005-0000-0000-0000861A0000}"/>
    <cellStyle name="40% - 强调文字颜色 2 3 18" xfId="16125" xr:uid="{00000000-0005-0000-0000-0000871A0000}"/>
    <cellStyle name="40% - 强调文字颜色 2 3 18 10" xfId="16128" xr:uid="{00000000-0005-0000-0000-0000881A0000}"/>
    <cellStyle name="40% - 强调文字颜色 2 3 18 11" xfId="16131" xr:uid="{00000000-0005-0000-0000-0000891A0000}"/>
    <cellStyle name="40% - 强调文字颜色 2 3 18 12" xfId="16133" xr:uid="{00000000-0005-0000-0000-00008A1A0000}"/>
    <cellStyle name="40% - 强调文字颜色 2 3 18 13" xfId="16135" xr:uid="{00000000-0005-0000-0000-00008B1A0000}"/>
    <cellStyle name="40% - 强调文字颜色 2 3 18 14" xfId="16138" xr:uid="{00000000-0005-0000-0000-00008C1A0000}"/>
    <cellStyle name="40% - 强调文字颜色 2 3 18 2" xfId="16140" xr:uid="{00000000-0005-0000-0000-00008D1A0000}"/>
    <cellStyle name="40% - 强调文字颜色 2 3 18 3" xfId="16141" xr:uid="{00000000-0005-0000-0000-00008E1A0000}"/>
    <cellStyle name="40% - 强调文字颜色 2 3 18 4" xfId="16144" xr:uid="{00000000-0005-0000-0000-00008F1A0000}"/>
    <cellStyle name="40% - 强调文字颜色 2 3 18 5" xfId="16146" xr:uid="{00000000-0005-0000-0000-0000901A0000}"/>
    <cellStyle name="40% - 强调文字颜色 2 3 18 5 10" xfId="10571" xr:uid="{00000000-0005-0000-0000-0000911A0000}"/>
    <cellStyle name="40% - 强调文字颜色 2 3 18 5 11" xfId="10579" xr:uid="{00000000-0005-0000-0000-0000921A0000}"/>
    <cellStyle name="40% - 强调文字颜色 2 3 18 5 2" xfId="664" xr:uid="{00000000-0005-0000-0000-0000931A0000}"/>
    <cellStyle name="40% - 强调文字颜色 2 3 18 5 2 2" xfId="6307" xr:uid="{00000000-0005-0000-0000-0000941A0000}"/>
    <cellStyle name="40% - 强调文字颜色 2 3 18 5 2 2 2" xfId="6309" xr:uid="{00000000-0005-0000-0000-0000951A0000}"/>
    <cellStyle name="40% - 强调文字颜色 2 3 18 5 2 2 3" xfId="6313" xr:uid="{00000000-0005-0000-0000-0000961A0000}"/>
    <cellStyle name="40% - 强调文字颜色 2 3 18 5 2 3" xfId="6336" xr:uid="{00000000-0005-0000-0000-0000971A0000}"/>
    <cellStyle name="40% - 强调文字颜色 2 3 18 5 2 4" xfId="6339" xr:uid="{00000000-0005-0000-0000-0000981A0000}"/>
    <cellStyle name="40% - 强调文字颜色 2 3 18 5 2 5" xfId="6343" xr:uid="{00000000-0005-0000-0000-0000991A0000}"/>
    <cellStyle name="40% - 强调文字颜色 2 3 18 5 2 6" xfId="6347" xr:uid="{00000000-0005-0000-0000-00009A1A0000}"/>
    <cellStyle name="40% - 强调文字颜色 2 3 18 5 2 7" xfId="6355" xr:uid="{00000000-0005-0000-0000-00009B1A0000}"/>
    <cellStyle name="40% - 强调文字颜色 2 3 18 5 2 8" xfId="6359" xr:uid="{00000000-0005-0000-0000-00009C1A0000}"/>
    <cellStyle name="40% - 强调文字颜色 2 3 18 5 3" xfId="1907" xr:uid="{00000000-0005-0000-0000-00009D1A0000}"/>
    <cellStyle name="40% - 强调文字颜色 2 3 18 5 4" xfId="1930" xr:uid="{00000000-0005-0000-0000-00009E1A0000}"/>
    <cellStyle name="40% - 强调文字颜色 2 3 18 5 5" xfId="1960" xr:uid="{00000000-0005-0000-0000-00009F1A0000}"/>
    <cellStyle name="40% - 强调文字颜色 2 3 18 5 6" xfId="1856" xr:uid="{00000000-0005-0000-0000-0000A01A0000}"/>
    <cellStyle name="40% - 强调文字颜色 2 3 18 5 6 2" xfId="6407" xr:uid="{00000000-0005-0000-0000-0000A11A0000}"/>
    <cellStyle name="40% - 强调文字颜色 2 3 18 5 6 3" xfId="6409" xr:uid="{00000000-0005-0000-0000-0000A21A0000}"/>
    <cellStyle name="40% - 强调文字颜色 2 3 18 5 7" xfId="13425" xr:uid="{00000000-0005-0000-0000-0000A31A0000}"/>
    <cellStyle name="40% - 强调文字颜色 2 3 18 5 8" xfId="9035" xr:uid="{00000000-0005-0000-0000-0000A41A0000}"/>
    <cellStyle name="40% - 强调文字颜色 2 3 18 5 9" xfId="9042" xr:uid="{00000000-0005-0000-0000-0000A51A0000}"/>
    <cellStyle name="40% - 强调文字颜色 2 3 18 6" xfId="16148" xr:uid="{00000000-0005-0000-0000-0000A61A0000}"/>
    <cellStyle name="40% - 强调文字颜色 2 3 18 6 2" xfId="16149" xr:uid="{00000000-0005-0000-0000-0000A71A0000}"/>
    <cellStyle name="40% - 强调文字颜色 2 3 18 6 2 2" xfId="16151" xr:uid="{00000000-0005-0000-0000-0000A81A0000}"/>
    <cellStyle name="40% - 强调文字颜色 2 3 18 6 2 3" xfId="16154" xr:uid="{00000000-0005-0000-0000-0000A91A0000}"/>
    <cellStyle name="40% - 强调文字颜色 2 3 18 6 3" xfId="16158" xr:uid="{00000000-0005-0000-0000-0000AA1A0000}"/>
    <cellStyle name="40% - 强调文字颜色 2 3 18 6 4" xfId="14199" xr:uid="{00000000-0005-0000-0000-0000AB1A0000}"/>
    <cellStyle name="40% - 强调文字颜色 2 3 18 6 5" xfId="14213" xr:uid="{00000000-0005-0000-0000-0000AC1A0000}"/>
    <cellStyle name="40% - 强调文字颜色 2 3 18 6 6" xfId="14219" xr:uid="{00000000-0005-0000-0000-0000AD1A0000}"/>
    <cellStyle name="40% - 强调文字颜色 2 3 18 6 7" xfId="3746" xr:uid="{00000000-0005-0000-0000-0000AE1A0000}"/>
    <cellStyle name="40% - 强调文字颜色 2 3 18 6 8" xfId="7146" xr:uid="{00000000-0005-0000-0000-0000AF1A0000}"/>
    <cellStyle name="40% - 强调文字颜色 2 3 18 7" xfId="16160" xr:uid="{00000000-0005-0000-0000-0000B01A0000}"/>
    <cellStyle name="40% - 强调文字颜色 2 3 18 8" xfId="16162" xr:uid="{00000000-0005-0000-0000-0000B11A0000}"/>
    <cellStyle name="40% - 强调文字颜色 2 3 18 9" xfId="16164" xr:uid="{00000000-0005-0000-0000-0000B21A0000}"/>
    <cellStyle name="40% - 强调文字颜色 2 3 18 9 2" xfId="16165" xr:uid="{00000000-0005-0000-0000-0000B31A0000}"/>
    <cellStyle name="40% - 强调文字颜色 2 3 18 9 3" xfId="15339" xr:uid="{00000000-0005-0000-0000-0000B41A0000}"/>
    <cellStyle name="40% - 强调文字颜色 2 3 19" xfId="9691" xr:uid="{00000000-0005-0000-0000-0000B51A0000}"/>
    <cellStyle name="40% - 强调文字颜色 2 3 19 10" xfId="8492" xr:uid="{00000000-0005-0000-0000-0000B61A0000}"/>
    <cellStyle name="40% - 强调文字颜色 2 3 19 11" xfId="8506" xr:uid="{00000000-0005-0000-0000-0000B71A0000}"/>
    <cellStyle name="40% - 强调文字颜色 2 3 19 12" xfId="8513" xr:uid="{00000000-0005-0000-0000-0000B81A0000}"/>
    <cellStyle name="40% - 强调文字颜色 2 3 19 13" xfId="8520" xr:uid="{00000000-0005-0000-0000-0000B91A0000}"/>
    <cellStyle name="40% - 强调文字颜色 2 3 19 14" xfId="8527" xr:uid="{00000000-0005-0000-0000-0000BA1A0000}"/>
    <cellStyle name="40% - 强调文字颜色 2 3 19 2" xfId="9695" xr:uid="{00000000-0005-0000-0000-0000BB1A0000}"/>
    <cellStyle name="40% - 强调文字颜色 2 3 19 3" xfId="9697" xr:uid="{00000000-0005-0000-0000-0000BC1A0000}"/>
    <cellStyle name="40% - 强调文字颜色 2 3 19 4" xfId="9717" xr:uid="{00000000-0005-0000-0000-0000BD1A0000}"/>
    <cellStyle name="40% - 强调文字颜色 2 3 19 5" xfId="9718" xr:uid="{00000000-0005-0000-0000-0000BE1A0000}"/>
    <cellStyle name="40% - 强调文字颜色 2 3 19 5 10" xfId="16167" xr:uid="{00000000-0005-0000-0000-0000BF1A0000}"/>
    <cellStyle name="40% - 强调文字颜色 2 3 19 5 11" xfId="16170" xr:uid="{00000000-0005-0000-0000-0000C01A0000}"/>
    <cellStyle name="40% - 强调文字颜色 2 3 19 5 2" xfId="16173" xr:uid="{00000000-0005-0000-0000-0000C11A0000}"/>
    <cellStyle name="40% - 强调文字颜色 2 3 19 5 2 2" xfId="517" xr:uid="{00000000-0005-0000-0000-0000C21A0000}"/>
    <cellStyle name="40% - 强调文字颜色 2 3 19 5 2 2 2" xfId="1110" xr:uid="{00000000-0005-0000-0000-0000C31A0000}"/>
    <cellStyle name="40% - 强调文字颜色 2 3 19 5 2 2 3" xfId="1157" xr:uid="{00000000-0005-0000-0000-0000C41A0000}"/>
    <cellStyle name="40% - 强调文字颜色 2 3 19 5 2 3" xfId="560" xr:uid="{00000000-0005-0000-0000-0000C51A0000}"/>
    <cellStyle name="40% - 强调文字颜色 2 3 19 5 2 4" xfId="1219" xr:uid="{00000000-0005-0000-0000-0000C61A0000}"/>
    <cellStyle name="40% - 强调文字颜色 2 3 19 5 2 5" xfId="1230" xr:uid="{00000000-0005-0000-0000-0000C71A0000}"/>
    <cellStyle name="40% - 强调文字颜色 2 3 19 5 2 6" xfId="3611" xr:uid="{00000000-0005-0000-0000-0000C81A0000}"/>
    <cellStyle name="40% - 强调文字颜色 2 3 19 5 2 7" xfId="3616" xr:uid="{00000000-0005-0000-0000-0000C91A0000}"/>
    <cellStyle name="40% - 强调文字颜色 2 3 19 5 2 8" xfId="3623" xr:uid="{00000000-0005-0000-0000-0000CA1A0000}"/>
    <cellStyle name="40% - 强调文字颜色 2 3 19 5 3" xfId="16174" xr:uid="{00000000-0005-0000-0000-0000CB1A0000}"/>
    <cellStyle name="40% - 强调文字颜色 2 3 19 5 4" xfId="14256" xr:uid="{00000000-0005-0000-0000-0000CC1A0000}"/>
    <cellStyle name="40% - 强调文字颜色 2 3 19 5 5" xfId="14272" xr:uid="{00000000-0005-0000-0000-0000CD1A0000}"/>
    <cellStyle name="40% - 强调文字颜色 2 3 19 5 6" xfId="14274" xr:uid="{00000000-0005-0000-0000-0000CE1A0000}"/>
    <cellStyle name="40% - 强调文字颜色 2 3 19 5 6 2" xfId="1682" xr:uid="{00000000-0005-0000-0000-0000CF1A0000}"/>
    <cellStyle name="40% - 强调文字颜色 2 3 19 5 6 3" xfId="1791" xr:uid="{00000000-0005-0000-0000-0000D01A0000}"/>
    <cellStyle name="40% - 强调文字颜色 2 3 19 5 7" xfId="14276" xr:uid="{00000000-0005-0000-0000-0000D11A0000}"/>
    <cellStyle name="40% - 强调文字颜色 2 3 19 5 8" xfId="14279" xr:uid="{00000000-0005-0000-0000-0000D21A0000}"/>
    <cellStyle name="40% - 强调文字颜色 2 3 19 5 9" xfId="14283" xr:uid="{00000000-0005-0000-0000-0000D31A0000}"/>
    <cellStyle name="40% - 强调文字颜色 2 3 19 6" xfId="16175" xr:uid="{00000000-0005-0000-0000-0000D41A0000}"/>
    <cellStyle name="40% - 强调文字颜色 2 3 19 6 2" xfId="16177" xr:uid="{00000000-0005-0000-0000-0000D51A0000}"/>
    <cellStyle name="40% - 强调文字颜色 2 3 19 6 2 2" xfId="16178" xr:uid="{00000000-0005-0000-0000-0000D61A0000}"/>
    <cellStyle name="40% - 强调文字颜色 2 3 19 6 2 3" xfId="16182" xr:uid="{00000000-0005-0000-0000-0000D71A0000}"/>
    <cellStyle name="40% - 强调文字颜色 2 3 19 6 3" xfId="16183" xr:uid="{00000000-0005-0000-0000-0000D81A0000}"/>
    <cellStyle name="40% - 强调文字颜色 2 3 19 6 4" xfId="14289" xr:uid="{00000000-0005-0000-0000-0000D91A0000}"/>
    <cellStyle name="40% - 强调文字颜色 2 3 19 6 5" xfId="3437" xr:uid="{00000000-0005-0000-0000-0000DA1A0000}"/>
    <cellStyle name="40% - 强调文字颜色 2 3 19 6 6" xfId="3454" xr:uid="{00000000-0005-0000-0000-0000DB1A0000}"/>
    <cellStyle name="40% - 强调文字颜色 2 3 19 6 7" xfId="8332" xr:uid="{00000000-0005-0000-0000-0000DC1A0000}"/>
    <cellStyle name="40% - 强调文字颜色 2 3 19 6 8" xfId="8336" xr:uid="{00000000-0005-0000-0000-0000DD1A0000}"/>
    <cellStyle name="40% - 强调文字颜色 2 3 19 7" xfId="16184" xr:uid="{00000000-0005-0000-0000-0000DE1A0000}"/>
    <cellStyle name="40% - 强调文字颜色 2 3 19 8" xfId="16185" xr:uid="{00000000-0005-0000-0000-0000DF1A0000}"/>
    <cellStyle name="40% - 强调文字颜色 2 3 19 9" xfId="16186" xr:uid="{00000000-0005-0000-0000-0000E01A0000}"/>
    <cellStyle name="40% - 强调文字颜色 2 3 19 9 2" xfId="16191" xr:uid="{00000000-0005-0000-0000-0000E11A0000}"/>
    <cellStyle name="40% - 强调文字颜色 2 3 19 9 3" xfId="16198" xr:uid="{00000000-0005-0000-0000-0000E21A0000}"/>
    <cellStyle name="40% - 强调文字颜色 2 3 2" xfId="16196" xr:uid="{00000000-0005-0000-0000-0000E31A0000}"/>
    <cellStyle name="40% - 强调文字颜色 2 3 2 10" xfId="16200" xr:uid="{00000000-0005-0000-0000-0000E41A0000}"/>
    <cellStyle name="40% - 强调文字颜色 2 3 2 11" xfId="16207" xr:uid="{00000000-0005-0000-0000-0000E51A0000}"/>
    <cellStyle name="40% - 强调文字颜色 2 3 2 12" xfId="6914" xr:uid="{00000000-0005-0000-0000-0000E61A0000}"/>
    <cellStyle name="40% - 强调文字颜色 2 3 2 13" xfId="6922" xr:uid="{00000000-0005-0000-0000-0000E71A0000}"/>
    <cellStyle name="40% - 强调文字颜色 2 3 2 14" xfId="6930" xr:uid="{00000000-0005-0000-0000-0000E81A0000}"/>
    <cellStyle name="40% - 强调文字颜色 2 3 2 2" xfId="471" xr:uid="{00000000-0005-0000-0000-0000E91A0000}"/>
    <cellStyle name="40% - 强调文字颜色 2 3 2 3" xfId="201" xr:uid="{00000000-0005-0000-0000-0000EA1A0000}"/>
    <cellStyle name="40% - 强调文字颜色 2 3 2 4" xfId="3787" xr:uid="{00000000-0005-0000-0000-0000EB1A0000}"/>
    <cellStyle name="40% - 强调文字颜色 2 3 2 5" xfId="3797" xr:uid="{00000000-0005-0000-0000-0000EC1A0000}"/>
    <cellStyle name="40% - 强调文字颜色 2 3 2 6" xfId="11998" xr:uid="{00000000-0005-0000-0000-0000ED1A0000}"/>
    <cellStyle name="40% - 强调文字颜色 2 3 2 7" xfId="12001" xr:uid="{00000000-0005-0000-0000-0000EE1A0000}"/>
    <cellStyle name="40% - 强调文字颜色 2 3 2 8" xfId="12004" xr:uid="{00000000-0005-0000-0000-0000EF1A0000}"/>
    <cellStyle name="40% - 强调文字颜色 2 3 2 9" xfId="12007" xr:uid="{00000000-0005-0000-0000-0000F01A0000}"/>
    <cellStyle name="40% - 强调文字颜色 2 3 20" xfId="16046" xr:uid="{00000000-0005-0000-0000-0000F11A0000}"/>
    <cellStyle name="40% - 强调文字颜色 2 3 20 10" xfId="16210" xr:uid="{00000000-0005-0000-0000-0000F21A0000}"/>
    <cellStyle name="40% - 强调文字颜色 2 3 20 11" xfId="16212" xr:uid="{00000000-0005-0000-0000-0000F31A0000}"/>
    <cellStyle name="40% - 强调文字颜色 2 3 20 12" xfId="16213" xr:uid="{00000000-0005-0000-0000-0000F41A0000}"/>
    <cellStyle name="40% - 强调文字颜色 2 3 20 13" xfId="16214" xr:uid="{00000000-0005-0000-0000-0000F51A0000}"/>
    <cellStyle name="40% - 强调文字颜色 2 3 20 14" xfId="16216" xr:uid="{00000000-0005-0000-0000-0000F61A0000}"/>
    <cellStyle name="40% - 强调文字颜色 2 3 20 2" xfId="16049" xr:uid="{00000000-0005-0000-0000-0000F71A0000}"/>
    <cellStyle name="40% - 强调文字颜色 2 3 20 3" xfId="16126" xr:uid="{00000000-0005-0000-0000-0000F81A0000}"/>
    <cellStyle name="40% - 强调文字颜色 2 3 20 4" xfId="9694" xr:uid="{00000000-0005-0000-0000-0000F91A0000}"/>
    <cellStyle name="40% - 强调文字颜色 2 3 20 5" xfId="9701" xr:uid="{00000000-0005-0000-0000-0000FA1A0000}"/>
    <cellStyle name="40% - 强调文字颜色 2 3 20 5 10" xfId="16221" xr:uid="{00000000-0005-0000-0000-0000FB1A0000}"/>
    <cellStyle name="40% - 强调文字颜色 2 3 20 5 11" xfId="16228" xr:uid="{00000000-0005-0000-0000-0000FC1A0000}"/>
    <cellStyle name="40% - 强调文字颜色 2 3 20 5 2" xfId="16231" xr:uid="{00000000-0005-0000-0000-0000FD1A0000}"/>
    <cellStyle name="40% - 强调文字颜色 2 3 20 5 2 2" xfId="10597" xr:uid="{00000000-0005-0000-0000-0000FE1A0000}"/>
    <cellStyle name="40% - 强调文字颜色 2 3 20 5 2 2 2" xfId="3544" xr:uid="{00000000-0005-0000-0000-0000FF1A0000}"/>
    <cellStyle name="40% - 强调文字颜色 2 3 20 5 2 2 3" xfId="3548" xr:uid="{00000000-0005-0000-0000-0000001B0000}"/>
    <cellStyle name="40% - 强调文字颜色 2 3 20 5 2 3" xfId="478" xr:uid="{00000000-0005-0000-0000-0000011B0000}"/>
    <cellStyle name="40% - 强调文字颜色 2 3 20 5 2 4" xfId="8645" xr:uid="{00000000-0005-0000-0000-0000021B0000}"/>
    <cellStyle name="40% - 强调文字颜色 2 3 20 5 2 5" xfId="8650" xr:uid="{00000000-0005-0000-0000-0000031B0000}"/>
    <cellStyle name="40% - 强调文字颜色 2 3 20 5 2 6" xfId="13694" xr:uid="{00000000-0005-0000-0000-0000041B0000}"/>
    <cellStyle name="40% - 强调文字颜色 2 3 20 5 2 7" xfId="13744" xr:uid="{00000000-0005-0000-0000-0000051B0000}"/>
    <cellStyle name="40% - 强调文字颜色 2 3 20 5 2 8" xfId="13774" xr:uid="{00000000-0005-0000-0000-0000061B0000}"/>
    <cellStyle name="40% - 强调文字颜色 2 3 20 5 3" xfId="16232" xr:uid="{00000000-0005-0000-0000-0000071B0000}"/>
    <cellStyle name="40% - 强调文字颜色 2 3 20 5 4" xfId="13369" xr:uid="{00000000-0005-0000-0000-0000081B0000}"/>
    <cellStyle name="40% - 强调文字颜色 2 3 20 5 5" xfId="13376" xr:uid="{00000000-0005-0000-0000-0000091B0000}"/>
    <cellStyle name="40% - 强调文字颜色 2 3 20 5 6" xfId="13382" xr:uid="{00000000-0005-0000-0000-00000A1B0000}"/>
    <cellStyle name="40% - 强调文字颜色 2 3 20 5 6 2" xfId="7033" xr:uid="{00000000-0005-0000-0000-00000B1B0000}"/>
    <cellStyle name="40% - 强调文字颜色 2 3 20 5 6 3" xfId="7046" xr:uid="{00000000-0005-0000-0000-00000C1B0000}"/>
    <cellStyle name="40% - 强调文字颜色 2 3 20 5 7" xfId="13389" xr:uid="{00000000-0005-0000-0000-00000D1B0000}"/>
    <cellStyle name="40% - 强调文字颜色 2 3 20 5 8" xfId="13393" xr:uid="{00000000-0005-0000-0000-00000E1B0000}"/>
    <cellStyle name="40% - 强调文字颜色 2 3 20 5 9" xfId="14387" xr:uid="{00000000-0005-0000-0000-00000F1B0000}"/>
    <cellStyle name="40% - 强调文字颜色 2 3 20 6" xfId="9705" xr:uid="{00000000-0005-0000-0000-0000101B0000}"/>
    <cellStyle name="40% - 强调文字颜色 2 3 20 6 2" xfId="4805" xr:uid="{00000000-0005-0000-0000-0000111B0000}"/>
    <cellStyle name="40% - 强调文字颜色 2 3 20 6 2 2" xfId="4137" xr:uid="{00000000-0005-0000-0000-0000121B0000}"/>
    <cellStyle name="40% - 强调文字颜色 2 3 20 6 2 3" xfId="4202" xr:uid="{00000000-0005-0000-0000-0000131B0000}"/>
    <cellStyle name="40% - 强调文字颜色 2 3 20 6 3" xfId="4936" xr:uid="{00000000-0005-0000-0000-0000141B0000}"/>
    <cellStyle name="40% - 强调文字颜色 2 3 20 6 4" xfId="2560" xr:uid="{00000000-0005-0000-0000-0000151B0000}"/>
    <cellStyle name="40% - 强调文字颜色 2 3 20 6 5" xfId="14392" xr:uid="{00000000-0005-0000-0000-0000161B0000}"/>
    <cellStyle name="40% - 强调文字颜色 2 3 20 6 6" xfId="14396" xr:uid="{00000000-0005-0000-0000-0000171B0000}"/>
    <cellStyle name="40% - 强调文字颜色 2 3 20 6 7" xfId="14400" xr:uid="{00000000-0005-0000-0000-0000181B0000}"/>
    <cellStyle name="40% - 强调文字颜色 2 3 20 6 8" xfId="14402" xr:uid="{00000000-0005-0000-0000-0000191B0000}"/>
    <cellStyle name="40% - 强调文字颜色 2 3 20 7" xfId="7469" xr:uid="{00000000-0005-0000-0000-00001A1B0000}"/>
    <cellStyle name="40% - 强调文字颜色 2 3 20 8" xfId="7476" xr:uid="{00000000-0005-0000-0000-00001B1B0000}"/>
    <cellStyle name="40% - 强调文字颜色 2 3 20 9" xfId="7293" xr:uid="{00000000-0005-0000-0000-00001C1B0000}"/>
    <cellStyle name="40% - 强调文字颜色 2 3 20 9 2" xfId="16237" xr:uid="{00000000-0005-0000-0000-00001D1B0000}"/>
    <cellStyle name="40% - 强调文字颜色 2 3 20 9 3" xfId="2852" xr:uid="{00000000-0005-0000-0000-00001E1B0000}"/>
    <cellStyle name="40% - 强调文字颜色 2 3 3" xfId="14300" xr:uid="{00000000-0005-0000-0000-00001F1B0000}"/>
    <cellStyle name="40% - 强调文字颜色 2 3 3 10" xfId="12845" xr:uid="{00000000-0005-0000-0000-0000201B0000}"/>
    <cellStyle name="40% - 强调文字颜色 2 3 3 11" xfId="12847" xr:uid="{00000000-0005-0000-0000-0000211B0000}"/>
    <cellStyle name="40% - 强调文字颜色 2 3 3 12" xfId="12849" xr:uid="{00000000-0005-0000-0000-0000221B0000}"/>
    <cellStyle name="40% - 强调文字颜色 2 3 3 13" xfId="16238" xr:uid="{00000000-0005-0000-0000-0000231B0000}"/>
    <cellStyle name="40% - 强调文字颜色 2 3 3 14" xfId="16242" xr:uid="{00000000-0005-0000-0000-0000241B0000}"/>
    <cellStyle name="40% - 强调文字颜色 2 3 3 2" xfId="16243" xr:uid="{00000000-0005-0000-0000-0000251B0000}"/>
    <cellStyle name="40% - 强调文字颜色 2 3 3 3" xfId="16244" xr:uid="{00000000-0005-0000-0000-0000261B0000}"/>
    <cellStyle name="40% - 强调文字颜色 2 3 3 4" xfId="16245" xr:uid="{00000000-0005-0000-0000-0000271B0000}"/>
    <cellStyle name="40% - 强调文字颜色 2 3 3 5" xfId="16247" xr:uid="{00000000-0005-0000-0000-0000281B0000}"/>
    <cellStyle name="40% - 强调文字颜色 2 3 3 6" xfId="16249" xr:uid="{00000000-0005-0000-0000-0000291B0000}"/>
    <cellStyle name="40% - 强调文字颜色 2 3 3 7" xfId="1624" xr:uid="{00000000-0005-0000-0000-00002A1B0000}"/>
    <cellStyle name="40% - 强调文字颜色 2 3 3 8" xfId="443" xr:uid="{00000000-0005-0000-0000-00002B1B0000}"/>
    <cellStyle name="40% - 强调文字颜色 2 3 3 9" xfId="13464" xr:uid="{00000000-0005-0000-0000-00002C1B0000}"/>
    <cellStyle name="40% - 强调文字颜色 2 3 4" xfId="14306" xr:uid="{00000000-0005-0000-0000-00002D1B0000}"/>
    <cellStyle name="40% - 强调文字颜色 2 3 4 10" xfId="9367" xr:uid="{00000000-0005-0000-0000-00002E1B0000}"/>
    <cellStyle name="40% - 强调文字颜色 2 3 4 11" xfId="9377" xr:uid="{00000000-0005-0000-0000-00002F1B0000}"/>
    <cellStyle name="40% - 强调文字颜色 2 3 4 12" xfId="9394" xr:uid="{00000000-0005-0000-0000-0000301B0000}"/>
    <cellStyle name="40% - 强调文字颜色 2 3 4 13" xfId="9408" xr:uid="{00000000-0005-0000-0000-0000311B0000}"/>
    <cellStyle name="40% - 强调文字颜色 2 3 4 14" xfId="217" xr:uid="{00000000-0005-0000-0000-0000321B0000}"/>
    <cellStyle name="40% - 强调文字颜色 2 3 4 2" xfId="8061" xr:uid="{00000000-0005-0000-0000-0000331B0000}"/>
    <cellStyle name="40% - 强调文字颜色 2 3 4 3" xfId="8066" xr:uid="{00000000-0005-0000-0000-0000341B0000}"/>
    <cellStyle name="40% - 强调文字颜色 2 3 4 4" xfId="8219" xr:uid="{00000000-0005-0000-0000-0000351B0000}"/>
    <cellStyle name="40% - 强调文字颜色 2 3 4 5" xfId="8328" xr:uid="{00000000-0005-0000-0000-0000361B0000}"/>
    <cellStyle name="40% - 强调文字颜色 2 3 4 6" xfId="8411" xr:uid="{00000000-0005-0000-0000-0000371B0000}"/>
    <cellStyle name="40% - 强调文字颜色 2 3 4 7" xfId="16252" xr:uid="{00000000-0005-0000-0000-0000381B0000}"/>
    <cellStyle name="40% - 强调文字颜色 2 3 4 8" xfId="16255" xr:uid="{00000000-0005-0000-0000-0000391B0000}"/>
    <cellStyle name="40% - 强调文字颜色 2 3 4 9" xfId="16259" xr:uid="{00000000-0005-0000-0000-00003A1B0000}"/>
    <cellStyle name="40% - 强调文字颜色 2 3 5" xfId="16262" xr:uid="{00000000-0005-0000-0000-00003B1B0000}"/>
    <cellStyle name="40% - 强调文字颜色 2 3 6" xfId="16265" xr:uid="{00000000-0005-0000-0000-00003C1B0000}"/>
    <cellStyle name="40% - 强调文字颜色 2 3 7" xfId="4308" xr:uid="{00000000-0005-0000-0000-00003D1B0000}"/>
    <cellStyle name="40% - 强调文字颜色 2 3 8" xfId="4567" xr:uid="{00000000-0005-0000-0000-00003E1B0000}"/>
    <cellStyle name="40% - 强调文字颜色 2 3 9" xfId="4593" xr:uid="{00000000-0005-0000-0000-00003F1B0000}"/>
    <cellStyle name="40% - 强调文字颜色 2 4" xfId="16268" xr:uid="{00000000-0005-0000-0000-0000401B0000}"/>
    <cellStyle name="40% - 强调文字颜色 2 4 10" xfId="16272" xr:uid="{00000000-0005-0000-0000-0000411B0000}"/>
    <cellStyle name="40% - 强调文字颜色 2 4 11" xfId="16279" xr:uid="{00000000-0005-0000-0000-0000421B0000}"/>
    <cellStyle name="40% - 强调文字颜色 2 4 12" xfId="16284" xr:uid="{00000000-0005-0000-0000-0000431B0000}"/>
    <cellStyle name="40% - 强调文字颜色 2 4 13" xfId="16288" xr:uid="{00000000-0005-0000-0000-0000441B0000}"/>
    <cellStyle name="40% - 强调文字颜色 2 4 14" xfId="16291" xr:uid="{00000000-0005-0000-0000-0000451B0000}"/>
    <cellStyle name="40% - 强调文字颜色 2 4 15" xfId="16293" xr:uid="{00000000-0005-0000-0000-0000461B0000}"/>
    <cellStyle name="40% - 强调文字颜色 2 4 16" xfId="16295" xr:uid="{00000000-0005-0000-0000-0000471B0000}"/>
    <cellStyle name="40% - 强调文字颜色 2 4 17" xfId="16230" xr:uid="{00000000-0005-0000-0000-0000481B0000}"/>
    <cellStyle name="40% - 强调文字颜色 2 4 17 10" xfId="16296" xr:uid="{00000000-0005-0000-0000-0000491B0000}"/>
    <cellStyle name="40% - 强调文字颜色 2 4 17 11" xfId="16297" xr:uid="{00000000-0005-0000-0000-00004A1B0000}"/>
    <cellStyle name="40% - 强调文字颜色 2 4 17 12" xfId="16298" xr:uid="{00000000-0005-0000-0000-00004B1B0000}"/>
    <cellStyle name="40% - 强调文字颜色 2 4 17 13" xfId="16299" xr:uid="{00000000-0005-0000-0000-00004C1B0000}"/>
    <cellStyle name="40% - 强调文字颜色 2 4 17 14" xfId="16300" xr:uid="{00000000-0005-0000-0000-00004D1B0000}"/>
    <cellStyle name="40% - 强调文字颜色 2 4 17 2" xfId="10596" xr:uid="{00000000-0005-0000-0000-00004E1B0000}"/>
    <cellStyle name="40% - 强调文字颜色 2 4 17 3" xfId="477" xr:uid="{00000000-0005-0000-0000-00004F1B0000}"/>
    <cellStyle name="40% - 强调文字颜色 2 4 17 4" xfId="8643" xr:uid="{00000000-0005-0000-0000-0000501B0000}"/>
    <cellStyle name="40% - 强调文字颜色 2 4 17 5" xfId="8648" xr:uid="{00000000-0005-0000-0000-0000511B0000}"/>
    <cellStyle name="40% - 强调文字颜色 2 4 17 5 10" xfId="14638" xr:uid="{00000000-0005-0000-0000-0000521B0000}"/>
    <cellStyle name="40% - 强调文字颜色 2 4 17 5 11" xfId="16302" xr:uid="{00000000-0005-0000-0000-0000531B0000}"/>
    <cellStyle name="40% - 强调文字颜色 2 4 17 5 2" xfId="554" xr:uid="{00000000-0005-0000-0000-0000541B0000}"/>
    <cellStyle name="40% - 强调文字颜色 2 4 17 5 2 2" xfId="16304" xr:uid="{00000000-0005-0000-0000-0000551B0000}"/>
    <cellStyle name="40% - 强调文字颜色 2 4 17 5 2 2 2" xfId="16306" xr:uid="{00000000-0005-0000-0000-0000561B0000}"/>
    <cellStyle name="40% - 强调文字颜色 2 4 17 5 2 2 3" xfId="16308" xr:uid="{00000000-0005-0000-0000-0000571B0000}"/>
    <cellStyle name="40% - 强调文字颜色 2 4 17 5 2 3" xfId="16311" xr:uid="{00000000-0005-0000-0000-0000581B0000}"/>
    <cellStyle name="40% - 强调文字颜色 2 4 17 5 2 4" xfId="16314" xr:uid="{00000000-0005-0000-0000-0000591B0000}"/>
    <cellStyle name="40% - 强调文字颜色 2 4 17 5 2 5" xfId="16319" xr:uid="{00000000-0005-0000-0000-00005A1B0000}"/>
    <cellStyle name="40% - 强调文字颜色 2 4 17 5 2 6" xfId="16324" xr:uid="{00000000-0005-0000-0000-00005B1B0000}"/>
    <cellStyle name="40% - 强调文字颜色 2 4 17 5 2 7" xfId="16327" xr:uid="{00000000-0005-0000-0000-00005C1B0000}"/>
    <cellStyle name="40% - 强调文字颜色 2 4 17 5 2 8" xfId="16330" xr:uid="{00000000-0005-0000-0000-00005D1B0000}"/>
    <cellStyle name="40% - 强调文字颜色 2 4 17 5 3" xfId="1226" xr:uid="{00000000-0005-0000-0000-00005E1B0000}"/>
    <cellStyle name="40% - 强调文字颜色 2 4 17 5 4" xfId="1237" xr:uid="{00000000-0005-0000-0000-00005F1B0000}"/>
    <cellStyle name="40% - 强调文字颜色 2 4 17 5 5" xfId="14503" xr:uid="{00000000-0005-0000-0000-0000601B0000}"/>
    <cellStyle name="40% - 强调文字颜色 2 4 17 5 6" xfId="14506" xr:uid="{00000000-0005-0000-0000-0000611B0000}"/>
    <cellStyle name="40% - 强调文字颜色 2 4 17 5 6 2" xfId="15431" xr:uid="{00000000-0005-0000-0000-0000621B0000}"/>
    <cellStyle name="40% - 强调文字颜色 2 4 17 5 6 3" xfId="15435" xr:uid="{00000000-0005-0000-0000-0000631B0000}"/>
    <cellStyle name="40% - 强调文字颜色 2 4 17 5 7" xfId="14509" xr:uid="{00000000-0005-0000-0000-0000641B0000}"/>
    <cellStyle name="40% - 强调文字颜色 2 4 17 5 8" xfId="14512" xr:uid="{00000000-0005-0000-0000-0000651B0000}"/>
    <cellStyle name="40% - 强调文字颜色 2 4 17 5 9" xfId="14515" xr:uid="{00000000-0005-0000-0000-0000661B0000}"/>
    <cellStyle name="40% - 强调文字颜色 2 4 17 6" xfId="13693" xr:uid="{00000000-0005-0000-0000-0000671B0000}"/>
    <cellStyle name="40% - 强调文字颜色 2 4 17 6 2" xfId="2650" xr:uid="{00000000-0005-0000-0000-0000681B0000}"/>
    <cellStyle name="40% - 强调文字颜色 2 4 17 6 2 2" xfId="13696" xr:uid="{00000000-0005-0000-0000-0000691B0000}"/>
    <cellStyle name="40% - 强调文字颜色 2 4 17 6 2 3" xfId="13701" xr:uid="{00000000-0005-0000-0000-00006A1B0000}"/>
    <cellStyle name="40% - 强调文字颜色 2 4 17 6 3" xfId="2669" xr:uid="{00000000-0005-0000-0000-00006B1B0000}"/>
    <cellStyle name="40% - 强调文字颜色 2 4 17 6 4" xfId="3289" xr:uid="{00000000-0005-0000-0000-00006C1B0000}"/>
    <cellStyle name="40% - 强调文字颜色 2 4 17 6 5" xfId="13719" xr:uid="{00000000-0005-0000-0000-00006D1B0000}"/>
    <cellStyle name="40% - 强调文字颜色 2 4 17 6 6" xfId="13723" xr:uid="{00000000-0005-0000-0000-00006E1B0000}"/>
    <cellStyle name="40% - 强调文字颜色 2 4 17 6 7" xfId="13731" xr:uid="{00000000-0005-0000-0000-00006F1B0000}"/>
    <cellStyle name="40% - 强调文字颜色 2 4 17 6 8" xfId="13735" xr:uid="{00000000-0005-0000-0000-0000701B0000}"/>
    <cellStyle name="40% - 强调文字颜色 2 4 17 7" xfId="13743" xr:uid="{00000000-0005-0000-0000-0000711B0000}"/>
    <cellStyle name="40% - 强调文字颜色 2 4 17 8" xfId="13773" xr:uid="{00000000-0005-0000-0000-0000721B0000}"/>
    <cellStyle name="40% - 强调文字颜色 2 4 17 9" xfId="13780" xr:uid="{00000000-0005-0000-0000-0000731B0000}"/>
    <cellStyle name="40% - 强调文字颜色 2 4 17 9 2" xfId="4371" xr:uid="{00000000-0005-0000-0000-0000741B0000}"/>
    <cellStyle name="40% - 强调文字颜色 2 4 17 9 3" xfId="4372" xr:uid="{00000000-0005-0000-0000-0000751B0000}"/>
    <cellStyle name="40% - 强调文字颜色 2 4 18" xfId="16234" xr:uid="{00000000-0005-0000-0000-0000761B0000}"/>
    <cellStyle name="40% - 强调文字颜色 2 4 18 10" xfId="16331" xr:uid="{00000000-0005-0000-0000-0000771B0000}"/>
    <cellStyle name="40% - 强调文字颜色 2 4 18 11" xfId="16332" xr:uid="{00000000-0005-0000-0000-0000781B0000}"/>
    <cellStyle name="40% - 强调文字颜色 2 4 18 12" xfId="16333" xr:uid="{00000000-0005-0000-0000-0000791B0000}"/>
    <cellStyle name="40% - 强调文字颜色 2 4 18 13" xfId="15062" xr:uid="{00000000-0005-0000-0000-00007A1B0000}"/>
    <cellStyle name="40% - 强调文字颜色 2 4 18 14" xfId="15069" xr:uid="{00000000-0005-0000-0000-00007B1B0000}"/>
    <cellStyle name="40% - 强调文字颜色 2 4 18 2" xfId="16335" xr:uid="{00000000-0005-0000-0000-00007C1B0000}"/>
    <cellStyle name="40% - 强调文字颜色 2 4 18 3" xfId="13790" xr:uid="{00000000-0005-0000-0000-00007D1B0000}"/>
    <cellStyle name="40% - 强调文字颜色 2 4 18 4" xfId="13795" xr:uid="{00000000-0005-0000-0000-00007E1B0000}"/>
    <cellStyle name="40% - 强调文字颜色 2 4 18 5" xfId="13800" xr:uid="{00000000-0005-0000-0000-00007F1B0000}"/>
    <cellStyle name="40% - 强调文字颜色 2 4 18 5 10" xfId="16340" xr:uid="{00000000-0005-0000-0000-0000801B0000}"/>
    <cellStyle name="40% - 强调文字颜色 2 4 18 5 11" xfId="16344" xr:uid="{00000000-0005-0000-0000-0000811B0000}"/>
    <cellStyle name="40% - 强调文字颜色 2 4 18 5 2" xfId="8802" xr:uid="{00000000-0005-0000-0000-0000821B0000}"/>
    <cellStyle name="40% - 强调文字颜色 2 4 18 5 2 2" xfId="8809" xr:uid="{00000000-0005-0000-0000-0000831B0000}"/>
    <cellStyle name="40% - 强调文字颜色 2 4 18 5 2 2 2" xfId="8812" xr:uid="{00000000-0005-0000-0000-0000841B0000}"/>
    <cellStyle name="40% - 强调文字颜色 2 4 18 5 2 2 3" xfId="8814" xr:uid="{00000000-0005-0000-0000-0000851B0000}"/>
    <cellStyle name="40% - 强调文字颜色 2 4 18 5 2 3" xfId="8825" xr:uid="{00000000-0005-0000-0000-0000861B0000}"/>
    <cellStyle name="40% - 强调文字颜色 2 4 18 5 2 4" xfId="8832" xr:uid="{00000000-0005-0000-0000-0000871B0000}"/>
    <cellStyle name="40% - 强调文字颜色 2 4 18 5 2 5" xfId="8841" xr:uid="{00000000-0005-0000-0000-0000881B0000}"/>
    <cellStyle name="40% - 强调文字颜色 2 4 18 5 2 6" xfId="1373" xr:uid="{00000000-0005-0000-0000-0000891B0000}"/>
    <cellStyle name="40% - 强调文字颜色 2 4 18 5 2 7" xfId="1386" xr:uid="{00000000-0005-0000-0000-00008A1B0000}"/>
    <cellStyle name="40% - 强调文字颜色 2 4 18 5 2 8" xfId="1398" xr:uid="{00000000-0005-0000-0000-00008B1B0000}"/>
    <cellStyle name="40% - 强调文字颜色 2 4 18 5 3" xfId="8852" xr:uid="{00000000-0005-0000-0000-00008C1B0000}"/>
    <cellStyle name="40% - 强调文字颜色 2 4 18 5 4" xfId="8876" xr:uid="{00000000-0005-0000-0000-00008D1B0000}"/>
    <cellStyle name="40% - 强调文字颜色 2 4 18 5 5" xfId="7518" xr:uid="{00000000-0005-0000-0000-00008E1B0000}"/>
    <cellStyle name="40% - 强调文字颜色 2 4 18 5 6" xfId="5592" xr:uid="{00000000-0005-0000-0000-00008F1B0000}"/>
    <cellStyle name="40% - 强调文字颜色 2 4 18 5 6 2" xfId="8880" xr:uid="{00000000-0005-0000-0000-0000901B0000}"/>
    <cellStyle name="40% - 强调文字颜色 2 4 18 5 6 3" xfId="8886" xr:uid="{00000000-0005-0000-0000-0000911B0000}"/>
    <cellStyle name="40% - 强调文字颜色 2 4 18 5 7" xfId="5603" xr:uid="{00000000-0005-0000-0000-0000921B0000}"/>
    <cellStyle name="40% - 强调文字颜色 2 4 18 5 8" xfId="14556" xr:uid="{00000000-0005-0000-0000-0000931B0000}"/>
    <cellStyle name="40% - 强调文字颜色 2 4 18 5 9" xfId="14568" xr:uid="{00000000-0005-0000-0000-0000941B0000}"/>
    <cellStyle name="40% - 强调文字颜色 2 4 18 6" xfId="13804" xr:uid="{00000000-0005-0000-0000-0000951B0000}"/>
    <cellStyle name="40% - 强调文字颜色 2 4 18 6 2" xfId="13810" xr:uid="{00000000-0005-0000-0000-0000961B0000}"/>
    <cellStyle name="40% - 强调文字颜色 2 4 18 6 2 2" xfId="13816" xr:uid="{00000000-0005-0000-0000-0000971B0000}"/>
    <cellStyle name="40% - 强调文字颜色 2 4 18 6 2 3" xfId="13820" xr:uid="{00000000-0005-0000-0000-0000981B0000}"/>
    <cellStyle name="40% - 强调文字颜色 2 4 18 6 3" xfId="13822" xr:uid="{00000000-0005-0000-0000-0000991B0000}"/>
    <cellStyle name="40% - 强调文字颜色 2 4 18 6 4" xfId="13827" xr:uid="{00000000-0005-0000-0000-00009A1B0000}"/>
    <cellStyle name="40% - 强调文字颜色 2 4 18 6 5" xfId="13833" xr:uid="{00000000-0005-0000-0000-00009B1B0000}"/>
    <cellStyle name="40% - 强调文字颜色 2 4 18 6 6" xfId="13840" xr:uid="{00000000-0005-0000-0000-00009C1B0000}"/>
    <cellStyle name="40% - 强调文字颜色 2 4 18 6 7" xfId="13852" xr:uid="{00000000-0005-0000-0000-00009D1B0000}"/>
    <cellStyle name="40% - 强调文字颜色 2 4 18 6 8" xfId="13858" xr:uid="{00000000-0005-0000-0000-00009E1B0000}"/>
    <cellStyle name="40% - 强调文字颜色 2 4 18 7" xfId="13869" xr:uid="{00000000-0005-0000-0000-00009F1B0000}"/>
    <cellStyle name="40% - 强调文字颜色 2 4 18 8" xfId="13912" xr:uid="{00000000-0005-0000-0000-0000A01B0000}"/>
    <cellStyle name="40% - 强调文字颜色 2 4 18 9" xfId="13916" xr:uid="{00000000-0005-0000-0000-0000A11B0000}"/>
    <cellStyle name="40% - 强调文字颜色 2 4 18 9 2" xfId="16345" xr:uid="{00000000-0005-0000-0000-0000A21B0000}"/>
    <cellStyle name="40% - 强调文字颜色 2 4 18 9 3" xfId="16348" xr:uid="{00000000-0005-0000-0000-0000A31B0000}"/>
    <cellStyle name="40% - 强调文字颜色 2 4 19" xfId="13371" xr:uid="{00000000-0005-0000-0000-0000A41B0000}"/>
    <cellStyle name="40% - 强调文字颜色 2 4 19 10" xfId="8689" xr:uid="{00000000-0005-0000-0000-0000A51B0000}"/>
    <cellStyle name="40% - 强调文字颜色 2 4 19 11" xfId="8698" xr:uid="{00000000-0005-0000-0000-0000A61B0000}"/>
    <cellStyle name="40% - 强调文字颜色 2 4 19 12" xfId="4970" xr:uid="{00000000-0005-0000-0000-0000A71B0000}"/>
    <cellStyle name="40% - 强调文字颜色 2 4 19 13" xfId="4973" xr:uid="{00000000-0005-0000-0000-0000A81B0000}"/>
    <cellStyle name="40% - 强调文字颜色 2 4 19 14" xfId="6257" xr:uid="{00000000-0005-0000-0000-0000A91B0000}"/>
    <cellStyle name="40% - 强调文字颜色 2 4 19 2" xfId="14335" xr:uid="{00000000-0005-0000-0000-0000AA1B0000}"/>
    <cellStyle name="40% - 强调文字颜色 2 4 19 3" xfId="14344" xr:uid="{00000000-0005-0000-0000-0000AB1B0000}"/>
    <cellStyle name="40% - 强调文字颜色 2 4 19 4" xfId="14354" xr:uid="{00000000-0005-0000-0000-0000AC1B0000}"/>
    <cellStyle name="40% - 强调文字颜色 2 4 19 5" xfId="14362" xr:uid="{00000000-0005-0000-0000-0000AD1B0000}"/>
    <cellStyle name="40% - 强调文字颜色 2 4 19 5 10" xfId="16315" xr:uid="{00000000-0005-0000-0000-0000AE1B0000}"/>
    <cellStyle name="40% - 强调文字颜色 2 4 19 5 11" xfId="16320" xr:uid="{00000000-0005-0000-0000-0000AF1B0000}"/>
    <cellStyle name="40% - 强调文字颜色 2 4 19 5 2" xfId="15507" xr:uid="{00000000-0005-0000-0000-0000B01B0000}"/>
    <cellStyle name="40% - 强调文字颜色 2 4 19 5 2 2" xfId="13080" xr:uid="{00000000-0005-0000-0000-0000B11B0000}"/>
    <cellStyle name="40% - 强调文字颜色 2 4 19 5 2 2 2" xfId="13543" xr:uid="{00000000-0005-0000-0000-0000B21B0000}"/>
    <cellStyle name="40% - 强调文字颜色 2 4 19 5 2 2 3" xfId="13547" xr:uid="{00000000-0005-0000-0000-0000B31B0000}"/>
    <cellStyle name="40% - 强调文字颜色 2 4 19 5 2 3" xfId="16349" xr:uid="{00000000-0005-0000-0000-0000B41B0000}"/>
    <cellStyle name="40% - 强调文字颜色 2 4 19 5 2 4" xfId="16351" xr:uid="{00000000-0005-0000-0000-0000B51B0000}"/>
    <cellStyle name="40% - 强调文字颜色 2 4 19 5 2 5" xfId="16352" xr:uid="{00000000-0005-0000-0000-0000B61B0000}"/>
    <cellStyle name="40% - 强调文字颜色 2 4 19 5 2 6" xfId="16353" xr:uid="{00000000-0005-0000-0000-0000B71B0000}"/>
    <cellStyle name="40% - 强调文字颜色 2 4 19 5 2 7" xfId="16354" xr:uid="{00000000-0005-0000-0000-0000B81B0000}"/>
    <cellStyle name="40% - 强调文字颜色 2 4 19 5 2 8" xfId="16355" xr:uid="{00000000-0005-0000-0000-0000B91B0000}"/>
    <cellStyle name="40% - 强调文字颜色 2 4 19 5 3" xfId="15512" xr:uid="{00000000-0005-0000-0000-0000BA1B0000}"/>
    <cellStyle name="40% - 强调文字颜色 2 4 19 5 4" xfId="14598" xr:uid="{00000000-0005-0000-0000-0000BB1B0000}"/>
    <cellStyle name="40% - 强调文字颜色 2 4 19 5 5" xfId="14606" xr:uid="{00000000-0005-0000-0000-0000BC1B0000}"/>
    <cellStyle name="40% - 强调文字颜色 2 4 19 5 6" xfId="14610" xr:uid="{00000000-0005-0000-0000-0000BD1B0000}"/>
    <cellStyle name="40% - 强调文字颜色 2 4 19 5 6 2" xfId="16357" xr:uid="{00000000-0005-0000-0000-0000BE1B0000}"/>
    <cellStyle name="40% - 强调文字颜色 2 4 19 5 6 3" xfId="16360" xr:uid="{00000000-0005-0000-0000-0000BF1B0000}"/>
    <cellStyle name="40% - 强调文字颜色 2 4 19 5 7" xfId="14615" xr:uid="{00000000-0005-0000-0000-0000C01B0000}"/>
    <cellStyle name="40% - 强调文字颜色 2 4 19 5 8" xfId="14620" xr:uid="{00000000-0005-0000-0000-0000C11B0000}"/>
    <cellStyle name="40% - 强调文字颜色 2 4 19 5 9" xfId="14627" xr:uid="{00000000-0005-0000-0000-0000C21B0000}"/>
    <cellStyle name="40% - 强调文字颜色 2 4 19 6" xfId="14366" xr:uid="{00000000-0005-0000-0000-0000C31B0000}"/>
    <cellStyle name="40% - 强调文字颜色 2 4 19 6 2" xfId="16361" xr:uid="{00000000-0005-0000-0000-0000C41B0000}"/>
    <cellStyle name="40% - 强调文字颜色 2 4 19 6 2 2" xfId="16363" xr:uid="{00000000-0005-0000-0000-0000C51B0000}"/>
    <cellStyle name="40% - 强调文字颜色 2 4 19 6 2 3" xfId="16365" xr:uid="{00000000-0005-0000-0000-0000C61B0000}"/>
    <cellStyle name="40% - 强调文字颜色 2 4 19 6 3" xfId="16367" xr:uid="{00000000-0005-0000-0000-0000C71B0000}"/>
    <cellStyle name="40% - 强调文字颜色 2 4 19 6 4" xfId="14639" xr:uid="{00000000-0005-0000-0000-0000C81B0000}"/>
    <cellStyle name="40% - 强调文字颜色 2 4 19 6 5" xfId="10905" xr:uid="{00000000-0005-0000-0000-0000C91B0000}"/>
    <cellStyle name="40% - 强调文字颜色 2 4 19 6 6" xfId="10909" xr:uid="{00000000-0005-0000-0000-0000CA1B0000}"/>
    <cellStyle name="40% - 强调文字颜色 2 4 19 6 7" xfId="10656" xr:uid="{00000000-0005-0000-0000-0000CB1B0000}"/>
    <cellStyle name="40% - 强调文字颜色 2 4 19 6 8" xfId="10665" xr:uid="{00000000-0005-0000-0000-0000CC1B0000}"/>
    <cellStyle name="40% - 强调文字颜色 2 4 19 7" xfId="14369" xr:uid="{00000000-0005-0000-0000-0000CD1B0000}"/>
    <cellStyle name="40% - 强调文字颜色 2 4 19 8" xfId="14372" xr:uid="{00000000-0005-0000-0000-0000CE1B0000}"/>
    <cellStyle name="40% - 强调文字颜色 2 4 19 9" xfId="16368" xr:uid="{00000000-0005-0000-0000-0000CF1B0000}"/>
    <cellStyle name="40% - 强调文字颜色 2 4 19 9 2" xfId="1913" xr:uid="{00000000-0005-0000-0000-0000D01B0000}"/>
    <cellStyle name="40% - 强调文字颜色 2 4 19 9 3" xfId="1938" xr:uid="{00000000-0005-0000-0000-0000D11B0000}"/>
    <cellStyle name="40% - 强调文字颜色 2 4 2" xfId="16215" xr:uid="{00000000-0005-0000-0000-0000D21B0000}"/>
    <cellStyle name="40% - 强调文字颜色 2 4 20" xfId="16294" xr:uid="{00000000-0005-0000-0000-0000D31B0000}"/>
    <cellStyle name="40% - 强调文字颜色 2 4 20 10" xfId="16370" xr:uid="{00000000-0005-0000-0000-0000D41B0000}"/>
    <cellStyle name="40% - 强调文字颜色 2 4 20 11" xfId="16371" xr:uid="{00000000-0005-0000-0000-0000D51B0000}"/>
    <cellStyle name="40% - 强调文字颜色 2 4 20 12" xfId="16372" xr:uid="{00000000-0005-0000-0000-0000D61B0000}"/>
    <cellStyle name="40% - 强调文字颜色 2 4 20 13" xfId="16373" xr:uid="{00000000-0005-0000-0000-0000D71B0000}"/>
    <cellStyle name="40% - 强调文字颜色 2 4 20 14" xfId="16374" xr:uid="{00000000-0005-0000-0000-0000D81B0000}"/>
    <cellStyle name="40% - 强调文字颜色 2 4 20 2" xfId="16136" xr:uid="{00000000-0005-0000-0000-0000D91B0000}"/>
    <cellStyle name="40% - 强调文字颜色 2 4 20 3" xfId="16139" xr:uid="{00000000-0005-0000-0000-0000DA1B0000}"/>
    <cellStyle name="40% - 强调文字颜色 2 4 20 4" xfId="16378" xr:uid="{00000000-0005-0000-0000-0000DB1B0000}"/>
    <cellStyle name="40% - 强调文字颜色 2 4 20 5" xfId="16381" xr:uid="{00000000-0005-0000-0000-0000DC1B0000}"/>
    <cellStyle name="40% - 强调文字颜色 2 4 20 5 10" xfId="16382" xr:uid="{00000000-0005-0000-0000-0000DD1B0000}"/>
    <cellStyle name="40% - 强调文字颜色 2 4 20 5 11" xfId="16384" xr:uid="{00000000-0005-0000-0000-0000DE1B0000}"/>
    <cellStyle name="40% - 强调文字颜色 2 4 20 5 2" xfId="16385" xr:uid="{00000000-0005-0000-0000-0000DF1B0000}"/>
    <cellStyle name="40% - 强调文字颜色 2 4 20 5 2 2" xfId="8142" xr:uid="{00000000-0005-0000-0000-0000E01B0000}"/>
    <cellStyle name="40% - 强调文字颜色 2 4 20 5 2 2 2" xfId="16394" xr:uid="{00000000-0005-0000-0000-0000E11B0000}"/>
    <cellStyle name="40% - 强调文字颜色 2 4 20 5 2 2 3" xfId="16402" xr:uid="{00000000-0005-0000-0000-0000E21B0000}"/>
    <cellStyle name="40% - 强调文字颜色 2 4 20 5 2 3" xfId="8149" xr:uid="{00000000-0005-0000-0000-0000E31B0000}"/>
    <cellStyle name="40% - 强调文字颜色 2 4 20 5 2 4" xfId="8158" xr:uid="{00000000-0005-0000-0000-0000E41B0000}"/>
    <cellStyle name="40% - 强调文字颜色 2 4 20 5 2 5" xfId="8167" xr:uid="{00000000-0005-0000-0000-0000E51B0000}"/>
    <cellStyle name="40% - 强调文字颜色 2 4 20 5 2 6" xfId="8171" xr:uid="{00000000-0005-0000-0000-0000E61B0000}"/>
    <cellStyle name="40% - 强调文字颜色 2 4 20 5 2 7" xfId="8176" xr:uid="{00000000-0005-0000-0000-0000E71B0000}"/>
    <cellStyle name="40% - 强调文字颜色 2 4 20 5 2 8" xfId="16403" xr:uid="{00000000-0005-0000-0000-0000E81B0000}"/>
    <cellStyle name="40% - 强调文字颜色 2 4 20 5 3" xfId="16405" xr:uid="{00000000-0005-0000-0000-0000E91B0000}"/>
    <cellStyle name="40% - 强调文字颜色 2 4 20 5 4" xfId="14667" xr:uid="{00000000-0005-0000-0000-0000EA1B0000}"/>
    <cellStyle name="40% - 强调文字颜色 2 4 20 5 5" xfId="14682" xr:uid="{00000000-0005-0000-0000-0000EB1B0000}"/>
    <cellStyle name="40% - 强调文字颜色 2 4 20 5 6" xfId="14686" xr:uid="{00000000-0005-0000-0000-0000EC1B0000}"/>
    <cellStyle name="40% - 强调文字颜色 2 4 20 5 6 2" xfId="12320" xr:uid="{00000000-0005-0000-0000-0000ED1B0000}"/>
    <cellStyle name="40% - 强调文字颜色 2 4 20 5 6 3" xfId="12324" xr:uid="{00000000-0005-0000-0000-0000EE1B0000}"/>
    <cellStyle name="40% - 强调文字颜色 2 4 20 5 7" xfId="14690" xr:uid="{00000000-0005-0000-0000-0000EF1B0000}"/>
    <cellStyle name="40% - 强调文字颜色 2 4 20 5 8" xfId="14694" xr:uid="{00000000-0005-0000-0000-0000F01B0000}"/>
    <cellStyle name="40% - 强调文字颜色 2 4 20 5 9" xfId="14700" xr:uid="{00000000-0005-0000-0000-0000F11B0000}"/>
    <cellStyle name="40% - 强调文字颜色 2 4 20 6" xfId="16410" xr:uid="{00000000-0005-0000-0000-0000F21B0000}"/>
    <cellStyle name="40% - 强调文字颜色 2 4 20 6 2" xfId="11860" xr:uid="{00000000-0005-0000-0000-0000F31B0000}"/>
    <cellStyle name="40% - 强调文字颜色 2 4 20 6 2 2" xfId="8268" xr:uid="{00000000-0005-0000-0000-0000F41B0000}"/>
    <cellStyle name="40% - 强调文字颜色 2 4 20 6 2 3" xfId="8274" xr:uid="{00000000-0005-0000-0000-0000F51B0000}"/>
    <cellStyle name="40% - 强调文字颜色 2 4 20 6 3" xfId="11452" xr:uid="{00000000-0005-0000-0000-0000F61B0000}"/>
    <cellStyle name="40% - 强调文字颜色 2 4 20 6 4" xfId="11463" xr:uid="{00000000-0005-0000-0000-0000F71B0000}"/>
    <cellStyle name="40% - 强调文字颜色 2 4 20 6 5" xfId="11876" xr:uid="{00000000-0005-0000-0000-0000F81B0000}"/>
    <cellStyle name="40% - 强调文字颜色 2 4 20 6 6" xfId="14708" xr:uid="{00000000-0005-0000-0000-0000F91B0000}"/>
    <cellStyle name="40% - 强调文字颜色 2 4 20 6 7" xfId="14712" xr:uid="{00000000-0005-0000-0000-0000FA1B0000}"/>
    <cellStyle name="40% - 强调文字颜色 2 4 20 6 8" xfId="14715" xr:uid="{00000000-0005-0000-0000-0000FB1B0000}"/>
    <cellStyle name="40% - 强调文字颜色 2 4 20 7" xfId="16413" xr:uid="{00000000-0005-0000-0000-0000FC1B0000}"/>
    <cellStyle name="40% - 强调文字颜色 2 4 20 8" xfId="16416" xr:uid="{00000000-0005-0000-0000-0000FD1B0000}"/>
    <cellStyle name="40% - 强调文字颜色 2 4 20 9" xfId="16418" xr:uid="{00000000-0005-0000-0000-0000FE1B0000}"/>
    <cellStyle name="40% - 强调文字颜色 2 4 20 9 2" xfId="16423" xr:uid="{00000000-0005-0000-0000-0000FF1B0000}"/>
    <cellStyle name="40% - 强调文字颜色 2 4 20 9 3" xfId="16426" xr:uid="{00000000-0005-0000-0000-0000001C0000}"/>
    <cellStyle name="40% - 强调文字颜色 2 4 3" xfId="16427" xr:uid="{00000000-0005-0000-0000-0000011C0000}"/>
    <cellStyle name="40% - 强调文字颜色 2 4 4" xfId="16428" xr:uid="{00000000-0005-0000-0000-0000021C0000}"/>
    <cellStyle name="40% - 强调文字颜色 2 4 5" xfId="16429" xr:uid="{00000000-0005-0000-0000-0000031C0000}"/>
    <cellStyle name="40% - 强调文字颜色 2 4 6" xfId="16430" xr:uid="{00000000-0005-0000-0000-0000041C0000}"/>
    <cellStyle name="40% - 强调文字颜色 2 4 7" xfId="3757" xr:uid="{00000000-0005-0000-0000-0000051C0000}"/>
    <cellStyle name="40% - 强调文字颜色 2 4 8" xfId="5196" xr:uid="{00000000-0005-0000-0000-0000061C0000}"/>
    <cellStyle name="40% - 强调文字颜色 2 4 9" xfId="5198" xr:uid="{00000000-0005-0000-0000-0000071C0000}"/>
    <cellStyle name="40% - 强调文字颜色 2 5" xfId="16433" xr:uid="{00000000-0005-0000-0000-0000081C0000}"/>
    <cellStyle name="40% - 强调文字颜色 2 5 10" xfId="16435" xr:uid="{00000000-0005-0000-0000-0000091C0000}"/>
    <cellStyle name="40% - 强调文字颜色 2 5 11" xfId="16436" xr:uid="{00000000-0005-0000-0000-00000A1C0000}"/>
    <cellStyle name="40% - 强调文字颜色 2 5 12" xfId="16437" xr:uid="{00000000-0005-0000-0000-00000B1C0000}"/>
    <cellStyle name="40% - 强调文字颜色 2 5 13" xfId="16439" xr:uid="{00000000-0005-0000-0000-00000C1C0000}"/>
    <cellStyle name="40% - 强调文字颜色 2 5 14" xfId="16444" xr:uid="{00000000-0005-0000-0000-00000D1C0000}"/>
    <cellStyle name="40% - 强调文字颜色 2 5 2" xfId="4143" xr:uid="{00000000-0005-0000-0000-00000E1C0000}"/>
    <cellStyle name="40% - 强调文字颜色 2 5 3" xfId="16446" xr:uid="{00000000-0005-0000-0000-00000F1C0000}"/>
    <cellStyle name="40% - 强调文字颜色 2 5 4" xfId="16448" xr:uid="{00000000-0005-0000-0000-0000101C0000}"/>
    <cellStyle name="40% - 强调文字颜色 2 5 5" xfId="16450" xr:uid="{00000000-0005-0000-0000-0000111C0000}"/>
    <cellStyle name="40% - 强调文字颜色 2 5 6" xfId="16455" xr:uid="{00000000-0005-0000-0000-0000121C0000}"/>
    <cellStyle name="40% - 强调文字颜色 2 5 7" xfId="3961" xr:uid="{00000000-0005-0000-0000-0000131C0000}"/>
    <cellStyle name="40% - 强调文字颜色 2 5 8" xfId="3985" xr:uid="{00000000-0005-0000-0000-0000141C0000}"/>
    <cellStyle name="40% - 强调文字颜色 2 5 9" xfId="4917" xr:uid="{00000000-0005-0000-0000-0000151C0000}"/>
    <cellStyle name="40% - 强调文字颜色 2 6" xfId="16457" xr:uid="{00000000-0005-0000-0000-0000161C0000}"/>
    <cellStyle name="40% - 强调文字颜色 2 6 10" xfId="8237" xr:uid="{00000000-0005-0000-0000-0000171C0000}"/>
    <cellStyle name="40% - 强调文字颜色 2 6 11" xfId="16459" xr:uid="{00000000-0005-0000-0000-0000181C0000}"/>
    <cellStyle name="40% - 强调文字颜色 2 6 12" xfId="16460" xr:uid="{00000000-0005-0000-0000-0000191C0000}"/>
    <cellStyle name="40% - 强调文字颜色 2 6 13" xfId="15996" xr:uid="{00000000-0005-0000-0000-00001A1C0000}"/>
    <cellStyle name="40% - 强调文字颜色 2 6 14" xfId="11702" xr:uid="{00000000-0005-0000-0000-00001B1C0000}"/>
    <cellStyle name="40% - 强调文字颜色 2 6 2" xfId="7241" xr:uid="{00000000-0005-0000-0000-00001C1C0000}"/>
    <cellStyle name="40% - 强调文字颜色 2 6 3" xfId="7252" xr:uid="{00000000-0005-0000-0000-00001D1C0000}"/>
    <cellStyle name="40% - 强调文字颜色 2 6 4" xfId="15125" xr:uid="{00000000-0005-0000-0000-00001E1C0000}"/>
    <cellStyle name="40% - 强调文字颜色 2 6 5" xfId="15129" xr:uid="{00000000-0005-0000-0000-00001F1C0000}"/>
    <cellStyle name="40% - 强调文字颜色 2 6 6" xfId="15133" xr:uid="{00000000-0005-0000-0000-0000201C0000}"/>
    <cellStyle name="40% - 强调文字颜色 2 6 7" xfId="2956" xr:uid="{00000000-0005-0000-0000-0000211C0000}"/>
    <cellStyle name="40% - 强调文字颜色 2 6 8" xfId="2972" xr:uid="{00000000-0005-0000-0000-0000221C0000}"/>
    <cellStyle name="40% - 强调文字颜色 2 6 9" xfId="2991" xr:uid="{00000000-0005-0000-0000-0000231C0000}"/>
    <cellStyle name="40% - 强调文字颜色 2 7" xfId="12220" xr:uid="{00000000-0005-0000-0000-0000241C0000}"/>
    <cellStyle name="40% - 强调文字颜色 2 8" xfId="12223" xr:uid="{00000000-0005-0000-0000-0000251C0000}"/>
    <cellStyle name="40% - 强调文字颜色 2 9" xfId="12227" xr:uid="{00000000-0005-0000-0000-0000261C0000}"/>
    <cellStyle name="40% - 强调文字颜色 3 10" xfId="9167" xr:uid="{00000000-0005-0000-0000-0000271C0000}"/>
    <cellStyle name="40% - 强调文字颜色 3 11" xfId="5241" xr:uid="{00000000-0005-0000-0000-0000281C0000}"/>
    <cellStyle name="40% - 强调文字颜色 3 12" xfId="5246" xr:uid="{00000000-0005-0000-0000-0000291C0000}"/>
    <cellStyle name="40% - 强调文字颜色 3 12 10" xfId="3410" xr:uid="{00000000-0005-0000-0000-00002A1C0000}"/>
    <cellStyle name="40% - 强调文字颜色 3 12 11" xfId="1447" xr:uid="{00000000-0005-0000-0000-00002B1C0000}"/>
    <cellStyle name="40% - 强调文字颜色 3 12 12" xfId="16462" xr:uid="{00000000-0005-0000-0000-00002C1C0000}"/>
    <cellStyle name="40% - 强调文字颜色 3 12 13" xfId="16464" xr:uid="{00000000-0005-0000-0000-00002D1C0000}"/>
    <cellStyle name="40% - 强调文字颜色 3 12 14" xfId="16465" xr:uid="{00000000-0005-0000-0000-00002E1C0000}"/>
    <cellStyle name="40% - 强调文字颜色 3 12 2" xfId="16466" xr:uid="{00000000-0005-0000-0000-00002F1C0000}"/>
    <cellStyle name="40% - 强调文字颜色 3 12 3" xfId="4817" xr:uid="{00000000-0005-0000-0000-0000301C0000}"/>
    <cellStyle name="40% - 强调文字颜色 3 12 4" xfId="4821" xr:uid="{00000000-0005-0000-0000-0000311C0000}"/>
    <cellStyle name="40% - 强调文字颜色 3 12 5" xfId="16467" xr:uid="{00000000-0005-0000-0000-0000321C0000}"/>
    <cellStyle name="40% - 强调文字颜色 3 12 5 10" xfId="16470" xr:uid="{00000000-0005-0000-0000-0000331C0000}"/>
    <cellStyle name="40% - 强调文字颜色 3 12 5 11" xfId="16473" xr:uid="{00000000-0005-0000-0000-0000341C0000}"/>
    <cellStyle name="40% - 强调文字颜色 3 12 5 2" xfId="16478" xr:uid="{00000000-0005-0000-0000-0000351C0000}"/>
    <cellStyle name="40% - 强调文字颜色 3 12 5 2 2" xfId="16481" xr:uid="{00000000-0005-0000-0000-0000361C0000}"/>
    <cellStyle name="40% - 强调文字颜色 3 12 5 2 2 2" xfId="16482" xr:uid="{00000000-0005-0000-0000-0000371C0000}"/>
    <cellStyle name="40% - 强调文字颜色 3 12 5 2 2 3" xfId="16484" xr:uid="{00000000-0005-0000-0000-0000381C0000}"/>
    <cellStyle name="40% - 强调文字颜色 3 12 5 2 3" xfId="16486" xr:uid="{00000000-0005-0000-0000-0000391C0000}"/>
    <cellStyle name="40% - 强调文字颜色 3 12 5 2 4" xfId="14914" xr:uid="{00000000-0005-0000-0000-00003A1C0000}"/>
    <cellStyle name="40% - 强调文字颜色 3 12 5 2 5" xfId="14925" xr:uid="{00000000-0005-0000-0000-00003B1C0000}"/>
    <cellStyle name="40% - 强调文字颜色 3 12 5 2 6" xfId="11114" xr:uid="{00000000-0005-0000-0000-00003C1C0000}"/>
    <cellStyle name="40% - 强调文字颜色 3 12 5 2 7" xfId="11120" xr:uid="{00000000-0005-0000-0000-00003D1C0000}"/>
    <cellStyle name="40% - 强调文字颜色 3 12 5 2 8" xfId="14927" xr:uid="{00000000-0005-0000-0000-00003E1C0000}"/>
    <cellStyle name="40% - 强调文字颜色 3 12 5 3" xfId="16489" xr:uid="{00000000-0005-0000-0000-00003F1C0000}"/>
    <cellStyle name="40% - 强调文字颜色 3 12 5 4" xfId="16494" xr:uid="{00000000-0005-0000-0000-0000401C0000}"/>
    <cellStyle name="40% - 强调文字颜色 3 12 5 5" xfId="2640" xr:uid="{00000000-0005-0000-0000-0000411C0000}"/>
    <cellStyle name="40% - 强调文字颜色 3 12 5 6" xfId="2685" xr:uid="{00000000-0005-0000-0000-0000421C0000}"/>
    <cellStyle name="40% - 强调文字颜色 3 12 5 6 2" xfId="16498" xr:uid="{00000000-0005-0000-0000-0000431C0000}"/>
    <cellStyle name="40% - 强调文字颜色 3 12 5 6 3" xfId="10753" xr:uid="{00000000-0005-0000-0000-0000441C0000}"/>
    <cellStyle name="40% - 强调文字颜色 3 12 5 7" xfId="2688" xr:uid="{00000000-0005-0000-0000-0000451C0000}"/>
    <cellStyle name="40% - 强调文字颜色 3 12 5 8" xfId="2702" xr:uid="{00000000-0005-0000-0000-0000461C0000}"/>
    <cellStyle name="40% - 强调文字颜色 3 12 5 9" xfId="1136" xr:uid="{00000000-0005-0000-0000-0000471C0000}"/>
    <cellStyle name="40% - 强调文字颜色 3 12 6" xfId="16499" xr:uid="{00000000-0005-0000-0000-0000481C0000}"/>
    <cellStyle name="40% - 强调文字颜色 3 12 6 2" xfId="15668" xr:uid="{00000000-0005-0000-0000-0000491C0000}"/>
    <cellStyle name="40% - 强调文字颜色 3 12 6 2 2" xfId="16501" xr:uid="{00000000-0005-0000-0000-00004A1C0000}"/>
    <cellStyle name="40% - 强调文字颜色 3 12 6 2 3" xfId="16504" xr:uid="{00000000-0005-0000-0000-00004B1C0000}"/>
    <cellStyle name="40% - 强调文字颜色 3 12 6 3" xfId="16507" xr:uid="{00000000-0005-0000-0000-00004C1C0000}"/>
    <cellStyle name="40% - 强调文字颜色 3 12 6 4" xfId="16509" xr:uid="{00000000-0005-0000-0000-00004D1C0000}"/>
    <cellStyle name="40% - 强调文字颜色 3 12 6 5" xfId="10649" xr:uid="{00000000-0005-0000-0000-00004E1C0000}"/>
    <cellStyle name="40% - 强调文字颜色 3 12 6 6" xfId="9192" xr:uid="{00000000-0005-0000-0000-00004F1C0000}"/>
    <cellStyle name="40% - 强调文字颜色 3 12 6 7" xfId="9197" xr:uid="{00000000-0005-0000-0000-0000501C0000}"/>
    <cellStyle name="40% - 强调文字颜色 3 12 6 8" xfId="455" xr:uid="{00000000-0005-0000-0000-0000511C0000}"/>
    <cellStyle name="40% - 强调文字颜色 3 12 7" xfId="15047" xr:uid="{00000000-0005-0000-0000-0000521C0000}"/>
    <cellStyle name="40% - 强调文字颜色 3 12 8" xfId="15049" xr:uid="{00000000-0005-0000-0000-0000531C0000}"/>
    <cellStyle name="40% - 强调文字颜色 3 12 9" xfId="16510" xr:uid="{00000000-0005-0000-0000-0000541C0000}"/>
    <cellStyle name="40% - 强调文字颜色 3 12 9 2" xfId="7041" xr:uid="{00000000-0005-0000-0000-0000551C0000}"/>
    <cellStyle name="40% - 强调文字颜色 3 12 9 3" xfId="7056" xr:uid="{00000000-0005-0000-0000-0000561C0000}"/>
    <cellStyle name="40% - 强调文字颜色 3 13" xfId="5251" xr:uid="{00000000-0005-0000-0000-0000571C0000}"/>
    <cellStyle name="40% - 强调文字颜色 3 14" xfId="5334" xr:uid="{00000000-0005-0000-0000-0000581C0000}"/>
    <cellStyle name="40% - 强调文字颜色 3 15" xfId="5348" xr:uid="{00000000-0005-0000-0000-0000591C0000}"/>
    <cellStyle name="40% - 强调文字颜色 3 16" xfId="3220" xr:uid="{00000000-0005-0000-0000-00005A1C0000}"/>
    <cellStyle name="40% - 强调文字颜色 3 16 10" xfId="14048" xr:uid="{00000000-0005-0000-0000-00005B1C0000}"/>
    <cellStyle name="40% - 强调文字颜色 3 16 11" xfId="16512" xr:uid="{00000000-0005-0000-0000-00005C1C0000}"/>
    <cellStyle name="40% - 强调文字颜色 3 16 12" xfId="16514" xr:uid="{00000000-0005-0000-0000-00005D1C0000}"/>
    <cellStyle name="40% - 强调文字颜色 3 16 13" xfId="16516" xr:uid="{00000000-0005-0000-0000-00005E1C0000}"/>
    <cellStyle name="40% - 强调文字颜色 3 16 14" xfId="16517" xr:uid="{00000000-0005-0000-0000-00005F1C0000}"/>
    <cellStyle name="40% - 强调文字颜色 3 16 2" xfId="6669" xr:uid="{00000000-0005-0000-0000-0000601C0000}"/>
    <cellStyle name="40% - 强调文字颜色 3 16 3" xfId="6675" xr:uid="{00000000-0005-0000-0000-0000611C0000}"/>
    <cellStyle name="40% - 强调文字颜色 3 16 4" xfId="6681" xr:uid="{00000000-0005-0000-0000-0000621C0000}"/>
    <cellStyle name="40% - 强调文字颜色 3 16 5" xfId="6687" xr:uid="{00000000-0005-0000-0000-0000631C0000}"/>
    <cellStyle name="40% - 强调文字颜色 3 16 5 10" xfId="10190" xr:uid="{00000000-0005-0000-0000-0000641C0000}"/>
    <cellStyle name="40% - 强调文字颜色 3 16 5 11" xfId="10200" xr:uid="{00000000-0005-0000-0000-0000651C0000}"/>
    <cellStyle name="40% - 强调文字颜色 3 16 5 2" xfId="6416" xr:uid="{00000000-0005-0000-0000-0000661C0000}"/>
    <cellStyle name="40% - 强调文字颜色 3 16 5 2 2" xfId="16518" xr:uid="{00000000-0005-0000-0000-0000671C0000}"/>
    <cellStyle name="40% - 强调文字颜色 3 16 5 2 2 2" xfId="642" xr:uid="{00000000-0005-0000-0000-0000681C0000}"/>
    <cellStyle name="40% - 强调文字颜色 3 16 5 2 2 3" xfId="3298" xr:uid="{00000000-0005-0000-0000-0000691C0000}"/>
    <cellStyle name="40% - 强调文字颜色 3 16 5 2 3" xfId="16520" xr:uid="{00000000-0005-0000-0000-00006A1C0000}"/>
    <cellStyle name="40% - 强调文字颜色 3 16 5 2 4" xfId="16522" xr:uid="{00000000-0005-0000-0000-00006B1C0000}"/>
    <cellStyle name="40% - 强调文字颜色 3 16 5 2 5" xfId="16524" xr:uid="{00000000-0005-0000-0000-00006C1C0000}"/>
    <cellStyle name="40% - 强调文字颜色 3 16 5 2 6" xfId="16526" xr:uid="{00000000-0005-0000-0000-00006D1C0000}"/>
    <cellStyle name="40% - 强调文字颜色 3 16 5 2 7" xfId="16528" xr:uid="{00000000-0005-0000-0000-00006E1C0000}"/>
    <cellStyle name="40% - 强调文字颜色 3 16 5 2 8" xfId="15271" xr:uid="{00000000-0005-0000-0000-00006F1C0000}"/>
    <cellStyle name="40% - 强调文字颜色 3 16 5 3" xfId="6425" xr:uid="{00000000-0005-0000-0000-0000701C0000}"/>
    <cellStyle name="40% - 强调文字颜色 3 16 5 4" xfId="6431" xr:uid="{00000000-0005-0000-0000-0000711C0000}"/>
    <cellStyle name="40% - 强调文字颜色 3 16 5 5" xfId="6439" xr:uid="{00000000-0005-0000-0000-0000721C0000}"/>
    <cellStyle name="40% - 强调文字颜色 3 16 5 6" xfId="6448" xr:uid="{00000000-0005-0000-0000-0000731C0000}"/>
    <cellStyle name="40% - 强调文字颜色 3 16 5 6 2" xfId="2867" xr:uid="{00000000-0005-0000-0000-0000741C0000}"/>
    <cellStyle name="40% - 强调文字颜色 3 16 5 6 3" xfId="2885" xr:uid="{00000000-0005-0000-0000-0000751C0000}"/>
    <cellStyle name="40% - 强调文字颜色 3 16 5 7" xfId="6546" xr:uid="{00000000-0005-0000-0000-0000761C0000}"/>
    <cellStyle name="40% - 强调文字颜色 3 16 5 8" xfId="6554" xr:uid="{00000000-0005-0000-0000-0000771C0000}"/>
    <cellStyle name="40% - 强调文字颜色 3 16 5 9" xfId="16530" xr:uid="{00000000-0005-0000-0000-0000781C0000}"/>
    <cellStyle name="40% - 强调文字颜色 3 16 6" xfId="11107" xr:uid="{00000000-0005-0000-0000-0000791C0000}"/>
    <cellStyle name="40% - 强调文字颜色 3 16 6 2" xfId="14890" xr:uid="{00000000-0005-0000-0000-00007A1C0000}"/>
    <cellStyle name="40% - 强调文字颜色 3 16 6 2 2" xfId="16532" xr:uid="{00000000-0005-0000-0000-00007B1C0000}"/>
    <cellStyle name="40% - 强调文字颜色 3 16 6 2 3" xfId="16535" xr:uid="{00000000-0005-0000-0000-00007C1C0000}"/>
    <cellStyle name="40% - 强调文字颜色 3 16 6 3" xfId="14896" xr:uid="{00000000-0005-0000-0000-00007D1C0000}"/>
    <cellStyle name="40% - 强调文字颜色 3 16 6 4" xfId="14901" xr:uid="{00000000-0005-0000-0000-00007E1C0000}"/>
    <cellStyle name="40% - 强调文字颜色 3 16 6 5" xfId="14906" xr:uid="{00000000-0005-0000-0000-00007F1C0000}"/>
    <cellStyle name="40% - 强调文字颜色 3 16 6 6" xfId="14235" xr:uid="{00000000-0005-0000-0000-0000801C0000}"/>
    <cellStyle name="40% - 强调文字颜色 3 16 6 7" xfId="14241" xr:uid="{00000000-0005-0000-0000-0000811C0000}"/>
    <cellStyle name="40% - 强调文字颜色 3 16 6 8" xfId="14247" xr:uid="{00000000-0005-0000-0000-0000821C0000}"/>
    <cellStyle name="40% - 强调文字颜色 3 16 7" xfId="11110" xr:uid="{00000000-0005-0000-0000-0000831C0000}"/>
    <cellStyle name="40% - 强调文字颜色 3 16 8" xfId="429" xr:uid="{00000000-0005-0000-0000-0000841C0000}"/>
    <cellStyle name="40% - 强调文字颜色 3 16 9" xfId="11126" xr:uid="{00000000-0005-0000-0000-0000851C0000}"/>
    <cellStyle name="40% - 强调文字颜色 3 16 9 2" xfId="16539" xr:uid="{00000000-0005-0000-0000-0000861C0000}"/>
    <cellStyle name="40% - 强调文字颜色 3 16 9 3" xfId="16543" xr:uid="{00000000-0005-0000-0000-0000871C0000}"/>
    <cellStyle name="40% - 强调文字颜色 3 17" xfId="3239" xr:uid="{00000000-0005-0000-0000-0000881C0000}"/>
    <cellStyle name="40% - 强调文字颜色 3 17 10" xfId="3498" xr:uid="{00000000-0005-0000-0000-0000891C0000}"/>
    <cellStyle name="40% - 强调文字颜色 3 17 11" xfId="3509" xr:uid="{00000000-0005-0000-0000-00008A1C0000}"/>
    <cellStyle name="40% - 强调文字颜色 3 17 12" xfId="3421" xr:uid="{00000000-0005-0000-0000-00008B1C0000}"/>
    <cellStyle name="40% - 强调文字颜色 3 17 13" xfId="3442" xr:uid="{00000000-0005-0000-0000-00008C1C0000}"/>
    <cellStyle name="40% - 强调文字颜色 3 17 14" xfId="3525" xr:uid="{00000000-0005-0000-0000-00008D1C0000}"/>
    <cellStyle name="40% - 强调文字颜色 3 17 2" xfId="2378" xr:uid="{00000000-0005-0000-0000-00008E1C0000}"/>
    <cellStyle name="40% - 强调文字颜色 3 17 3" xfId="2611" xr:uid="{00000000-0005-0000-0000-00008F1C0000}"/>
    <cellStyle name="40% - 强调文字颜色 3 17 4" xfId="2715" xr:uid="{00000000-0005-0000-0000-0000901C0000}"/>
    <cellStyle name="40% - 强调文字颜色 3 17 5" xfId="2733" xr:uid="{00000000-0005-0000-0000-0000911C0000}"/>
    <cellStyle name="40% - 强调文字颜色 3 17 5 10" xfId="569" xr:uid="{00000000-0005-0000-0000-0000921C0000}"/>
    <cellStyle name="40% - 强调文字颜色 3 17 5 11" xfId="413" xr:uid="{00000000-0005-0000-0000-0000931C0000}"/>
    <cellStyle name="40% - 强调文字颜色 3 17 5 2" xfId="5361" xr:uid="{00000000-0005-0000-0000-0000941C0000}"/>
    <cellStyle name="40% - 强调文字颜色 3 17 5 2 2" xfId="5371" xr:uid="{00000000-0005-0000-0000-0000951C0000}"/>
    <cellStyle name="40% - 强调文字颜色 3 17 5 2 2 2" xfId="5377" xr:uid="{00000000-0005-0000-0000-0000961C0000}"/>
    <cellStyle name="40% - 强调文字颜色 3 17 5 2 2 3" xfId="1020" xr:uid="{00000000-0005-0000-0000-0000971C0000}"/>
    <cellStyle name="40% - 强调文字颜色 3 17 5 2 3" xfId="5390" xr:uid="{00000000-0005-0000-0000-0000981C0000}"/>
    <cellStyle name="40% - 强调文字颜色 3 17 5 2 4" xfId="1689" xr:uid="{00000000-0005-0000-0000-0000991C0000}"/>
    <cellStyle name="40% - 强调文字颜色 3 17 5 2 5" xfId="1743" xr:uid="{00000000-0005-0000-0000-00009A1C0000}"/>
    <cellStyle name="40% - 强调文字颜色 3 17 5 2 6" xfId="1753" xr:uid="{00000000-0005-0000-0000-00009B1C0000}"/>
    <cellStyle name="40% - 强调文字颜色 3 17 5 2 7" xfId="1763" xr:uid="{00000000-0005-0000-0000-00009C1C0000}"/>
    <cellStyle name="40% - 强调文字颜色 3 17 5 2 8" xfId="384" xr:uid="{00000000-0005-0000-0000-00009D1C0000}"/>
    <cellStyle name="40% - 强调文字颜色 3 17 5 3" xfId="5399" xr:uid="{00000000-0005-0000-0000-00009E1C0000}"/>
    <cellStyle name="40% - 强调文字颜色 3 17 5 4" xfId="5412" xr:uid="{00000000-0005-0000-0000-00009F1C0000}"/>
    <cellStyle name="40% - 强调文字颜色 3 17 5 5" xfId="5425" xr:uid="{00000000-0005-0000-0000-0000A01C0000}"/>
    <cellStyle name="40% - 强调文字颜色 3 17 5 6" xfId="5439" xr:uid="{00000000-0005-0000-0000-0000A11C0000}"/>
    <cellStyle name="40% - 强调文字颜色 3 17 5 6 2" xfId="1437" xr:uid="{00000000-0005-0000-0000-0000A21C0000}"/>
    <cellStyle name="40% - 强调文字颜色 3 17 5 6 3" xfId="1469" xr:uid="{00000000-0005-0000-0000-0000A31C0000}"/>
    <cellStyle name="40% - 强调文字颜色 3 17 5 7" xfId="5453" xr:uid="{00000000-0005-0000-0000-0000A41C0000}"/>
    <cellStyle name="40% - 强调文字颜色 3 17 5 8" xfId="5466" xr:uid="{00000000-0005-0000-0000-0000A51C0000}"/>
    <cellStyle name="40% - 强调文字颜色 3 17 5 9" xfId="5476" xr:uid="{00000000-0005-0000-0000-0000A61C0000}"/>
    <cellStyle name="40% - 强调文字颜色 3 17 6" xfId="5487" xr:uid="{00000000-0005-0000-0000-0000A71C0000}"/>
    <cellStyle name="40% - 强调文字颜色 3 17 6 2" xfId="5492" xr:uid="{00000000-0005-0000-0000-0000A81C0000}"/>
    <cellStyle name="40% - 强调文字颜色 3 17 6 2 2" xfId="5506" xr:uid="{00000000-0005-0000-0000-0000A91C0000}"/>
    <cellStyle name="40% - 强调文字颜色 3 17 6 2 3" xfId="5522" xr:uid="{00000000-0005-0000-0000-0000AA1C0000}"/>
    <cellStyle name="40% - 强调文字颜色 3 17 6 3" xfId="5531" xr:uid="{00000000-0005-0000-0000-0000AB1C0000}"/>
    <cellStyle name="40% - 强调文字颜色 3 17 6 4" xfId="5535" xr:uid="{00000000-0005-0000-0000-0000AC1C0000}"/>
    <cellStyle name="40% - 强调文字颜色 3 17 6 5" xfId="5539" xr:uid="{00000000-0005-0000-0000-0000AD1C0000}"/>
    <cellStyle name="40% - 强调文字颜色 3 17 6 6" xfId="5543" xr:uid="{00000000-0005-0000-0000-0000AE1C0000}"/>
    <cellStyle name="40% - 强调文字颜色 3 17 6 7" xfId="5548" xr:uid="{00000000-0005-0000-0000-0000AF1C0000}"/>
    <cellStyle name="40% - 强调文字颜色 3 17 6 8" xfId="5554" xr:uid="{00000000-0005-0000-0000-0000B01C0000}"/>
    <cellStyle name="40% - 强调文字颜色 3 17 7" xfId="5561" xr:uid="{00000000-0005-0000-0000-0000B11C0000}"/>
    <cellStyle name="40% - 强调文字颜色 3 17 8" xfId="5568" xr:uid="{00000000-0005-0000-0000-0000B21C0000}"/>
    <cellStyle name="40% - 强调文字颜色 3 17 9" xfId="5574" xr:uid="{00000000-0005-0000-0000-0000B31C0000}"/>
    <cellStyle name="40% - 强调文字颜色 3 17 9 2" xfId="5596" xr:uid="{00000000-0005-0000-0000-0000B41C0000}"/>
    <cellStyle name="40% - 强调文字颜色 3 17 9 3" xfId="5606" xr:uid="{00000000-0005-0000-0000-0000B51C0000}"/>
    <cellStyle name="40% - 强调文字颜色 3 18" xfId="2924" xr:uid="{00000000-0005-0000-0000-0000B61C0000}"/>
    <cellStyle name="40% - 强调文字颜色 3 18 10" xfId="5612" xr:uid="{00000000-0005-0000-0000-0000B71C0000}"/>
    <cellStyle name="40% - 强调文字颜色 3 18 11" xfId="3938" xr:uid="{00000000-0005-0000-0000-0000B81C0000}"/>
    <cellStyle name="40% - 强调文字颜色 3 18 12" xfId="4021" xr:uid="{00000000-0005-0000-0000-0000B91C0000}"/>
    <cellStyle name="40% - 强调文字颜色 3 18 13" xfId="4030" xr:uid="{00000000-0005-0000-0000-0000BA1C0000}"/>
    <cellStyle name="40% - 强调文字颜色 3 18 14" xfId="4039" xr:uid="{00000000-0005-0000-0000-0000BB1C0000}"/>
    <cellStyle name="40% - 强调文字颜色 3 18 2" xfId="5619" xr:uid="{00000000-0005-0000-0000-0000BC1C0000}"/>
    <cellStyle name="40% - 强调文字颜色 3 18 3" xfId="5626" xr:uid="{00000000-0005-0000-0000-0000BD1C0000}"/>
    <cellStyle name="40% - 强调文字颜色 3 18 4" xfId="5631" xr:uid="{00000000-0005-0000-0000-0000BE1C0000}"/>
    <cellStyle name="40% - 强调文字颜色 3 18 5" xfId="5638" xr:uid="{00000000-0005-0000-0000-0000BF1C0000}"/>
    <cellStyle name="40% - 强调文字颜色 3 18 5 10" xfId="5645" xr:uid="{00000000-0005-0000-0000-0000C01C0000}"/>
    <cellStyle name="40% - 强调文字颜色 3 18 5 11" xfId="5651" xr:uid="{00000000-0005-0000-0000-0000C11C0000}"/>
    <cellStyle name="40% - 强调文字颜色 3 18 5 2" xfId="5657" xr:uid="{00000000-0005-0000-0000-0000C21C0000}"/>
    <cellStyle name="40% - 强调文字颜色 3 18 5 2 2" xfId="5667" xr:uid="{00000000-0005-0000-0000-0000C31C0000}"/>
    <cellStyle name="40% - 强调文字颜色 3 18 5 2 2 2" xfId="5671" xr:uid="{00000000-0005-0000-0000-0000C41C0000}"/>
    <cellStyle name="40% - 强调文字颜色 3 18 5 2 2 3" xfId="5679" xr:uid="{00000000-0005-0000-0000-0000C51C0000}"/>
    <cellStyle name="40% - 强调文字颜色 3 18 5 2 3" xfId="5686" xr:uid="{00000000-0005-0000-0000-0000C61C0000}"/>
    <cellStyle name="40% - 强调文字颜色 3 18 5 2 4" xfId="5689" xr:uid="{00000000-0005-0000-0000-0000C71C0000}"/>
    <cellStyle name="40% - 强调文字颜色 3 18 5 2 5" xfId="1706" xr:uid="{00000000-0005-0000-0000-0000C81C0000}"/>
    <cellStyle name="40% - 强调文字颜色 3 18 5 2 6" xfId="1732" xr:uid="{00000000-0005-0000-0000-0000C91C0000}"/>
    <cellStyle name="40% - 强调文字颜色 3 18 5 2 7" xfId="5692" xr:uid="{00000000-0005-0000-0000-0000CA1C0000}"/>
    <cellStyle name="40% - 强调文字颜色 3 18 5 2 8" xfId="5696" xr:uid="{00000000-0005-0000-0000-0000CB1C0000}"/>
    <cellStyle name="40% - 强调文字颜色 3 18 5 3" xfId="5699" xr:uid="{00000000-0005-0000-0000-0000CC1C0000}"/>
    <cellStyle name="40% - 强调文字颜色 3 18 5 4" xfId="5707" xr:uid="{00000000-0005-0000-0000-0000CD1C0000}"/>
    <cellStyle name="40% - 强调文字颜色 3 18 5 5" xfId="5712" xr:uid="{00000000-0005-0000-0000-0000CE1C0000}"/>
    <cellStyle name="40% - 强调文字颜色 3 18 5 6" xfId="5724" xr:uid="{00000000-0005-0000-0000-0000CF1C0000}"/>
    <cellStyle name="40% - 强调文字颜色 3 18 5 6 2" xfId="4083" xr:uid="{00000000-0005-0000-0000-0000D01C0000}"/>
    <cellStyle name="40% - 强调文字颜色 3 18 5 6 3" xfId="4090" xr:uid="{00000000-0005-0000-0000-0000D11C0000}"/>
    <cellStyle name="40% - 强调文字颜色 3 18 5 7" xfId="5744" xr:uid="{00000000-0005-0000-0000-0000D21C0000}"/>
    <cellStyle name="40% - 强调文字颜色 3 18 5 8" xfId="5757" xr:uid="{00000000-0005-0000-0000-0000D31C0000}"/>
    <cellStyle name="40% - 强调文字颜色 3 18 5 9" xfId="5769" xr:uid="{00000000-0005-0000-0000-0000D41C0000}"/>
    <cellStyle name="40% - 强调文字颜色 3 18 6" xfId="3035" xr:uid="{00000000-0005-0000-0000-0000D51C0000}"/>
    <cellStyle name="40% - 强调文字颜色 3 18 6 2" xfId="5780" xr:uid="{00000000-0005-0000-0000-0000D61C0000}"/>
    <cellStyle name="40% - 强调文字颜色 3 18 6 2 2" xfId="5793" xr:uid="{00000000-0005-0000-0000-0000D71C0000}"/>
    <cellStyle name="40% - 强调文字颜色 3 18 6 2 3" xfId="5805" xr:uid="{00000000-0005-0000-0000-0000D81C0000}"/>
    <cellStyle name="40% - 强调文字颜色 3 18 6 3" xfId="5813" xr:uid="{00000000-0005-0000-0000-0000D91C0000}"/>
    <cellStyle name="40% - 强调文字颜色 3 18 6 4" xfId="5821" xr:uid="{00000000-0005-0000-0000-0000DA1C0000}"/>
    <cellStyle name="40% - 强调文字颜色 3 18 6 5" xfId="5828" xr:uid="{00000000-0005-0000-0000-0000DB1C0000}"/>
    <cellStyle name="40% - 强调文字颜色 3 18 6 6" xfId="5834" xr:uid="{00000000-0005-0000-0000-0000DC1C0000}"/>
    <cellStyle name="40% - 强调文字颜色 3 18 6 7" xfId="5838" xr:uid="{00000000-0005-0000-0000-0000DD1C0000}"/>
    <cellStyle name="40% - 强调文字颜色 3 18 6 8" xfId="5842" xr:uid="{00000000-0005-0000-0000-0000DE1C0000}"/>
    <cellStyle name="40% - 强调文字颜色 3 18 7" xfId="3046" xr:uid="{00000000-0005-0000-0000-0000DF1C0000}"/>
    <cellStyle name="40% - 强调文字颜色 3 18 8" xfId="5850" xr:uid="{00000000-0005-0000-0000-0000E01C0000}"/>
    <cellStyle name="40% - 强调文字颜色 3 18 9" xfId="5856" xr:uid="{00000000-0005-0000-0000-0000E11C0000}"/>
    <cellStyle name="40% - 强调文字颜色 3 18 9 2" xfId="5865" xr:uid="{00000000-0005-0000-0000-0000E21C0000}"/>
    <cellStyle name="40% - 强调文字颜色 3 18 9 3" xfId="5870" xr:uid="{00000000-0005-0000-0000-0000E31C0000}"/>
    <cellStyle name="40% - 强调文字颜色 3 19" xfId="5874" xr:uid="{00000000-0005-0000-0000-0000E41C0000}"/>
    <cellStyle name="40% - 强调文字颜色 3 2" xfId="16544" xr:uid="{00000000-0005-0000-0000-0000E51C0000}"/>
    <cellStyle name="40% - 强调文字颜色 3 2 10" xfId="12119" xr:uid="{00000000-0005-0000-0000-0000E61C0000}"/>
    <cellStyle name="40% - 强调文字颜色 3 2 11" xfId="12141" xr:uid="{00000000-0005-0000-0000-0000E71C0000}"/>
    <cellStyle name="40% - 强调文字颜色 3 2 12" xfId="12148" xr:uid="{00000000-0005-0000-0000-0000E81C0000}"/>
    <cellStyle name="40% - 强调文字颜色 3 2 13" xfId="12155" xr:uid="{00000000-0005-0000-0000-0000E91C0000}"/>
    <cellStyle name="40% - 强调文字颜色 3 2 14" xfId="12161" xr:uid="{00000000-0005-0000-0000-0000EA1C0000}"/>
    <cellStyle name="40% - 强调文字颜色 3 2 15" xfId="12169" xr:uid="{00000000-0005-0000-0000-0000EB1C0000}"/>
    <cellStyle name="40% - 强调文字颜色 3 2 16" xfId="12178" xr:uid="{00000000-0005-0000-0000-0000EC1C0000}"/>
    <cellStyle name="40% - 强调文字颜色 3 2 17" xfId="12187" xr:uid="{00000000-0005-0000-0000-0000ED1C0000}"/>
    <cellStyle name="40% - 强调文字颜色 3 2 17 10" xfId="14724" xr:uid="{00000000-0005-0000-0000-0000EE1C0000}"/>
    <cellStyle name="40% - 强调文字颜色 3 2 17 11" xfId="14729" xr:uid="{00000000-0005-0000-0000-0000EF1C0000}"/>
    <cellStyle name="40% - 强调文字颜色 3 2 17 12" xfId="16548" xr:uid="{00000000-0005-0000-0000-0000F01C0000}"/>
    <cellStyle name="40% - 强调文字颜色 3 2 17 13" xfId="16552" xr:uid="{00000000-0005-0000-0000-0000F11C0000}"/>
    <cellStyle name="40% - 强调文字颜色 3 2 17 14" xfId="16555" xr:uid="{00000000-0005-0000-0000-0000F21C0000}"/>
    <cellStyle name="40% - 强调文字颜色 3 2 17 2" xfId="9823" xr:uid="{00000000-0005-0000-0000-0000F31C0000}"/>
    <cellStyle name="40% - 强调文字颜色 3 2 17 3" xfId="9829" xr:uid="{00000000-0005-0000-0000-0000F41C0000}"/>
    <cellStyle name="40% - 强调文字颜色 3 2 17 4" xfId="9838" xr:uid="{00000000-0005-0000-0000-0000F51C0000}"/>
    <cellStyle name="40% - 强调文字颜色 3 2 17 5" xfId="9847" xr:uid="{00000000-0005-0000-0000-0000F61C0000}"/>
    <cellStyle name="40% - 强调文字颜色 3 2 17 5 10" xfId="4762" xr:uid="{00000000-0005-0000-0000-0000F71C0000}"/>
    <cellStyle name="40% - 强调文字颜色 3 2 17 5 11" xfId="4773" xr:uid="{00000000-0005-0000-0000-0000F81C0000}"/>
    <cellStyle name="40% - 强调文字颜色 3 2 17 5 2" xfId="10381" xr:uid="{00000000-0005-0000-0000-0000F91C0000}"/>
    <cellStyle name="40% - 强调文字颜色 3 2 17 5 2 2" xfId="7153" xr:uid="{00000000-0005-0000-0000-0000FA1C0000}"/>
    <cellStyle name="40% - 强调文字颜色 3 2 17 5 2 2 2" xfId="15101" xr:uid="{00000000-0005-0000-0000-0000FB1C0000}"/>
    <cellStyle name="40% - 强调文字颜色 3 2 17 5 2 2 3" xfId="16556" xr:uid="{00000000-0005-0000-0000-0000FC1C0000}"/>
    <cellStyle name="40% - 强调文字颜色 3 2 17 5 2 3" xfId="7159" xr:uid="{00000000-0005-0000-0000-0000FD1C0000}"/>
    <cellStyle name="40% - 强调文字颜色 3 2 17 5 2 4" xfId="7163" xr:uid="{00000000-0005-0000-0000-0000FE1C0000}"/>
    <cellStyle name="40% - 强调文字颜色 3 2 17 5 2 5" xfId="7168" xr:uid="{00000000-0005-0000-0000-0000FF1C0000}"/>
    <cellStyle name="40% - 强调文字颜色 3 2 17 5 2 6" xfId="7173" xr:uid="{00000000-0005-0000-0000-0000001D0000}"/>
    <cellStyle name="40% - 强调文字颜色 3 2 17 5 2 7" xfId="16559" xr:uid="{00000000-0005-0000-0000-0000011D0000}"/>
    <cellStyle name="40% - 强调文字颜色 3 2 17 5 2 8" xfId="15964" xr:uid="{00000000-0005-0000-0000-0000021D0000}"/>
    <cellStyle name="40% - 强调文字颜色 3 2 17 5 3" xfId="10385" xr:uid="{00000000-0005-0000-0000-0000031D0000}"/>
    <cellStyle name="40% - 强调文字颜色 3 2 17 5 4" xfId="16562" xr:uid="{00000000-0005-0000-0000-0000041D0000}"/>
    <cellStyle name="40% - 强调文字颜色 3 2 17 5 5" xfId="16565" xr:uid="{00000000-0005-0000-0000-0000051D0000}"/>
    <cellStyle name="40% - 强调文字颜色 3 2 17 5 6" xfId="16567" xr:uid="{00000000-0005-0000-0000-0000061D0000}"/>
    <cellStyle name="40% - 强调文字颜色 3 2 17 5 6 2" xfId="15600" xr:uid="{00000000-0005-0000-0000-0000071D0000}"/>
    <cellStyle name="40% - 强调文字颜色 3 2 17 5 6 3" xfId="16572" xr:uid="{00000000-0005-0000-0000-0000081D0000}"/>
    <cellStyle name="40% - 强调文字颜色 3 2 17 5 7" xfId="16574" xr:uid="{00000000-0005-0000-0000-0000091D0000}"/>
    <cellStyle name="40% - 强调文字颜色 3 2 17 5 8" xfId="16577" xr:uid="{00000000-0005-0000-0000-00000A1D0000}"/>
    <cellStyle name="40% - 强调文字颜色 3 2 17 5 9" xfId="16580" xr:uid="{00000000-0005-0000-0000-00000B1D0000}"/>
    <cellStyle name="40% - 强调文字颜色 3 2 17 6" xfId="9853" xr:uid="{00000000-0005-0000-0000-00000C1D0000}"/>
    <cellStyle name="40% - 强调文字颜色 3 2 17 6 2" xfId="10050" xr:uid="{00000000-0005-0000-0000-00000D1D0000}"/>
    <cellStyle name="40% - 强调文字颜色 3 2 17 6 2 2" xfId="7108" xr:uid="{00000000-0005-0000-0000-00000E1D0000}"/>
    <cellStyle name="40% - 强调文字颜色 3 2 17 6 2 3" xfId="16582" xr:uid="{00000000-0005-0000-0000-00000F1D0000}"/>
    <cellStyle name="40% - 强调文字颜色 3 2 17 6 3" xfId="1045" xr:uid="{00000000-0005-0000-0000-0000101D0000}"/>
    <cellStyle name="40% - 强调文字颜色 3 2 17 6 4" xfId="1065" xr:uid="{00000000-0005-0000-0000-0000111D0000}"/>
    <cellStyle name="40% - 强调文字颜色 3 2 17 6 5" xfId="1088" xr:uid="{00000000-0005-0000-0000-0000121D0000}"/>
    <cellStyle name="40% - 强调文字颜色 3 2 17 6 6" xfId="4652" xr:uid="{00000000-0005-0000-0000-0000131D0000}"/>
    <cellStyle name="40% - 强调文字颜色 3 2 17 6 7" xfId="4660" xr:uid="{00000000-0005-0000-0000-0000141D0000}"/>
    <cellStyle name="40% - 强调文字颜色 3 2 17 6 8" xfId="13125" xr:uid="{00000000-0005-0000-0000-0000151D0000}"/>
    <cellStyle name="40% - 强调文字颜色 3 2 17 7" xfId="9476" xr:uid="{00000000-0005-0000-0000-0000161D0000}"/>
    <cellStyle name="40% - 强调文字颜色 3 2 17 8" xfId="9482" xr:uid="{00000000-0005-0000-0000-0000171D0000}"/>
    <cellStyle name="40% - 强调文字颜色 3 2 17 9" xfId="9487" xr:uid="{00000000-0005-0000-0000-0000181D0000}"/>
    <cellStyle name="40% - 强调文字颜色 3 2 17 9 2" xfId="2247" xr:uid="{00000000-0005-0000-0000-0000191D0000}"/>
    <cellStyle name="40% - 强调文字颜色 3 2 17 9 3" xfId="16583" xr:uid="{00000000-0005-0000-0000-00001A1D0000}"/>
    <cellStyle name="40% - 强调文字颜色 3 2 18" xfId="13038" xr:uid="{00000000-0005-0000-0000-00001B1D0000}"/>
    <cellStyle name="40% - 强调文字颜色 3 2 18 10" xfId="16587" xr:uid="{00000000-0005-0000-0000-00001C1D0000}"/>
    <cellStyle name="40% - 强调文字颜色 3 2 18 11" xfId="16589" xr:uid="{00000000-0005-0000-0000-00001D1D0000}"/>
    <cellStyle name="40% - 强调文字颜色 3 2 18 12" xfId="16591" xr:uid="{00000000-0005-0000-0000-00001E1D0000}"/>
    <cellStyle name="40% - 强调文字颜色 3 2 18 13" xfId="16594" xr:uid="{00000000-0005-0000-0000-00001F1D0000}"/>
    <cellStyle name="40% - 强调文字颜色 3 2 18 14" xfId="302" xr:uid="{00000000-0005-0000-0000-0000201D0000}"/>
    <cellStyle name="40% - 强调文字颜色 3 2 18 2" xfId="16595" xr:uid="{00000000-0005-0000-0000-0000211D0000}"/>
    <cellStyle name="40% - 强调文字颜色 3 2 18 3" xfId="16598" xr:uid="{00000000-0005-0000-0000-0000221D0000}"/>
    <cellStyle name="40% - 强调文字颜色 3 2 18 4" xfId="16605" xr:uid="{00000000-0005-0000-0000-0000231D0000}"/>
    <cellStyle name="40% - 强调文字颜色 3 2 18 5" xfId="16611" xr:uid="{00000000-0005-0000-0000-0000241D0000}"/>
    <cellStyle name="40% - 强调文字颜色 3 2 18 5 10" xfId="16614" xr:uid="{00000000-0005-0000-0000-0000251D0000}"/>
    <cellStyle name="40% - 强调文字颜色 3 2 18 5 11" xfId="16615" xr:uid="{00000000-0005-0000-0000-0000261D0000}"/>
    <cellStyle name="40% - 强调文字颜色 3 2 18 5 2" xfId="16617" xr:uid="{00000000-0005-0000-0000-0000271D0000}"/>
    <cellStyle name="40% - 强调文字颜色 3 2 18 5 2 2" xfId="9650" xr:uid="{00000000-0005-0000-0000-0000281D0000}"/>
    <cellStyle name="40% - 强调文字颜色 3 2 18 5 2 2 2" xfId="12230" xr:uid="{00000000-0005-0000-0000-0000291D0000}"/>
    <cellStyle name="40% - 强调文字颜色 3 2 18 5 2 2 3" xfId="12234" xr:uid="{00000000-0005-0000-0000-00002A1D0000}"/>
    <cellStyle name="40% - 强调文字颜色 3 2 18 5 2 3" xfId="9657" xr:uid="{00000000-0005-0000-0000-00002B1D0000}"/>
    <cellStyle name="40% - 强调文字颜色 3 2 18 5 2 4" xfId="3771" xr:uid="{00000000-0005-0000-0000-00002C1D0000}"/>
    <cellStyle name="40% - 强调文字颜色 3 2 18 5 2 5" xfId="3780" xr:uid="{00000000-0005-0000-0000-00002D1D0000}"/>
    <cellStyle name="40% - 强调文字颜色 3 2 18 5 2 6" xfId="9125" xr:uid="{00000000-0005-0000-0000-00002E1D0000}"/>
    <cellStyle name="40% - 强调文字颜色 3 2 18 5 2 7" xfId="3318" xr:uid="{00000000-0005-0000-0000-00002F1D0000}"/>
    <cellStyle name="40% - 强调文字颜色 3 2 18 5 2 8" xfId="3328" xr:uid="{00000000-0005-0000-0000-0000301D0000}"/>
    <cellStyle name="40% - 强调文字颜色 3 2 18 5 3" xfId="16620" xr:uid="{00000000-0005-0000-0000-0000311D0000}"/>
    <cellStyle name="40% - 强调文字颜色 3 2 18 5 4" xfId="16625" xr:uid="{00000000-0005-0000-0000-0000321D0000}"/>
    <cellStyle name="40% - 强调文字颜色 3 2 18 5 5" xfId="5976" xr:uid="{00000000-0005-0000-0000-0000331D0000}"/>
    <cellStyle name="40% - 强调文字颜色 3 2 18 5 6" xfId="9748" xr:uid="{00000000-0005-0000-0000-0000341D0000}"/>
    <cellStyle name="40% - 强调文字颜色 3 2 18 5 6 2" xfId="16634" xr:uid="{00000000-0005-0000-0000-0000351D0000}"/>
    <cellStyle name="40% - 强调文字颜色 3 2 18 5 6 3" xfId="16063" xr:uid="{00000000-0005-0000-0000-0000361D0000}"/>
    <cellStyle name="40% - 强调文字颜色 3 2 18 5 7" xfId="9753" xr:uid="{00000000-0005-0000-0000-0000371D0000}"/>
    <cellStyle name="40% - 强调文字颜色 3 2 18 5 8" xfId="9758" xr:uid="{00000000-0005-0000-0000-0000381D0000}"/>
    <cellStyle name="40% - 强调文字颜色 3 2 18 5 9" xfId="9763" xr:uid="{00000000-0005-0000-0000-0000391D0000}"/>
    <cellStyle name="40% - 强调文字颜色 3 2 18 6" xfId="16639" xr:uid="{00000000-0005-0000-0000-00003A1D0000}"/>
    <cellStyle name="40% - 强调文字颜色 3 2 18 6 2" xfId="16643" xr:uid="{00000000-0005-0000-0000-00003B1D0000}"/>
    <cellStyle name="40% - 强调文字颜色 3 2 18 6 2 2" xfId="6486" xr:uid="{00000000-0005-0000-0000-00003C1D0000}"/>
    <cellStyle name="40% - 强调文字颜色 3 2 18 6 2 3" xfId="6493" xr:uid="{00000000-0005-0000-0000-00003D1D0000}"/>
    <cellStyle name="40% - 强调文字颜色 3 2 18 6 3" xfId="16648" xr:uid="{00000000-0005-0000-0000-00003E1D0000}"/>
    <cellStyle name="40% - 强调文字颜色 3 2 18 6 4" xfId="16652" xr:uid="{00000000-0005-0000-0000-00003F1D0000}"/>
    <cellStyle name="40% - 强调文字颜色 3 2 18 6 5" xfId="6529" xr:uid="{00000000-0005-0000-0000-0000401D0000}"/>
    <cellStyle name="40% - 强调文字颜色 3 2 18 6 6" xfId="6533" xr:uid="{00000000-0005-0000-0000-0000411D0000}"/>
    <cellStyle name="40% - 强调文字颜色 3 2 18 6 7" xfId="16653" xr:uid="{00000000-0005-0000-0000-0000421D0000}"/>
    <cellStyle name="40% - 强调文字颜色 3 2 18 6 8" xfId="16655" xr:uid="{00000000-0005-0000-0000-0000431D0000}"/>
    <cellStyle name="40% - 强调文字颜色 3 2 18 7" xfId="16660" xr:uid="{00000000-0005-0000-0000-0000441D0000}"/>
    <cellStyle name="40% - 强调文字颜色 3 2 18 8" xfId="6943" xr:uid="{00000000-0005-0000-0000-0000451D0000}"/>
    <cellStyle name="40% - 强调文字颜色 3 2 18 9" xfId="6948" xr:uid="{00000000-0005-0000-0000-0000461D0000}"/>
    <cellStyle name="40% - 强调文字颜色 3 2 18 9 2" xfId="16662" xr:uid="{00000000-0005-0000-0000-0000471D0000}"/>
    <cellStyle name="40% - 强调文字颜色 3 2 18 9 3" xfId="16663" xr:uid="{00000000-0005-0000-0000-0000481D0000}"/>
    <cellStyle name="40% - 强调文字颜色 3 2 19" xfId="16666" xr:uid="{00000000-0005-0000-0000-0000491D0000}"/>
    <cellStyle name="40% - 强调文字颜色 3 2 19 10" xfId="16668" xr:uid="{00000000-0005-0000-0000-00004A1D0000}"/>
    <cellStyle name="40% - 强调文字颜色 3 2 19 11" xfId="16669" xr:uid="{00000000-0005-0000-0000-00004B1D0000}"/>
    <cellStyle name="40% - 强调文字颜色 3 2 19 12" xfId="16670" xr:uid="{00000000-0005-0000-0000-00004C1D0000}"/>
    <cellStyle name="40% - 强调文字颜色 3 2 19 13" xfId="10394" xr:uid="{00000000-0005-0000-0000-00004D1D0000}"/>
    <cellStyle name="40% - 强调文字颜色 3 2 19 14" xfId="10397" xr:uid="{00000000-0005-0000-0000-00004E1D0000}"/>
    <cellStyle name="40% - 强调文字颜色 3 2 19 2" xfId="16671" xr:uid="{00000000-0005-0000-0000-00004F1D0000}"/>
    <cellStyle name="40% - 强调文字颜色 3 2 19 3" xfId="16676" xr:uid="{00000000-0005-0000-0000-0000501D0000}"/>
    <cellStyle name="40% - 强调文字颜色 3 2 19 4" xfId="16629" xr:uid="{00000000-0005-0000-0000-0000511D0000}"/>
    <cellStyle name="40% - 强调文字颜色 3 2 19 5" xfId="16058" xr:uid="{00000000-0005-0000-0000-0000521D0000}"/>
    <cellStyle name="40% - 强调文字颜色 3 2 19 5 10" xfId="378" xr:uid="{00000000-0005-0000-0000-0000531D0000}"/>
    <cellStyle name="40% - 强调文字颜色 3 2 19 5 11" xfId="4745" xr:uid="{00000000-0005-0000-0000-0000541D0000}"/>
    <cellStyle name="40% - 强调文字颜色 3 2 19 5 2" xfId="16066" xr:uid="{00000000-0005-0000-0000-0000551D0000}"/>
    <cellStyle name="40% - 强调文字颜色 3 2 19 5 2 2" xfId="11225" xr:uid="{00000000-0005-0000-0000-0000561D0000}"/>
    <cellStyle name="40% - 强调文字颜色 3 2 19 5 2 2 2" xfId="11503" xr:uid="{00000000-0005-0000-0000-0000571D0000}"/>
    <cellStyle name="40% - 强调文字颜色 3 2 19 5 2 2 3" xfId="11506" xr:uid="{00000000-0005-0000-0000-0000581D0000}"/>
    <cellStyle name="40% - 强调文字颜色 3 2 19 5 2 3" xfId="11232" xr:uid="{00000000-0005-0000-0000-0000591D0000}"/>
    <cellStyle name="40% - 强调文字颜色 3 2 19 5 2 4" xfId="11239" xr:uid="{00000000-0005-0000-0000-00005A1D0000}"/>
    <cellStyle name="40% - 强调文字颜色 3 2 19 5 2 5" xfId="11244" xr:uid="{00000000-0005-0000-0000-00005B1D0000}"/>
    <cellStyle name="40% - 强调文字颜色 3 2 19 5 2 6" xfId="9274" xr:uid="{00000000-0005-0000-0000-00005C1D0000}"/>
    <cellStyle name="40% - 强调文字颜色 3 2 19 5 2 7" xfId="9283" xr:uid="{00000000-0005-0000-0000-00005D1D0000}"/>
    <cellStyle name="40% - 强调文字颜色 3 2 19 5 2 8" xfId="12294" xr:uid="{00000000-0005-0000-0000-00005E1D0000}"/>
    <cellStyle name="40% - 强调文字颜色 3 2 19 5 3" xfId="16069" xr:uid="{00000000-0005-0000-0000-00005F1D0000}"/>
    <cellStyle name="40% - 强调文字颜色 3 2 19 5 4" xfId="16078" xr:uid="{00000000-0005-0000-0000-0000601D0000}"/>
    <cellStyle name="40% - 强调文字颜色 3 2 19 5 5" xfId="16084" xr:uid="{00000000-0005-0000-0000-0000611D0000}"/>
    <cellStyle name="40% - 强调文字颜色 3 2 19 5 6" xfId="16089" xr:uid="{00000000-0005-0000-0000-0000621D0000}"/>
    <cellStyle name="40% - 强调文字颜色 3 2 19 5 6 2" xfId="16678" xr:uid="{00000000-0005-0000-0000-0000631D0000}"/>
    <cellStyle name="40% - 强调文字颜色 3 2 19 5 6 3" xfId="467" xr:uid="{00000000-0005-0000-0000-0000641D0000}"/>
    <cellStyle name="40% - 强调文字颜色 3 2 19 5 7" xfId="16095" xr:uid="{00000000-0005-0000-0000-0000651D0000}"/>
    <cellStyle name="40% - 强调文字颜色 3 2 19 5 8" xfId="16101" xr:uid="{00000000-0005-0000-0000-0000661D0000}"/>
    <cellStyle name="40% - 强调文字颜色 3 2 19 5 9" xfId="16681" xr:uid="{00000000-0005-0000-0000-0000671D0000}"/>
    <cellStyle name="40% - 强调文字颜色 3 2 19 6" xfId="16103" xr:uid="{00000000-0005-0000-0000-0000681D0000}"/>
    <cellStyle name="40% - 强调文字颜色 3 2 19 6 2" xfId="16684" xr:uid="{00000000-0005-0000-0000-0000691D0000}"/>
    <cellStyle name="40% - 强调文字颜色 3 2 19 6 2 2" xfId="11946" xr:uid="{00000000-0005-0000-0000-00006A1D0000}"/>
    <cellStyle name="40% - 强调文字颜色 3 2 19 6 2 3" xfId="16688" xr:uid="{00000000-0005-0000-0000-00006B1D0000}"/>
    <cellStyle name="40% - 强调文字颜色 3 2 19 6 3" xfId="16689" xr:uid="{00000000-0005-0000-0000-00006C1D0000}"/>
    <cellStyle name="40% - 强调文字颜色 3 2 19 6 4" xfId="16690" xr:uid="{00000000-0005-0000-0000-00006D1D0000}"/>
    <cellStyle name="40% - 强调文字颜色 3 2 19 6 5" xfId="16696" xr:uid="{00000000-0005-0000-0000-00006E1D0000}"/>
    <cellStyle name="40% - 强调文字颜色 3 2 19 6 6" xfId="16701" xr:uid="{00000000-0005-0000-0000-00006F1D0000}"/>
    <cellStyle name="40% - 强调文字颜色 3 2 19 6 7" xfId="16703" xr:uid="{00000000-0005-0000-0000-0000701D0000}"/>
    <cellStyle name="40% - 强调文字颜色 3 2 19 6 8" xfId="16705" xr:uid="{00000000-0005-0000-0000-0000711D0000}"/>
    <cellStyle name="40% - 强调文字颜色 3 2 19 7" xfId="14094" xr:uid="{00000000-0005-0000-0000-0000721D0000}"/>
    <cellStyle name="40% - 强调文字颜色 3 2 19 8" xfId="14109" xr:uid="{00000000-0005-0000-0000-0000731D0000}"/>
    <cellStyle name="40% - 强调文字颜色 3 2 19 9" xfId="14112" xr:uid="{00000000-0005-0000-0000-0000741D0000}"/>
    <cellStyle name="40% - 强调文字颜色 3 2 19 9 2" xfId="16107" xr:uid="{00000000-0005-0000-0000-0000751D0000}"/>
    <cellStyle name="40% - 强调文字颜色 3 2 19 9 3" xfId="16111" xr:uid="{00000000-0005-0000-0000-0000761D0000}"/>
    <cellStyle name="40% - 强调文字颜色 3 2 2" xfId="14381" xr:uid="{00000000-0005-0000-0000-0000771D0000}"/>
    <cellStyle name="40% - 强调文字颜色 3 2 2 10" xfId="8018" xr:uid="{00000000-0005-0000-0000-0000781D0000}"/>
    <cellStyle name="40% - 强调文字颜色 3 2 2 11" xfId="16708" xr:uid="{00000000-0005-0000-0000-0000791D0000}"/>
    <cellStyle name="40% - 强调文字颜色 3 2 2 12" xfId="16712" xr:uid="{00000000-0005-0000-0000-00007A1D0000}"/>
    <cellStyle name="40% - 强调文字颜色 3 2 2 13" xfId="16715" xr:uid="{00000000-0005-0000-0000-00007B1D0000}"/>
    <cellStyle name="40% - 强调文字颜色 3 2 2 14" xfId="16717" xr:uid="{00000000-0005-0000-0000-00007C1D0000}"/>
    <cellStyle name="40% - 强调文字颜色 3 2 2 2" xfId="3323" xr:uid="{00000000-0005-0000-0000-00007D1D0000}"/>
    <cellStyle name="40% - 强调文字颜色 3 2 2 3" xfId="3334" xr:uid="{00000000-0005-0000-0000-00007E1D0000}"/>
    <cellStyle name="40% - 强调文字颜色 3 2 2 4" xfId="3346" xr:uid="{00000000-0005-0000-0000-00007F1D0000}"/>
    <cellStyle name="40% - 强调文字颜色 3 2 2 5" xfId="3362" xr:uid="{00000000-0005-0000-0000-0000801D0000}"/>
    <cellStyle name="40% - 强调文字颜色 3 2 2 6" xfId="9201" xr:uid="{00000000-0005-0000-0000-0000811D0000}"/>
    <cellStyle name="40% - 强调文字颜色 3 2 2 7" xfId="15454" xr:uid="{00000000-0005-0000-0000-0000821D0000}"/>
    <cellStyle name="40% - 强调文字颜色 3 2 2 8" xfId="15457" xr:uid="{00000000-0005-0000-0000-0000831D0000}"/>
    <cellStyle name="40% - 强调文字颜色 3 2 2 9" xfId="15460" xr:uid="{00000000-0005-0000-0000-0000841D0000}"/>
    <cellStyle name="40% - 强调文字颜色 3 2 20" xfId="12170" xr:uid="{00000000-0005-0000-0000-0000851D0000}"/>
    <cellStyle name="40% - 强调文字颜色 3 2 20 10" xfId="13308" xr:uid="{00000000-0005-0000-0000-0000861D0000}"/>
    <cellStyle name="40% - 强调文字颜色 3 2 20 11" xfId="13315" xr:uid="{00000000-0005-0000-0000-0000871D0000}"/>
    <cellStyle name="40% - 强调文字颜色 3 2 20 12" xfId="16720" xr:uid="{00000000-0005-0000-0000-0000881D0000}"/>
    <cellStyle name="40% - 强调文字颜色 3 2 20 13" xfId="16725" xr:uid="{00000000-0005-0000-0000-0000891D0000}"/>
    <cellStyle name="40% - 强调文字颜色 3 2 20 14" xfId="16729" xr:uid="{00000000-0005-0000-0000-00008A1D0000}"/>
    <cellStyle name="40% - 强调文字颜色 3 2 20 2" xfId="4102" xr:uid="{00000000-0005-0000-0000-00008B1D0000}"/>
    <cellStyle name="40% - 强调文字颜色 3 2 20 3" xfId="5266" xr:uid="{00000000-0005-0000-0000-00008C1D0000}"/>
    <cellStyle name="40% - 强调文字颜色 3 2 20 4" xfId="9645" xr:uid="{00000000-0005-0000-0000-00008D1D0000}"/>
    <cellStyle name="40% - 强调文字颜色 3 2 20 5" xfId="9653" xr:uid="{00000000-0005-0000-0000-00008E1D0000}"/>
    <cellStyle name="40% - 强调文字颜色 3 2 20 5 10" xfId="16732" xr:uid="{00000000-0005-0000-0000-00008F1D0000}"/>
    <cellStyle name="40% - 强调文字颜色 3 2 20 5 11" xfId="2329" xr:uid="{00000000-0005-0000-0000-0000901D0000}"/>
    <cellStyle name="40% - 强调文字颜色 3 2 20 5 2" xfId="8539" xr:uid="{00000000-0005-0000-0000-0000911D0000}"/>
    <cellStyle name="40% - 强调文字颜色 3 2 20 5 2 2" xfId="16733" xr:uid="{00000000-0005-0000-0000-0000921D0000}"/>
    <cellStyle name="40% - 强调文字颜色 3 2 20 5 2 2 2" xfId="16736" xr:uid="{00000000-0005-0000-0000-0000931D0000}"/>
    <cellStyle name="40% - 强调文字颜色 3 2 20 5 2 2 3" xfId="16738" xr:uid="{00000000-0005-0000-0000-0000941D0000}"/>
    <cellStyle name="40% - 强调文字颜色 3 2 20 5 2 3" xfId="16739" xr:uid="{00000000-0005-0000-0000-0000951D0000}"/>
    <cellStyle name="40% - 强调文字颜色 3 2 20 5 2 4" xfId="16741" xr:uid="{00000000-0005-0000-0000-0000961D0000}"/>
    <cellStyle name="40% - 强调文字颜色 3 2 20 5 2 5" xfId="16743" xr:uid="{00000000-0005-0000-0000-0000971D0000}"/>
    <cellStyle name="40% - 强调文字颜色 3 2 20 5 2 6" xfId="6016" xr:uid="{00000000-0005-0000-0000-0000981D0000}"/>
    <cellStyle name="40% - 强调文字颜色 3 2 20 5 2 7" xfId="6020" xr:uid="{00000000-0005-0000-0000-0000991D0000}"/>
    <cellStyle name="40% - 强调文字颜色 3 2 20 5 2 8" xfId="16748" xr:uid="{00000000-0005-0000-0000-00009A1D0000}"/>
    <cellStyle name="40% - 强调文字颜色 3 2 20 5 3" xfId="2776" xr:uid="{00000000-0005-0000-0000-00009B1D0000}"/>
    <cellStyle name="40% - 强调文字颜色 3 2 20 5 4" xfId="2784" xr:uid="{00000000-0005-0000-0000-00009C1D0000}"/>
    <cellStyle name="40% - 强调文字颜色 3 2 20 5 5" xfId="12335" xr:uid="{00000000-0005-0000-0000-00009D1D0000}"/>
    <cellStyle name="40% - 强调文字颜色 3 2 20 5 6" xfId="16750" xr:uid="{00000000-0005-0000-0000-00009E1D0000}"/>
    <cellStyle name="40% - 强调文字颜色 3 2 20 5 6 2" xfId="16752" xr:uid="{00000000-0005-0000-0000-00009F1D0000}"/>
    <cellStyle name="40% - 强调文字颜色 3 2 20 5 6 3" xfId="16753" xr:uid="{00000000-0005-0000-0000-0000A01D0000}"/>
    <cellStyle name="40% - 强调文字颜色 3 2 20 5 7" xfId="16754" xr:uid="{00000000-0005-0000-0000-0000A11D0000}"/>
    <cellStyle name="40% - 强调文字颜色 3 2 20 5 8" xfId="16756" xr:uid="{00000000-0005-0000-0000-0000A21D0000}"/>
    <cellStyle name="40% - 强调文字颜色 3 2 20 5 9" xfId="16758" xr:uid="{00000000-0005-0000-0000-0000A31D0000}"/>
    <cellStyle name="40% - 强调文字颜色 3 2 20 6" xfId="3767" xr:uid="{00000000-0005-0000-0000-0000A41D0000}"/>
    <cellStyle name="40% - 强调文字颜色 3 2 20 6 2" xfId="12339" xr:uid="{00000000-0005-0000-0000-0000A51D0000}"/>
    <cellStyle name="40% - 强调文字颜色 3 2 20 6 2 2" xfId="2354" xr:uid="{00000000-0005-0000-0000-0000A61D0000}"/>
    <cellStyle name="40% - 强调文字颜色 3 2 20 6 2 3" xfId="13300" xr:uid="{00000000-0005-0000-0000-0000A71D0000}"/>
    <cellStyle name="40% - 强调文字颜色 3 2 20 6 3" xfId="7204" xr:uid="{00000000-0005-0000-0000-0000A81D0000}"/>
    <cellStyle name="40% - 强调文字颜色 3 2 20 6 4" xfId="7210" xr:uid="{00000000-0005-0000-0000-0000A91D0000}"/>
    <cellStyle name="40% - 强调文字颜色 3 2 20 6 5" xfId="7176" xr:uid="{00000000-0005-0000-0000-0000AA1D0000}"/>
    <cellStyle name="40% - 强调文字颜色 3 2 20 6 6" xfId="16761" xr:uid="{00000000-0005-0000-0000-0000AB1D0000}"/>
    <cellStyle name="40% - 强调文字颜色 3 2 20 6 7" xfId="16766" xr:uid="{00000000-0005-0000-0000-0000AC1D0000}"/>
    <cellStyle name="40% - 强调文字颜色 3 2 20 6 8" xfId="16770" xr:uid="{00000000-0005-0000-0000-0000AD1D0000}"/>
    <cellStyle name="40% - 强调文字颜色 3 2 20 7" xfId="3774" xr:uid="{00000000-0005-0000-0000-0000AE1D0000}"/>
    <cellStyle name="40% - 强调文字颜色 3 2 20 8" xfId="9120" xr:uid="{00000000-0005-0000-0000-0000AF1D0000}"/>
    <cellStyle name="40% - 强调文字颜色 3 2 20 9" xfId="3312" xr:uid="{00000000-0005-0000-0000-0000B01D0000}"/>
    <cellStyle name="40% - 强调文字颜色 3 2 20 9 2" xfId="16772" xr:uid="{00000000-0005-0000-0000-0000B11D0000}"/>
    <cellStyle name="40% - 强调文字颜色 3 2 20 9 3" xfId="16773" xr:uid="{00000000-0005-0000-0000-0000B21D0000}"/>
    <cellStyle name="40% - 强调文字颜色 3 2 3" xfId="16774" xr:uid="{00000000-0005-0000-0000-0000B31D0000}"/>
    <cellStyle name="40% - 强调文字颜色 3 2 3 10" xfId="2501" xr:uid="{00000000-0005-0000-0000-0000B41D0000}"/>
    <cellStyle name="40% - 强调文字颜色 3 2 3 11" xfId="2509" xr:uid="{00000000-0005-0000-0000-0000B51D0000}"/>
    <cellStyle name="40% - 强调文字颜色 3 2 3 12" xfId="2517" xr:uid="{00000000-0005-0000-0000-0000B61D0000}"/>
    <cellStyle name="40% - 强调文字颜色 3 2 3 13" xfId="5124" xr:uid="{00000000-0005-0000-0000-0000B71D0000}"/>
    <cellStyle name="40% - 强调文字颜色 3 2 3 14" xfId="10724" xr:uid="{00000000-0005-0000-0000-0000B81D0000}"/>
    <cellStyle name="40% - 强调文字颜色 3 2 3 2" xfId="9256" xr:uid="{00000000-0005-0000-0000-0000B91D0000}"/>
    <cellStyle name="40% - 强调文字颜色 3 2 3 3" xfId="9346" xr:uid="{00000000-0005-0000-0000-0000BA1D0000}"/>
    <cellStyle name="40% - 强调文字颜色 3 2 3 4" xfId="9421" xr:uid="{00000000-0005-0000-0000-0000BB1D0000}"/>
    <cellStyle name="40% - 强调文字颜色 3 2 3 5" xfId="9425" xr:uid="{00000000-0005-0000-0000-0000BC1D0000}"/>
    <cellStyle name="40% - 强调文字颜色 3 2 3 6" xfId="9434" xr:uid="{00000000-0005-0000-0000-0000BD1D0000}"/>
    <cellStyle name="40% - 强调文字颜色 3 2 3 7" xfId="16388" xr:uid="{00000000-0005-0000-0000-0000BE1D0000}"/>
    <cellStyle name="40% - 强调文字颜色 3 2 3 8" xfId="16396" xr:uid="{00000000-0005-0000-0000-0000BF1D0000}"/>
    <cellStyle name="40% - 强调文字颜色 3 2 3 9" xfId="16776" xr:uid="{00000000-0005-0000-0000-0000C01D0000}"/>
    <cellStyle name="40% - 强调文字颜色 3 2 4" xfId="16778" xr:uid="{00000000-0005-0000-0000-0000C11D0000}"/>
    <cellStyle name="40% - 强调文字颜色 3 2 4 10" xfId="6999" xr:uid="{00000000-0005-0000-0000-0000C21D0000}"/>
    <cellStyle name="40% - 强调文字颜色 3 2 4 11" xfId="2760" xr:uid="{00000000-0005-0000-0000-0000C31D0000}"/>
    <cellStyle name="40% - 强调文字颜色 3 2 4 12" xfId="11066" xr:uid="{00000000-0005-0000-0000-0000C41D0000}"/>
    <cellStyle name="40% - 强调文字颜色 3 2 4 13" xfId="11072" xr:uid="{00000000-0005-0000-0000-0000C51D0000}"/>
    <cellStyle name="40% - 强调文字颜色 3 2 4 14" xfId="4616" xr:uid="{00000000-0005-0000-0000-0000C61D0000}"/>
    <cellStyle name="40% - 强调文字颜色 3 2 4 2" xfId="9494" xr:uid="{00000000-0005-0000-0000-0000C71D0000}"/>
    <cellStyle name="40% - 强调文字颜色 3 2 4 3" xfId="9558" xr:uid="{00000000-0005-0000-0000-0000C81D0000}"/>
    <cellStyle name="40% - 强调文字颜色 3 2 4 4" xfId="9584" xr:uid="{00000000-0005-0000-0000-0000C91D0000}"/>
    <cellStyle name="40% - 强调文字颜色 3 2 4 5" xfId="9592" xr:uid="{00000000-0005-0000-0000-0000CA1D0000}"/>
    <cellStyle name="40% - 强调文字颜色 3 2 4 6" xfId="9600" xr:uid="{00000000-0005-0000-0000-0000CB1D0000}"/>
    <cellStyle name="40% - 强调文字颜色 3 2 4 7" xfId="11515" xr:uid="{00000000-0005-0000-0000-0000CC1D0000}"/>
    <cellStyle name="40% - 强调文字颜色 3 2 4 8" xfId="12880" xr:uid="{00000000-0005-0000-0000-0000CD1D0000}"/>
    <cellStyle name="40% - 强调文字颜色 3 2 4 9" xfId="12885" xr:uid="{00000000-0005-0000-0000-0000CE1D0000}"/>
    <cellStyle name="40% - 强调文字颜色 3 2 5" xfId="14781" xr:uid="{00000000-0005-0000-0000-0000CF1D0000}"/>
    <cellStyle name="40% - 强调文字颜色 3 2 6" xfId="14783" xr:uid="{00000000-0005-0000-0000-0000D01D0000}"/>
    <cellStyle name="40% - 强调文字颜色 3 2 7" xfId="3359" xr:uid="{00000000-0005-0000-0000-0000D11D0000}"/>
    <cellStyle name="40% - 强调文字颜色 3 2 8" xfId="6604" xr:uid="{00000000-0005-0000-0000-0000D21D0000}"/>
    <cellStyle name="40% - 强调文字颜色 3 2 9" xfId="6618" xr:uid="{00000000-0005-0000-0000-0000D31D0000}"/>
    <cellStyle name="40% - 强调文字颜色 3 3" xfId="16779" xr:uid="{00000000-0005-0000-0000-0000D41D0000}"/>
    <cellStyle name="40% - 强调文字颜色 3 3 10" xfId="16782" xr:uid="{00000000-0005-0000-0000-0000D51D0000}"/>
    <cellStyle name="40% - 强调文字颜色 3 3 11" xfId="16783" xr:uid="{00000000-0005-0000-0000-0000D61D0000}"/>
    <cellStyle name="40% - 强调文字颜色 3 3 12" xfId="4882" xr:uid="{00000000-0005-0000-0000-0000D71D0000}"/>
    <cellStyle name="40% - 强调文字颜色 3 3 13" xfId="4887" xr:uid="{00000000-0005-0000-0000-0000D81D0000}"/>
    <cellStyle name="40% - 强调文字颜色 3 3 14" xfId="16127" xr:uid="{00000000-0005-0000-0000-0000D91D0000}"/>
    <cellStyle name="40% - 强调文字颜色 3 3 15" xfId="16129" xr:uid="{00000000-0005-0000-0000-0000DA1D0000}"/>
    <cellStyle name="40% - 强调文字颜色 3 3 16" xfId="16132" xr:uid="{00000000-0005-0000-0000-0000DB1D0000}"/>
    <cellStyle name="40% - 强调文字颜色 3 3 17" xfId="16134" xr:uid="{00000000-0005-0000-0000-0000DC1D0000}"/>
    <cellStyle name="40% - 强调文字颜色 3 3 17 10" xfId="16784" xr:uid="{00000000-0005-0000-0000-0000DD1D0000}"/>
    <cellStyle name="40% - 强调文字颜色 3 3 17 11" xfId="10379" xr:uid="{00000000-0005-0000-0000-0000DE1D0000}"/>
    <cellStyle name="40% - 强调文字颜色 3 3 17 12" xfId="10383" xr:uid="{00000000-0005-0000-0000-0000DF1D0000}"/>
    <cellStyle name="40% - 强调文字颜色 3 3 17 13" xfId="16560" xr:uid="{00000000-0005-0000-0000-0000E01D0000}"/>
    <cellStyle name="40% - 强调文字颜色 3 3 17 14" xfId="16563" xr:uid="{00000000-0005-0000-0000-0000E11D0000}"/>
    <cellStyle name="40% - 强调文字颜色 3 3 17 2" xfId="7541" xr:uid="{00000000-0005-0000-0000-0000E21D0000}"/>
    <cellStyle name="40% - 强调文字颜色 3 3 17 2 2" xfId="9605" xr:uid="{00000000-0005-0000-0000-0000E31D0000}"/>
    <cellStyle name="40% - 强调文字颜色 3 3 17 3" xfId="11749" xr:uid="{00000000-0005-0000-0000-0000E41D0000}"/>
    <cellStyle name="40% - 强调文字颜色 3 3 17 4" xfId="11758" xr:uid="{00000000-0005-0000-0000-0000E51D0000}"/>
    <cellStyle name="40% - 强调文字颜色 3 3 17 5" xfId="11767" xr:uid="{00000000-0005-0000-0000-0000E61D0000}"/>
    <cellStyle name="40% - 强调文字颜色 3 3 17 5 10" xfId="3610" xr:uid="{00000000-0005-0000-0000-0000E71D0000}"/>
    <cellStyle name="40% - 强调文字颜色 3 3 17 5 11" xfId="3615" xr:uid="{00000000-0005-0000-0000-0000E81D0000}"/>
    <cellStyle name="40% - 强调文字颜色 3 3 17 5 2" xfId="11776" xr:uid="{00000000-0005-0000-0000-0000E91D0000}"/>
    <cellStyle name="40% - 强调文字颜色 3 3 17 5 2 2" xfId="16785" xr:uid="{00000000-0005-0000-0000-0000EA1D0000}"/>
    <cellStyle name="40% - 强调文字颜色 3 3 17 5 2 2 2" xfId="15936" xr:uid="{00000000-0005-0000-0000-0000EB1D0000}"/>
    <cellStyle name="40% - 强调文字颜色 3 3 17 5 2 2 3" xfId="16788" xr:uid="{00000000-0005-0000-0000-0000EC1D0000}"/>
    <cellStyle name="40% - 强调文字颜色 3 3 17 5 2 3" xfId="16790" xr:uid="{00000000-0005-0000-0000-0000ED1D0000}"/>
    <cellStyle name="40% - 强调文字颜色 3 3 17 5 2 4" xfId="16791" xr:uid="{00000000-0005-0000-0000-0000EE1D0000}"/>
    <cellStyle name="40% - 强调文字颜色 3 3 17 5 2 5" xfId="16793" xr:uid="{00000000-0005-0000-0000-0000EF1D0000}"/>
    <cellStyle name="40% - 强调文字颜色 3 3 17 5 2 6" xfId="16795" xr:uid="{00000000-0005-0000-0000-0000F01D0000}"/>
    <cellStyle name="40% - 强调文字颜色 3 3 17 5 2 7" xfId="16796" xr:uid="{00000000-0005-0000-0000-0000F11D0000}"/>
    <cellStyle name="40% - 强调文字颜色 3 3 17 5 2 8" xfId="16797" xr:uid="{00000000-0005-0000-0000-0000F21D0000}"/>
    <cellStyle name="40% - 强调文字颜色 3 3 17 5 3" xfId="11784" xr:uid="{00000000-0005-0000-0000-0000F31D0000}"/>
    <cellStyle name="40% - 强调文字颜色 3 3 17 5 4" xfId="14942" xr:uid="{00000000-0005-0000-0000-0000F41D0000}"/>
    <cellStyle name="40% - 强调文字颜色 3 3 17 5 5" xfId="14944" xr:uid="{00000000-0005-0000-0000-0000F51D0000}"/>
    <cellStyle name="40% - 强调文字颜色 3 3 17 5 6" xfId="12283" xr:uid="{00000000-0005-0000-0000-0000F61D0000}"/>
    <cellStyle name="40% - 强调文字颜色 3 3 17 5 6 2" xfId="16802" xr:uid="{00000000-0005-0000-0000-0000F71D0000}"/>
    <cellStyle name="40% - 强调文字颜色 3 3 17 5 6 3" xfId="16807" xr:uid="{00000000-0005-0000-0000-0000F81D0000}"/>
    <cellStyle name="40% - 强调文字颜色 3 3 17 5 7" xfId="12289" xr:uid="{00000000-0005-0000-0000-0000F91D0000}"/>
    <cellStyle name="40% - 强调文字颜色 3 3 17 5 8" xfId="14952" xr:uid="{00000000-0005-0000-0000-0000FA1D0000}"/>
    <cellStyle name="40% - 强调文字颜色 3 3 17 5 9" xfId="16811" xr:uid="{00000000-0005-0000-0000-0000FB1D0000}"/>
    <cellStyle name="40% - 强调文字颜色 3 3 17 6" xfId="10921" xr:uid="{00000000-0005-0000-0000-0000FC1D0000}"/>
    <cellStyle name="40% - 强调文字颜色 3 3 17 6 2" xfId="15447" xr:uid="{00000000-0005-0000-0000-0000FD1D0000}"/>
    <cellStyle name="40% - 强调文字颜色 3 3 17 6 2 2" xfId="16812" xr:uid="{00000000-0005-0000-0000-0000FE1D0000}"/>
    <cellStyle name="40% - 强调文字颜色 3 3 17 6 2 3" xfId="16814" xr:uid="{00000000-0005-0000-0000-0000FF1D0000}"/>
    <cellStyle name="40% - 强调文字颜色 3 3 17 6 3" xfId="3981" xr:uid="{00000000-0005-0000-0000-0000001E0000}"/>
    <cellStyle name="40% - 强调文字颜色 3 3 17 6 4" xfId="4913" xr:uid="{00000000-0005-0000-0000-0000011E0000}"/>
    <cellStyle name="40% - 强调文字颜色 3 3 17 6 5" xfId="5215" xr:uid="{00000000-0005-0000-0000-0000021E0000}"/>
    <cellStyle name="40% - 强调文字颜色 3 3 17 6 6" xfId="2838" xr:uid="{00000000-0005-0000-0000-0000031E0000}"/>
    <cellStyle name="40% - 强调文字颜色 3 3 17 6 7" xfId="2859" xr:uid="{00000000-0005-0000-0000-0000041E0000}"/>
    <cellStyle name="40% - 强调文字颜色 3 3 17 6 8" xfId="12034" xr:uid="{00000000-0005-0000-0000-0000051E0000}"/>
    <cellStyle name="40% - 强调文字颜色 3 3 17 7" xfId="10053" xr:uid="{00000000-0005-0000-0000-0000061E0000}"/>
    <cellStyle name="40% - 强调文字颜色 3 3 17 8" xfId="10061" xr:uid="{00000000-0005-0000-0000-0000071E0000}"/>
    <cellStyle name="40% - 强调文字颜色 3 3 17 9" xfId="2080" xr:uid="{00000000-0005-0000-0000-0000081E0000}"/>
    <cellStyle name="40% - 强调文字颜色 3 3 17 9 2" xfId="15928" xr:uid="{00000000-0005-0000-0000-0000091E0000}"/>
    <cellStyle name="40% - 强调文字颜色 3 3 17 9 3" xfId="15931" xr:uid="{00000000-0005-0000-0000-00000A1E0000}"/>
    <cellStyle name="40% - 强调文字颜色 3 3 18" xfId="16137" xr:uid="{00000000-0005-0000-0000-00000B1E0000}"/>
    <cellStyle name="40% - 强调文字颜色 3 3 18 10" xfId="16815" xr:uid="{00000000-0005-0000-0000-00000C1E0000}"/>
    <cellStyle name="40% - 强调文字颜色 3 3 18 11" xfId="9497" xr:uid="{00000000-0005-0000-0000-00000D1E0000}"/>
    <cellStyle name="40% - 强调文字颜色 3 3 18 12" xfId="9505" xr:uid="{00000000-0005-0000-0000-00000E1E0000}"/>
    <cellStyle name="40% - 强调文字颜色 3 3 18 13" xfId="9509" xr:uid="{00000000-0005-0000-0000-00000F1E0000}"/>
    <cellStyle name="40% - 强调文字颜色 3 3 18 14" xfId="9514" xr:uid="{00000000-0005-0000-0000-0000101E0000}"/>
    <cellStyle name="40% - 强调文字颜色 3 3 18 2" xfId="16816" xr:uid="{00000000-0005-0000-0000-0000111E0000}"/>
    <cellStyle name="40% - 强调文字颜色 3 3 18 3" xfId="16819" xr:uid="{00000000-0005-0000-0000-0000121E0000}"/>
    <cellStyle name="40% - 强调文字颜色 3 3 18 4" xfId="16824" xr:uid="{00000000-0005-0000-0000-0000131E0000}"/>
    <cellStyle name="40% - 强调文字颜色 3 3 18 5" xfId="16829" xr:uid="{00000000-0005-0000-0000-0000141E0000}"/>
    <cellStyle name="40% - 强调文字颜色 3 3 18 5 10" xfId="16839" xr:uid="{00000000-0005-0000-0000-0000151E0000}"/>
    <cellStyle name="40% - 强调文字颜色 3 3 18 5 11" xfId="16842" xr:uid="{00000000-0005-0000-0000-0000161E0000}"/>
    <cellStyle name="40% - 强调文字颜色 3 3 18 5 2" xfId="16847" xr:uid="{00000000-0005-0000-0000-0000171E0000}"/>
    <cellStyle name="40% - 强调文字颜色 3 3 18 5 2 2" xfId="13261" xr:uid="{00000000-0005-0000-0000-0000181E0000}"/>
    <cellStyle name="40% - 强调文字颜色 3 3 18 5 2 2 2" xfId="3263" xr:uid="{00000000-0005-0000-0000-0000191E0000}"/>
    <cellStyle name="40% - 强调文字颜色 3 3 18 5 2 2 3" xfId="16850" xr:uid="{00000000-0005-0000-0000-00001A1E0000}"/>
    <cellStyle name="40% - 强调文字颜色 3 3 18 5 2 3" xfId="11370" xr:uid="{00000000-0005-0000-0000-00001B1E0000}"/>
    <cellStyle name="40% - 强调文字颜色 3 3 18 5 2 4" xfId="7101" xr:uid="{00000000-0005-0000-0000-00001C1E0000}"/>
    <cellStyle name="40% - 强调文字颜色 3 3 18 5 2 5" xfId="7116" xr:uid="{00000000-0005-0000-0000-00001D1E0000}"/>
    <cellStyle name="40% - 强调文字颜色 3 3 18 5 2 6" xfId="7123" xr:uid="{00000000-0005-0000-0000-00001E1E0000}"/>
    <cellStyle name="40% - 强调文字颜色 3 3 18 5 2 7" xfId="7129" xr:uid="{00000000-0005-0000-0000-00001F1E0000}"/>
    <cellStyle name="40% - 强调文字颜色 3 3 18 5 2 8" xfId="7137" xr:uid="{00000000-0005-0000-0000-0000201E0000}"/>
    <cellStyle name="40% - 强调文字颜色 3 3 18 5 3" xfId="16851" xr:uid="{00000000-0005-0000-0000-0000211E0000}"/>
    <cellStyle name="40% - 强调文字颜色 3 3 18 5 4" xfId="16854" xr:uid="{00000000-0005-0000-0000-0000221E0000}"/>
    <cellStyle name="40% - 强调文字颜色 3 3 18 5 5" xfId="11311" xr:uid="{00000000-0005-0000-0000-0000231E0000}"/>
    <cellStyle name="40% - 强调文字颜色 3 3 18 5 6" xfId="11314" xr:uid="{00000000-0005-0000-0000-0000241E0000}"/>
    <cellStyle name="40% - 强调文字颜色 3 3 18 5 6 2" xfId="16857" xr:uid="{00000000-0005-0000-0000-0000251E0000}"/>
    <cellStyle name="40% - 强调文字颜色 3 3 18 5 6 3" xfId="11777" xr:uid="{00000000-0005-0000-0000-0000261E0000}"/>
    <cellStyle name="40% - 强调文字颜色 3 3 18 5 7" xfId="11317" xr:uid="{00000000-0005-0000-0000-0000271E0000}"/>
    <cellStyle name="40% - 强调文字颜色 3 3 18 5 8" xfId="11320" xr:uid="{00000000-0005-0000-0000-0000281E0000}"/>
    <cellStyle name="40% - 强调文字颜色 3 3 18 5 9" xfId="11325" xr:uid="{00000000-0005-0000-0000-0000291E0000}"/>
    <cellStyle name="40% - 强调文字颜色 3 3 18 6" xfId="16860" xr:uid="{00000000-0005-0000-0000-00002A1E0000}"/>
    <cellStyle name="40% - 强调文字颜色 3 3 18 6 2" xfId="16862" xr:uid="{00000000-0005-0000-0000-00002B1E0000}"/>
    <cellStyle name="40% - 强调文字颜色 3 3 18 6 2 2" xfId="14958" xr:uid="{00000000-0005-0000-0000-00002C1E0000}"/>
    <cellStyle name="40% - 强调文字颜色 3 3 18 6 2 3" xfId="14964" xr:uid="{00000000-0005-0000-0000-00002D1E0000}"/>
    <cellStyle name="40% - 强调文字颜色 3 3 18 6 3" xfId="16868" xr:uid="{00000000-0005-0000-0000-00002E1E0000}"/>
    <cellStyle name="40% - 强调文字颜色 3 3 18 6 4" xfId="16874" xr:uid="{00000000-0005-0000-0000-00002F1E0000}"/>
    <cellStyle name="40% - 强调文字颜色 3 3 18 6 5" xfId="16877" xr:uid="{00000000-0005-0000-0000-0000301E0000}"/>
    <cellStyle name="40% - 强调文字颜色 3 3 18 6 6" xfId="16880" xr:uid="{00000000-0005-0000-0000-0000311E0000}"/>
    <cellStyle name="40% - 强调文字颜色 3 3 18 6 7" xfId="16883" xr:uid="{00000000-0005-0000-0000-0000321E0000}"/>
    <cellStyle name="40% - 强调文字颜色 3 3 18 6 8" xfId="16886" xr:uid="{00000000-0005-0000-0000-0000331E0000}"/>
    <cellStyle name="40% - 强调文字颜色 3 3 18 7" xfId="14562" xr:uid="{00000000-0005-0000-0000-0000341E0000}"/>
    <cellStyle name="40% - 强调文字颜色 3 3 18 8" xfId="14566" xr:uid="{00000000-0005-0000-0000-0000351E0000}"/>
    <cellStyle name="40% - 强调文字颜色 3 3 18 9" xfId="16889" xr:uid="{00000000-0005-0000-0000-0000361E0000}"/>
    <cellStyle name="40% - 强调文字颜色 3 3 18 9 2" xfId="16789" xr:uid="{00000000-0005-0000-0000-0000371E0000}"/>
    <cellStyle name="40% - 强调文字颜色 3 3 18 9 3" xfId="16890" xr:uid="{00000000-0005-0000-0000-0000381E0000}"/>
    <cellStyle name="40% - 强调文字颜色 3 3 19" xfId="16375" xr:uid="{00000000-0005-0000-0000-0000391E0000}"/>
    <cellStyle name="40% - 强调文字颜色 3 3 19 10" xfId="16892" xr:uid="{00000000-0005-0000-0000-00003A1E0000}"/>
    <cellStyle name="40% - 强调文字颜色 3 3 19 11" xfId="11532" xr:uid="{00000000-0005-0000-0000-00003B1E0000}"/>
    <cellStyle name="40% - 强调文字颜色 3 3 19 12" xfId="11534" xr:uid="{00000000-0005-0000-0000-00003C1E0000}"/>
    <cellStyle name="40% - 强调文字颜色 3 3 19 13" xfId="11536" xr:uid="{00000000-0005-0000-0000-00003D1E0000}"/>
    <cellStyle name="40% - 强调文字颜色 3 3 19 14" xfId="11538" xr:uid="{00000000-0005-0000-0000-00003E1E0000}"/>
    <cellStyle name="40% - 强调文字颜色 3 3 19 2" xfId="16893" xr:uid="{00000000-0005-0000-0000-00003F1E0000}"/>
    <cellStyle name="40% - 强调文字颜色 3 3 19 3" xfId="16896" xr:uid="{00000000-0005-0000-0000-0000401E0000}"/>
    <cellStyle name="40% - 强调文字颜色 3 3 19 4" xfId="16899" xr:uid="{00000000-0005-0000-0000-0000411E0000}"/>
    <cellStyle name="40% - 强调文字颜色 3 3 19 5" xfId="16902" xr:uid="{00000000-0005-0000-0000-0000421E0000}"/>
    <cellStyle name="40% - 强调文字颜色 3 3 19 5 10" xfId="16906" xr:uid="{00000000-0005-0000-0000-0000431E0000}"/>
    <cellStyle name="40% - 强调文字颜色 3 3 19 5 11" xfId="7480" xr:uid="{00000000-0005-0000-0000-0000441E0000}"/>
    <cellStyle name="40% - 强调文字颜色 3 3 19 5 2" xfId="16908" xr:uid="{00000000-0005-0000-0000-0000451E0000}"/>
    <cellStyle name="40% - 强调文字颜色 3 3 19 5 2 2" xfId="16909" xr:uid="{00000000-0005-0000-0000-0000461E0000}"/>
    <cellStyle name="40% - 强调文字颜色 3 3 19 5 2 2 2" xfId="16911" xr:uid="{00000000-0005-0000-0000-0000471E0000}"/>
    <cellStyle name="40% - 强调文字颜色 3 3 19 5 2 2 3" xfId="16912" xr:uid="{00000000-0005-0000-0000-0000481E0000}"/>
    <cellStyle name="40% - 强调文字颜色 3 3 19 5 2 3" xfId="15994" xr:uid="{00000000-0005-0000-0000-0000491E0000}"/>
    <cellStyle name="40% - 强调文字颜色 3 3 19 5 2 4" xfId="15999" xr:uid="{00000000-0005-0000-0000-00004A1E0000}"/>
    <cellStyle name="40% - 强调文字颜色 3 3 19 5 2 5" xfId="13964" xr:uid="{00000000-0005-0000-0000-00004B1E0000}"/>
    <cellStyle name="40% - 强调文字颜色 3 3 19 5 2 6" xfId="13984" xr:uid="{00000000-0005-0000-0000-00004C1E0000}"/>
    <cellStyle name="40% - 强调文字颜色 3 3 19 5 2 7" xfId="13994" xr:uid="{00000000-0005-0000-0000-00004D1E0000}"/>
    <cellStyle name="40% - 强调文字颜色 3 3 19 5 2 8" xfId="12355" xr:uid="{00000000-0005-0000-0000-00004E1E0000}"/>
    <cellStyle name="40% - 强调文字颜色 3 3 19 5 3" xfId="16913" xr:uid="{00000000-0005-0000-0000-00004F1E0000}"/>
    <cellStyle name="40% - 强调文字颜色 3 3 19 5 4" xfId="16914" xr:uid="{00000000-0005-0000-0000-0000501E0000}"/>
    <cellStyle name="40% - 强调文字颜色 3 3 19 5 5" xfId="16916" xr:uid="{00000000-0005-0000-0000-0000511E0000}"/>
    <cellStyle name="40% - 强调文字颜色 3 3 19 5 6" xfId="16919" xr:uid="{00000000-0005-0000-0000-0000521E0000}"/>
    <cellStyle name="40% - 强调文字颜色 3 3 19 5 6 2" xfId="6470" xr:uid="{00000000-0005-0000-0000-0000531E0000}"/>
    <cellStyle name="40% - 强调文字颜色 3 3 19 5 6 3" xfId="6283" xr:uid="{00000000-0005-0000-0000-0000541E0000}"/>
    <cellStyle name="40% - 强调文字颜色 3 3 19 5 7" xfId="16922" xr:uid="{00000000-0005-0000-0000-0000551E0000}"/>
    <cellStyle name="40% - 强调文字颜色 3 3 19 5 8" xfId="16924" xr:uid="{00000000-0005-0000-0000-0000561E0000}"/>
    <cellStyle name="40% - 强调文字颜色 3 3 19 5 9" xfId="16926" xr:uid="{00000000-0005-0000-0000-0000571E0000}"/>
    <cellStyle name="40% - 强调文字颜色 3 3 19 6" xfId="16927" xr:uid="{00000000-0005-0000-0000-0000581E0000}"/>
    <cellStyle name="40% - 强调文字颜色 3 3 19 6 2" xfId="16930" xr:uid="{00000000-0005-0000-0000-0000591E0000}"/>
    <cellStyle name="40% - 强调文字颜色 3 3 19 6 2 2" xfId="11914" xr:uid="{00000000-0005-0000-0000-00005A1E0000}"/>
    <cellStyle name="40% - 强调文字颜色 3 3 19 6 2 3" xfId="11916" xr:uid="{00000000-0005-0000-0000-00005B1E0000}"/>
    <cellStyle name="40% - 强调文字颜色 3 3 19 6 3" xfId="16932" xr:uid="{00000000-0005-0000-0000-00005C1E0000}"/>
    <cellStyle name="40% - 强调文字颜色 3 3 19 6 4" xfId="16935" xr:uid="{00000000-0005-0000-0000-00005D1E0000}"/>
    <cellStyle name="40% - 强调文字颜色 3 3 19 6 5" xfId="16938" xr:uid="{00000000-0005-0000-0000-00005E1E0000}"/>
    <cellStyle name="40% - 强调文字颜色 3 3 19 6 6" xfId="16940" xr:uid="{00000000-0005-0000-0000-00005F1E0000}"/>
    <cellStyle name="40% - 强调文字颜色 3 3 19 6 7" xfId="16942" xr:uid="{00000000-0005-0000-0000-0000601E0000}"/>
    <cellStyle name="40% - 强调文字颜色 3 3 19 6 8" xfId="16944" xr:uid="{00000000-0005-0000-0000-0000611E0000}"/>
    <cellStyle name="40% - 强调文字颜色 3 3 19 7" xfId="16945" xr:uid="{00000000-0005-0000-0000-0000621E0000}"/>
    <cellStyle name="40% - 强调文字颜色 3 3 19 8" xfId="16948" xr:uid="{00000000-0005-0000-0000-0000631E0000}"/>
    <cellStyle name="40% - 强调文字颜色 3 3 19 9" xfId="16954" xr:uid="{00000000-0005-0000-0000-0000641E0000}"/>
    <cellStyle name="40% - 强调文字颜色 3 3 19 9 2" xfId="16958" xr:uid="{00000000-0005-0000-0000-0000651E0000}"/>
    <cellStyle name="40% - 强调文字颜色 3 3 19 9 3" xfId="16960" xr:uid="{00000000-0005-0000-0000-0000661E0000}"/>
    <cellStyle name="40% - 强调文字颜色 3 3 2" xfId="798" xr:uid="{00000000-0005-0000-0000-0000671E0000}"/>
    <cellStyle name="40% - 强调文字颜色 3 3 2 10" xfId="16961" xr:uid="{00000000-0005-0000-0000-0000681E0000}"/>
    <cellStyle name="40% - 强调文字颜色 3 3 2 11" xfId="16965" xr:uid="{00000000-0005-0000-0000-0000691E0000}"/>
    <cellStyle name="40% - 强调文字颜色 3 3 2 12" xfId="10608" xr:uid="{00000000-0005-0000-0000-00006A1E0000}"/>
    <cellStyle name="40% - 强调文字颜色 3 3 2 13" xfId="10619" xr:uid="{00000000-0005-0000-0000-00006B1E0000}"/>
    <cellStyle name="40% - 强调文字颜色 3 3 2 14" xfId="10624" xr:uid="{00000000-0005-0000-0000-00006C1E0000}"/>
    <cellStyle name="40% - 强调文字颜色 3 3 2 2" xfId="1573" xr:uid="{00000000-0005-0000-0000-00006D1E0000}"/>
    <cellStyle name="40% - 强调文字颜色 3 3 2 3" xfId="1576" xr:uid="{00000000-0005-0000-0000-00006E1E0000}"/>
    <cellStyle name="40% - 强调文字颜色 3 3 2 4" xfId="1591" xr:uid="{00000000-0005-0000-0000-00006F1E0000}"/>
    <cellStyle name="40% - 强调文字颜色 3 3 2 5" xfId="1607" xr:uid="{00000000-0005-0000-0000-0000701E0000}"/>
    <cellStyle name="40% - 强调文字颜色 3 3 2 6" xfId="1633" xr:uid="{00000000-0005-0000-0000-0000711E0000}"/>
    <cellStyle name="40% - 强调文字颜色 3 3 2 7" xfId="1649" xr:uid="{00000000-0005-0000-0000-0000721E0000}"/>
    <cellStyle name="40% - 强调文字颜色 3 3 2 8" xfId="1664" xr:uid="{00000000-0005-0000-0000-0000731E0000}"/>
    <cellStyle name="40% - 强调文字颜色 3 3 2 9" xfId="12052" xr:uid="{00000000-0005-0000-0000-0000741E0000}"/>
    <cellStyle name="40% - 强调文字颜色 3 3 20" xfId="16130" xr:uid="{00000000-0005-0000-0000-0000751E0000}"/>
    <cellStyle name="40% - 强调文字颜色 3 3 20 10" xfId="14403" xr:uid="{00000000-0005-0000-0000-0000761E0000}"/>
    <cellStyle name="40% - 强调文字颜色 3 3 20 11" xfId="14407" xr:uid="{00000000-0005-0000-0000-0000771E0000}"/>
    <cellStyle name="40% - 强调文字颜色 3 3 20 12" xfId="10368" xr:uid="{00000000-0005-0000-0000-0000781E0000}"/>
    <cellStyle name="40% - 强调文字颜色 3 3 20 13" xfId="10374" xr:uid="{00000000-0005-0000-0000-0000791E0000}"/>
    <cellStyle name="40% - 强调文字颜色 3 3 20 14" xfId="16967" xr:uid="{00000000-0005-0000-0000-00007A1E0000}"/>
    <cellStyle name="40% - 强调文字颜色 3 3 20 2" xfId="620" xr:uid="{00000000-0005-0000-0000-00007B1E0000}"/>
    <cellStyle name="40% - 强调文字颜色 3 3 20 3" xfId="651" xr:uid="{00000000-0005-0000-0000-00007C1E0000}"/>
    <cellStyle name="40% - 强调文字颜色 3 3 20 4" xfId="16968" xr:uid="{00000000-0005-0000-0000-00007D1E0000}"/>
    <cellStyle name="40% - 强调文字颜色 3 3 20 5" xfId="16969" xr:uid="{00000000-0005-0000-0000-00007E1E0000}"/>
    <cellStyle name="40% - 强调文字颜色 3 3 20 5 10" xfId="7428" xr:uid="{00000000-0005-0000-0000-00007F1E0000}"/>
    <cellStyle name="40% - 强调文字颜色 3 3 20 5 11" xfId="13497" xr:uid="{00000000-0005-0000-0000-0000801E0000}"/>
    <cellStyle name="40% - 强调文字颜色 3 3 20 5 2" xfId="16746" xr:uid="{00000000-0005-0000-0000-0000811E0000}"/>
    <cellStyle name="40% - 强调文字颜色 3 3 20 5 2 2" xfId="16971" xr:uid="{00000000-0005-0000-0000-0000821E0000}"/>
    <cellStyle name="40% - 强调文字颜色 3 3 20 5 2 2 2" xfId="16973" xr:uid="{00000000-0005-0000-0000-0000831E0000}"/>
    <cellStyle name="40% - 强调文字颜色 3 3 20 5 2 2 3" xfId="16974" xr:uid="{00000000-0005-0000-0000-0000841E0000}"/>
    <cellStyle name="40% - 强调文字颜色 3 3 20 5 2 3" xfId="16976" xr:uid="{00000000-0005-0000-0000-0000851E0000}"/>
    <cellStyle name="40% - 强调文字颜色 3 3 20 5 2 4" xfId="16978" xr:uid="{00000000-0005-0000-0000-0000861E0000}"/>
    <cellStyle name="40% - 强调文字颜色 3 3 20 5 2 5" xfId="16981" xr:uid="{00000000-0005-0000-0000-0000871E0000}"/>
    <cellStyle name="40% - 强调文字颜色 3 3 20 5 2 6" xfId="16984" xr:uid="{00000000-0005-0000-0000-0000881E0000}"/>
    <cellStyle name="40% - 强调文字颜色 3 3 20 5 2 7" xfId="16986" xr:uid="{00000000-0005-0000-0000-0000891E0000}"/>
    <cellStyle name="40% - 强调文字颜色 3 3 20 5 2 8" xfId="16988" xr:uid="{00000000-0005-0000-0000-00008A1E0000}"/>
    <cellStyle name="40% - 强调文字颜色 3 3 20 5 3" xfId="6017" xr:uid="{00000000-0005-0000-0000-00008B1E0000}"/>
    <cellStyle name="40% - 强调文字颜色 3 3 20 5 4" xfId="6021" xr:uid="{00000000-0005-0000-0000-00008C1E0000}"/>
    <cellStyle name="40% - 强调文字颜色 3 3 20 5 5" xfId="16749" xr:uid="{00000000-0005-0000-0000-00008D1E0000}"/>
    <cellStyle name="40% - 强调文字颜色 3 3 20 5 6" xfId="16989" xr:uid="{00000000-0005-0000-0000-00008E1E0000}"/>
    <cellStyle name="40% - 强调文字颜色 3 3 20 5 6 2" xfId="16990" xr:uid="{00000000-0005-0000-0000-00008F1E0000}"/>
    <cellStyle name="40% - 强调文字颜色 3 3 20 5 6 3" xfId="16991" xr:uid="{00000000-0005-0000-0000-0000901E0000}"/>
    <cellStyle name="40% - 强调文字颜色 3 3 20 5 7" xfId="16994" xr:uid="{00000000-0005-0000-0000-0000911E0000}"/>
    <cellStyle name="40% - 强调文字颜色 3 3 20 5 8" xfId="16997" xr:uid="{00000000-0005-0000-0000-0000921E0000}"/>
    <cellStyle name="40% - 强调文字颜色 3 3 20 5 9" xfId="13697" xr:uid="{00000000-0005-0000-0000-0000931E0000}"/>
    <cellStyle name="40% - 强调文字颜色 3 3 20 6" xfId="16998" xr:uid="{00000000-0005-0000-0000-0000941E0000}"/>
    <cellStyle name="40% - 强调文字颜色 3 3 20 6 2" xfId="16999" xr:uid="{00000000-0005-0000-0000-0000951E0000}"/>
    <cellStyle name="40% - 强调文字颜色 3 3 20 6 2 2" xfId="17001" xr:uid="{00000000-0005-0000-0000-0000961E0000}"/>
    <cellStyle name="40% - 强调文字颜色 3 3 20 6 2 3" xfId="13460" xr:uid="{00000000-0005-0000-0000-0000971E0000}"/>
    <cellStyle name="40% - 强调文字颜色 3 3 20 6 3" xfId="17004" xr:uid="{00000000-0005-0000-0000-0000981E0000}"/>
    <cellStyle name="40% - 强调文字颜色 3 3 20 6 4" xfId="17008" xr:uid="{00000000-0005-0000-0000-0000991E0000}"/>
    <cellStyle name="40% - 强调文字颜色 3 3 20 6 5" xfId="17012" xr:uid="{00000000-0005-0000-0000-00009A1E0000}"/>
    <cellStyle name="40% - 强调文字颜色 3 3 20 6 6" xfId="17017" xr:uid="{00000000-0005-0000-0000-00009B1E0000}"/>
    <cellStyle name="40% - 强调文字颜色 3 3 20 6 7" xfId="17021" xr:uid="{00000000-0005-0000-0000-00009C1E0000}"/>
    <cellStyle name="40% - 强调文字颜色 3 3 20 6 8" xfId="14816" xr:uid="{00000000-0005-0000-0000-00009D1E0000}"/>
    <cellStyle name="40% - 强调文字颜色 3 3 20 7" xfId="9899" xr:uid="{00000000-0005-0000-0000-00009E1E0000}"/>
    <cellStyle name="40% - 强调文字颜色 3 3 20 8" xfId="9908" xr:uid="{00000000-0005-0000-0000-00009F1E0000}"/>
    <cellStyle name="40% - 强调文字颜色 3 3 20 9" xfId="4318" xr:uid="{00000000-0005-0000-0000-0000A01E0000}"/>
    <cellStyle name="40% - 强调文字颜色 3 3 20 9 2" xfId="17023" xr:uid="{00000000-0005-0000-0000-0000A11E0000}"/>
    <cellStyle name="40% - 强调文字颜色 3 3 20 9 3" xfId="17024" xr:uid="{00000000-0005-0000-0000-0000A21E0000}"/>
    <cellStyle name="40% - 强调文字颜色 3 3 3" xfId="367" xr:uid="{00000000-0005-0000-0000-0000A31E0000}"/>
    <cellStyle name="40% - 强调文字颜色 3 3 3 10" xfId="11564" xr:uid="{00000000-0005-0000-0000-0000A41E0000}"/>
    <cellStyle name="40% - 强调文字颜色 3 3 3 11" xfId="11567" xr:uid="{00000000-0005-0000-0000-0000A51E0000}"/>
    <cellStyle name="40% - 强调文字颜色 3 3 3 12" xfId="11979" xr:uid="{00000000-0005-0000-0000-0000A61E0000}"/>
    <cellStyle name="40% - 强调文字颜色 3 3 3 13" xfId="11981" xr:uid="{00000000-0005-0000-0000-0000A71E0000}"/>
    <cellStyle name="40% - 强调文字颜色 3 3 3 14" xfId="12028" xr:uid="{00000000-0005-0000-0000-0000A81E0000}"/>
    <cellStyle name="40% - 强调文字颜色 3 3 3 2" xfId="12521" xr:uid="{00000000-0005-0000-0000-0000A91E0000}"/>
    <cellStyle name="40% - 强调文字颜色 3 3 3 3" xfId="12532" xr:uid="{00000000-0005-0000-0000-0000AA1E0000}"/>
    <cellStyle name="40% - 强调文字颜色 3 3 3 4" xfId="12539" xr:uid="{00000000-0005-0000-0000-0000AB1E0000}"/>
    <cellStyle name="40% - 强调文字颜色 3 3 3 5" xfId="12611" xr:uid="{00000000-0005-0000-0000-0000AC1E0000}"/>
    <cellStyle name="40% - 强调文字颜色 3 3 3 6" xfId="12666" xr:uid="{00000000-0005-0000-0000-0000AD1E0000}"/>
    <cellStyle name="40% - 强调文字颜色 3 3 3 7" xfId="1785" xr:uid="{00000000-0005-0000-0000-0000AE1E0000}"/>
    <cellStyle name="40% - 强调文字颜色 3 3 3 8" xfId="2178" xr:uid="{00000000-0005-0000-0000-0000AF1E0000}"/>
    <cellStyle name="40% - 强调文字颜色 3 3 3 9" xfId="13520" xr:uid="{00000000-0005-0000-0000-0000B01E0000}"/>
    <cellStyle name="40% - 强调文字颜色 3 3 4" xfId="15759" xr:uid="{00000000-0005-0000-0000-0000B11E0000}"/>
    <cellStyle name="40% - 强调文字颜色 3 3 4 10" xfId="8838" xr:uid="{00000000-0005-0000-0000-0000B21E0000}"/>
    <cellStyle name="40% - 强调文字颜色 3 3 4 11" xfId="1370" xr:uid="{00000000-0005-0000-0000-0000B31E0000}"/>
    <cellStyle name="40% - 强调文字颜色 3 3 4 12" xfId="1383" xr:uid="{00000000-0005-0000-0000-0000B41E0000}"/>
    <cellStyle name="40% - 强调文字颜色 3 3 4 13" xfId="1395" xr:uid="{00000000-0005-0000-0000-0000B51E0000}"/>
    <cellStyle name="40% - 强调文字颜色 3 3 4 14" xfId="1411" xr:uid="{00000000-0005-0000-0000-0000B61E0000}"/>
    <cellStyle name="40% - 强调文字颜色 3 3 4 2" xfId="15766" xr:uid="{00000000-0005-0000-0000-0000B71E0000}"/>
    <cellStyle name="40% - 强调文字颜色 3 3 4 3" xfId="12917" xr:uid="{00000000-0005-0000-0000-0000B81E0000}"/>
    <cellStyle name="40% - 强调文字颜色 3 3 4 4" xfId="12923" xr:uid="{00000000-0005-0000-0000-0000B91E0000}"/>
    <cellStyle name="40% - 强调文字颜色 3 3 4 5" xfId="17025" xr:uid="{00000000-0005-0000-0000-0000BA1E0000}"/>
    <cellStyle name="40% - 强调文字颜色 3 3 4 6" xfId="17026" xr:uid="{00000000-0005-0000-0000-0000BB1E0000}"/>
    <cellStyle name="40% - 强调文字颜色 3 3 4 7" xfId="17027" xr:uid="{00000000-0005-0000-0000-0000BC1E0000}"/>
    <cellStyle name="40% - 强调文字颜色 3 3 4 8" xfId="17028" xr:uid="{00000000-0005-0000-0000-0000BD1E0000}"/>
    <cellStyle name="40% - 强调文字颜色 3 3 4 9" xfId="17029" xr:uid="{00000000-0005-0000-0000-0000BE1E0000}"/>
    <cellStyle name="40% - 强调文字颜色 3 3 5" xfId="15768" xr:uid="{00000000-0005-0000-0000-0000BF1E0000}"/>
    <cellStyle name="40% - 强调文字颜色 3 3 6" xfId="13416" xr:uid="{00000000-0005-0000-0000-0000C01E0000}"/>
    <cellStyle name="40% - 强调文字颜色 3 3 7" xfId="7090" xr:uid="{00000000-0005-0000-0000-0000C11E0000}"/>
    <cellStyle name="40% - 强调文字颜色 3 3 8" xfId="7285" xr:uid="{00000000-0005-0000-0000-0000C21E0000}"/>
    <cellStyle name="40% - 强调文字颜色 3 3 9" xfId="7365" xr:uid="{00000000-0005-0000-0000-0000C31E0000}"/>
    <cellStyle name="40% - 强调文字颜色 3 4" xfId="17031" xr:uid="{00000000-0005-0000-0000-0000C41E0000}"/>
    <cellStyle name="40% - 强调文字颜色 3 4 10" xfId="17032" xr:uid="{00000000-0005-0000-0000-0000C51E0000}"/>
    <cellStyle name="40% - 强调文字颜色 3 4 11" xfId="17033" xr:uid="{00000000-0005-0000-0000-0000C61E0000}"/>
    <cellStyle name="40% - 强调文字颜色 3 4 12" xfId="17034" xr:uid="{00000000-0005-0000-0000-0000C71E0000}"/>
    <cellStyle name="40% - 强调文字颜色 3 4 13" xfId="17035" xr:uid="{00000000-0005-0000-0000-0000C81E0000}"/>
    <cellStyle name="40% - 强调文字颜色 3 4 14" xfId="8491" xr:uid="{00000000-0005-0000-0000-0000C91E0000}"/>
    <cellStyle name="40% - 强调文字颜色 3 4 15" xfId="8504" xr:uid="{00000000-0005-0000-0000-0000CA1E0000}"/>
    <cellStyle name="40% - 强调文字颜色 3 4 16" xfId="8512" xr:uid="{00000000-0005-0000-0000-0000CB1E0000}"/>
    <cellStyle name="40% - 强调文字颜色 3 4 17" xfId="8519" xr:uid="{00000000-0005-0000-0000-0000CC1E0000}"/>
    <cellStyle name="40% - 强调文字颜色 3 4 17 10" xfId="17037" xr:uid="{00000000-0005-0000-0000-0000CD1E0000}"/>
    <cellStyle name="40% - 强调文字颜色 3 4 17 11" xfId="3183" xr:uid="{00000000-0005-0000-0000-0000CE1E0000}"/>
    <cellStyle name="40% - 强调文字颜色 3 4 17 12" xfId="3187" xr:uid="{00000000-0005-0000-0000-0000CF1E0000}"/>
    <cellStyle name="40% - 强调文字颜色 3 4 17 13" xfId="3190" xr:uid="{00000000-0005-0000-0000-0000D01E0000}"/>
    <cellStyle name="40% - 强调文字颜色 3 4 17 14" xfId="3194" xr:uid="{00000000-0005-0000-0000-0000D11E0000}"/>
    <cellStyle name="40% - 强调文字颜色 3 4 17 2" xfId="358" xr:uid="{00000000-0005-0000-0000-0000D21E0000}"/>
    <cellStyle name="40% - 强调文字颜色 3 4 17 3" xfId="13342" xr:uid="{00000000-0005-0000-0000-0000D31E0000}"/>
    <cellStyle name="40% - 强调文字颜色 3 4 17 4" xfId="9209" xr:uid="{00000000-0005-0000-0000-0000D41E0000}"/>
    <cellStyle name="40% - 强调文字颜色 3 4 17 5" xfId="9217" xr:uid="{00000000-0005-0000-0000-0000D51E0000}"/>
    <cellStyle name="40% - 强调文字颜色 3 4 17 5 10" xfId="17038" xr:uid="{00000000-0005-0000-0000-0000D61E0000}"/>
    <cellStyle name="40% - 强调文字颜色 3 4 17 5 11" xfId="17039" xr:uid="{00000000-0005-0000-0000-0000D71E0000}"/>
    <cellStyle name="40% - 强调文字颜色 3 4 17 5 2" xfId="13349" xr:uid="{00000000-0005-0000-0000-0000D81E0000}"/>
    <cellStyle name="40% - 强调文字颜色 3 4 17 5 2 2" xfId="9088" xr:uid="{00000000-0005-0000-0000-0000D91E0000}"/>
    <cellStyle name="40% - 强调文字颜色 3 4 17 5 2 2 2" xfId="16685" xr:uid="{00000000-0005-0000-0000-0000DA1E0000}"/>
    <cellStyle name="40% - 强调文字颜色 3 4 17 5 2 2 3" xfId="17040" xr:uid="{00000000-0005-0000-0000-0000DB1E0000}"/>
    <cellStyle name="40% - 强调文字颜色 3 4 17 5 2 3" xfId="3916" xr:uid="{00000000-0005-0000-0000-0000DC1E0000}"/>
    <cellStyle name="40% - 强调文字颜色 3 4 17 5 2 4" xfId="3920" xr:uid="{00000000-0005-0000-0000-0000DD1E0000}"/>
    <cellStyle name="40% - 强调文字颜色 3 4 17 5 2 5" xfId="3922" xr:uid="{00000000-0005-0000-0000-0000DE1E0000}"/>
    <cellStyle name="40% - 强调文字颜色 3 4 17 5 2 6" xfId="3927" xr:uid="{00000000-0005-0000-0000-0000DF1E0000}"/>
    <cellStyle name="40% - 强调文字颜色 3 4 17 5 2 7" xfId="4074" xr:uid="{00000000-0005-0000-0000-0000E01E0000}"/>
    <cellStyle name="40% - 强调文字颜色 3 4 17 5 2 8" xfId="4104" xr:uid="{00000000-0005-0000-0000-0000E11E0000}"/>
    <cellStyle name="40% - 强调文字颜色 3 4 17 5 3" xfId="13354" xr:uid="{00000000-0005-0000-0000-0000E21E0000}"/>
    <cellStyle name="40% - 强调文字颜色 3 4 17 5 4" xfId="11887" xr:uid="{00000000-0005-0000-0000-0000E31E0000}"/>
    <cellStyle name="40% - 强调文字颜色 3 4 17 5 5" xfId="11890" xr:uid="{00000000-0005-0000-0000-0000E41E0000}"/>
    <cellStyle name="40% - 强调文字颜色 3 4 17 5 6" xfId="11895" xr:uid="{00000000-0005-0000-0000-0000E51E0000}"/>
    <cellStyle name="40% - 强调文字颜色 3 4 17 5 6 2" xfId="17042" xr:uid="{00000000-0005-0000-0000-0000E61E0000}"/>
    <cellStyle name="40% - 强调文字颜色 3 4 17 5 6 3" xfId="17045" xr:uid="{00000000-0005-0000-0000-0000E71E0000}"/>
    <cellStyle name="40% - 强调文字颜色 3 4 17 5 7" xfId="11900" xr:uid="{00000000-0005-0000-0000-0000E81E0000}"/>
    <cellStyle name="40% - 强调文字颜色 3 4 17 5 8" xfId="11906" xr:uid="{00000000-0005-0000-0000-0000E91E0000}"/>
    <cellStyle name="40% - 强调文字颜色 3 4 17 5 9" xfId="17049" xr:uid="{00000000-0005-0000-0000-0000EA1E0000}"/>
    <cellStyle name="40% - 强调文字颜色 3 4 17 6" xfId="14452" xr:uid="{00000000-0005-0000-0000-0000EB1E0000}"/>
    <cellStyle name="40% - 强调文字颜色 3 4 17 6 2" xfId="16623" xr:uid="{00000000-0005-0000-0000-0000EC1E0000}"/>
    <cellStyle name="40% - 强调文字颜色 3 4 17 6 2 2" xfId="9835" xr:uid="{00000000-0005-0000-0000-0000ED1E0000}"/>
    <cellStyle name="40% - 强调文字颜色 3 4 17 6 2 3" xfId="9845" xr:uid="{00000000-0005-0000-0000-0000EE1E0000}"/>
    <cellStyle name="40% - 强调文字颜色 3 4 17 6 3" xfId="5974" xr:uid="{00000000-0005-0000-0000-0000EF1E0000}"/>
    <cellStyle name="40% - 强调文字颜色 3 4 17 6 4" xfId="9747" xr:uid="{00000000-0005-0000-0000-0000F01E0000}"/>
    <cellStyle name="40% - 强调文字颜色 3 4 17 6 5" xfId="9752" xr:uid="{00000000-0005-0000-0000-0000F11E0000}"/>
    <cellStyle name="40% - 强调文字颜色 3 4 17 6 6" xfId="9757" xr:uid="{00000000-0005-0000-0000-0000F21E0000}"/>
    <cellStyle name="40% - 强调文字颜色 3 4 17 6 7" xfId="9762" xr:uid="{00000000-0005-0000-0000-0000F31E0000}"/>
    <cellStyle name="40% - 强调文字颜色 3 4 17 6 8" xfId="17051" xr:uid="{00000000-0005-0000-0000-0000F41E0000}"/>
    <cellStyle name="40% - 强调文字颜色 3 4 17 7" xfId="14456" xr:uid="{00000000-0005-0000-0000-0000F51E0000}"/>
    <cellStyle name="40% - 强调文字颜色 3 4 17 8" xfId="14461" xr:uid="{00000000-0005-0000-0000-0000F61E0000}"/>
    <cellStyle name="40% - 强调文字颜色 3 4 17 9" xfId="14468" xr:uid="{00000000-0005-0000-0000-0000F71E0000}"/>
    <cellStyle name="40% - 强调文字颜色 3 4 17 9 2" xfId="14324" xr:uid="{00000000-0005-0000-0000-0000F81E0000}"/>
    <cellStyle name="40% - 强调文字颜色 3 4 17 9 3" xfId="14326" xr:uid="{00000000-0005-0000-0000-0000F91E0000}"/>
    <cellStyle name="40% - 强调文字颜色 3 4 18" xfId="8526" xr:uid="{00000000-0005-0000-0000-0000FA1E0000}"/>
    <cellStyle name="40% - 强调文字颜色 3 4 18 10" xfId="17052" xr:uid="{00000000-0005-0000-0000-0000FB1E0000}"/>
    <cellStyle name="40% - 强调文字颜色 3 4 18 11" xfId="17054" xr:uid="{00000000-0005-0000-0000-0000FC1E0000}"/>
    <cellStyle name="40% - 强调文字颜色 3 4 18 12" xfId="17056" xr:uid="{00000000-0005-0000-0000-0000FD1E0000}"/>
    <cellStyle name="40% - 强调文字颜色 3 4 18 13" xfId="17057" xr:uid="{00000000-0005-0000-0000-0000FE1E0000}"/>
    <cellStyle name="40% - 强调文字颜色 3 4 18 14" xfId="17060" xr:uid="{00000000-0005-0000-0000-0000FF1E0000}"/>
    <cellStyle name="40% - 强调文字颜色 3 4 18 2" xfId="17063" xr:uid="{00000000-0005-0000-0000-0000001F0000}"/>
    <cellStyle name="40% - 强调文字颜色 3 4 18 3" xfId="17065" xr:uid="{00000000-0005-0000-0000-0000011F0000}"/>
    <cellStyle name="40% - 强调文字颜色 3 4 18 4" xfId="17070" xr:uid="{00000000-0005-0000-0000-0000021F0000}"/>
    <cellStyle name="40% - 强调文字颜色 3 4 18 5" xfId="17075" xr:uid="{00000000-0005-0000-0000-0000031F0000}"/>
    <cellStyle name="40% - 强调文字颜色 3 4 18 5 10" xfId="16188" xr:uid="{00000000-0005-0000-0000-0000041F0000}"/>
    <cellStyle name="40% - 强调文字颜色 3 4 18 5 11" xfId="16193" xr:uid="{00000000-0005-0000-0000-0000051F0000}"/>
    <cellStyle name="40% - 强调文字颜色 3 4 18 5 2" xfId="14930" xr:uid="{00000000-0005-0000-0000-0000061F0000}"/>
    <cellStyle name="40% - 强调文字颜色 3 4 18 5 2 2" xfId="10245" xr:uid="{00000000-0005-0000-0000-0000071F0000}"/>
    <cellStyle name="40% - 强调文字颜色 3 4 18 5 2 2 2" xfId="6376" xr:uid="{00000000-0005-0000-0000-0000081F0000}"/>
    <cellStyle name="40% - 强调文字颜色 3 4 18 5 2 2 3" xfId="17080" xr:uid="{00000000-0005-0000-0000-0000091F0000}"/>
    <cellStyle name="40% - 强调文字颜色 3 4 18 5 2 3" xfId="10251" xr:uid="{00000000-0005-0000-0000-00000A1F0000}"/>
    <cellStyle name="40% - 强调文字颜色 3 4 18 5 2 4" xfId="10256" xr:uid="{00000000-0005-0000-0000-00000B1F0000}"/>
    <cellStyle name="40% - 强调文字颜色 3 4 18 5 2 5" xfId="11059" xr:uid="{00000000-0005-0000-0000-00000C1F0000}"/>
    <cellStyle name="40% - 强调文字颜色 3 4 18 5 2 6" xfId="6452" xr:uid="{00000000-0005-0000-0000-00000D1F0000}"/>
    <cellStyle name="40% - 强调文字颜色 3 4 18 5 2 7" xfId="17081" xr:uid="{00000000-0005-0000-0000-00000E1F0000}"/>
    <cellStyle name="40% - 强调文字颜色 3 4 18 5 2 8" xfId="17082" xr:uid="{00000000-0005-0000-0000-00000F1F0000}"/>
    <cellStyle name="40% - 强调文字颜色 3 4 18 5 3" xfId="17084" xr:uid="{00000000-0005-0000-0000-0000101F0000}"/>
    <cellStyle name="40% - 强调文字颜色 3 4 18 5 4" xfId="17090" xr:uid="{00000000-0005-0000-0000-0000111F0000}"/>
    <cellStyle name="40% - 强调文字颜色 3 4 18 5 5" xfId="12784" xr:uid="{00000000-0005-0000-0000-0000121F0000}"/>
    <cellStyle name="40% - 强调文字颜色 3 4 18 5 6" xfId="12789" xr:uid="{00000000-0005-0000-0000-0000131F0000}"/>
    <cellStyle name="40% - 强调文字颜色 3 4 18 5 6 2" xfId="17091" xr:uid="{00000000-0005-0000-0000-0000141F0000}"/>
    <cellStyle name="40% - 强调文字颜色 3 4 18 5 6 3" xfId="17094" xr:uid="{00000000-0005-0000-0000-0000151F0000}"/>
    <cellStyle name="40% - 强调文字颜色 3 4 18 5 7" xfId="12794" xr:uid="{00000000-0005-0000-0000-0000161F0000}"/>
    <cellStyle name="40% - 强调文字颜色 3 4 18 5 8" xfId="12799" xr:uid="{00000000-0005-0000-0000-0000171F0000}"/>
    <cellStyle name="40% - 强调文字颜色 3 4 18 5 9" xfId="12805" xr:uid="{00000000-0005-0000-0000-0000181F0000}"/>
    <cellStyle name="40% - 强调文字颜色 3 4 18 6" xfId="17097" xr:uid="{00000000-0005-0000-0000-0000191F0000}"/>
    <cellStyle name="40% - 强调文字颜色 3 4 18 6 2" xfId="16076" xr:uid="{00000000-0005-0000-0000-00001A1F0000}"/>
    <cellStyle name="40% - 强调文字颜色 3 4 18 6 2 2" xfId="11348" xr:uid="{00000000-0005-0000-0000-00001B1F0000}"/>
    <cellStyle name="40% - 强调文字颜色 3 4 18 6 2 3" xfId="11355" xr:uid="{00000000-0005-0000-0000-00001C1F0000}"/>
    <cellStyle name="40% - 强调文字颜色 3 4 18 6 3" xfId="16082" xr:uid="{00000000-0005-0000-0000-00001D1F0000}"/>
    <cellStyle name="40% - 强调文字颜色 3 4 18 6 4" xfId="16088" xr:uid="{00000000-0005-0000-0000-00001E1F0000}"/>
    <cellStyle name="40% - 强调文字颜色 3 4 18 6 5" xfId="16094" xr:uid="{00000000-0005-0000-0000-00001F1F0000}"/>
    <cellStyle name="40% - 强调文字颜色 3 4 18 6 6" xfId="16100" xr:uid="{00000000-0005-0000-0000-0000201F0000}"/>
    <cellStyle name="40% - 强调文字颜色 3 4 18 6 7" xfId="16680" xr:uid="{00000000-0005-0000-0000-0000211F0000}"/>
    <cellStyle name="40% - 强调文字颜色 3 4 18 6 8" xfId="17099" xr:uid="{00000000-0005-0000-0000-0000221F0000}"/>
    <cellStyle name="40% - 强调文字颜色 3 4 18 7" xfId="17102" xr:uid="{00000000-0005-0000-0000-0000231F0000}"/>
    <cellStyle name="40% - 强调文字颜色 3 4 18 8" xfId="17105" xr:uid="{00000000-0005-0000-0000-0000241F0000}"/>
    <cellStyle name="40% - 强调文字颜色 3 4 18 9" xfId="17109" xr:uid="{00000000-0005-0000-0000-0000251F0000}"/>
    <cellStyle name="40% - 强调文字颜色 3 4 18 9 2" xfId="8818" xr:uid="{00000000-0005-0000-0000-0000261F0000}"/>
    <cellStyle name="40% - 强调文字颜色 3 4 18 9 3" xfId="8823" xr:uid="{00000000-0005-0000-0000-0000271F0000}"/>
    <cellStyle name="40% - 强调文字颜色 3 4 19" xfId="8533" xr:uid="{00000000-0005-0000-0000-0000281F0000}"/>
    <cellStyle name="40% - 强调文字颜色 3 4 19 10" xfId="2825" xr:uid="{00000000-0005-0000-0000-0000291F0000}"/>
    <cellStyle name="40% - 强调文字颜色 3 4 19 11" xfId="2829" xr:uid="{00000000-0005-0000-0000-00002A1F0000}"/>
    <cellStyle name="40% - 强调文字颜色 3 4 19 12" xfId="673" xr:uid="{00000000-0005-0000-0000-00002B1F0000}"/>
    <cellStyle name="40% - 强调文字颜色 3 4 19 13" xfId="704" xr:uid="{00000000-0005-0000-0000-00002C1F0000}"/>
    <cellStyle name="40% - 强调文字颜色 3 4 19 14" xfId="735" xr:uid="{00000000-0005-0000-0000-00002D1F0000}"/>
    <cellStyle name="40% - 强调文字颜色 3 4 19 2" xfId="17110" xr:uid="{00000000-0005-0000-0000-00002E1F0000}"/>
    <cellStyle name="40% - 强调文字颜色 3 4 19 3" xfId="17111" xr:uid="{00000000-0005-0000-0000-00002F1F0000}"/>
    <cellStyle name="40% - 强调文字颜色 3 4 19 4" xfId="17113" xr:uid="{00000000-0005-0000-0000-0000301F0000}"/>
    <cellStyle name="40% - 强调文字颜色 3 4 19 5" xfId="17115" xr:uid="{00000000-0005-0000-0000-0000311F0000}"/>
    <cellStyle name="40% - 强调文字颜色 3 4 19 5 10" xfId="17116" xr:uid="{00000000-0005-0000-0000-0000321F0000}"/>
    <cellStyle name="40% - 强调文字颜色 3 4 19 5 11" xfId="17118" xr:uid="{00000000-0005-0000-0000-0000331F0000}"/>
    <cellStyle name="40% - 强调文字颜色 3 4 19 5 2" xfId="14989" xr:uid="{00000000-0005-0000-0000-0000341F0000}"/>
    <cellStyle name="40% - 强调文字颜色 3 4 19 5 2 2" xfId="7055" xr:uid="{00000000-0005-0000-0000-0000351F0000}"/>
    <cellStyle name="40% - 强调文字颜色 3 4 19 5 2 2 2" xfId="17124" xr:uid="{00000000-0005-0000-0000-0000361F0000}"/>
    <cellStyle name="40% - 强调文字颜色 3 4 19 5 2 2 3" xfId="17127" xr:uid="{00000000-0005-0000-0000-0000371F0000}"/>
    <cellStyle name="40% - 强调文字颜色 3 4 19 5 2 3" xfId="12340" xr:uid="{00000000-0005-0000-0000-0000381F0000}"/>
    <cellStyle name="40% - 强调文字颜色 3 4 19 5 2 4" xfId="7205" xr:uid="{00000000-0005-0000-0000-0000391F0000}"/>
    <cellStyle name="40% - 强调文字颜色 3 4 19 5 2 5" xfId="7211" xr:uid="{00000000-0005-0000-0000-00003A1F0000}"/>
    <cellStyle name="40% - 强调文字颜色 3 4 19 5 2 6" xfId="7177" xr:uid="{00000000-0005-0000-0000-00003B1F0000}"/>
    <cellStyle name="40% - 强调文字颜色 3 4 19 5 2 7" xfId="16762" xr:uid="{00000000-0005-0000-0000-00003C1F0000}"/>
    <cellStyle name="40% - 强调文字颜色 3 4 19 5 2 8" xfId="16767" xr:uid="{00000000-0005-0000-0000-00003D1F0000}"/>
    <cellStyle name="40% - 强调文字颜色 3 4 19 5 3" xfId="17130" xr:uid="{00000000-0005-0000-0000-00003E1F0000}"/>
    <cellStyle name="40% - 强调文字颜色 3 4 19 5 4" xfId="17132" xr:uid="{00000000-0005-0000-0000-00003F1F0000}"/>
    <cellStyle name="40% - 强调文字颜色 3 4 19 5 5" xfId="17133" xr:uid="{00000000-0005-0000-0000-0000401F0000}"/>
    <cellStyle name="40% - 强调文字颜色 3 4 19 5 6" xfId="17134" xr:uid="{00000000-0005-0000-0000-0000411F0000}"/>
    <cellStyle name="40% - 强调文字颜色 3 4 19 5 6 2" xfId="17136" xr:uid="{00000000-0005-0000-0000-0000421F0000}"/>
    <cellStyle name="40% - 强调文字颜色 3 4 19 5 6 3" xfId="9127" xr:uid="{00000000-0005-0000-0000-0000431F0000}"/>
    <cellStyle name="40% - 强调文字颜色 3 4 19 5 7" xfId="17137" xr:uid="{00000000-0005-0000-0000-0000441F0000}"/>
    <cellStyle name="40% - 强调文字颜色 3 4 19 5 8" xfId="17138" xr:uid="{00000000-0005-0000-0000-0000451F0000}"/>
    <cellStyle name="40% - 强调文字颜色 3 4 19 5 9" xfId="17139" xr:uid="{00000000-0005-0000-0000-0000461F0000}"/>
    <cellStyle name="40% - 强调文字颜色 3 4 19 6" xfId="17140" xr:uid="{00000000-0005-0000-0000-0000471F0000}"/>
    <cellStyle name="40% - 强调文字颜色 3 4 19 6 2" xfId="17141" xr:uid="{00000000-0005-0000-0000-0000481F0000}"/>
    <cellStyle name="40% - 强调文字颜色 3 4 19 6 2 2" xfId="5328" xr:uid="{00000000-0005-0000-0000-0000491F0000}"/>
    <cellStyle name="40% - 强调文字颜色 3 4 19 6 2 3" xfId="8808" xr:uid="{00000000-0005-0000-0000-00004A1F0000}"/>
    <cellStyle name="40% - 强调文字颜色 3 4 19 6 3" xfId="17144" xr:uid="{00000000-0005-0000-0000-00004B1F0000}"/>
    <cellStyle name="40% - 强调文字颜色 3 4 19 6 4" xfId="17147" xr:uid="{00000000-0005-0000-0000-00004C1F0000}"/>
    <cellStyle name="40% - 强调文字颜色 3 4 19 6 5" xfId="17151" xr:uid="{00000000-0005-0000-0000-00004D1F0000}"/>
    <cellStyle name="40% - 强调文字颜色 3 4 19 6 6" xfId="17156" xr:uid="{00000000-0005-0000-0000-00004E1F0000}"/>
    <cellStyle name="40% - 强调文字颜色 3 4 19 6 7" xfId="1800" xr:uid="{00000000-0005-0000-0000-00004F1F0000}"/>
    <cellStyle name="40% - 强调文字颜色 3 4 19 6 8" xfId="1820" xr:uid="{00000000-0005-0000-0000-0000501F0000}"/>
    <cellStyle name="40% - 强调文字颜色 3 4 19 7" xfId="17158" xr:uid="{00000000-0005-0000-0000-0000511F0000}"/>
    <cellStyle name="40% - 强调文字颜色 3 4 19 8" xfId="17160" xr:uid="{00000000-0005-0000-0000-0000521F0000}"/>
    <cellStyle name="40% - 强调文字颜色 3 4 19 9" xfId="17162" xr:uid="{00000000-0005-0000-0000-0000531F0000}"/>
    <cellStyle name="40% - 强调文字颜色 3 4 19 9 2" xfId="17164" xr:uid="{00000000-0005-0000-0000-0000541F0000}"/>
    <cellStyle name="40% - 强调文字颜色 3 4 19 9 3" xfId="17165" xr:uid="{00000000-0005-0000-0000-0000551F0000}"/>
    <cellStyle name="40% - 强调文字颜色 3 4 2" xfId="17166" xr:uid="{00000000-0005-0000-0000-0000561F0000}"/>
    <cellStyle name="40% - 强调文字颜色 3 4 20" xfId="8505" xr:uid="{00000000-0005-0000-0000-0000571F0000}"/>
    <cellStyle name="40% - 强调文字颜色 3 4 20 10" xfId="4634" xr:uid="{00000000-0005-0000-0000-0000581F0000}"/>
    <cellStyle name="40% - 强调文字颜色 3 4 20 11" xfId="17168" xr:uid="{00000000-0005-0000-0000-0000591F0000}"/>
    <cellStyle name="40% - 强调文字颜色 3 4 20 12" xfId="17169" xr:uid="{00000000-0005-0000-0000-00005A1F0000}"/>
    <cellStyle name="40% - 强调文字颜色 3 4 20 13" xfId="17171" xr:uid="{00000000-0005-0000-0000-00005B1F0000}"/>
    <cellStyle name="40% - 强调文字颜色 3 4 20 14" xfId="17173" xr:uid="{00000000-0005-0000-0000-00005C1F0000}"/>
    <cellStyle name="40% - 强调文字颜色 3 4 20 2" xfId="17175" xr:uid="{00000000-0005-0000-0000-00005D1F0000}"/>
    <cellStyle name="40% - 强调文字颜色 3 4 20 3" xfId="17177" xr:uid="{00000000-0005-0000-0000-00005E1F0000}"/>
    <cellStyle name="40% - 强调文字颜色 3 4 20 4" xfId="17179" xr:uid="{00000000-0005-0000-0000-00005F1F0000}"/>
    <cellStyle name="40% - 强调文字颜色 3 4 20 5" xfId="17181" xr:uid="{00000000-0005-0000-0000-0000601F0000}"/>
    <cellStyle name="40% - 强调文字颜色 3 4 20 5 10" xfId="17182" xr:uid="{00000000-0005-0000-0000-0000611F0000}"/>
    <cellStyle name="40% - 强调文字颜色 3 4 20 5 11" xfId="17184" xr:uid="{00000000-0005-0000-0000-0000621F0000}"/>
    <cellStyle name="40% - 强调文字颜色 3 4 20 5 2" xfId="12687" xr:uid="{00000000-0005-0000-0000-0000631F0000}"/>
    <cellStyle name="40% - 强调文字颜色 3 4 20 5 2 2" xfId="3638" xr:uid="{00000000-0005-0000-0000-0000641F0000}"/>
    <cellStyle name="40% - 强调文字颜色 3 4 20 5 2 2 2" xfId="17187" xr:uid="{00000000-0005-0000-0000-0000651F0000}"/>
    <cellStyle name="40% - 强调文字颜色 3 4 20 5 2 2 3" xfId="9740" xr:uid="{00000000-0005-0000-0000-0000661F0000}"/>
    <cellStyle name="40% - 强调文字颜色 3 4 20 5 2 3" xfId="3642" xr:uid="{00000000-0005-0000-0000-0000671F0000}"/>
    <cellStyle name="40% - 强调文字颜色 3 4 20 5 2 4" xfId="3645" xr:uid="{00000000-0005-0000-0000-0000681F0000}"/>
    <cellStyle name="40% - 强调文字颜色 3 4 20 5 2 5" xfId="3651" xr:uid="{00000000-0005-0000-0000-0000691F0000}"/>
    <cellStyle name="40% - 强调文字颜色 3 4 20 5 2 6" xfId="3656" xr:uid="{00000000-0005-0000-0000-00006A1F0000}"/>
    <cellStyle name="40% - 强调文字颜色 3 4 20 5 2 7" xfId="17192" xr:uid="{00000000-0005-0000-0000-00006B1F0000}"/>
    <cellStyle name="40% - 强调文字颜色 3 4 20 5 2 8" xfId="17195" xr:uid="{00000000-0005-0000-0000-00006C1F0000}"/>
    <cellStyle name="40% - 强调文字颜色 3 4 20 5 3" xfId="5097" xr:uid="{00000000-0005-0000-0000-00006D1F0000}"/>
    <cellStyle name="40% - 强调文字颜色 3 4 20 5 4" xfId="5102" xr:uid="{00000000-0005-0000-0000-00006E1F0000}"/>
    <cellStyle name="40% - 强调文字颜色 3 4 20 5 5" xfId="12555" xr:uid="{00000000-0005-0000-0000-00006F1F0000}"/>
    <cellStyle name="40% - 强调文字颜色 3 4 20 5 6" xfId="12558" xr:uid="{00000000-0005-0000-0000-0000701F0000}"/>
    <cellStyle name="40% - 强调文字颜色 3 4 20 5 6 2" xfId="420" xr:uid="{00000000-0005-0000-0000-0000711F0000}"/>
    <cellStyle name="40% - 强调文字颜色 3 4 20 5 6 3" xfId="15517" xr:uid="{00000000-0005-0000-0000-0000721F0000}"/>
    <cellStyle name="40% - 强调文字颜色 3 4 20 5 7" xfId="15521" xr:uid="{00000000-0005-0000-0000-0000731F0000}"/>
    <cellStyle name="40% - 强调文字颜色 3 4 20 5 8" xfId="15524" xr:uid="{00000000-0005-0000-0000-0000741F0000}"/>
    <cellStyle name="40% - 强调文字颜色 3 4 20 5 9" xfId="15528" xr:uid="{00000000-0005-0000-0000-0000751F0000}"/>
    <cellStyle name="40% - 强调文字颜色 3 4 20 6" xfId="17197" xr:uid="{00000000-0005-0000-0000-0000761F0000}"/>
    <cellStyle name="40% - 强调文字颜色 3 4 20 6 2" xfId="12818" xr:uid="{00000000-0005-0000-0000-0000771F0000}"/>
    <cellStyle name="40% - 强调文字颜色 3 4 20 6 2 2" xfId="4749" xr:uid="{00000000-0005-0000-0000-0000781F0000}"/>
    <cellStyle name="40% - 强调文字颜色 3 4 20 6 2 3" xfId="4752" xr:uid="{00000000-0005-0000-0000-0000791F0000}"/>
    <cellStyle name="40% - 强调文字颜色 3 4 20 6 3" xfId="12825" xr:uid="{00000000-0005-0000-0000-00007A1F0000}"/>
    <cellStyle name="40% - 强调文字颜色 3 4 20 6 4" xfId="17201" xr:uid="{00000000-0005-0000-0000-00007B1F0000}"/>
    <cellStyle name="40% - 强调文字颜色 3 4 20 6 5" xfId="17206" xr:uid="{00000000-0005-0000-0000-00007C1F0000}"/>
    <cellStyle name="40% - 强调文字颜色 3 4 20 6 6" xfId="17211" xr:uid="{00000000-0005-0000-0000-00007D1F0000}"/>
    <cellStyle name="40% - 强调文字颜色 3 4 20 6 7" xfId="17216" xr:uid="{00000000-0005-0000-0000-00007E1F0000}"/>
    <cellStyle name="40% - 强调文字颜色 3 4 20 6 8" xfId="14919" xr:uid="{00000000-0005-0000-0000-00007F1F0000}"/>
    <cellStyle name="40% - 强调文字颜色 3 4 20 7" xfId="17218" xr:uid="{00000000-0005-0000-0000-0000801F0000}"/>
    <cellStyle name="40% - 强调文字颜色 3 4 20 8" xfId="17221" xr:uid="{00000000-0005-0000-0000-0000811F0000}"/>
    <cellStyle name="40% - 强调文字颜色 3 4 20 9" xfId="17224" xr:uid="{00000000-0005-0000-0000-0000821F0000}"/>
    <cellStyle name="40% - 强调文字颜色 3 4 20 9 2" xfId="17225" xr:uid="{00000000-0005-0000-0000-0000831F0000}"/>
    <cellStyle name="40% - 强调文字颜色 3 4 20 9 3" xfId="17227" xr:uid="{00000000-0005-0000-0000-0000841F0000}"/>
    <cellStyle name="40% - 强调文字颜色 3 4 3" xfId="17229" xr:uid="{00000000-0005-0000-0000-0000851F0000}"/>
    <cellStyle name="40% - 强调文字颜色 3 4 4" xfId="17230" xr:uid="{00000000-0005-0000-0000-0000861F0000}"/>
    <cellStyle name="40% - 强调文字颜色 3 4 5" xfId="17232" xr:uid="{00000000-0005-0000-0000-0000871F0000}"/>
    <cellStyle name="40% - 强调文字颜色 3 4 6" xfId="17234" xr:uid="{00000000-0005-0000-0000-0000881F0000}"/>
    <cellStyle name="40% - 强调文字颜色 3 4 7" xfId="7732" xr:uid="{00000000-0005-0000-0000-0000891F0000}"/>
    <cellStyle name="40% - 强调文字颜色 3 4 8" xfId="7888" xr:uid="{00000000-0005-0000-0000-00008A1F0000}"/>
    <cellStyle name="40% - 强调文字颜色 3 4 9" xfId="7894" xr:uid="{00000000-0005-0000-0000-00008B1F0000}"/>
    <cellStyle name="40% - 强调文字颜色 3 5" xfId="17236" xr:uid="{00000000-0005-0000-0000-00008C1F0000}"/>
    <cellStyle name="40% - 强调文字颜色 3 5 10" xfId="17237" xr:uid="{00000000-0005-0000-0000-00008D1F0000}"/>
    <cellStyle name="40% - 强调文字颜色 3 5 11" xfId="17239" xr:uid="{00000000-0005-0000-0000-00008E1F0000}"/>
    <cellStyle name="40% - 强调文字颜色 3 5 12" xfId="17241" xr:uid="{00000000-0005-0000-0000-00008F1F0000}"/>
    <cellStyle name="40% - 强调文字颜色 3 5 13" xfId="17245" xr:uid="{00000000-0005-0000-0000-0000901F0000}"/>
    <cellStyle name="40% - 强调文字颜色 3 5 14" xfId="16220" xr:uid="{00000000-0005-0000-0000-0000911F0000}"/>
    <cellStyle name="40% - 强调文字颜色 3 5 2" xfId="17249" xr:uid="{00000000-0005-0000-0000-0000921F0000}"/>
    <cellStyle name="40% - 强调文字颜色 3 5 3" xfId="17250" xr:uid="{00000000-0005-0000-0000-0000931F0000}"/>
    <cellStyle name="40% - 强调文字颜色 3 5 4" xfId="17254" xr:uid="{00000000-0005-0000-0000-0000941F0000}"/>
    <cellStyle name="40% - 强调文字颜色 3 5 5" xfId="17259" xr:uid="{00000000-0005-0000-0000-0000951F0000}"/>
    <cellStyle name="40% - 强调文字颜色 3 5 6" xfId="17261" xr:uid="{00000000-0005-0000-0000-0000961F0000}"/>
    <cellStyle name="40% - 强调文字颜色 3 5 7" xfId="6956" xr:uid="{00000000-0005-0000-0000-0000971F0000}"/>
    <cellStyle name="40% - 强调文字颜色 3 5 8" xfId="6965" xr:uid="{00000000-0005-0000-0000-0000981F0000}"/>
    <cellStyle name="40% - 强调文字颜色 3 5 9" xfId="7595" xr:uid="{00000000-0005-0000-0000-0000991F0000}"/>
    <cellStyle name="40% - 强调文字颜色 3 6" xfId="17263" xr:uid="{00000000-0005-0000-0000-00009A1F0000}"/>
    <cellStyle name="40% - 强调文字颜色 3 6 10" xfId="17264" xr:uid="{00000000-0005-0000-0000-00009B1F0000}"/>
    <cellStyle name="40% - 强调文字颜色 3 6 11" xfId="17267" xr:uid="{00000000-0005-0000-0000-00009C1F0000}"/>
    <cellStyle name="40% - 强调文字颜色 3 6 12" xfId="17270" xr:uid="{00000000-0005-0000-0000-00009D1F0000}"/>
    <cellStyle name="40% - 强调文字颜色 3 6 13" xfId="6771" xr:uid="{00000000-0005-0000-0000-00009E1F0000}"/>
    <cellStyle name="40% - 强调文字颜色 3 6 14" xfId="6786" xr:uid="{00000000-0005-0000-0000-00009F1F0000}"/>
    <cellStyle name="40% - 强调文字颜色 3 6 2" xfId="793" xr:uid="{00000000-0005-0000-0000-0000A01F0000}"/>
    <cellStyle name="40% - 强调文字颜色 3 6 3" xfId="15354" xr:uid="{00000000-0005-0000-0000-0000A11F0000}"/>
    <cellStyle name="40% - 强调文字颜色 3 6 4" xfId="15356" xr:uid="{00000000-0005-0000-0000-0000A21F0000}"/>
    <cellStyle name="40% - 强调文字颜色 3 6 5" xfId="15358" xr:uid="{00000000-0005-0000-0000-0000A31F0000}"/>
    <cellStyle name="40% - 强调文字颜色 3 6 6" xfId="15360" xr:uid="{00000000-0005-0000-0000-0000A41F0000}"/>
    <cellStyle name="40% - 强调文字颜色 3 6 7" xfId="7939" xr:uid="{00000000-0005-0000-0000-0000A51F0000}"/>
    <cellStyle name="40% - 强调文字颜色 3 6 8" xfId="7944" xr:uid="{00000000-0005-0000-0000-0000A61F0000}"/>
    <cellStyle name="40% - 强调文字颜色 3 6 9" xfId="7952" xr:uid="{00000000-0005-0000-0000-0000A71F0000}"/>
    <cellStyle name="40% - 强调文字颜色 3 7" xfId="8511" xr:uid="{00000000-0005-0000-0000-0000A81F0000}"/>
    <cellStyle name="40% - 强调文字颜色 3 8" xfId="8518" xr:uid="{00000000-0005-0000-0000-0000A91F0000}"/>
    <cellStyle name="40% - 强调文字颜色 3 9" xfId="8525" xr:uid="{00000000-0005-0000-0000-0000AA1F0000}"/>
    <cellStyle name="40% - 强调文字颜色 4 10" xfId="17275" xr:uid="{00000000-0005-0000-0000-0000AB1F0000}"/>
    <cellStyle name="40% - 强调文字颜色 4 11" xfId="3659" xr:uid="{00000000-0005-0000-0000-0000AC1F0000}"/>
    <cellStyle name="40% - 强调文字颜色 4 12" xfId="3669" xr:uid="{00000000-0005-0000-0000-0000AD1F0000}"/>
    <cellStyle name="40% - 强调文字颜色 4 12 10" xfId="4389" xr:uid="{00000000-0005-0000-0000-0000AE1F0000}"/>
    <cellStyle name="40% - 强调文字颜色 4 12 11" xfId="4404" xr:uid="{00000000-0005-0000-0000-0000AF1F0000}"/>
    <cellStyle name="40% - 强调文字颜色 4 12 12" xfId="17278" xr:uid="{00000000-0005-0000-0000-0000B01F0000}"/>
    <cellStyle name="40% - 强调文字颜色 4 12 13" xfId="17281" xr:uid="{00000000-0005-0000-0000-0000B11F0000}"/>
    <cellStyle name="40% - 强调文字颜色 4 12 14" xfId="17282" xr:uid="{00000000-0005-0000-0000-0000B21F0000}"/>
    <cellStyle name="40% - 强调文字颜色 4 12 2" xfId="17285" xr:uid="{00000000-0005-0000-0000-0000B31F0000}"/>
    <cellStyle name="40% - 强调文字颜色 4 12 3" xfId="3932" xr:uid="{00000000-0005-0000-0000-0000B41F0000}"/>
    <cellStyle name="40% - 强调文字颜色 4 12 4" xfId="4016" xr:uid="{00000000-0005-0000-0000-0000B51F0000}"/>
    <cellStyle name="40% - 强调文字颜色 4 12 5" xfId="4027" xr:uid="{00000000-0005-0000-0000-0000B61F0000}"/>
    <cellStyle name="40% - 强调文字颜色 4 12 5 10" xfId="17288" xr:uid="{00000000-0005-0000-0000-0000B71F0000}"/>
    <cellStyle name="40% - 强调文字颜色 4 12 5 11" xfId="17291" xr:uid="{00000000-0005-0000-0000-0000B81F0000}"/>
    <cellStyle name="40% - 强调文字颜色 4 12 5 2" xfId="15420" xr:uid="{00000000-0005-0000-0000-0000B91F0000}"/>
    <cellStyle name="40% - 强调文字颜色 4 12 5 2 2" xfId="13060" xr:uid="{00000000-0005-0000-0000-0000BA1F0000}"/>
    <cellStyle name="40% - 强调文字颜色 4 12 5 2 2 2" xfId="17292" xr:uid="{00000000-0005-0000-0000-0000BB1F0000}"/>
    <cellStyle name="40% - 强调文字颜色 4 12 5 2 2 3" xfId="17294" xr:uid="{00000000-0005-0000-0000-0000BC1F0000}"/>
    <cellStyle name="40% - 强调文字颜色 4 12 5 2 3" xfId="13065" xr:uid="{00000000-0005-0000-0000-0000BD1F0000}"/>
    <cellStyle name="40% - 强调文字颜色 4 12 5 2 4" xfId="13069" xr:uid="{00000000-0005-0000-0000-0000BE1F0000}"/>
    <cellStyle name="40% - 强调文字颜色 4 12 5 2 5" xfId="13117" xr:uid="{00000000-0005-0000-0000-0000BF1F0000}"/>
    <cellStyle name="40% - 强调文字颜色 4 12 5 2 6" xfId="6514" xr:uid="{00000000-0005-0000-0000-0000C01F0000}"/>
    <cellStyle name="40% - 强调文字颜色 4 12 5 2 7" xfId="6521" xr:uid="{00000000-0005-0000-0000-0000C11F0000}"/>
    <cellStyle name="40% - 强调文字颜色 4 12 5 2 8" xfId="1094" xr:uid="{00000000-0005-0000-0000-0000C21F0000}"/>
    <cellStyle name="40% - 强调文字颜色 4 12 5 3" xfId="15342" xr:uid="{00000000-0005-0000-0000-0000C31F0000}"/>
    <cellStyle name="40% - 强调文字颜色 4 12 5 4" xfId="15349" xr:uid="{00000000-0005-0000-0000-0000C41F0000}"/>
    <cellStyle name="40% - 强调文字颜色 4 12 5 5" xfId="5966" xr:uid="{00000000-0005-0000-0000-0000C51F0000}"/>
    <cellStyle name="40% - 强调文字颜色 4 12 5 6" xfId="5980" xr:uid="{00000000-0005-0000-0000-0000C61F0000}"/>
    <cellStyle name="40% - 强调文字颜色 4 12 5 6 2" xfId="17295" xr:uid="{00000000-0005-0000-0000-0000C71F0000}"/>
    <cellStyle name="40% - 强调文字颜色 4 12 5 6 3" xfId="17296" xr:uid="{00000000-0005-0000-0000-0000C81F0000}"/>
    <cellStyle name="40% - 强调文字颜色 4 12 5 7" xfId="5984" xr:uid="{00000000-0005-0000-0000-0000C91F0000}"/>
    <cellStyle name="40% - 强调文字颜色 4 12 5 8" xfId="5989" xr:uid="{00000000-0005-0000-0000-0000CA1F0000}"/>
    <cellStyle name="40% - 强调文字颜色 4 12 5 9" xfId="5996" xr:uid="{00000000-0005-0000-0000-0000CB1F0000}"/>
    <cellStyle name="40% - 强调文字颜色 4 12 6" xfId="4038" xr:uid="{00000000-0005-0000-0000-0000CC1F0000}"/>
    <cellStyle name="40% - 强调文字颜色 4 12 6 2" xfId="966" xr:uid="{00000000-0005-0000-0000-0000CD1F0000}"/>
    <cellStyle name="40% - 强调文字颜色 4 12 6 2 2" xfId="6442" xr:uid="{00000000-0005-0000-0000-0000CE1F0000}"/>
    <cellStyle name="40% - 强调文字颜色 4 12 6 2 3" xfId="6542" xr:uid="{00000000-0005-0000-0000-0000CF1F0000}"/>
    <cellStyle name="40% - 强调文字颜色 4 12 6 3" xfId="997" xr:uid="{00000000-0005-0000-0000-0000D01F0000}"/>
    <cellStyle name="40% - 强调文字颜色 4 12 6 4" xfId="1016" xr:uid="{00000000-0005-0000-0000-0000D11F0000}"/>
    <cellStyle name="40% - 强调文字颜色 4 12 6 5" xfId="1051" xr:uid="{00000000-0005-0000-0000-0000D21F0000}"/>
    <cellStyle name="40% - 强调文字颜色 4 12 6 6" xfId="1072" xr:uid="{00000000-0005-0000-0000-0000D31F0000}"/>
    <cellStyle name="40% - 强调文字颜色 4 12 6 7" xfId="1092" xr:uid="{00000000-0005-0000-0000-0000D41F0000}"/>
    <cellStyle name="40% - 强调文字颜色 4 12 6 8" xfId="17297" xr:uid="{00000000-0005-0000-0000-0000D51F0000}"/>
    <cellStyle name="40% - 强调文字颜色 4 12 7" xfId="4051" xr:uid="{00000000-0005-0000-0000-0000D61F0000}"/>
    <cellStyle name="40% - 强调文字颜色 4 12 8" xfId="4058" xr:uid="{00000000-0005-0000-0000-0000D71F0000}"/>
    <cellStyle name="40% - 强调文字颜色 4 12 9" xfId="17299" xr:uid="{00000000-0005-0000-0000-0000D81F0000}"/>
    <cellStyle name="40% - 强调文字颜色 4 12 9 2" xfId="17301" xr:uid="{00000000-0005-0000-0000-0000D91F0000}"/>
    <cellStyle name="40% - 强调文字颜色 4 12 9 3" xfId="17303" xr:uid="{00000000-0005-0000-0000-0000DA1F0000}"/>
    <cellStyle name="40% - 强调文字颜色 4 13" xfId="17304" xr:uid="{00000000-0005-0000-0000-0000DB1F0000}"/>
    <cellStyle name="40% - 强调文字颜色 4 14" xfId="17307" xr:uid="{00000000-0005-0000-0000-0000DC1F0000}"/>
    <cellStyle name="40% - 强调文字颜色 4 15" xfId="17310" xr:uid="{00000000-0005-0000-0000-0000DD1F0000}"/>
    <cellStyle name="40% - 强调文字颜色 4 16" xfId="17313" xr:uid="{00000000-0005-0000-0000-0000DE1F0000}"/>
    <cellStyle name="40% - 强调文字颜色 4 16 10" xfId="17317" xr:uid="{00000000-0005-0000-0000-0000DF1F0000}"/>
    <cellStyle name="40% - 强调文字颜色 4 16 11" xfId="17319" xr:uid="{00000000-0005-0000-0000-0000E01F0000}"/>
    <cellStyle name="40% - 强调文字颜色 4 16 12" xfId="17321" xr:uid="{00000000-0005-0000-0000-0000E11F0000}"/>
    <cellStyle name="40% - 强调文字颜色 4 16 13" xfId="9263" xr:uid="{00000000-0005-0000-0000-0000E21F0000}"/>
    <cellStyle name="40% - 强调文字颜色 4 16 14" xfId="9267" xr:uid="{00000000-0005-0000-0000-0000E31F0000}"/>
    <cellStyle name="40% - 强调文字颜色 4 16 2" xfId="17322" xr:uid="{00000000-0005-0000-0000-0000E41F0000}"/>
    <cellStyle name="40% - 强调文字颜色 4 16 3" xfId="17324" xr:uid="{00000000-0005-0000-0000-0000E51F0000}"/>
    <cellStyle name="40% - 强调文字颜色 4 16 4" xfId="17325" xr:uid="{00000000-0005-0000-0000-0000E61F0000}"/>
    <cellStyle name="40% - 强调文字颜色 4 16 5" xfId="17327" xr:uid="{00000000-0005-0000-0000-0000E71F0000}"/>
    <cellStyle name="40% - 强调文字颜色 4 16 5 10" xfId="17328" xr:uid="{00000000-0005-0000-0000-0000E81F0000}"/>
    <cellStyle name="40% - 强调文字颜色 4 16 5 11" xfId="17329" xr:uid="{00000000-0005-0000-0000-0000E91F0000}"/>
    <cellStyle name="40% - 强调文字颜色 4 16 5 2" xfId="8894" xr:uid="{00000000-0005-0000-0000-0000EA1F0000}"/>
    <cellStyle name="40% - 强调文字颜色 4 16 5 2 2" xfId="17332" xr:uid="{00000000-0005-0000-0000-0000EB1F0000}"/>
    <cellStyle name="40% - 强调文字颜色 4 16 5 2 2 2" xfId="16675" xr:uid="{00000000-0005-0000-0000-0000EC1F0000}"/>
    <cellStyle name="40% - 强调文字颜色 4 16 5 2 2 3" xfId="16627" xr:uid="{00000000-0005-0000-0000-0000ED1F0000}"/>
    <cellStyle name="40% - 强调文字颜色 4 16 5 2 3" xfId="17335" xr:uid="{00000000-0005-0000-0000-0000EE1F0000}"/>
    <cellStyle name="40% - 强调文字颜色 4 16 5 2 4" xfId="17338" xr:uid="{00000000-0005-0000-0000-0000EF1F0000}"/>
    <cellStyle name="40% - 强调文字颜色 4 16 5 2 5" xfId="17341" xr:uid="{00000000-0005-0000-0000-0000F01F0000}"/>
    <cellStyle name="40% - 强调文字颜色 4 16 5 2 6" xfId="17344" xr:uid="{00000000-0005-0000-0000-0000F11F0000}"/>
    <cellStyle name="40% - 强调文字颜色 4 16 5 2 7" xfId="17349" xr:uid="{00000000-0005-0000-0000-0000F21F0000}"/>
    <cellStyle name="40% - 强调文字颜色 4 16 5 2 8" xfId="17354" xr:uid="{00000000-0005-0000-0000-0000F31F0000}"/>
    <cellStyle name="40% - 强调文字颜色 4 16 5 3" xfId="8899" xr:uid="{00000000-0005-0000-0000-0000F41F0000}"/>
    <cellStyle name="40% - 强调文字颜色 4 16 5 4" xfId="8904" xr:uid="{00000000-0005-0000-0000-0000F51F0000}"/>
    <cellStyle name="40% - 强调文字颜色 4 16 5 5" xfId="8908" xr:uid="{00000000-0005-0000-0000-0000F61F0000}"/>
    <cellStyle name="40% - 强调文字颜色 4 16 5 6" xfId="8183" xr:uid="{00000000-0005-0000-0000-0000F71F0000}"/>
    <cellStyle name="40% - 强调文字颜色 4 16 5 6 2" xfId="17356" xr:uid="{00000000-0005-0000-0000-0000F81F0000}"/>
    <cellStyle name="40% - 强调文字颜色 4 16 5 6 3" xfId="17359" xr:uid="{00000000-0005-0000-0000-0000F91F0000}"/>
    <cellStyle name="40% - 强调文字颜色 4 16 5 7" xfId="17365" xr:uid="{00000000-0005-0000-0000-0000FA1F0000}"/>
    <cellStyle name="40% - 强调文字颜色 4 16 5 8" xfId="17366" xr:uid="{00000000-0005-0000-0000-0000FB1F0000}"/>
    <cellStyle name="40% - 强调文字颜色 4 16 5 9" xfId="17367" xr:uid="{00000000-0005-0000-0000-0000FC1F0000}"/>
    <cellStyle name="40% - 强调文字颜色 4 16 6" xfId="17370" xr:uid="{00000000-0005-0000-0000-0000FD1F0000}"/>
    <cellStyle name="40% - 强调文字颜色 4 16 6 2" xfId="1586" xr:uid="{00000000-0005-0000-0000-0000FE1F0000}"/>
    <cellStyle name="40% - 强调文字颜色 4 16 6 2 2" xfId="17372" xr:uid="{00000000-0005-0000-0000-0000FF1F0000}"/>
    <cellStyle name="40% - 强调文字颜色 4 16 6 2 3" xfId="17375" xr:uid="{00000000-0005-0000-0000-000000200000}"/>
    <cellStyle name="40% - 强调文字颜色 4 16 6 3" xfId="1602" xr:uid="{00000000-0005-0000-0000-000001200000}"/>
    <cellStyle name="40% - 强调文字颜色 4 16 6 4" xfId="1618" xr:uid="{00000000-0005-0000-0000-000002200000}"/>
    <cellStyle name="40% - 强调文字颜色 4 16 6 5" xfId="1641" xr:uid="{00000000-0005-0000-0000-000003200000}"/>
    <cellStyle name="40% - 强调文字颜色 4 16 6 6" xfId="1656" xr:uid="{00000000-0005-0000-0000-000004200000}"/>
    <cellStyle name="40% - 强调文字颜色 4 16 6 7" xfId="1671" xr:uid="{00000000-0005-0000-0000-000005200000}"/>
    <cellStyle name="40% - 强调文字颜色 4 16 6 8" xfId="17377" xr:uid="{00000000-0005-0000-0000-000006200000}"/>
    <cellStyle name="40% - 强调文字颜色 4 16 7" xfId="17380" xr:uid="{00000000-0005-0000-0000-000007200000}"/>
    <cellStyle name="40% - 强调文字颜色 4 16 8" xfId="17383" xr:uid="{00000000-0005-0000-0000-000008200000}"/>
    <cellStyle name="40% - 强调文字颜色 4 16 9" xfId="17387" xr:uid="{00000000-0005-0000-0000-000009200000}"/>
    <cellStyle name="40% - 强调文字颜色 4 16 9 2" xfId="17392" xr:uid="{00000000-0005-0000-0000-00000A200000}"/>
    <cellStyle name="40% - 强调文字颜色 4 16 9 3" xfId="17396" xr:uid="{00000000-0005-0000-0000-00000B200000}"/>
    <cellStyle name="40% - 强调文字颜色 4 17" xfId="17397" xr:uid="{00000000-0005-0000-0000-00000C200000}"/>
    <cellStyle name="40% - 强调文字颜色 4 17 10" xfId="3996" xr:uid="{00000000-0005-0000-0000-00000D200000}"/>
    <cellStyle name="40% - 强调文字颜色 4 17 11" xfId="4005" xr:uid="{00000000-0005-0000-0000-00000E200000}"/>
    <cellStyle name="40% - 强调文字颜色 4 17 12" xfId="2073" xr:uid="{00000000-0005-0000-0000-00000F200000}"/>
    <cellStyle name="40% - 强调文字颜色 4 17 13" xfId="3114" xr:uid="{00000000-0005-0000-0000-000010200000}"/>
    <cellStyle name="40% - 强调文字颜色 4 17 14" xfId="17401" xr:uid="{00000000-0005-0000-0000-000011200000}"/>
    <cellStyle name="40% - 强调文字颜色 4 17 2" xfId="17403" xr:uid="{00000000-0005-0000-0000-000012200000}"/>
    <cellStyle name="40% - 强调文字颜色 4 17 3" xfId="17406" xr:uid="{00000000-0005-0000-0000-000013200000}"/>
    <cellStyle name="40% - 强调文字颜色 4 17 4" xfId="17409" xr:uid="{00000000-0005-0000-0000-000014200000}"/>
    <cellStyle name="40% - 强调文字颜色 4 17 5" xfId="17410" xr:uid="{00000000-0005-0000-0000-000015200000}"/>
    <cellStyle name="40% - 强调文字颜色 4 17 5 10" xfId="17413" xr:uid="{00000000-0005-0000-0000-000016200000}"/>
    <cellStyle name="40% - 强调文字颜色 4 17 5 11" xfId="17416" xr:uid="{00000000-0005-0000-0000-000017200000}"/>
    <cellStyle name="40% - 强调文字颜色 4 17 5 2" xfId="8073" xr:uid="{00000000-0005-0000-0000-000018200000}"/>
    <cellStyle name="40% - 强调文字颜色 4 17 5 2 2" xfId="8090" xr:uid="{00000000-0005-0000-0000-000019200000}"/>
    <cellStyle name="40% - 强调文字颜色 4 17 5 2 2 2" xfId="8098" xr:uid="{00000000-0005-0000-0000-00001A200000}"/>
    <cellStyle name="40% - 强调文字颜色 4 17 5 2 2 3" xfId="6197" xr:uid="{00000000-0005-0000-0000-00001B200000}"/>
    <cellStyle name="40% - 强调文字颜色 4 17 5 2 3" xfId="8108" xr:uid="{00000000-0005-0000-0000-00001C200000}"/>
    <cellStyle name="40% - 强调文字颜色 4 17 5 2 4" xfId="8115" xr:uid="{00000000-0005-0000-0000-00001D200000}"/>
    <cellStyle name="40% - 强调文字颜色 4 17 5 2 5" xfId="8121" xr:uid="{00000000-0005-0000-0000-00001E200000}"/>
    <cellStyle name="40% - 强调文字颜色 4 17 5 2 6" xfId="8126" xr:uid="{00000000-0005-0000-0000-00001F200000}"/>
    <cellStyle name="40% - 强调文字颜色 4 17 5 2 7" xfId="8132" xr:uid="{00000000-0005-0000-0000-000020200000}"/>
    <cellStyle name="40% - 强调文字颜色 4 17 5 2 8" xfId="1812" xr:uid="{00000000-0005-0000-0000-000021200000}"/>
    <cellStyle name="40% - 强调文字颜色 4 17 5 3" xfId="8136" xr:uid="{00000000-0005-0000-0000-000022200000}"/>
    <cellStyle name="40% - 强调文字颜色 4 17 5 4" xfId="8146" xr:uid="{00000000-0005-0000-0000-000023200000}"/>
    <cellStyle name="40% - 强调文字颜色 4 17 5 5" xfId="17417" xr:uid="{00000000-0005-0000-0000-000024200000}"/>
    <cellStyle name="40% - 强调文字颜色 4 17 5 6" xfId="17418" xr:uid="{00000000-0005-0000-0000-000025200000}"/>
    <cellStyle name="40% - 强调文字颜色 4 17 5 6 2" xfId="17420" xr:uid="{00000000-0005-0000-0000-000026200000}"/>
    <cellStyle name="40% - 强调文字颜色 4 17 5 6 3" xfId="17422" xr:uid="{00000000-0005-0000-0000-000027200000}"/>
    <cellStyle name="40% - 强调文字颜色 4 17 5 7" xfId="17423" xr:uid="{00000000-0005-0000-0000-000028200000}"/>
    <cellStyle name="40% - 强调文字颜色 4 17 5 8" xfId="17425" xr:uid="{00000000-0005-0000-0000-000029200000}"/>
    <cellStyle name="40% - 强调文字颜色 4 17 5 9" xfId="17427" xr:uid="{00000000-0005-0000-0000-00002A200000}"/>
    <cellStyle name="40% - 强调文字颜色 4 17 6" xfId="3064" xr:uid="{00000000-0005-0000-0000-00002B200000}"/>
    <cellStyle name="40% - 强调文字颜色 4 17 6 2" xfId="2143" xr:uid="{00000000-0005-0000-0000-00002C200000}"/>
    <cellStyle name="40% - 强调文字颜色 4 17 6 2 2" xfId="8185" xr:uid="{00000000-0005-0000-0000-00002D200000}"/>
    <cellStyle name="40% - 强调文字颜色 4 17 6 2 3" xfId="8195" xr:uid="{00000000-0005-0000-0000-00002E200000}"/>
    <cellStyle name="40% - 强调文字颜色 4 17 6 3" xfId="2161" xr:uid="{00000000-0005-0000-0000-00002F200000}"/>
    <cellStyle name="40% - 强调文字颜色 4 17 6 4" xfId="2171" xr:uid="{00000000-0005-0000-0000-000030200000}"/>
    <cellStyle name="40% - 强调文字颜色 4 17 6 5" xfId="2187" xr:uid="{00000000-0005-0000-0000-000031200000}"/>
    <cellStyle name="40% - 强调文字颜色 4 17 6 6" xfId="2198" xr:uid="{00000000-0005-0000-0000-000032200000}"/>
    <cellStyle name="40% - 强调文字颜色 4 17 6 7" xfId="2209" xr:uid="{00000000-0005-0000-0000-000033200000}"/>
    <cellStyle name="40% - 强调文字颜色 4 17 6 8" xfId="208" xr:uid="{00000000-0005-0000-0000-000034200000}"/>
    <cellStyle name="40% - 强调文字颜色 4 17 7" xfId="3078" xr:uid="{00000000-0005-0000-0000-000035200000}"/>
    <cellStyle name="40% - 强调文字颜色 4 17 8" xfId="17430" xr:uid="{00000000-0005-0000-0000-000036200000}"/>
    <cellStyle name="40% - 强调文字颜色 4 17 9" xfId="17434" xr:uid="{00000000-0005-0000-0000-000037200000}"/>
    <cellStyle name="40% - 强调文字颜色 4 17 9 2" xfId="17439" xr:uid="{00000000-0005-0000-0000-000038200000}"/>
    <cellStyle name="40% - 强调文字颜色 4 17 9 3" xfId="17442" xr:uid="{00000000-0005-0000-0000-000039200000}"/>
    <cellStyle name="40% - 强调文字颜色 4 18" xfId="17445" xr:uid="{00000000-0005-0000-0000-00003A200000}"/>
    <cellStyle name="40% - 强调文字颜色 4 18 10" xfId="2047" xr:uid="{00000000-0005-0000-0000-00003B200000}"/>
    <cellStyle name="40% - 强调文字颜色 4 18 11" xfId="2111" xr:uid="{00000000-0005-0000-0000-00003C200000}"/>
    <cellStyle name="40% - 强调文字颜色 4 18 12" xfId="2129" xr:uid="{00000000-0005-0000-0000-00003D200000}"/>
    <cellStyle name="40% - 强调文字颜色 4 18 13" xfId="2147" xr:uid="{00000000-0005-0000-0000-00003E200000}"/>
    <cellStyle name="40% - 强调文字颜色 4 18 14" xfId="17447" xr:uid="{00000000-0005-0000-0000-00003F200000}"/>
    <cellStyle name="40% - 强调文字颜色 4 18 2" xfId="8227" xr:uid="{00000000-0005-0000-0000-000040200000}"/>
    <cellStyle name="40% - 强调文字颜色 4 18 3" xfId="8233" xr:uid="{00000000-0005-0000-0000-000041200000}"/>
    <cellStyle name="40% - 强调文字颜色 4 18 4" xfId="8239" xr:uid="{00000000-0005-0000-0000-000042200000}"/>
    <cellStyle name="40% - 强调文字颜色 4 18 5" xfId="8242" xr:uid="{00000000-0005-0000-0000-000043200000}"/>
    <cellStyle name="40% - 强调文字颜色 4 18 5 10" xfId="17452" xr:uid="{00000000-0005-0000-0000-000044200000}"/>
    <cellStyle name="40% - 强调文字颜色 4 18 5 11" xfId="17454" xr:uid="{00000000-0005-0000-0000-000045200000}"/>
    <cellStyle name="40% - 强调文字颜色 4 18 5 2" xfId="17455" xr:uid="{00000000-0005-0000-0000-000046200000}"/>
    <cellStyle name="40% - 强调文字颜色 4 18 5 2 2" xfId="17457" xr:uid="{00000000-0005-0000-0000-000047200000}"/>
    <cellStyle name="40% - 强调文字颜色 4 18 5 2 2 2" xfId="17460" xr:uid="{00000000-0005-0000-0000-000048200000}"/>
    <cellStyle name="40% - 强调文字颜色 4 18 5 2 2 3" xfId="17462" xr:uid="{00000000-0005-0000-0000-000049200000}"/>
    <cellStyle name="40% - 强调文字颜色 4 18 5 2 3" xfId="17464" xr:uid="{00000000-0005-0000-0000-00004A200000}"/>
    <cellStyle name="40% - 强调文字颜色 4 18 5 2 4" xfId="17466" xr:uid="{00000000-0005-0000-0000-00004B200000}"/>
    <cellStyle name="40% - 强调文字颜色 4 18 5 2 5" xfId="17468" xr:uid="{00000000-0005-0000-0000-00004C200000}"/>
    <cellStyle name="40% - 强调文字颜色 4 18 5 2 6" xfId="17470" xr:uid="{00000000-0005-0000-0000-00004D200000}"/>
    <cellStyle name="40% - 强调文字颜色 4 18 5 2 7" xfId="17473" xr:uid="{00000000-0005-0000-0000-00004E200000}"/>
    <cellStyle name="40% - 强调文字颜色 4 18 5 2 8" xfId="2249" xr:uid="{00000000-0005-0000-0000-00004F200000}"/>
    <cellStyle name="40% - 强调文字颜色 4 18 5 3" xfId="17475" xr:uid="{00000000-0005-0000-0000-000050200000}"/>
    <cellStyle name="40% - 强调文字颜色 4 18 5 4" xfId="8271" xr:uid="{00000000-0005-0000-0000-000051200000}"/>
    <cellStyle name="40% - 强调文字颜色 4 18 5 5" xfId="8278" xr:uid="{00000000-0005-0000-0000-000052200000}"/>
    <cellStyle name="40% - 强调文字颜色 4 18 5 6" xfId="8284" xr:uid="{00000000-0005-0000-0000-000053200000}"/>
    <cellStyle name="40% - 强调文字颜色 4 18 5 6 2" xfId="17476" xr:uid="{00000000-0005-0000-0000-000054200000}"/>
    <cellStyle name="40% - 强调文字颜色 4 18 5 6 3" xfId="17479" xr:uid="{00000000-0005-0000-0000-000055200000}"/>
    <cellStyle name="40% - 强调文字颜色 4 18 5 7" xfId="8290" xr:uid="{00000000-0005-0000-0000-000056200000}"/>
    <cellStyle name="40% - 强调文字颜色 4 18 5 8" xfId="8296" xr:uid="{00000000-0005-0000-0000-000057200000}"/>
    <cellStyle name="40% - 强调文字颜色 4 18 5 9" xfId="8303" xr:uid="{00000000-0005-0000-0000-000058200000}"/>
    <cellStyle name="40% - 强调文字颜色 4 18 6" xfId="17481" xr:uid="{00000000-0005-0000-0000-000059200000}"/>
    <cellStyle name="40% - 强调文字颜色 4 18 6 2" xfId="2543" xr:uid="{00000000-0005-0000-0000-00005A200000}"/>
    <cellStyle name="40% - 强调文字颜色 4 18 6 2 2" xfId="17482" xr:uid="{00000000-0005-0000-0000-00005B200000}"/>
    <cellStyle name="40% - 强调文字颜色 4 18 6 2 3" xfId="17484" xr:uid="{00000000-0005-0000-0000-00005C200000}"/>
    <cellStyle name="40% - 强调文字颜色 4 18 6 3" xfId="2402" xr:uid="{00000000-0005-0000-0000-00005D200000}"/>
    <cellStyle name="40% - 强调文字颜色 4 18 6 4" xfId="2417" xr:uid="{00000000-0005-0000-0000-00005E200000}"/>
    <cellStyle name="40% - 强调文字颜色 4 18 6 5" xfId="2585" xr:uid="{00000000-0005-0000-0000-00005F200000}"/>
    <cellStyle name="40% - 强调文字颜色 4 18 6 6" xfId="2598" xr:uid="{00000000-0005-0000-0000-000060200000}"/>
    <cellStyle name="40% - 强调文字颜色 4 18 6 7" xfId="2604" xr:uid="{00000000-0005-0000-0000-000061200000}"/>
    <cellStyle name="40% - 强调文字颜色 4 18 6 8" xfId="17485" xr:uid="{00000000-0005-0000-0000-000062200000}"/>
    <cellStyle name="40% - 强调文字颜色 4 18 7" xfId="17487" xr:uid="{00000000-0005-0000-0000-000063200000}"/>
    <cellStyle name="40% - 强调文字颜色 4 18 8" xfId="17488" xr:uid="{00000000-0005-0000-0000-000064200000}"/>
    <cellStyle name="40% - 强调文字颜色 4 18 9" xfId="17489" xr:uid="{00000000-0005-0000-0000-000065200000}"/>
    <cellStyle name="40% - 强调文字颜色 4 18 9 2" xfId="17490" xr:uid="{00000000-0005-0000-0000-000066200000}"/>
    <cellStyle name="40% - 强调文字颜色 4 18 9 3" xfId="8323" xr:uid="{00000000-0005-0000-0000-000067200000}"/>
    <cellStyle name="40% - 强调文字颜色 4 19" xfId="17493" xr:uid="{00000000-0005-0000-0000-000068200000}"/>
    <cellStyle name="40% - 强调文字颜色 4 2" xfId="7446" xr:uid="{00000000-0005-0000-0000-000069200000}"/>
    <cellStyle name="40% - 强调文字颜色 4 2 10" xfId="6317" xr:uid="{00000000-0005-0000-0000-00006A200000}"/>
    <cellStyle name="40% - 强调文字颜色 4 2 11" xfId="6321" xr:uid="{00000000-0005-0000-0000-00006B200000}"/>
    <cellStyle name="40% - 强调文字颜色 4 2 12" xfId="6326" xr:uid="{00000000-0005-0000-0000-00006C200000}"/>
    <cellStyle name="40% - 强调文字颜色 4 2 13" xfId="6332" xr:uid="{00000000-0005-0000-0000-00006D200000}"/>
    <cellStyle name="40% - 强调文字颜色 4 2 14" xfId="3401" xr:uid="{00000000-0005-0000-0000-00006E200000}"/>
    <cellStyle name="40% - 强调文字颜色 4 2 15" xfId="1435" xr:uid="{00000000-0005-0000-0000-00006F200000}"/>
    <cellStyle name="40% - 强调文字颜色 4 2 16" xfId="1466" xr:uid="{00000000-0005-0000-0000-000070200000}"/>
    <cellStyle name="40% - 强调文字颜色 4 2 17" xfId="17495" xr:uid="{00000000-0005-0000-0000-000071200000}"/>
    <cellStyle name="40% - 强调文字颜色 4 2 17 10" xfId="12473" xr:uid="{00000000-0005-0000-0000-000072200000}"/>
    <cellStyle name="40% - 强调文字颜色 4 2 17 11" xfId="12478" xr:uid="{00000000-0005-0000-0000-000073200000}"/>
    <cellStyle name="40% - 强调文字颜色 4 2 17 12" xfId="12482" xr:uid="{00000000-0005-0000-0000-000074200000}"/>
    <cellStyle name="40% - 强调文字颜色 4 2 17 13" xfId="12486" xr:uid="{00000000-0005-0000-0000-000075200000}"/>
    <cellStyle name="40% - 强调文字颜色 4 2 17 14" xfId="12495" xr:uid="{00000000-0005-0000-0000-000076200000}"/>
    <cellStyle name="40% - 强调文字颜色 4 2 17 2" xfId="11388" xr:uid="{00000000-0005-0000-0000-000077200000}"/>
    <cellStyle name="40% - 强调文字颜色 4 2 17 3" xfId="11390" xr:uid="{00000000-0005-0000-0000-000078200000}"/>
    <cellStyle name="40% - 强调文字颜色 4 2 17 4" xfId="11393" xr:uid="{00000000-0005-0000-0000-000079200000}"/>
    <cellStyle name="40% - 强调文字颜色 4 2 17 5" xfId="11395" xr:uid="{00000000-0005-0000-0000-00007A200000}"/>
    <cellStyle name="40% - 强调文字颜色 4 2 17 5 10" xfId="7608" xr:uid="{00000000-0005-0000-0000-00007B200000}"/>
    <cellStyle name="40% - 强调文字颜色 4 2 17 5 11" xfId="6770" xr:uid="{00000000-0005-0000-0000-00007C200000}"/>
    <cellStyle name="40% - 强调文字颜色 4 2 17 5 2" xfId="17498" xr:uid="{00000000-0005-0000-0000-00007D200000}"/>
    <cellStyle name="40% - 强调文字颜色 4 2 17 5 2 2" xfId="14063" xr:uid="{00000000-0005-0000-0000-00007E200000}"/>
    <cellStyle name="40% - 强调文字颜色 4 2 17 5 2 2 2" xfId="17500" xr:uid="{00000000-0005-0000-0000-00007F200000}"/>
    <cellStyle name="40% - 强调文字颜色 4 2 17 5 2 2 3" xfId="17501" xr:uid="{00000000-0005-0000-0000-000080200000}"/>
    <cellStyle name="40% - 强调文字颜色 4 2 17 5 2 3" xfId="15295" xr:uid="{00000000-0005-0000-0000-000081200000}"/>
    <cellStyle name="40% - 强调文字颜色 4 2 17 5 2 4" xfId="4173" xr:uid="{00000000-0005-0000-0000-000082200000}"/>
    <cellStyle name="40% - 强调文字颜色 4 2 17 5 2 5" xfId="4183" xr:uid="{00000000-0005-0000-0000-000083200000}"/>
    <cellStyle name="40% - 强调文字颜色 4 2 17 5 2 6" xfId="15299" xr:uid="{00000000-0005-0000-0000-000084200000}"/>
    <cellStyle name="40% - 强调文字颜色 4 2 17 5 2 7" xfId="17504" xr:uid="{00000000-0005-0000-0000-000085200000}"/>
    <cellStyle name="40% - 强调文字颜色 4 2 17 5 2 8" xfId="17505" xr:uid="{00000000-0005-0000-0000-000086200000}"/>
    <cellStyle name="40% - 强调文字颜色 4 2 17 5 3" xfId="17509" xr:uid="{00000000-0005-0000-0000-000087200000}"/>
    <cellStyle name="40% - 强调文字颜色 4 2 17 5 4" xfId="17511" xr:uid="{00000000-0005-0000-0000-000088200000}"/>
    <cellStyle name="40% - 强调文字颜色 4 2 17 5 5" xfId="17513" xr:uid="{00000000-0005-0000-0000-000089200000}"/>
    <cellStyle name="40% - 强调文字颜色 4 2 17 5 6" xfId="17516" xr:uid="{00000000-0005-0000-0000-00008A200000}"/>
    <cellStyle name="40% - 强调文字颜色 4 2 17 5 6 2" xfId="17517" xr:uid="{00000000-0005-0000-0000-00008B200000}"/>
    <cellStyle name="40% - 强调文字颜色 4 2 17 5 6 3" xfId="7745" xr:uid="{00000000-0005-0000-0000-00008C200000}"/>
    <cellStyle name="40% - 强调文字颜色 4 2 17 5 7" xfId="17521" xr:uid="{00000000-0005-0000-0000-00008D200000}"/>
    <cellStyle name="40% - 强调文字颜色 4 2 17 5 8" xfId="17523" xr:uid="{00000000-0005-0000-0000-00008E200000}"/>
    <cellStyle name="40% - 强调文字颜色 4 2 17 5 9" xfId="17525" xr:uid="{00000000-0005-0000-0000-00008F200000}"/>
    <cellStyle name="40% - 强调文字颜色 4 2 17 6" xfId="11399" xr:uid="{00000000-0005-0000-0000-000090200000}"/>
    <cellStyle name="40% - 强调文字颜色 4 2 17 6 2" xfId="17528" xr:uid="{00000000-0005-0000-0000-000091200000}"/>
    <cellStyle name="40% - 强调文字颜色 4 2 17 6 2 2" xfId="17326" xr:uid="{00000000-0005-0000-0000-000092200000}"/>
    <cellStyle name="40% - 强调文字颜色 4 2 17 6 2 3" xfId="17369" xr:uid="{00000000-0005-0000-0000-000093200000}"/>
    <cellStyle name="40% - 强调文字颜色 4 2 17 6 3" xfId="17530" xr:uid="{00000000-0005-0000-0000-000094200000}"/>
    <cellStyle name="40% - 强调文字颜色 4 2 17 6 4" xfId="805" xr:uid="{00000000-0005-0000-0000-000095200000}"/>
    <cellStyle name="40% - 强调文字颜色 4 2 17 6 5" xfId="374" xr:uid="{00000000-0005-0000-0000-000096200000}"/>
    <cellStyle name="40% - 强调文字颜色 4 2 17 6 6" xfId="17532" xr:uid="{00000000-0005-0000-0000-000097200000}"/>
    <cellStyle name="40% - 强调文字颜色 4 2 17 6 7" xfId="17534" xr:uid="{00000000-0005-0000-0000-000098200000}"/>
    <cellStyle name="40% - 强调文字颜色 4 2 17 6 8" xfId="17537" xr:uid="{00000000-0005-0000-0000-000099200000}"/>
    <cellStyle name="40% - 强调文字颜色 4 2 17 7" xfId="11152" xr:uid="{00000000-0005-0000-0000-00009A200000}"/>
    <cellStyle name="40% - 强调文字颜色 4 2 17 8" xfId="17539" xr:uid="{00000000-0005-0000-0000-00009B200000}"/>
    <cellStyle name="40% - 强调文字颜色 4 2 17 9" xfId="17541" xr:uid="{00000000-0005-0000-0000-00009C200000}"/>
    <cellStyle name="40% - 强调文字颜色 4 2 17 9 2" xfId="17543" xr:uid="{00000000-0005-0000-0000-00009D200000}"/>
    <cellStyle name="40% - 强调文字颜色 4 2 17 9 3" xfId="17547" xr:uid="{00000000-0005-0000-0000-00009E200000}"/>
    <cellStyle name="40% - 强调文字颜色 4 2 18" xfId="17549" xr:uid="{00000000-0005-0000-0000-00009F200000}"/>
    <cellStyle name="40% - 强调文字颜色 4 2 18 10" xfId="17551" xr:uid="{00000000-0005-0000-0000-0000A0200000}"/>
    <cellStyle name="40% - 强调文字颜色 4 2 18 11" xfId="17553" xr:uid="{00000000-0005-0000-0000-0000A1200000}"/>
    <cellStyle name="40% - 强调文字颜色 4 2 18 12" xfId="17555" xr:uid="{00000000-0005-0000-0000-0000A2200000}"/>
    <cellStyle name="40% - 强调文字颜色 4 2 18 13" xfId="17556" xr:uid="{00000000-0005-0000-0000-0000A3200000}"/>
    <cellStyle name="40% - 强调文字颜色 4 2 18 14" xfId="17557" xr:uid="{00000000-0005-0000-0000-0000A4200000}"/>
    <cellStyle name="40% - 强调文字颜色 4 2 18 2" xfId="1144" xr:uid="{00000000-0005-0000-0000-0000A5200000}"/>
    <cellStyle name="40% - 强调文字颜色 4 2 18 3" xfId="2709" xr:uid="{00000000-0005-0000-0000-0000A6200000}"/>
    <cellStyle name="40% - 强调文字颜色 4 2 18 4" xfId="3105" xr:uid="{00000000-0005-0000-0000-0000A7200000}"/>
    <cellStyle name="40% - 强调文字颜色 4 2 18 5" xfId="3143" xr:uid="{00000000-0005-0000-0000-0000A8200000}"/>
    <cellStyle name="40% - 强调文字颜色 4 2 18 5 10" xfId="17558" xr:uid="{00000000-0005-0000-0000-0000A9200000}"/>
    <cellStyle name="40% - 强调文字颜色 4 2 18 5 11" xfId="17559" xr:uid="{00000000-0005-0000-0000-0000AA200000}"/>
    <cellStyle name="40% - 强调文字颜色 4 2 18 5 2" xfId="17560" xr:uid="{00000000-0005-0000-0000-0000AB200000}"/>
    <cellStyle name="40% - 强调文字颜色 4 2 18 5 2 2" xfId="5075" xr:uid="{00000000-0005-0000-0000-0000AC200000}"/>
    <cellStyle name="40% - 强调文字颜色 4 2 18 5 2 2 2" xfId="6791" xr:uid="{00000000-0005-0000-0000-0000AD200000}"/>
    <cellStyle name="40% - 强调文字颜色 4 2 18 5 2 2 3" xfId="6794" xr:uid="{00000000-0005-0000-0000-0000AE200000}"/>
    <cellStyle name="40% - 强调文字颜色 4 2 18 5 2 3" xfId="15496" xr:uid="{00000000-0005-0000-0000-0000AF200000}"/>
    <cellStyle name="40% - 强调文字颜色 4 2 18 5 2 4" xfId="4840" xr:uid="{00000000-0005-0000-0000-0000B0200000}"/>
    <cellStyle name="40% - 强调文字颜色 4 2 18 5 2 5" xfId="4844" xr:uid="{00000000-0005-0000-0000-0000B1200000}"/>
    <cellStyle name="40% - 强调文字颜色 4 2 18 5 2 6" xfId="15500" xr:uid="{00000000-0005-0000-0000-0000B2200000}"/>
    <cellStyle name="40% - 强调文字颜色 4 2 18 5 2 7" xfId="17563" xr:uid="{00000000-0005-0000-0000-0000B3200000}"/>
    <cellStyle name="40% - 强调文字颜色 4 2 18 5 2 8" xfId="17565" xr:uid="{00000000-0005-0000-0000-0000B4200000}"/>
    <cellStyle name="40% - 强调文字颜色 4 2 18 5 3" xfId="17566" xr:uid="{00000000-0005-0000-0000-0000B5200000}"/>
    <cellStyle name="40% - 强调文字颜色 4 2 18 5 4" xfId="17567" xr:uid="{00000000-0005-0000-0000-0000B6200000}"/>
    <cellStyle name="40% - 强调文字颜色 4 2 18 5 5" xfId="17569" xr:uid="{00000000-0005-0000-0000-0000B7200000}"/>
    <cellStyle name="40% - 强调文字颜色 4 2 18 5 6" xfId="17571" xr:uid="{00000000-0005-0000-0000-0000B8200000}"/>
    <cellStyle name="40% - 强调文字颜色 4 2 18 5 6 2" xfId="5140" xr:uid="{00000000-0005-0000-0000-0000B9200000}"/>
    <cellStyle name="40% - 强调文字颜色 4 2 18 5 6 3" xfId="17574" xr:uid="{00000000-0005-0000-0000-0000BA200000}"/>
    <cellStyle name="40% - 强调文字颜色 4 2 18 5 7" xfId="17576" xr:uid="{00000000-0005-0000-0000-0000BB200000}"/>
    <cellStyle name="40% - 强调文字颜色 4 2 18 5 8" xfId="17578" xr:uid="{00000000-0005-0000-0000-0000BC200000}"/>
    <cellStyle name="40% - 强调文字颜色 4 2 18 5 9" xfId="17581" xr:uid="{00000000-0005-0000-0000-0000BD200000}"/>
    <cellStyle name="40% - 强调文字颜色 4 2 18 6" xfId="3155" xr:uid="{00000000-0005-0000-0000-0000BE200000}"/>
    <cellStyle name="40% - 强调文字颜色 4 2 18 6 2" xfId="17582" xr:uid="{00000000-0005-0000-0000-0000BF200000}"/>
    <cellStyle name="40% - 强调文字颜色 4 2 18 6 2 2" xfId="17584" xr:uid="{00000000-0005-0000-0000-0000C0200000}"/>
    <cellStyle name="40% - 强调文字颜色 4 2 18 6 2 3" xfId="17585" xr:uid="{00000000-0005-0000-0000-0000C1200000}"/>
    <cellStyle name="40% - 强调文字颜色 4 2 18 6 3" xfId="8963" xr:uid="{00000000-0005-0000-0000-0000C2200000}"/>
    <cellStyle name="40% - 强调文字颜色 4 2 18 6 4" xfId="8966" xr:uid="{00000000-0005-0000-0000-0000C3200000}"/>
    <cellStyle name="40% - 强调文字颜色 4 2 18 6 5" xfId="4533" xr:uid="{00000000-0005-0000-0000-0000C4200000}"/>
    <cellStyle name="40% - 强调文字颜色 4 2 18 6 6" xfId="4544" xr:uid="{00000000-0005-0000-0000-0000C5200000}"/>
    <cellStyle name="40% - 强调文字颜色 4 2 18 6 7" xfId="17588" xr:uid="{00000000-0005-0000-0000-0000C6200000}"/>
    <cellStyle name="40% - 强调文字颜色 4 2 18 6 8" xfId="17591" xr:uid="{00000000-0005-0000-0000-0000C7200000}"/>
    <cellStyle name="40% - 强调文字颜色 4 2 18 7" xfId="3163" xr:uid="{00000000-0005-0000-0000-0000C8200000}"/>
    <cellStyle name="40% - 强调文字颜色 4 2 18 8" xfId="17592" xr:uid="{00000000-0005-0000-0000-0000C9200000}"/>
    <cellStyle name="40% - 强调文字颜色 4 2 18 9" xfId="17593" xr:uid="{00000000-0005-0000-0000-0000CA200000}"/>
    <cellStyle name="40% - 强调文字颜色 4 2 18 9 2" xfId="17596" xr:uid="{00000000-0005-0000-0000-0000CB200000}"/>
    <cellStyle name="40% - 强调文字颜色 4 2 18 9 3" xfId="17597" xr:uid="{00000000-0005-0000-0000-0000CC200000}"/>
    <cellStyle name="40% - 强调文字颜色 4 2 19" xfId="17598" xr:uid="{00000000-0005-0000-0000-0000CD200000}"/>
    <cellStyle name="40% - 强调文字颜色 4 2 19 10" xfId="13323" xr:uid="{00000000-0005-0000-0000-0000CE200000}"/>
    <cellStyle name="40% - 强调文字颜色 4 2 19 11" xfId="13327" xr:uid="{00000000-0005-0000-0000-0000CF200000}"/>
    <cellStyle name="40% - 强调文字颜色 4 2 19 12" xfId="17600" xr:uid="{00000000-0005-0000-0000-0000D0200000}"/>
    <cellStyle name="40% - 强调文字颜色 4 2 19 13" xfId="17603" xr:uid="{00000000-0005-0000-0000-0000D1200000}"/>
    <cellStyle name="40% - 强调文字颜色 4 2 19 14" xfId="17606" xr:uid="{00000000-0005-0000-0000-0000D2200000}"/>
    <cellStyle name="40% - 强调文字颜色 4 2 19 2" xfId="579" xr:uid="{00000000-0005-0000-0000-0000D3200000}"/>
    <cellStyle name="40% - 强调文字颜色 4 2 19 3" xfId="590" xr:uid="{00000000-0005-0000-0000-0000D4200000}"/>
    <cellStyle name="40% - 强调文字颜色 4 2 19 4" xfId="513" xr:uid="{00000000-0005-0000-0000-0000D5200000}"/>
    <cellStyle name="40% - 强调文字颜色 4 2 19 5" xfId="556" xr:uid="{00000000-0005-0000-0000-0000D6200000}"/>
    <cellStyle name="40% - 强调文字颜色 4 2 19 5 10" xfId="1257" xr:uid="{00000000-0005-0000-0000-0000D7200000}"/>
    <cellStyle name="40% - 强调文字颜色 4 2 19 5 11" xfId="13113" xr:uid="{00000000-0005-0000-0000-0000D8200000}"/>
    <cellStyle name="40% - 强调文字颜色 4 2 19 5 2" xfId="17607" xr:uid="{00000000-0005-0000-0000-0000D9200000}"/>
    <cellStyle name="40% - 强调文字颜色 4 2 19 5 2 2" xfId="17611" xr:uid="{00000000-0005-0000-0000-0000DA200000}"/>
    <cellStyle name="40% - 强调文字颜色 4 2 19 5 2 2 2" xfId="17614" xr:uid="{00000000-0005-0000-0000-0000DB200000}"/>
    <cellStyle name="40% - 强调文字颜色 4 2 19 5 2 2 3" xfId="17619" xr:uid="{00000000-0005-0000-0000-0000DC200000}"/>
    <cellStyle name="40% - 强调文字颜色 4 2 19 5 2 3" xfId="17624" xr:uid="{00000000-0005-0000-0000-0000DD200000}"/>
    <cellStyle name="40% - 强调文字颜色 4 2 19 5 2 4" xfId="17629" xr:uid="{00000000-0005-0000-0000-0000DE200000}"/>
    <cellStyle name="40% - 强调文字颜色 4 2 19 5 2 5" xfId="17633" xr:uid="{00000000-0005-0000-0000-0000DF200000}"/>
    <cellStyle name="40% - 强调文字颜色 4 2 19 5 2 6" xfId="17636" xr:uid="{00000000-0005-0000-0000-0000E0200000}"/>
    <cellStyle name="40% - 强调文字颜色 4 2 19 5 2 7" xfId="17639" xr:uid="{00000000-0005-0000-0000-0000E1200000}"/>
    <cellStyle name="40% - 强调文字颜色 4 2 19 5 2 8" xfId="12350" xr:uid="{00000000-0005-0000-0000-0000E2200000}"/>
    <cellStyle name="40% - 强调文字颜色 4 2 19 5 3" xfId="17641" xr:uid="{00000000-0005-0000-0000-0000E3200000}"/>
    <cellStyle name="40% - 强调文字颜色 4 2 19 5 4" xfId="17642" xr:uid="{00000000-0005-0000-0000-0000E4200000}"/>
    <cellStyle name="40% - 强调文字颜色 4 2 19 5 5" xfId="16316" xr:uid="{00000000-0005-0000-0000-0000E5200000}"/>
    <cellStyle name="40% - 强调文字颜色 4 2 19 5 6" xfId="16321" xr:uid="{00000000-0005-0000-0000-0000E6200000}"/>
    <cellStyle name="40% - 强调文字颜色 4 2 19 5 6 2" xfId="17643" xr:uid="{00000000-0005-0000-0000-0000E7200000}"/>
    <cellStyle name="40% - 强调文字颜色 4 2 19 5 6 3" xfId="17644" xr:uid="{00000000-0005-0000-0000-0000E8200000}"/>
    <cellStyle name="40% - 强调文字颜色 4 2 19 5 7" xfId="17645" xr:uid="{00000000-0005-0000-0000-0000E9200000}"/>
    <cellStyle name="40% - 强调文字颜色 4 2 19 5 8" xfId="17647" xr:uid="{00000000-0005-0000-0000-0000EA200000}"/>
    <cellStyle name="40% - 强调文字颜色 4 2 19 5 9" xfId="17648" xr:uid="{00000000-0005-0000-0000-0000EB200000}"/>
    <cellStyle name="40% - 强调文字颜色 4 2 19 6" xfId="1227" xr:uid="{00000000-0005-0000-0000-0000EC200000}"/>
    <cellStyle name="40% - 强调文字颜色 4 2 19 6 2" xfId="17650" xr:uid="{00000000-0005-0000-0000-0000ED200000}"/>
    <cellStyle name="40% - 强调文字颜色 4 2 19 6 2 2" xfId="12410" xr:uid="{00000000-0005-0000-0000-0000EE200000}"/>
    <cellStyle name="40% - 强调文字颜色 4 2 19 6 2 3" xfId="17651" xr:uid="{00000000-0005-0000-0000-0000EF200000}"/>
    <cellStyle name="40% - 强调文字颜色 4 2 19 6 3" xfId="17652" xr:uid="{00000000-0005-0000-0000-0000F0200000}"/>
    <cellStyle name="40% - 强调文字颜色 4 2 19 6 4" xfId="4929" xr:uid="{00000000-0005-0000-0000-0000F1200000}"/>
    <cellStyle name="40% - 强调文字颜色 4 2 19 6 5" xfId="4935" xr:uid="{00000000-0005-0000-0000-0000F2200000}"/>
    <cellStyle name="40% - 强调文字颜色 4 2 19 6 6" xfId="5105" xr:uid="{00000000-0005-0000-0000-0000F3200000}"/>
    <cellStyle name="40% - 强调文字颜色 4 2 19 6 7" xfId="5111" xr:uid="{00000000-0005-0000-0000-0000F4200000}"/>
    <cellStyle name="40% - 强调文字颜色 4 2 19 6 8" xfId="5119" xr:uid="{00000000-0005-0000-0000-0000F5200000}"/>
    <cellStyle name="40% - 强调文字颜色 4 2 19 7" xfId="1238" xr:uid="{00000000-0005-0000-0000-0000F6200000}"/>
    <cellStyle name="40% - 强调文字颜色 4 2 19 8" xfId="14504" xr:uid="{00000000-0005-0000-0000-0000F7200000}"/>
    <cellStyle name="40% - 强调文字颜色 4 2 19 9" xfId="14507" xr:uid="{00000000-0005-0000-0000-0000F8200000}"/>
    <cellStyle name="40% - 强调文字颜色 4 2 19 9 2" xfId="15432" xr:uid="{00000000-0005-0000-0000-0000F9200000}"/>
    <cellStyle name="40% - 强调文字颜色 4 2 19 9 3" xfId="15436" xr:uid="{00000000-0005-0000-0000-0000FA200000}"/>
    <cellStyle name="40% - 强调文字颜色 4 2 2" xfId="12363" xr:uid="{00000000-0005-0000-0000-0000FB200000}"/>
    <cellStyle name="40% - 强调文字颜色 4 2 2 10" xfId="3484" xr:uid="{00000000-0005-0000-0000-0000FC200000}"/>
    <cellStyle name="40% - 强调文字颜色 4 2 2 11" xfId="3489" xr:uid="{00000000-0005-0000-0000-0000FD200000}"/>
    <cellStyle name="40% - 强调文字颜色 4 2 2 12" xfId="17655" xr:uid="{00000000-0005-0000-0000-0000FE200000}"/>
    <cellStyle name="40% - 强调文字颜色 4 2 2 13" xfId="17659" xr:uid="{00000000-0005-0000-0000-0000FF200000}"/>
    <cellStyle name="40% - 强调文字颜色 4 2 2 14" xfId="8087" xr:uid="{00000000-0005-0000-0000-000000210000}"/>
    <cellStyle name="40% - 强调文字颜色 4 2 2 2" xfId="12291" xr:uid="{00000000-0005-0000-0000-000001210000}"/>
    <cellStyle name="40% - 强调文字颜色 4 2 2 3" xfId="12300" xr:uid="{00000000-0005-0000-0000-000002210000}"/>
    <cellStyle name="40% - 强调文字颜色 4 2 2 4" xfId="12307" xr:uid="{00000000-0005-0000-0000-000003210000}"/>
    <cellStyle name="40% - 强调文字颜色 4 2 2 5" xfId="12311" xr:uid="{00000000-0005-0000-0000-000004210000}"/>
    <cellStyle name="40% - 强调文字颜色 4 2 2 6" xfId="15473" xr:uid="{00000000-0005-0000-0000-000005210000}"/>
    <cellStyle name="40% - 强调文字颜色 4 2 2 7" xfId="15475" xr:uid="{00000000-0005-0000-0000-000006210000}"/>
    <cellStyle name="40% - 强调文字颜色 4 2 2 8" xfId="15478" xr:uid="{00000000-0005-0000-0000-000007210000}"/>
    <cellStyle name="40% - 强调文字颜色 4 2 2 9" xfId="15481" xr:uid="{00000000-0005-0000-0000-000008210000}"/>
    <cellStyle name="40% - 强调文字颜色 4 2 20" xfId="1434" xr:uid="{00000000-0005-0000-0000-000009210000}"/>
    <cellStyle name="40% - 强调文字颜色 4 2 20 10" xfId="8314" xr:uid="{00000000-0005-0000-0000-00000A210000}"/>
    <cellStyle name="40% - 强调文字颜色 4 2 20 11" xfId="6252" xr:uid="{00000000-0005-0000-0000-00000B210000}"/>
    <cellStyle name="40% - 强调文字颜色 4 2 20 12" xfId="10220" xr:uid="{00000000-0005-0000-0000-00000C210000}"/>
    <cellStyle name="40% - 强调文字颜色 4 2 20 13" xfId="10223" xr:uid="{00000000-0005-0000-0000-00000D210000}"/>
    <cellStyle name="40% - 强调文字颜色 4 2 20 14" xfId="10230" xr:uid="{00000000-0005-0000-0000-00000E210000}"/>
    <cellStyle name="40% - 强调文字颜色 4 2 20 2" xfId="1534" xr:uid="{00000000-0005-0000-0000-00000F210000}"/>
    <cellStyle name="40% - 强调文字颜色 4 2 20 3" xfId="17660" xr:uid="{00000000-0005-0000-0000-000010210000}"/>
    <cellStyle name="40% - 强调文字颜色 4 2 20 4" xfId="17661" xr:uid="{00000000-0005-0000-0000-000011210000}"/>
    <cellStyle name="40% - 强调文字颜色 4 2 20 5" xfId="17664" xr:uid="{00000000-0005-0000-0000-000012210000}"/>
    <cellStyle name="40% - 强调文字颜色 4 2 20 5 10" xfId="17666" xr:uid="{00000000-0005-0000-0000-000013210000}"/>
    <cellStyle name="40% - 强调文字颜色 4 2 20 5 11" xfId="17668" xr:uid="{00000000-0005-0000-0000-000014210000}"/>
    <cellStyle name="40% - 强调文字颜色 4 2 20 5 2" xfId="17671" xr:uid="{00000000-0005-0000-0000-000015210000}"/>
    <cellStyle name="40% - 强调文字颜色 4 2 20 5 2 2" xfId="16760" xr:uid="{00000000-0005-0000-0000-000016210000}"/>
    <cellStyle name="40% - 强调文字颜色 4 2 20 5 2 2 2" xfId="17674" xr:uid="{00000000-0005-0000-0000-000017210000}"/>
    <cellStyle name="40% - 强调文字颜色 4 2 20 5 2 2 3" xfId="7761" xr:uid="{00000000-0005-0000-0000-000018210000}"/>
    <cellStyle name="40% - 强调文字颜色 4 2 20 5 2 3" xfId="17678" xr:uid="{00000000-0005-0000-0000-000019210000}"/>
    <cellStyle name="40% - 强调文字颜色 4 2 20 5 2 4" xfId="3569" xr:uid="{00000000-0005-0000-0000-00001A210000}"/>
    <cellStyle name="40% - 强调文字颜色 4 2 20 5 2 5" xfId="3819" xr:uid="{00000000-0005-0000-0000-00001B210000}"/>
    <cellStyle name="40% - 强调文字颜色 4 2 20 5 2 6" xfId="5276" xr:uid="{00000000-0005-0000-0000-00001C210000}"/>
    <cellStyle name="40% - 强调文字颜色 4 2 20 5 2 7" xfId="5295" xr:uid="{00000000-0005-0000-0000-00001D210000}"/>
    <cellStyle name="40% - 强调文字颜色 4 2 20 5 2 8" xfId="5307" xr:uid="{00000000-0005-0000-0000-00001E210000}"/>
    <cellStyle name="40% - 强调文字颜色 4 2 20 5 3" xfId="17681" xr:uid="{00000000-0005-0000-0000-00001F210000}"/>
    <cellStyle name="40% - 强调文字颜色 4 2 20 5 4" xfId="5342" xr:uid="{00000000-0005-0000-0000-000020210000}"/>
    <cellStyle name="40% - 强调文字颜色 4 2 20 5 5" xfId="3219" xr:uid="{00000000-0005-0000-0000-000021210000}"/>
    <cellStyle name="40% - 强调文字颜色 4 2 20 5 6" xfId="17684" xr:uid="{00000000-0005-0000-0000-000022210000}"/>
    <cellStyle name="40% - 强调文字颜色 4 2 20 5 6 2" xfId="14071" xr:uid="{00000000-0005-0000-0000-000023210000}"/>
    <cellStyle name="40% - 强调文字颜色 4 2 20 5 6 3" xfId="14078" xr:uid="{00000000-0005-0000-0000-000024210000}"/>
    <cellStyle name="40% - 强调文字颜色 4 2 20 5 7" xfId="17687" xr:uid="{00000000-0005-0000-0000-000025210000}"/>
    <cellStyle name="40% - 强调文字颜色 4 2 20 5 8" xfId="17690" xr:uid="{00000000-0005-0000-0000-000026210000}"/>
    <cellStyle name="40% - 强调文字颜色 4 2 20 5 9" xfId="17692" xr:uid="{00000000-0005-0000-0000-000027210000}"/>
    <cellStyle name="40% - 强调文字颜色 4 2 20 6" xfId="17695" xr:uid="{00000000-0005-0000-0000-000028210000}"/>
    <cellStyle name="40% - 强调文字颜色 4 2 20 6 2" xfId="17696" xr:uid="{00000000-0005-0000-0000-000029210000}"/>
    <cellStyle name="40% - 强调文字颜色 4 2 20 6 2 2" xfId="17698" xr:uid="{00000000-0005-0000-0000-00002A210000}"/>
    <cellStyle name="40% - 强调文字颜色 4 2 20 6 2 3" xfId="17701" xr:uid="{00000000-0005-0000-0000-00002B210000}"/>
    <cellStyle name="40% - 强调文字颜色 4 2 20 6 3" xfId="17702" xr:uid="{00000000-0005-0000-0000-00002C210000}"/>
    <cellStyle name="40% - 强调文字颜色 4 2 20 6 4" xfId="17703" xr:uid="{00000000-0005-0000-0000-00002D210000}"/>
    <cellStyle name="40% - 强调文字颜色 4 2 20 6 5" xfId="17704" xr:uid="{00000000-0005-0000-0000-00002E210000}"/>
    <cellStyle name="40% - 强调文字颜色 4 2 20 6 6" xfId="15033" xr:uid="{00000000-0005-0000-0000-00002F210000}"/>
    <cellStyle name="40% - 强调文字颜色 4 2 20 6 7" xfId="15035" xr:uid="{00000000-0005-0000-0000-000030210000}"/>
    <cellStyle name="40% - 强调文字颜色 4 2 20 6 8" xfId="15037" xr:uid="{00000000-0005-0000-0000-000031210000}"/>
    <cellStyle name="40% - 强调文字颜色 4 2 20 7" xfId="17706" xr:uid="{00000000-0005-0000-0000-000032210000}"/>
    <cellStyle name="40% - 强调文字颜色 4 2 20 8" xfId="336" xr:uid="{00000000-0005-0000-0000-000033210000}"/>
    <cellStyle name="40% - 强调文字颜色 4 2 20 9" xfId="17708" xr:uid="{00000000-0005-0000-0000-000034210000}"/>
    <cellStyle name="40% - 强调文字颜色 4 2 20 9 2" xfId="17710" xr:uid="{00000000-0005-0000-0000-000035210000}"/>
    <cellStyle name="40% - 强调文字颜色 4 2 20 9 3" xfId="17713" xr:uid="{00000000-0005-0000-0000-000036210000}"/>
    <cellStyle name="40% - 强调文字颜色 4 2 3" xfId="12380" xr:uid="{00000000-0005-0000-0000-000037210000}"/>
    <cellStyle name="40% - 强调文字颜色 4 2 3 10" xfId="17718" xr:uid="{00000000-0005-0000-0000-000038210000}"/>
    <cellStyle name="40% - 强调文字颜色 4 2 3 11" xfId="17721" xr:uid="{00000000-0005-0000-0000-000039210000}"/>
    <cellStyle name="40% - 强调文字颜色 4 2 3 12" xfId="17722" xr:uid="{00000000-0005-0000-0000-00003A210000}"/>
    <cellStyle name="40% - 强调文字颜色 4 2 3 13" xfId="17725" xr:uid="{00000000-0005-0000-0000-00003B210000}"/>
    <cellStyle name="40% - 强调文字颜色 4 2 3 14" xfId="17727" xr:uid="{00000000-0005-0000-0000-00003C210000}"/>
    <cellStyle name="40% - 强调文字颜色 4 2 3 2" xfId="17729" xr:uid="{00000000-0005-0000-0000-00003D210000}"/>
    <cellStyle name="40% - 强调文字颜色 4 2 3 3" xfId="17732" xr:uid="{00000000-0005-0000-0000-00003E210000}"/>
    <cellStyle name="40% - 强调文字颜色 4 2 3 4" xfId="17734" xr:uid="{00000000-0005-0000-0000-00003F210000}"/>
    <cellStyle name="40% - 强调文字颜色 4 2 3 5" xfId="14861" xr:uid="{00000000-0005-0000-0000-000040210000}"/>
    <cellStyle name="40% - 强调文字颜色 4 2 3 6" xfId="14863" xr:uid="{00000000-0005-0000-0000-000041210000}"/>
    <cellStyle name="40% - 强调文字颜色 4 2 3 7" xfId="17737" xr:uid="{00000000-0005-0000-0000-000042210000}"/>
    <cellStyle name="40% - 强调文字颜色 4 2 3 8" xfId="17741" xr:uid="{00000000-0005-0000-0000-000043210000}"/>
    <cellStyle name="40% - 强调文字颜色 4 2 3 9" xfId="17742" xr:uid="{00000000-0005-0000-0000-000044210000}"/>
    <cellStyle name="40% - 强调文字颜色 4 2 4" xfId="12386" xr:uid="{00000000-0005-0000-0000-000045210000}"/>
    <cellStyle name="40% - 强调文字颜色 4 2 4 10" xfId="17744" xr:uid="{00000000-0005-0000-0000-000046210000}"/>
    <cellStyle name="40% - 强调文字颜色 4 2 4 11" xfId="17745" xr:uid="{00000000-0005-0000-0000-000047210000}"/>
    <cellStyle name="40% - 强调文字颜色 4 2 4 12" xfId="17746" xr:uid="{00000000-0005-0000-0000-000048210000}"/>
    <cellStyle name="40% - 强调文字颜色 4 2 4 13" xfId="17747" xr:uid="{00000000-0005-0000-0000-000049210000}"/>
    <cellStyle name="40% - 强调文字颜色 4 2 4 14" xfId="17749" xr:uid="{00000000-0005-0000-0000-00004A210000}"/>
    <cellStyle name="40% - 强调文字颜色 4 2 4 2" xfId="17750" xr:uid="{00000000-0005-0000-0000-00004B210000}"/>
    <cellStyle name="40% - 强调文字颜色 4 2 4 3" xfId="17752" xr:uid="{00000000-0005-0000-0000-00004C210000}"/>
    <cellStyle name="40% - 强调文字颜色 4 2 4 4" xfId="17754" xr:uid="{00000000-0005-0000-0000-00004D210000}"/>
    <cellStyle name="40% - 强调文字颜色 4 2 4 5" xfId="17756" xr:uid="{00000000-0005-0000-0000-00004E210000}"/>
    <cellStyle name="40% - 强调文字颜色 4 2 4 6" xfId="17757" xr:uid="{00000000-0005-0000-0000-00004F210000}"/>
    <cellStyle name="40% - 强调文字颜色 4 2 4 7" xfId="17758" xr:uid="{00000000-0005-0000-0000-000050210000}"/>
    <cellStyle name="40% - 强调文字颜色 4 2 4 8" xfId="17759" xr:uid="{00000000-0005-0000-0000-000051210000}"/>
    <cellStyle name="40% - 强调文字颜色 4 2 4 9" xfId="5669" xr:uid="{00000000-0005-0000-0000-000052210000}"/>
    <cellStyle name="40% - 强调文字颜色 4 2 5" xfId="12388" xr:uid="{00000000-0005-0000-0000-000053210000}"/>
    <cellStyle name="40% - 强调文字颜色 4 2 6" xfId="17760" xr:uid="{00000000-0005-0000-0000-000054210000}"/>
    <cellStyle name="40% - 强调文字颜色 4 2 7" xfId="17761" xr:uid="{00000000-0005-0000-0000-000055210000}"/>
    <cellStyle name="40% - 强调文字颜色 4 2 8" xfId="17763" xr:uid="{00000000-0005-0000-0000-000056210000}"/>
    <cellStyle name="40% - 强调文字颜色 4 2 9" xfId="17765" xr:uid="{00000000-0005-0000-0000-000057210000}"/>
    <cellStyle name="40% - 强调文字颜色 4 3" xfId="17768" xr:uid="{00000000-0005-0000-0000-000058210000}"/>
    <cellStyle name="40% - 强调文字颜色 4 3 10" xfId="17769" xr:uid="{00000000-0005-0000-0000-000059210000}"/>
    <cellStyle name="40% - 强调文字颜色 4 3 11" xfId="17770" xr:uid="{00000000-0005-0000-0000-00005A210000}"/>
    <cellStyle name="40% - 强调文字颜色 4 3 12" xfId="17772" xr:uid="{00000000-0005-0000-0000-00005B210000}"/>
    <cellStyle name="40% - 强调文字颜色 4 3 13" xfId="17774" xr:uid="{00000000-0005-0000-0000-00005C210000}"/>
    <cellStyle name="40% - 强调文字颜色 4 3 14" xfId="17776" xr:uid="{00000000-0005-0000-0000-00005D210000}"/>
    <cellStyle name="40% - 强调文字颜色 4 3 15" xfId="17779" xr:uid="{00000000-0005-0000-0000-00005E210000}"/>
    <cellStyle name="40% - 强调文字颜色 4 3 16" xfId="17782" xr:uid="{00000000-0005-0000-0000-00005F210000}"/>
    <cellStyle name="40% - 强调文字颜色 4 3 17" xfId="17785" xr:uid="{00000000-0005-0000-0000-000060210000}"/>
    <cellStyle name="40% - 强调文字颜色 4 3 17 10" xfId="1675" xr:uid="{00000000-0005-0000-0000-000061210000}"/>
    <cellStyle name="40% - 强调文字颜色 4 3 17 11" xfId="17376" xr:uid="{00000000-0005-0000-0000-000062210000}"/>
    <cellStyle name="40% - 强调文字颜色 4 3 17 12" xfId="17787" xr:uid="{00000000-0005-0000-0000-000063210000}"/>
    <cellStyle name="40% - 强调文字颜色 4 3 17 13" xfId="17788" xr:uid="{00000000-0005-0000-0000-000064210000}"/>
    <cellStyle name="40% - 强调文字颜色 4 3 17 14" xfId="17789" xr:uid="{00000000-0005-0000-0000-000065210000}"/>
    <cellStyle name="40% - 强调文字颜色 4 3 17 2" xfId="8916" xr:uid="{00000000-0005-0000-0000-000066210000}"/>
    <cellStyle name="40% - 强调文字颜色 4 3 17 2 2" xfId="17790" xr:uid="{00000000-0005-0000-0000-000067210000}"/>
    <cellStyle name="40% - 强调文字颜色 4 3 17 3" xfId="8918" xr:uid="{00000000-0005-0000-0000-000068210000}"/>
    <cellStyle name="40% - 强调文字颜色 4 3 17 4" xfId="17792" xr:uid="{00000000-0005-0000-0000-000069210000}"/>
    <cellStyle name="40% - 强调文字颜色 4 3 17 5" xfId="17793" xr:uid="{00000000-0005-0000-0000-00006A210000}"/>
    <cellStyle name="40% - 强调文字颜色 4 3 17 5 10" xfId="17794" xr:uid="{00000000-0005-0000-0000-00006B210000}"/>
    <cellStyle name="40% - 强调文字颜色 4 3 17 5 11" xfId="17795" xr:uid="{00000000-0005-0000-0000-00006C210000}"/>
    <cellStyle name="40% - 强调文字颜色 4 3 17 5 2" xfId="17092" xr:uid="{00000000-0005-0000-0000-00006D210000}"/>
    <cellStyle name="40% - 强调文字颜色 4 3 17 5 2 2" xfId="17798" xr:uid="{00000000-0005-0000-0000-00006E210000}"/>
    <cellStyle name="40% - 强调文字颜色 4 3 17 5 2 2 2" xfId="12901" xr:uid="{00000000-0005-0000-0000-00006F210000}"/>
    <cellStyle name="40% - 强调文字颜色 4 3 17 5 2 2 3" xfId="12906" xr:uid="{00000000-0005-0000-0000-000070210000}"/>
    <cellStyle name="40% - 强调文字颜色 4 3 17 5 2 3" xfId="2438" xr:uid="{00000000-0005-0000-0000-000071210000}"/>
    <cellStyle name="40% - 强调文字颜色 4 3 17 5 2 4" xfId="2461" xr:uid="{00000000-0005-0000-0000-000072210000}"/>
    <cellStyle name="40% - 强调文字颜色 4 3 17 5 2 5" xfId="2477" xr:uid="{00000000-0005-0000-0000-000073210000}"/>
    <cellStyle name="40% - 强调文字颜色 4 3 17 5 2 6" xfId="2493" xr:uid="{00000000-0005-0000-0000-000074210000}"/>
    <cellStyle name="40% - 强调文字颜色 4 3 17 5 2 7" xfId="2500" xr:uid="{00000000-0005-0000-0000-000075210000}"/>
    <cellStyle name="40% - 强调文字颜色 4 3 17 5 2 8" xfId="2508" xr:uid="{00000000-0005-0000-0000-000076210000}"/>
    <cellStyle name="40% - 强调文字颜色 4 3 17 5 3" xfId="17801" xr:uid="{00000000-0005-0000-0000-000077210000}"/>
    <cellStyle name="40% - 强调文字颜色 4 3 17 5 4" xfId="17802" xr:uid="{00000000-0005-0000-0000-000078210000}"/>
    <cellStyle name="40% - 强调文字颜色 4 3 17 5 5" xfId="17803" xr:uid="{00000000-0005-0000-0000-000079210000}"/>
    <cellStyle name="40% - 强调文字颜色 4 3 17 5 6" xfId="12741" xr:uid="{00000000-0005-0000-0000-00007A210000}"/>
    <cellStyle name="40% - 强调文字颜色 4 3 17 5 6 2" xfId="17804" xr:uid="{00000000-0005-0000-0000-00007B210000}"/>
    <cellStyle name="40% - 强调文字颜色 4 3 17 5 6 3" xfId="2571" xr:uid="{00000000-0005-0000-0000-00007C210000}"/>
    <cellStyle name="40% - 强调文字颜色 4 3 17 5 7" xfId="12744" xr:uid="{00000000-0005-0000-0000-00007D210000}"/>
    <cellStyle name="40% - 强调文字颜色 4 3 17 5 8" xfId="17806" xr:uid="{00000000-0005-0000-0000-00007E210000}"/>
    <cellStyle name="40% - 强调文字颜色 4 3 17 5 9" xfId="17809" xr:uid="{00000000-0005-0000-0000-00007F210000}"/>
    <cellStyle name="40% - 强调文字颜色 4 3 17 6" xfId="17810" xr:uid="{00000000-0005-0000-0000-000080210000}"/>
    <cellStyle name="40% - 强调文字颜色 4 3 17 6 2" xfId="17812" xr:uid="{00000000-0005-0000-0000-000081210000}"/>
    <cellStyle name="40% - 强调文字颜色 4 3 17 6 2 2" xfId="3252" xr:uid="{00000000-0005-0000-0000-000082210000}"/>
    <cellStyle name="40% - 强调文字颜色 4 3 17 6 2 3" xfId="2646" xr:uid="{00000000-0005-0000-0000-000083210000}"/>
    <cellStyle name="40% - 强调文字颜色 4 3 17 6 3" xfId="6107" xr:uid="{00000000-0005-0000-0000-000084210000}"/>
    <cellStyle name="40% - 强调文字颜色 4 3 17 6 4" xfId="6115" xr:uid="{00000000-0005-0000-0000-000085210000}"/>
    <cellStyle name="40% - 强调文字颜色 4 3 17 6 5" xfId="17815" xr:uid="{00000000-0005-0000-0000-000086210000}"/>
    <cellStyle name="40% - 强调文字颜色 4 3 17 6 6" xfId="17819" xr:uid="{00000000-0005-0000-0000-000087210000}"/>
    <cellStyle name="40% - 强调文字颜色 4 3 17 6 7" xfId="17823" xr:uid="{00000000-0005-0000-0000-000088210000}"/>
    <cellStyle name="40% - 强调文字颜色 4 3 17 6 8" xfId="17826" xr:uid="{00000000-0005-0000-0000-000089210000}"/>
    <cellStyle name="40% - 强调文字颜色 4 3 17 7" xfId="17827" xr:uid="{00000000-0005-0000-0000-00008A210000}"/>
    <cellStyle name="40% - 强调文字颜色 4 3 17 8" xfId="17829" xr:uid="{00000000-0005-0000-0000-00008B210000}"/>
    <cellStyle name="40% - 强调文字颜色 4 3 17 9" xfId="17830" xr:uid="{00000000-0005-0000-0000-00008C210000}"/>
    <cellStyle name="40% - 强调文字颜色 4 3 17 9 2" xfId="1220" xr:uid="{00000000-0005-0000-0000-00008D210000}"/>
    <cellStyle name="40% - 强调文字颜色 4 3 17 9 3" xfId="1231" xr:uid="{00000000-0005-0000-0000-00008E210000}"/>
    <cellStyle name="40% - 强调文字颜色 4 3 18" xfId="17831" xr:uid="{00000000-0005-0000-0000-00008F210000}"/>
    <cellStyle name="40% - 强调文字颜色 4 3 18 10" xfId="17834" xr:uid="{00000000-0005-0000-0000-000090210000}"/>
    <cellStyle name="40% - 强调文字颜色 4 3 18 11" xfId="17835" xr:uid="{00000000-0005-0000-0000-000091210000}"/>
    <cellStyle name="40% - 强调文字颜色 4 3 18 12" xfId="17836" xr:uid="{00000000-0005-0000-0000-000092210000}"/>
    <cellStyle name="40% - 强调文字颜色 4 3 18 13" xfId="17837" xr:uid="{00000000-0005-0000-0000-000093210000}"/>
    <cellStyle name="40% - 强调文字颜色 4 3 18 14" xfId="17840" xr:uid="{00000000-0005-0000-0000-000094210000}"/>
    <cellStyle name="40% - 强调文字颜色 4 3 18 2" xfId="2655" xr:uid="{00000000-0005-0000-0000-000095210000}"/>
    <cellStyle name="40% - 强调文字颜色 4 3 18 3" xfId="2672" xr:uid="{00000000-0005-0000-0000-000096210000}"/>
    <cellStyle name="40% - 强调文字颜色 4 3 18 4" xfId="3294" xr:uid="{00000000-0005-0000-0000-000097210000}"/>
    <cellStyle name="40% - 强调文字颜色 4 3 18 5" xfId="3874" xr:uid="{00000000-0005-0000-0000-000098210000}"/>
    <cellStyle name="40% - 强调文字颜色 4 3 18 5 10" xfId="17388" xr:uid="{00000000-0005-0000-0000-000099210000}"/>
    <cellStyle name="40% - 强调文字颜色 4 3 18 5 11" xfId="17393" xr:uid="{00000000-0005-0000-0000-00009A210000}"/>
    <cellStyle name="40% - 强调文字颜色 4 3 18 5 2" xfId="17841" xr:uid="{00000000-0005-0000-0000-00009B210000}"/>
    <cellStyle name="40% - 强调文字颜色 4 3 18 5 2 2" xfId="17846" xr:uid="{00000000-0005-0000-0000-00009C210000}"/>
    <cellStyle name="40% - 强调文字颜色 4 3 18 5 2 2 2" xfId="17850" xr:uid="{00000000-0005-0000-0000-00009D210000}"/>
    <cellStyle name="40% - 强调文字颜色 4 3 18 5 2 2 3" xfId="12688" xr:uid="{00000000-0005-0000-0000-00009E210000}"/>
    <cellStyle name="40% - 强调文字颜色 4 3 18 5 2 3" xfId="17856" xr:uid="{00000000-0005-0000-0000-00009F210000}"/>
    <cellStyle name="40% - 强调文字颜色 4 3 18 5 2 4" xfId="17863" xr:uid="{00000000-0005-0000-0000-0000A0210000}"/>
    <cellStyle name="40% - 强调文字颜色 4 3 18 5 2 5" xfId="17869" xr:uid="{00000000-0005-0000-0000-0000A1210000}"/>
    <cellStyle name="40% - 强调文字颜色 4 3 18 5 2 6" xfId="17871" xr:uid="{00000000-0005-0000-0000-0000A2210000}"/>
    <cellStyle name="40% - 强调文字颜色 4 3 18 5 2 7" xfId="17875" xr:uid="{00000000-0005-0000-0000-0000A3210000}"/>
    <cellStyle name="40% - 强调文字颜色 4 3 18 5 2 8" xfId="14789" xr:uid="{00000000-0005-0000-0000-0000A4210000}"/>
    <cellStyle name="40% - 强调文字颜色 4 3 18 5 3" xfId="17876" xr:uid="{00000000-0005-0000-0000-0000A5210000}"/>
    <cellStyle name="40% - 强调文字颜色 4 3 18 5 4" xfId="17878" xr:uid="{00000000-0005-0000-0000-0000A6210000}"/>
    <cellStyle name="40% - 强调文字颜色 4 3 18 5 5" xfId="15208" xr:uid="{00000000-0005-0000-0000-0000A7210000}"/>
    <cellStyle name="40% - 强调文字颜色 4 3 18 5 6" xfId="15134" xr:uid="{00000000-0005-0000-0000-0000A8210000}"/>
    <cellStyle name="40% - 强调文字颜色 4 3 18 5 6 2" xfId="17879" xr:uid="{00000000-0005-0000-0000-0000A9210000}"/>
    <cellStyle name="40% - 强调文字颜色 4 3 18 5 6 3" xfId="17881" xr:uid="{00000000-0005-0000-0000-0000AA210000}"/>
    <cellStyle name="40% - 强调文字颜色 4 3 18 5 7" xfId="8971" xr:uid="{00000000-0005-0000-0000-0000AB210000}"/>
    <cellStyle name="40% - 强调文字颜色 4 3 18 5 8" xfId="8976" xr:uid="{00000000-0005-0000-0000-0000AC210000}"/>
    <cellStyle name="40% - 强调文字颜色 4 3 18 5 9" xfId="8982" xr:uid="{00000000-0005-0000-0000-0000AD210000}"/>
    <cellStyle name="40% - 强调文字颜色 4 3 18 6" xfId="3880" xr:uid="{00000000-0005-0000-0000-0000AE210000}"/>
    <cellStyle name="40% - 强调文字颜色 4 3 18 6 2" xfId="7673" xr:uid="{00000000-0005-0000-0000-0000AF210000}"/>
    <cellStyle name="40% - 强调文字颜色 4 3 18 6 2 2" xfId="910" xr:uid="{00000000-0005-0000-0000-0000B0210000}"/>
    <cellStyle name="40% - 强调文字颜色 4 3 18 6 2 3" xfId="945" xr:uid="{00000000-0005-0000-0000-0000B1210000}"/>
    <cellStyle name="40% - 强调文字颜色 4 3 18 6 3" xfId="7678" xr:uid="{00000000-0005-0000-0000-0000B2210000}"/>
    <cellStyle name="40% - 强调文字颜色 4 3 18 6 4" xfId="9663" xr:uid="{00000000-0005-0000-0000-0000B3210000}"/>
    <cellStyle name="40% - 强调文字颜色 4 3 18 6 5" xfId="9676" xr:uid="{00000000-0005-0000-0000-0000B4210000}"/>
    <cellStyle name="40% - 强调文字颜色 4 3 18 6 6" xfId="17888" xr:uid="{00000000-0005-0000-0000-0000B5210000}"/>
    <cellStyle name="40% - 强调文字颜色 4 3 18 6 7" xfId="9068" xr:uid="{00000000-0005-0000-0000-0000B6210000}"/>
    <cellStyle name="40% - 强调文字颜色 4 3 18 6 8" xfId="9078" xr:uid="{00000000-0005-0000-0000-0000B7210000}"/>
    <cellStyle name="40% - 强调文字颜色 4 3 18 7" xfId="3888" xr:uid="{00000000-0005-0000-0000-0000B8210000}"/>
    <cellStyle name="40% - 强调文字颜色 4 3 18 8" xfId="17891" xr:uid="{00000000-0005-0000-0000-0000B9210000}"/>
    <cellStyle name="40% - 强调文字颜色 4 3 18 9" xfId="4566" xr:uid="{00000000-0005-0000-0000-0000BA210000}"/>
    <cellStyle name="40% - 强调文字颜色 4 3 18 9 2" xfId="17892" xr:uid="{00000000-0005-0000-0000-0000BB210000}"/>
    <cellStyle name="40% - 强调文字颜色 4 3 18 9 3" xfId="17893" xr:uid="{00000000-0005-0000-0000-0000BC210000}"/>
    <cellStyle name="40% - 强调文字颜色 4 3 19" xfId="17894" xr:uid="{00000000-0005-0000-0000-0000BD210000}"/>
    <cellStyle name="40% - 强调文字颜色 4 3 19 10" xfId="17895" xr:uid="{00000000-0005-0000-0000-0000BE210000}"/>
    <cellStyle name="40% - 强调文字颜色 4 3 19 11" xfId="17896" xr:uid="{00000000-0005-0000-0000-0000BF210000}"/>
    <cellStyle name="40% - 强调文字颜色 4 3 19 12" xfId="17899" xr:uid="{00000000-0005-0000-0000-0000C0210000}"/>
    <cellStyle name="40% - 强调文字颜色 4 3 19 13" xfId="17902" xr:uid="{00000000-0005-0000-0000-0000C1210000}"/>
    <cellStyle name="40% - 强调文字颜色 4 3 19 14" xfId="17903" xr:uid="{00000000-0005-0000-0000-0000C2210000}"/>
    <cellStyle name="40% - 强调文字颜色 4 3 19 2" xfId="3924" xr:uid="{00000000-0005-0000-0000-0000C3210000}"/>
    <cellStyle name="40% - 强调文字颜色 4 3 19 3" xfId="3929" xr:uid="{00000000-0005-0000-0000-0000C4210000}"/>
    <cellStyle name="40% - 强调文字颜色 4 3 19 4" xfId="4076" xr:uid="{00000000-0005-0000-0000-0000C5210000}"/>
    <cellStyle name="40% - 强调文字颜色 4 3 19 5" xfId="4105" xr:uid="{00000000-0005-0000-0000-0000C6210000}"/>
    <cellStyle name="40% - 强调文字颜色 4 3 19 5 10" xfId="13353" xr:uid="{00000000-0005-0000-0000-0000C7210000}"/>
    <cellStyle name="40% - 强调文字颜色 4 3 19 5 11" xfId="11886" xr:uid="{00000000-0005-0000-0000-0000C8210000}"/>
    <cellStyle name="40% - 强调文字颜色 4 3 19 5 2" xfId="17905" xr:uid="{00000000-0005-0000-0000-0000C9210000}"/>
    <cellStyle name="40% - 强调文字颜色 4 3 19 5 2 2" xfId="17907" xr:uid="{00000000-0005-0000-0000-0000CA210000}"/>
    <cellStyle name="40% - 强调文字颜色 4 3 19 5 2 2 2" xfId="17908" xr:uid="{00000000-0005-0000-0000-0000CB210000}"/>
    <cellStyle name="40% - 强调文字颜色 4 3 19 5 2 2 3" xfId="17909" xr:uid="{00000000-0005-0000-0000-0000CC210000}"/>
    <cellStyle name="40% - 强调文字颜色 4 3 19 5 2 3" xfId="17910" xr:uid="{00000000-0005-0000-0000-0000CD210000}"/>
    <cellStyle name="40% - 强调文字颜色 4 3 19 5 2 4" xfId="17911" xr:uid="{00000000-0005-0000-0000-0000CE210000}"/>
    <cellStyle name="40% - 强调文字颜色 4 3 19 5 2 5" xfId="17912" xr:uid="{00000000-0005-0000-0000-0000CF210000}"/>
    <cellStyle name="40% - 强调文字颜色 4 3 19 5 2 6" xfId="17913" xr:uid="{00000000-0005-0000-0000-0000D0210000}"/>
    <cellStyle name="40% - 强调文字颜色 4 3 19 5 2 7" xfId="17914" xr:uid="{00000000-0005-0000-0000-0000D1210000}"/>
    <cellStyle name="40% - 强调文字颜色 4 3 19 5 2 8" xfId="17915" xr:uid="{00000000-0005-0000-0000-0000D2210000}"/>
    <cellStyle name="40% - 强调文字颜色 4 3 19 5 3" xfId="17916" xr:uid="{00000000-0005-0000-0000-0000D3210000}"/>
    <cellStyle name="40% - 强调文字颜色 4 3 19 5 4" xfId="17918" xr:uid="{00000000-0005-0000-0000-0000D4210000}"/>
    <cellStyle name="40% - 强调文字颜色 4 3 19 5 5" xfId="17920" xr:uid="{00000000-0005-0000-0000-0000D5210000}"/>
    <cellStyle name="40% - 强调文字颜色 4 3 19 5 6" xfId="17922" xr:uid="{00000000-0005-0000-0000-0000D6210000}"/>
    <cellStyle name="40% - 强调文字颜色 4 3 19 5 6 2" xfId="17923" xr:uid="{00000000-0005-0000-0000-0000D7210000}"/>
    <cellStyle name="40% - 强调文字颜色 4 3 19 5 6 3" xfId="17924" xr:uid="{00000000-0005-0000-0000-0000D8210000}"/>
    <cellStyle name="40% - 强调文字颜色 4 3 19 5 7" xfId="9766" xr:uid="{00000000-0005-0000-0000-0000D9210000}"/>
    <cellStyle name="40% - 强调文字颜色 4 3 19 5 8" xfId="9770" xr:uid="{00000000-0005-0000-0000-0000DA210000}"/>
    <cellStyle name="40% - 强调文字颜色 4 3 19 5 9" xfId="305" xr:uid="{00000000-0005-0000-0000-0000DB210000}"/>
    <cellStyle name="40% - 强调文字颜色 4 3 19 6" xfId="4107" xr:uid="{00000000-0005-0000-0000-0000DC210000}"/>
    <cellStyle name="40% - 强调文字颜色 4 3 19 6 2" xfId="17925" xr:uid="{00000000-0005-0000-0000-0000DD210000}"/>
    <cellStyle name="40% - 强调文字颜色 4 3 19 6 2 2" xfId="9888" xr:uid="{00000000-0005-0000-0000-0000DE210000}"/>
    <cellStyle name="40% - 强调文字颜色 4 3 19 6 2 3" xfId="9890" xr:uid="{00000000-0005-0000-0000-0000DF210000}"/>
    <cellStyle name="40% - 强调文字颜色 4 3 19 6 3" xfId="17929" xr:uid="{00000000-0005-0000-0000-0000E0210000}"/>
    <cellStyle name="40% - 强调文字颜色 4 3 19 6 4" xfId="17934" xr:uid="{00000000-0005-0000-0000-0000E1210000}"/>
    <cellStyle name="40% - 强调文字颜色 4 3 19 6 5" xfId="17936" xr:uid="{00000000-0005-0000-0000-0000E2210000}"/>
    <cellStyle name="40% - 强调文字颜色 4 3 19 6 6" xfId="17937" xr:uid="{00000000-0005-0000-0000-0000E3210000}"/>
    <cellStyle name="40% - 强调文字颜色 4 3 19 6 7" xfId="9815" xr:uid="{00000000-0005-0000-0000-0000E4210000}"/>
    <cellStyle name="40% - 强调文字颜色 4 3 19 6 8" xfId="9821" xr:uid="{00000000-0005-0000-0000-0000E5210000}"/>
    <cellStyle name="40% - 强调文字颜色 4 3 19 7" xfId="3749" xr:uid="{00000000-0005-0000-0000-0000E6210000}"/>
    <cellStyle name="40% - 强调文字颜色 4 3 19 8" xfId="17938" xr:uid="{00000000-0005-0000-0000-0000E7210000}"/>
    <cellStyle name="40% - 强调文字颜色 4 3 19 9" xfId="17939" xr:uid="{00000000-0005-0000-0000-0000E8210000}"/>
    <cellStyle name="40% - 强调文字颜色 4 3 19 9 2" xfId="463" xr:uid="{00000000-0005-0000-0000-0000E9210000}"/>
    <cellStyle name="40% - 强调文字颜色 4 3 19 9 3" xfId="17940" xr:uid="{00000000-0005-0000-0000-0000EA210000}"/>
    <cellStyle name="40% - 强调文字颜色 4 3 2" xfId="17941" xr:uid="{00000000-0005-0000-0000-0000EB210000}"/>
    <cellStyle name="40% - 强调文字颜色 4 3 2 10" xfId="2359" xr:uid="{00000000-0005-0000-0000-0000EC210000}"/>
    <cellStyle name="40% - 强调文字颜色 4 3 2 11" xfId="2362" xr:uid="{00000000-0005-0000-0000-0000ED210000}"/>
    <cellStyle name="40% - 强调文字颜色 4 3 2 12" xfId="2367" xr:uid="{00000000-0005-0000-0000-0000EE210000}"/>
    <cellStyle name="40% - 强调文字颜色 4 3 2 13" xfId="2389" xr:uid="{00000000-0005-0000-0000-0000EF210000}"/>
    <cellStyle name="40% - 强调文字颜色 4 3 2 14" xfId="2622" xr:uid="{00000000-0005-0000-0000-0000F0210000}"/>
    <cellStyle name="40% - 强调文字颜色 4 3 2 2" xfId="17944" xr:uid="{00000000-0005-0000-0000-0000F1210000}"/>
    <cellStyle name="40% - 强调文字颜色 4 3 2 3" xfId="10328" xr:uid="{00000000-0005-0000-0000-0000F2210000}"/>
    <cellStyle name="40% - 强调文字颜色 4 3 2 4" xfId="10334" xr:uid="{00000000-0005-0000-0000-0000F3210000}"/>
    <cellStyle name="40% - 强调文字颜色 4 3 2 5" xfId="10339" xr:uid="{00000000-0005-0000-0000-0000F4210000}"/>
    <cellStyle name="40% - 强调文字颜色 4 3 2 6" xfId="12129" xr:uid="{00000000-0005-0000-0000-0000F5210000}"/>
    <cellStyle name="40% - 强调文字颜色 4 3 2 7" xfId="12132" xr:uid="{00000000-0005-0000-0000-0000F6210000}"/>
    <cellStyle name="40% - 强调文字颜色 4 3 2 8" xfId="12136" xr:uid="{00000000-0005-0000-0000-0000F7210000}"/>
    <cellStyle name="40% - 强调文字颜色 4 3 2 9" xfId="12140" xr:uid="{00000000-0005-0000-0000-0000F8210000}"/>
    <cellStyle name="40% - 强调文字颜色 4 3 20" xfId="17778" xr:uid="{00000000-0005-0000-0000-0000F9210000}"/>
    <cellStyle name="40% - 强调文字颜色 4 3 20 10" xfId="17945" xr:uid="{00000000-0005-0000-0000-0000FA210000}"/>
    <cellStyle name="40% - 强调文字颜色 4 3 20 11" xfId="17948" xr:uid="{00000000-0005-0000-0000-0000FB210000}"/>
    <cellStyle name="40% - 强调文字颜色 4 3 20 12" xfId="17950" xr:uid="{00000000-0005-0000-0000-0000FC210000}"/>
    <cellStyle name="40% - 强调文字颜色 4 3 20 13" xfId="17953" xr:uid="{00000000-0005-0000-0000-0000FD210000}"/>
    <cellStyle name="40% - 强调文字颜色 4 3 20 14" xfId="3300" xr:uid="{00000000-0005-0000-0000-0000FE210000}"/>
    <cellStyle name="40% - 强调文字颜色 4 3 20 2" xfId="17477" xr:uid="{00000000-0005-0000-0000-0000FF210000}"/>
    <cellStyle name="40% - 强调文字颜色 4 3 20 3" xfId="17955" xr:uid="{00000000-0005-0000-0000-000000220000}"/>
    <cellStyle name="40% - 强调文字颜色 4 3 20 4" xfId="17957" xr:uid="{00000000-0005-0000-0000-000001220000}"/>
    <cellStyle name="40% - 强调文字颜色 4 3 20 5" xfId="17958" xr:uid="{00000000-0005-0000-0000-000002220000}"/>
    <cellStyle name="40% - 强调文字颜色 4 3 20 5 10" xfId="12721" xr:uid="{00000000-0005-0000-0000-000003220000}"/>
    <cellStyle name="40% - 强调文字颜色 4 3 20 5 11" xfId="12728" xr:uid="{00000000-0005-0000-0000-000004220000}"/>
    <cellStyle name="40% - 强调文字颜色 4 3 20 5 2" xfId="16979" xr:uid="{00000000-0005-0000-0000-000005220000}"/>
    <cellStyle name="40% - 强调文字颜色 4 3 20 5 2 2" xfId="17693" xr:uid="{00000000-0005-0000-0000-000006220000}"/>
    <cellStyle name="40% - 强调文字颜色 4 3 20 5 2 2 2" xfId="17960" xr:uid="{00000000-0005-0000-0000-000007220000}"/>
    <cellStyle name="40% - 强调文字颜色 4 3 20 5 2 2 3" xfId="17961" xr:uid="{00000000-0005-0000-0000-000008220000}"/>
    <cellStyle name="40% - 强调文字颜色 4 3 20 5 2 3" xfId="1492" xr:uid="{00000000-0005-0000-0000-000009220000}"/>
    <cellStyle name="40% - 强调文字颜色 4 3 20 5 2 4" xfId="237" xr:uid="{00000000-0005-0000-0000-00000A220000}"/>
    <cellStyle name="40% - 强调文字颜色 4 3 20 5 2 5" xfId="1533" xr:uid="{00000000-0005-0000-0000-00000B220000}"/>
    <cellStyle name="40% - 强调文字颜色 4 3 20 5 2 6" xfId="1540" xr:uid="{00000000-0005-0000-0000-00000C220000}"/>
    <cellStyle name="40% - 强调文字颜色 4 3 20 5 2 7" xfId="1547" xr:uid="{00000000-0005-0000-0000-00000D220000}"/>
    <cellStyle name="40% - 强调文字颜色 4 3 20 5 2 8" xfId="1558" xr:uid="{00000000-0005-0000-0000-00000E220000}"/>
    <cellStyle name="40% - 强调文字颜色 4 3 20 5 3" xfId="16982" xr:uid="{00000000-0005-0000-0000-00000F220000}"/>
    <cellStyle name="40% - 强调文字颜色 4 3 20 5 4" xfId="16985" xr:uid="{00000000-0005-0000-0000-000010220000}"/>
    <cellStyle name="40% - 强调文字颜色 4 3 20 5 5" xfId="16987" xr:uid="{00000000-0005-0000-0000-000011220000}"/>
    <cellStyle name="40% - 强调文字颜色 4 3 20 5 6" xfId="17962" xr:uid="{00000000-0005-0000-0000-000012220000}"/>
    <cellStyle name="40% - 强调文字颜色 4 3 20 5 6 2" xfId="17963" xr:uid="{00000000-0005-0000-0000-000013220000}"/>
    <cellStyle name="40% - 强调文字颜色 4 3 20 5 6 3" xfId="1629" xr:uid="{00000000-0005-0000-0000-000014220000}"/>
    <cellStyle name="40% - 强调文字颜色 4 3 20 5 7" xfId="17964" xr:uid="{00000000-0005-0000-0000-000015220000}"/>
    <cellStyle name="40% - 强调文字颜色 4 3 20 5 8" xfId="17965" xr:uid="{00000000-0005-0000-0000-000016220000}"/>
    <cellStyle name="40% - 强调文字颜色 4 3 20 5 9" xfId="17966" xr:uid="{00000000-0005-0000-0000-000017220000}"/>
    <cellStyle name="40% - 强调文字颜色 4 3 20 6" xfId="17967" xr:uid="{00000000-0005-0000-0000-000018220000}"/>
    <cellStyle name="40% - 强调文字颜色 4 3 20 6 2" xfId="17969" xr:uid="{00000000-0005-0000-0000-000019220000}"/>
    <cellStyle name="40% - 强调文字颜色 4 3 20 6 2 2" xfId="17971" xr:uid="{00000000-0005-0000-0000-00001A220000}"/>
    <cellStyle name="40% - 强调文字颜色 4 3 20 6 2 3" xfId="1715" xr:uid="{00000000-0005-0000-0000-00001B220000}"/>
    <cellStyle name="40% - 强调文字颜色 4 3 20 6 3" xfId="17973" xr:uid="{00000000-0005-0000-0000-00001C220000}"/>
    <cellStyle name="40% - 强调文字颜色 4 3 20 6 4" xfId="17974" xr:uid="{00000000-0005-0000-0000-00001D220000}"/>
    <cellStyle name="40% - 强调文字颜色 4 3 20 6 5" xfId="17976" xr:uid="{00000000-0005-0000-0000-00001E220000}"/>
    <cellStyle name="40% - 强调文字颜色 4 3 20 6 6" xfId="17978" xr:uid="{00000000-0005-0000-0000-00001F220000}"/>
    <cellStyle name="40% - 强调文字颜色 4 3 20 6 7" xfId="17979" xr:uid="{00000000-0005-0000-0000-000020220000}"/>
    <cellStyle name="40% - 强调文字颜色 4 3 20 6 8" xfId="15721" xr:uid="{00000000-0005-0000-0000-000021220000}"/>
    <cellStyle name="40% - 强调文字颜色 4 3 20 7" xfId="17980" xr:uid="{00000000-0005-0000-0000-000022220000}"/>
    <cellStyle name="40% - 强调文字颜色 4 3 20 8" xfId="17982" xr:uid="{00000000-0005-0000-0000-000023220000}"/>
    <cellStyle name="40% - 强调文字颜色 4 3 20 9" xfId="17984" xr:uid="{00000000-0005-0000-0000-000024220000}"/>
    <cellStyle name="40% - 强调文字颜色 4 3 20 9 2" xfId="17986" xr:uid="{00000000-0005-0000-0000-000025220000}"/>
    <cellStyle name="40% - 强调文字颜色 4 3 20 9 3" xfId="811" xr:uid="{00000000-0005-0000-0000-000026220000}"/>
    <cellStyle name="40% - 强调文字颜色 4 3 3" xfId="17987" xr:uid="{00000000-0005-0000-0000-000027220000}"/>
    <cellStyle name="40% - 强调文字颜色 4 3 3 10" xfId="16564" xr:uid="{00000000-0005-0000-0000-000028220000}"/>
    <cellStyle name="40% - 强调文字颜色 4 3 3 11" xfId="16566" xr:uid="{00000000-0005-0000-0000-000029220000}"/>
    <cellStyle name="40% - 强调文字颜色 4 3 3 12" xfId="16573" xr:uid="{00000000-0005-0000-0000-00002A220000}"/>
    <cellStyle name="40% - 强调文字颜色 4 3 3 13" xfId="16576" xr:uid="{00000000-0005-0000-0000-00002B220000}"/>
    <cellStyle name="40% - 强调文字颜色 4 3 3 14" xfId="16579" xr:uid="{00000000-0005-0000-0000-00002C220000}"/>
    <cellStyle name="40% - 强调文字颜色 4 3 3 2" xfId="17988" xr:uid="{00000000-0005-0000-0000-00002D220000}"/>
    <cellStyle name="40% - 强调文字颜色 4 3 3 3" xfId="17990" xr:uid="{00000000-0005-0000-0000-00002E220000}"/>
    <cellStyle name="40% - 强调文字颜色 4 3 3 4" xfId="17992" xr:uid="{00000000-0005-0000-0000-00002F220000}"/>
    <cellStyle name="40% - 强调文字颜色 4 3 3 5" xfId="17998" xr:uid="{00000000-0005-0000-0000-000030220000}"/>
    <cellStyle name="40% - 强调文字颜色 4 3 3 6" xfId="18001" xr:uid="{00000000-0005-0000-0000-000031220000}"/>
    <cellStyle name="40% - 强调文字颜色 4 3 3 7" xfId="18004" xr:uid="{00000000-0005-0000-0000-000032220000}"/>
    <cellStyle name="40% - 强调文字颜色 4 3 3 8" xfId="18007" xr:uid="{00000000-0005-0000-0000-000033220000}"/>
    <cellStyle name="40% - 强调文字颜色 4 3 3 9" xfId="18010" xr:uid="{00000000-0005-0000-0000-000034220000}"/>
    <cellStyle name="40% - 强调文字颜色 4 3 4" xfId="15784" xr:uid="{00000000-0005-0000-0000-000035220000}"/>
    <cellStyle name="40% - 强调文字颜色 4 3 4 10" xfId="18011" xr:uid="{00000000-0005-0000-0000-000036220000}"/>
    <cellStyle name="40% - 强调文字颜色 4 3 4 11" xfId="18012" xr:uid="{00000000-0005-0000-0000-000037220000}"/>
    <cellStyle name="40% - 强调文字颜色 4 3 4 12" xfId="9542" xr:uid="{00000000-0005-0000-0000-000038220000}"/>
    <cellStyle name="40% - 强调文字颜色 4 3 4 13" xfId="9547" xr:uid="{00000000-0005-0000-0000-000039220000}"/>
    <cellStyle name="40% - 强调文字颜色 4 3 4 14" xfId="9552" xr:uid="{00000000-0005-0000-0000-00003A220000}"/>
    <cellStyle name="40% - 强调文字颜色 4 3 4 2" xfId="13250" xr:uid="{00000000-0005-0000-0000-00003B220000}"/>
    <cellStyle name="40% - 强调文字颜色 4 3 4 3" xfId="18015" xr:uid="{00000000-0005-0000-0000-00003C220000}"/>
    <cellStyle name="40% - 强调文字颜色 4 3 4 4" xfId="18016" xr:uid="{00000000-0005-0000-0000-00003D220000}"/>
    <cellStyle name="40% - 强调文字颜色 4 3 4 5" xfId="18017" xr:uid="{00000000-0005-0000-0000-00003E220000}"/>
    <cellStyle name="40% - 强调文字颜色 4 3 4 6" xfId="18020" xr:uid="{00000000-0005-0000-0000-00003F220000}"/>
    <cellStyle name="40% - 强调文字颜色 4 3 4 7" xfId="6973" xr:uid="{00000000-0005-0000-0000-000040220000}"/>
    <cellStyle name="40% - 强调文字颜色 4 3 4 8" xfId="6979" xr:uid="{00000000-0005-0000-0000-000041220000}"/>
    <cellStyle name="40% - 强调文字颜色 4 3 4 9" xfId="6987" xr:uid="{00000000-0005-0000-0000-000042220000}"/>
    <cellStyle name="40% - 强调文字颜色 4 3 5" xfId="15786" xr:uid="{00000000-0005-0000-0000-000043220000}"/>
    <cellStyle name="40% - 强调文字颜色 4 3 6" xfId="18024" xr:uid="{00000000-0005-0000-0000-000044220000}"/>
    <cellStyle name="40% - 强调文字颜色 4 3 7" xfId="18026" xr:uid="{00000000-0005-0000-0000-000045220000}"/>
    <cellStyle name="40% - 强调文字颜色 4 3 8" xfId="18027" xr:uid="{00000000-0005-0000-0000-000046220000}"/>
    <cellStyle name="40% - 强调文字颜色 4 3 9" xfId="18028" xr:uid="{00000000-0005-0000-0000-000047220000}"/>
    <cellStyle name="40% - 强调文字颜色 4 4" xfId="18031" xr:uid="{00000000-0005-0000-0000-000048220000}"/>
    <cellStyle name="40% - 强调文字颜色 4 4 10" xfId="18033" xr:uid="{00000000-0005-0000-0000-000049220000}"/>
    <cellStyle name="40% - 强调文字颜色 4 4 11" xfId="18035" xr:uid="{00000000-0005-0000-0000-00004A220000}"/>
    <cellStyle name="40% - 强调文字颜色 4 4 12" xfId="18037" xr:uid="{00000000-0005-0000-0000-00004B220000}"/>
    <cellStyle name="40% - 强调文字颜色 4 4 13" xfId="18039" xr:uid="{00000000-0005-0000-0000-00004C220000}"/>
    <cellStyle name="40% - 强调文字颜色 4 4 14" xfId="18041" xr:uid="{00000000-0005-0000-0000-00004D220000}"/>
    <cellStyle name="40% - 强调文字颜色 4 4 15" xfId="18044" xr:uid="{00000000-0005-0000-0000-00004E220000}"/>
    <cellStyle name="40% - 强调文字颜色 4 4 16" xfId="18045" xr:uid="{00000000-0005-0000-0000-00004F220000}"/>
    <cellStyle name="40% - 强调文字颜色 4 4 17" xfId="18046" xr:uid="{00000000-0005-0000-0000-000050220000}"/>
    <cellStyle name="40% - 强调文字颜色 4 4 17 10" xfId="18048" xr:uid="{00000000-0005-0000-0000-000051220000}"/>
    <cellStyle name="40% - 强调文字颜色 4 4 17 11" xfId="18052" xr:uid="{00000000-0005-0000-0000-000052220000}"/>
    <cellStyle name="40% - 强调文字颜色 4 4 17 12" xfId="18055" xr:uid="{00000000-0005-0000-0000-000053220000}"/>
    <cellStyle name="40% - 强调文字颜色 4 4 17 13" xfId="18056" xr:uid="{00000000-0005-0000-0000-000054220000}"/>
    <cellStyle name="40% - 强调文字颜色 4 4 17 14" xfId="18057" xr:uid="{00000000-0005-0000-0000-000055220000}"/>
    <cellStyle name="40% - 强调文字颜色 4 4 17 2" xfId="18060" xr:uid="{00000000-0005-0000-0000-000056220000}"/>
    <cellStyle name="40% - 强调文字颜色 4 4 17 3" xfId="18062" xr:uid="{00000000-0005-0000-0000-000057220000}"/>
    <cellStyle name="40% - 强调文字颜色 4 4 17 4" xfId="9970" xr:uid="{00000000-0005-0000-0000-000058220000}"/>
    <cellStyle name="40% - 强调文字颜色 4 4 17 5" xfId="9973" xr:uid="{00000000-0005-0000-0000-000059220000}"/>
    <cellStyle name="40% - 强调文字颜色 4 4 17 5 10" xfId="18064" xr:uid="{00000000-0005-0000-0000-00005A220000}"/>
    <cellStyle name="40% - 强调文字颜色 4 4 17 5 11" xfId="18065" xr:uid="{00000000-0005-0000-0000-00005B220000}"/>
    <cellStyle name="40% - 强调文字颜色 4 4 17 5 2" xfId="18066" xr:uid="{00000000-0005-0000-0000-00005C220000}"/>
    <cellStyle name="40% - 强调文字颜色 4 4 17 5 2 2" xfId="16951" xr:uid="{00000000-0005-0000-0000-00005D220000}"/>
    <cellStyle name="40% - 强调文字颜色 4 4 17 5 2 2 2" xfId="16957" xr:uid="{00000000-0005-0000-0000-00005E220000}"/>
    <cellStyle name="40% - 强调文字颜色 4 4 17 5 2 2 3" xfId="16959" xr:uid="{00000000-0005-0000-0000-00005F220000}"/>
    <cellStyle name="40% - 强调文字颜色 4 4 17 5 2 3" xfId="5914" xr:uid="{00000000-0005-0000-0000-000060220000}"/>
    <cellStyle name="40% - 强调文字颜色 4 4 17 5 2 4" xfId="5928" xr:uid="{00000000-0005-0000-0000-000061220000}"/>
    <cellStyle name="40% - 强调文字颜色 4 4 17 5 2 5" xfId="690" xr:uid="{00000000-0005-0000-0000-000062220000}"/>
    <cellStyle name="40% - 强调文字颜色 4 4 17 5 2 6" xfId="721" xr:uid="{00000000-0005-0000-0000-000063220000}"/>
    <cellStyle name="40% - 强调文字颜色 4 4 17 5 2 7" xfId="750" xr:uid="{00000000-0005-0000-0000-000064220000}"/>
    <cellStyle name="40% - 强调文字颜色 4 4 17 5 2 8" xfId="1276" xr:uid="{00000000-0005-0000-0000-000065220000}"/>
    <cellStyle name="40% - 强调文字颜色 4 4 17 5 3" xfId="18068" xr:uid="{00000000-0005-0000-0000-000066220000}"/>
    <cellStyle name="40% - 强调文字颜色 4 4 17 5 4" xfId="18069" xr:uid="{00000000-0005-0000-0000-000067220000}"/>
    <cellStyle name="40% - 强调文字颜色 4 4 17 5 5" xfId="18070" xr:uid="{00000000-0005-0000-0000-000068220000}"/>
    <cellStyle name="40% - 强调文字颜色 4 4 17 5 6" xfId="18072" xr:uid="{00000000-0005-0000-0000-000069220000}"/>
    <cellStyle name="40% - 强调文字颜色 4 4 17 5 6 2" xfId="18074" xr:uid="{00000000-0005-0000-0000-00006A220000}"/>
    <cellStyle name="40% - 强调文字颜色 4 4 17 5 6 3" xfId="2285" xr:uid="{00000000-0005-0000-0000-00006B220000}"/>
    <cellStyle name="40% - 强调文字颜色 4 4 17 5 7" xfId="11688" xr:uid="{00000000-0005-0000-0000-00006C220000}"/>
    <cellStyle name="40% - 强调文字颜色 4 4 17 5 8" xfId="11691" xr:uid="{00000000-0005-0000-0000-00006D220000}"/>
    <cellStyle name="40% - 强调文字颜色 4 4 17 5 9" xfId="11694" xr:uid="{00000000-0005-0000-0000-00006E220000}"/>
    <cellStyle name="40% - 强调文字颜色 4 4 17 6" xfId="6911" xr:uid="{00000000-0005-0000-0000-00006F220000}"/>
    <cellStyle name="40% - 强调文字颜色 4 4 17 6 2" xfId="8230" xr:uid="{00000000-0005-0000-0000-000070220000}"/>
    <cellStyle name="40% - 强调文字颜色 4 4 17 6 2 2" xfId="18075" xr:uid="{00000000-0005-0000-0000-000071220000}"/>
    <cellStyle name="40% - 强调文字颜色 4 4 17 6 2 3" xfId="5969" xr:uid="{00000000-0005-0000-0000-000072220000}"/>
    <cellStyle name="40% - 强调文字颜色 4 4 17 6 3" xfId="18080" xr:uid="{00000000-0005-0000-0000-000073220000}"/>
    <cellStyle name="40% - 强调文字颜色 4 4 17 6 4" xfId="18084" xr:uid="{00000000-0005-0000-0000-000074220000}"/>
    <cellStyle name="40% - 强调文字颜色 4 4 17 6 5" xfId="18087" xr:uid="{00000000-0005-0000-0000-000075220000}"/>
    <cellStyle name="40% - 强调文字颜色 4 4 17 6 6" xfId="18090" xr:uid="{00000000-0005-0000-0000-000076220000}"/>
    <cellStyle name="40% - 强调文字颜色 4 4 17 6 7" xfId="18093" xr:uid="{00000000-0005-0000-0000-000077220000}"/>
    <cellStyle name="40% - 强调文字颜色 4 4 17 6 8" xfId="18094" xr:uid="{00000000-0005-0000-0000-000078220000}"/>
    <cellStyle name="40% - 强调文字颜色 4 4 17 7" xfId="6920" xr:uid="{00000000-0005-0000-0000-000079220000}"/>
    <cellStyle name="40% - 强调文字颜色 4 4 17 8" xfId="6928" xr:uid="{00000000-0005-0000-0000-00007A220000}"/>
    <cellStyle name="40% - 强调文字颜色 4 4 17 9" xfId="4957" xr:uid="{00000000-0005-0000-0000-00007B220000}"/>
    <cellStyle name="40% - 强调文字颜色 4 4 17 9 2" xfId="18096" xr:uid="{00000000-0005-0000-0000-00007C220000}"/>
    <cellStyle name="40% - 强调文字颜色 4 4 17 9 3" xfId="18098" xr:uid="{00000000-0005-0000-0000-00007D220000}"/>
    <cellStyle name="40% - 强调文字颜色 4 4 18" xfId="18100" xr:uid="{00000000-0005-0000-0000-00007E220000}"/>
    <cellStyle name="40% - 强调文字颜色 4 4 18 10" xfId="18101" xr:uid="{00000000-0005-0000-0000-00007F220000}"/>
    <cellStyle name="40% - 强调文字颜色 4 4 18 11" xfId="18102" xr:uid="{00000000-0005-0000-0000-000080220000}"/>
    <cellStyle name="40% - 强调文字颜色 4 4 18 12" xfId="18104" xr:uid="{00000000-0005-0000-0000-000081220000}"/>
    <cellStyle name="40% - 强调文字颜色 4 4 18 13" xfId="18106" xr:uid="{00000000-0005-0000-0000-000082220000}"/>
    <cellStyle name="40% - 强调文字颜色 4 4 18 14" xfId="18109" xr:uid="{00000000-0005-0000-0000-000083220000}"/>
    <cellStyle name="40% - 强调文字颜色 4 4 18 2" xfId="4266" xr:uid="{00000000-0005-0000-0000-000084220000}"/>
    <cellStyle name="40% - 强调文字颜色 4 4 18 3" xfId="4277" xr:uid="{00000000-0005-0000-0000-000085220000}"/>
    <cellStyle name="40% - 强调文字颜色 4 4 18 4" xfId="4294" xr:uid="{00000000-0005-0000-0000-000086220000}"/>
    <cellStyle name="40% - 强调文字颜色 4 4 18 5" xfId="3952" xr:uid="{00000000-0005-0000-0000-000087220000}"/>
    <cellStyle name="40% - 强调文字颜色 4 4 18 5 10" xfId="6010" xr:uid="{00000000-0005-0000-0000-000088220000}"/>
    <cellStyle name="40% - 强调文字颜色 4 4 18 5 11" xfId="18113" xr:uid="{00000000-0005-0000-0000-000089220000}"/>
    <cellStyle name="40% - 强调文字颜色 4 4 18 5 2" xfId="18116" xr:uid="{00000000-0005-0000-0000-00008A220000}"/>
    <cellStyle name="40% - 强调文字颜色 4 4 18 5 2 2" xfId="18118" xr:uid="{00000000-0005-0000-0000-00008B220000}"/>
    <cellStyle name="40% - 强调文字颜色 4 4 18 5 2 2 2" xfId="18119" xr:uid="{00000000-0005-0000-0000-00008C220000}"/>
    <cellStyle name="40% - 强调文字颜色 4 4 18 5 2 2 3" xfId="18120" xr:uid="{00000000-0005-0000-0000-00008D220000}"/>
    <cellStyle name="40% - 强调文字颜色 4 4 18 5 2 3" xfId="18121" xr:uid="{00000000-0005-0000-0000-00008E220000}"/>
    <cellStyle name="40% - 强调文字颜色 4 4 18 5 2 4" xfId="18122" xr:uid="{00000000-0005-0000-0000-00008F220000}"/>
    <cellStyle name="40% - 强调文字颜色 4 4 18 5 2 5" xfId="17286" xr:uid="{00000000-0005-0000-0000-000090220000}"/>
    <cellStyle name="40% - 强调文字颜色 4 4 18 5 2 6" xfId="17289" xr:uid="{00000000-0005-0000-0000-000091220000}"/>
    <cellStyle name="40% - 强调文字颜色 4 4 18 5 2 7" xfId="2659" xr:uid="{00000000-0005-0000-0000-000092220000}"/>
    <cellStyle name="40% - 强调文字颜色 4 4 18 5 2 8" xfId="3277" xr:uid="{00000000-0005-0000-0000-000093220000}"/>
    <cellStyle name="40% - 强调文字颜色 4 4 18 5 3" xfId="18123" xr:uid="{00000000-0005-0000-0000-000094220000}"/>
    <cellStyle name="40% - 强调文字颜色 4 4 18 5 4" xfId="18125" xr:uid="{00000000-0005-0000-0000-000095220000}"/>
    <cellStyle name="40% - 强调文字颜色 4 4 18 5 5" xfId="18127" xr:uid="{00000000-0005-0000-0000-000096220000}"/>
    <cellStyle name="40% - 强调文字颜色 4 4 18 5 6" xfId="18129" xr:uid="{00000000-0005-0000-0000-000097220000}"/>
    <cellStyle name="40% - 强调文字颜色 4 4 18 5 6 2" xfId="18132" xr:uid="{00000000-0005-0000-0000-000098220000}"/>
    <cellStyle name="40% - 强调文字颜色 4 4 18 5 6 3" xfId="18135" xr:uid="{00000000-0005-0000-0000-000099220000}"/>
    <cellStyle name="40% - 强调文字颜色 4 4 18 5 7" xfId="18138" xr:uid="{00000000-0005-0000-0000-00009A220000}"/>
    <cellStyle name="40% - 强调文字颜色 4 4 18 5 8" xfId="18141" xr:uid="{00000000-0005-0000-0000-00009B220000}"/>
    <cellStyle name="40% - 强调文字颜色 4 4 18 5 9" xfId="18144" xr:uid="{00000000-0005-0000-0000-00009C220000}"/>
    <cellStyle name="40% - 强调文字颜色 4 4 18 6" xfId="3971" xr:uid="{00000000-0005-0000-0000-00009D220000}"/>
    <cellStyle name="40% - 强调文字颜色 4 4 18 6 2" xfId="16312" xr:uid="{00000000-0005-0000-0000-00009E220000}"/>
    <cellStyle name="40% - 强调文字颜色 4 4 18 6 2 2" xfId="18147" xr:uid="{00000000-0005-0000-0000-00009F220000}"/>
    <cellStyle name="40% - 强调文字颜色 4 4 18 6 2 3" xfId="18149" xr:uid="{00000000-0005-0000-0000-0000A0220000}"/>
    <cellStyle name="40% - 强调文字颜色 4 4 18 6 3" xfId="16317" xr:uid="{00000000-0005-0000-0000-0000A1220000}"/>
    <cellStyle name="40% - 强调文字颜色 4 4 18 6 4" xfId="16322" xr:uid="{00000000-0005-0000-0000-0000A2220000}"/>
    <cellStyle name="40% - 强调文字颜色 4 4 18 6 5" xfId="16325" xr:uid="{00000000-0005-0000-0000-0000A3220000}"/>
    <cellStyle name="40% - 强调文字颜色 4 4 18 6 6" xfId="16328" xr:uid="{00000000-0005-0000-0000-0000A4220000}"/>
    <cellStyle name="40% - 强调文字颜色 4 4 18 6 7" xfId="18151" xr:uid="{00000000-0005-0000-0000-0000A5220000}"/>
    <cellStyle name="40% - 强调文字颜色 4 4 18 6 8" xfId="18154" xr:uid="{00000000-0005-0000-0000-0000A6220000}"/>
    <cellStyle name="40% - 强调文字颜色 4 4 18 7" xfId="4899" xr:uid="{00000000-0005-0000-0000-0000A7220000}"/>
    <cellStyle name="40% - 强调文字颜色 4 4 18 8" xfId="18156" xr:uid="{00000000-0005-0000-0000-0000A8220000}"/>
    <cellStyle name="40% - 强调文字颜色 4 4 18 9" xfId="18158" xr:uid="{00000000-0005-0000-0000-0000A9220000}"/>
    <cellStyle name="40% - 强调文字颜色 4 4 18 9 2" xfId="18159" xr:uid="{00000000-0005-0000-0000-0000AA220000}"/>
    <cellStyle name="40% - 强调文字颜色 4 4 18 9 3" xfId="18161" xr:uid="{00000000-0005-0000-0000-0000AB220000}"/>
    <cellStyle name="40% - 强调文字颜色 4 4 19" xfId="18164" xr:uid="{00000000-0005-0000-0000-0000AC220000}"/>
    <cellStyle name="40% - 强调文字颜色 4 4 19 10" xfId="18166" xr:uid="{00000000-0005-0000-0000-0000AD220000}"/>
    <cellStyle name="40% - 强调文字颜色 4 4 19 11" xfId="18167" xr:uid="{00000000-0005-0000-0000-0000AE220000}"/>
    <cellStyle name="40% - 强调文字颜色 4 4 19 12" xfId="18169" xr:uid="{00000000-0005-0000-0000-0000AF220000}"/>
    <cellStyle name="40% - 强调文字颜色 4 4 19 13" xfId="18171" xr:uid="{00000000-0005-0000-0000-0000B0220000}"/>
    <cellStyle name="40% - 强调文字颜色 4 4 19 14" xfId="18172" xr:uid="{00000000-0005-0000-0000-0000B1220000}"/>
    <cellStyle name="40% - 强调文字颜色 4 4 19 2" xfId="4398" xr:uid="{00000000-0005-0000-0000-0000B2220000}"/>
    <cellStyle name="40% - 强调文字颜色 4 4 19 3" xfId="4409" xr:uid="{00000000-0005-0000-0000-0000B3220000}"/>
    <cellStyle name="40% - 强调文字颜色 4 4 19 4" xfId="2923" xr:uid="{00000000-0005-0000-0000-0000B4220000}"/>
    <cellStyle name="40% - 强调文字颜色 4 4 19 5" xfId="2950" xr:uid="{00000000-0005-0000-0000-0000B5220000}"/>
    <cellStyle name="40% - 强调文字颜色 4 4 19 5 10" xfId="18173" xr:uid="{00000000-0005-0000-0000-0000B6220000}"/>
    <cellStyle name="40% - 强调文字颜色 4 4 19 5 11" xfId="18174" xr:uid="{00000000-0005-0000-0000-0000B7220000}"/>
    <cellStyle name="40% - 强调文字颜色 4 4 19 5 2" xfId="18176" xr:uid="{00000000-0005-0000-0000-0000B8220000}"/>
    <cellStyle name="40% - 强调文字颜色 4 4 19 5 2 2" xfId="18178" xr:uid="{00000000-0005-0000-0000-0000B9220000}"/>
    <cellStyle name="40% - 强调文字颜色 4 4 19 5 2 2 2" xfId="18179" xr:uid="{00000000-0005-0000-0000-0000BA220000}"/>
    <cellStyle name="40% - 强调文字颜色 4 4 19 5 2 2 3" xfId="18180" xr:uid="{00000000-0005-0000-0000-0000BB220000}"/>
    <cellStyle name="40% - 强调文字颜色 4 4 19 5 2 3" xfId="18181" xr:uid="{00000000-0005-0000-0000-0000BC220000}"/>
    <cellStyle name="40% - 强调文字颜色 4 4 19 5 2 4" xfId="18182" xr:uid="{00000000-0005-0000-0000-0000BD220000}"/>
    <cellStyle name="40% - 强调文字颜色 4 4 19 5 2 5" xfId="17411" xr:uid="{00000000-0005-0000-0000-0000BE220000}"/>
    <cellStyle name="40% - 强调文字颜色 4 4 19 5 2 6" xfId="17414" xr:uid="{00000000-0005-0000-0000-0000BF220000}"/>
    <cellStyle name="40% - 强调文字颜色 4 4 19 5 2 7" xfId="18183" xr:uid="{00000000-0005-0000-0000-0000C0220000}"/>
    <cellStyle name="40% - 强调文字颜色 4 4 19 5 2 8" xfId="18184" xr:uid="{00000000-0005-0000-0000-0000C1220000}"/>
    <cellStyle name="40% - 强调文字颜色 4 4 19 5 3" xfId="18185" xr:uid="{00000000-0005-0000-0000-0000C2220000}"/>
    <cellStyle name="40% - 强调文字颜色 4 4 19 5 4" xfId="18186" xr:uid="{00000000-0005-0000-0000-0000C3220000}"/>
    <cellStyle name="40% - 强调文字颜色 4 4 19 5 5" xfId="18187" xr:uid="{00000000-0005-0000-0000-0000C4220000}"/>
    <cellStyle name="40% - 强调文字颜色 4 4 19 5 6" xfId="3267" xr:uid="{00000000-0005-0000-0000-0000C5220000}"/>
    <cellStyle name="40% - 强调文字颜色 4 4 19 5 6 2" xfId="18190" xr:uid="{00000000-0005-0000-0000-0000C6220000}"/>
    <cellStyle name="40% - 强调文字颜色 4 4 19 5 6 3" xfId="18192" xr:uid="{00000000-0005-0000-0000-0000C7220000}"/>
    <cellStyle name="40% - 强调文字颜色 4 4 19 5 7" xfId="3413" xr:uid="{00000000-0005-0000-0000-0000C8220000}"/>
    <cellStyle name="40% - 强调文字颜色 4 4 19 5 8" xfId="3414" xr:uid="{00000000-0005-0000-0000-0000C9220000}"/>
    <cellStyle name="40% - 强调文字颜色 4 4 19 5 9" xfId="3418" xr:uid="{00000000-0005-0000-0000-0000CA220000}"/>
    <cellStyle name="40% - 强调文字颜色 4 4 19 6" xfId="2963" xr:uid="{00000000-0005-0000-0000-0000CB220000}"/>
    <cellStyle name="40% - 强调文字颜色 4 4 19 6 2" xfId="13702" xr:uid="{00000000-0005-0000-0000-0000CC220000}"/>
    <cellStyle name="40% - 强调文字颜色 4 4 19 6 2 2" xfId="18193" xr:uid="{00000000-0005-0000-0000-0000CD220000}"/>
    <cellStyle name="40% - 强调文字颜色 4 4 19 6 2 3" xfId="18194" xr:uid="{00000000-0005-0000-0000-0000CE220000}"/>
    <cellStyle name="40% - 强调文字颜色 4 4 19 6 3" xfId="13705" xr:uid="{00000000-0005-0000-0000-0000CF220000}"/>
    <cellStyle name="40% - 强调文字颜色 4 4 19 6 4" xfId="13708" xr:uid="{00000000-0005-0000-0000-0000D0220000}"/>
    <cellStyle name="40% - 强调文字颜色 4 4 19 6 5" xfId="13711" xr:uid="{00000000-0005-0000-0000-0000D1220000}"/>
    <cellStyle name="40% - 强调文字颜色 4 4 19 6 6" xfId="13717" xr:uid="{00000000-0005-0000-0000-0000D2220000}"/>
    <cellStyle name="40% - 强调文字颜色 4 4 19 6 7" xfId="11377" xr:uid="{00000000-0005-0000-0000-0000D3220000}"/>
    <cellStyle name="40% - 强调文字颜色 4 4 19 6 8" xfId="11387" xr:uid="{00000000-0005-0000-0000-0000D4220000}"/>
    <cellStyle name="40% - 强调文字颜色 4 4 19 7" xfId="2986" xr:uid="{00000000-0005-0000-0000-0000D5220000}"/>
    <cellStyle name="40% - 强调文字颜色 4 4 19 8" xfId="18195" xr:uid="{00000000-0005-0000-0000-0000D6220000}"/>
    <cellStyle name="40% - 强调文字颜色 4 4 19 9" xfId="18196" xr:uid="{00000000-0005-0000-0000-0000D7220000}"/>
    <cellStyle name="40% - 强调文字颜色 4 4 19 9 2" xfId="18197" xr:uid="{00000000-0005-0000-0000-0000D8220000}"/>
    <cellStyle name="40% - 强调文字颜色 4 4 19 9 3" xfId="18199" xr:uid="{00000000-0005-0000-0000-0000D9220000}"/>
    <cellStyle name="40% - 强调文字颜色 4 4 2" xfId="18200" xr:uid="{00000000-0005-0000-0000-0000DA220000}"/>
    <cellStyle name="40% - 强调文字颜色 4 4 20" xfId="18043" xr:uid="{00000000-0005-0000-0000-0000DB220000}"/>
    <cellStyle name="40% - 强调文字颜色 4 4 20 10" xfId="18202" xr:uid="{00000000-0005-0000-0000-0000DC220000}"/>
    <cellStyle name="40% - 强调文字颜色 4 4 20 11" xfId="18203" xr:uid="{00000000-0005-0000-0000-0000DD220000}"/>
    <cellStyle name="40% - 强调文字颜色 4 4 20 12" xfId="16027" xr:uid="{00000000-0005-0000-0000-0000DE220000}"/>
    <cellStyle name="40% - 强调文字颜色 4 4 20 13" xfId="16029" xr:uid="{00000000-0005-0000-0000-0000DF220000}"/>
    <cellStyle name="40% - 强调文字颜色 4 4 20 14" xfId="14576" xr:uid="{00000000-0005-0000-0000-0000E0220000}"/>
    <cellStyle name="40% - 强调文字颜色 4 4 20 2" xfId="18205" xr:uid="{00000000-0005-0000-0000-0000E1220000}"/>
    <cellStyle name="40% - 强调文字颜色 4 4 20 3" xfId="18208" xr:uid="{00000000-0005-0000-0000-0000E2220000}"/>
    <cellStyle name="40% - 强调文字颜色 4 4 20 4" xfId="18212" xr:uid="{00000000-0005-0000-0000-0000E3220000}"/>
    <cellStyle name="40% - 强调文字颜色 4 4 20 5" xfId="18218" xr:uid="{00000000-0005-0000-0000-0000E4220000}"/>
    <cellStyle name="40% - 强调文字颜色 4 4 20 5 10" xfId="18220" xr:uid="{00000000-0005-0000-0000-0000E5220000}"/>
    <cellStyle name="40% - 强调文字颜色 4 4 20 5 11" xfId="18222" xr:uid="{00000000-0005-0000-0000-0000E6220000}"/>
    <cellStyle name="40% - 强调文字颜色 4 4 20 5 2" xfId="18225" xr:uid="{00000000-0005-0000-0000-0000E7220000}"/>
    <cellStyle name="40% - 强调文字颜色 4 4 20 5 2 2" xfId="18227" xr:uid="{00000000-0005-0000-0000-0000E8220000}"/>
    <cellStyle name="40% - 强调文字颜色 4 4 20 5 2 2 2" xfId="6708" xr:uid="{00000000-0005-0000-0000-0000E9220000}"/>
    <cellStyle name="40% - 强调文字颜色 4 4 20 5 2 2 3" xfId="6713" xr:uid="{00000000-0005-0000-0000-0000EA220000}"/>
    <cellStyle name="40% - 强调文字颜色 4 4 20 5 2 3" xfId="5376" xr:uid="{00000000-0005-0000-0000-0000EB220000}"/>
    <cellStyle name="40% - 强调文字颜色 4 4 20 5 2 4" xfId="5396" xr:uid="{00000000-0005-0000-0000-0000EC220000}"/>
    <cellStyle name="40% - 强调文字颜色 4 4 20 5 2 5" xfId="1697" xr:uid="{00000000-0005-0000-0000-0000ED220000}"/>
    <cellStyle name="40% - 强调文字颜色 4 4 20 5 2 6" xfId="1750" xr:uid="{00000000-0005-0000-0000-0000EE220000}"/>
    <cellStyle name="40% - 强调文字颜色 4 4 20 5 2 7" xfId="1760" xr:uid="{00000000-0005-0000-0000-0000EF220000}"/>
    <cellStyle name="40% - 强调文字颜色 4 4 20 5 2 8" xfId="1770" xr:uid="{00000000-0005-0000-0000-0000F0220000}"/>
    <cellStyle name="40% - 强调文字颜色 4 4 20 5 3" xfId="18230" xr:uid="{00000000-0005-0000-0000-0000F1220000}"/>
    <cellStyle name="40% - 强调文字颜色 4 4 20 5 4" xfId="18233" xr:uid="{00000000-0005-0000-0000-0000F2220000}"/>
    <cellStyle name="40% - 强调文字颜色 4 4 20 5 5" xfId="3379" xr:uid="{00000000-0005-0000-0000-0000F3220000}"/>
    <cellStyle name="40% - 强调文字颜色 4 4 20 5 6" xfId="3387" xr:uid="{00000000-0005-0000-0000-0000F4220000}"/>
    <cellStyle name="40% - 强调文字颜色 4 4 20 5 6 2" xfId="3404" xr:uid="{00000000-0005-0000-0000-0000F5220000}"/>
    <cellStyle name="40% - 强调文字颜色 4 4 20 5 6 3" xfId="1442" xr:uid="{00000000-0005-0000-0000-0000F6220000}"/>
    <cellStyle name="40% - 强调文字颜色 4 4 20 5 7" xfId="12859" xr:uid="{00000000-0005-0000-0000-0000F7220000}"/>
    <cellStyle name="40% - 强调文字颜色 4 4 20 5 8" xfId="12861" xr:uid="{00000000-0005-0000-0000-0000F8220000}"/>
    <cellStyle name="40% - 强调文字颜色 4 4 20 5 9" xfId="12864" xr:uid="{00000000-0005-0000-0000-0000F9220000}"/>
    <cellStyle name="40% - 强调文字颜色 4 4 20 6" xfId="18238" xr:uid="{00000000-0005-0000-0000-0000FA220000}"/>
    <cellStyle name="40% - 强调文字颜色 4 4 20 6 2" xfId="18239" xr:uid="{00000000-0005-0000-0000-0000FB220000}"/>
    <cellStyle name="40% - 强调文字颜色 4 4 20 6 2 2" xfId="10280" xr:uid="{00000000-0005-0000-0000-0000FC220000}"/>
    <cellStyle name="40% - 强调文字颜色 4 4 20 6 2 3" xfId="5513" xr:uid="{00000000-0005-0000-0000-0000FD220000}"/>
    <cellStyle name="40% - 强调文字颜色 4 4 20 6 3" xfId="18242" xr:uid="{00000000-0005-0000-0000-0000FE220000}"/>
    <cellStyle name="40% - 强调文字颜色 4 4 20 6 4" xfId="18245" xr:uid="{00000000-0005-0000-0000-0000FF220000}"/>
    <cellStyle name="40% - 强调文字颜色 4 4 20 6 5" xfId="18247" xr:uid="{00000000-0005-0000-0000-000000230000}"/>
    <cellStyle name="40% - 强调文字颜色 4 4 20 6 6" xfId="18249" xr:uid="{00000000-0005-0000-0000-000001230000}"/>
    <cellStyle name="40% - 强调文字颜色 4 4 20 6 7" xfId="18251" xr:uid="{00000000-0005-0000-0000-000002230000}"/>
    <cellStyle name="40% - 强调文字颜色 4 4 20 6 8" xfId="1711" xr:uid="{00000000-0005-0000-0000-000003230000}"/>
    <cellStyle name="40% - 强调文字颜色 4 4 20 7" xfId="18256" xr:uid="{00000000-0005-0000-0000-000004230000}"/>
    <cellStyle name="40% - 强调文字颜色 4 4 20 8" xfId="18261" xr:uid="{00000000-0005-0000-0000-000005230000}"/>
    <cellStyle name="40% - 强调文字颜色 4 4 20 9" xfId="18265" xr:uid="{00000000-0005-0000-0000-000006230000}"/>
    <cellStyle name="40% - 强调文字颜色 4 4 20 9 2" xfId="5611" xr:uid="{00000000-0005-0000-0000-000007230000}"/>
    <cellStyle name="40% - 强调文字颜色 4 4 20 9 3" xfId="3937" xr:uid="{00000000-0005-0000-0000-000008230000}"/>
    <cellStyle name="40% - 强调文字颜色 4 4 3" xfId="18266" xr:uid="{00000000-0005-0000-0000-000009230000}"/>
    <cellStyle name="40% - 强调文字颜色 4 4 4" xfId="18267" xr:uid="{00000000-0005-0000-0000-00000A230000}"/>
    <cellStyle name="40% - 强调文字颜色 4 4 5" xfId="18268" xr:uid="{00000000-0005-0000-0000-00000B230000}"/>
    <cellStyle name="40% - 强调文字颜色 4 4 6" xfId="18269" xr:uid="{00000000-0005-0000-0000-00000C230000}"/>
    <cellStyle name="40% - 强调文字颜色 4 4 7" xfId="9297" xr:uid="{00000000-0005-0000-0000-00000D230000}"/>
    <cellStyle name="40% - 强调文字颜色 4 4 8" xfId="9304" xr:uid="{00000000-0005-0000-0000-00000E230000}"/>
    <cellStyle name="40% - 强调文字颜色 4 4 9" xfId="9324" xr:uid="{00000000-0005-0000-0000-00000F230000}"/>
    <cellStyle name="40% - 强调文字颜色 4 5" xfId="18270" xr:uid="{00000000-0005-0000-0000-000010230000}"/>
    <cellStyle name="40% - 强调文字颜色 4 5 10" xfId="18273" xr:uid="{00000000-0005-0000-0000-000011230000}"/>
    <cellStyle name="40% - 强调文字颜色 4 5 11" xfId="18277" xr:uid="{00000000-0005-0000-0000-000012230000}"/>
    <cellStyle name="40% - 强调文字颜色 4 5 12" xfId="18281" xr:uid="{00000000-0005-0000-0000-000013230000}"/>
    <cellStyle name="40% - 强调文字颜色 4 5 13" xfId="18286" xr:uid="{00000000-0005-0000-0000-000014230000}"/>
    <cellStyle name="40% - 强调文字颜色 4 5 14" xfId="18291" xr:uid="{00000000-0005-0000-0000-000015230000}"/>
    <cellStyle name="40% - 强调文字颜色 4 5 2" xfId="18292" xr:uid="{00000000-0005-0000-0000-000016230000}"/>
    <cellStyle name="40% - 强调文字颜色 4 5 3" xfId="18293" xr:uid="{00000000-0005-0000-0000-000017230000}"/>
    <cellStyle name="40% - 强调文字颜色 4 5 4" xfId="18295" xr:uid="{00000000-0005-0000-0000-000018230000}"/>
    <cellStyle name="40% - 强调文字颜色 4 5 5" xfId="18297" xr:uid="{00000000-0005-0000-0000-000019230000}"/>
    <cellStyle name="40% - 强调文字颜色 4 5 6" xfId="9375" xr:uid="{00000000-0005-0000-0000-00001A230000}"/>
    <cellStyle name="40% - 强调文字颜色 4 5 7" xfId="9385" xr:uid="{00000000-0005-0000-0000-00001B230000}"/>
    <cellStyle name="40% - 强调文字颜色 4 5 8" xfId="9401" xr:uid="{00000000-0005-0000-0000-00001C230000}"/>
    <cellStyle name="40% - 强调文字颜色 4 5 9" xfId="18298" xr:uid="{00000000-0005-0000-0000-00001D230000}"/>
    <cellStyle name="40% - 强调文字颜色 4 6" xfId="18301" xr:uid="{00000000-0005-0000-0000-00001E230000}"/>
    <cellStyle name="40% - 强调文字颜色 4 6 10" xfId="6570" xr:uid="{00000000-0005-0000-0000-00001F230000}"/>
    <cellStyle name="40% - 强调文字颜色 4 6 11" xfId="18303" xr:uid="{00000000-0005-0000-0000-000020230000}"/>
    <cellStyle name="40% - 强调文字颜色 4 6 12" xfId="18307" xr:uid="{00000000-0005-0000-0000-000021230000}"/>
    <cellStyle name="40% - 强调文字颜色 4 6 13" xfId="18311" xr:uid="{00000000-0005-0000-0000-000022230000}"/>
    <cellStyle name="40% - 强调文字颜色 4 6 14" xfId="18315" xr:uid="{00000000-0005-0000-0000-000023230000}"/>
    <cellStyle name="40% - 强调文字颜色 4 6 2" xfId="1947" xr:uid="{00000000-0005-0000-0000-000024230000}"/>
    <cellStyle name="40% - 强调文字颜色 4 6 3" xfId="18316" xr:uid="{00000000-0005-0000-0000-000025230000}"/>
    <cellStyle name="40% - 强调文字颜色 4 6 4" xfId="18317" xr:uid="{00000000-0005-0000-0000-000026230000}"/>
    <cellStyle name="40% - 强调文字颜色 4 6 5" xfId="18318" xr:uid="{00000000-0005-0000-0000-000027230000}"/>
    <cellStyle name="40% - 强调文字颜色 4 6 6" xfId="18319" xr:uid="{00000000-0005-0000-0000-000028230000}"/>
    <cellStyle name="40% - 强调文字颜色 4 6 7" xfId="7837" xr:uid="{00000000-0005-0000-0000-000029230000}"/>
    <cellStyle name="40% - 强调文字颜色 4 6 8" xfId="7849" xr:uid="{00000000-0005-0000-0000-00002A230000}"/>
    <cellStyle name="40% - 强调文字颜色 4 6 9" xfId="7860" xr:uid="{00000000-0005-0000-0000-00002B230000}"/>
    <cellStyle name="40% - 强调文字颜色 4 7" xfId="7023" xr:uid="{00000000-0005-0000-0000-00002C230000}"/>
    <cellStyle name="40% - 强调文字颜色 4 8" xfId="7031" xr:uid="{00000000-0005-0000-0000-00002D230000}"/>
    <cellStyle name="40% - 强调文字颜色 4 9" xfId="7044" xr:uid="{00000000-0005-0000-0000-00002E230000}"/>
    <cellStyle name="40% - 强调文字颜色 5 10" xfId="12543" xr:uid="{00000000-0005-0000-0000-00002F230000}"/>
    <cellStyle name="40% - 强调文字颜色 5 11" xfId="5732" xr:uid="{00000000-0005-0000-0000-000030230000}"/>
    <cellStyle name="40% - 强调文字颜色 5 12" xfId="18320" xr:uid="{00000000-0005-0000-0000-000031230000}"/>
    <cellStyle name="40% - 强调文字颜色 5 12 10" xfId="5107" xr:uid="{00000000-0005-0000-0000-000032230000}"/>
    <cellStyle name="40% - 强调文字颜色 5 12 11" xfId="5114" xr:uid="{00000000-0005-0000-0000-000033230000}"/>
    <cellStyle name="40% - 强调文字颜色 5 12 12" xfId="18323" xr:uid="{00000000-0005-0000-0000-000034230000}"/>
    <cellStyle name="40% - 强调文字颜色 5 12 13" xfId="18327" xr:uid="{00000000-0005-0000-0000-000035230000}"/>
    <cellStyle name="40% - 强调文字颜色 5 12 14" xfId="18330" xr:uid="{00000000-0005-0000-0000-000036230000}"/>
    <cellStyle name="40% - 强调文字颜色 5 12 2" xfId="17917" xr:uid="{00000000-0005-0000-0000-000037230000}"/>
    <cellStyle name="40% - 强调文字颜色 5 12 3" xfId="17919" xr:uid="{00000000-0005-0000-0000-000038230000}"/>
    <cellStyle name="40% - 强调文字颜色 5 12 4" xfId="17921" xr:uid="{00000000-0005-0000-0000-000039230000}"/>
    <cellStyle name="40% - 强调文字颜色 5 12 5" xfId="9765" xr:uid="{00000000-0005-0000-0000-00003A230000}"/>
    <cellStyle name="40% - 强调文字颜色 5 12 5 10" xfId="18334" xr:uid="{00000000-0005-0000-0000-00003B230000}"/>
    <cellStyle name="40% - 强调文字颜色 5 12 5 11" xfId="18338" xr:uid="{00000000-0005-0000-0000-00003C230000}"/>
    <cellStyle name="40% - 强调文字颜色 5 12 5 2" xfId="18345" xr:uid="{00000000-0005-0000-0000-00003D230000}"/>
    <cellStyle name="40% - 强调文字颜色 5 12 5 2 2" xfId="2759" xr:uid="{00000000-0005-0000-0000-00003E230000}"/>
    <cellStyle name="40% - 强调文字颜色 5 12 5 2 2 2" xfId="2775" xr:uid="{00000000-0005-0000-0000-00003F230000}"/>
    <cellStyle name="40% - 强调文字颜色 5 12 5 2 2 3" xfId="2783" xr:uid="{00000000-0005-0000-0000-000040230000}"/>
    <cellStyle name="40% - 强调文字颜色 5 12 5 2 3" xfId="7202" xr:uid="{00000000-0005-0000-0000-000041230000}"/>
    <cellStyle name="40% - 强调文字颜色 5 12 5 2 4" xfId="18349" xr:uid="{00000000-0005-0000-0000-000042230000}"/>
    <cellStyle name="40% - 强调文字颜色 5 12 5 2 5" xfId="18353" xr:uid="{00000000-0005-0000-0000-000043230000}"/>
    <cellStyle name="40% - 强调文字颜色 5 12 5 2 6" xfId="18355" xr:uid="{00000000-0005-0000-0000-000044230000}"/>
    <cellStyle name="40% - 强调文字颜色 5 12 5 2 7" xfId="18357" xr:uid="{00000000-0005-0000-0000-000045230000}"/>
    <cellStyle name="40% - 强调文字颜色 5 12 5 2 8" xfId="345" xr:uid="{00000000-0005-0000-0000-000046230000}"/>
    <cellStyle name="40% - 强调文字颜色 5 12 5 3" xfId="18359" xr:uid="{00000000-0005-0000-0000-000047230000}"/>
    <cellStyle name="40% - 强调文字颜色 5 12 5 4" xfId="18361" xr:uid="{00000000-0005-0000-0000-000048230000}"/>
    <cellStyle name="40% - 强调文字颜色 5 12 5 5" xfId="6916" xr:uid="{00000000-0005-0000-0000-000049230000}"/>
    <cellStyle name="40% - 强调文字颜色 5 12 5 6" xfId="6924" xr:uid="{00000000-0005-0000-0000-00004A230000}"/>
    <cellStyle name="40% - 强调文字颜色 5 12 5 6 2" xfId="18364" xr:uid="{00000000-0005-0000-0000-00004B230000}"/>
    <cellStyle name="40% - 强调文字颜色 5 12 5 6 3" xfId="18366" xr:uid="{00000000-0005-0000-0000-00004C230000}"/>
    <cellStyle name="40% - 强调文字颜色 5 12 5 7" xfId="6933" xr:uid="{00000000-0005-0000-0000-00004D230000}"/>
    <cellStyle name="40% - 强调文字颜色 5 12 5 8" xfId="4965" xr:uid="{00000000-0005-0000-0000-00004E230000}"/>
    <cellStyle name="40% - 强调文字颜色 5 12 5 9" xfId="4984" xr:uid="{00000000-0005-0000-0000-00004F230000}"/>
    <cellStyle name="40% - 强调文字颜色 5 12 6" xfId="9769" xr:uid="{00000000-0005-0000-0000-000050230000}"/>
    <cellStyle name="40% - 强调文字颜色 5 12 6 2" xfId="4283" xr:uid="{00000000-0005-0000-0000-000051230000}"/>
    <cellStyle name="40% - 强调文字颜色 5 12 6 2 2" xfId="16718" xr:uid="{00000000-0005-0000-0000-000052230000}"/>
    <cellStyle name="40% - 强调文字颜色 5 12 6 2 3" xfId="16723" xr:uid="{00000000-0005-0000-0000-000053230000}"/>
    <cellStyle name="40% - 强调文字颜色 5 12 6 3" xfId="4290" xr:uid="{00000000-0005-0000-0000-000054230000}"/>
    <cellStyle name="40% - 强调文字颜色 5 12 6 4" xfId="3948" xr:uid="{00000000-0005-0000-0000-000055230000}"/>
    <cellStyle name="40% - 强调文字颜色 5 12 6 5" xfId="3968" xr:uid="{00000000-0005-0000-0000-000056230000}"/>
    <cellStyle name="40% - 强调文字颜色 5 12 6 6" xfId="4905" xr:uid="{00000000-0005-0000-0000-000057230000}"/>
    <cellStyle name="40% - 强调文字颜色 5 12 6 7" xfId="5207" xr:uid="{00000000-0005-0000-0000-000058230000}"/>
    <cellStyle name="40% - 强调文字颜色 5 12 6 8" xfId="18371" xr:uid="{00000000-0005-0000-0000-000059230000}"/>
    <cellStyle name="40% - 强调文字颜色 5 12 7" xfId="304" xr:uid="{00000000-0005-0000-0000-00005A230000}"/>
    <cellStyle name="40% - 强调文字颜色 5 12 8" xfId="7077" xr:uid="{00000000-0005-0000-0000-00005B230000}"/>
    <cellStyle name="40% - 强调文字颜色 5 12 9" xfId="7085" xr:uid="{00000000-0005-0000-0000-00005C230000}"/>
    <cellStyle name="40% - 强调文字颜色 5 12 9 2" xfId="12814" xr:uid="{00000000-0005-0000-0000-00005D230000}"/>
    <cellStyle name="40% - 强调文字颜色 5 12 9 3" xfId="12816" xr:uid="{00000000-0005-0000-0000-00005E230000}"/>
    <cellStyle name="40% - 强调文字颜色 5 13" xfId="18373" xr:uid="{00000000-0005-0000-0000-00005F230000}"/>
    <cellStyle name="40% - 强调文字颜色 5 14" xfId="18375" xr:uid="{00000000-0005-0000-0000-000060230000}"/>
    <cellStyle name="40% - 强调文字颜色 5 15" xfId="18377" xr:uid="{00000000-0005-0000-0000-000061230000}"/>
    <cellStyle name="40% - 强调文字颜色 5 16" xfId="18379" xr:uid="{00000000-0005-0000-0000-000062230000}"/>
    <cellStyle name="40% - 强调文字颜色 5 16 10" xfId="18381" xr:uid="{00000000-0005-0000-0000-000063230000}"/>
    <cellStyle name="40% - 强调文字颜色 5 16 11" xfId="5028" xr:uid="{00000000-0005-0000-0000-000064230000}"/>
    <cellStyle name="40% - 强调文字颜色 5 16 12" xfId="6506" xr:uid="{00000000-0005-0000-0000-000065230000}"/>
    <cellStyle name="40% - 强调文字颜色 5 16 13" xfId="16153" xr:uid="{00000000-0005-0000-0000-000066230000}"/>
    <cellStyle name="40% - 强调文字颜色 5 16 14" xfId="16155" xr:uid="{00000000-0005-0000-0000-000067230000}"/>
    <cellStyle name="40% - 强调文字颜色 5 16 2" xfId="18382" xr:uid="{00000000-0005-0000-0000-000068230000}"/>
    <cellStyle name="40% - 强调文字颜色 5 16 3" xfId="18383" xr:uid="{00000000-0005-0000-0000-000069230000}"/>
    <cellStyle name="40% - 强调文字颜色 5 16 4" xfId="18385" xr:uid="{00000000-0005-0000-0000-00006A230000}"/>
    <cellStyle name="40% - 强调文字颜色 5 16 5" xfId="18387" xr:uid="{00000000-0005-0000-0000-00006B230000}"/>
    <cellStyle name="40% - 强调文字颜色 5 16 5 10" xfId="16792" xr:uid="{00000000-0005-0000-0000-00006C230000}"/>
    <cellStyle name="40% - 强调文字颜色 5 16 5 11" xfId="16794" xr:uid="{00000000-0005-0000-0000-00006D230000}"/>
    <cellStyle name="40% - 强调文字颜色 5 16 5 2" xfId="10886" xr:uid="{00000000-0005-0000-0000-00006E230000}"/>
    <cellStyle name="40% - 强调文字颜色 5 16 5 2 2" xfId="18388" xr:uid="{00000000-0005-0000-0000-00006F230000}"/>
    <cellStyle name="40% - 强调文字颜色 5 16 5 2 2 2" xfId="2524" xr:uid="{00000000-0005-0000-0000-000070230000}"/>
    <cellStyle name="40% - 强调文字颜色 5 16 5 2 2 3" xfId="5131" xr:uid="{00000000-0005-0000-0000-000071230000}"/>
    <cellStyle name="40% - 强调文字颜色 5 16 5 2 3" xfId="18390" xr:uid="{00000000-0005-0000-0000-000072230000}"/>
    <cellStyle name="40% - 强调文字颜色 5 16 5 2 4" xfId="18392" xr:uid="{00000000-0005-0000-0000-000073230000}"/>
    <cellStyle name="40% - 强调文字颜色 5 16 5 2 5" xfId="18394" xr:uid="{00000000-0005-0000-0000-000074230000}"/>
    <cellStyle name="40% - 强调文字颜色 5 16 5 2 6" xfId="18396" xr:uid="{00000000-0005-0000-0000-000075230000}"/>
    <cellStyle name="40% - 强调文字颜色 5 16 5 2 7" xfId="18398" xr:uid="{00000000-0005-0000-0000-000076230000}"/>
    <cellStyle name="40% - 强调文字颜色 5 16 5 2 8" xfId="18400" xr:uid="{00000000-0005-0000-0000-000077230000}"/>
    <cellStyle name="40% - 强调文字颜色 5 16 5 3" xfId="10896" xr:uid="{00000000-0005-0000-0000-000078230000}"/>
    <cellStyle name="40% - 强调文字颜色 5 16 5 4" xfId="10899" xr:uid="{00000000-0005-0000-0000-000079230000}"/>
    <cellStyle name="40% - 强调文字颜色 5 16 5 5" xfId="10901" xr:uid="{00000000-0005-0000-0000-00007A230000}"/>
    <cellStyle name="40% - 强调文字颜色 5 16 5 6" xfId="10903" xr:uid="{00000000-0005-0000-0000-00007B230000}"/>
    <cellStyle name="40% - 强调文字颜色 5 16 5 6 2" xfId="18401" xr:uid="{00000000-0005-0000-0000-00007C230000}"/>
    <cellStyle name="40% - 强调文字颜色 5 16 5 6 3" xfId="18404" xr:uid="{00000000-0005-0000-0000-00007D230000}"/>
    <cellStyle name="40% - 强调文字颜色 5 16 5 7" xfId="18406" xr:uid="{00000000-0005-0000-0000-00007E230000}"/>
    <cellStyle name="40% - 强调文字颜色 5 16 5 8" xfId="18407" xr:uid="{00000000-0005-0000-0000-00007F230000}"/>
    <cellStyle name="40% - 强调文字颜色 5 16 5 9" xfId="1217" xr:uid="{00000000-0005-0000-0000-000080230000}"/>
    <cellStyle name="40% - 强调文字颜色 5 16 6" xfId="18409" xr:uid="{00000000-0005-0000-0000-000081230000}"/>
    <cellStyle name="40% - 强调文字颜色 5 16 6 2" xfId="5414" xr:uid="{00000000-0005-0000-0000-000082230000}"/>
    <cellStyle name="40% - 强调文字颜色 5 16 6 2 2" xfId="18410" xr:uid="{00000000-0005-0000-0000-000083230000}"/>
    <cellStyle name="40% - 强调文字颜色 5 16 6 2 3" xfId="18414" xr:uid="{00000000-0005-0000-0000-000084230000}"/>
    <cellStyle name="40% - 强调文字颜色 5 16 6 3" xfId="5427" xr:uid="{00000000-0005-0000-0000-000085230000}"/>
    <cellStyle name="40% - 强调文字颜色 5 16 6 4" xfId="5442" xr:uid="{00000000-0005-0000-0000-000086230000}"/>
    <cellStyle name="40% - 强调文字颜色 5 16 6 5" xfId="5458" xr:uid="{00000000-0005-0000-0000-000087230000}"/>
    <cellStyle name="40% - 强调文字颜色 5 16 6 6" xfId="5471" xr:uid="{00000000-0005-0000-0000-000088230000}"/>
    <cellStyle name="40% - 强调文字颜色 5 16 6 7" xfId="5480" xr:uid="{00000000-0005-0000-0000-000089230000}"/>
    <cellStyle name="40% - 强调文字颜色 5 16 6 8" xfId="6856" xr:uid="{00000000-0005-0000-0000-00008A230000}"/>
    <cellStyle name="40% - 强调文字颜色 5 16 7" xfId="18416" xr:uid="{00000000-0005-0000-0000-00008B230000}"/>
    <cellStyle name="40% - 强调文字颜色 5 16 8" xfId="18419" xr:uid="{00000000-0005-0000-0000-00008C230000}"/>
    <cellStyle name="40% - 强调文字颜色 5 16 9" xfId="18421" xr:uid="{00000000-0005-0000-0000-00008D230000}"/>
    <cellStyle name="40% - 强调文字颜色 5 16 9 2" xfId="18423" xr:uid="{00000000-0005-0000-0000-00008E230000}"/>
    <cellStyle name="40% - 强调文字颜色 5 16 9 3" xfId="18425" xr:uid="{00000000-0005-0000-0000-00008F230000}"/>
    <cellStyle name="40% - 强调文字颜色 5 17" xfId="18427" xr:uid="{00000000-0005-0000-0000-000090230000}"/>
    <cellStyle name="40% - 强调文字颜色 5 17 10" xfId="18428" xr:uid="{00000000-0005-0000-0000-000091230000}"/>
    <cellStyle name="40% - 强调文字颜色 5 17 11" xfId="18429" xr:uid="{00000000-0005-0000-0000-000092230000}"/>
    <cellStyle name="40% - 强调文字颜色 5 17 12" xfId="18430" xr:uid="{00000000-0005-0000-0000-000093230000}"/>
    <cellStyle name="40% - 强调文字颜色 5 17 13" xfId="18433" xr:uid="{00000000-0005-0000-0000-000094230000}"/>
    <cellStyle name="40% - 强调文字颜色 5 17 14" xfId="18436" xr:uid="{00000000-0005-0000-0000-000095230000}"/>
    <cellStyle name="40% - 强调文字颜色 5 17 2" xfId="18437" xr:uid="{00000000-0005-0000-0000-000096230000}"/>
    <cellStyle name="40% - 强调文字颜色 5 17 3" xfId="18438" xr:uid="{00000000-0005-0000-0000-000097230000}"/>
    <cellStyle name="40% - 强调文字颜色 5 17 4" xfId="18439" xr:uid="{00000000-0005-0000-0000-000098230000}"/>
    <cellStyle name="40% - 强调文字颜色 5 17 5" xfId="18440" xr:uid="{00000000-0005-0000-0000-000099230000}"/>
    <cellStyle name="40% - 强调文字颜色 5 17 5 10" xfId="18442" xr:uid="{00000000-0005-0000-0000-00009A230000}"/>
    <cellStyle name="40% - 强调文字颜色 5 17 5 11" xfId="18444" xr:uid="{00000000-0005-0000-0000-00009B230000}"/>
    <cellStyle name="40% - 强调文字颜色 5 17 5 2" xfId="2978" xr:uid="{00000000-0005-0000-0000-00009C230000}"/>
    <cellStyle name="40% - 强调文字颜色 5 17 5 2 2" xfId="10409" xr:uid="{00000000-0005-0000-0000-00009D230000}"/>
    <cellStyle name="40% - 强调文字颜色 5 17 5 2 2 2" xfId="17679" xr:uid="{00000000-0005-0000-0000-00009E230000}"/>
    <cellStyle name="40% - 强调文字颜色 5 17 5 2 2 3" xfId="5343" xr:uid="{00000000-0005-0000-0000-00009F230000}"/>
    <cellStyle name="40% - 强调文字颜色 5 17 5 2 3" xfId="10423" xr:uid="{00000000-0005-0000-0000-0000A0230000}"/>
    <cellStyle name="40% - 强调文字颜色 5 17 5 2 4" xfId="18447" xr:uid="{00000000-0005-0000-0000-0000A1230000}"/>
    <cellStyle name="40% - 强调文字颜色 5 17 5 2 5" xfId="18450" xr:uid="{00000000-0005-0000-0000-0000A2230000}"/>
    <cellStyle name="40% - 强调文字颜色 5 17 5 2 6" xfId="18454" xr:uid="{00000000-0005-0000-0000-0000A3230000}"/>
    <cellStyle name="40% - 强调文字颜色 5 17 5 2 7" xfId="18457" xr:uid="{00000000-0005-0000-0000-0000A4230000}"/>
    <cellStyle name="40% - 强调文字颜色 5 17 5 2 8" xfId="6872" xr:uid="{00000000-0005-0000-0000-0000A5230000}"/>
    <cellStyle name="40% - 强调文字颜色 5 17 5 3" xfId="2997" xr:uid="{00000000-0005-0000-0000-0000A6230000}"/>
    <cellStyle name="40% - 强调文字颜色 5 17 5 4" xfId="3002" xr:uid="{00000000-0005-0000-0000-0000A7230000}"/>
    <cellStyle name="40% - 强调文字颜色 5 17 5 5" xfId="3012" xr:uid="{00000000-0005-0000-0000-0000A8230000}"/>
    <cellStyle name="40% - 强调文字颜色 5 17 5 6" xfId="3021" xr:uid="{00000000-0005-0000-0000-0000A9230000}"/>
    <cellStyle name="40% - 强调文字颜色 5 17 5 6 2" xfId="18458" xr:uid="{00000000-0005-0000-0000-0000AA230000}"/>
    <cellStyle name="40% - 强调文字颜色 5 17 5 6 3" xfId="18460" xr:uid="{00000000-0005-0000-0000-0000AB230000}"/>
    <cellStyle name="40% - 强调文字颜色 5 17 5 7" xfId="5226" xr:uid="{00000000-0005-0000-0000-0000AC230000}"/>
    <cellStyle name="40% - 强调文字颜色 5 17 5 8" xfId="5232" xr:uid="{00000000-0005-0000-0000-0000AD230000}"/>
    <cellStyle name="40% - 强调文字颜色 5 17 5 9" xfId="4662" xr:uid="{00000000-0005-0000-0000-0000AE230000}"/>
    <cellStyle name="40% - 强调文字颜色 5 17 6" xfId="18463" xr:uid="{00000000-0005-0000-0000-0000AF230000}"/>
    <cellStyle name="40% - 强调文字颜色 5 17 6 2" xfId="5708" xr:uid="{00000000-0005-0000-0000-0000B0230000}"/>
    <cellStyle name="40% - 强调文字颜色 5 17 6 2 2" xfId="10453" xr:uid="{00000000-0005-0000-0000-0000B1230000}"/>
    <cellStyle name="40% - 强调文字颜色 5 17 6 2 3" xfId="18469" xr:uid="{00000000-0005-0000-0000-0000B2230000}"/>
    <cellStyle name="40% - 强调文字颜色 5 17 6 3" xfId="5714" xr:uid="{00000000-0005-0000-0000-0000B3230000}"/>
    <cellStyle name="40% - 强调文字颜色 5 17 6 4" xfId="5728" xr:uid="{00000000-0005-0000-0000-0000B4230000}"/>
    <cellStyle name="40% - 强调文字颜色 5 17 6 5" xfId="5749" xr:uid="{00000000-0005-0000-0000-0000B5230000}"/>
    <cellStyle name="40% - 强调文字颜色 5 17 6 6" xfId="5759" xr:uid="{00000000-0005-0000-0000-0000B6230000}"/>
    <cellStyle name="40% - 强调文字颜色 5 17 6 7" xfId="5770" xr:uid="{00000000-0005-0000-0000-0000B7230000}"/>
    <cellStyle name="40% - 强调文字颜色 5 17 6 8" xfId="18470" xr:uid="{00000000-0005-0000-0000-0000B8230000}"/>
    <cellStyle name="40% - 强调文字颜色 5 17 7" xfId="18472" xr:uid="{00000000-0005-0000-0000-0000B9230000}"/>
    <cellStyle name="40% - 强调文字颜色 5 17 8" xfId="18473" xr:uid="{00000000-0005-0000-0000-0000BA230000}"/>
    <cellStyle name="40% - 强调文字颜色 5 17 9" xfId="18474" xr:uid="{00000000-0005-0000-0000-0000BB230000}"/>
    <cellStyle name="40% - 强调文字颜色 5 17 9 2" xfId="18478" xr:uid="{00000000-0005-0000-0000-0000BC230000}"/>
    <cellStyle name="40% - 强调文字颜色 5 17 9 3" xfId="18480" xr:uid="{00000000-0005-0000-0000-0000BD230000}"/>
    <cellStyle name="40% - 强调文字颜色 5 18" xfId="18483" xr:uid="{00000000-0005-0000-0000-0000BE230000}"/>
    <cellStyle name="40% - 强调文字颜色 5 18 10" xfId="10486" xr:uid="{00000000-0005-0000-0000-0000BF230000}"/>
    <cellStyle name="40% - 强调文字颜色 5 18 11" xfId="10494" xr:uid="{00000000-0005-0000-0000-0000C0230000}"/>
    <cellStyle name="40% - 强调文字颜色 5 18 12" xfId="10502" xr:uid="{00000000-0005-0000-0000-0000C1230000}"/>
    <cellStyle name="40% - 强调文字颜色 5 18 13" xfId="10523" xr:uid="{00000000-0005-0000-0000-0000C2230000}"/>
    <cellStyle name="40% - 强调文字颜色 5 18 14" xfId="18486" xr:uid="{00000000-0005-0000-0000-0000C3230000}"/>
    <cellStyle name="40% - 强调文字颜色 5 18 2" xfId="18487" xr:uid="{00000000-0005-0000-0000-0000C4230000}"/>
    <cellStyle name="40% - 强调文字颜色 5 18 3" xfId="18489" xr:uid="{00000000-0005-0000-0000-0000C5230000}"/>
    <cellStyle name="40% - 强调文字颜色 5 18 4" xfId="18491" xr:uid="{00000000-0005-0000-0000-0000C6230000}"/>
    <cellStyle name="40% - 强调文字颜色 5 18 5" xfId="18494" xr:uid="{00000000-0005-0000-0000-0000C7230000}"/>
    <cellStyle name="40% - 强调文字颜色 5 18 5 10" xfId="18498" xr:uid="{00000000-0005-0000-0000-0000C8230000}"/>
    <cellStyle name="40% - 强调文字颜色 5 18 5 11" xfId="18500" xr:uid="{00000000-0005-0000-0000-0000C9230000}"/>
    <cellStyle name="40% - 强调文字颜色 5 18 5 2" xfId="7949" xr:uid="{00000000-0005-0000-0000-0000CA230000}"/>
    <cellStyle name="40% - 强调文字颜色 5 18 5 2 2" xfId="18503" xr:uid="{00000000-0005-0000-0000-0000CB230000}"/>
    <cellStyle name="40% - 强调文字颜色 5 18 5 2 2 2" xfId="18505" xr:uid="{00000000-0005-0000-0000-0000CC230000}"/>
    <cellStyle name="40% - 强调文字颜色 5 18 5 2 2 3" xfId="18508" xr:uid="{00000000-0005-0000-0000-0000CD230000}"/>
    <cellStyle name="40% - 强调文字颜色 5 18 5 2 3" xfId="18512" xr:uid="{00000000-0005-0000-0000-0000CE230000}"/>
    <cellStyle name="40% - 强调文字颜色 5 18 5 2 4" xfId="18515" xr:uid="{00000000-0005-0000-0000-0000CF230000}"/>
    <cellStyle name="40% - 强调文字颜色 5 18 5 2 5" xfId="18518" xr:uid="{00000000-0005-0000-0000-0000D0230000}"/>
    <cellStyle name="40% - 强调文字颜色 5 18 5 2 6" xfId="18521" xr:uid="{00000000-0005-0000-0000-0000D1230000}"/>
    <cellStyle name="40% - 强调文字颜色 5 18 5 2 7" xfId="18524" xr:uid="{00000000-0005-0000-0000-0000D2230000}"/>
    <cellStyle name="40% - 强调文字颜色 5 18 5 2 8" xfId="17546" xr:uid="{00000000-0005-0000-0000-0000D3230000}"/>
    <cellStyle name="40% - 强调文字颜色 5 18 5 3" xfId="7957" xr:uid="{00000000-0005-0000-0000-0000D4230000}"/>
    <cellStyle name="40% - 强调文字颜色 5 18 5 4" xfId="7961" xr:uid="{00000000-0005-0000-0000-0000D5230000}"/>
    <cellStyle name="40% - 强调文字颜色 5 18 5 5" xfId="7968" xr:uid="{00000000-0005-0000-0000-0000D6230000}"/>
    <cellStyle name="40% - 强调文字颜色 5 18 5 6" xfId="7975" xr:uid="{00000000-0005-0000-0000-0000D7230000}"/>
    <cellStyle name="40% - 强调文字颜色 5 18 5 6 2" xfId="18525" xr:uid="{00000000-0005-0000-0000-0000D8230000}"/>
    <cellStyle name="40% - 强调文字颜色 5 18 5 6 3" xfId="9389" xr:uid="{00000000-0005-0000-0000-0000D9230000}"/>
    <cellStyle name="40% - 强调文字颜色 5 18 5 7" xfId="7982" xr:uid="{00000000-0005-0000-0000-0000DA230000}"/>
    <cellStyle name="40% - 强调文字颜色 5 18 5 8" xfId="7988" xr:uid="{00000000-0005-0000-0000-0000DB230000}"/>
    <cellStyle name="40% - 强调文字颜色 5 18 5 9" xfId="10563" xr:uid="{00000000-0005-0000-0000-0000DC230000}"/>
    <cellStyle name="40% - 强调文字颜色 5 18 6" xfId="18529" xr:uid="{00000000-0005-0000-0000-0000DD230000}"/>
    <cellStyle name="40% - 强调文字颜色 5 18 6 2" xfId="5936" xr:uid="{00000000-0005-0000-0000-0000DE230000}"/>
    <cellStyle name="40% - 强调文字颜色 5 18 6 2 2" xfId="10570" xr:uid="{00000000-0005-0000-0000-0000DF230000}"/>
    <cellStyle name="40% - 强调文字颜色 5 18 6 2 3" xfId="10578" xr:uid="{00000000-0005-0000-0000-0000E0230000}"/>
    <cellStyle name="40% - 强调文字颜色 5 18 6 3" xfId="5948" xr:uid="{00000000-0005-0000-0000-0000E1230000}"/>
    <cellStyle name="40% - 强调文字颜色 5 18 6 4" xfId="5957" xr:uid="{00000000-0005-0000-0000-0000E2230000}"/>
    <cellStyle name="40% - 强调文字颜色 5 18 6 5" xfId="1499" xr:uid="{00000000-0005-0000-0000-0000E3230000}"/>
    <cellStyle name="40% - 强调文字颜色 5 18 6 6" xfId="1514" xr:uid="{00000000-0005-0000-0000-0000E4230000}"/>
    <cellStyle name="40% - 强调文字颜色 5 18 6 7" xfId="4420" xr:uid="{00000000-0005-0000-0000-0000E5230000}"/>
    <cellStyle name="40% - 强调文字颜色 5 18 6 8" xfId="18534" xr:uid="{00000000-0005-0000-0000-0000E6230000}"/>
    <cellStyle name="40% - 强调文字颜色 5 18 7" xfId="18538" xr:uid="{00000000-0005-0000-0000-0000E7230000}"/>
    <cellStyle name="40% - 强调文字颜色 5 18 8" xfId="6780" xr:uid="{00000000-0005-0000-0000-0000E8230000}"/>
    <cellStyle name="40% - 强调文字颜色 5 18 9" xfId="7617" xr:uid="{00000000-0005-0000-0000-0000E9230000}"/>
    <cellStyle name="40% - 强调文字颜色 5 18 9 2" xfId="562" xr:uid="{00000000-0005-0000-0000-0000EA230000}"/>
    <cellStyle name="40% - 强调文字颜色 5 18 9 3" xfId="407" xr:uid="{00000000-0005-0000-0000-0000EB230000}"/>
    <cellStyle name="40% - 强调文字颜色 5 19" xfId="18540" xr:uid="{00000000-0005-0000-0000-0000EC230000}"/>
    <cellStyle name="40% - 强调文字颜色 5 2" xfId="12548" xr:uid="{00000000-0005-0000-0000-0000ED230000}"/>
    <cellStyle name="40% - 强调文字颜色 5 2 10" xfId="18541" xr:uid="{00000000-0005-0000-0000-0000EE230000}"/>
    <cellStyle name="40% - 强调文字颜色 5 2 11" xfId="18545" xr:uid="{00000000-0005-0000-0000-0000EF230000}"/>
    <cellStyle name="40% - 强调文字颜色 5 2 12" xfId="18549" xr:uid="{00000000-0005-0000-0000-0000F0230000}"/>
    <cellStyle name="40% - 强调文字颜色 5 2 13" xfId="18553" xr:uid="{00000000-0005-0000-0000-0000F1230000}"/>
    <cellStyle name="40% - 强调文字颜色 5 2 14" xfId="18556" xr:uid="{00000000-0005-0000-0000-0000F2230000}"/>
    <cellStyle name="40% - 强调文字颜色 5 2 15" xfId="18562" xr:uid="{00000000-0005-0000-0000-0000F3230000}"/>
    <cellStyle name="40% - 强调文字颜色 5 2 16" xfId="16642" xr:uid="{00000000-0005-0000-0000-0000F4230000}"/>
    <cellStyle name="40% - 强调文字颜色 5 2 17" xfId="16647" xr:uid="{00000000-0005-0000-0000-0000F5230000}"/>
    <cellStyle name="40% - 强调文字颜色 5 2 17 10" xfId="2347" xr:uid="{00000000-0005-0000-0000-0000F6230000}"/>
    <cellStyle name="40% - 强调文字颜色 5 2 17 11" xfId="2356" xr:uid="{00000000-0005-0000-0000-0000F7230000}"/>
    <cellStyle name="40% - 强调文字颜色 5 2 17 12" xfId="18568" xr:uid="{00000000-0005-0000-0000-0000F8230000}"/>
    <cellStyle name="40% - 强调文字颜色 5 2 17 13" xfId="18572" xr:uid="{00000000-0005-0000-0000-0000F9230000}"/>
    <cellStyle name="40% - 强调文字颜色 5 2 17 14" xfId="18576" xr:uid="{00000000-0005-0000-0000-0000FA230000}"/>
    <cellStyle name="40% - 强调文字颜色 5 2 17 2" xfId="18581" xr:uid="{00000000-0005-0000-0000-0000FB230000}"/>
    <cellStyle name="40% - 强调文字颜色 5 2 17 3" xfId="18586" xr:uid="{00000000-0005-0000-0000-0000FC230000}"/>
    <cellStyle name="40% - 强调文字颜色 5 2 17 4" xfId="18589" xr:uid="{00000000-0005-0000-0000-0000FD230000}"/>
    <cellStyle name="40% - 强调文字颜色 5 2 17 5" xfId="5369" xr:uid="{00000000-0005-0000-0000-0000FE230000}"/>
    <cellStyle name="40% - 强调文字颜色 5 2 17 5 10" xfId="5436" xr:uid="{00000000-0005-0000-0000-0000FF230000}"/>
    <cellStyle name="40% - 强调文字颜色 5 2 17 5 11" xfId="5450" xr:uid="{00000000-0005-0000-0000-000000240000}"/>
    <cellStyle name="40% - 强调文字颜色 5 2 17 5 2" xfId="18591" xr:uid="{00000000-0005-0000-0000-000001240000}"/>
    <cellStyle name="40% - 强调文字颜色 5 2 17 5 2 2" xfId="7629" xr:uid="{00000000-0005-0000-0000-000002240000}"/>
    <cellStyle name="40% - 强调文字颜色 5 2 17 5 2 2 2" xfId="18592" xr:uid="{00000000-0005-0000-0000-000003240000}"/>
    <cellStyle name="40% - 强调文字颜色 5 2 17 5 2 2 3" xfId="18593" xr:uid="{00000000-0005-0000-0000-000004240000}"/>
    <cellStyle name="40% - 强调文字颜色 5 2 17 5 2 3" xfId="8928" xr:uid="{00000000-0005-0000-0000-000005240000}"/>
    <cellStyle name="40% - 强调文字颜色 5 2 17 5 2 4" xfId="915" xr:uid="{00000000-0005-0000-0000-000006240000}"/>
    <cellStyle name="40% - 强调文字颜色 5 2 17 5 2 5" xfId="954" xr:uid="{00000000-0005-0000-0000-000007240000}"/>
    <cellStyle name="40% - 强调文字颜色 5 2 17 5 2 6" xfId="990" xr:uid="{00000000-0005-0000-0000-000008240000}"/>
    <cellStyle name="40% - 强调文字颜色 5 2 17 5 2 7" xfId="1012" xr:uid="{00000000-0005-0000-0000-000009240000}"/>
    <cellStyle name="40% - 强调文字颜色 5 2 17 5 2 8" xfId="1050" xr:uid="{00000000-0005-0000-0000-00000A240000}"/>
    <cellStyle name="40% - 强调文字颜色 5 2 17 5 3" xfId="18595" xr:uid="{00000000-0005-0000-0000-00000B240000}"/>
    <cellStyle name="40% - 强调文字颜色 5 2 17 5 4" xfId="18598" xr:uid="{00000000-0005-0000-0000-00000C240000}"/>
    <cellStyle name="40% - 强调文字颜色 5 2 17 5 5" xfId="18603" xr:uid="{00000000-0005-0000-0000-00000D240000}"/>
    <cellStyle name="40% - 强调文字颜色 5 2 17 5 6" xfId="18605" xr:uid="{00000000-0005-0000-0000-00000E240000}"/>
    <cellStyle name="40% - 强调文字颜色 5 2 17 5 6 2" xfId="18611" xr:uid="{00000000-0005-0000-0000-00000F240000}"/>
    <cellStyle name="40% - 强调文字颜色 5 2 17 5 6 3" xfId="18620" xr:uid="{00000000-0005-0000-0000-000010240000}"/>
    <cellStyle name="40% - 强调文字颜色 5 2 17 5 7" xfId="18622" xr:uid="{00000000-0005-0000-0000-000011240000}"/>
    <cellStyle name="40% - 强调文字颜色 5 2 17 5 8" xfId="18624" xr:uid="{00000000-0005-0000-0000-000012240000}"/>
    <cellStyle name="40% - 强调文字颜色 5 2 17 5 9" xfId="16475" xr:uid="{00000000-0005-0000-0000-000013240000}"/>
    <cellStyle name="40% - 强调文字颜色 5 2 17 6" xfId="5387" xr:uid="{00000000-0005-0000-0000-000014240000}"/>
    <cellStyle name="40% - 强调文字颜色 5 2 17 6 2" xfId="18625" xr:uid="{00000000-0005-0000-0000-000015240000}"/>
    <cellStyle name="40% - 强调文字颜色 5 2 17 6 2 2" xfId="18629" xr:uid="{00000000-0005-0000-0000-000016240000}"/>
    <cellStyle name="40% - 强调文字颜色 5 2 17 6 2 3" xfId="18635" xr:uid="{00000000-0005-0000-0000-000017240000}"/>
    <cellStyle name="40% - 强调文字颜色 5 2 17 6 3" xfId="18636" xr:uid="{00000000-0005-0000-0000-000018240000}"/>
    <cellStyle name="40% - 强调文字颜色 5 2 17 6 4" xfId="7878" xr:uid="{00000000-0005-0000-0000-000019240000}"/>
    <cellStyle name="40% - 强调文字颜色 5 2 17 6 5" xfId="7885" xr:uid="{00000000-0005-0000-0000-00001A240000}"/>
    <cellStyle name="40% - 强调文字颜色 5 2 17 6 6" xfId="18639" xr:uid="{00000000-0005-0000-0000-00001B240000}"/>
    <cellStyle name="40% - 强调文字颜色 5 2 17 6 7" xfId="18642" xr:uid="{00000000-0005-0000-0000-00001C240000}"/>
    <cellStyle name="40% - 强调文字颜色 5 2 17 6 8" xfId="18645" xr:uid="{00000000-0005-0000-0000-00001D240000}"/>
    <cellStyle name="40% - 强调文字颜色 5 2 17 7" xfId="18648" xr:uid="{00000000-0005-0000-0000-00001E240000}"/>
    <cellStyle name="40% - 强调文字颜色 5 2 17 8" xfId="12520" xr:uid="{00000000-0005-0000-0000-00001F240000}"/>
    <cellStyle name="40% - 强调文字颜色 5 2 17 9" xfId="12529" xr:uid="{00000000-0005-0000-0000-000020240000}"/>
    <cellStyle name="40% - 强调文字颜色 5 2 17 9 2" xfId="18651" xr:uid="{00000000-0005-0000-0000-000021240000}"/>
    <cellStyle name="40% - 强调文字颜色 5 2 17 9 3" xfId="14171" xr:uid="{00000000-0005-0000-0000-000022240000}"/>
    <cellStyle name="40% - 强调文字颜色 5 2 18" xfId="16651" xr:uid="{00000000-0005-0000-0000-000023240000}"/>
    <cellStyle name="40% - 强调文字颜色 5 2 18 10" xfId="18653" xr:uid="{00000000-0005-0000-0000-000024240000}"/>
    <cellStyle name="40% - 强调文字颜色 5 2 18 11" xfId="18655" xr:uid="{00000000-0005-0000-0000-000025240000}"/>
    <cellStyle name="40% - 强调文字颜色 5 2 18 12" xfId="18657" xr:uid="{00000000-0005-0000-0000-000026240000}"/>
    <cellStyle name="40% - 强调文字颜色 5 2 18 13" xfId="18659" xr:uid="{00000000-0005-0000-0000-000027240000}"/>
    <cellStyle name="40% - 强调文字颜色 5 2 18 14" xfId="9984" xr:uid="{00000000-0005-0000-0000-000028240000}"/>
    <cellStyle name="40% - 强调文字颜色 5 2 18 2" xfId="743" xr:uid="{00000000-0005-0000-0000-000029240000}"/>
    <cellStyle name="40% - 强调文字颜色 5 2 18 3" xfId="1269" xr:uid="{00000000-0005-0000-0000-00002A240000}"/>
    <cellStyle name="40% - 强调文字颜色 5 2 18 4" xfId="6097" xr:uid="{00000000-0005-0000-0000-00002B240000}"/>
    <cellStyle name="40% - 强调文字颜色 5 2 18 5" xfId="6141" xr:uid="{00000000-0005-0000-0000-00002C240000}"/>
    <cellStyle name="40% - 强调文字颜色 5 2 18 5 10" xfId="18660" xr:uid="{00000000-0005-0000-0000-00002D240000}"/>
    <cellStyle name="40% - 强调文字颜色 5 2 18 5 11" xfId="18661" xr:uid="{00000000-0005-0000-0000-00002E240000}"/>
    <cellStyle name="40% - 强调文字颜色 5 2 18 5 2" xfId="18664" xr:uid="{00000000-0005-0000-0000-00002F240000}"/>
    <cellStyle name="40% - 强调文字颜色 5 2 18 5 2 2" xfId="7682" xr:uid="{00000000-0005-0000-0000-000030240000}"/>
    <cellStyle name="40% - 强调文字颜色 5 2 18 5 2 2 2" xfId="1155" xr:uid="{00000000-0005-0000-0000-000031240000}"/>
    <cellStyle name="40% - 强调文字颜色 5 2 18 5 2 2 3" xfId="18665" xr:uid="{00000000-0005-0000-0000-000032240000}"/>
    <cellStyle name="40% - 强调文字颜色 5 2 18 5 2 3" xfId="9667" xr:uid="{00000000-0005-0000-0000-000033240000}"/>
    <cellStyle name="40% - 强调文字颜色 5 2 18 5 2 4" xfId="9672" xr:uid="{00000000-0005-0000-0000-000034240000}"/>
    <cellStyle name="40% - 强调文字颜色 5 2 18 5 2 5" xfId="17884" xr:uid="{00000000-0005-0000-0000-000035240000}"/>
    <cellStyle name="40% - 强调文字颜色 5 2 18 5 2 6" xfId="9063" xr:uid="{00000000-0005-0000-0000-000036240000}"/>
    <cellStyle name="40% - 强调文字颜色 5 2 18 5 2 7" xfId="9070" xr:uid="{00000000-0005-0000-0000-000037240000}"/>
    <cellStyle name="40% - 强调文字颜色 5 2 18 5 2 8" xfId="9083" xr:uid="{00000000-0005-0000-0000-000038240000}"/>
    <cellStyle name="40% - 强调文字颜色 5 2 18 5 3" xfId="18668" xr:uid="{00000000-0005-0000-0000-000039240000}"/>
    <cellStyle name="40% - 强调文字颜色 5 2 18 5 4" xfId="18672" xr:uid="{00000000-0005-0000-0000-00003A240000}"/>
    <cellStyle name="40% - 强调文字颜色 5 2 18 5 5" xfId="18677" xr:uid="{00000000-0005-0000-0000-00003B240000}"/>
    <cellStyle name="40% - 强调文字颜色 5 2 18 5 6" xfId="18680" xr:uid="{00000000-0005-0000-0000-00003C240000}"/>
    <cellStyle name="40% - 强调文字颜色 5 2 18 5 6 2" xfId="14663" xr:uid="{00000000-0005-0000-0000-00003D240000}"/>
    <cellStyle name="40% - 强调文字颜色 5 2 18 5 6 3" xfId="18681" xr:uid="{00000000-0005-0000-0000-00003E240000}"/>
    <cellStyle name="40% - 强调文字颜色 5 2 18 5 7" xfId="18684" xr:uid="{00000000-0005-0000-0000-00003F240000}"/>
    <cellStyle name="40% - 强调文字颜色 5 2 18 5 8" xfId="18687" xr:uid="{00000000-0005-0000-0000-000040240000}"/>
    <cellStyle name="40% - 强调文字颜色 5 2 18 5 9" xfId="18689" xr:uid="{00000000-0005-0000-0000-000041240000}"/>
    <cellStyle name="40% - 强调文字颜色 5 2 18 6" xfId="6149" xr:uid="{00000000-0005-0000-0000-000042240000}"/>
    <cellStyle name="40% - 强调文字颜色 5 2 18 6 2" xfId="18690" xr:uid="{00000000-0005-0000-0000-000043240000}"/>
    <cellStyle name="40% - 强调文字颜色 5 2 18 6 2 2" xfId="17927" xr:uid="{00000000-0005-0000-0000-000044240000}"/>
    <cellStyle name="40% - 强调文字颜色 5 2 18 6 2 3" xfId="17931" xr:uid="{00000000-0005-0000-0000-000045240000}"/>
    <cellStyle name="40% - 强调文字颜色 5 2 18 6 3" xfId="18692" xr:uid="{00000000-0005-0000-0000-000046240000}"/>
    <cellStyle name="40% - 强调文字颜色 5 2 18 6 4" xfId="18694" xr:uid="{00000000-0005-0000-0000-000047240000}"/>
    <cellStyle name="40% - 强调文字颜色 5 2 18 6 5" xfId="7803" xr:uid="{00000000-0005-0000-0000-000048240000}"/>
    <cellStyle name="40% - 强调文字颜色 5 2 18 6 6" xfId="7807" xr:uid="{00000000-0005-0000-0000-000049240000}"/>
    <cellStyle name="40% - 强调文字颜色 5 2 18 6 7" xfId="18697" xr:uid="{00000000-0005-0000-0000-00004A240000}"/>
    <cellStyle name="40% - 强调文字颜色 5 2 18 6 8" xfId="18698" xr:uid="{00000000-0005-0000-0000-00004B240000}"/>
    <cellStyle name="40% - 强调文字颜色 5 2 18 7" xfId="6157" xr:uid="{00000000-0005-0000-0000-00004C240000}"/>
    <cellStyle name="40% - 强调文字颜色 5 2 18 8" xfId="15765" xr:uid="{00000000-0005-0000-0000-00004D240000}"/>
    <cellStyle name="40% - 强调文字颜色 5 2 18 9" xfId="12916" xr:uid="{00000000-0005-0000-0000-00004E240000}"/>
    <cellStyle name="40% - 强调文字颜色 5 2 18 9 2" xfId="18699" xr:uid="{00000000-0005-0000-0000-00004F240000}"/>
    <cellStyle name="40% - 强调文字颜色 5 2 18 9 3" xfId="18700" xr:uid="{00000000-0005-0000-0000-000050240000}"/>
    <cellStyle name="40% - 强调文字颜色 5 2 19" xfId="6528" xr:uid="{00000000-0005-0000-0000-000051240000}"/>
    <cellStyle name="40% - 强调文字颜色 5 2 19 10" xfId="18703" xr:uid="{00000000-0005-0000-0000-000052240000}"/>
    <cellStyle name="40% - 强调文字颜色 5 2 19 11" xfId="18706" xr:uid="{00000000-0005-0000-0000-000053240000}"/>
    <cellStyle name="40% - 强调文字颜色 5 2 19 12" xfId="18709" xr:uid="{00000000-0005-0000-0000-000054240000}"/>
    <cellStyle name="40% - 强调文字颜色 5 2 19 13" xfId="18712" xr:uid="{00000000-0005-0000-0000-000055240000}"/>
    <cellStyle name="40% - 强调文字颜色 5 2 19 14" xfId="18715" xr:uid="{00000000-0005-0000-0000-000056240000}"/>
    <cellStyle name="40% - 强调文字颜色 5 2 19 2" xfId="6174" xr:uid="{00000000-0005-0000-0000-000057240000}"/>
    <cellStyle name="40% - 强调文字颜色 5 2 19 3" xfId="6179" xr:uid="{00000000-0005-0000-0000-000058240000}"/>
    <cellStyle name="40% - 强调文字颜色 5 2 19 4" xfId="6215" xr:uid="{00000000-0005-0000-0000-000059240000}"/>
    <cellStyle name="40% - 强调文字颜色 5 2 19 5" xfId="6241" xr:uid="{00000000-0005-0000-0000-00005A240000}"/>
    <cellStyle name="40% - 强调文字颜色 5 2 19 5 10" xfId="18716" xr:uid="{00000000-0005-0000-0000-00005B240000}"/>
    <cellStyle name="40% - 强调文字颜色 5 2 19 5 11" xfId="18718" xr:uid="{00000000-0005-0000-0000-00005C240000}"/>
    <cellStyle name="40% - 强调文字颜色 5 2 19 5 2" xfId="18720" xr:uid="{00000000-0005-0000-0000-00005D240000}"/>
    <cellStyle name="40% - 强调文字颜色 5 2 19 5 2 2" xfId="9373" xr:uid="{00000000-0005-0000-0000-00005E240000}"/>
    <cellStyle name="40% - 强调文字颜色 5 2 19 5 2 2 2" xfId="13925" xr:uid="{00000000-0005-0000-0000-00005F240000}"/>
    <cellStyle name="40% - 强调文字颜色 5 2 19 5 2 2 3" xfId="13928" xr:uid="{00000000-0005-0000-0000-000060240000}"/>
    <cellStyle name="40% - 强调文字颜色 5 2 19 5 2 3" xfId="9379" xr:uid="{00000000-0005-0000-0000-000061240000}"/>
    <cellStyle name="40% - 强调文字颜色 5 2 19 5 2 4" xfId="9400" xr:uid="{00000000-0005-0000-0000-000062240000}"/>
    <cellStyle name="40% - 强调文字颜色 5 2 19 5 2 5" xfId="18724" xr:uid="{00000000-0005-0000-0000-000063240000}"/>
    <cellStyle name="40% - 强调文字颜色 5 2 19 5 2 6" xfId="222" xr:uid="{00000000-0005-0000-0000-000064240000}"/>
    <cellStyle name="40% - 强调文字颜色 5 2 19 5 2 7" xfId="9418" xr:uid="{00000000-0005-0000-0000-000065240000}"/>
    <cellStyle name="40% - 强调文字颜色 5 2 19 5 2 8" xfId="10239" xr:uid="{00000000-0005-0000-0000-000066240000}"/>
    <cellStyle name="40% - 强调文字颜色 5 2 19 5 3" xfId="18726" xr:uid="{00000000-0005-0000-0000-000067240000}"/>
    <cellStyle name="40% - 强调文字颜色 5 2 19 5 4" xfId="18729" xr:uid="{00000000-0005-0000-0000-000068240000}"/>
    <cellStyle name="40% - 强调文字颜色 5 2 19 5 5" xfId="18733" xr:uid="{00000000-0005-0000-0000-000069240000}"/>
    <cellStyle name="40% - 强调文字颜色 5 2 19 5 6" xfId="18735" xr:uid="{00000000-0005-0000-0000-00006A240000}"/>
    <cellStyle name="40% - 强调文字颜色 5 2 19 5 6 2" xfId="7409" xr:uid="{00000000-0005-0000-0000-00006B240000}"/>
    <cellStyle name="40% - 强调文字颜色 5 2 19 5 6 3" xfId="7420" xr:uid="{00000000-0005-0000-0000-00006C240000}"/>
    <cellStyle name="40% - 强调文字颜色 5 2 19 5 7" xfId="18737" xr:uid="{00000000-0005-0000-0000-00006D240000}"/>
    <cellStyle name="40% - 强调文字颜色 5 2 19 5 8" xfId="18739" xr:uid="{00000000-0005-0000-0000-00006E240000}"/>
    <cellStyle name="40% - 强调文字颜色 5 2 19 5 9" xfId="18741" xr:uid="{00000000-0005-0000-0000-00006F240000}"/>
    <cellStyle name="40% - 强调文字颜色 5 2 19 6" xfId="6245" xr:uid="{00000000-0005-0000-0000-000070240000}"/>
    <cellStyle name="40% - 强调文字颜色 5 2 19 6 2" xfId="18742" xr:uid="{00000000-0005-0000-0000-000071240000}"/>
    <cellStyle name="40% - 强调文字颜色 5 2 19 6 2 2" xfId="4708" xr:uid="{00000000-0005-0000-0000-000072240000}"/>
    <cellStyle name="40% - 强调文字颜色 5 2 19 6 2 3" xfId="4714" xr:uid="{00000000-0005-0000-0000-000073240000}"/>
    <cellStyle name="40% - 强调文字颜色 5 2 19 6 3" xfId="18743" xr:uid="{00000000-0005-0000-0000-000074240000}"/>
    <cellStyle name="40% - 强调文字颜色 5 2 19 6 4" xfId="7537" xr:uid="{00000000-0005-0000-0000-000075240000}"/>
    <cellStyle name="40% - 强调文字颜色 5 2 19 6 5" xfId="7549" xr:uid="{00000000-0005-0000-0000-000076240000}"/>
    <cellStyle name="40% - 强调文字颜色 5 2 19 6 6" xfId="14647" xr:uid="{00000000-0005-0000-0000-000077240000}"/>
    <cellStyle name="40% - 强调文字颜色 5 2 19 6 7" xfId="14653" xr:uid="{00000000-0005-0000-0000-000078240000}"/>
    <cellStyle name="40% - 强调文字颜色 5 2 19 6 8" xfId="14660" xr:uid="{00000000-0005-0000-0000-000079240000}"/>
    <cellStyle name="40% - 强调文字颜色 5 2 19 7" xfId="6249" xr:uid="{00000000-0005-0000-0000-00007A240000}"/>
    <cellStyle name="40% - 强调文字颜色 5 2 19 8" xfId="18745" xr:uid="{00000000-0005-0000-0000-00007B240000}"/>
    <cellStyle name="40% - 强调文字颜色 5 2 19 9" xfId="18746" xr:uid="{00000000-0005-0000-0000-00007C240000}"/>
    <cellStyle name="40% - 强调文字颜色 5 2 19 9 2" xfId="18747" xr:uid="{00000000-0005-0000-0000-00007D240000}"/>
    <cellStyle name="40% - 强调文字颜色 5 2 19 9 3" xfId="18748" xr:uid="{00000000-0005-0000-0000-00007E240000}"/>
    <cellStyle name="40% - 强调文字颜色 5 2 2" xfId="12550" xr:uid="{00000000-0005-0000-0000-00007F240000}"/>
    <cellStyle name="40% - 强调文字颜色 5 2 2 10" xfId="18751" xr:uid="{00000000-0005-0000-0000-000080240000}"/>
    <cellStyle name="40% - 强调文字颜色 5 2 2 11" xfId="18758" xr:uid="{00000000-0005-0000-0000-000081240000}"/>
    <cellStyle name="40% - 强调文字颜色 5 2 2 12" xfId="18760" xr:uid="{00000000-0005-0000-0000-000082240000}"/>
    <cellStyle name="40% - 强调文字颜色 5 2 2 13" xfId="18762" xr:uid="{00000000-0005-0000-0000-000083240000}"/>
    <cellStyle name="40% - 强调文字颜色 5 2 2 14" xfId="11306" xr:uid="{00000000-0005-0000-0000-000084240000}"/>
    <cellStyle name="40% - 强调文字颜色 5 2 2 2" xfId="12554" xr:uid="{00000000-0005-0000-0000-000085240000}"/>
    <cellStyle name="40% - 强调文字颜色 5 2 2 3" xfId="12557" xr:uid="{00000000-0005-0000-0000-000086240000}"/>
    <cellStyle name="40% - 强调文字颜色 5 2 2 4" xfId="15520" xr:uid="{00000000-0005-0000-0000-000087240000}"/>
    <cellStyle name="40% - 强调文字颜色 5 2 2 5" xfId="15523" xr:uid="{00000000-0005-0000-0000-000088240000}"/>
    <cellStyle name="40% - 强调文字颜色 5 2 2 6" xfId="15527" xr:uid="{00000000-0005-0000-0000-000089240000}"/>
    <cellStyle name="40% - 强调文字颜色 5 2 2 7" xfId="15531" xr:uid="{00000000-0005-0000-0000-00008A240000}"/>
    <cellStyle name="40% - 强调文字颜色 5 2 2 8" xfId="15533" xr:uid="{00000000-0005-0000-0000-00008B240000}"/>
    <cellStyle name="40% - 强调文字颜色 5 2 2 9" xfId="15536" xr:uid="{00000000-0005-0000-0000-00008C240000}"/>
    <cellStyle name="40% - 强调文字颜色 5 2 20" xfId="18561" xr:uid="{00000000-0005-0000-0000-00008D240000}"/>
    <cellStyle name="40% - 强调文字颜色 5 2 20 10" xfId="264" xr:uid="{00000000-0005-0000-0000-00008E240000}"/>
    <cellStyle name="40% - 强调文字颜色 5 2 20 11" xfId="1367" xr:uid="{00000000-0005-0000-0000-00008F240000}"/>
    <cellStyle name="40% - 强调文字颜色 5 2 20 12" xfId="13959" xr:uid="{00000000-0005-0000-0000-000090240000}"/>
    <cellStyle name="40% - 强调文字颜色 5 2 20 13" xfId="13961" xr:uid="{00000000-0005-0000-0000-000091240000}"/>
    <cellStyle name="40% - 强调文字颜色 5 2 20 14" xfId="3069" xr:uid="{00000000-0005-0000-0000-000092240000}"/>
    <cellStyle name="40% - 强调文字颜色 5 2 20 2" xfId="18767" xr:uid="{00000000-0005-0000-0000-000093240000}"/>
    <cellStyle name="40% - 强调文字颜色 5 2 20 3" xfId="18770" xr:uid="{00000000-0005-0000-0000-000094240000}"/>
    <cellStyle name="40% - 强调文字颜色 5 2 20 4" xfId="18772" xr:uid="{00000000-0005-0000-0000-000095240000}"/>
    <cellStyle name="40% - 强调文字颜色 5 2 20 5" xfId="18775" xr:uid="{00000000-0005-0000-0000-000096240000}"/>
    <cellStyle name="40% - 强调文字颜色 5 2 20 5 10" xfId="18776" xr:uid="{00000000-0005-0000-0000-000097240000}"/>
    <cellStyle name="40% - 强调文字颜色 5 2 20 5 11" xfId="7650" xr:uid="{00000000-0005-0000-0000-000098240000}"/>
    <cellStyle name="40% - 强调文字颜色 5 2 20 5 2" xfId="18779" xr:uid="{00000000-0005-0000-0000-000099240000}"/>
    <cellStyle name="40% - 强调文字颜色 5 2 20 5 2 2" xfId="15484" xr:uid="{00000000-0005-0000-0000-00009A240000}"/>
    <cellStyle name="40% - 强调文字颜色 5 2 20 5 2 2 2" xfId="17731" xr:uid="{00000000-0005-0000-0000-00009B240000}"/>
    <cellStyle name="40% - 强调文字颜色 5 2 20 5 2 2 3" xfId="17733" xr:uid="{00000000-0005-0000-0000-00009C240000}"/>
    <cellStyle name="40% - 强调文字颜色 5 2 20 5 2 3" xfId="12971" xr:uid="{00000000-0005-0000-0000-00009D240000}"/>
    <cellStyle name="40% - 强调文字颜色 5 2 20 5 2 4" xfId="680" xr:uid="{00000000-0005-0000-0000-00009E240000}"/>
    <cellStyle name="40% - 强调文字颜色 5 2 20 5 2 5" xfId="712" xr:uid="{00000000-0005-0000-0000-00009F240000}"/>
    <cellStyle name="40% - 强调文字颜色 5 2 20 5 2 6" xfId="12996" xr:uid="{00000000-0005-0000-0000-0000A0240000}"/>
    <cellStyle name="40% - 强调文字颜色 5 2 20 5 2 7" xfId="13001" xr:uid="{00000000-0005-0000-0000-0000A1240000}"/>
    <cellStyle name="40% - 强调文字颜色 5 2 20 5 2 8" xfId="13015" xr:uid="{00000000-0005-0000-0000-0000A2240000}"/>
    <cellStyle name="40% - 强调文字颜色 5 2 20 5 3" xfId="18783" xr:uid="{00000000-0005-0000-0000-0000A3240000}"/>
    <cellStyle name="40% - 强调文字颜色 5 2 20 5 4" xfId="9312" xr:uid="{00000000-0005-0000-0000-0000A4240000}"/>
    <cellStyle name="40% - 强调文字颜色 5 2 20 5 5" xfId="9316" xr:uid="{00000000-0005-0000-0000-0000A5240000}"/>
    <cellStyle name="40% - 强调文字颜色 5 2 20 5 6" xfId="18785" xr:uid="{00000000-0005-0000-0000-0000A6240000}"/>
    <cellStyle name="40% - 强调文字颜色 5 2 20 5 6 2" xfId="15489" xr:uid="{00000000-0005-0000-0000-0000A7240000}"/>
    <cellStyle name="40% - 强调文字颜色 5 2 20 5 6 3" xfId="18788" xr:uid="{00000000-0005-0000-0000-0000A8240000}"/>
    <cellStyle name="40% - 强调文字颜色 5 2 20 5 7" xfId="18789" xr:uid="{00000000-0005-0000-0000-0000A9240000}"/>
    <cellStyle name="40% - 强调文字颜色 5 2 20 5 8" xfId="18790" xr:uid="{00000000-0005-0000-0000-0000AA240000}"/>
    <cellStyle name="40% - 强调文字颜色 5 2 20 5 9" xfId="18228" xr:uid="{00000000-0005-0000-0000-0000AB240000}"/>
    <cellStyle name="40% - 强调文字颜色 5 2 20 6" xfId="18792" xr:uid="{00000000-0005-0000-0000-0000AC240000}"/>
    <cellStyle name="40% - 强调文字颜色 5 2 20 6 2" xfId="18793" xr:uid="{00000000-0005-0000-0000-0000AD240000}"/>
    <cellStyle name="40% - 强调文字颜色 5 2 20 6 2 2" xfId="15537" xr:uid="{00000000-0005-0000-0000-0000AE240000}"/>
    <cellStyle name="40% - 强调文字颜色 5 2 20 6 2 3" xfId="13073" xr:uid="{00000000-0005-0000-0000-0000AF240000}"/>
    <cellStyle name="40% - 强调文字颜色 5 2 20 6 3" xfId="18794" xr:uid="{00000000-0005-0000-0000-0000B0240000}"/>
    <cellStyle name="40% - 强调文字颜色 5 2 20 6 4" xfId="18795" xr:uid="{00000000-0005-0000-0000-0000B1240000}"/>
    <cellStyle name="40% - 强调文字颜色 5 2 20 6 5" xfId="18796" xr:uid="{00000000-0005-0000-0000-0000B2240000}"/>
    <cellStyle name="40% - 强调文字颜色 5 2 20 6 6" xfId="15212" xr:uid="{00000000-0005-0000-0000-0000B3240000}"/>
    <cellStyle name="40% - 强调文字颜色 5 2 20 6 7" xfId="15219" xr:uid="{00000000-0005-0000-0000-0000B4240000}"/>
    <cellStyle name="40% - 强调文字颜色 5 2 20 6 8" xfId="15223" xr:uid="{00000000-0005-0000-0000-0000B5240000}"/>
    <cellStyle name="40% - 强调文字颜色 5 2 20 7" xfId="18798" xr:uid="{00000000-0005-0000-0000-0000B6240000}"/>
    <cellStyle name="40% - 强调文字颜色 5 2 20 8" xfId="18800" xr:uid="{00000000-0005-0000-0000-0000B7240000}"/>
    <cellStyle name="40% - 强调文字颜色 5 2 20 9" xfId="18803" xr:uid="{00000000-0005-0000-0000-0000B8240000}"/>
    <cellStyle name="40% - 强调文字颜色 5 2 20 9 2" xfId="17453" xr:uid="{00000000-0005-0000-0000-0000B9240000}"/>
    <cellStyle name="40% - 强调文字颜色 5 2 20 9 3" xfId="18804" xr:uid="{00000000-0005-0000-0000-0000BA240000}"/>
    <cellStyle name="40% - 强调文字颜色 5 2 3" xfId="12562" xr:uid="{00000000-0005-0000-0000-0000BB240000}"/>
    <cellStyle name="40% - 强调文字颜色 5 2 3 10" xfId="18805" xr:uid="{00000000-0005-0000-0000-0000BC240000}"/>
    <cellStyle name="40% - 强调文字颜色 5 2 3 11" xfId="18806" xr:uid="{00000000-0005-0000-0000-0000BD240000}"/>
    <cellStyle name="40% - 强调文字颜色 5 2 3 12" xfId="18808" xr:uid="{00000000-0005-0000-0000-0000BE240000}"/>
    <cellStyle name="40% - 强调文字颜色 5 2 3 13" xfId="18812" xr:uid="{00000000-0005-0000-0000-0000BF240000}"/>
    <cellStyle name="40% - 强调文字颜色 5 2 3 14" xfId="18816" xr:uid="{00000000-0005-0000-0000-0000C0240000}"/>
    <cellStyle name="40% - 强调文字颜色 5 2 3 2" xfId="17205" xr:uid="{00000000-0005-0000-0000-0000C1240000}"/>
    <cellStyle name="40% - 强调文字颜色 5 2 3 3" xfId="17210" xr:uid="{00000000-0005-0000-0000-0000C2240000}"/>
    <cellStyle name="40% - 强调文字颜色 5 2 3 4" xfId="17215" xr:uid="{00000000-0005-0000-0000-0000C3240000}"/>
    <cellStyle name="40% - 强调文字颜色 5 2 3 5" xfId="14918" xr:uid="{00000000-0005-0000-0000-0000C4240000}"/>
    <cellStyle name="40% - 强调文字颜色 5 2 3 6" xfId="14923" xr:uid="{00000000-0005-0000-0000-0000C5240000}"/>
    <cellStyle name="40% - 强调文字颜色 5 2 3 7" xfId="18824" xr:uid="{00000000-0005-0000-0000-0000C6240000}"/>
    <cellStyle name="40% - 强调文字颜色 5 2 3 8" xfId="18826" xr:uid="{00000000-0005-0000-0000-0000C7240000}"/>
    <cellStyle name="40% - 强调文字颜色 5 2 3 9" xfId="18827" xr:uid="{00000000-0005-0000-0000-0000C8240000}"/>
    <cellStyle name="40% - 强调文字颜色 5 2 4" xfId="12567" xr:uid="{00000000-0005-0000-0000-0000C9240000}"/>
    <cellStyle name="40% - 强调文字颜色 5 2 4 10" xfId="18828" xr:uid="{00000000-0005-0000-0000-0000CA240000}"/>
    <cellStyle name="40% - 强调文字颜色 5 2 4 11" xfId="18829" xr:uid="{00000000-0005-0000-0000-0000CB240000}"/>
    <cellStyle name="40% - 强调文字颜色 5 2 4 12" xfId="18831" xr:uid="{00000000-0005-0000-0000-0000CC240000}"/>
    <cellStyle name="40% - 强调文字颜色 5 2 4 13" xfId="18833" xr:uid="{00000000-0005-0000-0000-0000CD240000}"/>
    <cellStyle name="40% - 强调文字颜色 5 2 4 14" xfId="18836" xr:uid="{00000000-0005-0000-0000-0000CE240000}"/>
    <cellStyle name="40% - 强调文字颜色 5 2 4 2" xfId="16240" xr:uid="{00000000-0005-0000-0000-0000CF240000}"/>
    <cellStyle name="40% - 强调文字颜色 5 2 4 3" xfId="18841" xr:uid="{00000000-0005-0000-0000-0000D0240000}"/>
    <cellStyle name="40% - 强调文字颜色 5 2 4 4" xfId="18844" xr:uid="{00000000-0005-0000-0000-0000D1240000}"/>
    <cellStyle name="40% - 强调文字颜色 5 2 4 5" xfId="18847" xr:uid="{00000000-0005-0000-0000-0000D2240000}"/>
    <cellStyle name="40% - 强调文字颜色 5 2 4 6" xfId="18849" xr:uid="{00000000-0005-0000-0000-0000D3240000}"/>
    <cellStyle name="40% - 强调文字颜色 5 2 4 7" xfId="18850" xr:uid="{00000000-0005-0000-0000-0000D4240000}"/>
    <cellStyle name="40% - 强调文字颜色 5 2 4 8" xfId="18851" xr:uid="{00000000-0005-0000-0000-0000D5240000}"/>
    <cellStyle name="40% - 强调文字颜色 5 2 4 9" xfId="18852" xr:uid="{00000000-0005-0000-0000-0000D6240000}"/>
    <cellStyle name="40% - 强调文字颜色 5 2 5" xfId="12572" xr:uid="{00000000-0005-0000-0000-0000D7240000}"/>
    <cellStyle name="40% - 强调文字颜色 5 2 6" xfId="12577" xr:uid="{00000000-0005-0000-0000-0000D8240000}"/>
    <cellStyle name="40% - 强调文字颜色 5 2 7" xfId="10872" xr:uid="{00000000-0005-0000-0000-0000D9240000}"/>
    <cellStyle name="40% - 强调文字颜色 5 2 8" xfId="11040" xr:uid="{00000000-0005-0000-0000-0000DA240000}"/>
    <cellStyle name="40% - 强调文字颜色 5 2 9" xfId="11053" xr:uid="{00000000-0005-0000-0000-0000DB240000}"/>
    <cellStyle name="40% - 强调文字颜色 5 3" xfId="12585" xr:uid="{00000000-0005-0000-0000-0000DC240000}"/>
    <cellStyle name="40% - 强调文字颜色 5 3 10" xfId="2567" xr:uid="{00000000-0005-0000-0000-0000DD240000}"/>
    <cellStyle name="40% - 强调文字颜色 5 3 11" xfId="2579" xr:uid="{00000000-0005-0000-0000-0000DE240000}"/>
    <cellStyle name="40% - 强调文字颜色 5 3 12" xfId="18853" xr:uid="{00000000-0005-0000-0000-0000DF240000}"/>
    <cellStyle name="40% - 强调文字颜色 5 3 13" xfId="18854" xr:uid="{00000000-0005-0000-0000-0000E0240000}"/>
    <cellStyle name="40% - 强调文字颜色 5 3 14" xfId="18858" xr:uid="{00000000-0005-0000-0000-0000E1240000}"/>
    <cellStyle name="40% - 强调文字颜色 5 3 15" xfId="18861" xr:uid="{00000000-0005-0000-0000-0000E2240000}"/>
    <cellStyle name="40% - 强调文字颜色 5 3 16" xfId="18863" xr:uid="{00000000-0005-0000-0000-0000E3240000}"/>
    <cellStyle name="40% - 强调文字颜色 5 3 17" xfId="18867" xr:uid="{00000000-0005-0000-0000-0000E4240000}"/>
    <cellStyle name="40% - 强调文字颜色 5 3 17 10" xfId="5890" xr:uid="{00000000-0005-0000-0000-0000E5240000}"/>
    <cellStyle name="40% - 强调文字颜色 5 3 17 11" xfId="5896" xr:uid="{00000000-0005-0000-0000-0000E6240000}"/>
    <cellStyle name="40% - 强调文字颜色 5 3 17 12" xfId="18871" xr:uid="{00000000-0005-0000-0000-0000E7240000}"/>
    <cellStyle name="40% - 强调文字颜色 5 3 17 13" xfId="18874" xr:uid="{00000000-0005-0000-0000-0000E8240000}"/>
    <cellStyle name="40% - 强调文字颜色 5 3 17 14" xfId="18876" xr:uid="{00000000-0005-0000-0000-0000E9240000}"/>
    <cellStyle name="40% - 强调文字颜色 5 3 17 2" xfId="18883" xr:uid="{00000000-0005-0000-0000-0000EA240000}"/>
    <cellStyle name="40% - 强调文字颜色 5 3 17 2 2" xfId="7909" xr:uid="{00000000-0005-0000-0000-0000EB240000}"/>
    <cellStyle name="40% - 强调文字颜色 5 3 17 3" xfId="18886" xr:uid="{00000000-0005-0000-0000-0000EC240000}"/>
    <cellStyle name="40% - 强调文字颜色 5 3 17 4" xfId="18888" xr:uid="{00000000-0005-0000-0000-0000ED240000}"/>
    <cellStyle name="40% - 强调文字颜色 5 3 17 5" xfId="13847" xr:uid="{00000000-0005-0000-0000-0000EE240000}"/>
    <cellStyle name="40% - 强调文字颜色 5 3 17 5 10" xfId="18889" xr:uid="{00000000-0005-0000-0000-0000EF240000}"/>
    <cellStyle name="40% - 强调文字颜色 5 3 17 5 11" xfId="18890" xr:uid="{00000000-0005-0000-0000-0000F0240000}"/>
    <cellStyle name="40% - 强调文字颜色 5 3 17 5 2" xfId="18892" xr:uid="{00000000-0005-0000-0000-0000F1240000}"/>
    <cellStyle name="40% - 强调文字颜色 5 3 17 5 2 2" xfId="18894" xr:uid="{00000000-0005-0000-0000-0000F2240000}"/>
    <cellStyle name="40% - 强调文字颜色 5 3 17 5 2 2 2" xfId="5301" xr:uid="{00000000-0005-0000-0000-0000F3240000}"/>
    <cellStyle name="40% - 强调文字颜色 5 3 17 5 2 2 3" xfId="5313" xr:uid="{00000000-0005-0000-0000-0000F4240000}"/>
    <cellStyle name="40% - 强调文字颜色 5 3 17 5 2 3" xfId="18896" xr:uid="{00000000-0005-0000-0000-0000F5240000}"/>
    <cellStyle name="40% - 强调文字颜色 5 3 17 5 2 4" xfId="5717" xr:uid="{00000000-0005-0000-0000-0000F6240000}"/>
    <cellStyle name="40% - 强调文字颜色 5 3 17 5 2 5" xfId="5739" xr:uid="{00000000-0005-0000-0000-0000F7240000}"/>
    <cellStyle name="40% - 强调文字颜色 5 3 17 5 2 6" xfId="18899" xr:uid="{00000000-0005-0000-0000-0000F8240000}"/>
    <cellStyle name="40% - 强调文字颜色 5 3 17 5 2 7" xfId="18901" xr:uid="{00000000-0005-0000-0000-0000F9240000}"/>
    <cellStyle name="40% - 强调文字颜色 5 3 17 5 2 8" xfId="18904" xr:uid="{00000000-0005-0000-0000-0000FA240000}"/>
    <cellStyle name="40% - 强调文字颜色 5 3 17 5 3" xfId="18906" xr:uid="{00000000-0005-0000-0000-0000FB240000}"/>
    <cellStyle name="40% - 强调文字颜色 5 3 17 5 4" xfId="18908" xr:uid="{00000000-0005-0000-0000-0000FC240000}"/>
    <cellStyle name="40% - 强调文字颜色 5 3 17 5 5" xfId="18911" xr:uid="{00000000-0005-0000-0000-0000FD240000}"/>
    <cellStyle name="40% - 强调文字颜色 5 3 17 5 6" xfId="13215" xr:uid="{00000000-0005-0000-0000-0000FE240000}"/>
    <cellStyle name="40% - 强调文字颜色 5 3 17 5 6 2" xfId="18913" xr:uid="{00000000-0005-0000-0000-0000FF240000}"/>
    <cellStyle name="40% - 强调文字颜色 5 3 17 5 6 3" xfId="18917" xr:uid="{00000000-0005-0000-0000-000000250000}"/>
    <cellStyle name="40% - 强调文字颜色 5 3 17 5 7" xfId="13224" xr:uid="{00000000-0005-0000-0000-000001250000}"/>
    <cellStyle name="40% - 强调文字颜色 5 3 17 5 8" xfId="18919" xr:uid="{00000000-0005-0000-0000-000002250000}"/>
    <cellStyle name="40% - 强调文字颜色 5 3 17 5 9" xfId="15417" xr:uid="{00000000-0005-0000-0000-000003250000}"/>
    <cellStyle name="40% - 强调文字颜色 5 3 17 6" xfId="13850" xr:uid="{00000000-0005-0000-0000-000004250000}"/>
    <cellStyle name="40% - 强调文字颜色 5 3 17 6 2" xfId="18922" xr:uid="{00000000-0005-0000-0000-000005250000}"/>
    <cellStyle name="40% - 强调文字颜色 5 3 17 6 2 2" xfId="18923" xr:uid="{00000000-0005-0000-0000-000006250000}"/>
    <cellStyle name="40% - 强调文字颜色 5 3 17 6 2 3" xfId="18925" xr:uid="{00000000-0005-0000-0000-000007250000}"/>
    <cellStyle name="40% - 强调文字颜色 5 3 17 6 3" xfId="6774" xr:uid="{00000000-0005-0000-0000-000008250000}"/>
    <cellStyle name="40% - 强调文字颜色 5 3 17 6 4" xfId="6788" xr:uid="{00000000-0005-0000-0000-000009250000}"/>
    <cellStyle name="40% - 强调文字颜色 5 3 17 6 5" xfId="18926" xr:uid="{00000000-0005-0000-0000-00000A250000}"/>
    <cellStyle name="40% - 强调文字颜色 5 3 17 6 6" xfId="18928" xr:uid="{00000000-0005-0000-0000-00000B250000}"/>
    <cellStyle name="40% - 强调文字颜色 5 3 17 6 7" xfId="820" xr:uid="{00000000-0005-0000-0000-00000C250000}"/>
    <cellStyle name="40% - 强调文字颜色 5 3 17 6 8" xfId="926" xr:uid="{00000000-0005-0000-0000-00000D250000}"/>
    <cellStyle name="40% - 强调文字颜色 5 3 17 7" xfId="18932" xr:uid="{00000000-0005-0000-0000-00000E250000}"/>
    <cellStyle name="40% - 强调文字颜色 5 3 17 8" xfId="18934" xr:uid="{00000000-0005-0000-0000-00000F250000}"/>
    <cellStyle name="40% - 强调文字颜色 5 3 17 9" xfId="18936" xr:uid="{00000000-0005-0000-0000-000010250000}"/>
    <cellStyle name="40% - 强调文字颜色 5 3 17 9 2" xfId="18938" xr:uid="{00000000-0005-0000-0000-000011250000}"/>
    <cellStyle name="40% - 强调文字颜色 5 3 17 9 3" xfId="18941" xr:uid="{00000000-0005-0000-0000-000012250000}"/>
    <cellStyle name="40% - 强调文字颜色 5 3 18" xfId="18943" xr:uid="{00000000-0005-0000-0000-000013250000}"/>
    <cellStyle name="40% - 强调文字颜色 5 3 18 10" xfId="18946" xr:uid="{00000000-0005-0000-0000-000014250000}"/>
    <cellStyle name="40% - 强调文字颜色 5 3 18 11" xfId="18947" xr:uid="{00000000-0005-0000-0000-000015250000}"/>
    <cellStyle name="40% - 强调文字颜色 5 3 18 12" xfId="18948" xr:uid="{00000000-0005-0000-0000-000016250000}"/>
    <cellStyle name="40% - 强调文字颜色 5 3 18 13" xfId="18949" xr:uid="{00000000-0005-0000-0000-000017250000}"/>
    <cellStyle name="40% - 强调文字颜色 5 3 18 14" xfId="18950" xr:uid="{00000000-0005-0000-0000-000018250000}"/>
    <cellStyle name="40% - 强调文字颜色 5 3 18 2" xfId="1920" xr:uid="{00000000-0005-0000-0000-000019250000}"/>
    <cellStyle name="40% - 强调文字颜色 5 3 18 3" xfId="1944" xr:uid="{00000000-0005-0000-0000-00001A250000}"/>
    <cellStyle name="40% - 强调文字颜色 5 3 18 4" xfId="1832" xr:uid="{00000000-0005-0000-0000-00001B250000}"/>
    <cellStyle name="40% - 强调文字颜色 5 3 18 5" xfId="1864" xr:uid="{00000000-0005-0000-0000-00001C250000}"/>
    <cellStyle name="40% - 强调文字颜色 5 3 18 5 10" xfId="18951" xr:uid="{00000000-0005-0000-0000-00001D250000}"/>
    <cellStyle name="40% - 强调文字颜色 5 3 18 5 11" xfId="18953" xr:uid="{00000000-0005-0000-0000-00001E250000}"/>
    <cellStyle name="40% - 强调文字颜色 5 3 18 5 2" xfId="18956" xr:uid="{00000000-0005-0000-0000-00001F250000}"/>
    <cellStyle name="40% - 强调文字颜色 5 3 18 5 2 2" xfId="18959" xr:uid="{00000000-0005-0000-0000-000020250000}"/>
    <cellStyle name="40% - 强调文字颜色 5 3 18 5 2 2 2" xfId="3203" xr:uid="{00000000-0005-0000-0000-000021250000}"/>
    <cellStyle name="40% - 强调文字颜色 5 3 18 5 2 2 3" xfId="18961" xr:uid="{00000000-0005-0000-0000-000022250000}"/>
    <cellStyle name="40% - 强调文字颜色 5 3 18 5 2 3" xfId="18965" xr:uid="{00000000-0005-0000-0000-000023250000}"/>
    <cellStyle name="40% - 强调文字颜色 5 3 18 5 2 4" xfId="18969" xr:uid="{00000000-0005-0000-0000-000024250000}"/>
    <cellStyle name="40% - 强调文字颜色 5 3 18 5 2 5" xfId="18972" xr:uid="{00000000-0005-0000-0000-000025250000}"/>
    <cellStyle name="40% - 强调文字颜色 5 3 18 5 2 6" xfId="18975" xr:uid="{00000000-0005-0000-0000-000026250000}"/>
    <cellStyle name="40% - 强调文字颜色 5 3 18 5 2 7" xfId="18978" xr:uid="{00000000-0005-0000-0000-000027250000}"/>
    <cellStyle name="40% - 强调文字颜色 5 3 18 5 2 8" xfId="7583" xr:uid="{00000000-0005-0000-0000-000028250000}"/>
    <cellStyle name="40% - 强调文字颜色 5 3 18 5 3" xfId="18981" xr:uid="{00000000-0005-0000-0000-000029250000}"/>
    <cellStyle name="40% - 强调文字颜色 5 3 18 5 4" xfId="18982" xr:uid="{00000000-0005-0000-0000-00002A250000}"/>
    <cellStyle name="40% - 强调文字颜色 5 3 18 5 5" xfId="18983" xr:uid="{00000000-0005-0000-0000-00002B250000}"/>
    <cellStyle name="40% - 强调文字颜色 5 3 18 5 6" xfId="18984" xr:uid="{00000000-0005-0000-0000-00002C250000}"/>
    <cellStyle name="40% - 强调文字颜色 5 3 18 5 6 2" xfId="18985" xr:uid="{00000000-0005-0000-0000-00002D250000}"/>
    <cellStyle name="40% - 强调文字颜色 5 3 18 5 6 3" xfId="18987" xr:uid="{00000000-0005-0000-0000-00002E250000}"/>
    <cellStyle name="40% - 强调文字颜色 5 3 18 5 7" xfId="18988" xr:uid="{00000000-0005-0000-0000-00002F250000}"/>
    <cellStyle name="40% - 强调文字颜色 5 3 18 5 8" xfId="18989" xr:uid="{00000000-0005-0000-0000-000030250000}"/>
    <cellStyle name="40% - 强调文字颜色 5 3 18 5 9" xfId="18990" xr:uid="{00000000-0005-0000-0000-000031250000}"/>
    <cellStyle name="40% - 强调文字颜色 5 3 18 6" xfId="5064" xr:uid="{00000000-0005-0000-0000-000032250000}"/>
    <cellStyle name="40% - 强调文字颜色 5 3 18 6 2" xfId="18996" xr:uid="{00000000-0005-0000-0000-000033250000}"/>
    <cellStyle name="40% - 强调文字颜色 5 3 18 6 2 2" xfId="18999" xr:uid="{00000000-0005-0000-0000-000034250000}"/>
    <cellStyle name="40% - 强调文字颜色 5 3 18 6 2 3" xfId="19004" xr:uid="{00000000-0005-0000-0000-000035250000}"/>
    <cellStyle name="40% - 强调文字颜色 5 3 18 6 3" xfId="18958" xr:uid="{00000000-0005-0000-0000-000036250000}"/>
    <cellStyle name="40% - 强调文字颜色 5 3 18 6 4" xfId="18964" xr:uid="{00000000-0005-0000-0000-000037250000}"/>
    <cellStyle name="40% - 强调文字颜色 5 3 18 6 5" xfId="18968" xr:uid="{00000000-0005-0000-0000-000038250000}"/>
    <cellStyle name="40% - 强调文字颜色 5 3 18 6 6" xfId="18971" xr:uid="{00000000-0005-0000-0000-000039250000}"/>
    <cellStyle name="40% - 强调文字颜色 5 3 18 6 7" xfId="18974" xr:uid="{00000000-0005-0000-0000-00003A250000}"/>
    <cellStyle name="40% - 强调文字颜色 5 3 18 6 8" xfId="18977" xr:uid="{00000000-0005-0000-0000-00003B250000}"/>
    <cellStyle name="40% - 强调文字颜色 5 3 18 7" xfId="5074" xr:uid="{00000000-0005-0000-0000-00003C250000}"/>
    <cellStyle name="40% - 强调文字颜色 5 3 18 8" xfId="15495" xr:uid="{00000000-0005-0000-0000-00003D250000}"/>
    <cellStyle name="40% - 强调文字颜色 5 3 18 9" xfId="4839" xr:uid="{00000000-0005-0000-0000-00003E250000}"/>
    <cellStyle name="40% - 强调文字颜色 5 3 18 9 2" xfId="19006" xr:uid="{00000000-0005-0000-0000-00003F250000}"/>
    <cellStyle name="40% - 强调文字颜色 5 3 18 9 3" xfId="19008" xr:uid="{00000000-0005-0000-0000-000040250000}"/>
    <cellStyle name="40% - 强调文字颜色 5 3 19" xfId="19010" xr:uid="{00000000-0005-0000-0000-000041250000}"/>
    <cellStyle name="40% - 强调文字颜色 5 3 19 10" xfId="19014" xr:uid="{00000000-0005-0000-0000-000042250000}"/>
    <cellStyle name="40% - 强调文字颜色 5 3 19 11" xfId="19015" xr:uid="{00000000-0005-0000-0000-000043250000}"/>
    <cellStyle name="40% - 强调文字颜色 5 3 19 12" xfId="19017" xr:uid="{00000000-0005-0000-0000-000044250000}"/>
    <cellStyle name="40% - 强调文字颜色 5 3 19 13" xfId="19018" xr:uid="{00000000-0005-0000-0000-000045250000}"/>
    <cellStyle name="40% - 强调文字颜色 5 3 19 14" xfId="19019" xr:uid="{00000000-0005-0000-0000-000046250000}"/>
    <cellStyle name="40% - 强调文字颜色 5 3 19 2" xfId="6818" xr:uid="{00000000-0005-0000-0000-000047250000}"/>
    <cellStyle name="40% - 强调文字颜色 5 3 19 3" xfId="6827" xr:uid="{00000000-0005-0000-0000-000048250000}"/>
    <cellStyle name="40% - 强调文字颜色 5 3 19 4" xfId="6867" xr:uid="{00000000-0005-0000-0000-000049250000}"/>
    <cellStyle name="40% - 强调文字颜色 5 3 19 5" xfId="6888" xr:uid="{00000000-0005-0000-0000-00004A250000}"/>
    <cellStyle name="40% - 强调文字颜色 5 3 19 5 10" xfId="10493" xr:uid="{00000000-0005-0000-0000-00004B250000}"/>
    <cellStyle name="40% - 强调文字颜色 5 3 19 5 11" xfId="10501" xr:uid="{00000000-0005-0000-0000-00004C250000}"/>
    <cellStyle name="40% - 强调文字颜色 5 3 19 5 2" xfId="19021" xr:uid="{00000000-0005-0000-0000-00004D250000}"/>
    <cellStyle name="40% - 强调文字颜色 5 3 19 5 2 2" xfId="2718" xr:uid="{00000000-0005-0000-0000-00004E250000}"/>
    <cellStyle name="40% - 强调文字颜色 5 3 19 5 2 2 2" xfId="19024" xr:uid="{00000000-0005-0000-0000-00004F250000}"/>
    <cellStyle name="40% - 强调文字颜色 5 3 19 5 2 2 3" xfId="19026" xr:uid="{00000000-0005-0000-0000-000050250000}"/>
    <cellStyle name="40% - 强调文字颜色 5 3 19 5 2 3" xfId="2736" xr:uid="{00000000-0005-0000-0000-000051250000}"/>
    <cellStyle name="40% - 强调文字颜色 5 3 19 5 2 4" xfId="5488" xr:uid="{00000000-0005-0000-0000-000052250000}"/>
    <cellStyle name="40% - 强调文字颜色 5 3 19 5 2 5" xfId="5562" xr:uid="{00000000-0005-0000-0000-000053250000}"/>
    <cellStyle name="40% - 强调文字颜色 5 3 19 5 2 6" xfId="5569" xr:uid="{00000000-0005-0000-0000-000054250000}"/>
    <cellStyle name="40% - 强调文字颜色 5 3 19 5 2 7" xfId="5576" xr:uid="{00000000-0005-0000-0000-000055250000}"/>
    <cellStyle name="40% - 强调文字颜色 5 3 19 5 2 8" xfId="19028" xr:uid="{00000000-0005-0000-0000-000056250000}"/>
    <cellStyle name="40% - 强调文字颜色 5 3 19 5 3" xfId="19030" xr:uid="{00000000-0005-0000-0000-000057250000}"/>
    <cellStyle name="40% - 强调文字颜色 5 3 19 5 4" xfId="19032" xr:uid="{00000000-0005-0000-0000-000058250000}"/>
    <cellStyle name="40% - 强调文字颜色 5 3 19 5 5" xfId="19034" xr:uid="{00000000-0005-0000-0000-000059250000}"/>
    <cellStyle name="40% - 强调文字颜色 5 3 19 5 6" xfId="19037" xr:uid="{00000000-0005-0000-0000-00005A250000}"/>
    <cellStyle name="40% - 强调文字颜色 5 3 19 5 6 2" xfId="4419" xr:uid="{00000000-0005-0000-0000-00005B250000}"/>
    <cellStyle name="40% - 强调文字颜色 5 3 19 5 6 3" xfId="18533" xr:uid="{00000000-0005-0000-0000-00005C250000}"/>
    <cellStyle name="40% - 强调文字颜色 5 3 19 5 7" xfId="19040" xr:uid="{00000000-0005-0000-0000-00005D250000}"/>
    <cellStyle name="40% - 强调文字颜色 5 3 19 5 8" xfId="19042" xr:uid="{00000000-0005-0000-0000-00005E250000}"/>
    <cellStyle name="40% - 强调文字颜色 5 3 19 5 9" xfId="19044" xr:uid="{00000000-0005-0000-0000-00005F250000}"/>
    <cellStyle name="40% - 强调文字颜色 5 3 19 6" xfId="6892" xr:uid="{00000000-0005-0000-0000-000060250000}"/>
    <cellStyle name="40% - 强调文字颜色 5 3 19 6 2" xfId="19045" xr:uid="{00000000-0005-0000-0000-000061250000}"/>
    <cellStyle name="40% - 强调文字颜色 5 3 19 6 2 2" xfId="9865" xr:uid="{00000000-0005-0000-0000-000062250000}"/>
    <cellStyle name="40% - 强调文字颜色 5 3 19 6 2 3" xfId="9873" xr:uid="{00000000-0005-0000-0000-000063250000}"/>
    <cellStyle name="40% - 强调文字颜色 5 3 19 6 3" xfId="18998" xr:uid="{00000000-0005-0000-0000-000064250000}"/>
    <cellStyle name="40% - 强调文字颜色 5 3 19 6 4" xfId="19002" xr:uid="{00000000-0005-0000-0000-000065250000}"/>
    <cellStyle name="40% - 强调文字颜色 5 3 19 6 5" xfId="19046" xr:uid="{00000000-0005-0000-0000-000066250000}"/>
    <cellStyle name="40% - 强调文字颜色 5 3 19 6 6" xfId="19047" xr:uid="{00000000-0005-0000-0000-000067250000}"/>
    <cellStyle name="40% - 强调文字颜色 5 3 19 6 7" xfId="15943" xr:uid="{00000000-0005-0000-0000-000068250000}"/>
    <cellStyle name="40% - 强调文字颜色 5 3 19 6 8" xfId="15950" xr:uid="{00000000-0005-0000-0000-000069250000}"/>
    <cellStyle name="40% - 强调文字颜色 5 3 19 7" xfId="6896" xr:uid="{00000000-0005-0000-0000-00006A250000}"/>
    <cellStyle name="40% - 强调文字颜色 5 3 19 8" xfId="19051" xr:uid="{00000000-0005-0000-0000-00006B250000}"/>
    <cellStyle name="40% - 强调文字颜色 5 3 19 9" xfId="19054" xr:uid="{00000000-0005-0000-0000-00006C250000}"/>
    <cellStyle name="40% - 强调文字颜色 5 3 19 9 2" xfId="19056" xr:uid="{00000000-0005-0000-0000-00006D250000}"/>
    <cellStyle name="40% - 强调文字颜色 5 3 19 9 3" xfId="19058" xr:uid="{00000000-0005-0000-0000-00006E250000}"/>
    <cellStyle name="40% - 强调文字颜色 5 3 2" xfId="19059" xr:uid="{00000000-0005-0000-0000-00006F250000}"/>
    <cellStyle name="40% - 强调文字颜色 5 3 2 10" xfId="4449" xr:uid="{00000000-0005-0000-0000-000070250000}"/>
    <cellStyle name="40% - 强调文字颜色 5 3 2 11" xfId="4465" xr:uid="{00000000-0005-0000-0000-000071250000}"/>
    <cellStyle name="40% - 强调文字颜色 5 3 2 12" xfId="4478" xr:uid="{00000000-0005-0000-0000-000072250000}"/>
    <cellStyle name="40% - 强调文字颜色 5 3 2 13" xfId="4491" xr:uid="{00000000-0005-0000-0000-000073250000}"/>
    <cellStyle name="40% - 强调文字颜色 5 3 2 14" xfId="19061" xr:uid="{00000000-0005-0000-0000-000074250000}"/>
    <cellStyle name="40% - 强调文字颜色 5 3 2 2" xfId="19063" xr:uid="{00000000-0005-0000-0000-000075250000}"/>
    <cellStyle name="40% - 强调文字颜色 5 3 2 3" xfId="11673" xr:uid="{00000000-0005-0000-0000-000076250000}"/>
    <cellStyle name="40% - 强调文字颜色 5 3 2 4" xfId="11679" xr:uid="{00000000-0005-0000-0000-000077250000}"/>
    <cellStyle name="40% - 强调文字颜色 5 3 2 5" xfId="19065" xr:uid="{00000000-0005-0000-0000-000078250000}"/>
    <cellStyle name="40% - 强调文字颜色 5 3 2 6" xfId="19066" xr:uid="{00000000-0005-0000-0000-000079250000}"/>
    <cellStyle name="40% - 强调文字颜色 5 3 2 7" xfId="18365" xr:uid="{00000000-0005-0000-0000-00007A250000}"/>
    <cellStyle name="40% - 强调文字颜色 5 3 2 8" xfId="18367" xr:uid="{00000000-0005-0000-0000-00007B250000}"/>
    <cellStyle name="40% - 强调文字颜色 5 3 2 9" xfId="19067" xr:uid="{00000000-0005-0000-0000-00007C250000}"/>
    <cellStyle name="40% - 强调文字颜色 5 3 20" xfId="18860" xr:uid="{00000000-0005-0000-0000-00007D250000}"/>
    <cellStyle name="40% - 强调文字颜色 5 3 20 10" xfId="3445" xr:uid="{00000000-0005-0000-0000-00007E250000}"/>
    <cellStyle name="40% - 强调文字颜色 5 3 20 11" xfId="3528" xr:uid="{00000000-0005-0000-0000-00007F250000}"/>
    <cellStyle name="40% - 强调文字颜色 5 3 20 12" xfId="3535" xr:uid="{00000000-0005-0000-0000-000080250000}"/>
    <cellStyle name="40% - 强调文字颜色 5 3 20 13" xfId="5380" xr:uid="{00000000-0005-0000-0000-000081250000}"/>
    <cellStyle name="40% - 强调文字颜色 5 3 20 14" xfId="1023" xr:uid="{00000000-0005-0000-0000-000082250000}"/>
    <cellStyle name="40% - 强调文字颜色 5 3 20 2" xfId="19071" xr:uid="{00000000-0005-0000-0000-000083250000}"/>
    <cellStyle name="40% - 强调文字颜色 5 3 20 3" xfId="19073" xr:uid="{00000000-0005-0000-0000-000084250000}"/>
    <cellStyle name="40% - 强调文字颜色 5 3 20 4" xfId="19074" xr:uid="{00000000-0005-0000-0000-000085250000}"/>
    <cellStyle name="40% - 强调文字颜色 5 3 20 5" xfId="19075" xr:uid="{00000000-0005-0000-0000-000086250000}"/>
    <cellStyle name="40% - 强调文字颜色 5 3 20 5 10" xfId="19076" xr:uid="{00000000-0005-0000-0000-000087250000}"/>
    <cellStyle name="40% - 强调文字颜色 5 3 20 5 11" xfId="19078" xr:uid="{00000000-0005-0000-0000-000088250000}"/>
    <cellStyle name="40% - 强调文字颜色 5 3 20 5 2" xfId="3646" xr:uid="{00000000-0005-0000-0000-000089250000}"/>
    <cellStyle name="40% - 强调文字颜色 5 3 20 5 2 2" xfId="8851" xr:uid="{00000000-0005-0000-0000-00008A250000}"/>
    <cellStyle name="40% - 强调文字颜色 5 3 20 5 2 2 2" xfId="7507" xr:uid="{00000000-0005-0000-0000-00008B250000}"/>
    <cellStyle name="40% - 强调文字颜色 5 3 20 5 2 2 3" xfId="5583" xr:uid="{00000000-0005-0000-0000-00008C250000}"/>
    <cellStyle name="40% - 强调文字颜色 5 3 20 5 2 3" xfId="8875" xr:uid="{00000000-0005-0000-0000-00008D250000}"/>
    <cellStyle name="40% - 强调文字颜色 5 3 20 5 2 4" xfId="7516" xr:uid="{00000000-0005-0000-0000-00008E250000}"/>
    <cellStyle name="40% - 强调文字颜色 5 3 20 5 2 5" xfId="5590" xr:uid="{00000000-0005-0000-0000-00008F250000}"/>
    <cellStyle name="40% - 强调文字颜色 5 3 20 5 2 6" xfId="5602" xr:uid="{00000000-0005-0000-0000-000090250000}"/>
    <cellStyle name="40% - 强调文字颜色 5 3 20 5 2 7" xfId="14555" xr:uid="{00000000-0005-0000-0000-000091250000}"/>
    <cellStyle name="40% - 强调文字颜色 5 3 20 5 2 8" xfId="14567" xr:uid="{00000000-0005-0000-0000-000092250000}"/>
    <cellStyle name="40% - 强调文字颜色 5 3 20 5 3" xfId="3654" xr:uid="{00000000-0005-0000-0000-000093250000}"/>
    <cellStyle name="40% - 强调文字颜色 5 3 20 5 4" xfId="17190" xr:uid="{00000000-0005-0000-0000-000094250000}"/>
    <cellStyle name="40% - 强调文字颜色 5 3 20 5 5" xfId="17193" xr:uid="{00000000-0005-0000-0000-000095250000}"/>
    <cellStyle name="40% - 强调文字颜色 5 3 20 5 6" xfId="19080" xr:uid="{00000000-0005-0000-0000-000096250000}"/>
    <cellStyle name="40% - 强调文字颜色 5 3 20 5 6 2" xfId="16347" xr:uid="{00000000-0005-0000-0000-000097250000}"/>
    <cellStyle name="40% - 强调文字颜色 5 3 20 5 6 3" xfId="19082" xr:uid="{00000000-0005-0000-0000-000098250000}"/>
    <cellStyle name="40% - 强调文字颜色 5 3 20 5 7" xfId="19083" xr:uid="{00000000-0005-0000-0000-000099250000}"/>
    <cellStyle name="40% - 强调文字颜色 5 3 20 5 8" xfId="19085" xr:uid="{00000000-0005-0000-0000-00009A250000}"/>
    <cellStyle name="40% - 强调文字颜色 5 3 20 5 9" xfId="19087" xr:uid="{00000000-0005-0000-0000-00009B250000}"/>
    <cellStyle name="40% - 强调文字颜色 5 3 20 6" xfId="19088" xr:uid="{00000000-0005-0000-0000-00009C250000}"/>
    <cellStyle name="40% - 强调文字颜色 5 3 20 6 2" xfId="19089" xr:uid="{00000000-0005-0000-0000-00009D250000}"/>
    <cellStyle name="40% - 强调文字颜色 5 3 20 6 2 2" xfId="15511" xr:uid="{00000000-0005-0000-0000-00009E250000}"/>
    <cellStyle name="40% - 强调文字颜色 5 3 20 6 2 3" xfId="14597" xr:uid="{00000000-0005-0000-0000-00009F250000}"/>
    <cellStyle name="40% - 强调文字颜色 5 3 20 6 3" xfId="19090" xr:uid="{00000000-0005-0000-0000-0000A0250000}"/>
    <cellStyle name="40% - 强调文字颜色 5 3 20 6 4" xfId="19091" xr:uid="{00000000-0005-0000-0000-0000A1250000}"/>
    <cellStyle name="40% - 强调文字颜色 5 3 20 6 5" xfId="19092" xr:uid="{00000000-0005-0000-0000-0000A2250000}"/>
    <cellStyle name="40% - 强调文字颜色 5 3 20 6 6" xfId="19093" xr:uid="{00000000-0005-0000-0000-0000A3250000}"/>
    <cellStyle name="40% - 强调文字颜色 5 3 20 6 7" xfId="19095" xr:uid="{00000000-0005-0000-0000-0000A4250000}"/>
    <cellStyle name="40% - 强调文字颜色 5 3 20 6 8" xfId="16502" xr:uid="{00000000-0005-0000-0000-0000A5250000}"/>
    <cellStyle name="40% - 强调文字颜色 5 3 20 7" xfId="19096" xr:uid="{00000000-0005-0000-0000-0000A6250000}"/>
    <cellStyle name="40% - 强调文字颜色 5 3 20 8" xfId="19097" xr:uid="{00000000-0005-0000-0000-0000A7250000}"/>
    <cellStyle name="40% - 强调文字颜色 5 3 20 9" xfId="19099" xr:uid="{00000000-0005-0000-0000-0000A8250000}"/>
    <cellStyle name="40% - 强调文字颜色 5 3 20 9 2" xfId="19100" xr:uid="{00000000-0005-0000-0000-0000A9250000}"/>
    <cellStyle name="40% - 强调文字颜色 5 3 20 9 3" xfId="19101" xr:uid="{00000000-0005-0000-0000-0000AA250000}"/>
    <cellStyle name="40% - 强调文字颜色 5 3 3" xfId="19103" xr:uid="{00000000-0005-0000-0000-0000AB250000}"/>
    <cellStyle name="40% - 强调文字颜色 5 3 3 10" xfId="14943" xr:uid="{00000000-0005-0000-0000-0000AC250000}"/>
    <cellStyle name="40% - 强调文字颜色 5 3 3 11" xfId="12282" xr:uid="{00000000-0005-0000-0000-0000AD250000}"/>
    <cellStyle name="40% - 强调文字颜色 5 3 3 12" xfId="12288" xr:uid="{00000000-0005-0000-0000-0000AE250000}"/>
    <cellStyle name="40% - 强调文字颜色 5 3 3 13" xfId="14951" xr:uid="{00000000-0005-0000-0000-0000AF250000}"/>
    <cellStyle name="40% - 强调文字颜色 5 3 3 14" xfId="16810" xr:uid="{00000000-0005-0000-0000-0000B0250000}"/>
    <cellStyle name="40% - 强调文字颜色 5 3 3 2" xfId="19105" xr:uid="{00000000-0005-0000-0000-0000B1250000}"/>
    <cellStyle name="40% - 强调文字颜色 5 3 3 3" xfId="19106" xr:uid="{00000000-0005-0000-0000-0000B2250000}"/>
    <cellStyle name="40% - 强调文字颜色 5 3 3 4" xfId="19107" xr:uid="{00000000-0005-0000-0000-0000B3250000}"/>
    <cellStyle name="40% - 强调文字颜色 5 3 3 5" xfId="19108" xr:uid="{00000000-0005-0000-0000-0000B4250000}"/>
    <cellStyle name="40% - 强调文字颜色 5 3 3 6" xfId="19110" xr:uid="{00000000-0005-0000-0000-0000B5250000}"/>
    <cellStyle name="40% - 强调文字颜色 5 3 3 7" xfId="19112" xr:uid="{00000000-0005-0000-0000-0000B6250000}"/>
    <cellStyle name="40% - 强调文字颜色 5 3 3 8" xfId="19114" xr:uid="{00000000-0005-0000-0000-0000B7250000}"/>
    <cellStyle name="40% - 强调文字颜色 5 3 3 9" xfId="19116" xr:uid="{00000000-0005-0000-0000-0000B8250000}"/>
    <cellStyle name="40% - 强调文字颜色 5 3 4" xfId="19117" xr:uid="{00000000-0005-0000-0000-0000B9250000}"/>
    <cellStyle name="40% - 强调文字颜色 5 3 4 10" xfId="19118" xr:uid="{00000000-0005-0000-0000-0000BA250000}"/>
    <cellStyle name="40% - 强调文字颜色 5 3 4 11" xfId="19119" xr:uid="{00000000-0005-0000-0000-0000BB250000}"/>
    <cellStyle name="40% - 强调文字颜色 5 3 4 12" xfId="19120" xr:uid="{00000000-0005-0000-0000-0000BC250000}"/>
    <cellStyle name="40% - 强调文字颜色 5 3 4 13" xfId="19121" xr:uid="{00000000-0005-0000-0000-0000BD250000}"/>
    <cellStyle name="40% - 强调文字颜色 5 3 4 14" xfId="19124" xr:uid="{00000000-0005-0000-0000-0000BE250000}"/>
    <cellStyle name="40% - 强调文字颜色 5 3 4 2" xfId="19126" xr:uid="{00000000-0005-0000-0000-0000BF250000}"/>
    <cellStyle name="40% - 强调文字颜色 5 3 4 3" xfId="19128" xr:uid="{00000000-0005-0000-0000-0000C0250000}"/>
    <cellStyle name="40% - 强调文字颜色 5 3 4 4" xfId="19130" xr:uid="{00000000-0005-0000-0000-0000C1250000}"/>
    <cellStyle name="40% - 强调文字颜色 5 3 4 5" xfId="19132" xr:uid="{00000000-0005-0000-0000-0000C2250000}"/>
    <cellStyle name="40% - 强调文字颜色 5 3 4 6" xfId="19134" xr:uid="{00000000-0005-0000-0000-0000C3250000}"/>
    <cellStyle name="40% - 强调文字颜色 5 3 4 7" xfId="19135" xr:uid="{00000000-0005-0000-0000-0000C4250000}"/>
    <cellStyle name="40% - 强调文字颜色 5 3 4 8" xfId="19137" xr:uid="{00000000-0005-0000-0000-0000C5250000}"/>
    <cellStyle name="40% - 强调文字颜色 5 3 4 9" xfId="19139" xr:uid="{00000000-0005-0000-0000-0000C6250000}"/>
    <cellStyle name="40% - 强调文字颜色 5 3 5" xfId="19141" xr:uid="{00000000-0005-0000-0000-0000C7250000}"/>
    <cellStyle name="40% - 强调文字颜色 5 3 6" xfId="19142" xr:uid="{00000000-0005-0000-0000-0000C8250000}"/>
    <cellStyle name="40% - 强调文字颜色 5 3 7" xfId="19144" xr:uid="{00000000-0005-0000-0000-0000C9250000}"/>
    <cellStyle name="40% - 强调文字颜色 5 3 8" xfId="19146" xr:uid="{00000000-0005-0000-0000-0000CA250000}"/>
    <cellStyle name="40% - 强调文字颜色 5 3 9" xfId="19147" xr:uid="{00000000-0005-0000-0000-0000CB250000}"/>
    <cellStyle name="40% - 强调文字颜色 5 4" xfId="12589" xr:uid="{00000000-0005-0000-0000-0000CC250000}"/>
    <cellStyle name="40% - 强调文字颜色 5 4 10" xfId="9774" xr:uid="{00000000-0005-0000-0000-0000CD250000}"/>
    <cellStyle name="40% - 强调文字颜色 5 4 11" xfId="9241" xr:uid="{00000000-0005-0000-0000-0000CE250000}"/>
    <cellStyle name="40% - 强调文字颜色 5 4 12" xfId="9250" xr:uid="{00000000-0005-0000-0000-0000CF250000}"/>
    <cellStyle name="40% - 强调文字颜色 5 4 13" xfId="19149" xr:uid="{00000000-0005-0000-0000-0000D0250000}"/>
    <cellStyle name="40% - 强调文字颜色 5 4 14" xfId="19151" xr:uid="{00000000-0005-0000-0000-0000D1250000}"/>
    <cellStyle name="40% - 强调文字颜色 5 4 15" xfId="19154" xr:uid="{00000000-0005-0000-0000-0000D2250000}"/>
    <cellStyle name="40% - 强调文字颜色 5 4 16" xfId="19155" xr:uid="{00000000-0005-0000-0000-0000D3250000}"/>
    <cellStyle name="40% - 强调文字颜色 5 4 17" xfId="9432" xr:uid="{00000000-0005-0000-0000-0000D4250000}"/>
    <cellStyle name="40% - 强调文字颜色 5 4 17 10" xfId="7096" xr:uid="{00000000-0005-0000-0000-0000D5250000}"/>
    <cellStyle name="40% - 强调文字颜色 5 4 17 11" xfId="7110" xr:uid="{00000000-0005-0000-0000-0000D6250000}"/>
    <cellStyle name="40% - 强调文字颜色 5 4 17 12" xfId="19156" xr:uid="{00000000-0005-0000-0000-0000D7250000}"/>
    <cellStyle name="40% - 强调文字颜色 5 4 17 13" xfId="19159" xr:uid="{00000000-0005-0000-0000-0000D8250000}"/>
    <cellStyle name="40% - 强调文字颜色 5 4 17 14" xfId="19162" xr:uid="{00000000-0005-0000-0000-0000D9250000}"/>
    <cellStyle name="40% - 强调文字颜色 5 4 17 2" xfId="19169" xr:uid="{00000000-0005-0000-0000-0000DA250000}"/>
    <cellStyle name="40% - 强调文字颜色 5 4 17 3" xfId="19174" xr:uid="{00000000-0005-0000-0000-0000DB250000}"/>
    <cellStyle name="40% - 强调文字颜色 5 4 17 4" xfId="19178" xr:uid="{00000000-0005-0000-0000-0000DC250000}"/>
    <cellStyle name="40% - 强调文字颜色 5 4 17 5" xfId="19182" xr:uid="{00000000-0005-0000-0000-0000DD250000}"/>
    <cellStyle name="40% - 强调文字颜色 5 4 17 5 10" xfId="13235" xr:uid="{00000000-0005-0000-0000-0000DE250000}"/>
    <cellStyle name="40% - 强调文字颜色 5 4 17 5 11" xfId="13239" xr:uid="{00000000-0005-0000-0000-0000DF250000}"/>
    <cellStyle name="40% - 强调文字颜色 5 4 17 5 2" xfId="19183" xr:uid="{00000000-0005-0000-0000-0000E0250000}"/>
    <cellStyle name="40% - 强调文字颜色 5 4 17 5 2 2" xfId="15744" xr:uid="{00000000-0005-0000-0000-0000E1250000}"/>
    <cellStyle name="40% - 强调文字颜色 5 4 17 5 2 2 2" xfId="13008" xr:uid="{00000000-0005-0000-0000-0000E2250000}"/>
    <cellStyle name="40% - 强调文字颜色 5 4 17 5 2 2 3" xfId="13021" xr:uid="{00000000-0005-0000-0000-0000E3250000}"/>
    <cellStyle name="40% - 强调文字颜色 5 4 17 5 2 3" xfId="16269" xr:uid="{00000000-0005-0000-0000-0000E4250000}"/>
    <cellStyle name="40% - 强调文字颜色 5 4 17 5 2 4" xfId="16276" xr:uid="{00000000-0005-0000-0000-0000E5250000}"/>
    <cellStyle name="40% - 强调文字颜色 5 4 17 5 2 5" xfId="16282" xr:uid="{00000000-0005-0000-0000-0000E6250000}"/>
    <cellStyle name="40% - 强调文字颜色 5 4 17 5 2 6" xfId="16286" xr:uid="{00000000-0005-0000-0000-0000E7250000}"/>
    <cellStyle name="40% - 强调文字颜色 5 4 17 5 2 7" xfId="16289" xr:uid="{00000000-0005-0000-0000-0000E8250000}"/>
    <cellStyle name="40% - 强调文字颜色 5 4 17 5 2 8" xfId="16292" xr:uid="{00000000-0005-0000-0000-0000E9250000}"/>
    <cellStyle name="40% - 强调文字颜色 5 4 17 5 3" xfId="19185" xr:uid="{00000000-0005-0000-0000-0000EA250000}"/>
    <cellStyle name="40% - 强调文字颜色 5 4 17 5 4" xfId="19186" xr:uid="{00000000-0005-0000-0000-0000EB250000}"/>
    <cellStyle name="40% - 强调文字颜色 5 4 17 5 5" xfId="19187" xr:uid="{00000000-0005-0000-0000-0000EC250000}"/>
    <cellStyle name="40% - 强调文字颜色 5 4 17 5 6" xfId="19188" xr:uid="{00000000-0005-0000-0000-0000ED250000}"/>
    <cellStyle name="40% - 强调文字颜色 5 4 17 5 6 2" xfId="15802" xr:uid="{00000000-0005-0000-0000-0000EE250000}"/>
    <cellStyle name="40% - 强调文字颜色 5 4 17 5 6 3" xfId="19189" xr:uid="{00000000-0005-0000-0000-0000EF250000}"/>
    <cellStyle name="40% - 强调文字颜色 5 4 17 5 7" xfId="19190" xr:uid="{00000000-0005-0000-0000-0000F0250000}"/>
    <cellStyle name="40% - 强调文字颜色 5 4 17 5 8" xfId="19191" xr:uid="{00000000-0005-0000-0000-0000F1250000}"/>
    <cellStyle name="40% - 强调文字颜色 5 4 17 5 9" xfId="18340" xr:uid="{00000000-0005-0000-0000-0000F2250000}"/>
    <cellStyle name="40% - 强调文字颜色 5 4 17 6" xfId="19195" xr:uid="{00000000-0005-0000-0000-0000F3250000}"/>
    <cellStyle name="40% - 强调文字颜色 5 4 17 6 2" xfId="19197" xr:uid="{00000000-0005-0000-0000-0000F4250000}"/>
    <cellStyle name="40% - 强调文字颜色 5 4 17 6 2 2" xfId="19199" xr:uid="{00000000-0005-0000-0000-0000F5250000}"/>
    <cellStyle name="40% - 强调文字颜色 5 4 17 6 2 3" xfId="19203" xr:uid="{00000000-0005-0000-0000-0000F6250000}"/>
    <cellStyle name="40% - 强调文字颜色 5 4 17 6 3" xfId="19206" xr:uid="{00000000-0005-0000-0000-0000F7250000}"/>
    <cellStyle name="40% - 强调文字颜色 5 4 17 6 4" xfId="19209" xr:uid="{00000000-0005-0000-0000-0000F8250000}"/>
    <cellStyle name="40% - 强调文字颜色 5 4 17 6 5" xfId="19212" xr:uid="{00000000-0005-0000-0000-0000F9250000}"/>
    <cellStyle name="40% - 强调文字颜色 5 4 17 6 6" xfId="19213" xr:uid="{00000000-0005-0000-0000-0000FA250000}"/>
    <cellStyle name="40% - 强调文字颜色 5 4 17 6 7" xfId="4211" xr:uid="{00000000-0005-0000-0000-0000FB250000}"/>
    <cellStyle name="40% - 强调文字颜色 5 4 17 6 8" xfId="4271" xr:uid="{00000000-0005-0000-0000-0000FC250000}"/>
    <cellStyle name="40% - 强调文字颜色 5 4 17 7" xfId="19217" xr:uid="{00000000-0005-0000-0000-0000FD250000}"/>
    <cellStyle name="40% - 强调文字颜色 5 4 17 8" xfId="19220" xr:uid="{00000000-0005-0000-0000-0000FE250000}"/>
    <cellStyle name="40% - 强调文字颜色 5 4 17 9" xfId="19224" xr:uid="{00000000-0005-0000-0000-0000FF250000}"/>
    <cellStyle name="40% - 强调文字颜色 5 4 17 9 2" xfId="19227" xr:uid="{00000000-0005-0000-0000-000000260000}"/>
    <cellStyle name="40% - 强调文字颜色 5 4 17 9 3" xfId="19230" xr:uid="{00000000-0005-0000-0000-000001260000}"/>
    <cellStyle name="40% - 强调文字颜色 5 4 18" xfId="9441" xr:uid="{00000000-0005-0000-0000-000002260000}"/>
    <cellStyle name="40% - 强调文字颜色 5 4 18 10" xfId="3986" xr:uid="{00000000-0005-0000-0000-000003260000}"/>
    <cellStyle name="40% - 强调文字颜色 5 4 18 11" xfId="4918" xr:uid="{00000000-0005-0000-0000-000004260000}"/>
    <cellStyle name="40% - 强调文字颜色 5 4 18 12" xfId="5220" xr:uid="{00000000-0005-0000-0000-000005260000}"/>
    <cellStyle name="40% - 强调文字颜色 5 4 18 13" xfId="2841" xr:uid="{00000000-0005-0000-0000-000006260000}"/>
    <cellStyle name="40% - 强调文字颜色 5 4 18 14" xfId="2863" xr:uid="{00000000-0005-0000-0000-000007260000}"/>
    <cellStyle name="40% - 强调文字颜色 5 4 18 2" xfId="7295" xr:uid="{00000000-0005-0000-0000-000008260000}"/>
    <cellStyle name="40% - 强调文字颜色 5 4 18 3" xfId="7304" xr:uid="{00000000-0005-0000-0000-000009260000}"/>
    <cellStyle name="40% - 强调文字颜色 5 4 18 4" xfId="7320" xr:uid="{00000000-0005-0000-0000-00000A260000}"/>
    <cellStyle name="40% - 强调文字颜色 5 4 18 5" xfId="7327" xr:uid="{00000000-0005-0000-0000-00000B260000}"/>
    <cellStyle name="40% - 强调文字颜色 5 4 18 5 10" xfId="19231" xr:uid="{00000000-0005-0000-0000-00000C260000}"/>
    <cellStyle name="40% - 强调文字颜色 5 4 18 5 11" xfId="19236" xr:uid="{00000000-0005-0000-0000-00000D260000}"/>
    <cellStyle name="40% - 强调文字颜色 5 4 18 5 2" xfId="19237" xr:uid="{00000000-0005-0000-0000-00000E260000}"/>
    <cellStyle name="40% - 强调文字颜色 5 4 18 5 2 2" xfId="19242" xr:uid="{00000000-0005-0000-0000-00000F260000}"/>
    <cellStyle name="40% - 强调文字颜色 5 4 18 5 2 2 2" xfId="10956" xr:uid="{00000000-0005-0000-0000-000010260000}"/>
    <cellStyle name="40% - 强调文字颜色 5 4 18 5 2 2 3" xfId="19246" xr:uid="{00000000-0005-0000-0000-000011260000}"/>
    <cellStyle name="40% - 强调文字颜色 5 4 18 5 2 3" xfId="19251" xr:uid="{00000000-0005-0000-0000-000012260000}"/>
    <cellStyle name="40% - 强调文字颜色 5 4 18 5 2 4" xfId="19255" xr:uid="{00000000-0005-0000-0000-000013260000}"/>
    <cellStyle name="40% - 强调文字颜色 5 4 18 5 2 5" xfId="19259" xr:uid="{00000000-0005-0000-0000-000014260000}"/>
    <cellStyle name="40% - 强调文字颜色 5 4 18 5 2 6" xfId="19263" xr:uid="{00000000-0005-0000-0000-000015260000}"/>
    <cellStyle name="40% - 强调文字颜色 5 4 18 5 2 7" xfId="19267" xr:uid="{00000000-0005-0000-0000-000016260000}"/>
    <cellStyle name="40% - 强调文字颜色 5 4 18 5 2 8" xfId="1506" xr:uid="{00000000-0005-0000-0000-000017260000}"/>
    <cellStyle name="40% - 强调文字颜色 5 4 18 5 3" xfId="19270" xr:uid="{00000000-0005-0000-0000-000018260000}"/>
    <cellStyle name="40% - 强调文字颜色 5 4 18 5 4" xfId="19271" xr:uid="{00000000-0005-0000-0000-000019260000}"/>
    <cellStyle name="40% - 强调文字颜色 5 4 18 5 5" xfId="19272" xr:uid="{00000000-0005-0000-0000-00001A260000}"/>
    <cellStyle name="40% - 强调文字颜色 5 4 18 5 6" xfId="19273" xr:uid="{00000000-0005-0000-0000-00001B260000}"/>
    <cellStyle name="40% - 强调文字颜色 5 4 18 5 6 2" xfId="19274" xr:uid="{00000000-0005-0000-0000-00001C260000}"/>
    <cellStyle name="40% - 强调文字颜色 5 4 18 5 6 3" xfId="19276" xr:uid="{00000000-0005-0000-0000-00001D260000}"/>
    <cellStyle name="40% - 强调文字颜色 5 4 18 5 7" xfId="19277" xr:uid="{00000000-0005-0000-0000-00001E260000}"/>
    <cellStyle name="40% - 强调文字颜色 5 4 18 5 8" xfId="9895" xr:uid="{00000000-0005-0000-0000-00001F260000}"/>
    <cellStyle name="40% - 强调文字颜色 5 4 18 5 9" xfId="9904" xr:uid="{00000000-0005-0000-0000-000020260000}"/>
    <cellStyle name="40% - 强调文字颜色 5 4 18 6" xfId="7336" xr:uid="{00000000-0005-0000-0000-000021260000}"/>
    <cellStyle name="40% - 强调文字颜色 5 4 18 6 2" xfId="19281" xr:uid="{00000000-0005-0000-0000-000022260000}"/>
    <cellStyle name="40% - 强调文字颜色 5 4 18 6 2 2" xfId="19283" xr:uid="{00000000-0005-0000-0000-000023260000}"/>
    <cellStyle name="40% - 强调文字颜色 5 4 18 6 2 3" xfId="19288" xr:uid="{00000000-0005-0000-0000-000024260000}"/>
    <cellStyle name="40% - 强调文字颜色 5 4 18 6 3" xfId="19294" xr:uid="{00000000-0005-0000-0000-000025260000}"/>
    <cellStyle name="40% - 强调文字颜色 5 4 18 6 4" xfId="19298" xr:uid="{00000000-0005-0000-0000-000026260000}"/>
    <cellStyle name="40% - 强调文字颜色 5 4 18 6 5" xfId="19302" xr:uid="{00000000-0005-0000-0000-000027260000}"/>
    <cellStyle name="40% - 强调文字颜色 5 4 18 6 6" xfId="19303" xr:uid="{00000000-0005-0000-0000-000028260000}"/>
    <cellStyle name="40% - 强调文字颜色 5 4 18 6 7" xfId="19305" xr:uid="{00000000-0005-0000-0000-000029260000}"/>
    <cellStyle name="40% - 强调文字颜色 5 4 18 6 8" xfId="19307" xr:uid="{00000000-0005-0000-0000-00002A260000}"/>
    <cellStyle name="40% - 强调文字颜色 5 4 18 7" xfId="7345" xr:uid="{00000000-0005-0000-0000-00002B260000}"/>
    <cellStyle name="40% - 强调文字颜色 5 4 18 8" xfId="19308" xr:uid="{00000000-0005-0000-0000-00002C260000}"/>
    <cellStyle name="40% - 强调文字颜色 5 4 18 9" xfId="19309" xr:uid="{00000000-0005-0000-0000-00002D260000}"/>
    <cellStyle name="40% - 强调文字颜色 5 4 18 9 2" xfId="19310" xr:uid="{00000000-0005-0000-0000-00002E260000}"/>
    <cellStyle name="40% - 强调文字颜色 5 4 18 9 3" xfId="19312" xr:uid="{00000000-0005-0000-0000-00002F260000}"/>
    <cellStyle name="40% - 强调文字颜色 5 4 19" xfId="19314" xr:uid="{00000000-0005-0000-0000-000030260000}"/>
    <cellStyle name="40% - 强调文字颜色 5 4 19 10" xfId="18476" xr:uid="{00000000-0005-0000-0000-000031260000}"/>
    <cellStyle name="40% - 强调文字颜色 5 4 19 11" xfId="18479" xr:uid="{00000000-0005-0000-0000-000032260000}"/>
    <cellStyle name="40% - 强调文字颜色 5 4 19 12" xfId="19315" xr:uid="{00000000-0005-0000-0000-000033260000}"/>
    <cellStyle name="40% - 强调文字颜色 5 4 19 13" xfId="19316" xr:uid="{00000000-0005-0000-0000-000034260000}"/>
    <cellStyle name="40% - 强调文字颜色 5 4 19 14" xfId="19317" xr:uid="{00000000-0005-0000-0000-000035260000}"/>
    <cellStyle name="40% - 强调文字颜色 5 4 19 2" xfId="7393" xr:uid="{00000000-0005-0000-0000-000036260000}"/>
    <cellStyle name="40% - 强调文字颜色 5 4 19 3" xfId="7407" xr:uid="{00000000-0005-0000-0000-000037260000}"/>
    <cellStyle name="40% - 强调文字颜色 5 4 19 4" xfId="7417" xr:uid="{00000000-0005-0000-0000-000038260000}"/>
    <cellStyle name="40% - 强调文字颜色 5 4 19 5" xfId="239" xr:uid="{00000000-0005-0000-0000-000039260000}"/>
    <cellStyle name="40% - 强调文字颜色 5 4 19 5 10" xfId="7042" xr:uid="{00000000-0005-0000-0000-00003A260000}"/>
    <cellStyle name="40% - 强调文字颜色 5 4 19 5 11" xfId="7057" xr:uid="{00000000-0005-0000-0000-00003B260000}"/>
    <cellStyle name="40% - 强调文字颜色 5 4 19 5 2" xfId="19318" xr:uid="{00000000-0005-0000-0000-00003C260000}"/>
    <cellStyle name="40% - 强调文字颜色 5 4 19 5 2 2" xfId="438" xr:uid="{00000000-0005-0000-0000-00003D260000}"/>
    <cellStyle name="40% - 强调文字颜色 5 4 19 5 2 2 2" xfId="19319" xr:uid="{00000000-0005-0000-0000-00003E260000}"/>
    <cellStyle name="40% - 强调文字颜色 5 4 19 5 2 2 3" xfId="19320" xr:uid="{00000000-0005-0000-0000-00003F260000}"/>
    <cellStyle name="40% - 强调文字颜色 5 4 19 5 2 3" xfId="11136" xr:uid="{00000000-0005-0000-0000-000040260000}"/>
    <cellStyle name="40% - 强调文字颜色 5 4 19 5 2 4" xfId="11140" xr:uid="{00000000-0005-0000-0000-000041260000}"/>
    <cellStyle name="40% - 强调文字颜色 5 4 19 5 2 5" xfId="11144" xr:uid="{00000000-0005-0000-0000-000042260000}"/>
    <cellStyle name="40% - 强调文字颜色 5 4 19 5 2 6" xfId="19321" xr:uid="{00000000-0005-0000-0000-000043260000}"/>
    <cellStyle name="40% - 强调文字颜色 5 4 19 5 2 7" xfId="19322" xr:uid="{00000000-0005-0000-0000-000044260000}"/>
    <cellStyle name="40% - 强调文字颜色 5 4 19 5 2 8" xfId="19323" xr:uid="{00000000-0005-0000-0000-000045260000}"/>
    <cellStyle name="40% - 强调文字颜色 5 4 19 5 3" xfId="19324" xr:uid="{00000000-0005-0000-0000-000046260000}"/>
    <cellStyle name="40% - 强调文字颜色 5 4 19 5 4" xfId="19325" xr:uid="{00000000-0005-0000-0000-000047260000}"/>
    <cellStyle name="40% - 强调文字颜色 5 4 19 5 5" xfId="19326" xr:uid="{00000000-0005-0000-0000-000048260000}"/>
    <cellStyle name="40% - 强调文字颜色 5 4 19 5 6" xfId="19327" xr:uid="{00000000-0005-0000-0000-000049260000}"/>
    <cellStyle name="40% - 强调文字颜色 5 4 19 5 6 2" xfId="17550" xr:uid="{00000000-0005-0000-0000-00004A260000}"/>
    <cellStyle name="40% - 强调文字颜色 5 4 19 5 6 3" xfId="17552" xr:uid="{00000000-0005-0000-0000-00004B260000}"/>
    <cellStyle name="40% - 强调文字颜色 5 4 19 5 7" xfId="19328" xr:uid="{00000000-0005-0000-0000-00004C260000}"/>
    <cellStyle name="40% - 强调文字颜色 5 4 19 5 8" xfId="19329" xr:uid="{00000000-0005-0000-0000-00004D260000}"/>
    <cellStyle name="40% - 强调文字颜色 5 4 19 5 9" xfId="19332" xr:uid="{00000000-0005-0000-0000-00004E260000}"/>
    <cellStyle name="40% - 强调文字颜色 5 4 19 6" xfId="5918" xr:uid="{00000000-0005-0000-0000-00004F260000}"/>
    <cellStyle name="40% - 强调文字颜色 5 4 19 6 2" xfId="14178" xr:uid="{00000000-0005-0000-0000-000050260000}"/>
    <cellStyle name="40% - 强调文字颜色 5 4 19 6 2 2" xfId="12635" xr:uid="{00000000-0005-0000-0000-000051260000}"/>
    <cellStyle name="40% - 强调文字颜色 5 4 19 6 2 3" xfId="12642" xr:uid="{00000000-0005-0000-0000-000052260000}"/>
    <cellStyle name="40% - 强调文字颜色 5 4 19 6 3" xfId="14181" xr:uid="{00000000-0005-0000-0000-000053260000}"/>
    <cellStyle name="40% - 强调文字颜色 5 4 19 6 4" xfId="14185" xr:uid="{00000000-0005-0000-0000-000054260000}"/>
    <cellStyle name="40% - 强调文字颜色 5 4 19 6 5" xfId="14189" xr:uid="{00000000-0005-0000-0000-000055260000}"/>
    <cellStyle name="40% - 强调文字颜色 5 4 19 6 6" xfId="8015" xr:uid="{00000000-0005-0000-0000-000056260000}"/>
    <cellStyle name="40% - 强调文字颜色 5 4 19 6 7" xfId="8019" xr:uid="{00000000-0005-0000-0000-000057260000}"/>
    <cellStyle name="40% - 强调文字颜色 5 4 19 6 8" xfId="16710" xr:uid="{00000000-0005-0000-0000-000058260000}"/>
    <cellStyle name="40% - 强调文字颜色 5 4 19 7" xfId="7424" xr:uid="{00000000-0005-0000-0000-000059260000}"/>
    <cellStyle name="40% - 强调文字颜色 5 4 19 8" xfId="19334" xr:uid="{00000000-0005-0000-0000-00005A260000}"/>
    <cellStyle name="40% - 强调文字颜色 5 4 19 9" xfId="19335" xr:uid="{00000000-0005-0000-0000-00005B260000}"/>
    <cellStyle name="40% - 强调文字颜色 5 4 19 9 2" xfId="19336" xr:uid="{00000000-0005-0000-0000-00005C260000}"/>
    <cellStyle name="40% - 强调文字颜色 5 4 19 9 3" xfId="19338" xr:uid="{00000000-0005-0000-0000-00005D260000}"/>
    <cellStyle name="40% - 强调文字颜色 5 4 2" xfId="19341" xr:uid="{00000000-0005-0000-0000-00005E260000}"/>
    <cellStyle name="40% - 强调文字颜色 5 4 20" xfId="19153" xr:uid="{00000000-0005-0000-0000-00005F260000}"/>
    <cellStyle name="40% - 强调文字颜色 5 4 20 10" xfId="3110" xr:uid="{00000000-0005-0000-0000-000060260000}"/>
    <cellStyle name="40% - 强调文字颜色 5 4 20 11" xfId="4012" xr:uid="{00000000-0005-0000-0000-000061260000}"/>
    <cellStyle name="40% - 强调文字颜色 5 4 20 12" xfId="19343" xr:uid="{00000000-0005-0000-0000-000062260000}"/>
    <cellStyle name="40% - 强调文字颜色 5 4 20 13" xfId="19344" xr:uid="{00000000-0005-0000-0000-000063260000}"/>
    <cellStyle name="40% - 强调文字颜色 5 4 20 14" xfId="19346" xr:uid="{00000000-0005-0000-0000-000064260000}"/>
    <cellStyle name="40% - 强调文字颜色 5 4 20 2" xfId="9354" xr:uid="{00000000-0005-0000-0000-000065260000}"/>
    <cellStyle name="40% - 强调文字颜色 5 4 20 3" xfId="9370" xr:uid="{00000000-0005-0000-0000-000066260000}"/>
    <cellStyle name="40% - 强调文字颜色 5 4 20 4" xfId="9380" xr:uid="{00000000-0005-0000-0000-000067260000}"/>
    <cellStyle name="40% - 强调文字颜色 5 4 20 5" xfId="9396" xr:uid="{00000000-0005-0000-0000-000068260000}"/>
    <cellStyle name="40% - 强调文字颜色 5 4 20 5 10" xfId="19348" xr:uid="{00000000-0005-0000-0000-000069260000}"/>
    <cellStyle name="40% - 强调文字颜色 5 4 20 5 11" xfId="19350" xr:uid="{00000000-0005-0000-0000-00006A260000}"/>
    <cellStyle name="40% - 强调文字颜色 5 4 20 5 2" xfId="6564" xr:uid="{00000000-0005-0000-0000-00006B260000}"/>
    <cellStyle name="40% - 强调文字颜色 5 4 20 5 2 2" xfId="17083" xr:uid="{00000000-0005-0000-0000-00006C260000}"/>
    <cellStyle name="40% - 强调文字颜色 5 4 20 5 2 2 2" xfId="19352" xr:uid="{00000000-0005-0000-0000-00006D260000}"/>
    <cellStyle name="40% - 强调文字颜色 5 4 20 5 2 2 3" xfId="17791" xr:uid="{00000000-0005-0000-0000-00006E260000}"/>
    <cellStyle name="40% - 强调文字颜色 5 4 20 5 2 3" xfId="17089" xr:uid="{00000000-0005-0000-0000-00006F260000}"/>
    <cellStyle name="40% - 强调文字颜色 5 4 20 5 2 4" xfId="12783" xr:uid="{00000000-0005-0000-0000-000070260000}"/>
    <cellStyle name="40% - 强调文字颜色 5 4 20 5 2 5" xfId="12788" xr:uid="{00000000-0005-0000-0000-000071260000}"/>
    <cellStyle name="40% - 强调文字颜色 5 4 20 5 2 6" xfId="12793" xr:uid="{00000000-0005-0000-0000-000072260000}"/>
    <cellStyle name="40% - 强调文字颜色 5 4 20 5 2 7" xfId="12798" xr:uid="{00000000-0005-0000-0000-000073260000}"/>
    <cellStyle name="40% - 强调文字颜色 5 4 20 5 2 8" xfId="12803" xr:uid="{00000000-0005-0000-0000-000074260000}"/>
    <cellStyle name="40% - 强调文字颜色 5 4 20 5 3" xfId="6569" xr:uid="{00000000-0005-0000-0000-000075260000}"/>
    <cellStyle name="40% - 强调文字颜色 5 4 20 5 4" xfId="18302" xr:uid="{00000000-0005-0000-0000-000076260000}"/>
    <cellStyle name="40% - 强调文字颜色 5 4 20 5 5" xfId="18306" xr:uid="{00000000-0005-0000-0000-000077260000}"/>
    <cellStyle name="40% - 强调文字颜色 5 4 20 5 6" xfId="18310" xr:uid="{00000000-0005-0000-0000-000078260000}"/>
    <cellStyle name="40% - 强调文字颜色 5 4 20 5 6 2" xfId="8822" xr:uid="{00000000-0005-0000-0000-000079260000}"/>
    <cellStyle name="40% - 强调文字颜色 5 4 20 5 6 3" xfId="19353" xr:uid="{00000000-0005-0000-0000-00007A260000}"/>
    <cellStyle name="40% - 强调文字颜色 5 4 20 5 7" xfId="18314" xr:uid="{00000000-0005-0000-0000-00007B260000}"/>
    <cellStyle name="40% - 强调文字颜色 5 4 20 5 8" xfId="19355" xr:uid="{00000000-0005-0000-0000-00007C260000}"/>
    <cellStyle name="40% - 强调文字颜色 5 4 20 5 9" xfId="19358" xr:uid="{00000000-0005-0000-0000-00007D260000}"/>
    <cellStyle name="40% - 强调文字颜色 5 4 20 6" xfId="18721" xr:uid="{00000000-0005-0000-0000-00007E260000}"/>
    <cellStyle name="40% - 强调文字颜色 5 4 20 6 2" xfId="19359" xr:uid="{00000000-0005-0000-0000-00007F260000}"/>
    <cellStyle name="40% - 强调文字颜色 5 4 20 6 2 2" xfId="17128" xr:uid="{00000000-0005-0000-0000-000080260000}"/>
    <cellStyle name="40% - 强调文字颜色 5 4 20 6 2 3" xfId="17131" xr:uid="{00000000-0005-0000-0000-000081260000}"/>
    <cellStyle name="40% - 强调文字颜色 5 4 20 6 3" xfId="19360" xr:uid="{00000000-0005-0000-0000-000082260000}"/>
    <cellStyle name="40% - 强调文字颜色 5 4 20 6 4" xfId="19361" xr:uid="{00000000-0005-0000-0000-000083260000}"/>
    <cellStyle name="40% - 强调文字颜色 5 4 20 6 5" xfId="19362" xr:uid="{00000000-0005-0000-0000-000084260000}"/>
    <cellStyle name="40% - 强调文字颜色 5 4 20 6 6" xfId="19363" xr:uid="{00000000-0005-0000-0000-000085260000}"/>
    <cellStyle name="40% - 强调文字颜色 5 4 20 6 7" xfId="19366" xr:uid="{00000000-0005-0000-0000-000086260000}"/>
    <cellStyle name="40% - 强调文字颜色 5 4 20 6 8" xfId="5507" xr:uid="{00000000-0005-0000-0000-000087260000}"/>
    <cellStyle name="40% - 强调文字颜色 5 4 20 7" xfId="218" xr:uid="{00000000-0005-0000-0000-000088260000}"/>
    <cellStyle name="40% - 强调文字颜色 5 4 20 8" xfId="9413" xr:uid="{00000000-0005-0000-0000-000089260000}"/>
    <cellStyle name="40% - 强调文字颜色 5 4 20 9" xfId="10233" xr:uid="{00000000-0005-0000-0000-00008A260000}"/>
    <cellStyle name="40% - 强调文字颜色 5 4 20 9 2" xfId="19368" xr:uid="{00000000-0005-0000-0000-00008B260000}"/>
    <cellStyle name="40% - 强调文字颜色 5 4 20 9 3" xfId="19370" xr:uid="{00000000-0005-0000-0000-00008C260000}"/>
    <cellStyle name="40% - 强调文字颜色 5 4 3" xfId="19372" xr:uid="{00000000-0005-0000-0000-00008D260000}"/>
    <cellStyle name="40% - 强调文字颜色 5 4 4" xfId="19373" xr:uid="{00000000-0005-0000-0000-00008E260000}"/>
    <cellStyle name="40% - 强调文字颜色 5 4 5" xfId="19375" xr:uid="{00000000-0005-0000-0000-00008F260000}"/>
    <cellStyle name="40% - 强调文字颜色 5 4 6" xfId="19377" xr:uid="{00000000-0005-0000-0000-000090260000}"/>
    <cellStyle name="40% - 强调文字颜色 5 4 7" xfId="19380" xr:uid="{00000000-0005-0000-0000-000091260000}"/>
    <cellStyle name="40% - 强调文字颜色 5 4 8" xfId="19383" xr:uid="{00000000-0005-0000-0000-000092260000}"/>
    <cellStyle name="40% - 强调文字颜色 5 4 9" xfId="19386" xr:uid="{00000000-0005-0000-0000-000093260000}"/>
    <cellStyle name="40% - 强调文字颜色 5 5" xfId="12593" xr:uid="{00000000-0005-0000-0000-000094260000}"/>
    <cellStyle name="40% - 强调文字颜色 5 5 10" xfId="19390" xr:uid="{00000000-0005-0000-0000-000095260000}"/>
    <cellStyle name="40% - 强调文字颜色 5 5 11" xfId="19392" xr:uid="{00000000-0005-0000-0000-000096260000}"/>
    <cellStyle name="40% - 强调文字颜色 5 5 12" xfId="19394" xr:uid="{00000000-0005-0000-0000-000097260000}"/>
    <cellStyle name="40% - 强调文字颜色 5 5 13" xfId="19397" xr:uid="{00000000-0005-0000-0000-000098260000}"/>
    <cellStyle name="40% - 强调文字颜色 5 5 14" xfId="6609" xr:uid="{00000000-0005-0000-0000-000099260000}"/>
    <cellStyle name="40% - 强调文字颜色 5 5 2" xfId="19398" xr:uid="{00000000-0005-0000-0000-00009A260000}"/>
    <cellStyle name="40% - 强调文字颜色 5 5 3" xfId="19399" xr:uid="{00000000-0005-0000-0000-00009B260000}"/>
    <cellStyle name="40% - 强调文字颜色 5 5 4" xfId="19400" xr:uid="{00000000-0005-0000-0000-00009C260000}"/>
    <cellStyle name="40% - 强调文字颜色 5 5 5" xfId="19402" xr:uid="{00000000-0005-0000-0000-00009D260000}"/>
    <cellStyle name="40% - 强调文字颜色 5 5 6" xfId="19404" xr:uid="{00000000-0005-0000-0000-00009E260000}"/>
    <cellStyle name="40% - 强调文字颜色 5 5 7" xfId="19406" xr:uid="{00000000-0005-0000-0000-00009F260000}"/>
    <cellStyle name="40% - 强调文字颜色 5 5 8" xfId="19408" xr:uid="{00000000-0005-0000-0000-0000A0260000}"/>
    <cellStyle name="40% - 强调文字颜色 5 5 9" xfId="19410" xr:uid="{00000000-0005-0000-0000-0000A1260000}"/>
    <cellStyle name="40% - 强调文字颜色 5 6" xfId="12599" xr:uid="{00000000-0005-0000-0000-0000A2260000}"/>
    <cellStyle name="40% - 强调文字颜色 5 6 10" xfId="18610" xr:uid="{00000000-0005-0000-0000-0000A3260000}"/>
    <cellStyle name="40% - 强调文字颜色 5 6 11" xfId="18619" xr:uid="{00000000-0005-0000-0000-0000A4260000}"/>
    <cellStyle name="40% - 强调文字颜色 5 6 12" xfId="19418" xr:uid="{00000000-0005-0000-0000-0000A5260000}"/>
    <cellStyle name="40% - 强调文字颜色 5 6 13" xfId="17613" xr:uid="{00000000-0005-0000-0000-0000A6260000}"/>
    <cellStyle name="40% - 强调文字颜色 5 6 14" xfId="17618" xr:uid="{00000000-0005-0000-0000-0000A7260000}"/>
    <cellStyle name="40% - 强调文字颜色 5 6 2" xfId="6861" xr:uid="{00000000-0005-0000-0000-0000A8260000}"/>
    <cellStyle name="40% - 强调文字颜色 5 6 3" xfId="2321" xr:uid="{00000000-0005-0000-0000-0000A9260000}"/>
    <cellStyle name="40% - 强调文字颜色 5 6 4" xfId="19419" xr:uid="{00000000-0005-0000-0000-0000AA260000}"/>
    <cellStyle name="40% - 强调文字颜色 5 6 5" xfId="19420" xr:uid="{00000000-0005-0000-0000-0000AB260000}"/>
    <cellStyle name="40% - 强调文字颜色 5 6 6" xfId="19421" xr:uid="{00000000-0005-0000-0000-0000AC260000}"/>
    <cellStyle name="40% - 强调文字颜色 5 6 7" xfId="4436" xr:uid="{00000000-0005-0000-0000-0000AD260000}"/>
    <cellStyle name="40% - 强调文字颜色 5 6 8" xfId="4447" xr:uid="{00000000-0005-0000-0000-0000AE260000}"/>
    <cellStyle name="40% - 强调文字颜色 5 6 9" xfId="4464" xr:uid="{00000000-0005-0000-0000-0000AF260000}"/>
    <cellStyle name="40% - 强调文字颜色 5 7" xfId="12605" xr:uid="{00000000-0005-0000-0000-0000B0260000}"/>
    <cellStyle name="40% - 强调文字颜色 5 8" xfId="12608" xr:uid="{00000000-0005-0000-0000-0000B1260000}"/>
    <cellStyle name="40% - 强调文字颜色 5 9" xfId="12610" xr:uid="{00000000-0005-0000-0000-0000B2260000}"/>
    <cellStyle name="40% - 强调文字颜色 6 10" xfId="10670" xr:uid="{00000000-0005-0000-0000-0000B3260000}"/>
    <cellStyle name="40% - 强调文字颜色 6 11" xfId="10681" xr:uid="{00000000-0005-0000-0000-0000B4260000}"/>
    <cellStyle name="40% - 强调文字颜色 6 12" xfId="19426" xr:uid="{00000000-0005-0000-0000-0000B5260000}"/>
    <cellStyle name="40% - 强调文字颜色 6 12 10" xfId="1979" xr:uid="{00000000-0005-0000-0000-0000B6260000}"/>
    <cellStyle name="40% - 强调文字颜色 6 12 11" xfId="1985" xr:uid="{00000000-0005-0000-0000-0000B7260000}"/>
    <cellStyle name="40% - 强调文字颜色 6 12 12" xfId="2005" xr:uid="{00000000-0005-0000-0000-0000B8260000}"/>
    <cellStyle name="40% - 强调文字颜色 6 12 13" xfId="2218" xr:uid="{00000000-0005-0000-0000-0000B9260000}"/>
    <cellStyle name="40% - 强调文字颜色 6 12 14" xfId="2297" xr:uid="{00000000-0005-0000-0000-0000BA260000}"/>
    <cellStyle name="40% - 强调文字颜色 6 12 2" xfId="3094" xr:uid="{00000000-0005-0000-0000-0000BB260000}"/>
    <cellStyle name="40% - 强调文字颜色 6 12 3" xfId="6164" xr:uid="{00000000-0005-0000-0000-0000BC260000}"/>
    <cellStyle name="40% - 强调文字颜色 6 12 4" xfId="19428" xr:uid="{00000000-0005-0000-0000-0000BD260000}"/>
    <cellStyle name="40% - 强调文字颜色 6 12 5" xfId="19430" xr:uid="{00000000-0005-0000-0000-0000BE260000}"/>
    <cellStyle name="40% - 强调文字颜色 6 12 5 10" xfId="19433" xr:uid="{00000000-0005-0000-0000-0000BF260000}"/>
    <cellStyle name="40% - 强调文字颜色 6 12 5 11" xfId="19435" xr:uid="{00000000-0005-0000-0000-0000C0260000}"/>
    <cellStyle name="40% - 强调文字颜色 6 12 5 2" xfId="12455" xr:uid="{00000000-0005-0000-0000-0000C1260000}"/>
    <cellStyle name="40% - 强调文字颜色 6 12 5 2 2" xfId="19436" xr:uid="{00000000-0005-0000-0000-0000C2260000}"/>
    <cellStyle name="40% - 强调文字颜色 6 12 5 2 2 2" xfId="11707" xr:uid="{00000000-0005-0000-0000-0000C3260000}"/>
    <cellStyle name="40% - 强调文字颜色 6 12 5 2 2 3" xfId="11715" xr:uid="{00000000-0005-0000-0000-0000C4260000}"/>
    <cellStyle name="40% - 强调文字颜色 6 12 5 2 3" xfId="19439" xr:uid="{00000000-0005-0000-0000-0000C5260000}"/>
    <cellStyle name="40% - 强调文字颜色 6 12 5 2 4" xfId="19440" xr:uid="{00000000-0005-0000-0000-0000C6260000}"/>
    <cellStyle name="40% - 强调文字颜色 6 12 5 2 5" xfId="19441" xr:uid="{00000000-0005-0000-0000-0000C7260000}"/>
    <cellStyle name="40% - 强调文字颜色 6 12 5 2 6" xfId="19443" xr:uid="{00000000-0005-0000-0000-0000C8260000}"/>
    <cellStyle name="40% - 强调文字颜色 6 12 5 2 7" xfId="17673" xr:uid="{00000000-0005-0000-0000-0000C9260000}"/>
    <cellStyle name="40% - 强调文字颜色 6 12 5 2 8" xfId="7768" xr:uid="{00000000-0005-0000-0000-0000CA260000}"/>
    <cellStyle name="40% - 强调文字颜色 6 12 5 3" xfId="19446" xr:uid="{00000000-0005-0000-0000-0000CB260000}"/>
    <cellStyle name="40% - 强调文字颜色 6 12 5 4" xfId="19448" xr:uid="{00000000-0005-0000-0000-0000CC260000}"/>
    <cellStyle name="40% - 强调文字颜色 6 12 5 5" xfId="10609" xr:uid="{00000000-0005-0000-0000-0000CD260000}"/>
    <cellStyle name="40% - 强调文字颜色 6 12 5 6" xfId="10621" xr:uid="{00000000-0005-0000-0000-0000CE260000}"/>
    <cellStyle name="40% - 强调文字颜色 6 12 5 6 2" xfId="19449" xr:uid="{00000000-0005-0000-0000-0000CF260000}"/>
    <cellStyle name="40% - 强调文字颜色 6 12 5 6 3" xfId="19451" xr:uid="{00000000-0005-0000-0000-0000D0260000}"/>
    <cellStyle name="40% - 强调文字颜色 6 12 5 7" xfId="10626" xr:uid="{00000000-0005-0000-0000-0000D1260000}"/>
    <cellStyle name="40% - 强调文字颜色 6 12 5 8" xfId="10630" xr:uid="{00000000-0005-0000-0000-0000D2260000}"/>
    <cellStyle name="40% - 强调文字颜色 6 12 5 9" xfId="10634" xr:uid="{00000000-0005-0000-0000-0000D3260000}"/>
    <cellStyle name="40% - 强调文字颜色 6 12 6" xfId="19453" xr:uid="{00000000-0005-0000-0000-0000D4260000}"/>
    <cellStyle name="40% - 强调文字颜色 6 12 6 2" xfId="7308" xr:uid="{00000000-0005-0000-0000-0000D5260000}"/>
    <cellStyle name="40% - 强调文字颜色 6 12 6 2 2" xfId="19454" xr:uid="{00000000-0005-0000-0000-0000D6260000}"/>
    <cellStyle name="40% - 强调文字颜色 6 12 6 2 3" xfId="19455" xr:uid="{00000000-0005-0000-0000-0000D7260000}"/>
    <cellStyle name="40% - 强调文字颜色 6 12 6 3" xfId="7322" xr:uid="{00000000-0005-0000-0000-0000D8260000}"/>
    <cellStyle name="40% - 强调文字颜色 6 12 6 4" xfId="7332" xr:uid="{00000000-0005-0000-0000-0000D9260000}"/>
    <cellStyle name="40% - 强调文字颜色 6 12 6 5" xfId="7340" xr:uid="{00000000-0005-0000-0000-0000DA260000}"/>
    <cellStyle name="40% - 强调文字颜色 6 12 6 6" xfId="7349" xr:uid="{00000000-0005-0000-0000-0000DB260000}"/>
    <cellStyle name="40% - 强调文字颜色 6 12 6 7" xfId="7356" xr:uid="{00000000-0005-0000-0000-0000DC260000}"/>
    <cellStyle name="40% - 强调文字颜色 6 12 6 8" xfId="19458" xr:uid="{00000000-0005-0000-0000-0000DD260000}"/>
    <cellStyle name="40% - 强调文字颜色 6 12 7" xfId="19460" xr:uid="{00000000-0005-0000-0000-0000DE260000}"/>
    <cellStyle name="40% - 强调文字颜色 6 12 8" xfId="19463" xr:uid="{00000000-0005-0000-0000-0000DF260000}"/>
    <cellStyle name="40% - 强调文字颜色 6 12 9" xfId="18702" xr:uid="{00000000-0005-0000-0000-0000E0260000}"/>
    <cellStyle name="40% - 强调文字颜色 6 12 9 2" xfId="19466" xr:uid="{00000000-0005-0000-0000-0000E1260000}"/>
    <cellStyle name="40% - 强调文字颜色 6 12 9 3" xfId="19471" xr:uid="{00000000-0005-0000-0000-0000E2260000}"/>
    <cellStyle name="40% - 强调文字颜色 6 13" xfId="19475" xr:uid="{00000000-0005-0000-0000-0000E3260000}"/>
    <cellStyle name="40% - 强调文字颜色 6 14" xfId="19478" xr:uid="{00000000-0005-0000-0000-0000E4260000}"/>
    <cellStyle name="40% - 强调文字颜色 6 15" xfId="19480" xr:uid="{00000000-0005-0000-0000-0000E5260000}"/>
    <cellStyle name="40% - 强调文字颜色 6 16" xfId="19481" xr:uid="{00000000-0005-0000-0000-0000E6260000}"/>
    <cellStyle name="40% - 强调文字颜色 6 16 10" xfId="2999" xr:uid="{00000000-0005-0000-0000-0000E7260000}"/>
    <cellStyle name="40% - 强调文字颜色 6 16 11" xfId="19482" xr:uid="{00000000-0005-0000-0000-0000E8260000}"/>
    <cellStyle name="40% - 强调文字颜色 6 16 12" xfId="19483" xr:uid="{00000000-0005-0000-0000-0000E9260000}"/>
    <cellStyle name="40% - 强调文字颜色 6 16 13" xfId="16179" xr:uid="{00000000-0005-0000-0000-0000EA260000}"/>
    <cellStyle name="40% - 强调文字颜色 6 16 14" xfId="16180" xr:uid="{00000000-0005-0000-0000-0000EB260000}"/>
    <cellStyle name="40% - 强调文字颜色 6 16 2" xfId="19484" xr:uid="{00000000-0005-0000-0000-0000EC260000}"/>
    <cellStyle name="40% - 强调文字颜色 6 16 3" xfId="19486" xr:uid="{00000000-0005-0000-0000-0000ED260000}"/>
    <cellStyle name="40% - 强调文字颜色 6 16 4" xfId="19488" xr:uid="{00000000-0005-0000-0000-0000EE260000}"/>
    <cellStyle name="40% - 强调文字颜色 6 16 5" xfId="19489" xr:uid="{00000000-0005-0000-0000-0000EF260000}"/>
    <cellStyle name="40% - 强调文字颜色 6 16 5 10" xfId="19490" xr:uid="{00000000-0005-0000-0000-0000F0260000}"/>
    <cellStyle name="40% - 强调文字颜色 6 16 5 11" xfId="6738" xr:uid="{00000000-0005-0000-0000-0000F1260000}"/>
    <cellStyle name="40% - 强调文字颜色 6 16 5 2" xfId="12212" xr:uid="{00000000-0005-0000-0000-0000F2260000}"/>
    <cellStyle name="40% - 强调文字颜色 6 16 5 2 2" xfId="4583" xr:uid="{00000000-0005-0000-0000-0000F3260000}"/>
    <cellStyle name="40% - 强调文字颜色 6 16 5 2 2 2" xfId="19491" xr:uid="{00000000-0005-0000-0000-0000F4260000}"/>
    <cellStyle name="40% - 强调文字颜色 6 16 5 2 2 3" xfId="19493" xr:uid="{00000000-0005-0000-0000-0000F5260000}"/>
    <cellStyle name="40% - 强调文字颜色 6 16 5 2 3" xfId="19494" xr:uid="{00000000-0005-0000-0000-0000F6260000}"/>
    <cellStyle name="40% - 强调文字颜色 6 16 5 2 4" xfId="19496" xr:uid="{00000000-0005-0000-0000-0000F7260000}"/>
    <cellStyle name="40% - 强调文字颜色 6 16 5 2 5" xfId="19498" xr:uid="{00000000-0005-0000-0000-0000F8260000}"/>
    <cellStyle name="40% - 强调文字颜色 6 16 5 2 6" xfId="19500" xr:uid="{00000000-0005-0000-0000-0000F9260000}"/>
    <cellStyle name="40% - 强调文字颜色 6 16 5 2 7" xfId="19502" xr:uid="{00000000-0005-0000-0000-0000FA260000}"/>
    <cellStyle name="40% - 强调文字颜色 6 16 5 2 8" xfId="19503" xr:uid="{00000000-0005-0000-0000-0000FB260000}"/>
    <cellStyle name="40% - 强调文字颜色 6 16 5 3" xfId="4647" xr:uid="{00000000-0005-0000-0000-0000FC260000}"/>
    <cellStyle name="40% - 强调文字颜色 6 16 5 4" xfId="4655" xr:uid="{00000000-0005-0000-0000-0000FD260000}"/>
    <cellStyle name="40% - 强调文字颜色 6 16 5 5" xfId="12214" xr:uid="{00000000-0005-0000-0000-0000FE260000}"/>
    <cellStyle name="40% - 强调文字颜色 6 16 5 6" xfId="12216" xr:uid="{00000000-0005-0000-0000-0000FF260000}"/>
    <cellStyle name="40% - 强调文字颜色 6 16 5 6 2" xfId="19504" xr:uid="{00000000-0005-0000-0000-000000270000}"/>
    <cellStyle name="40% - 强调文字颜色 6 16 5 6 3" xfId="19505" xr:uid="{00000000-0005-0000-0000-000001270000}"/>
    <cellStyle name="40% - 强调文字颜色 6 16 5 7" xfId="19506" xr:uid="{00000000-0005-0000-0000-000002270000}"/>
    <cellStyle name="40% - 强调文字颜色 6 16 5 8" xfId="19507" xr:uid="{00000000-0005-0000-0000-000003270000}"/>
    <cellStyle name="40% - 强调文字颜色 6 16 5 9" xfId="14035" xr:uid="{00000000-0005-0000-0000-000004270000}"/>
    <cellStyle name="40% - 强调文字颜色 6 16 6" xfId="16386" xr:uid="{00000000-0005-0000-0000-000005270000}"/>
    <cellStyle name="40% - 强调文字颜色 6 16 6 2" xfId="8143" xr:uid="{00000000-0005-0000-0000-000006270000}"/>
    <cellStyle name="40% - 强调文字颜色 6 16 6 2 2" xfId="16392" xr:uid="{00000000-0005-0000-0000-000007270000}"/>
    <cellStyle name="40% - 强调文字颜色 6 16 6 2 3" xfId="16400" xr:uid="{00000000-0005-0000-0000-000008270000}"/>
    <cellStyle name="40% - 强调文字颜色 6 16 6 3" xfId="8151" xr:uid="{00000000-0005-0000-0000-000009270000}"/>
    <cellStyle name="40% - 强调文字颜色 6 16 6 4" xfId="8160" xr:uid="{00000000-0005-0000-0000-00000A270000}"/>
    <cellStyle name="40% - 强调文字颜色 6 16 6 5" xfId="8168" xr:uid="{00000000-0005-0000-0000-00000B270000}"/>
    <cellStyle name="40% - 强调文字颜色 6 16 6 6" xfId="8172" xr:uid="{00000000-0005-0000-0000-00000C270000}"/>
    <cellStyle name="40% - 强调文字颜色 6 16 6 7" xfId="8177" xr:uid="{00000000-0005-0000-0000-00000D270000}"/>
    <cellStyle name="40% - 强调文字颜色 6 16 6 8" xfId="16404" xr:uid="{00000000-0005-0000-0000-00000E270000}"/>
    <cellStyle name="40% - 强调文字颜色 6 16 7" xfId="16407" xr:uid="{00000000-0005-0000-0000-00000F270000}"/>
    <cellStyle name="40% - 强调文字颜色 6 16 8" xfId="14669" xr:uid="{00000000-0005-0000-0000-000010270000}"/>
    <cellStyle name="40% - 强调文字颜色 6 16 9" xfId="14684" xr:uid="{00000000-0005-0000-0000-000011270000}"/>
    <cellStyle name="40% - 强调文字颜色 6 16 9 2" xfId="9166" xr:uid="{00000000-0005-0000-0000-000012270000}"/>
    <cellStyle name="40% - 强调文字颜色 6 16 9 3" xfId="5240" xr:uid="{00000000-0005-0000-0000-000013270000}"/>
    <cellStyle name="40% - 强调文字颜色 6 17" xfId="19508" xr:uid="{00000000-0005-0000-0000-000014270000}"/>
    <cellStyle name="40% - 强调文字颜色 6 17 10" xfId="19509" xr:uid="{00000000-0005-0000-0000-000015270000}"/>
    <cellStyle name="40% - 强调文字颜色 6 17 11" xfId="19512" xr:uid="{00000000-0005-0000-0000-000016270000}"/>
    <cellStyle name="40% - 强调文字颜色 6 17 12" xfId="19515" xr:uid="{00000000-0005-0000-0000-000017270000}"/>
    <cellStyle name="40% - 强调文字颜色 6 17 13" xfId="19518" xr:uid="{00000000-0005-0000-0000-000018270000}"/>
    <cellStyle name="40% - 强调文字颜色 6 17 14" xfId="19521" xr:uid="{00000000-0005-0000-0000-000019270000}"/>
    <cellStyle name="40% - 强调文字颜色 6 17 2" xfId="4829" xr:uid="{00000000-0005-0000-0000-00001A270000}"/>
    <cellStyle name="40% - 强调文字颜色 6 17 3" xfId="4852" xr:uid="{00000000-0005-0000-0000-00001B270000}"/>
    <cellStyle name="40% - 强调文字颜色 6 17 4" xfId="19526" xr:uid="{00000000-0005-0000-0000-00001C270000}"/>
    <cellStyle name="40% - 强调文字颜色 6 17 5" xfId="19532" xr:uid="{00000000-0005-0000-0000-00001D270000}"/>
    <cellStyle name="40% - 强调文字颜色 6 17 5 10" xfId="19533" xr:uid="{00000000-0005-0000-0000-00001E270000}"/>
    <cellStyle name="40% - 强调文字颜色 6 17 5 11" xfId="1475" xr:uid="{00000000-0005-0000-0000-00001F270000}"/>
    <cellStyle name="40% - 强调文字颜色 6 17 5 2" xfId="19534" xr:uid="{00000000-0005-0000-0000-000020270000}"/>
    <cellStyle name="40% - 强调文字颜色 6 17 5 2 2" xfId="11815" xr:uid="{00000000-0005-0000-0000-000021270000}"/>
    <cellStyle name="40% - 强调文字颜色 6 17 5 2 2 2" xfId="8059" xr:uid="{00000000-0005-0000-0000-000022270000}"/>
    <cellStyle name="40% - 强调文字颜色 6 17 5 2 2 3" xfId="9884" xr:uid="{00000000-0005-0000-0000-000023270000}"/>
    <cellStyle name="40% - 强调文字颜色 6 17 5 2 3" xfId="11824" xr:uid="{00000000-0005-0000-0000-000024270000}"/>
    <cellStyle name="40% - 强调文字颜色 6 17 5 2 4" xfId="11833" xr:uid="{00000000-0005-0000-0000-000025270000}"/>
    <cellStyle name="40% - 强调文字颜色 6 17 5 2 5" xfId="11838" xr:uid="{00000000-0005-0000-0000-000026270000}"/>
    <cellStyle name="40% - 强调文字颜色 6 17 5 2 6" xfId="11843" xr:uid="{00000000-0005-0000-0000-000027270000}"/>
    <cellStyle name="40% - 强调文字颜色 6 17 5 2 7" xfId="19535" xr:uid="{00000000-0005-0000-0000-000028270000}"/>
    <cellStyle name="40% - 强调文字颜色 6 17 5 2 8" xfId="9350" xr:uid="{00000000-0005-0000-0000-000029270000}"/>
    <cellStyle name="40% - 强调文字颜色 6 17 5 3" xfId="19536" xr:uid="{00000000-0005-0000-0000-00002A270000}"/>
    <cellStyle name="40% - 强调文字颜色 6 17 5 4" xfId="19537" xr:uid="{00000000-0005-0000-0000-00002B270000}"/>
    <cellStyle name="40% - 强调文字颜色 6 17 5 5" xfId="19538" xr:uid="{00000000-0005-0000-0000-00002C270000}"/>
    <cellStyle name="40% - 强调文字颜色 6 17 5 6" xfId="19540" xr:uid="{00000000-0005-0000-0000-00002D270000}"/>
    <cellStyle name="40% - 强调文字颜色 6 17 5 6 2" xfId="19541" xr:uid="{00000000-0005-0000-0000-00002E270000}"/>
    <cellStyle name="40% - 强调文字颜色 6 17 5 6 3" xfId="19543" xr:uid="{00000000-0005-0000-0000-00002F270000}"/>
    <cellStyle name="40% - 强调文字颜色 6 17 5 7" xfId="19545" xr:uid="{00000000-0005-0000-0000-000030270000}"/>
    <cellStyle name="40% - 强调文字颜色 6 17 5 8" xfId="19547" xr:uid="{00000000-0005-0000-0000-000031270000}"/>
    <cellStyle name="40% - 强调文字颜色 6 17 5 9" xfId="11855" xr:uid="{00000000-0005-0000-0000-000032270000}"/>
    <cellStyle name="40% - 强调文字颜色 6 17 6" xfId="11863" xr:uid="{00000000-0005-0000-0000-000033270000}"/>
    <cellStyle name="40% - 强调文字颜色 6 17 6 2" xfId="8269" xr:uid="{00000000-0005-0000-0000-000034270000}"/>
    <cellStyle name="40% - 强调文字颜色 6 17 6 2 2" xfId="17735" xr:uid="{00000000-0005-0000-0000-000035270000}"/>
    <cellStyle name="40% - 强调文字颜色 6 17 6 2 3" xfId="17738" xr:uid="{00000000-0005-0000-0000-000036270000}"/>
    <cellStyle name="40% - 强调文字颜色 6 17 6 3" xfId="8275" xr:uid="{00000000-0005-0000-0000-000037270000}"/>
    <cellStyle name="40% - 强调文字颜色 6 17 6 4" xfId="8282" xr:uid="{00000000-0005-0000-0000-000038270000}"/>
    <cellStyle name="40% - 强调文字颜色 6 17 6 5" xfId="8288" xr:uid="{00000000-0005-0000-0000-000039270000}"/>
    <cellStyle name="40% - 强调文字颜色 6 17 6 6" xfId="8294" xr:uid="{00000000-0005-0000-0000-00003A270000}"/>
    <cellStyle name="40% - 强调文字颜色 6 17 6 7" xfId="8301" xr:uid="{00000000-0005-0000-0000-00003B270000}"/>
    <cellStyle name="40% - 强调文字颜色 6 17 6 8" xfId="19550" xr:uid="{00000000-0005-0000-0000-00003C270000}"/>
    <cellStyle name="40% - 强调文字颜色 6 17 7" xfId="11455" xr:uid="{00000000-0005-0000-0000-00003D270000}"/>
    <cellStyle name="40% - 强调文字颜色 6 17 8" xfId="11466" xr:uid="{00000000-0005-0000-0000-00003E270000}"/>
    <cellStyle name="40% - 强调文字颜色 6 17 9" xfId="11878" xr:uid="{00000000-0005-0000-0000-00003F270000}"/>
    <cellStyle name="40% - 强调文字颜色 6 17 9 2" xfId="547" xr:uid="{00000000-0005-0000-0000-000040270000}"/>
    <cellStyle name="40% - 强调文字颜色 6 17 9 3" xfId="585" xr:uid="{00000000-0005-0000-0000-000041270000}"/>
    <cellStyle name="40% - 强调文字颜色 6 18" xfId="19551" xr:uid="{00000000-0005-0000-0000-000042270000}"/>
    <cellStyle name="40% - 强调文字颜色 6 18 10" xfId="11885" xr:uid="{00000000-0005-0000-0000-000043270000}"/>
    <cellStyle name="40% - 强调文字颜色 6 18 11" xfId="11892" xr:uid="{00000000-0005-0000-0000-000044270000}"/>
    <cellStyle name="40% - 强调文字颜色 6 18 12" xfId="11897" xr:uid="{00000000-0005-0000-0000-000045270000}"/>
    <cellStyle name="40% - 强调文字颜色 6 18 13" xfId="11902" xr:uid="{00000000-0005-0000-0000-000046270000}"/>
    <cellStyle name="40% - 强调文字颜色 6 18 14" xfId="11909" xr:uid="{00000000-0005-0000-0000-000047270000}"/>
    <cellStyle name="40% - 强调文字颜色 6 18 2" xfId="19553" xr:uid="{00000000-0005-0000-0000-000048270000}"/>
    <cellStyle name="40% - 强调文字颜色 6 18 3" xfId="19555" xr:uid="{00000000-0005-0000-0000-000049270000}"/>
    <cellStyle name="40% - 强调文字颜色 6 18 4" xfId="19557" xr:uid="{00000000-0005-0000-0000-00004A270000}"/>
    <cellStyle name="40% - 强调文字颜色 6 18 5" xfId="19561" xr:uid="{00000000-0005-0000-0000-00004B270000}"/>
    <cellStyle name="40% - 强调文字颜色 6 18 5 10" xfId="19333" xr:uid="{00000000-0005-0000-0000-00004C270000}"/>
    <cellStyle name="40% - 强调文字颜色 6 18 5 11" xfId="19564" xr:uid="{00000000-0005-0000-0000-00004D270000}"/>
    <cellStyle name="40% - 强调文字颜色 6 18 5 2" xfId="8769" xr:uid="{00000000-0005-0000-0000-00004E270000}"/>
    <cellStyle name="40% - 强调文字颜色 6 18 5 2 2" xfId="3810" xr:uid="{00000000-0005-0000-0000-00004F270000}"/>
    <cellStyle name="40% - 强调文字颜色 6 18 5 2 2 2" xfId="4208" xr:uid="{00000000-0005-0000-0000-000050270000}"/>
    <cellStyle name="40% - 强调文字颜色 6 18 5 2 2 3" xfId="4268" xr:uid="{00000000-0005-0000-0000-000051270000}"/>
    <cellStyle name="40% - 强调文字颜色 6 18 5 2 3" xfId="5269" xr:uid="{00000000-0005-0000-0000-000052270000}"/>
    <cellStyle name="40% - 强调文字颜色 6 18 5 2 4" xfId="5289" xr:uid="{00000000-0005-0000-0000-000053270000}"/>
    <cellStyle name="40% - 强调文字颜色 6 18 5 2 5" xfId="5299" xr:uid="{00000000-0005-0000-0000-000054270000}"/>
    <cellStyle name="40% - 强调文字颜色 6 18 5 2 6" xfId="5311" xr:uid="{00000000-0005-0000-0000-000055270000}"/>
    <cellStyle name="40% - 强调文字颜色 6 18 5 2 7" xfId="19566" xr:uid="{00000000-0005-0000-0000-000056270000}"/>
    <cellStyle name="40% - 强调文字颜色 6 18 5 2 8" xfId="18649" xr:uid="{00000000-0005-0000-0000-000057270000}"/>
    <cellStyle name="40% - 强调文字颜色 6 18 5 3" xfId="11921" xr:uid="{00000000-0005-0000-0000-000058270000}"/>
    <cellStyle name="40% - 强调文字颜色 6 18 5 4" xfId="19569" xr:uid="{00000000-0005-0000-0000-000059270000}"/>
    <cellStyle name="40% - 强调文字颜色 6 18 5 5" xfId="19572" xr:uid="{00000000-0005-0000-0000-00005A270000}"/>
    <cellStyle name="40% - 强调文字颜色 6 18 5 6" xfId="19575" xr:uid="{00000000-0005-0000-0000-00005B270000}"/>
    <cellStyle name="40% - 强调文字颜色 6 18 5 6 2" xfId="19576" xr:uid="{00000000-0005-0000-0000-00005C270000}"/>
    <cellStyle name="40% - 强调文字颜色 6 18 5 6 3" xfId="19578" xr:uid="{00000000-0005-0000-0000-00005D270000}"/>
    <cellStyle name="40% - 强调文字颜色 6 18 5 7" xfId="19582" xr:uid="{00000000-0005-0000-0000-00005E270000}"/>
    <cellStyle name="40% - 强调文字颜色 6 18 5 8" xfId="19586" xr:uid="{00000000-0005-0000-0000-00005F270000}"/>
    <cellStyle name="40% - 强调文字颜色 6 18 5 9" xfId="19590" xr:uid="{00000000-0005-0000-0000-000060270000}"/>
    <cellStyle name="40% - 强调文字颜色 6 18 6" xfId="19595" xr:uid="{00000000-0005-0000-0000-000061270000}"/>
    <cellStyle name="40% - 强调文字颜色 6 18 6 2" xfId="8371" xr:uid="{00000000-0005-0000-0000-000062270000}"/>
    <cellStyle name="40% - 强调文字颜色 6 18 6 2 2" xfId="18820" xr:uid="{00000000-0005-0000-0000-000063270000}"/>
    <cellStyle name="40% - 强调文字颜色 6 18 6 2 3" xfId="18825" xr:uid="{00000000-0005-0000-0000-000064270000}"/>
    <cellStyle name="40% - 强调文字颜色 6 18 6 3" xfId="8379" xr:uid="{00000000-0005-0000-0000-000065270000}"/>
    <cellStyle name="40% - 强调文字颜色 6 18 6 4" xfId="8387" xr:uid="{00000000-0005-0000-0000-000066270000}"/>
    <cellStyle name="40% - 强调文字颜色 6 18 6 5" xfId="8395" xr:uid="{00000000-0005-0000-0000-000067270000}"/>
    <cellStyle name="40% - 强调文字颜色 6 18 6 6" xfId="8400" xr:uid="{00000000-0005-0000-0000-000068270000}"/>
    <cellStyle name="40% - 强调文字颜色 6 18 6 7" xfId="5146" xr:uid="{00000000-0005-0000-0000-000069270000}"/>
    <cellStyle name="40% - 强调文字颜色 6 18 6 8" xfId="19599" xr:uid="{00000000-0005-0000-0000-00006A270000}"/>
    <cellStyle name="40% - 强调文字颜色 6 18 7" xfId="19603" xr:uid="{00000000-0005-0000-0000-00006B270000}"/>
    <cellStyle name="40% - 强调文字颜色 6 18 8" xfId="19606" xr:uid="{00000000-0005-0000-0000-00006C270000}"/>
    <cellStyle name="40% - 强调文字颜色 6 18 9" xfId="19611" xr:uid="{00000000-0005-0000-0000-00006D270000}"/>
    <cellStyle name="40% - 强调文字颜色 6 18 9 2" xfId="19615" xr:uid="{00000000-0005-0000-0000-00006E270000}"/>
    <cellStyle name="40% - 强调文字颜色 6 18 9 3" xfId="19617" xr:uid="{00000000-0005-0000-0000-00006F270000}"/>
    <cellStyle name="40% - 强调文字颜色 6 19" xfId="19618" xr:uid="{00000000-0005-0000-0000-000070270000}"/>
    <cellStyle name="40% - 强调文字颜色 6 2" xfId="12617" xr:uid="{00000000-0005-0000-0000-000071270000}"/>
    <cellStyle name="40% - 强调文字颜色 6 2 10" xfId="2355" xr:uid="{00000000-0005-0000-0000-000072270000}"/>
    <cellStyle name="40% - 强调文字颜色 6 2 11" xfId="18567" xr:uid="{00000000-0005-0000-0000-000073270000}"/>
    <cellStyle name="40% - 强调文字颜色 6 2 12" xfId="18571" xr:uid="{00000000-0005-0000-0000-000074270000}"/>
    <cellStyle name="40% - 强调文字颜色 6 2 13" xfId="18575" xr:uid="{00000000-0005-0000-0000-000075270000}"/>
    <cellStyle name="40% - 强调文字颜色 6 2 14" xfId="19620" xr:uid="{00000000-0005-0000-0000-000076270000}"/>
    <cellStyle name="40% - 强调文字颜色 6 2 15" xfId="19623" xr:uid="{00000000-0005-0000-0000-000077270000}"/>
    <cellStyle name="40% - 强调文字颜色 6 2 16" xfId="19625" xr:uid="{00000000-0005-0000-0000-000078270000}"/>
    <cellStyle name="40% - 强调文字颜色 6 2 17" xfId="19629" xr:uid="{00000000-0005-0000-0000-000079270000}"/>
    <cellStyle name="40% - 强调文字颜色 6 2 17 10" xfId="19634" xr:uid="{00000000-0005-0000-0000-00007A270000}"/>
    <cellStyle name="40% - 强调文字颜色 6 2 17 11" xfId="6552" xr:uid="{00000000-0005-0000-0000-00007B270000}"/>
    <cellStyle name="40% - 强调文字颜色 6 2 17 12" xfId="6558" xr:uid="{00000000-0005-0000-0000-00007C270000}"/>
    <cellStyle name="40% - 强调文字颜色 6 2 17 13" xfId="19637" xr:uid="{00000000-0005-0000-0000-00007D270000}"/>
    <cellStyle name="40% - 强调文字颜色 6 2 17 14" xfId="19641" xr:uid="{00000000-0005-0000-0000-00007E270000}"/>
    <cellStyle name="40% - 强调文字颜色 6 2 17 2" xfId="19644" xr:uid="{00000000-0005-0000-0000-00007F270000}"/>
    <cellStyle name="40% - 强调文字颜色 6 2 17 3" xfId="19645" xr:uid="{00000000-0005-0000-0000-000080270000}"/>
    <cellStyle name="40% - 强调文字颜色 6 2 17 4" xfId="17186" xr:uid="{00000000-0005-0000-0000-000081270000}"/>
    <cellStyle name="40% - 强调文字颜色 6 2 17 5" xfId="9738" xr:uid="{00000000-0005-0000-0000-000082270000}"/>
    <cellStyle name="40% - 强调文字颜色 6 2 17 5 10" xfId="19648" xr:uid="{00000000-0005-0000-0000-000083270000}"/>
    <cellStyle name="40% - 强调文字颜色 6 2 17 5 11" xfId="19651" xr:uid="{00000000-0005-0000-0000-000084270000}"/>
    <cellStyle name="40% - 强调文字颜色 6 2 17 5 2" xfId="10914" xr:uid="{00000000-0005-0000-0000-000085270000}"/>
    <cellStyle name="40% - 强调文字颜色 6 2 17 5 2 2" xfId="9779" xr:uid="{00000000-0005-0000-0000-000086270000}"/>
    <cellStyle name="40% - 强调文字颜色 6 2 17 5 2 2 2" xfId="10926" xr:uid="{00000000-0005-0000-0000-000087270000}"/>
    <cellStyle name="40% - 强调文字颜色 6 2 17 5 2 2 3" xfId="10932" xr:uid="{00000000-0005-0000-0000-000088270000}"/>
    <cellStyle name="40% - 强调文字颜色 6 2 17 5 2 3" xfId="9794" xr:uid="{00000000-0005-0000-0000-000089270000}"/>
    <cellStyle name="40% - 强调文字颜色 6 2 17 5 2 4" xfId="9519" xr:uid="{00000000-0005-0000-0000-00008A270000}"/>
    <cellStyle name="40% - 强调文字颜色 6 2 17 5 2 5" xfId="9532" xr:uid="{00000000-0005-0000-0000-00008B270000}"/>
    <cellStyle name="40% - 强调文字颜色 6 2 17 5 2 6" xfId="9808" xr:uid="{00000000-0005-0000-0000-00008C270000}"/>
    <cellStyle name="40% - 强调文字颜色 6 2 17 5 2 7" xfId="10968" xr:uid="{00000000-0005-0000-0000-00008D270000}"/>
    <cellStyle name="40% - 强调文字颜色 6 2 17 5 2 8" xfId="10973" xr:uid="{00000000-0005-0000-0000-00008E270000}"/>
    <cellStyle name="40% - 强调文字颜色 6 2 17 5 3" xfId="1166" xr:uid="{00000000-0005-0000-0000-00008F270000}"/>
    <cellStyle name="40% - 强调文字颜色 6 2 17 5 4" xfId="1189" xr:uid="{00000000-0005-0000-0000-000090270000}"/>
    <cellStyle name="40% - 强调文字颜色 6 2 17 5 5" xfId="11035" xr:uid="{00000000-0005-0000-0000-000091270000}"/>
    <cellStyle name="40% - 强调文字颜色 6 2 17 5 6" xfId="8081" xr:uid="{00000000-0005-0000-0000-000092270000}"/>
    <cellStyle name="40% - 强调文字颜色 6 2 17 5 6 2" xfId="19653" xr:uid="{00000000-0005-0000-0000-000093270000}"/>
    <cellStyle name="40% - 强调文字颜色 6 2 17 5 6 3" xfId="19655" xr:uid="{00000000-0005-0000-0000-000094270000}"/>
    <cellStyle name="40% - 强调文字颜色 6 2 17 5 7" xfId="13278" xr:uid="{00000000-0005-0000-0000-000095270000}"/>
    <cellStyle name="40% - 强调文字颜色 6 2 17 5 8" xfId="19657" xr:uid="{00000000-0005-0000-0000-000096270000}"/>
    <cellStyle name="40% - 强调文字颜色 6 2 17 5 9" xfId="8154" xr:uid="{00000000-0005-0000-0000-000097270000}"/>
    <cellStyle name="40% - 强调文字颜色 6 2 17 6" xfId="9742" xr:uid="{00000000-0005-0000-0000-000098270000}"/>
    <cellStyle name="40% - 强调文字颜色 6 2 17 6 2" xfId="14449" xr:uid="{00000000-0005-0000-0000-000099270000}"/>
    <cellStyle name="40% - 强调文字颜色 6 2 17 6 2 2" xfId="14645" xr:uid="{00000000-0005-0000-0000-00009A270000}"/>
    <cellStyle name="40% - 强调文字颜色 6 2 17 6 2 3" xfId="14736" xr:uid="{00000000-0005-0000-0000-00009B270000}"/>
    <cellStyle name="40% - 强调文字颜色 6 2 17 6 3" xfId="14739" xr:uid="{00000000-0005-0000-0000-00009C270000}"/>
    <cellStyle name="40% - 强调文字颜色 6 2 17 6 4" xfId="2044" xr:uid="{00000000-0005-0000-0000-00009D270000}"/>
    <cellStyle name="40% - 强调文字颜色 6 2 17 6 5" xfId="2108" xr:uid="{00000000-0005-0000-0000-00009E270000}"/>
    <cellStyle name="40% - 强调文字颜色 6 2 17 6 6" xfId="2133" xr:uid="{00000000-0005-0000-0000-00009F270000}"/>
    <cellStyle name="40% - 强调文字颜色 6 2 17 6 7" xfId="2152" xr:uid="{00000000-0005-0000-0000-0000A0270000}"/>
    <cellStyle name="40% - 强调文字颜色 6 2 17 6 8" xfId="17451" xr:uid="{00000000-0005-0000-0000-0000A1270000}"/>
    <cellStyle name="40% - 强调文字颜色 6 2 17 7" xfId="19658" xr:uid="{00000000-0005-0000-0000-0000A2270000}"/>
    <cellStyle name="40% - 强调文字颜色 6 2 17 8" xfId="19659" xr:uid="{00000000-0005-0000-0000-0000A3270000}"/>
    <cellStyle name="40% - 强调文字颜色 6 2 17 9" xfId="19660" xr:uid="{00000000-0005-0000-0000-0000A4270000}"/>
    <cellStyle name="40% - 强调文字颜色 6 2 17 9 2" xfId="19663" xr:uid="{00000000-0005-0000-0000-0000A5270000}"/>
    <cellStyle name="40% - 强调文字颜色 6 2 17 9 3" xfId="19665" xr:uid="{00000000-0005-0000-0000-0000A6270000}"/>
    <cellStyle name="40% - 强调文字颜色 6 2 18" xfId="19667" xr:uid="{00000000-0005-0000-0000-0000A7270000}"/>
    <cellStyle name="40% - 强调文字颜色 6 2 18 10" xfId="4579" xr:uid="{00000000-0005-0000-0000-0000A8270000}"/>
    <cellStyle name="40% - 强调文字颜色 6 2 18 11" xfId="14097" xr:uid="{00000000-0005-0000-0000-0000A9270000}"/>
    <cellStyle name="40% - 强调文字颜色 6 2 18 12" xfId="14099" xr:uid="{00000000-0005-0000-0000-0000AA270000}"/>
    <cellStyle name="40% - 强调文字颜色 6 2 18 13" xfId="14102" xr:uid="{00000000-0005-0000-0000-0000AB270000}"/>
    <cellStyle name="40% - 强调文字颜色 6 2 18 14" xfId="14105" xr:uid="{00000000-0005-0000-0000-0000AC270000}"/>
    <cellStyle name="40% - 强调文字颜色 6 2 18 2" xfId="8471" xr:uid="{00000000-0005-0000-0000-0000AD270000}"/>
    <cellStyle name="40% - 强调文字颜色 6 2 18 3" xfId="8476" xr:uid="{00000000-0005-0000-0000-0000AE270000}"/>
    <cellStyle name="40% - 强调文字颜色 6 2 18 4" xfId="8576" xr:uid="{00000000-0005-0000-0000-0000AF270000}"/>
    <cellStyle name="40% - 强调文字颜色 6 2 18 5" xfId="8623" xr:uid="{00000000-0005-0000-0000-0000B0270000}"/>
    <cellStyle name="40% - 强调文字颜色 6 2 18 5 10" xfId="6297" xr:uid="{00000000-0005-0000-0000-0000B1270000}"/>
    <cellStyle name="40% - 强调文字颜色 6 2 18 5 11" xfId="636" xr:uid="{00000000-0005-0000-0000-0000B2270000}"/>
    <cellStyle name="40% - 强调文字颜色 6 2 18 5 2" xfId="16377" xr:uid="{00000000-0005-0000-0000-0000B3270000}"/>
    <cellStyle name="40% - 强调文字颜色 6 2 18 5 2 2" xfId="16895" xr:uid="{00000000-0005-0000-0000-0000B4270000}"/>
    <cellStyle name="40% - 强调文字颜色 6 2 18 5 2 2 2" xfId="19676" xr:uid="{00000000-0005-0000-0000-0000B5270000}"/>
    <cellStyle name="40% - 强调文字颜色 6 2 18 5 2 2 3" xfId="19679" xr:uid="{00000000-0005-0000-0000-0000B6270000}"/>
    <cellStyle name="40% - 强调文字颜色 6 2 18 5 2 3" xfId="16898" xr:uid="{00000000-0005-0000-0000-0000B7270000}"/>
    <cellStyle name="40% - 强调文字颜色 6 2 18 5 2 4" xfId="16901" xr:uid="{00000000-0005-0000-0000-0000B8270000}"/>
    <cellStyle name="40% - 强调文字颜色 6 2 18 5 2 5" xfId="16904" xr:uid="{00000000-0005-0000-0000-0000B9270000}"/>
    <cellStyle name="40% - 强调文字颜色 6 2 18 5 2 6" xfId="16929" xr:uid="{00000000-0005-0000-0000-0000BA270000}"/>
    <cellStyle name="40% - 强调文字颜色 6 2 18 5 2 7" xfId="16947" xr:uid="{00000000-0005-0000-0000-0000BB270000}"/>
    <cellStyle name="40% - 强调文字颜色 6 2 18 5 2 8" xfId="16950" xr:uid="{00000000-0005-0000-0000-0000BC270000}"/>
    <cellStyle name="40% - 强调文字颜色 6 2 18 5 3" xfId="16380" xr:uid="{00000000-0005-0000-0000-0000BD270000}"/>
    <cellStyle name="40% - 强调文字颜色 6 2 18 5 4" xfId="16409" xr:uid="{00000000-0005-0000-0000-0000BE270000}"/>
    <cellStyle name="40% - 强调文字颜色 6 2 18 5 5" xfId="16412" xr:uid="{00000000-0005-0000-0000-0000BF270000}"/>
    <cellStyle name="40% - 强调文字颜色 6 2 18 5 6" xfId="16415" xr:uid="{00000000-0005-0000-0000-0000C0270000}"/>
    <cellStyle name="40% - 强调文字颜色 6 2 18 5 6 2" xfId="19681" xr:uid="{00000000-0005-0000-0000-0000C1270000}"/>
    <cellStyle name="40% - 强调文字颜色 6 2 18 5 6 3" xfId="19684" xr:uid="{00000000-0005-0000-0000-0000C2270000}"/>
    <cellStyle name="40% - 强调文字颜色 6 2 18 5 7" xfId="16420" xr:uid="{00000000-0005-0000-0000-0000C3270000}"/>
    <cellStyle name="40% - 强调文字颜色 6 2 18 5 8" xfId="19688" xr:uid="{00000000-0005-0000-0000-0000C4270000}"/>
    <cellStyle name="40% - 强调文字颜色 6 2 18 5 9" xfId="19690" xr:uid="{00000000-0005-0000-0000-0000C5270000}"/>
    <cellStyle name="40% - 强调文字颜色 6 2 18 6" xfId="8630" xr:uid="{00000000-0005-0000-0000-0000C6270000}"/>
    <cellStyle name="40% - 强调文字颜色 6 2 18 6 2" xfId="6904" xr:uid="{00000000-0005-0000-0000-0000C7270000}"/>
    <cellStyle name="40% - 强调文字颜色 6 2 18 6 2 2" xfId="867" xr:uid="{00000000-0005-0000-0000-0000C8270000}"/>
    <cellStyle name="40% - 强调文字颜色 6 2 18 6 2 3" xfId="878" xr:uid="{00000000-0005-0000-0000-0000C9270000}"/>
    <cellStyle name="40% - 强调文字颜色 6 2 18 6 3" xfId="13562" xr:uid="{00000000-0005-0000-0000-0000CA270000}"/>
    <cellStyle name="40% - 强调文字颜色 6 2 18 6 4" xfId="13565" xr:uid="{00000000-0005-0000-0000-0000CB270000}"/>
    <cellStyle name="40% - 强调文字颜色 6 2 18 6 5" xfId="13620" xr:uid="{00000000-0005-0000-0000-0000CC270000}"/>
    <cellStyle name="40% - 强调文字颜色 6 2 18 6 6" xfId="13659" xr:uid="{00000000-0005-0000-0000-0000CD270000}"/>
    <cellStyle name="40% - 强调文字颜色 6 2 18 6 7" xfId="13663" xr:uid="{00000000-0005-0000-0000-0000CE270000}"/>
    <cellStyle name="40% - 强调文字颜色 6 2 18 6 8" xfId="13667" xr:uid="{00000000-0005-0000-0000-0000CF270000}"/>
    <cellStyle name="40% - 强调文字颜色 6 2 18 7" xfId="8637" xr:uid="{00000000-0005-0000-0000-0000D0270000}"/>
    <cellStyle name="40% - 强调文字颜色 6 2 18 8" xfId="19692" xr:uid="{00000000-0005-0000-0000-0000D1270000}"/>
    <cellStyle name="40% - 强调文字颜色 6 2 18 9" xfId="19694" xr:uid="{00000000-0005-0000-0000-0000D2270000}"/>
    <cellStyle name="40% - 强调文字颜色 6 2 18 9 2" xfId="14353" xr:uid="{00000000-0005-0000-0000-0000D3270000}"/>
    <cellStyle name="40% - 强调文字颜色 6 2 18 9 3" xfId="14361" xr:uid="{00000000-0005-0000-0000-0000D4270000}"/>
    <cellStyle name="40% - 强调文字颜色 6 2 19" xfId="19696" xr:uid="{00000000-0005-0000-0000-0000D5270000}"/>
    <cellStyle name="40% - 强调文字颜色 6 2 19 10" xfId="6653" xr:uid="{00000000-0005-0000-0000-0000D6270000}"/>
    <cellStyle name="40% - 强调文字颜色 6 2 19 11" xfId="326" xr:uid="{00000000-0005-0000-0000-0000D7270000}"/>
    <cellStyle name="40% - 强调文字颜色 6 2 19 12" xfId="601" xr:uid="{00000000-0005-0000-0000-0000D8270000}"/>
    <cellStyle name="40% - 强调文字颜色 6 2 19 13" xfId="615" xr:uid="{00000000-0005-0000-0000-0000D9270000}"/>
    <cellStyle name="40% - 强调文字颜色 6 2 19 14" xfId="646" xr:uid="{00000000-0005-0000-0000-0000DA270000}"/>
    <cellStyle name="40% - 强调文字颜色 6 2 19 2" xfId="8679" xr:uid="{00000000-0005-0000-0000-0000DB270000}"/>
    <cellStyle name="40% - 强调文字颜色 6 2 19 3" xfId="2891" xr:uid="{00000000-0005-0000-0000-0000DC270000}"/>
    <cellStyle name="40% - 强调文字颜色 6 2 19 4" xfId="2903" xr:uid="{00000000-0005-0000-0000-0000DD270000}"/>
    <cellStyle name="40% - 强调文字颜色 6 2 19 5" xfId="3460" xr:uid="{00000000-0005-0000-0000-0000DE270000}"/>
    <cellStyle name="40% - 强调文字颜色 6 2 19 5 10" xfId="883" xr:uid="{00000000-0005-0000-0000-0000DF270000}"/>
    <cellStyle name="40% - 强调文字颜色 6 2 19 5 11" xfId="896" xr:uid="{00000000-0005-0000-0000-0000E0270000}"/>
    <cellStyle name="40% - 强调文字颜色 6 2 19 5 2" xfId="19699" xr:uid="{00000000-0005-0000-0000-0000E1270000}"/>
    <cellStyle name="40% - 强调文字颜色 6 2 19 5 2 2" xfId="19702" xr:uid="{00000000-0005-0000-0000-0000E2270000}"/>
    <cellStyle name="40% - 强调文字颜色 6 2 19 5 2 2 2" xfId="5636" xr:uid="{00000000-0005-0000-0000-0000E3270000}"/>
    <cellStyle name="40% - 强调文字颜色 6 2 19 5 2 2 3" xfId="3031" xr:uid="{00000000-0005-0000-0000-0000E4270000}"/>
    <cellStyle name="40% - 强调文字颜色 6 2 19 5 2 3" xfId="19704" xr:uid="{00000000-0005-0000-0000-0000E5270000}"/>
    <cellStyle name="40% - 强调文字颜色 6 2 19 5 2 4" xfId="19706" xr:uid="{00000000-0005-0000-0000-0000E6270000}"/>
    <cellStyle name="40% - 强调文字颜色 6 2 19 5 2 5" xfId="19708" xr:uid="{00000000-0005-0000-0000-0000E7270000}"/>
    <cellStyle name="40% - 强调文字颜色 6 2 19 5 2 6" xfId="19710" xr:uid="{00000000-0005-0000-0000-0000E8270000}"/>
    <cellStyle name="40% - 强调文字颜色 6 2 19 5 2 7" xfId="19713" xr:uid="{00000000-0005-0000-0000-0000E9270000}"/>
    <cellStyle name="40% - 强调文字颜色 6 2 19 5 2 8" xfId="19716" xr:uid="{00000000-0005-0000-0000-0000EA270000}"/>
    <cellStyle name="40% - 强调文字颜色 6 2 19 5 3" xfId="19718" xr:uid="{00000000-0005-0000-0000-0000EB270000}"/>
    <cellStyle name="40% - 强调文字颜色 6 2 19 5 4" xfId="19720" xr:uid="{00000000-0005-0000-0000-0000EC270000}"/>
    <cellStyle name="40% - 强调文字颜色 6 2 19 5 5" xfId="19722" xr:uid="{00000000-0005-0000-0000-0000ED270000}"/>
    <cellStyle name="40% - 强调文字颜色 6 2 19 5 6" xfId="4551" xr:uid="{00000000-0005-0000-0000-0000EE270000}"/>
    <cellStyle name="40% - 强调文字颜色 6 2 19 5 6 2" xfId="17510" xr:uid="{00000000-0005-0000-0000-0000EF270000}"/>
    <cellStyle name="40% - 强调文字颜色 6 2 19 5 6 3" xfId="17512" xr:uid="{00000000-0005-0000-0000-0000F0270000}"/>
    <cellStyle name="40% - 强调文字颜色 6 2 19 5 7" xfId="4572" xr:uid="{00000000-0005-0000-0000-0000F1270000}"/>
    <cellStyle name="40% - 强调文字颜色 6 2 19 5 8" xfId="15823" xr:uid="{00000000-0005-0000-0000-0000F2270000}"/>
    <cellStyle name="40% - 强调文字颜色 6 2 19 5 9" xfId="15828" xr:uid="{00000000-0005-0000-0000-0000F3270000}"/>
    <cellStyle name="40% - 强调文字颜色 6 2 19 6" xfId="3469" xr:uid="{00000000-0005-0000-0000-0000F4270000}"/>
    <cellStyle name="40% - 强调文字颜色 6 2 19 6 2" xfId="19725" xr:uid="{00000000-0005-0000-0000-0000F5270000}"/>
    <cellStyle name="40% - 强调文字颜色 6 2 19 6 2 2" xfId="19727" xr:uid="{00000000-0005-0000-0000-0000F6270000}"/>
    <cellStyle name="40% - 强调文字颜色 6 2 19 6 2 3" xfId="19729" xr:uid="{00000000-0005-0000-0000-0000F7270000}"/>
    <cellStyle name="40% - 强调文字颜色 6 2 19 6 3" xfId="19732" xr:uid="{00000000-0005-0000-0000-0000F8270000}"/>
    <cellStyle name="40% - 强调文字颜色 6 2 19 6 4" xfId="19735" xr:uid="{00000000-0005-0000-0000-0000F9270000}"/>
    <cellStyle name="40% - 强调文字颜色 6 2 19 6 5" xfId="19736" xr:uid="{00000000-0005-0000-0000-0000FA270000}"/>
    <cellStyle name="40% - 强调文字颜色 6 2 19 6 6" xfId="19738" xr:uid="{00000000-0005-0000-0000-0000FB270000}"/>
    <cellStyle name="40% - 强调文字颜色 6 2 19 6 7" xfId="19740" xr:uid="{00000000-0005-0000-0000-0000FC270000}"/>
    <cellStyle name="40% - 强调文字颜色 6 2 19 6 8" xfId="19742" xr:uid="{00000000-0005-0000-0000-0000FD270000}"/>
    <cellStyle name="40% - 强调文字颜色 6 2 19 7" xfId="3478" xr:uid="{00000000-0005-0000-0000-0000FE270000}"/>
    <cellStyle name="40% - 强调文字颜色 6 2 19 8" xfId="19744" xr:uid="{00000000-0005-0000-0000-0000FF270000}"/>
    <cellStyle name="40% - 强调文字颜色 6 2 19 9" xfId="19746" xr:uid="{00000000-0005-0000-0000-000000280000}"/>
    <cellStyle name="40% - 强调文字颜色 6 2 19 9 2" xfId="5047" xr:uid="{00000000-0005-0000-0000-000001280000}"/>
    <cellStyle name="40% - 强调文字颜色 6 2 19 9 3" xfId="19749" xr:uid="{00000000-0005-0000-0000-000002280000}"/>
    <cellStyle name="40% - 强调文字颜色 6 2 2" xfId="12619" xr:uid="{00000000-0005-0000-0000-000003280000}"/>
    <cellStyle name="40% - 强调文字颜色 6 2 2 10" xfId="19753" xr:uid="{00000000-0005-0000-0000-000004280000}"/>
    <cellStyle name="40% - 强调文字颜色 6 2 2 11" xfId="19756" xr:uid="{00000000-0005-0000-0000-000005280000}"/>
    <cellStyle name="40% - 强调文字颜色 6 2 2 12" xfId="19757" xr:uid="{00000000-0005-0000-0000-000006280000}"/>
    <cellStyle name="40% - 强调文字颜色 6 2 2 13" xfId="19759" xr:uid="{00000000-0005-0000-0000-000007280000}"/>
    <cellStyle name="40% - 强调文字颜色 6 2 2 14" xfId="11644" xr:uid="{00000000-0005-0000-0000-000008280000}"/>
    <cellStyle name="40% - 强调文字颜色 6 2 2 2" xfId="19762" xr:uid="{00000000-0005-0000-0000-000009280000}"/>
    <cellStyle name="40% - 强调文字颜色 6 2 2 3" xfId="19763" xr:uid="{00000000-0005-0000-0000-00000A280000}"/>
    <cellStyle name="40% - 强调文字颜色 6 2 2 4" xfId="19764" xr:uid="{00000000-0005-0000-0000-00000B280000}"/>
    <cellStyle name="40% - 强调文字颜色 6 2 2 5" xfId="19765" xr:uid="{00000000-0005-0000-0000-00000C280000}"/>
    <cellStyle name="40% - 强调文字颜色 6 2 2 6" xfId="19766" xr:uid="{00000000-0005-0000-0000-00000D280000}"/>
    <cellStyle name="40% - 强调文字颜色 6 2 2 7" xfId="19768" xr:uid="{00000000-0005-0000-0000-00000E280000}"/>
    <cellStyle name="40% - 强调文字颜色 6 2 2 8" xfId="19770" xr:uid="{00000000-0005-0000-0000-00000F280000}"/>
    <cellStyle name="40% - 强调文字颜色 6 2 2 9" xfId="19772" xr:uid="{00000000-0005-0000-0000-000010280000}"/>
    <cellStyle name="40% - 强调文字颜色 6 2 20" xfId="19622" xr:uid="{00000000-0005-0000-0000-000011280000}"/>
    <cellStyle name="40% - 强调文字颜色 6 2 20 10" xfId="9603" xr:uid="{00000000-0005-0000-0000-000012280000}"/>
    <cellStyle name="40% - 强调文字颜色 6 2 20 11" xfId="11518" xr:uid="{00000000-0005-0000-0000-000013280000}"/>
    <cellStyle name="40% - 强调文字颜色 6 2 20 12" xfId="12882" xr:uid="{00000000-0005-0000-0000-000014280000}"/>
    <cellStyle name="40% - 强调文字颜色 6 2 20 13" xfId="12887" xr:uid="{00000000-0005-0000-0000-000015280000}"/>
    <cellStyle name="40% - 强调文字颜色 6 2 20 14" xfId="19773" xr:uid="{00000000-0005-0000-0000-000016280000}"/>
    <cellStyle name="40% - 强调文字颜色 6 2 20 2" xfId="9104" xr:uid="{00000000-0005-0000-0000-000017280000}"/>
    <cellStyle name="40% - 强调文字颜色 6 2 20 3" xfId="9106" xr:uid="{00000000-0005-0000-0000-000018280000}"/>
    <cellStyle name="40% - 强调文字颜色 6 2 20 4" xfId="9108" xr:uid="{00000000-0005-0000-0000-000019280000}"/>
    <cellStyle name="40% - 强调文字颜色 6 2 20 5" xfId="9111" xr:uid="{00000000-0005-0000-0000-00001A280000}"/>
    <cellStyle name="40% - 强调文字颜色 6 2 20 5 10" xfId="14294" xr:uid="{00000000-0005-0000-0000-00001B280000}"/>
    <cellStyle name="40% - 强调文字颜色 6 2 20 5 11" xfId="19775" xr:uid="{00000000-0005-0000-0000-00001C280000}"/>
    <cellStyle name="40% - 强调文字颜色 6 2 20 5 2" xfId="19777" xr:uid="{00000000-0005-0000-0000-00001D280000}"/>
    <cellStyle name="40% - 强调文字颜色 6 2 20 5 2 2" xfId="19779" xr:uid="{00000000-0005-0000-0000-00001E280000}"/>
    <cellStyle name="40% - 强调文字颜色 6 2 20 5 2 2 2" xfId="11276" xr:uid="{00000000-0005-0000-0000-00001F280000}"/>
    <cellStyle name="40% - 强调文字颜色 6 2 20 5 2 2 3" xfId="11281" xr:uid="{00000000-0005-0000-0000-000020280000}"/>
    <cellStyle name="40% - 强调文字颜色 6 2 20 5 2 3" xfId="19781" xr:uid="{00000000-0005-0000-0000-000021280000}"/>
    <cellStyle name="40% - 强调文字颜色 6 2 20 5 2 4" xfId="9179" xr:uid="{00000000-0005-0000-0000-000022280000}"/>
    <cellStyle name="40% - 强调文字颜色 6 2 20 5 2 5" xfId="9183" xr:uid="{00000000-0005-0000-0000-000023280000}"/>
    <cellStyle name="40% - 强调文字颜色 6 2 20 5 2 6" xfId="19784" xr:uid="{00000000-0005-0000-0000-000024280000}"/>
    <cellStyle name="40% - 强调文字颜色 6 2 20 5 2 7" xfId="19786" xr:uid="{00000000-0005-0000-0000-000025280000}"/>
    <cellStyle name="40% - 强调文字颜色 6 2 20 5 2 8" xfId="19788" xr:uid="{00000000-0005-0000-0000-000026280000}"/>
    <cellStyle name="40% - 强调文字颜色 6 2 20 5 3" xfId="19790" xr:uid="{00000000-0005-0000-0000-000027280000}"/>
    <cellStyle name="40% - 强调文字颜色 6 2 20 5 4" xfId="3465" xr:uid="{00000000-0005-0000-0000-000028280000}"/>
    <cellStyle name="40% - 强调文字颜色 6 2 20 5 5" xfId="3474" xr:uid="{00000000-0005-0000-0000-000029280000}"/>
    <cellStyle name="40% - 强调文字颜色 6 2 20 5 6" xfId="19792" xr:uid="{00000000-0005-0000-0000-00002A280000}"/>
    <cellStyle name="40% - 强调文字颜色 6 2 20 5 6 2" xfId="19794" xr:uid="{00000000-0005-0000-0000-00002B280000}"/>
    <cellStyle name="40% - 强调文字颜色 6 2 20 5 6 3" xfId="19796" xr:uid="{00000000-0005-0000-0000-00002C280000}"/>
    <cellStyle name="40% - 强调文字颜色 6 2 20 5 7" xfId="19798" xr:uid="{00000000-0005-0000-0000-00002D280000}"/>
    <cellStyle name="40% - 强调文字颜色 6 2 20 5 8" xfId="19801" xr:uid="{00000000-0005-0000-0000-00002E280000}"/>
    <cellStyle name="40% - 强调文字颜色 6 2 20 5 9" xfId="19804" xr:uid="{00000000-0005-0000-0000-00002F280000}"/>
    <cellStyle name="40% - 强调文字颜色 6 2 20 6" xfId="9113" xr:uid="{00000000-0005-0000-0000-000030280000}"/>
    <cellStyle name="40% - 强调文字颜色 6 2 20 6 2" xfId="3775" xr:uid="{00000000-0005-0000-0000-000031280000}"/>
    <cellStyle name="40% - 强调文字颜色 6 2 20 6 2 2" xfId="9115" xr:uid="{00000000-0005-0000-0000-000032280000}"/>
    <cellStyle name="40% - 强调文字颜色 6 2 20 6 2 3" xfId="19805" xr:uid="{00000000-0005-0000-0000-000033280000}"/>
    <cellStyle name="40% - 强调文字颜色 6 2 20 6 3" xfId="9121" xr:uid="{00000000-0005-0000-0000-000034280000}"/>
    <cellStyle name="40% - 强调文字颜色 6 2 20 6 4" xfId="3314" xr:uid="{00000000-0005-0000-0000-000035280000}"/>
    <cellStyle name="40% - 强调文字颜色 6 2 20 6 5" xfId="3325" xr:uid="{00000000-0005-0000-0000-000036280000}"/>
    <cellStyle name="40% - 强调文字颜色 6 2 20 6 6" xfId="3336" xr:uid="{00000000-0005-0000-0000-000037280000}"/>
    <cellStyle name="40% - 强调文字颜色 6 2 20 6 7" xfId="3348" xr:uid="{00000000-0005-0000-0000-000038280000}"/>
    <cellStyle name="40% - 强调文字颜色 6 2 20 6 8" xfId="3364" xr:uid="{00000000-0005-0000-0000-000039280000}"/>
    <cellStyle name="40% - 强调文字颜色 6 2 20 7" xfId="9220" xr:uid="{00000000-0005-0000-0000-00003A280000}"/>
    <cellStyle name="40% - 强调文字颜色 6 2 20 8" xfId="9443" xr:uid="{00000000-0005-0000-0000-00003B280000}"/>
    <cellStyle name="40% - 强调文字颜色 6 2 20 9" xfId="19807" xr:uid="{00000000-0005-0000-0000-00003C280000}"/>
    <cellStyle name="40% - 强调文字颜色 6 2 20 9 2" xfId="19808" xr:uid="{00000000-0005-0000-0000-00003D280000}"/>
    <cellStyle name="40% - 强调文字颜色 6 2 20 9 3" xfId="19809" xr:uid="{00000000-0005-0000-0000-00003E280000}"/>
    <cellStyle name="40% - 强调文字颜色 6 2 3" xfId="12628" xr:uid="{00000000-0005-0000-0000-00003F280000}"/>
    <cellStyle name="40% - 强调文字颜色 6 2 3 10" xfId="19811" xr:uid="{00000000-0005-0000-0000-000040280000}"/>
    <cellStyle name="40% - 强调文字颜色 6 2 3 11" xfId="19812" xr:uid="{00000000-0005-0000-0000-000041280000}"/>
    <cellStyle name="40% - 强调文字颜色 6 2 3 12" xfId="19813" xr:uid="{00000000-0005-0000-0000-000042280000}"/>
    <cellStyle name="40% - 强调文字颜色 6 2 3 13" xfId="19814" xr:uid="{00000000-0005-0000-0000-000043280000}"/>
    <cellStyle name="40% - 强调文字颜色 6 2 3 14" xfId="19816" xr:uid="{00000000-0005-0000-0000-000044280000}"/>
    <cellStyle name="40% - 强调文字颜色 6 2 3 2" xfId="19817" xr:uid="{00000000-0005-0000-0000-000045280000}"/>
    <cellStyle name="40% - 强调文字颜色 6 2 3 3" xfId="19818" xr:uid="{00000000-0005-0000-0000-000046280000}"/>
    <cellStyle name="40% - 强调文字颜色 6 2 3 4" xfId="19819" xr:uid="{00000000-0005-0000-0000-000047280000}"/>
    <cellStyle name="40% - 强调文字颜色 6 2 3 5" xfId="2487" xr:uid="{00000000-0005-0000-0000-000048280000}"/>
    <cellStyle name="40% - 强调文字颜色 6 2 3 6" xfId="14979" xr:uid="{00000000-0005-0000-0000-000049280000}"/>
    <cellStyle name="40% - 强调文字颜色 6 2 3 7" xfId="19820" xr:uid="{00000000-0005-0000-0000-00004A280000}"/>
    <cellStyle name="40% - 强调文字颜色 6 2 3 8" xfId="19821" xr:uid="{00000000-0005-0000-0000-00004B280000}"/>
    <cellStyle name="40% - 强调文字颜色 6 2 3 9" xfId="17456" xr:uid="{00000000-0005-0000-0000-00004C280000}"/>
    <cellStyle name="40% - 强调文字颜色 6 2 4" xfId="13651" xr:uid="{00000000-0005-0000-0000-00004D280000}"/>
    <cellStyle name="40% - 强调文字颜色 6 2 4 10" xfId="19823" xr:uid="{00000000-0005-0000-0000-00004E280000}"/>
    <cellStyle name="40% - 强调文字颜色 6 2 4 11" xfId="19824" xr:uid="{00000000-0005-0000-0000-00004F280000}"/>
    <cellStyle name="40% - 强调文字颜色 6 2 4 12" xfId="19827" xr:uid="{00000000-0005-0000-0000-000050280000}"/>
    <cellStyle name="40% - 强调文字颜色 6 2 4 13" xfId="19830" xr:uid="{00000000-0005-0000-0000-000051280000}"/>
    <cellStyle name="40% - 强调文字颜色 6 2 4 14" xfId="19833" xr:uid="{00000000-0005-0000-0000-000052280000}"/>
    <cellStyle name="40% - 强调文字颜色 6 2 4 2" xfId="430" xr:uid="{00000000-0005-0000-0000-000053280000}"/>
    <cellStyle name="40% - 强调文字颜色 6 2 4 3" xfId="19835" xr:uid="{00000000-0005-0000-0000-000054280000}"/>
    <cellStyle name="40% - 强调文字颜色 6 2 4 4" xfId="19839" xr:uid="{00000000-0005-0000-0000-000055280000}"/>
    <cellStyle name="40% - 强调文字颜色 6 2 4 5" xfId="19845" xr:uid="{00000000-0005-0000-0000-000056280000}"/>
    <cellStyle name="40% - 强调文字颜色 6 2 4 6" xfId="19851" xr:uid="{00000000-0005-0000-0000-000057280000}"/>
    <cellStyle name="40% - 强调文字颜色 6 2 4 7" xfId="2426" xr:uid="{00000000-0005-0000-0000-000058280000}"/>
    <cellStyle name="40% - 强调文字颜色 6 2 4 8" xfId="2537" xr:uid="{00000000-0005-0000-0000-000059280000}"/>
    <cellStyle name="40% - 强调文字颜色 6 2 4 9" xfId="2546" xr:uid="{00000000-0005-0000-0000-00005A280000}"/>
    <cellStyle name="40% - 强调文字颜色 6 2 5" xfId="19853" xr:uid="{00000000-0005-0000-0000-00005B280000}"/>
    <cellStyle name="40% - 强调文字颜色 6 2 6" xfId="19854" xr:uid="{00000000-0005-0000-0000-00005C280000}"/>
    <cellStyle name="40% - 强调文字颜色 6 2 7" xfId="19858" xr:uid="{00000000-0005-0000-0000-00005D280000}"/>
    <cellStyle name="40% - 强调文字颜色 6 2 8" xfId="19861" xr:uid="{00000000-0005-0000-0000-00005E280000}"/>
    <cellStyle name="40% - 强调文字颜色 6 2 9" xfId="19864" xr:uid="{00000000-0005-0000-0000-00005F280000}"/>
    <cellStyle name="40% - 强调文字颜色 6 3" xfId="12641" xr:uid="{00000000-0005-0000-0000-000060280000}"/>
    <cellStyle name="40% - 强调文字颜色 6 3 10" xfId="18654" xr:uid="{00000000-0005-0000-0000-000061280000}"/>
    <cellStyle name="40% - 强调文字颜色 6 3 11" xfId="18656" xr:uid="{00000000-0005-0000-0000-000062280000}"/>
    <cellStyle name="40% - 强调文字颜色 6 3 12" xfId="18658" xr:uid="{00000000-0005-0000-0000-000063280000}"/>
    <cellStyle name="40% - 强调文字颜色 6 3 13" xfId="9983" xr:uid="{00000000-0005-0000-0000-000064280000}"/>
    <cellStyle name="40% - 强调文字颜色 6 3 14" xfId="10007" xr:uid="{00000000-0005-0000-0000-000065280000}"/>
    <cellStyle name="40% - 强调文字颜色 6 3 15" xfId="10010" xr:uid="{00000000-0005-0000-0000-000066280000}"/>
    <cellStyle name="40% - 强调文字颜色 6 3 16" xfId="10012" xr:uid="{00000000-0005-0000-0000-000067280000}"/>
    <cellStyle name="40% - 强调文字颜色 6 3 17" xfId="10016" xr:uid="{00000000-0005-0000-0000-000068280000}"/>
    <cellStyle name="40% - 强调文字颜色 6 3 17 10" xfId="19865" xr:uid="{00000000-0005-0000-0000-000069280000}"/>
    <cellStyle name="40% - 强调文字颜色 6 3 17 11" xfId="19869" xr:uid="{00000000-0005-0000-0000-00006A280000}"/>
    <cellStyle name="40% - 强调文字颜色 6 3 17 12" xfId="19871" xr:uid="{00000000-0005-0000-0000-00006B280000}"/>
    <cellStyle name="40% - 强调文字颜色 6 3 17 13" xfId="19873" xr:uid="{00000000-0005-0000-0000-00006C280000}"/>
    <cellStyle name="40% - 强调文字颜色 6 3 17 14" xfId="19875" xr:uid="{00000000-0005-0000-0000-00006D280000}"/>
    <cellStyle name="40% - 强调文字颜色 6 3 17 2" xfId="3464" xr:uid="{00000000-0005-0000-0000-00006E280000}"/>
    <cellStyle name="40% - 强调文字颜色 6 3 17 2 2" xfId="19877" xr:uid="{00000000-0005-0000-0000-00006F280000}"/>
    <cellStyle name="40% - 强调文字颜色 6 3 17 3" xfId="3473" xr:uid="{00000000-0005-0000-0000-000070280000}"/>
    <cellStyle name="40% - 强调文字颜色 6 3 17 4" xfId="19791" xr:uid="{00000000-0005-0000-0000-000071280000}"/>
    <cellStyle name="40% - 强调文字颜色 6 3 17 5" xfId="19797" xr:uid="{00000000-0005-0000-0000-000072280000}"/>
    <cellStyle name="40% - 强调文字颜色 6 3 17 5 10" xfId="16826" xr:uid="{00000000-0005-0000-0000-000073280000}"/>
    <cellStyle name="40% - 强调文字颜色 6 3 17 5 11" xfId="16831" xr:uid="{00000000-0005-0000-0000-000074280000}"/>
    <cellStyle name="40% - 强调文字颜色 6 3 17 5 2" xfId="19878" xr:uid="{00000000-0005-0000-0000-000075280000}"/>
    <cellStyle name="40% - 强调文字颜色 6 3 17 5 2 2" xfId="12253" xr:uid="{00000000-0005-0000-0000-000076280000}"/>
    <cellStyle name="40% - 强调文字颜色 6 3 17 5 2 2 2" xfId="19632" xr:uid="{00000000-0005-0000-0000-000077280000}"/>
    <cellStyle name="40% - 强调文字颜色 6 3 17 5 2 2 3" xfId="19670" xr:uid="{00000000-0005-0000-0000-000078280000}"/>
    <cellStyle name="40% - 强调文字颜色 6 3 17 5 2 3" xfId="12270" xr:uid="{00000000-0005-0000-0000-000079280000}"/>
    <cellStyle name="40% - 强调文字颜色 6 3 17 5 2 4" xfId="10095" xr:uid="{00000000-0005-0000-0000-00007A280000}"/>
    <cellStyle name="40% - 强调文字颜色 6 3 17 5 2 5" xfId="10103" xr:uid="{00000000-0005-0000-0000-00007B280000}"/>
    <cellStyle name="40% - 强调文字颜色 6 3 17 5 2 6" xfId="11951" xr:uid="{00000000-0005-0000-0000-00007C280000}"/>
    <cellStyle name="40% - 强调文字颜色 6 3 17 5 2 7" xfId="11958" xr:uid="{00000000-0005-0000-0000-00007D280000}"/>
    <cellStyle name="40% - 强调文字颜色 6 3 17 5 2 8" xfId="19881" xr:uid="{00000000-0005-0000-0000-00007E280000}"/>
    <cellStyle name="40% - 强调文字颜色 6 3 17 5 3" xfId="19882" xr:uid="{00000000-0005-0000-0000-00007F280000}"/>
    <cellStyle name="40% - 强调文字颜色 6 3 17 5 4" xfId="19884" xr:uid="{00000000-0005-0000-0000-000080280000}"/>
    <cellStyle name="40% - 强调文字颜色 6 3 17 5 5" xfId="19886" xr:uid="{00000000-0005-0000-0000-000081280000}"/>
    <cellStyle name="40% - 强调文字颜色 6 3 17 5 6" xfId="19888" xr:uid="{00000000-0005-0000-0000-000082280000}"/>
    <cellStyle name="40% - 强调文字颜色 6 3 17 5 6 2" xfId="19889" xr:uid="{00000000-0005-0000-0000-000083280000}"/>
    <cellStyle name="40% - 强调文字颜色 6 3 17 5 6 3" xfId="19890" xr:uid="{00000000-0005-0000-0000-000084280000}"/>
    <cellStyle name="40% - 强调文字颜色 6 3 17 5 7" xfId="19891" xr:uid="{00000000-0005-0000-0000-000085280000}"/>
    <cellStyle name="40% - 强调文字颜色 6 3 17 5 8" xfId="19892" xr:uid="{00000000-0005-0000-0000-000086280000}"/>
    <cellStyle name="40% - 强调文字颜色 6 3 17 5 9" xfId="19893" xr:uid="{00000000-0005-0000-0000-000087280000}"/>
    <cellStyle name="40% - 强调文字颜色 6 3 17 6" xfId="19800" xr:uid="{00000000-0005-0000-0000-000088280000}"/>
    <cellStyle name="40% - 强调文字颜色 6 3 17 6 2" xfId="19895" xr:uid="{00000000-0005-0000-0000-000089280000}"/>
    <cellStyle name="40% - 强调文字颜色 6 3 17 6 2 2" xfId="19896" xr:uid="{00000000-0005-0000-0000-00008A280000}"/>
    <cellStyle name="40% - 强调文字颜色 6 3 17 6 2 3" xfId="19897" xr:uid="{00000000-0005-0000-0000-00008B280000}"/>
    <cellStyle name="40% - 强调文字颜色 6 3 17 6 3" xfId="7530" xr:uid="{00000000-0005-0000-0000-00008C280000}"/>
    <cellStyle name="40% - 强调文字颜色 6 3 17 6 4" xfId="5665" xr:uid="{00000000-0005-0000-0000-00008D280000}"/>
    <cellStyle name="40% - 强调文字颜色 6 3 17 6 5" xfId="19898" xr:uid="{00000000-0005-0000-0000-00008E280000}"/>
    <cellStyle name="40% - 强调文字颜色 6 3 17 6 6" xfId="19900" xr:uid="{00000000-0005-0000-0000-00008F280000}"/>
    <cellStyle name="40% - 强调文字颜色 6 3 17 6 7" xfId="19902" xr:uid="{00000000-0005-0000-0000-000090280000}"/>
    <cellStyle name="40% - 强调文字颜色 6 3 17 6 8" xfId="5734" xr:uid="{00000000-0005-0000-0000-000091280000}"/>
    <cellStyle name="40% - 强调文字颜色 6 3 17 7" xfId="19803" xr:uid="{00000000-0005-0000-0000-000092280000}"/>
    <cellStyle name="40% - 强调文字颜色 6 3 17 8" xfId="8092" xr:uid="{00000000-0005-0000-0000-000093280000}"/>
    <cellStyle name="40% - 强调文字颜色 6 3 17 9" xfId="8111" xr:uid="{00000000-0005-0000-0000-000094280000}"/>
    <cellStyle name="40% - 强调文字颜色 6 3 17 9 2" xfId="19904" xr:uid="{00000000-0005-0000-0000-000095280000}"/>
    <cellStyle name="40% - 强调文字颜色 6 3 17 9 3" xfId="19908" xr:uid="{00000000-0005-0000-0000-000096280000}"/>
    <cellStyle name="40% - 强调文字颜色 6 3 18" xfId="10020" xr:uid="{00000000-0005-0000-0000-000097280000}"/>
    <cellStyle name="40% - 强调文字颜色 6 3 18 10" xfId="14176" xr:uid="{00000000-0005-0000-0000-000098280000}"/>
    <cellStyle name="40% - 强调文字颜色 6 3 18 11" xfId="14179" xr:uid="{00000000-0005-0000-0000-000099280000}"/>
    <cellStyle name="40% - 强调文字颜色 6 3 18 12" xfId="14183" xr:uid="{00000000-0005-0000-0000-00009A280000}"/>
    <cellStyle name="40% - 强调文字颜色 6 3 18 13" xfId="14187" xr:uid="{00000000-0005-0000-0000-00009B280000}"/>
    <cellStyle name="40% - 强调文字颜色 6 3 18 14" xfId="8012" xr:uid="{00000000-0005-0000-0000-00009C280000}"/>
    <cellStyle name="40% - 强调文字颜色 6 3 18 2" xfId="3313" xr:uid="{00000000-0005-0000-0000-00009D280000}"/>
    <cellStyle name="40% - 强调文字颜色 6 3 18 3" xfId="3324" xr:uid="{00000000-0005-0000-0000-00009E280000}"/>
    <cellStyle name="40% - 强调文字颜色 6 3 18 4" xfId="3335" xr:uid="{00000000-0005-0000-0000-00009F280000}"/>
    <cellStyle name="40% - 强调文字颜色 6 3 18 5" xfId="3347" xr:uid="{00000000-0005-0000-0000-0000A0280000}"/>
    <cellStyle name="40% - 强调文字颜色 6 3 18 5 10" xfId="17068" xr:uid="{00000000-0005-0000-0000-0000A1280000}"/>
    <cellStyle name="40% - 强调文字颜色 6 3 18 5 11" xfId="17073" xr:uid="{00000000-0005-0000-0000-0000A2280000}"/>
    <cellStyle name="40% - 强调文字颜色 6 3 18 5 2" xfId="17178" xr:uid="{00000000-0005-0000-0000-0000A3280000}"/>
    <cellStyle name="40% - 强调文字颜色 6 3 18 5 2 2" xfId="19910" xr:uid="{00000000-0005-0000-0000-0000A4280000}"/>
    <cellStyle name="40% - 强调文字颜色 6 3 18 5 2 2 2" xfId="19911" xr:uid="{00000000-0005-0000-0000-0000A5280000}"/>
    <cellStyle name="40% - 强调文字颜色 6 3 18 5 2 2 3" xfId="19914" xr:uid="{00000000-0005-0000-0000-0000A6280000}"/>
    <cellStyle name="40% - 强调文字颜色 6 3 18 5 2 3" xfId="19915" xr:uid="{00000000-0005-0000-0000-0000A7280000}"/>
    <cellStyle name="40% - 强调文字颜色 6 3 18 5 2 4" xfId="19919" xr:uid="{00000000-0005-0000-0000-0000A8280000}"/>
    <cellStyle name="40% - 强调文字颜色 6 3 18 5 2 5" xfId="3008" xr:uid="{00000000-0005-0000-0000-0000A9280000}"/>
    <cellStyle name="40% - 强调文字颜色 6 3 18 5 2 6" xfId="3017" xr:uid="{00000000-0005-0000-0000-0000AA280000}"/>
    <cellStyle name="40% - 强调文字颜色 6 3 18 5 2 7" xfId="19920" xr:uid="{00000000-0005-0000-0000-0000AB280000}"/>
    <cellStyle name="40% - 强调文字颜色 6 3 18 5 2 8" xfId="16483" xr:uid="{00000000-0005-0000-0000-0000AC280000}"/>
    <cellStyle name="40% - 强调文字颜色 6 3 18 5 3" xfId="17180" xr:uid="{00000000-0005-0000-0000-0000AD280000}"/>
    <cellStyle name="40% - 强调文字颜色 6 3 18 5 4" xfId="17196" xr:uid="{00000000-0005-0000-0000-0000AE280000}"/>
    <cellStyle name="40% - 强调文字颜色 6 3 18 5 5" xfId="17217" xr:uid="{00000000-0005-0000-0000-0000AF280000}"/>
    <cellStyle name="40% - 强调文字颜色 6 3 18 5 6" xfId="17219" xr:uid="{00000000-0005-0000-0000-0000B0280000}"/>
    <cellStyle name="40% - 强调文字颜色 6 3 18 5 6 2" xfId="19921" xr:uid="{00000000-0005-0000-0000-0000B1280000}"/>
    <cellStyle name="40% - 强调文字颜色 6 3 18 5 6 3" xfId="19923" xr:uid="{00000000-0005-0000-0000-0000B2280000}"/>
    <cellStyle name="40% - 强调文字颜色 6 3 18 5 7" xfId="17222" xr:uid="{00000000-0005-0000-0000-0000B3280000}"/>
    <cellStyle name="40% - 强调文字颜色 6 3 18 5 8" xfId="19925" xr:uid="{00000000-0005-0000-0000-0000B4280000}"/>
    <cellStyle name="40% - 强调文字颜色 6 3 18 5 9" xfId="19927" xr:uid="{00000000-0005-0000-0000-0000B5280000}"/>
    <cellStyle name="40% - 强调文字颜色 6 3 18 6" xfId="3363" xr:uid="{00000000-0005-0000-0000-0000B6280000}"/>
    <cellStyle name="40% - 强调文字颜色 6 3 18 6 2" xfId="19933" xr:uid="{00000000-0005-0000-0000-0000B7280000}"/>
    <cellStyle name="40% - 强调文字颜色 6 3 18 6 2 2" xfId="19938" xr:uid="{00000000-0005-0000-0000-0000B8280000}"/>
    <cellStyle name="40% - 强调文字颜色 6 3 18 6 2 3" xfId="19941" xr:uid="{00000000-0005-0000-0000-0000B9280000}"/>
    <cellStyle name="40% - 强调文字颜色 6 3 18 6 3" xfId="19238" xr:uid="{00000000-0005-0000-0000-0000BA280000}"/>
    <cellStyle name="40% - 强调文字颜色 6 3 18 6 4" xfId="19247" xr:uid="{00000000-0005-0000-0000-0000BB280000}"/>
    <cellStyle name="40% - 强调文字颜色 6 3 18 6 5" xfId="19253" xr:uid="{00000000-0005-0000-0000-0000BC280000}"/>
    <cellStyle name="40% - 强调文字颜色 6 3 18 6 6" xfId="19257" xr:uid="{00000000-0005-0000-0000-0000BD280000}"/>
    <cellStyle name="40% - 强调文字颜色 6 3 18 6 7" xfId="19261" xr:uid="{00000000-0005-0000-0000-0000BE280000}"/>
    <cellStyle name="40% - 强调文字颜色 6 3 18 6 8" xfId="19265" xr:uid="{00000000-0005-0000-0000-0000BF280000}"/>
    <cellStyle name="40% - 强调文字颜色 6 3 18 7" xfId="9202" xr:uid="{00000000-0005-0000-0000-0000C0280000}"/>
    <cellStyle name="40% - 强调文字颜色 6 3 18 8" xfId="15455" xr:uid="{00000000-0005-0000-0000-0000C1280000}"/>
    <cellStyle name="40% - 强调文字颜色 6 3 18 9" xfId="15458" xr:uid="{00000000-0005-0000-0000-0000C2280000}"/>
    <cellStyle name="40% - 强调文字颜色 6 3 18 9 2" xfId="17112" xr:uid="{00000000-0005-0000-0000-0000C3280000}"/>
    <cellStyle name="40% - 强调文字颜色 6 3 18 9 3" xfId="17114" xr:uid="{00000000-0005-0000-0000-0000C4280000}"/>
    <cellStyle name="40% - 强调文字颜色 6 3 19" xfId="10026" xr:uid="{00000000-0005-0000-0000-0000C5280000}"/>
    <cellStyle name="40% - 强调文字颜色 6 3 19 10" xfId="17800" xr:uid="{00000000-0005-0000-0000-0000C6280000}"/>
    <cellStyle name="40% - 强调文字颜色 6 3 19 11" xfId="2436" xr:uid="{00000000-0005-0000-0000-0000C7280000}"/>
    <cellStyle name="40% - 强调文字颜色 6 3 19 12" xfId="2459" xr:uid="{00000000-0005-0000-0000-0000C8280000}"/>
    <cellStyle name="40% - 强调文字颜色 6 3 19 13" xfId="2475" xr:uid="{00000000-0005-0000-0000-0000C9280000}"/>
    <cellStyle name="40% - 强调文字颜色 6 3 19 14" xfId="2491" xr:uid="{00000000-0005-0000-0000-0000CA280000}"/>
    <cellStyle name="40% - 强调文字颜色 6 3 19 2" xfId="9254" xr:uid="{00000000-0005-0000-0000-0000CB280000}"/>
    <cellStyle name="40% - 强调文字颜色 6 3 19 3" xfId="9258" xr:uid="{00000000-0005-0000-0000-0000CC280000}"/>
    <cellStyle name="40% - 强调文字颜色 6 3 19 4" xfId="9347" xr:uid="{00000000-0005-0000-0000-0000CD280000}"/>
    <cellStyle name="40% - 强调文字颜色 6 3 19 5" xfId="9423" xr:uid="{00000000-0005-0000-0000-0000CE280000}"/>
    <cellStyle name="40% - 强调文字颜色 6 3 19 5 10" xfId="2151" xr:uid="{00000000-0005-0000-0000-0000CF280000}"/>
    <cellStyle name="40% - 强调文字颜色 6 3 19 5 11" xfId="17450" xr:uid="{00000000-0005-0000-0000-0000D0280000}"/>
    <cellStyle name="40% - 强调文字颜色 6 3 19 5 2" xfId="19943" xr:uid="{00000000-0005-0000-0000-0000D1280000}"/>
    <cellStyle name="40% - 强调文字颜色 6 3 19 5 2 2" xfId="19946" xr:uid="{00000000-0005-0000-0000-0000D2280000}"/>
    <cellStyle name="40% - 强调文字颜色 6 3 19 5 2 2 2" xfId="7783" xr:uid="{00000000-0005-0000-0000-0000D3280000}"/>
    <cellStyle name="40% - 强调文字颜色 6 3 19 5 2 2 3" xfId="7789" xr:uid="{00000000-0005-0000-0000-0000D4280000}"/>
    <cellStyle name="40% - 强调文字颜色 6 3 19 5 2 3" xfId="19949" xr:uid="{00000000-0005-0000-0000-0000D5280000}"/>
    <cellStyle name="40% - 强调文字颜色 6 3 19 5 2 4" xfId="19950" xr:uid="{00000000-0005-0000-0000-0000D6280000}"/>
    <cellStyle name="40% - 强调文字颜色 6 3 19 5 2 5" xfId="19951" xr:uid="{00000000-0005-0000-0000-0000D7280000}"/>
    <cellStyle name="40% - 强调文字颜色 6 3 19 5 2 6" xfId="19952" xr:uid="{00000000-0005-0000-0000-0000D8280000}"/>
    <cellStyle name="40% - 强调文字颜色 6 3 19 5 2 7" xfId="19953" xr:uid="{00000000-0005-0000-0000-0000D9280000}"/>
    <cellStyle name="40% - 强调文字颜色 6 3 19 5 2 8" xfId="19954" xr:uid="{00000000-0005-0000-0000-0000DA280000}"/>
    <cellStyle name="40% - 强调文字颜色 6 3 19 5 3" xfId="19957" xr:uid="{00000000-0005-0000-0000-0000DB280000}"/>
    <cellStyle name="40% - 强调文字颜色 6 3 19 5 4" xfId="19960" xr:uid="{00000000-0005-0000-0000-0000DC280000}"/>
    <cellStyle name="40% - 强调文字颜色 6 3 19 5 5" xfId="19964" xr:uid="{00000000-0005-0000-0000-0000DD280000}"/>
    <cellStyle name="40% - 强调文字颜色 6 3 19 5 6" xfId="19969" xr:uid="{00000000-0005-0000-0000-0000DE280000}"/>
    <cellStyle name="40% - 强调文字颜色 6 3 19 5 6 2" xfId="18596" xr:uid="{00000000-0005-0000-0000-0000DF280000}"/>
    <cellStyle name="40% - 强调文字颜色 6 3 19 5 6 3" xfId="18599" xr:uid="{00000000-0005-0000-0000-0000E0280000}"/>
    <cellStyle name="40% - 强调文字颜色 6 3 19 5 7" xfId="19975" xr:uid="{00000000-0005-0000-0000-0000E1280000}"/>
    <cellStyle name="40% - 强调文字颜色 6 3 19 5 8" xfId="19980" xr:uid="{00000000-0005-0000-0000-0000E2280000}"/>
    <cellStyle name="40% - 强调文字颜色 6 3 19 5 9" xfId="19984" xr:uid="{00000000-0005-0000-0000-0000E3280000}"/>
    <cellStyle name="40% - 强调文字颜色 6 3 19 6" xfId="9427" xr:uid="{00000000-0005-0000-0000-0000E4280000}"/>
    <cellStyle name="40% - 强调文字颜色 6 3 19 6 2" xfId="19987" xr:uid="{00000000-0005-0000-0000-0000E5280000}"/>
    <cellStyle name="40% - 强调文字颜色 6 3 19 6 2 2" xfId="19989" xr:uid="{00000000-0005-0000-0000-0000E6280000}"/>
    <cellStyle name="40% - 强调文字颜色 6 3 19 6 2 3" xfId="19991" xr:uid="{00000000-0005-0000-0000-0000E7280000}"/>
    <cellStyle name="40% - 强调文字颜色 6 3 19 6 3" xfId="19285" xr:uid="{00000000-0005-0000-0000-0000E8280000}"/>
    <cellStyle name="40% - 强调文字颜色 6 3 19 6 4" xfId="19289" xr:uid="{00000000-0005-0000-0000-0000E9280000}"/>
    <cellStyle name="40% - 强调文字颜色 6 3 19 6 5" xfId="19992" xr:uid="{00000000-0005-0000-0000-0000EA280000}"/>
    <cellStyle name="40% - 强调文字颜色 6 3 19 6 6" xfId="19993" xr:uid="{00000000-0005-0000-0000-0000EB280000}"/>
    <cellStyle name="40% - 强调文字颜色 6 3 19 6 7" xfId="19994" xr:uid="{00000000-0005-0000-0000-0000EC280000}"/>
    <cellStyle name="40% - 强调文字颜色 6 3 19 6 8" xfId="19995" xr:uid="{00000000-0005-0000-0000-0000ED280000}"/>
    <cellStyle name="40% - 强调文字颜色 6 3 19 7" xfId="9436" xr:uid="{00000000-0005-0000-0000-0000EE280000}"/>
    <cellStyle name="40% - 强调文字颜色 6 3 19 8" xfId="16391" xr:uid="{00000000-0005-0000-0000-0000EF280000}"/>
    <cellStyle name="40% - 强调文字颜色 6 3 19 9" xfId="16399" xr:uid="{00000000-0005-0000-0000-0000F0280000}"/>
    <cellStyle name="40% - 强调文字颜色 6 3 19 9 2" xfId="7661" xr:uid="{00000000-0005-0000-0000-0000F1280000}"/>
    <cellStyle name="40% - 强调文字颜色 6 3 19 9 3" xfId="20000" xr:uid="{00000000-0005-0000-0000-0000F2280000}"/>
    <cellStyle name="40% - 强调文字颜色 6 3 2" xfId="20002" xr:uid="{00000000-0005-0000-0000-0000F3280000}"/>
    <cellStyle name="40% - 强调文字颜色 6 3 2 10" xfId="19511" xr:uid="{00000000-0005-0000-0000-0000F4280000}"/>
    <cellStyle name="40% - 强调文字颜色 6 3 2 11" xfId="19514" xr:uid="{00000000-0005-0000-0000-0000F5280000}"/>
    <cellStyle name="40% - 强调文字颜色 6 3 2 12" xfId="19517" xr:uid="{00000000-0005-0000-0000-0000F6280000}"/>
    <cellStyle name="40% - 强调文字颜色 6 3 2 13" xfId="19520" xr:uid="{00000000-0005-0000-0000-0000F7280000}"/>
    <cellStyle name="40% - 强调文字颜色 6 3 2 14" xfId="20008" xr:uid="{00000000-0005-0000-0000-0000F8280000}"/>
    <cellStyle name="40% - 强调文字颜色 6 3 2 2" xfId="553" xr:uid="{00000000-0005-0000-0000-0000F9280000}"/>
    <cellStyle name="40% - 强调文字颜色 6 3 2 3" xfId="1225" xr:uid="{00000000-0005-0000-0000-0000FA280000}"/>
    <cellStyle name="40% - 强调文字颜色 6 3 2 4" xfId="1236" xr:uid="{00000000-0005-0000-0000-0000FB280000}"/>
    <cellStyle name="40% - 强调文字颜色 6 3 2 5" xfId="7772" xr:uid="{00000000-0005-0000-0000-0000FC280000}"/>
    <cellStyle name="40% - 强调文字颜色 6 3 2 6" xfId="7780" xr:uid="{00000000-0005-0000-0000-0000FD280000}"/>
    <cellStyle name="40% - 强调文字颜色 6 3 2 7" xfId="20010" xr:uid="{00000000-0005-0000-0000-0000FE280000}"/>
    <cellStyle name="40% - 强调文字颜色 6 3 2 8" xfId="20012" xr:uid="{00000000-0005-0000-0000-0000FF280000}"/>
    <cellStyle name="40% - 强调文字颜色 6 3 2 9" xfId="20013" xr:uid="{00000000-0005-0000-0000-000000290000}"/>
    <cellStyle name="40% - 强调文字颜色 6 3 20" xfId="10009" xr:uid="{00000000-0005-0000-0000-000001290000}"/>
    <cellStyle name="40% - 强调文字颜色 6 3 20 10" xfId="12979" xr:uid="{00000000-0005-0000-0000-000002290000}"/>
    <cellStyle name="40% - 强调文字颜色 6 3 20 11" xfId="12983" xr:uid="{00000000-0005-0000-0000-000003290000}"/>
    <cellStyle name="40% - 强调文字颜色 6 3 20 12" xfId="12988" xr:uid="{00000000-0005-0000-0000-000004290000}"/>
    <cellStyle name="40% - 强调文字颜色 6 3 20 13" xfId="5674" xr:uid="{00000000-0005-0000-0000-000005290000}"/>
    <cellStyle name="40% - 强调文字颜色 6 3 20 14" xfId="5681" xr:uid="{00000000-0005-0000-0000-000006290000}"/>
    <cellStyle name="40% - 强调文字颜色 6 3 20 2" xfId="6994" xr:uid="{00000000-0005-0000-0000-000007290000}"/>
    <cellStyle name="40% - 强调文字颜色 6 3 20 3" xfId="7002" xr:uid="{00000000-0005-0000-0000-000008290000}"/>
    <cellStyle name="40% - 强调文字颜色 6 3 20 4" xfId="2763" xr:uid="{00000000-0005-0000-0000-000009290000}"/>
    <cellStyle name="40% - 强调文字颜色 6 3 20 5" xfId="11069" xr:uid="{00000000-0005-0000-0000-00000A290000}"/>
    <cellStyle name="40% - 强调文字颜色 6 3 20 5 10" xfId="20015" xr:uid="{00000000-0005-0000-0000-00000B290000}"/>
    <cellStyle name="40% - 强调文字颜色 6 3 20 5 11" xfId="20017" xr:uid="{00000000-0005-0000-0000-00000C290000}"/>
    <cellStyle name="40% - 强调文字颜色 6 3 20 5 2" xfId="20018" xr:uid="{00000000-0005-0000-0000-00000D290000}"/>
    <cellStyle name="40% - 强调文字颜色 6 3 20 5 2 2" xfId="20019" xr:uid="{00000000-0005-0000-0000-00000E290000}"/>
    <cellStyle name="40% - 强调文字颜色 6 3 20 5 2 2 2" xfId="17994" xr:uid="{00000000-0005-0000-0000-00000F290000}"/>
    <cellStyle name="40% - 强调文字颜色 6 3 20 5 2 2 3" xfId="17997" xr:uid="{00000000-0005-0000-0000-000010290000}"/>
    <cellStyle name="40% - 强调文字颜色 6 3 20 5 2 3" xfId="20020" xr:uid="{00000000-0005-0000-0000-000011290000}"/>
    <cellStyle name="40% - 强调文字颜色 6 3 20 5 2 4" xfId="9945" xr:uid="{00000000-0005-0000-0000-000012290000}"/>
    <cellStyle name="40% - 强调文字颜色 6 3 20 5 2 5" xfId="9947" xr:uid="{00000000-0005-0000-0000-000013290000}"/>
    <cellStyle name="40% - 强调文字颜色 6 3 20 5 2 6" xfId="20021" xr:uid="{00000000-0005-0000-0000-000014290000}"/>
    <cellStyle name="40% - 强调文字颜色 6 3 20 5 2 7" xfId="20023" xr:uid="{00000000-0005-0000-0000-000015290000}"/>
    <cellStyle name="40% - 强调文字颜色 6 3 20 5 2 8" xfId="20025" xr:uid="{00000000-0005-0000-0000-000016290000}"/>
    <cellStyle name="40% - 强调文字颜色 6 3 20 5 3" xfId="20026" xr:uid="{00000000-0005-0000-0000-000017290000}"/>
    <cellStyle name="40% - 强调文字颜色 6 3 20 5 4" xfId="20027" xr:uid="{00000000-0005-0000-0000-000018290000}"/>
    <cellStyle name="40% - 强调文字颜色 6 3 20 5 5" xfId="20028" xr:uid="{00000000-0005-0000-0000-000019290000}"/>
    <cellStyle name="40% - 强调文字颜色 6 3 20 5 6" xfId="20029" xr:uid="{00000000-0005-0000-0000-00001A290000}"/>
    <cellStyle name="40% - 强调文字颜色 6 3 20 5 6 2" xfId="20030" xr:uid="{00000000-0005-0000-0000-00001B290000}"/>
    <cellStyle name="40% - 强调文字颜色 6 3 20 5 6 3" xfId="20031" xr:uid="{00000000-0005-0000-0000-00001C290000}"/>
    <cellStyle name="40% - 强调文字颜色 6 3 20 5 7" xfId="20032" xr:uid="{00000000-0005-0000-0000-00001D290000}"/>
    <cellStyle name="40% - 强调文字颜色 6 3 20 5 8" xfId="20033" xr:uid="{00000000-0005-0000-0000-00001E290000}"/>
    <cellStyle name="40% - 强调文字颜色 6 3 20 5 9" xfId="20034" xr:uid="{00000000-0005-0000-0000-00001F290000}"/>
    <cellStyle name="40% - 强调文字颜色 6 3 20 6" xfId="11074" xr:uid="{00000000-0005-0000-0000-000020290000}"/>
    <cellStyle name="40% - 强调文字颜色 6 3 20 6 2" xfId="11080" xr:uid="{00000000-0005-0000-0000-000021290000}"/>
    <cellStyle name="40% - 强调文字颜色 6 3 20 6 2 2" xfId="11085" xr:uid="{00000000-0005-0000-0000-000022290000}"/>
    <cellStyle name="40% - 强调文字颜色 6 3 20 6 2 3" xfId="20035" xr:uid="{00000000-0005-0000-0000-000023290000}"/>
    <cellStyle name="40% - 强调文字颜色 6 3 20 6 3" xfId="337" xr:uid="{00000000-0005-0000-0000-000024290000}"/>
    <cellStyle name="40% - 强调文字颜色 6 3 20 6 4" xfId="6417" xr:uid="{00000000-0005-0000-0000-000025290000}"/>
    <cellStyle name="40% - 强调文字颜色 6 3 20 6 5" xfId="6419" xr:uid="{00000000-0005-0000-0000-000026290000}"/>
    <cellStyle name="40% - 强调文字颜色 6 3 20 6 6" xfId="6426" xr:uid="{00000000-0005-0000-0000-000027290000}"/>
    <cellStyle name="40% - 强调文字颜色 6 3 20 6 7" xfId="6435" xr:uid="{00000000-0005-0000-0000-000028290000}"/>
    <cellStyle name="40% - 强调文字颜色 6 3 20 6 8" xfId="6443" xr:uid="{00000000-0005-0000-0000-000029290000}"/>
    <cellStyle name="40% - 强调文字颜色 6 3 20 7" xfId="4617" xr:uid="{00000000-0005-0000-0000-00002A290000}"/>
    <cellStyle name="40% - 强调文字颜色 6 3 20 8" xfId="4624" xr:uid="{00000000-0005-0000-0000-00002B290000}"/>
    <cellStyle name="40% - 强调文字颜色 6 3 20 9" xfId="11196" xr:uid="{00000000-0005-0000-0000-00002C290000}"/>
    <cellStyle name="40% - 强调文字颜色 6 3 20 9 2" xfId="20036" xr:uid="{00000000-0005-0000-0000-00002D290000}"/>
    <cellStyle name="40% - 强调文字颜色 6 3 20 9 3" xfId="20037" xr:uid="{00000000-0005-0000-0000-00002E290000}"/>
    <cellStyle name="40% - 强调文字颜色 6 3 3" xfId="20039" xr:uid="{00000000-0005-0000-0000-00002F290000}"/>
    <cellStyle name="40% - 强调文字颜色 6 3 3 10" xfId="11889" xr:uid="{00000000-0005-0000-0000-000030290000}"/>
    <cellStyle name="40% - 强调文字颜色 6 3 3 11" xfId="11894" xr:uid="{00000000-0005-0000-0000-000031290000}"/>
    <cellStyle name="40% - 强调文字颜色 6 3 3 12" xfId="11899" xr:uid="{00000000-0005-0000-0000-000032290000}"/>
    <cellStyle name="40% - 强调文字颜色 6 3 3 13" xfId="11905" xr:uid="{00000000-0005-0000-0000-000033290000}"/>
    <cellStyle name="40% - 强调文字颜色 6 3 3 14" xfId="17048" xr:uid="{00000000-0005-0000-0000-000034290000}"/>
    <cellStyle name="40% - 强调文字颜色 6 3 3 2" xfId="2642" xr:uid="{00000000-0005-0000-0000-000035290000}"/>
    <cellStyle name="40% - 强调文字颜色 6 3 3 3" xfId="2662" xr:uid="{00000000-0005-0000-0000-000036290000}"/>
    <cellStyle name="40% - 强调文字颜色 6 3 3 4" xfId="3281" xr:uid="{00000000-0005-0000-0000-000037290000}"/>
    <cellStyle name="40% - 强调文字颜色 6 3 3 5" xfId="20044" xr:uid="{00000000-0005-0000-0000-000038290000}"/>
    <cellStyle name="40% - 强调文字颜色 6 3 3 6" xfId="20047" xr:uid="{00000000-0005-0000-0000-000039290000}"/>
    <cellStyle name="40% - 强调文字颜色 6 3 3 7" xfId="20050" xr:uid="{00000000-0005-0000-0000-00003A290000}"/>
    <cellStyle name="40% - 强调文字颜色 6 3 3 8" xfId="20053" xr:uid="{00000000-0005-0000-0000-00003B290000}"/>
    <cellStyle name="40% - 强调文字颜色 6 3 3 9" xfId="20057" xr:uid="{00000000-0005-0000-0000-00003C290000}"/>
    <cellStyle name="40% - 强调文字颜色 6 3 4" xfId="20058" xr:uid="{00000000-0005-0000-0000-00003D290000}"/>
    <cellStyle name="40% - 强调文字颜色 6 3 4 10" xfId="20059" xr:uid="{00000000-0005-0000-0000-00003E290000}"/>
    <cellStyle name="40% - 强调文字颜色 6 3 4 11" xfId="20060" xr:uid="{00000000-0005-0000-0000-00003F290000}"/>
    <cellStyle name="40% - 强调文字颜色 6 3 4 12" xfId="11942" xr:uid="{00000000-0005-0000-0000-000040290000}"/>
    <cellStyle name="40% - 强调文字颜色 6 3 4 13" xfId="11945" xr:uid="{00000000-0005-0000-0000-000041290000}"/>
    <cellStyle name="40% - 强调文字颜色 6 3 4 14" xfId="16687" xr:uid="{00000000-0005-0000-0000-000042290000}"/>
    <cellStyle name="40% - 强调文字颜色 6 3 4 2" xfId="6128" xr:uid="{00000000-0005-0000-0000-000043290000}"/>
    <cellStyle name="40% - 强调文字颜色 6 3 4 3" xfId="6133" xr:uid="{00000000-0005-0000-0000-000044290000}"/>
    <cellStyle name="40% - 强调文字颜色 6 3 4 4" xfId="20062" xr:uid="{00000000-0005-0000-0000-000045290000}"/>
    <cellStyle name="40% - 强调文字颜色 6 3 4 5" xfId="20065" xr:uid="{00000000-0005-0000-0000-000046290000}"/>
    <cellStyle name="40% - 强调文字颜色 6 3 4 6" xfId="20068" xr:uid="{00000000-0005-0000-0000-000047290000}"/>
    <cellStyle name="40% - 强调文字颜色 6 3 4 7" xfId="16199" xr:uid="{00000000-0005-0000-0000-000048290000}"/>
    <cellStyle name="40% - 强调文字颜色 6 3 4 8" xfId="16206" xr:uid="{00000000-0005-0000-0000-000049290000}"/>
    <cellStyle name="40% - 强调文字颜色 6 3 4 9" xfId="6913" xr:uid="{00000000-0005-0000-0000-00004A290000}"/>
    <cellStyle name="40% - 强调文字颜色 6 3 5" xfId="20071" xr:uid="{00000000-0005-0000-0000-00004B290000}"/>
    <cellStyle name="40% - 强调文字颜色 6 3 6" xfId="20072" xr:uid="{00000000-0005-0000-0000-00004C290000}"/>
    <cellStyle name="40% - 强调文字颜色 6 3 7" xfId="20073" xr:uid="{00000000-0005-0000-0000-00004D290000}"/>
    <cellStyle name="40% - 强调文字颜色 6 3 8" xfId="20074" xr:uid="{00000000-0005-0000-0000-00004E290000}"/>
    <cellStyle name="40% - 强调文字颜色 6 3 9" xfId="20076" xr:uid="{00000000-0005-0000-0000-00004F290000}"/>
    <cellStyle name="40% - 强调文字颜色 6 4" xfId="12648" xr:uid="{00000000-0005-0000-0000-000050290000}"/>
    <cellStyle name="40% - 强调文字颜色 6 4 10" xfId="18705" xr:uid="{00000000-0005-0000-0000-000051290000}"/>
    <cellStyle name="40% - 强调文字颜色 6 4 11" xfId="18708" xr:uid="{00000000-0005-0000-0000-000052290000}"/>
    <cellStyle name="40% - 强调文字颜色 6 4 12" xfId="18711" xr:uid="{00000000-0005-0000-0000-000053290000}"/>
    <cellStyle name="40% - 强调文字颜色 6 4 13" xfId="18714" xr:uid="{00000000-0005-0000-0000-000054290000}"/>
    <cellStyle name="40% - 强调文字颜色 6 4 14" xfId="20078" xr:uid="{00000000-0005-0000-0000-000055290000}"/>
    <cellStyle name="40% - 强调文字颜色 6 4 15" xfId="20081" xr:uid="{00000000-0005-0000-0000-000056290000}"/>
    <cellStyle name="40% - 强调文字颜色 6 4 16" xfId="20085" xr:uid="{00000000-0005-0000-0000-000057290000}"/>
    <cellStyle name="40% - 强调文字颜色 6 4 17" xfId="20087" xr:uid="{00000000-0005-0000-0000-000058290000}"/>
    <cellStyle name="40% - 强调文字颜色 6 4 17 10" xfId="17813" xr:uid="{00000000-0005-0000-0000-000059290000}"/>
    <cellStyle name="40% - 强调文字颜色 6 4 17 11" xfId="6110" xr:uid="{00000000-0005-0000-0000-00005A290000}"/>
    <cellStyle name="40% - 强调文字颜色 6 4 17 12" xfId="6117" xr:uid="{00000000-0005-0000-0000-00005B290000}"/>
    <cellStyle name="40% - 强调文字颜色 6 4 17 13" xfId="17816" xr:uid="{00000000-0005-0000-0000-00005C290000}"/>
    <cellStyle name="40% - 强调文字颜色 6 4 17 14" xfId="17820" xr:uid="{00000000-0005-0000-0000-00005D290000}"/>
    <cellStyle name="40% - 强调文字颜色 6 4 17 2" xfId="20091" xr:uid="{00000000-0005-0000-0000-00005E290000}"/>
    <cellStyle name="40% - 强调文字颜色 6 4 17 3" xfId="20094" xr:uid="{00000000-0005-0000-0000-00005F290000}"/>
    <cellStyle name="40% - 强调文字颜色 6 4 17 4" xfId="20097" xr:uid="{00000000-0005-0000-0000-000060290000}"/>
    <cellStyle name="40% - 强调文字颜色 6 4 17 5" xfId="20099" xr:uid="{00000000-0005-0000-0000-000061290000}"/>
    <cellStyle name="40% - 强调文字颜色 6 4 17 5 10" xfId="12433" xr:uid="{00000000-0005-0000-0000-000062290000}"/>
    <cellStyle name="40% - 强调文字颜色 6 4 17 5 11" xfId="12445" xr:uid="{00000000-0005-0000-0000-000063290000}"/>
    <cellStyle name="40% - 强调文字颜色 6 4 17 5 2" xfId="2027" xr:uid="{00000000-0005-0000-0000-000064290000}"/>
    <cellStyle name="40% - 强调文字颜色 6 4 17 5 2 2" xfId="1317" xr:uid="{00000000-0005-0000-0000-000065290000}"/>
    <cellStyle name="40% - 强调文字颜色 6 4 17 5 2 2 2" xfId="20101" xr:uid="{00000000-0005-0000-0000-000066290000}"/>
    <cellStyle name="40% - 强调文字颜色 6 4 17 5 2 2 3" xfId="20103" xr:uid="{00000000-0005-0000-0000-000067290000}"/>
    <cellStyle name="40% - 强调文字颜色 6 4 17 5 2 3" xfId="1327" xr:uid="{00000000-0005-0000-0000-000068290000}"/>
    <cellStyle name="40% - 强调文字颜色 6 4 17 5 2 4" xfId="1339" xr:uid="{00000000-0005-0000-0000-000069290000}"/>
    <cellStyle name="40% - 强调文字颜色 6 4 17 5 2 5" xfId="255" xr:uid="{00000000-0005-0000-0000-00006A290000}"/>
    <cellStyle name="40% - 强调文字颜色 6 4 17 5 2 6" xfId="1358" xr:uid="{00000000-0005-0000-0000-00006B290000}"/>
    <cellStyle name="40% - 强调文字颜色 6 4 17 5 2 7" xfId="13953" xr:uid="{00000000-0005-0000-0000-00006C290000}"/>
    <cellStyle name="40% - 强调文字颜色 6 4 17 5 2 8" xfId="20107" xr:uid="{00000000-0005-0000-0000-00006D290000}"/>
    <cellStyle name="40% - 强调文字颜色 6 4 17 5 3" xfId="2039" xr:uid="{00000000-0005-0000-0000-00006E290000}"/>
    <cellStyle name="40% - 强调文字颜色 6 4 17 5 4" xfId="20109" xr:uid="{00000000-0005-0000-0000-00006F290000}"/>
    <cellStyle name="40% - 强调文字颜色 6 4 17 5 5" xfId="20114" xr:uid="{00000000-0005-0000-0000-000070290000}"/>
    <cellStyle name="40% - 强调文字颜色 6 4 17 5 6" xfId="20120" xr:uid="{00000000-0005-0000-0000-000071290000}"/>
    <cellStyle name="40% - 强调文字颜色 6 4 17 5 6 2" xfId="20125" xr:uid="{00000000-0005-0000-0000-000072290000}"/>
    <cellStyle name="40% - 强调文字颜色 6 4 17 5 6 3" xfId="20129" xr:uid="{00000000-0005-0000-0000-000073290000}"/>
    <cellStyle name="40% - 强调文字颜色 6 4 17 5 7" xfId="20132" xr:uid="{00000000-0005-0000-0000-000074290000}"/>
    <cellStyle name="40% - 强调文字颜色 6 4 17 5 8" xfId="9142" xr:uid="{00000000-0005-0000-0000-000075290000}"/>
    <cellStyle name="40% - 强调文字颜色 6 4 17 5 9" xfId="9152" xr:uid="{00000000-0005-0000-0000-000076290000}"/>
    <cellStyle name="40% - 强调文字颜色 6 4 17 6" xfId="17459" xr:uid="{00000000-0005-0000-0000-000077290000}"/>
    <cellStyle name="40% - 强调文字颜色 6 4 17 6 2" xfId="20137" xr:uid="{00000000-0005-0000-0000-000078290000}"/>
    <cellStyle name="40% - 强调文字颜色 6 4 17 6 2 2" xfId="11866" xr:uid="{00000000-0005-0000-0000-000079290000}"/>
    <cellStyle name="40% - 强调文字颜色 6 4 17 6 2 3" xfId="11458" xr:uid="{00000000-0005-0000-0000-00007A290000}"/>
    <cellStyle name="40% - 强调文字颜色 6 4 17 6 3" xfId="20140" xr:uid="{00000000-0005-0000-0000-00007B290000}"/>
    <cellStyle name="40% - 强调文字颜色 6 4 17 6 4" xfId="20143" xr:uid="{00000000-0005-0000-0000-00007C290000}"/>
    <cellStyle name="40% - 强调文字颜色 6 4 17 6 5" xfId="20148" xr:uid="{00000000-0005-0000-0000-00007D290000}"/>
    <cellStyle name="40% - 强调文字颜色 6 4 17 6 6" xfId="20151" xr:uid="{00000000-0005-0000-0000-00007E290000}"/>
    <cellStyle name="40% - 强调文字颜色 6 4 17 6 7" xfId="20154" xr:uid="{00000000-0005-0000-0000-00007F290000}"/>
    <cellStyle name="40% - 强调文字颜色 6 4 17 6 8" xfId="20156" xr:uid="{00000000-0005-0000-0000-000080290000}"/>
    <cellStyle name="40% - 强调文字颜色 6 4 17 7" xfId="17461" xr:uid="{00000000-0005-0000-0000-000081290000}"/>
    <cellStyle name="40% - 强调文字颜色 6 4 17 8" xfId="20158" xr:uid="{00000000-0005-0000-0000-000082290000}"/>
    <cellStyle name="40% - 强调文字颜色 6 4 17 9" xfId="20159" xr:uid="{00000000-0005-0000-0000-000083290000}"/>
    <cellStyle name="40% - 强调文字颜色 6 4 17 9 2" xfId="20160" xr:uid="{00000000-0005-0000-0000-000084290000}"/>
    <cellStyle name="40% - 强调文字颜色 6 4 17 9 3" xfId="20163" xr:uid="{00000000-0005-0000-0000-000085290000}"/>
    <cellStyle name="40% - 强调文字颜色 6 4 18" xfId="20167" xr:uid="{00000000-0005-0000-0000-000086290000}"/>
    <cellStyle name="40% - 强调文字颜色 6 4 18 10" xfId="3823" xr:uid="{00000000-0005-0000-0000-000087290000}"/>
    <cellStyle name="40% - 强调文字颜色 6 4 18 11" xfId="11587" xr:uid="{00000000-0005-0000-0000-000088290000}"/>
    <cellStyle name="40% - 强调文字颜色 6 4 18 12" xfId="11590" xr:uid="{00000000-0005-0000-0000-000089290000}"/>
    <cellStyle name="40% - 强调文字颜色 6 4 18 13" xfId="6074" xr:uid="{00000000-0005-0000-0000-00008A290000}"/>
    <cellStyle name="40% - 强调文字颜色 6 4 18 14" xfId="6078" xr:uid="{00000000-0005-0000-0000-00008B290000}"/>
    <cellStyle name="40% - 强调文字颜色 6 4 18 2" xfId="4319" xr:uid="{00000000-0005-0000-0000-00008C290000}"/>
    <cellStyle name="40% - 强调文字颜色 6 4 18 3" xfId="4326" xr:uid="{00000000-0005-0000-0000-00008D290000}"/>
    <cellStyle name="40% - 强调文字颜色 6 4 18 4" xfId="4335" xr:uid="{00000000-0005-0000-0000-00008E290000}"/>
    <cellStyle name="40% - 强调文字颜色 6 4 18 5" xfId="485" xr:uid="{00000000-0005-0000-0000-00008F290000}"/>
    <cellStyle name="40% - 强调文字颜色 6 4 18 5 10" xfId="12913" xr:uid="{00000000-0005-0000-0000-000090290000}"/>
    <cellStyle name="40% - 强调文字颜色 6 4 18 5 11" xfId="12929" xr:uid="{00000000-0005-0000-0000-000091290000}"/>
    <cellStyle name="40% - 强调文字颜色 6 4 18 5 2" xfId="18213" xr:uid="{00000000-0005-0000-0000-000092290000}"/>
    <cellStyle name="40% - 强调文字颜色 6 4 18 5 2 2" xfId="3497" xr:uid="{00000000-0005-0000-0000-000093290000}"/>
    <cellStyle name="40% - 强调文字颜色 6 4 18 5 2 2 2" xfId="20168" xr:uid="{00000000-0005-0000-0000-000094290000}"/>
    <cellStyle name="40% - 强调文字颜色 6 4 18 5 2 2 3" xfId="20169" xr:uid="{00000000-0005-0000-0000-000095290000}"/>
    <cellStyle name="40% - 强调文字颜色 6 4 18 5 2 3" xfId="3508" xr:uid="{00000000-0005-0000-0000-000096290000}"/>
    <cellStyle name="40% - 强调文字颜色 6 4 18 5 2 4" xfId="3420" xr:uid="{00000000-0005-0000-0000-000097290000}"/>
    <cellStyle name="40% - 强调文字颜色 6 4 18 5 2 5" xfId="3441" xr:uid="{00000000-0005-0000-0000-000098290000}"/>
    <cellStyle name="40% - 强调文字颜色 6 4 18 5 2 6" xfId="3524" xr:uid="{00000000-0005-0000-0000-000099290000}"/>
    <cellStyle name="40% - 强调文字颜色 6 4 18 5 2 7" xfId="20170" xr:uid="{00000000-0005-0000-0000-00009A290000}"/>
    <cellStyle name="40% - 强调文字颜色 6 4 18 5 2 8" xfId="5378" xr:uid="{00000000-0005-0000-0000-00009B290000}"/>
    <cellStyle name="40% - 强调文字颜色 6 4 18 5 3" xfId="18215" xr:uid="{00000000-0005-0000-0000-00009C290000}"/>
    <cellStyle name="40% - 强调文字颜色 6 4 18 5 4" xfId="18235" xr:uid="{00000000-0005-0000-0000-00009D290000}"/>
    <cellStyle name="40% - 强调文字颜色 6 4 18 5 5" xfId="18252" xr:uid="{00000000-0005-0000-0000-00009E290000}"/>
    <cellStyle name="40% - 强调文字颜色 6 4 18 5 6" xfId="18258" xr:uid="{00000000-0005-0000-0000-00009F290000}"/>
    <cellStyle name="40% - 强调文字颜色 6 4 18 5 6 2" xfId="20172" xr:uid="{00000000-0005-0000-0000-0000A0290000}"/>
    <cellStyle name="40% - 强调文字颜色 6 4 18 5 6 3" xfId="20173" xr:uid="{00000000-0005-0000-0000-0000A1290000}"/>
    <cellStyle name="40% - 强调文字颜色 6 4 18 5 7" xfId="18263" xr:uid="{00000000-0005-0000-0000-0000A2290000}"/>
    <cellStyle name="40% - 强调文字颜色 6 4 18 5 8" xfId="20175" xr:uid="{00000000-0005-0000-0000-0000A3290000}"/>
    <cellStyle name="40% - 强调文字颜色 6 4 18 5 9" xfId="11381" xr:uid="{00000000-0005-0000-0000-0000A4290000}"/>
    <cellStyle name="40% - 强调文字颜色 6 4 18 6" xfId="4344" xr:uid="{00000000-0005-0000-0000-0000A5290000}"/>
    <cellStyle name="40% - 强调文字颜色 6 4 18 6 2" xfId="3885" xr:uid="{00000000-0005-0000-0000-0000A6290000}"/>
    <cellStyle name="40% - 强调文字颜色 6 4 18 6 2 2" xfId="3854" xr:uid="{00000000-0005-0000-0000-0000A7290000}"/>
    <cellStyle name="40% - 强调文字颜色 6 4 18 6 2 3" xfId="3896" xr:uid="{00000000-0005-0000-0000-0000A8290000}"/>
    <cellStyle name="40% - 强调文字颜色 6 4 18 6 3" xfId="4306" xr:uid="{00000000-0005-0000-0000-0000A9290000}"/>
    <cellStyle name="40% - 强调文字颜色 6 4 18 6 4" xfId="4555" xr:uid="{00000000-0005-0000-0000-0000AA290000}"/>
    <cellStyle name="40% - 强调文字颜色 6 4 18 6 5" xfId="4576" xr:uid="{00000000-0005-0000-0000-0000AB290000}"/>
    <cellStyle name="40% - 强调文字颜色 6 4 18 6 6" xfId="20176" xr:uid="{00000000-0005-0000-0000-0000AC290000}"/>
    <cellStyle name="40% - 强调文字颜色 6 4 18 6 7" xfId="20177" xr:uid="{00000000-0005-0000-0000-0000AD290000}"/>
    <cellStyle name="40% - 强调文字颜色 6 4 18 6 8" xfId="20178" xr:uid="{00000000-0005-0000-0000-0000AE290000}"/>
    <cellStyle name="40% - 强调文字颜色 6 4 18 7" xfId="9964" xr:uid="{00000000-0005-0000-0000-0000AF290000}"/>
    <cellStyle name="40% - 强调文字颜色 6 4 18 8" xfId="20179" xr:uid="{00000000-0005-0000-0000-0000B0290000}"/>
    <cellStyle name="40% - 强调文字颜色 6 4 18 9" xfId="20181" xr:uid="{00000000-0005-0000-0000-0000B1290000}"/>
    <cellStyle name="40% - 强调文字颜色 6 4 18 9 2" xfId="2920" xr:uid="{00000000-0005-0000-0000-0000B2290000}"/>
    <cellStyle name="40% - 强调文字颜色 6 4 18 9 3" xfId="2946" xr:uid="{00000000-0005-0000-0000-0000B3290000}"/>
    <cellStyle name="40% - 强调文字颜色 6 4 19" xfId="20185" xr:uid="{00000000-0005-0000-0000-0000B4290000}"/>
    <cellStyle name="40% - 强调文字颜色 6 4 19 10" xfId="17848" xr:uid="{00000000-0005-0000-0000-0000B5290000}"/>
    <cellStyle name="40% - 强调文字颜色 6 4 19 11" xfId="17857" xr:uid="{00000000-0005-0000-0000-0000B6290000}"/>
    <cellStyle name="40% - 强调文字颜色 6 4 19 12" xfId="17864" xr:uid="{00000000-0005-0000-0000-0000B7290000}"/>
    <cellStyle name="40% - 强调文字颜色 6 4 19 13" xfId="17870" xr:uid="{00000000-0005-0000-0000-0000B8290000}"/>
    <cellStyle name="40% - 强调文字颜色 6 4 19 14" xfId="17872" xr:uid="{00000000-0005-0000-0000-0000B9290000}"/>
    <cellStyle name="40% - 强调文字颜色 6 4 19 2" xfId="9976" xr:uid="{00000000-0005-0000-0000-0000BA290000}"/>
    <cellStyle name="40% - 强调文字颜色 6 4 19 3" xfId="9980" xr:uid="{00000000-0005-0000-0000-0000BB290000}"/>
    <cellStyle name="40% - 强调文字颜色 6 4 19 4" xfId="10033" xr:uid="{00000000-0005-0000-0000-0000BC290000}"/>
    <cellStyle name="40% - 强调文字颜色 6 4 19 5" xfId="10036" xr:uid="{00000000-0005-0000-0000-0000BD290000}"/>
    <cellStyle name="40% - 强调文字颜色 6 4 19 5 10" xfId="20189" xr:uid="{00000000-0005-0000-0000-0000BE290000}"/>
    <cellStyle name="40% - 强调文字颜色 6 4 19 5 11" xfId="20193" xr:uid="{00000000-0005-0000-0000-0000BF290000}"/>
    <cellStyle name="40% - 强调文字颜色 6 4 19 5 2" xfId="20194" xr:uid="{00000000-0005-0000-0000-0000C0290000}"/>
    <cellStyle name="40% - 强调文字颜色 6 4 19 5 2 2" xfId="3995" xr:uid="{00000000-0005-0000-0000-0000C1290000}"/>
    <cellStyle name="40% - 强调文字颜色 6 4 19 5 2 2 2" xfId="2957" xr:uid="{00000000-0005-0000-0000-0000C2290000}"/>
    <cellStyle name="40% - 强调文字颜色 6 4 19 5 2 2 3" xfId="2976" xr:uid="{00000000-0005-0000-0000-0000C3290000}"/>
    <cellStyle name="40% - 强调文字颜色 6 4 19 5 2 3" xfId="4004" xr:uid="{00000000-0005-0000-0000-0000C4290000}"/>
    <cellStyle name="40% - 强调文字颜色 6 4 19 5 2 4" xfId="2072" xr:uid="{00000000-0005-0000-0000-0000C5290000}"/>
    <cellStyle name="40% - 强调文字颜色 6 4 19 5 2 5" xfId="3113" xr:uid="{00000000-0005-0000-0000-0000C6290000}"/>
    <cellStyle name="40% - 强调文字颜色 6 4 19 5 2 6" xfId="17400" xr:uid="{00000000-0005-0000-0000-0000C7290000}"/>
    <cellStyle name="40% - 强调文字颜色 6 4 19 5 2 7" xfId="20196" xr:uid="{00000000-0005-0000-0000-0000C8290000}"/>
    <cellStyle name="40% - 强调文字颜色 6 4 19 5 2 8" xfId="20198" xr:uid="{00000000-0005-0000-0000-0000C9290000}"/>
    <cellStyle name="40% - 强调文字颜色 6 4 19 5 3" xfId="20199" xr:uid="{00000000-0005-0000-0000-0000CA290000}"/>
    <cellStyle name="40% - 强调文字颜色 6 4 19 5 4" xfId="20201" xr:uid="{00000000-0005-0000-0000-0000CB290000}"/>
    <cellStyle name="40% - 强调文字颜色 6 4 19 5 5" xfId="20202" xr:uid="{00000000-0005-0000-0000-0000CC290000}"/>
    <cellStyle name="40% - 强调文字颜色 6 4 19 5 6" xfId="20204" xr:uid="{00000000-0005-0000-0000-0000CD290000}"/>
    <cellStyle name="40% - 强调文字颜色 6 4 19 5 6 2" xfId="1187" xr:uid="{00000000-0005-0000-0000-0000CE290000}"/>
    <cellStyle name="40% - 强调文字颜色 6 4 19 5 6 3" xfId="11033" xr:uid="{00000000-0005-0000-0000-0000CF290000}"/>
    <cellStyle name="40% - 强调文字颜色 6 4 19 5 7" xfId="20206" xr:uid="{00000000-0005-0000-0000-0000D0290000}"/>
    <cellStyle name="40% - 强调文字颜色 6 4 19 5 8" xfId="20207" xr:uid="{00000000-0005-0000-0000-0000D1290000}"/>
    <cellStyle name="40% - 强调文字颜色 6 4 19 5 9" xfId="20208" xr:uid="{00000000-0005-0000-0000-0000D2290000}"/>
    <cellStyle name="40% - 强调文字颜色 6 4 19 6" xfId="10042" xr:uid="{00000000-0005-0000-0000-0000D3290000}"/>
    <cellStyle name="40% - 强调文字颜色 6 4 19 6 2" xfId="14545" xr:uid="{00000000-0005-0000-0000-0000D4290000}"/>
    <cellStyle name="40% - 强调文字颜色 6 4 19 6 2 2" xfId="20210" xr:uid="{00000000-0005-0000-0000-0000D5290000}"/>
    <cellStyle name="40% - 强调文字颜色 6 4 19 6 2 3" xfId="20212" xr:uid="{00000000-0005-0000-0000-0000D6290000}"/>
    <cellStyle name="40% - 强调文字颜色 6 4 19 6 3" xfId="14549" xr:uid="{00000000-0005-0000-0000-0000D7290000}"/>
    <cellStyle name="40% - 强调文字颜色 6 4 19 6 4" xfId="14552" xr:uid="{00000000-0005-0000-0000-0000D8290000}"/>
    <cellStyle name="40% - 强调文字颜色 6 4 19 6 5" xfId="14553" xr:uid="{00000000-0005-0000-0000-0000D9290000}"/>
    <cellStyle name="40% - 强调文字颜色 6 4 19 6 6" xfId="2372" xr:uid="{00000000-0005-0000-0000-0000DA290000}"/>
    <cellStyle name="40% - 强调文字颜色 6 4 19 6 7" xfId="2393" xr:uid="{00000000-0005-0000-0000-0000DB290000}"/>
    <cellStyle name="40% - 强调文字颜色 6 4 19 6 8" xfId="20213" xr:uid="{00000000-0005-0000-0000-0000DC290000}"/>
    <cellStyle name="40% - 强调文字颜色 6 4 19 7" xfId="7194" xr:uid="{00000000-0005-0000-0000-0000DD290000}"/>
    <cellStyle name="40% - 强调文字颜色 6 4 19 8" xfId="20214" xr:uid="{00000000-0005-0000-0000-0000DE290000}"/>
    <cellStyle name="40% - 强调文字颜色 6 4 19 9" xfId="20215" xr:uid="{00000000-0005-0000-0000-0000DF290000}"/>
    <cellStyle name="40% - 强调文字颜色 6 4 19 9 2" xfId="2079" xr:uid="{00000000-0005-0000-0000-0000E0290000}"/>
    <cellStyle name="40% - 强调文字颜色 6 4 19 9 3" xfId="20217" xr:uid="{00000000-0005-0000-0000-0000E1290000}"/>
    <cellStyle name="40% - 强调文字颜色 6 4 2" xfId="20219" xr:uid="{00000000-0005-0000-0000-0000E2290000}"/>
    <cellStyle name="40% - 强调文字颜色 6 4 20" xfId="20080" xr:uid="{00000000-0005-0000-0000-0000E3290000}"/>
    <cellStyle name="40% - 强调文字颜色 6 4 20 10" xfId="13085" xr:uid="{00000000-0005-0000-0000-0000E4290000}"/>
    <cellStyle name="40% - 强调文字颜色 6 4 20 11" xfId="13089" xr:uid="{00000000-0005-0000-0000-0000E5290000}"/>
    <cellStyle name="40% - 强调文字颜色 6 4 20 12" xfId="13093" xr:uid="{00000000-0005-0000-0000-0000E6290000}"/>
    <cellStyle name="40% - 强调文字颜色 6 4 20 13" xfId="13096" xr:uid="{00000000-0005-0000-0000-0000E7290000}"/>
    <cellStyle name="40% - 强调文字颜色 6 4 20 14" xfId="20221" xr:uid="{00000000-0005-0000-0000-0000E8290000}"/>
    <cellStyle name="40% - 强调文字颜色 6 4 20 2" xfId="8831" xr:uid="{00000000-0005-0000-0000-0000E9290000}"/>
    <cellStyle name="40% - 强调文字颜色 6 4 20 3" xfId="8840" xr:uid="{00000000-0005-0000-0000-0000EA290000}"/>
    <cellStyle name="40% - 强调文字颜色 6 4 20 4" xfId="1371" xr:uid="{00000000-0005-0000-0000-0000EB290000}"/>
    <cellStyle name="40% - 强调文字颜色 6 4 20 5" xfId="1384" xr:uid="{00000000-0005-0000-0000-0000EC290000}"/>
    <cellStyle name="40% - 强调文字颜色 6 4 20 5 10" xfId="20222" xr:uid="{00000000-0005-0000-0000-0000ED290000}"/>
    <cellStyle name="40% - 强调文字颜色 6 4 20 5 11" xfId="20225" xr:uid="{00000000-0005-0000-0000-0000EE290000}"/>
    <cellStyle name="40% - 强调文字颜色 6 4 20 5 2" xfId="20228" xr:uid="{00000000-0005-0000-0000-0000EF290000}"/>
    <cellStyle name="40% - 强调文字颜色 6 4 20 5 2 2" xfId="20231" xr:uid="{00000000-0005-0000-0000-0000F0290000}"/>
    <cellStyle name="40% - 强调文字颜色 6 4 20 5 2 2 2" xfId="20232" xr:uid="{00000000-0005-0000-0000-0000F1290000}"/>
    <cellStyle name="40% - 强调文字颜色 6 4 20 5 2 2 3" xfId="20233" xr:uid="{00000000-0005-0000-0000-0000F2290000}"/>
    <cellStyle name="40% - 强调文字颜色 6 4 20 5 2 3" xfId="20237" xr:uid="{00000000-0005-0000-0000-0000F3290000}"/>
    <cellStyle name="40% - 强调文字颜色 6 4 20 5 2 4" xfId="20240" xr:uid="{00000000-0005-0000-0000-0000F4290000}"/>
    <cellStyle name="40% - 强调文字颜色 6 4 20 5 2 5" xfId="20242" xr:uid="{00000000-0005-0000-0000-0000F5290000}"/>
    <cellStyle name="40% - 强调文字颜色 6 4 20 5 2 6" xfId="20244" xr:uid="{00000000-0005-0000-0000-0000F6290000}"/>
    <cellStyle name="40% - 强调文字颜色 6 4 20 5 2 7" xfId="20246" xr:uid="{00000000-0005-0000-0000-0000F7290000}"/>
    <cellStyle name="40% - 强调文字颜色 6 4 20 5 2 8" xfId="20250" xr:uid="{00000000-0005-0000-0000-0000F8290000}"/>
    <cellStyle name="40% - 强调文字颜色 6 4 20 5 3" xfId="20252" xr:uid="{00000000-0005-0000-0000-0000F9290000}"/>
    <cellStyle name="40% - 强调文字颜色 6 4 20 5 4" xfId="9012" xr:uid="{00000000-0005-0000-0000-0000FA290000}"/>
    <cellStyle name="40% - 强调文字颜色 6 4 20 5 5" xfId="9019" xr:uid="{00000000-0005-0000-0000-0000FB290000}"/>
    <cellStyle name="40% - 强调文字颜色 6 4 20 5 6" xfId="9023" xr:uid="{00000000-0005-0000-0000-0000FC290000}"/>
    <cellStyle name="40% - 强调文字颜色 6 4 20 5 6 2" xfId="20253" xr:uid="{00000000-0005-0000-0000-0000FD290000}"/>
    <cellStyle name="40% - 强调文字颜色 6 4 20 5 6 3" xfId="20256" xr:uid="{00000000-0005-0000-0000-0000FE290000}"/>
    <cellStyle name="40% - 强调文字颜色 6 4 20 5 7" xfId="15063" xr:uid="{00000000-0005-0000-0000-0000FF290000}"/>
    <cellStyle name="40% - 强调文字颜色 6 4 20 5 8" xfId="11251" xr:uid="{00000000-0005-0000-0000-0000002A0000}"/>
    <cellStyle name="40% - 强调文字颜色 6 4 20 5 9" xfId="11255" xr:uid="{00000000-0005-0000-0000-0000012A0000}"/>
    <cellStyle name="40% - 强调文字颜色 6 4 20 6" xfId="1396" xr:uid="{00000000-0005-0000-0000-0000022A0000}"/>
    <cellStyle name="40% - 强调文字颜色 6 4 20 6 2" xfId="12390" xr:uid="{00000000-0005-0000-0000-0000032A0000}"/>
    <cellStyle name="40% - 强调文字颜色 6 4 20 6 2 2" xfId="12392" xr:uid="{00000000-0005-0000-0000-0000042A0000}"/>
    <cellStyle name="40% - 强调文字颜色 6 4 20 6 2 3" xfId="20258" xr:uid="{00000000-0005-0000-0000-0000052A0000}"/>
    <cellStyle name="40% - 强调文字颜色 6 4 20 6 3" xfId="12394" xr:uid="{00000000-0005-0000-0000-0000062A0000}"/>
    <cellStyle name="40% - 强调文字颜色 6 4 20 6 4" xfId="12396" xr:uid="{00000000-0005-0000-0000-0000072A0000}"/>
    <cellStyle name="40% - 强调文字颜色 6 4 20 6 5" xfId="12398" xr:uid="{00000000-0005-0000-0000-0000082A0000}"/>
    <cellStyle name="40% - 强调文字颜色 6 4 20 6 6" xfId="12434" xr:uid="{00000000-0005-0000-0000-0000092A0000}"/>
    <cellStyle name="40% - 强调文字颜色 6 4 20 6 7" xfId="12446" xr:uid="{00000000-0005-0000-0000-00000A2A0000}"/>
    <cellStyle name="40% - 强调文字颜色 6 4 20 6 8" xfId="8186" xr:uid="{00000000-0005-0000-0000-00000B2A0000}"/>
    <cellStyle name="40% - 强调文字颜色 6 4 20 7" xfId="1412" xr:uid="{00000000-0005-0000-0000-00000C2A0000}"/>
    <cellStyle name="40% - 强调文字颜色 6 4 20 8" xfId="1676" xr:uid="{00000000-0005-0000-0000-00000D2A0000}"/>
    <cellStyle name="40% - 强调文字颜色 6 4 20 9" xfId="20259" xr:uid="{00000000-0005-0000-0000-00000E2A0000}"/>
    <cellStyle name="40% - 强调文字颜色 6 4 20 9 2" xfId="20262" xr:uid="{00000000-0005-0000-0000-00000F2A0000}"/>
    <cellStyle name="40% - 强调文字颜色 6 4 20 9 3" xfId="20267" xr:uid="{00000000-0005-0000-0000-0000102A0000}"/>
    <cellStyle name="40% - 强调文字颜色 6 4 3" xfId="20273" xr:uid="{00000000-0005-0000-0000-0000112A0000}"/>
    <cellStyle name="40% - 强调文字颜色 6 4 4" xfId="20275" xr:uid="{00000000-0005-0000-0000-0000122A0000}"/>
    <cellStyle name="40% - 强调文字颜色 6 4 5" xfId="20278" xr:uid="{00000000-0005-0000-0000-0000132A0000}"/>
    <cellStyle name="40% - 强调文字颜色 6 4 6" xfId="20281" xr:uid="{00000000-0005-0000-0000-0000142A0000}"/>
    <cellStyle name="40% - 强调文字颜色 6 4 7" xfId="9781" xr:uid="{00000000-0005-0000-0000-0000152A0000}"/>
    <cellStyle name="40% - 强调文字颜色 6 4 8" xfId="9796" xr:uid="{00000000-0005-0000-0000-0000162A0000}"/>
    <cellStyle name="40% - 强调文字颜色 6 4 9" xfId="9522" xr:uid="{00000000-0005-0000-0000-0000172A0000}"/>
    <cellStyle name="40% - 强调文字颜色 6 5" xfId="12653" xr:uid="{00000000-0005-0000-0000-0000182A0000}"/>
    <cellStyle name="40% - 强调文字颜色 6 5 10" xfId="14710" xr:uid="{00000000-0005-0000-0000-0000192A0000}"/>
    <cellStyle name="40% - 强调文字颜色 6 5 11" xfId="14713" xr:uid="{00000000-0005-0000-0000-00001A2A0000}"/>
    <cellStyle name="40% - 强调文字颜色 6 5 12" xfId="14716" xr:uid="{00000000-0005-0000-0000-00001B2A0000}"/>
    <cellStyle name="40% - 强调文字颜色 6 5 13" xfId="20285" xr:uid="{00000000-0005-0000-0000-00001C2A0000}"/>
    <cellStyle name="40% - 强调文字颜色 6 5 14" xfId="10569" xr:uid="{00000000-0005-0000-0000-00001D2A0000}"/>
    <cellStyle name="40% - 强调文字颜色 6 5 2" xfId="20286" xr:uid="{00000000-0005-0000-0000-00001E2A0000}"/>
    <cellStyle name="40% - 强调文字颜色 6 5 3" xfId="20288" xr:uid="{00000000-0005-0000-0000-00001F2A0000}"/>
    <cellStyle name="40% - 强调文字颜色 6 5 4" xfId="20290" xr:uid="{00000000-0005-0000-0000-0000202A0000}"/>
    <cellStyle name="40% - 强调文字颜色 6 5 5" xfId="20293" xr:uid="{00000000-0005-0000-0000-0000212A0000}"/>
    <cellStyle name="40% - 强调文字颜色 6 5 6" xfId="20296" xr:uid="{00000000-0005-0000-0000-0000222A0000}"/>
    <cellStyle name="40% - 强调文字颜色 6 5 7" xfId="10987" xr:uid="{00000000-0005-0000-0000-0000232A0000}"/>
    <cellStyle name="40% - 强调文字颜色 6 5 8" xfId="10997" xr:uid="{00000000-0005-0000-0000-0000242A0000}"/>
    <cellStyle name="40% - 强调文字颜色 6 5 9" xfId="11007" xr:uid="{00000000-0005-0000-0000-0000252A0000}"/>
    <cellStyle name="40% - 强调文字颜色 6 6" xfId="12659" xr:uid="{00000000-0005-0000-0000-0000262A0000}"/>
    <cellStyle name="40% - 强调文字颜色 6 6 10" xfId="6863" xr:uid="{00000000-0005-0000-0000-0000272A0000}"/>
    <cellStyle name="40% - 强调文字颜色 6 6 11" xfId="2324" xr:uid="{00000000-0005-0000-0000-0000282A0000}"/>
    <cellStyle name="40% - 强调文字颜色 6 6 12" xfId="20300" xr:uid="{00000000-0005-0000-0000-0000292A0000}"/>
    <cellStyle name="40% - 强调文字颜色 6 6 13" xfId="20306" xr:uid="{00000000-0005-0000-0000-00002A2A0000}"/>
    <cellStyle name="40% - 强调文字颜色 6 6 14" xfId="20312" xr:uid="{00000000-0005-0000-0000-00002B2A0000}"/>
    <cellStyle name="40% - 强调文字颜色 6 6 2" xfId="20315" xr:uid="{00000000-0005-0000-0000-00002C2A0000}"/>
    <cellStyle name="40% - 强调文字颜色 6 6 3" xfId="20320" xr:uid="{00000000-0005-0000-0000-00002D2A0000}"/>
    <cellStyle name="40% - 强调文字颜色 6 6 4" xfId="20324" xr:uid="{00000000-0005-0000-0000-00002E2A0000}"/>
    <cellStyle name="40% - 强调文字颜色 6 6 5" xfId="20330" xr:uid="{00000000-0005-0000-0000-00002F2A0000}"/>
    <cellStyle name="40% - 强调文字颜色 6 6 6" xfId="20335" xr:uid="{00000000-0005-0000-0000-0000302A0000}"/>
    <cellStyle name="40% - 强调文字颜色 6 6 7" xfId="20340" xr:uid="{00000000-0005-0000-0000-0000312A0000}"/>
    <cellStyle name="40% - 强调文字颜色 6 6 8" xfId="20345" xr:uid="{00000000-0005-0000-0000-0000322A0000}"/>
    <cellStyle name="40% - 强调文字颜色 6 6 9" xfId="20349" xr:uid="{00000000-0005-0000-0000-0000332A0000}"/>
    <cellStyle name="40% - 强调文字颜色 6 7" xfId="12662" xr:uid="{00000000-0005-0000-0000-0000342A0000}"/>
    <cellStyle name="40% - 强调文字颜色 6 8" xfId="12665" xr:uid="{00000000-0005-0000-0000-0000352A0000}"/>
    <cellStyle name="40% - 强调文字颜色 6 9" xfId="20350" xr:uid="{00000000-0005-0000-0000-0000362A0000}"/>
    <cellStyle name="40% - 輔色1" xfId="20353" xr:uid="{00000000-0005-0000-0000-0000372A0000}"/>
    <cellStyle name="40% - 輔色2" xfId="20354" xr:uid="{00000000-0005-0000-0000-0000382A0000}"/>
    <cellStyle name="40% - 輔色3" xfId="20355" xr:uid="{00000000-0005-0000-0000-0000392A0000}"/>
    <cellStyle name="40% - 輔色4" xfId="20356" xr:uid="{00000000-0005-0000-0000-00003A2A0000}"/>
    <cellStyle name="40% - 輔色5" xfId="27" xr:uid="{00000000-0005-0000-0000-00000E000000}"/>
    <cellStyle name="40% - 輔色5 2" xfId="38497" xr:uid="{00000000-0005-0000-0000-000002000000}"/>
    <cellStyle name="40% - 輔色6" xfId="28" xr:uid="{00000000-0005-0000-0000-00000F000000}"/>
    <cellStyle name="40% - 輔色6 2" xfId="38496" xr:uid="{00000000-0005-0000-0000-000003000000}"/>
    <cellStyle name="60% - Accent1 2" xfId="29" xr:uid="{00000000-0005-0000-0000-000010000000}"/>
    <cellStyle name="60% - Accent2 2" xfId="30" xr:uid="{00000000-0005-0000-0000-000011000000}"/>
    <cellStyle name="60% - Accent3 2" xfId="31" xr:uid="{00000000-0005-0000-0000-000012000000}"/>
    <cellStyle name="60% - Accent4 2" xfId="32" xr:uid="{00000000-0005-0000-0000-000013000000}"/>
    <cellStyle name="60% - Accent5 2" xfId="33" xr:uid="{00000000-0005-0000-0000-000014000000}"/>
    <cellStyle name="60% - Accent6 2" xfId="34" xr:uid="{00000000-0005-0000-0000-000015000000}"/>
    <cellStyle name="60% - 强调文字颜色 1 10" xfId="5420" xr:uid="{00000000-0005-0000-0000-00003D2A0000}"/>
    <cellStyle name="60% - 强调文字颜色 1 11" xfId="5433" xr:uid="{00000000-0005-0000-0000-00003E2A0000}"/>
    <cellStyle name="60% - 强调文字颜色 1 12" xfId="5447" xr:uid="{00000000-0005-0000-0000-00003F2A0000}"/>
    <cellStyle name="60% - 强调文字颜色 1 12 10" xfId="10421" xr:uid="{00000000-0005-0000-0000-0000402A0000}"/>
    <cellStyle name="60% - 强调文字颜色 1 12 11" xfId="18445" xr:uid="{00000000-0005-0000-0000-0000412A0000}"/>
    <cellStyle name="60% - 强调文字颜色 1 12 12" xfId="18448" xr:uid="{00000000-0005-0000-0000-0000422A0000}"/>
    <cellStyle name="60% - 强调文字颜色 1 12 13" xfId="18451" xr:uid="{00000000-0005-0000-0000-0000432A0000}"/>
    <cellStyle name="60% - 强调文字颜色 1 12 14" xfId="18455" xr:uid="{00000000-0005-0000-0000-0000442A0000}"/>
    <cellStyle name="60% - 强调文字颜色 1 12 2" xfId="14197" xr:uid="{00000000-0005-0000-0000-0000452A0000}"/>
    <cellStyle name="60% - 强调文字颜色 1 12 3" xfId="14211" xr:uid="{00000000-0005-0000-0000-0000462A0000}"/>
    <cellStyle name="60% - 强调文字颜色 1 12 4" xfId="14217" xr:uid="{00000000-0005-0000-0000-0000472A0000}"/>
    <cellStyle name="60% - 强调文字颜色 1 12 5" xfId="3744" xr:uid="{00000000-0005-0000-0000-0000482A0000}"/>
    <cellStyle name="60% - 强调文字颜色 1 12 5 10" xfId="4360" xr:uid="{00000000-0005-0000-0000-0000492A0000}"/>
    <cellStyle name="60% - 强调文字颜色 1 12 5 11" xfId="4368" xr:uid="{00000000-0005-0000-0000-00004A2A0000}"/>
    <cellStyle name="60% - 强调文字颜色 1 12 5 2" xfId="18432" xr:uid="{00000000-0005-0000-0000-00004B2A0000}"/>
    <cellStyle name="60% - 强调文字颜色 1 12 5 2 2" xfId="2724" xr:uid="{00000000-0005-0000-0000-00004C2A0000}"/>
    <cellStyle name="60% - 强调文字颜色 1 12 5 2 2 2" xfId="10650" xr:uid="{00000000-0005-0000-0000-00004D2A0000}"/>
    <cellStyle name="60% - 强调文字颜色 1 12 5 2 2 3" xfId="9189" xr:uid="{00000000-0005-0000-0000-00004E2A0000}"/>
    <cellStyle name="60% - 强调文字颜色 1 12 5 2 3" xfId="2745" xr:uid="{00000000-0005-0000-0000-00004F2A0000}"/>
    <cellStyle name="60% - 强调文字颜色 1 12 5 2 4" xfId="2753" xr:uid="{00000000-0005-0000-0000-0000502A0000}"/>
    <cellStyle name="60% - 强调文字颜色 1 12 5 2 5" xfId="20361" xr:uid="{00000000-0005-0000-0000-0000512A0000}"/>
    <cellStyle name="60% - 强调文字颜色 1 12 5 2 6" xfId="20366" xr:uid="{00000000-0005-0000-0000-0000522A0000}"/>
    <cellStyle name="60% - 强调文字颜色 1 12 5 2 7" xfId="20367" xr:uid="{00000000-0005-0000-0000-0000532A0000}"/>
    <cellStyle name="60% - 强调文字颜色 1 12 5 2 8" xfId="20368" xr:uid="{00000000-0005-0000-0000-0000542A0000}"/>
    <cellStyle name="60% - 强调文字颜色 1 12 5 3" xfId="18435" xr:uid="{00000000-0005-0000-0000-0000552A0000}"/>
    <cellStyle name="60% - 强调文字颜色 1 12 5 4" xfId="20369" xr:uid="{00000000-0005-0000-0000-0000562A0000}"/>
    <cellStyle name="60% - 强调文字颜色 1 12 5 5" xfId="20370" xr:uid="{00000000-0005-0000-0000-0000572A0000}"/>
    <cellStyle name="60% - 强调文字颜色 1 12 5 6" xfId="20371" xr:uid="{00000000-0005-0000-0000-0000582A0000}"/>
    <cellStyle name="60% - 强调文字颜色 1 12 5 6 2" xfId="11684" xr:uid="{00000000-0005-0000-0000-0000592A0000}"/>
    <cellStyle name="60% - 强调文字颜色 1 12 5 6 3" xfId="20373" xr:uid="{00000000-0005-0000-0000-00005A2A0000}"/>
    <cellStyle name="60% - 强调文字颜色 1 12 5 7" xfId="20374" xr:uid="{00000000-0005-0000-0000-00005B2A0000}"/>
    <cellStyle name="60% - 强调文字颜色 1 12 5 8" xfId="20375" xr:uid="{00000000-0005-0000-0000-00005C2A0000}"/>
    <cellStyle name="60% - 强调文字颜色 1 12 5 9" xfId="20376" xr:uid="{00000000-0005-0000-0000-00005D2A0000}"/>
    <cellStyle name="60% - 强调文字颜色 1 12 6" xfId="7144" xr:uid="{00000000-0005-0000-0000-00005E2A0000}"/>
    <cellStyle name="60% - 强调文字颜色 1 12 6 2" xfId="20380" xr:uid="{00000000-0005-0000-0000-00005F2A0000}"/>
    <cellStyle name="60% - 强调文字颜色 1 12 6 2 2" xfId="13310" xr:uid="{00000000-0005-0000-0000-0000602A0000}"/>
    <cellStyle name="60% - 强调文字颜色 1 12 6 2 3" xfId="13317" xr:uid="{00000000-0005-0000-0000-0000612A0000}"/>
    <cellStyle name="60% - 强调文字颜色 1 12 6 3" xfId="20383" xr:uid="{00000000-0005-0000-0000-0000622A0000}"/>
    <cellStyle name="60% - 强调文字颜色 1 12 6 4" xfId="20385" xr:uid="{00000000-0005-0000-0000-0000632A0000}"/>
    <cellStyle name="60% - 强调文字颜色 1 12 6 5" xfId="20388" xr:uid="{00000000-0005-0000-0000-0000642A0000}"/>
    <cellStyle name="60% - 强调文字颜色 1 12 6 6" xfId="20391" xr:uid="{00000000-0005-0000-0000-0000652A0000}"/>
    <cellStyle name="60% - 强调文字颜色 1 12 6 7" xfId="20394" xr:uid="{00000000-0005-0000-0000-0000662A0000}"/>
    <cellStyle name="60% - 强调文字颜色 1 12 6 8" xfId="20397" xr:uid="{00000000-0005-0000-0000-0000672A0000}"/>
    <cellStyle name="60% - 强调文字颜色 1 12 7" xfId="20400" xr:uid="{00000000-0005-0000-0000-0000682A0000}"/>
    <cellStyle name="60% - 强调文字颜色 1 12 8" xfId="7152" xr:uid="{00000000-0005-0000-0000-0000692A0000}"/>
    <cellStyle name="60% - 强调文字颜色 1 12 9" xfId="7158" xr:uid="{00000000-0005-0000-0000-00006A2A0000}"/>
    <cellStyle name="60% - 强调文字颜色 1 12 9 2" xfId="8479" xr:uid="{00000000-0005-0000-0000-00006B2A0000}"/>
    <cellStyle name="60% - 强调文字颜色 1 12 9 3" xfId="8485" xr:uid="{00000000-0005-0000-0000-00006C2A0000}"/>
    <cellStyle name="60% - 强调文字颜色 1 13" xfId="5463" xr:uid="{00000000-0005-0000-0000-00006D2A0000}"/>
    <cellStyle name="60% - 强调文字颜色 1 14" xfId="20401" xr:uid="{00000000-0005-0000-0000-00006E2A0000}"/>
    <cellStyle name="60% - 强调文字颜色 1 15" xfId="20403" xr:uid="{00000000-0005-0000-0000-00006F2A0000}"/>
    <cellStyle name="60% - 强调文字颜色 1 16" xfId="20405" xr:uid="{00000000-0005-0000-0000-0000702A0000}"/>
    <cellStyle name="60% - 强调文字颜色 1 16 10" xfId="15440" xr:uid="{00000000-0005-0000-0000-0000712A0000}"/>
    <cellStyle name="60% - 强调文字颜色 1 16 11" xfId="15443" xr:uid="{00000000-0005-0000-0000-0000722A0000}"/>
    <cellStyle name="60% - 强调文字颜色 1 16 12" xfId="15445" xr:uid="{00000000-0005-0000-0000-0000732A0000}"/>
    <cellStyle name="60% - 强调文字颜色 1 16 13" xfId="15466" xr:uid="{00000000-0005-0000-0000-0000742A0000}"/>
    <cellStyle name="60% - 强调文字颜色 1 16 14" xfId="15491" xr:uid="{00000000-0005-0000-0000-0000752A0000}"/>
    <cellStyle name="60% - 强调文字颜色 1 16 2" xfId="15576" xr:uid="{00000000-0005-0000-0000-0000762A0000}"/>
    <cellStyle name="60% - 强调文字颜色 1 16 3" xfId="15579" xr:uid="{00000000-0005-0000-0000-0000772A0000}"/>
    <cellStyle name="60% - 强调文字颜色 1 16 4" xfId="15584" xr:uid="{00000000-0005-0000-0000-0000782A0000}"/>
    <cellStyle name="60% - 强调文字颜色 1 16 5" xfId="15587" xr:uid="{00000000-0005-0000-0000-0000792A0000}"/>
    <cellStyle name="60% - 强调文字颜色 1 16 5 10" xfId="20407" xr:uid="{00000000-0005-0000-0000-00007A2A0000}"/>
    <cellStyle name="60% - 强调文字颜色 1 16 5 11" xfId="20408" xr:uid="{00000000-0005-0000-0000-00007B2A0000}"/>
    <cellStyle name="60% - 强调文字颜色 1 16 5 2" xfId="20411" xr:uid="{00000000-0005-0000-0000-00007C2A0000}"/>
    <cellStyle name="60% - 强调文字颜色 1 16 5 2 2" xfId="20248" xr:uid="{00000000-0005-0000-0000-00007D2A0000}"/>
    <cellStyle name="60% - 强调文字颜色 1 16 5 2 2 2" xfId="7069" xr:uid="{00000000-0005-0000-0000-00007E2A0000}"/>
    <cellStyle name="60% - 强调文字颜色 1 16 5 2 2 3" xfId="7073" xr:uid="{00000000-0005-0000-0000-00007F2A0000}"/>
    <cellStyle name="60% - 强调文字颜色 1 16 5 2 3" xfId="2450" xr:uid="{00000000-0005-0000-0000-0000802A0000}"/>
    <cellStyle name="60% - 强调文字颜色 1 16 5 2 4" xfId="3522" xr:uid="{00000000-0005-0000-0000-0000812A0000}"/>
    <cellStyle name="60% - 强调文字颜色 1 16 5 2 5" xfId="20414" xr:uid="{00000000-0005-0000-0000-0000822A0000}"/>
    <cellStyle name="60% - 强调文字颜色 1 16 5 2 6" xfId="20417" xr:uid="{00000000-0005-0000-0000-0000832A0000}"/>
    <cellStyle name="60% - 强调文字颜色 1 16 5 2 7" xfId="20420" xr:uid="{00000000-0005-0000-0000-0000842A0000}"/>
    <cellStyle name="60% - 强调文字颜色 1 16 5 2 8" xfId="20423" xr:uid="{00000000-0005-0000-0000-0000852A0000}"/>
    <cellStyle name="60% - 强调文字颜色 1 16 5 3" xfId="20426" xr:uid="{00000000-0005-0000-0000-0000862A0000}"/>
    <cellStyle name="60% - 强调文字颜色 1 16 5 4" xfId="20428" xr:uid="{00000000-0005-0000-0000-0000872A0000}"/>
    <cellStyle name="60% - 强调文字颜色 1 16 5 5" xfId="17122" xr:uid="{00000000-0005-0000-0000-0000882A0000}"/>
    <cellStyle name="60% - 强调文字颜色 1 16 5 6" xfId="17126" xr:uid="{00000000-0005-0000-0000-0000892A0000}"/>
    <cellStyle name="60% - 强调文字颜色 1 16 5 6 2" xfId="20429" xr:uid="{00000000-0005-0000-0000-00008A2A0000}"/>
    <cellStyle name="60% - 强调文字颜色 1 16 5 6 3" xfId="20430" xr:uid="{00000000-0005-0000-0000-00008B2A0000}"/>
    <cellStyle name="60% - 强调文字颜色 1 16 5 7" xfId="20432" xr:uid="{00000000-0005-0000-0000-00008C2A0000}"/>
    <cellStyle name="60% - 强调文字颜色 1 16 5 8" xfId="20435" xr:uid="{00000000-0005-0000-0000-00008D2A0000}"/>
    <cellStyle name="60% - 强调文字颜色 1 16 5 9" xfId="20437" xr:uid="{00000000-0005-0000-0000-00008E2A0000}"/>
    <cellStyle name="60% - 强调文字颜色 1 16 6" xfId="15590" xr:uid="{00000000-0005-0000-0000-00008F2A0000}"/>
    <cellStyle name="60% - 强调文字颜色 1 16 6 2" xfId="20441" xr:uid="{00000000-0005-0000-0000-0000902A0000}"/>
    <cellStyle name="60% - 强调文字颜色 1 16 6 2 2" xfId="20442" xr:uid="{00000000-0005-0000-0000-0000912A0000}"/>
    <cellStyle name="60% - 强调文字颜色 1 16 6 2 3" xfId="20443" xr:uid="{00000000-0005-0000-0000-0000922A0000}"/>
    <cellStyle name="60% - 强调文字颜色 1 16 6 3" xfId="20446" xr:uid="{00000000-0005-0000-0000-0000932A0000}"/>
    <cellStyle name="60% - 强调文字颜色 1 16 6 4" xfId="20447" xr:uid="{00000000-0005-0000-0000-0000942A0000}"/>
    <cellStyle name="60% - 强调文字颜色 1 16 6 5" xfId="2349" xr:uid="{00000000-0005-0000-0000-0000952A0000}"/>
    <cellStyle name="60% - 强调文字颜色 1 16 6 6" xfId="13299" xr:uid="{00000000-0005-0000-0000-0000962A0000}"/>
    <cellStyle name="60% - 强调文字颜色 1 16 6 7" xfId="13306" xr:uid="{00000000-0005-0000-0000-0000972A0000}"/>
    <cellStyle name="60% - 强调文字颜色 1 16 6 8" xfId="19469" xr:uid="{00000000-0005-0000-0000-0000982A0000}"/>
    <cellStyle name="60% - 强调文字颜色 1 16 7" xfId="15594" xr:uid="{00000000-0005-0000-0000-0000992A0000}"/>
    <cellStyle name="60% - 强调文字颜色 1 16 8" xfId="15598" xr:uid="{00000000-0005-0000-0000-00009A2A0000}"/>
    <cellStyle name="60% - 强调文字颜色 1 16 9" xfId="16571" xr:uid="{00000000-0005-0000-0000-00009B2A0000}"/>
    <cellStyle name="60% - 强调文字颜色 1 16 9 2" xfId="20453" xr:uid="{00000000-0005-0000-0000-00009C2A0000}"/>
    <cellStyle name="60% - 强调文字颜色 1 16 9 3" xfId="20455" xr:uid="{00000000-0005-0000-0000-00009D2A0000}"/>
    <cellStyle name="60% - 强调文字颜色 1 17" xfId="20456" xr:uid="{00000000-0005-0000-0000-00009E2A0000}"/>
    <cellStyle name="60% - 强调文字颜色 1 17 10" xfId="18465" xr:uid="{00000000-0005-0000-0000-00009F2A0000}"/>
    <cellStyle name="60% - 强调文字颜色 1 17 11" xfId="16834" xr:uid="{00000000-0005-0000-0000-0000A02A0000}"/>
    <cellStyle name="60% - 强调文字颜色 1 17 12" xfId="16844" xr:uid="{00000000-0005-0000-0000-0000A12A0000}"/>
    <cellStyle name="60% - 强调文字颜色 1 17 13" xfId="20461" xr:uid="{00000000-0005-0000-0000-0000A22A0000}"/>
    <cellStyle name="60% - 强调文字颜色 1 17 14" xfId="20463" xr:uid="{00000000-0005-0000-0000-0000A32A0000}"/>
    <cellStyle name="60% - 强调文字颜色 1 17 2" xfId="15605" xr:uid="{00000000-0005-0000-0000-0000A42A0000}"/>
    <cellStyle name="60% - 强调文字颜色 1 17 3" xfId="15609" xr:uid="{00000000-0005-0000-0000-0000A52A0000}"/>
    <cellStyle name="60% - 强调文字颜色 1 17 4" xfId="15614" xr:uid="{00000000-0005-0000-0000-0000A62A0000}"/>
    <cellStyle name="60% - 强调文字颜色 1 17 5" xfId="2631" xr:uid="{00000000-0005-0000-0000-0000A72A0000}"/>
    <cellStyle name="60% - 强调文字颜色 1 17 5 10" xfId="7169" xr:uid="{00000000-0005-0000-0000-0000A82A0000}"/>
    <cellStyle name="60% - 强调文字颜色 1 17 5 11" xfId="7174" xr:uid="{00000000-0005-0000-0000-0000A92A0000}"/>
    <cellStyle name="60% - 强调文字颜色 1 17 5 2" xfId="20465" xr:uid="{00000000-0005-0000-0000-0000AA2A0000}"/>
    <cellStyle name="60% - 强调文字颜色 1 17 5 2 2" xfId="20466" xr:uid="{00000000-0005-0000-0000-0000AB2A0000}"/>
    <cellStyle name="60% - 强调文字颜色 1 17 5 2 2 2" xfId="20467" xr:uid="{00000000-0005-0000-0000-0000AC2A0000}"/>
    <cellStyle name="60% - 强调文字颜色 1 17 5 2 2 3" xfId="3408" xr:uid="{00000000-0005-0000-0000-0000AD2A0000}"/>
    <cellStyle name="60% - 强调文字颜色 1 17 5 2 3" xfId="20470" xr:uid="{00000000-0005-0000-0000-0000AE2A0000}"/>
    <cellStyle name="60% - 强调文字颜色 1 17 5 2 4" xfId="10416" xr:uid="{00000000-0005-0000-0000-0000AF2A0000}"/>
    <cellStyle name="60% - 强调文字颜色 1 17 5 2 5" xfId="10430" xr:uid="{00000000-0005-0000-0000-0000B02A0000}"/>
    <cellStyle name="60% - 强调文字颜色 1 17 5 2 6" xfId="10436" xr:uid="{00000000-0005-0000-0000-0000B12A0000}"/>
    <cellStyle name="60% - 强调文字颜色 1 17 5 2 7" xfId="10442" xr:uid="{00000000-0005-0000-0000-0000B22A0000}"/>
    <cellStyle name="60% - 强调文字颜色 1 17 5 2 8" xfId="10445" xr:uid="{00000000-0005-0000-0000-0000B32A0000}"/>
    <cellStyle name="60% - 强调文字颜色 1 17 5 3" xfId="20472" xr:uid="{00000000-0005-0000-0000-0000B42A0000}"/>
    <cellStyle name="60% - 强调文字颜色 1 17 5 4" xfId="20473" xr:uid="{00000000-0005-0000-0000-0000B52A0000}"/>
    <cellStyle name="60% - 强调文字颜色 1 17 5 5" xfId="20475" xr:uid="{00000000-0005-0000-0000-0000B62A0000}"/>
    <cellStyle name="60% - 强调文字颜色 1 17 5 6" xfId="20477" xr:uid="{00000000-0005-0000-0000-0000B72A0000}"/>
    <cellStyle name="60% - 强调文字颜色 1 17 5 6 2" xfId="20479" xr:uid="{00000000-0005-0000-0000-0000B82A0000}"/>
    <cellStyle name="60% - 强调文字颜色 1 17 5 6 3" xfId="20480" xr:uid="{00000000-0005-0000-0000-0000B92A0000}"/>
    <cellStyle name="60% - 强调文字颜色 1 17 5 7" xfId="20481" xr:uid="{00000000-0005-0000-0000-0000BA2A0000}"/>
    <cellStyle name="60% - 强调文字颜色 1 17 5 8" xfId="20483" xr:uid="{00000000-0005-0000-0000-0000BB2A0000}"/>
    <cellStyle name="60% - 强调文字颜色 1 17 5 9" xfId="20486" xr:uid="{00000000-0005-0000-0000-0000BC2A0000}"/>
    <cellStyle name="60% - 强调文字颜色 1 17 6" xfId="9726" xr:uid="{00000000-0005-0000-0000-0000BD2A0000}"/>
    <cellStyle name="60% - 强调文字颜色 1 17 6 2" xfId="20489" xr:uid="{00000000-0005-0000-0000-0000BE2A0000}"/>
    <cellStyle name="60% - 强调文字颜色 1 17 6 2 2" xfId="20493" xr:uid="{00000000-0005-0000-0000-0000BF2A0000}"/>
    <cellStyle name="60% - 强调文字颜色 1 17 6 2 3" xfId="20495" xr:uid="{00000000-0005-0000-0000-0000C02A0000}"/>
    <cellStyle name="60% - 强调文字颜色 1 17 6 3" xfId="20496" xr:uid="{00000000-0005-0000-0000-0000C12A0000}"/>
    <cellStyle name="60% - 强调文字颜色 1 17 6 4" xfId="20498" xr:uid="{00000000-0005-0000-0000-0000C22A0000}"/>
    <cellStyle name="60% - 强调文字颜色 1 17 6 5" xfId="20500" xr:uid="{00000000-0005-0000-0000-0000C32A0000}"/>
    <cellStyle name="60% - 强调文字颜色 1 17 6 6" xfId="20502" xr:uid="{00000000-0005-0000-0000-0000C42A0000}"/>
    <cellStyle name="60% - 强调文字颜色 1 17 6 7" xfId="16856" xr:uid="{00000000-0005-0000-0000-0000C52A0000}"/>
    <cellStyle name="60% - 强调文字颜色 1 17 6 8" xfId="11775" xr:uid="{00000000-0005-0000-0000-0000C62A0000}"/>
    <cellStyle name="60% - 强调文字颜色 1 17 7" xfId="15620" xr:uid="{00000000-0005-0000-0000-0000C72A0000}"/>
    <cellStyle name="60% - 强调文字颜色 1 17 8" xfId="15624" xr:uid="{00000000-0005-0000-0000-0000C82A0000}"/>
    <cellStyle name="60% - 强调文字颜色 1 17 9" xfId="20504" xr:uid="{00000000-0005-0000-0000-0000C92A0000}"/>
    <cellStyle name="60% - 强调文字颜色 1 17 9 2" xfId="8683" xr:uid="{00000000-0005-0000-0000-0000CA2A0000}"/>
    <cellStyle name="60% - 强调文字颜色 1 17 9 3" xfId="8685" xr:uid="{00000000-0005-0000-0000-0000CB2A0000}"/>
    <cellStyle name="60% - 强调文字颜色 1 18" xfId="20506" xr:uid="{00000000-0005-0000-0000-0000CC2A0000}"/>
    <cellStyle name="60% - 强调文字颜色 1 18 10" xfId="20508" xr:uid="{00000000-0005-0000-0000-0000CD2A0000}"/>
    <cellStyle name="60% - 强调文字颜色 1 18 11" xfId="20510" xr:uid="{00000000-0005-0000-0000-0000CE2A0000}"/>
    <cellStyle name="60% - 强调文字颜色 1 18 12" xfId="20513" xr:uid="{00000000-0005-0000-0000-0000CF2A0000}"/>
    <cellStyle name="60% - 强调文字颜色 1 18 13" xfId="20515" xr:uid="{00000000-0005-0000-0000-0000D02A0000}"/>
    <cellStyle name="60% - 强调文字颜色 1 18 14" xfId="20517" xr:uid="{00000000-0005-0000-0000-0000D12A0000}"/>
    <cellStyle name="60% - 强调文字颜色 1 18 2" xfId="15635" xr:uid="{00000000-0005-0000-0000-0000D22A0000}"/>
    <cellStyle name="60% - 强调文字颜色 1 18 3" xfId="15640" xr:uid="{00000000-0005-0000-0000-0000D32A0000}"/>
    <cellStyle name="60% - 强调文字颜色 1 18 4" xfId="15645" xr:uid="{00000000-0005-0000-0000-0000D42A0000}"/>
    <cellStyle name="60% - 强调文字颜色 1 18 5" xfId="15651" xr:uid="{00000000-0005-0000-0000-0000D52A0000}"/>
    <cellStyle name="60% - 强调文字颜色 1 18 5 10" xfId="9222" xr:uid="{00000000-0005-0000-0000-0000D62A0000}"/>
    <cellStyle name="60% - 强调文字颜色 1 18 5 11" xfId="9227" xr:uid="{00000000-0005-0000-0000-0000D72A0000}"/>
    <cellStyle name="60% - 强调文字颜色 1 18 5 2" xfId="20519" xr:uid="{00000000-0005-0000-0000-0000D82A0000}"/>
    <cellStyle name="60% - 强调文字颜色 1 18 5 2 2" xfId="20106" xr:uid="{00000000-0005-0000-0000-0000D92A0000}"/>
    <cellStyle name="60% - 强调文字颜色 1 18 5 2 2 2" xfId="20520" xr:uid="{00000000-0005-0000-0000-0000DA2A0000}"/>
    <cellStyle name="60% - 强调文字颜色 1 18 5 2 2 3" xfId="20523" xr:uid="{00000000-0005-0000-0000-0000DB2A0000}"/>
    <cellStyle name="60% - 强调文字颜色 1 18 5 2 3" xfId="3071" xr:uid="{00000000-0005-0000-0000-0000DC2A0000}"/>
    <cellStyle name="60% - 强调文字颜色 1 18 5 2 4" xfId="3082" xr:uid="{00000000-0005-0000-0000-0000DD2A0000}"/>
    <cellStyle name="60% - 强调文字颜色 1 18 5 2 5" xfId="10553" xr:uid="{00000000-0005-0000-0000-0000DE2A0000}"/>
    <cellStyle name="60% - 强调文字颜色 1 18 5 2 6" xfId="10555" xr:uid="{00000000-0005-0000-0000-0000DF2A0000}"/>
    <cellStyle name="60% - 强调文字颜色 1 18 5 2 7" xfId="10557" xr:uid="{00000000-0005-0000-0000-0000E02A0000}"/>
    <cellStyle name="60% - 强调文字颜色 1 18 5 2 8" xfId="10559" xr:uid="{00000000-0005-0000-0000-0000E12A0000}"/>
    <cellStyle name="60% - 强调文字颜色 1 18 5 3" xfId="20525" xr:uid="{00000000-0005-0000-0000-0000E22A0000}"/>
    <cellStyle name="60% - 强调文字颜色 1 18 5 4" xfId="15782" xr:uid="{00000000-0005-0000-0000-0000E32A0000}"/>
    <cellStyle name="60% - 强调文字颜色 1 18 5 5" xfId="15788" xr:uid="{00000000-0005-0000-0000-0000E42A0000}"/>
    <cellStyle name="60% - 强调文字颜色 1 18 5 6" xfId="15790" xr:uid="{00000000-0005-0000-0000-0000E52A0000}"/>
    <cellStyle name="60% - 强调文字颜色 1 18 5 6 2" xfId="18294" xr:uid="{00000000-0005-0000-0000-0000E62A0000}"/>
    <cellStyle name="60% - 强调文字颜色 1 18 5 6 3" xfId="18296" xr:uid="{00000000-0005-0000-0000-0000E72A0000}"/>
    <cellStyle name="60% - 强调文字颜色 1 18 5 7" xfId="15793" xr:uid="{00000000-0005-0000-0000-0000E82A0000}"/>
    <cellStyle name="60% - 强调文字颜色 1 18 5 8" xfId="15796" xr:uid="{00000000-0005-0000-0000-0000E92A0000}"/>
    <cellStyle name="60% - 强调文字颜色 1 18 5 9" xfId="15798" xr:uid="{00000000-0005-0000-0000-0000EA2A0000}"/>
    <cellStyle name="60% - 强调文字颜色 1 18 6" xfId="15656" xr:uid="{00000000-0005-0000-0000-0000EB2A0000}"/>
    <cellStyle name="60% - 强调文字颜色 1 18 6 2" xfId="20527" xr:uid="{00000000-0005-0000-0000-0000EC2A0000}"/>
    <cellStyle name="60% - 强调文字颜色 1 18 6 2 2" xfId="14718" xr:uid="{00000000-0005-0000-0000-0000ED2A0000}"/>
    <cellStyle name="60% - 强调文字颜色 1 18 6 2 3" xfId="14721" xr:uid="{00000000-0005-0000-0000-0000EE2A0000}"/>
    <cellStyle name="60% - 强调文字颜色 1 18 6 3" xfId="20530" xr:uid="{00000000-0005-0000-0000-0000EF2A0000}"/>
    <cellStyle name="60% - 强调文字颜色 1 18 6 4" xfId="20533" xr:uid="{00000000-0005-0000-0000-0000F02A0000}"/>
    <cellStyle name="60% - 强调文字颜色 1 18 6 5" xfId="20536" xr:uid="{00000000-0005-0000-0000-0000F12A0000}"/>
    <cellStyle name="60% - 强调文字颜色 1 18 6 6" xfId="20539" xr:uid="{00000000-0005-0000-0000-0000F22A0000}"/>
    <cellStyle name="60% - 强调文字颜色 1 18 6 7" xfId="20542" xr:uid="{00000000-0005-0000-0000-0000F32A0000}"/>
    <cellStyle name="60% - 强调文字颜色 1 18 6 8" xfId="16846" xr:uid="{00000000-0005-0000-0000-0000F42A0000}"/>
    <cellStyle name="60% - 强调文字颜色 1 18 7" xfId="10878" xr:uid="{00000000-0005-0000-0000-0000F52A0000}"/>
    <cellStyle name="60% - 强调文字颜色 1 18 8" xfId="10888" xr:uid="{00000000-0005-0000-0000-0000F62A0000}"/>
    <cellStyle name="60% - 强调文字颜色 1 18 9" xfId="20546" xr:uid="{00000000-0005-0000-0000-0000F72A0000}"/>
    <cellStyle name="60% - 强调文字颜色 1 18 9 2" xfId="20547" xr:uid="{00000000-0005-0000-0000-0000F82A0000}"/>
    <cellStyle name="60% - 强调文字颜色 1 18 9 3" xfId="20548" xr:uid="{00000000-0005-0000-0000-0000F92A0000}"/>
    <cellStyle name="60% - 强调文字颜色 1 19" xfId="20549" xr:uid="{00000000-0005-0000-0000-0000FA2A0000}"/>
    <cellStyle name="60% - 强调文字颜色 1 2" xfId="9870" xr:uid="{00000000-0005-0000-0000-0000FB2A0000}"/>
    <cellStyle name="60% - 强调文字颜色 1 2 10" xfId="20553" xr:uid="{00000000-0005-0000-0000-0000FC2A0000}"/>
    <cellStyle name="60% - 强调文字颜色 1 2 11" xfId="20554" xr:uid="{00000000-0005-0000-0000-0000FD2A0000}"/>
    <cellStyle name="60% - 强调文字颜色 1 2 12" xfId="20556" xr:uid="{00000000-0005-0000-0000-0000FE2A0000}"/>
    <cellStyle name="60% - 强调文字颜色 1 2 13" xfId="20558" xr:uid="{00000000-0005-0000-0000-0000FF2A0000}"/>
    <cellStyle name="60% - 强调文字颜色 1 2 14" xfId="20560" xr:uid="{00000000-0005-0000-0000-0000002B0000}"/>
    <cellStyle name="60% - 强调文字颜色 1 2 15" xfId="20563" xr:uid="{00000000-0005-0000-0000-0000012B0000}"/>
    <cellStyle name="60% - 强调文字颜色 1 2 16" xfId="20567" xr:uid="{00000000-0005-0000-0000-0000022B0000}"/>
    <cellStyle name="60% - 强调文字颜色 1 2 17" xfId="20571" xr:uid="{00000000-0005-0000-0000-0000032B0000}"/>
    <cellStyle name="60% - 强调文字颜色 1 2 17 10" xfId="20573" xr:uid="{00000000-0005-0000-0000-0000042B0000}"/>
    <cellStyle name="60% - 强调文字颜色 1 2 17 11" xfId="20575" xr:uid="{00000000-0005-0000-0000-0000052B0000}"/>
    <cellStyle name="60% - 强调文字颜色 1 2 17 12" xfId="20577" xr:uid="{00000000-0005-0000-0000-0000062B0000}"/>
    <cellStyle name="60% - 强调文字颜色 1 2 17 13" xfId="20579" xr:uid="{00000000-0005-0000-0000-0000072B0000}"/>
    <cellStyle name="60% - 强调文字颜色 1 2 17 14" xfId="20581" xr:uid="{00000000-0005-0000-0000-0000082B0000}"/>
    <cellStyle name="60% - 强调文字颜色 1 2 17 2" xfId="20582" xr:uid="{00000000-0005-0000-0000-0000092B0000}"/>
    <cellStyle name="60% - 强调文字颜色 1 2 17 3" xfId="20583" xr:uid="{00000000-0005-0000-0000-00000A2B0000}"/>
    <cellStyle name="60% - 强调文字颜色 1 2 17 4" xfId="20584" xr:uid="{00000000-0005-0000-0000-00000B2B0000}"/>
    <cellStyle name="60% - 强调文字颜色 1 2 17 5" xfId="20585" xr:uid="{00000000-0005-0000-0000-00000C2B0000}"/>
    <cellStyle name="60% - 强调文字颜色 1 2 17 5 10" xfId="4810" xr:uid="{00000000-0005-0000-0000-00000D2B0000}"/>
    <cellStyle name="60% - 强调文字颜色 1 2 17 5 11" xfId="8937" xr:uid="{00000000-0005-0000-0000-00000E2B0000}"/>
    <cellStyle name="60% - 强调文字颜色 1 2 17 5 2" xfId="3532" xr:uid="{00000000-0005-0000-0000-00000F2B0000}"/>
    <cellStyle name="60% - 强调文字颜色 1 2 17 5 2 2" xfId="16123" xr:uid="{00000000-0005-0000-0000-0000102B0000}"/>
    <cellStyle name="60% - 强调文字颜色 1 2 17 5 2 2 2" xfId="20586" xr:uid="{00000000-0005-0000-0000-0000112B0000}"/>
    <cellStyle name="60% - 强调文字颜色 1 2 17 5 2 2 3" xfId="20587" xr:uid="{00000000-0005-0000-0000-0000122B0000}"/>
    <cellStyle name="60% - 强调文字颜色 1 2 17 5 2 3" xfId="14138" xr:uid="{00000000-0005-0000-0000-0000132B0000}"/>
    <cellStyle name="60% - 强调文字颜色 1 2 17 5 2 4" xfId="14145" xr:uid="{00000000-0005-0000-0000-0000142B0000}"/>
    <cellStyle name="60% - 强调文字颜色 1 2 17 5 2 5" xfId="14149" xr:uid="{00000000-0005-0000-0000-0000152B0000}"/>
    <cellStyle name="60% - 强调文字颜色 1 2 17 5 2 6" xfId="3576" xr:uid="{00000000-0005-0000-0000-0000162B0000}"/>
    <cellStyle name="60% - 强调文字颜色 1 2 17 5 2 7" xfId="3580" xr:uid="{00000000-0005-0000-0000-0000172B0000}"/>
    <cellStyle name="60% - 强调文字颜色 1 2 17 5 2 8" xfId="20588" xr:uid="{00000000-0005-0000-0000-0000182B0000}"/>
    <cellStyle name="60% - 强调文字颜色 1 2 17 5 3" xfId="3538" xr:uid="{00000000-0005-0000-0000-0000192B0000}"/>
    <cellStyle name="60% - 强调文字颜色 1 2 17 5 4" xfId="20589" xr:uid="{00000000-0005-0000-0000-00001A2B0000}"/>
    <cellStyle name="60% - 强调文字颜色 1 2 17 5 5" xfId="20592" xr:uid="{00000000-0005-0000-0000-00001B2B0000}"/>
    <cellStyle name="60% - 强调文字颜色 1 2 17 5 6" xfId="20593" xr:uid="{00000000-0005-0000-0000-00001C2B0000}"/>
    <cellStyle name="60% - 强调文字颜色 1 2 17 5 6 2" xfId="20595" xr:uid="{00000000-0005-0000-0000-00001D2B0000}"/>
    <cellStyle name="60% - 强调文字颜色 1 2 17 5 6 3" xfId="20597" xr:uid="{00000000-0005-0000-0000-00001E2B0000}"/>
    <cellStyle name="60% - 强调文字颜色 1 2 17 5 7" xfId="20599" xr:uid="{00000000-0005-0000-0000-00001F2B0000}"/>
    <cellStyle name="60% - 强调文字颜色 1 2 17 5 8" xfId="20600" xr:uid="{00000000-0005-0000-0000-0000202B0000}"/>
    <cellStyle name="60% - 强调文字颜色 1 2 17 5 9" xfId="20601" xr:uid="{00000000-0005-0000-0000-0000212B0000}"/>
    <cellStyle name="60% - 强调文字颜色 1 2 17 6" xfId="20602" xr:uid="{00000000-0005-0000-0000-0000222B0000}"/>
    <cellStyle name="60% - 强调文字颜色 1 2 17 6 2" xfId="20604" xr:uid="{00000000-0005-0000-0000-0000232B0000}"/>
    <cellStyle name="60% - 强调文字颜色 1 2 17 6 2 2" xfId="16157" xr:uid="{00000000-0005-0000-0000-0000242B0000}"/>
    <cellStyle name="60% - 强调文字颜色 1 2 17 6 2 3" xfId="14196" xr:uid="{00000000-0005-0000-0000-0000252B0000}"/>
    <cellStyle name="60% - 强调文字颜色 1 2 17 6 3" xfId="20607" xr:uid="{00000000-0005-0000-0000-0000262B0000}"/>
    <cellStyle name="60% - 强调文字颜色 1 2 17 6 4" xfId="15001" xr:uid="{00000000-0005-0000-0000-0000272B0000}"/>
    <cellStyle name="60% - 强调文字颜色 1 2 17 6 5" xfId="15174" xr:uid="{00000000-0005-0000-0000-0000282B0000}"/>
    <cellStyle name="60% - 强调文字颜色 1 2 17 6 6" xfId="7874" xr:uid="{00000000-0005-0000-0000-0000292B0000}"/>
    <cellStyle name="60% - 强调文字颜色 1 2 17 6 7" xfId="7881" xr:uid="{00000000-0005-0000-0000-00002A2B0000}"/>
    <cellStyle name="60% - 强调文字颜色 1 2 17 6 8" xfId="15627" xr:uid="{00000000-0005-0000-0000-00002B2B0000}"/>
    <cellStyle name="60% - 强调文字颜色 1 2 17 7" xfId="20610" xr:uid="{00000000-0005-0000-0000-00002C2B0000}"/>
    <cellStyle name="60% - 强调文字颜色 1 2 17 8" xfId="20612" xr:uid="{00000000-0005-0000-0000-00002D2B0000}"/>
    <cellStyle name="60% - 强调文字颜色 1 2 17 9" xfId="20614" xr:uid="{00000000-0005-0000-0000-00002E2B0000}"/>
    <cellStyle name="60% - 强调文字颜色 1 2 17 9 2" xfId="5316" xr:uid="{00000000-0005-0000-0000-00002F2B0000}"/>
    <cellStyle name="60% - 强调文字颜色 1 2 17 9 3" xfId="7443" xr:uid="{00000000-0005-0000-0000-0000302B0000}"/>
    <cellStyle name="60% - 强调文字颜色 1 2 18" xfId="20616" xr:uid="{00000000-0005-0000-0000-0000312B0000}"/>
    <cellStyle name="60% - 强调文字颜色 1 2 18 10" xfId="14772" xr:uid="{00000000-0005-0000-0000-0000322B0000}"/>
    <cellStyle name="60% - 强调文字颜色 1 2 18 11" xfId="20620" xr:uid="{00000000-0005-0000-0000-0000332B0000}"/>
    <cellStyle name="60% - 强调文字颜色 1 2 18 12" xfId="20623" xr:uid="{00000000-0005-0000-0000-0000342B0000}"/>
    <cellStyle name="60% - 强调文字颜色 1 2 18 13" xfId="20626" xr:uid="{00000000-0005-0000-0000-0000352B0000}"/>
    <cellStyle name="60% - 强调文字颜色 1 2 18 14" xfId="20630" xr:uid="{00000000-0005-0000-0000-0000362B0000}"/>
    <cellStyle name="60% - 强调文字颜色 1 2 18 2" xfId="20632" xr:uid="{00000000-0005-0000-0000-0000372B0000}"/>
    <cellStyle name="60% - 强调文字颜色 1 2 18 3" xfId="20633" xr:uid="{00000000-0005-0000-0000-0000382B0000}"/>
    <cellStyle name="60% - 强调文字颜色 1 2 18 4" xfId="20634" xr:uid="{00000000-0005-0000-0000-0000392B0000}"/>
    <cellStyle name="60% - 强调文字颜色 1 2 18 5" xfId="20635" xr:uid="{00000000-0005-0000-0000-00003A2B0000}"/>
    <cellStyle name="60% - 强调文字颜色 1 2 18 5 10" xfId="20636" xr:uid="{00000000-0005-0000-0000-00003B2B0000}"/>
    <cellStyle name="60% - 强调文字颜色 1 2 18 5 11" xfId="20637" xr:uid="{00000000-0005-0000-0000-00003C2B0000}"/>
    <cellStyle name="60% - 强调文字颜色 1 2 18 5 2" xfId="20638" xr:uid="{00000000-0005-0000-0000-00003D2B0000}"/>
    <cellStyle name="60% - 强调文字颜色 1 2 18 5 2 2" xfId="20640" xr:uid="{00000000-0005-0000-0000-00003E2B0000}"/>
    <cellStyle name="60% - 强调文字颜色 1 2 18 5 2 2 2" xfId="16616" xr:uid="{00000000-0005-0000-0000-00003F2B0000}"/>
    <cellStyle name="60% - 强调文字颜色 1 2 18 5 2 2 3" xfId="20642" xr:uid="{00000000-0005-0000-0000-0000402B0000}"/>
    <cellStyle name="60% - 强调文字颜色 1 2 18 5 2 3" xfId="20643" xr:uid="{00000000-0005-0000-0000-0000412B0000}"/>
    <cellStyle name="60% - 强调文字颜色 1 2 18 5 2 4" xfId="20644" xr:uid="{00000000-0005-0000-0000-0000422B0000}"/>
    <cellStyle name="60% - 强调文字颜色 1 2 18 5 2 5" xfId="20645" xr:uid="{00000000-0005-0000-0000-0000432B0000}"/>
    <cellStyle name="60% - 强调文字颜色 1 2 18 5 2 6" xfId="20646" xr:uid="{00000000-0005-0000-0000-0000442B0000}"/>
    <cellStyle name="60% - 强调文字颜色 1 2 18 5 2 7" xfId="20648" xr:uid="{00000000-0005-0000-0000-0000452B0000}"/>
    <cellStyle name="60% - 强调文字颜色 1 2 18 5 2 8" xfId="20650" xr:uid="{00000000-0005-0000-0000-0000462B0000}"/>
    <cellStyle name="60% - 强调文字颜色 1 2 18 5 3" xfId="20651" xr:uid="{00000000-0005-0000-0000-0000472B0000}"/>
    <cellStyle name="60% - 强调文字颜色 1 2 18 5 4" xfId="20653" xr:uid="{00000000-0005-0000-0000-0000482B0000}"/>
    <cellStyle name="60% - 强调文字颜色 1 2 18 5 5" xfId="20655" xr:uid="{00000000-0005-0000-0000-0000492B0000}"/>
    <cellStyle name="60% - 强调文字颜色 1 2 18 5 6" xfId="19196" xr:uid="{00000000-0005-0000-0000-00004A2B0000}"/>
    <cellStyle name="60% - 强调文字颜色 1 2 18 5 6 2" xfId="19198" xr:uid="{00000000-0005-0000-0000-00004B2B0000}"/>
    <cellStyle name="60% - 强调文字颜色 1 2 18 5 6 3" xfId="19202" xr:uid="{00000000-0005-0000-0000-00004C2B0000}"/>
    <cellStyle name="60% - 强调文字颜色 1 2 18 5 7" xfId="19205" xr:uid="{00000000-0005-0000-0000-00004D2B0000}"/>
    <cellStyle name="60% - 强调文字颜色 1 2 18 5 8" xfId="19208" xr:uid="{00000000-0005-0000-0000-00004E2B0000}"/>
    <cellStyle name="60% - 强调文字颜色 1 2 18 5 9" xfId="19211" xr:uid="{00000000-0005-0000-0000-00004F2B0000}"/>
    <cellStyle name="60% - 强调文字颜色 1 2 18 6" xfId="20657" xr:uid="{00000000-0005-0000-0000-0000502B0000}"/>
    <cellStyle name="60% - 强调文字颜色 1 2 18 6 2" xfId="20659" xr:uid="{00000000-0005-0000-0000-0000512B0000}"/>
    <cellStyle name="60% - 强调文字颜色 1 2 18 6 2 2" xfId="20663" xr:uid="{00000000-0005-0000-0000-0000522B0000}"/>
    <cellStyle name="60% - 强调文字颜色 1 2 18 6 2 3" xfId="20666" xr:uid="{00000000-0005-0000-0000-0000532B0000}"/>
    <cellStyle name="60% - 强调文字颜色 1 2 18 6 3" xfId="20668" xr:uid="{00000000-0005-0000-0000-0000542B0000}"/>
    <cellStyle name="60% - 强调文字颜色 1 2 18 6 4" xfId="20671" xr:uid="{00000000-0005-0000-0000-0000552B0000}"/>
    <cellStyle name="60% - 强调文字颜色 1 2 18 6 5" xfId="20674" xr:uid="{00000000-0005-0000-0000-0000562B0000}"/>
    <cellStyle name="60% - 强调文字颜色 1 2 18 6 6" xfId="20676" xr:uid="{00000000-0005-0000-0000-0000572B0000}"/>
    <cellStyle name="60% - 强调文字颜色 1 2 18 6 7" xfId="20678" xr:uid="{00000000-0005-0000-0000-0000582B0000}"/>
    <cellStyle name="60% - 强调文字颜色 1 2 18 6 8" xfId="20680" xr:uid="{00000000-0005-0000-0000-0000592B0000}"/>
    <cellStyle name="60% - 强调文字颜色 1 2 18 7" xfId="20683" xr:uid="{00000000-0005-0000-0000-00005A2B0000}"/>
    <cellStyle name="60% - 强调文字颜色 1 2 18 8" xfId="20685" xr:uid="{00000000-0005-0000-0000-00005B2B0000}"/>
    <cellStyle name="60% - 强调文字颜色 1 2 18 9" xfId="1325" xr:uid="{00000000-0005-0000-0000-00005C2B0000}"/>
    <cellStyle name="60% - 强调文字颜色 1 2 18 9 2" xfId="13938" xr:uid="{00000000-0005-0000-0000-00005D2B0000}"/>
    <cellStyle name="60% - 强调文字颜色 1 2 18 9 3" xfId="13942" xr:uid="{00000000-0005-0000-0000-00005E2B0000}"/>
    <cellStyle name="60% - 强调文字颜色 1 2 19" xfId="20687" xr:uid="{00000000-0005-0000-0000-00005F2B0000}"/>
    <cellStyle name="60% - 强调文字颜色 1 2 19 10" xfId="15195" xr:uid="{00000000-0005-0000-0000-0000602B0000}"/>
    <cellStyle name="60% - 强调文字颜色 1 2 19 11" xfId="20689" xr:uid="{00000000-0005-0000-0000-0000612B0000}"/>
    <cellStyle name="60% - 强调文字颜色 1 2 19 12" xfId="20690" xr:uid="{00000000-0005-0000-0000-0000622B0000}"/>
    <cellStyle name="60% - 强调文字颜色 1 2 19 13" xfId="20691" xr:uid="{00000000-0005-0000-0000-0000632B0000}"/>
    <cellStyle name="60% - 强调文字颜色 1 2 19 14" xfId="20693" xr:uid="{00000000-0005-0000-0000-0000642B0000}"/>
    <cellStyle name="60% - 强调文字颜色 1 2 19 2" xfId="20695" xr:uid="{00000000-0005-0000-0000-0000652B0000}"/>
    <cellStyle name="60% - 强调文字颜色 1 2 19 3" xfId="20696" xr:uid="{00000000-0005-0000-0000-0000662B0000}"/>
    <cellStyle name="60% - 强调文字颜色 1 2 19 4" xfId="20697" xr:uid="{00000000-0005-0000-0000-0000672B0000}"/>
    <cellStyle name="60% - 强调文字颜色 1 2 19 5" xfId="20698" xr:uid="{00000000-0005-0000-0000-0000682B0000}"/>
    <cellStyle name="60% - 强调文字颜色 1 2 19 5 10" xfId="20699" xr:uid="{00000000-0005-0000-0000-0000692B0000}"/>
    <cellStyle name="60% - 强调文字颜色 1 2 19 5 11" xfId="20700" xr:uid="{00000000-0005-0000-0000-00006A2B0000}"/>
    <cellStyle name="60% - 强调文字颜色 1 2 19 5 2" xfId="17874" xr:uid="{00000000-0005-0000-0000-00006B2B0000}"/>
    <cellStyle name="60% - 强调文字颜色 1 2 19 5 2 2" xfId="20701" xr:uid="{00000000-0005-0000-0000-00006C2B0000}"/>
    <cellStyle name="60% - 强调文字颜色 1 2 19 5 2 2 2" xfId="16840" xr:uid="{00000000-0005-0000-0000-00006D2B0000}"/>
    <cellStyle name="60% - 强调文字颜色 1 2 19 5 2 2 3" xfId="20458" xr:uid="{00000000-0005-0000-0000-00006E2B0000}"/>
    <cellStyle name="60% - 强调文字颜色 1 2 19 5 2 3" xfId="20702" xr:uid="{00000000-0005-0000-0000-00006F2B0000}"/>
    <cellStyle name="60% - 强调文字颜色 1 2 19 5 2 4" xfId="20703" xr:uid="{00000000-0005-0000-0000-0000702B0000}"/>
    <cellStyle name="60% - 强调文字颜色 1 2 19 5 2 5" xfId="20704" xr:uid="{00000000-0005-0000-0000-0000712B0000}"/>
    <cellStyle name="60% - 强调文字颜色 1 2 19 5 2 6" xfId="20705" xr:uid="{00000000-0005-0000-0000-0000722B0000}"/>
    <cellStyle name="60% - 强调文字颜色 1 2 19 5 2 7" xfId="20706" xr:uid="{00000000-0005-0000-0000-0000732B0000}"/>
    <cellStyle name="60% - 强调文字颜色 1 2 19 5 2 8" xfId="20707" xr:uid="{00000000-0005-0000-0000-0000742B0000}"/>
    <cellStyle name="60% - 强调文字颜色 1 2 19 5 3" xfId="14787" xr:uid="{00000000-0005-0000-0000-0000752B0000}"/>
    <cellStyle name="60% - 强调文字颜色 1 2 19 5 4" xfId="14791" xr:uid="{00000000-0005-0000-0000-0000762B0000}"/>
    <cellStyle name="60% - 强调文字颜色 1 2 19 5 5" xfId="20713" xr:uid="{00000000-0005-0000-0000-0000772B0000}"/>
    <cellStyle name="60% - 强调文字颜色 1 2 19 5 6" xfId="19280" xr:uid="{00000000-0005-0000-0000-0000782B0000}"/>
    <cellStyle name="60% - 强调文字颜色 1 2 19 5 6 2" xfId="19286" xr:uid="{00000000-0005-0000-0000-0000792B0000}"/>
    <cellStyle name="60% - 强调文字颜色 1 2 19 5 6 3" xfId="19290" xr:uid="{00000000-0005-0000-0000-00007A2B0000}"/>
    <cellStyle name="60% - 强调文字颜色 1 2 19 5 7" xfId="19293" xr:uid="{00000000-0005-0000-0000-00007B2B0000}"/>
    <cellStyle name="60% - 强调文字颜色 1 2 19 5 8" xfId="19297" xr:uid="{00000000-0005-0000-0000-00007C2B0000}"/>
    <cellStyle name="60% - 强调文字颜色 1 2 19 5 9" xfId="19301" xr:uid="{00000000-0005-0000-0000-00007D2B0000}"/>
    <cellStyle name="60% - 强调文字颜色 1 2 19 6" xfId="20715" xr:uid="{00000000-0005-0000-0000-00007E2B0000}"/>
    <cellStyle name="60% - 强调文字颜色 1 2 19 6 2" xfId="20718" xr:uid="{00000000-0005-0000-0000-00007F2B0000}"/>
    <cellStyle name="60% - 强调文字颜色 1 2 19 6 2 2" xfId="20720" xr:uid="{00000000-0005-0000-0000-0000802B0000}"/>
    <cellStyle name="60% - 强调文字颜色 1 2 19 6 2 3" xfId="20722" xr:uid="{00000000-0005-0000-0000-0000812B0000}"/>
    <cellStyle name="60% - 强调文字颜色 1 2 19 6 3" xfId="20725" xr:uid="{00000000-0005-0000-0000-0000822B0000}"/>
    <cellStyle name="60% - 强调文字颜色 1 2 19 6 4" xfId="20726" xr:uid="{00000000-0005-0000-0000-0000832B0000}"/>
    <cellStyle name="60% - 强调文字颜色 1 2 19 6 5" xfId="20728" xr:uid="{00000000-0005-0000-0000-0000842B0000}"/>
    <cellStyle name="60% - 强调文字颜色 1 2 19 6 6" xfId="7540" xr:uid="{00000000-0005-0000-0000-0000852B0000}"/>
    <cellStyle name="60% - 强调文字颜色 1 2 19 6 7" xfId="7552" xr:uid="{00000000-0005-0000-0000-0000862B0000}"/>
    <cellStyle name="60% - 强调文字颜色 1 2 19 6 8" xfId="20730" xr:uid="{00000000-0005-0000-0000-0000872B0000}"/>
    <cellStyle name="60% - 强调文字颜色 1 2 19 7" xfId="20732" xr:uid="{00000000-0005-0000-0000-0000882B0000}"/>
    <cellStyle name="60% - 强调文字颜色 1 2 19 8" xfId="20736" xr:uid="{00000000-0005-0000-0000-0000892B0000}"/>
    <cellStyle name="60% - 强调文字颜色 1 2 19 9" xfId="13973" xr:uid="{00000000-0005-0000-0000-00008A2B0000}"/>
    <cellStyle name="60% - 强调文字颜色 1 2 19 9 2" xfId="13977" xr:uid="{00000000-0005-0000-0000-00008B2B0000}"/>
    <cellStyle name="60% - 强调文字颜色 1 2 19 9 3" xfId="13981" xr:uid="{00000000-0005-0000-0000-00008C2B0000}"/>
    <cellStyle name="60% - 强调文字颜色 1 2 2" xfId="18492" xr:uid="{00000000-0005-0000-0000-00008D2B0000}"/>
    <cellStyle name="60% - 强调文字颜色 1 2 2 10" xfId="18496" xr:uid="{00000000-0005-0000-0000-00008E2B0000}"/>
    <cellStyle name="60% - 强调文字颜色 1 2 2 11" xfId="18499" xr:uid="{00000000-0005-0000-0000-00008F2B0000}"/>
    <cellStyle name="60% - 强调文字颜色 1 2 2 12" xfId="1111" xr:uid="{00000000-0005-0000-0000-0000902B0000}"/>
    <cellStyle name="60% - 强调文字颜色 1 2 2 13" xfId="1158" xr:uid="{00000000-0005-0000-0000-0000912B0000}"/>
    <cellStyle name="60% - 强调文字颜色 1 2 2 14" xfId="1174" xr:uid="{00000000-0005-0000-0000-0000922B0000}"/>
    <cellStyle name="60% - 强调文字颜色 1 2 2 2" xfId="7946" xr:uid="{00000000-0005-0000-0000-0000932B0000}"/>
    <cellStyle name="60% - 强调文字颜色 1 2 2 3" xfId="7954" xr:uid="{00000000-0005-0000-0000-0000942B0000}"/>
    <cellStyle name="60% - 强调文字颜色 1 2 2 4" xfId="7958" xr:uid="{00000000-0005-0000-0000-0000952B0000}"/>
    <cellStyle name="60% - 强调文字颜色 1 2 2 5" xfId="7965" xr:uid="{00000000-0005-0000-0000-0000962B0000}"/>
    <cellStyle name="60% - 强调文字颜色 1 2 2 6" xfId="7972" xr:uid="{00000000-0005-0000-0000-0000972B0000}"/>
    <cellStyle name="60% - 强调文字颜色 1 2 2 7" xfId="7979" xr:uid="{00000000-0005-0000-0000-0000982B0000}"/>
    <cellStyle name="60% - 强调文字颜色 1 2 2 8" xfId="7986" xr:uid="{00000000-0005-0000-0000-0000992B0000}"/>
    <cellStyle name="60% - 强调文字颜色 1 2 2 9" xfId="10562" xr:uid="{00000000-0005-0000-0000-00009A2B0000}"/>
    <cellStyle name="60% - 强调文字颜色 1 2 20" xfId="20562" xr:uid="{00000000-0005-0000-0000-00009B2B0000}"/>
    <cellStyle name="60% - 强调文字颜色 1 2 20 10" xfId="20739" xr:uid="{00000000-0005-0000-0000-00009C2B0000}"/>
    <cellStyle name="60% - 强调文字颜色 1 2 20 11" xfId="20742" xr:uid="{00000000-0005-0000-0000-00009D2B0000}"/>
    <cellStyle name="60% - 强调文字颜色 1 2 20 12" xfId="20745" xr:uid="{00000000-0005-0000-0000-00009E2B0000}"/>
    <cellStyle name="60% - 强调文字颜色 1 2 20 13" xfId="20748" xr:uid="{00000000-0005-0000-0000-00009F2B0000}"/>
    <cellStyle name="60% - 强调文字颜色 1 2 20 14" xfId="20753" xr:uid="{00000000-0005-0000-0000-0000A02B0000}"/>
    <cellStyle name="60% - 强调文字颜色 1 2 20 2" xfId="17514" xr:uid="{00000000-0005-0000-0000-0000A12B0000}"/>
    <cellStyle name="60% - 强调文字颜色 1 2 20 3" xfId="17519" xr:uid="{00000000-0005-0000-0000-0000A22B0000}"/>
    <cellStyle name="60% - 强调文字颜色 1 2 20 4" xfId="17522" xr:uid="{00000000-0005-0000-0000-0000A32B0000}"/>
    <cellStyle name="60% - 强调文字颜色 1 2 20 5" xfId="17524" xr:uid="{00000000-0005-0000-0000-0000A42B0000}"/>
    <cellStyle name="60% - 强调文字颜色 1 2 20 5 10" xfId="20759" xr:uid="{00000000-0005-0000-0000-0000A52B0000}"/>
    <cellStyle name="60% - 强调文字颜色 1 2 20 5 11" xfId="20763" xr:uid="{00000000-0005-0000-0000-0000A62B0000}"/>
    <cellStyle name="60% - 强调文字颜色 1 2 20 5 2" xfId="20765" xr:uid="{00000000-0005-0000-0000-0000A72B0000}"/>
    <cellStyle name="60% - 强调文字颜色 1 2 20 5 2 2" xfId="20766" xr:uid="{00000000-0005-0000-0000-0000A82B0000}"/>
    <cellStyle name="60% - 强调文字颜色 1 2 20 5 2 2 2" xfId="20767" xr:uid="{00000000-0005-0000-0000-0000A92B0000}"/>
    <cellStyle name="60% - 强调文字颜色 1 2 20 5 2 2 3" xfId="12669" xr:uid="{00000000-0005-0000-0000-0000AA2B0000}"/>
    <cellStyle name="60% - 强调文字颜色 1 2 20 5 2 3" xfId="20768" xr:uid="{00000000-0005-0000-0000-0000AB2B0000}"/>
    <cellStyle name="60% - 强调文字颜色 1 2 20 5 2 4" xfId="20769" xr:uid="{00000000-0005-0000-0000-0000AC2B0000}"/>
    <cellStyle name="60% - 强调文字颜色 1 2 20 5 2 5" xfId="20771" xr:uid="{00000000-0005-0000-0000-0000AD2B0000}"/>
    <cellStyle name="60% - 强调文字颜色 1 2 20 5 2 6" xfId="20773" xr:uid="{00000000-0005-0000-0000-0000AE2B0000}"/>
    <cellStyle name="60% - 强调文字颜色 1 2 20 5 2 7" xfId="20777" xr:uid="{00000000-0005-0000-0000-0000AF2B0000}"/>
    <cellStyle name="60% - 强调文字颜色 1 2 20 5 2 8" xfId="20780" xr:uid="{00000000-0005-0000-0000-0000B02B0000}"/>
    <cellStyle name="60% - 强调文字颜色 1 2 20 5 3" xfId="20781" xr:uid="{00000000-0005-0000-0000-0000B12B0000}"/>
    <cellStyle name="60% - 强调文字颜色 1 2 20 5 4" xfId="20782" xr:uid="{00000000-0005-0000-0000-0000B22B0000}"/>
    <cellStyle name="60% - 强调文字颜色 1 2 20 5 5" xfId="20784" xr:uid="{00000000-0005-0000-0000-0000B32B0000}"/>
    <cellStyle name="60% - 强调文字颜色 1 2 20 5 6" xfId="20786" xr:uid="{00000000-0005-0000-0000-0000B42B0000}"/>
    <cellStyle name="60% - 强调文字颜色 1 2 20 5 6 2" xfId="520" xr:uid="{00000000-0005-0000-0000-0000B52B0000}"/>
    <cellStyle name="60% - 强调文字颜色 1 2 20 5 6 3" xfId="6032" xr:uid="{00000000-0005-0000-0000-0000B62B0000}"/>
    <cellStyle name="60% - 强调文字颜色 1 2 20 5 7" xfId="20787" xr:uid="{00000000-0005-0000-0000-0000B72B0000}"/>
    <cellStyle name="60% - 强调文字颜色 1 2 20 5 8" xfId="20788" xr:uid="{00000000-0005-0000-0000-0000B82B0000}"/>
    <cellStyle name="60% - 强调文字颜色 1 2 20 5 9" xfId="20790" xr:uid="{00000000-0005-0000-0000-0000B92B0000}"/>
    <cellStyle name="60% - 强调文字颜色 1 2 20 6" xfId="20792" xr:uid="{00000000-0005-0000-0000-0000BA2B0000}"/>
    <cellStyle name="60% - 强调文字颜色 1 2 20 6 2" xfId="14423" xr:uid="{00000000-0005-0000-0000-0000BB2B0000}"/>
    <cellStyle name="60% - 强调文字颜色 1 2 20 6 2 2" xfId="20793" xr:uid="{00000000-0005-0000-0000-0000BC2B0000}"/>
    <cellStyle name="60% - 强调文字颜色 1 2 20 6 2 3" xfId="17293" xr:uid="{00000000-0005-0000-0000-0000BD2B0000}"/>
    <cellStyle name="60% - 强调文字颜色 1 2 20 6 3" xfId="20794" xr:uid="{00000000-0005-0000-0000-0000BE2B0000}"/>
    <cellStyle name="60% - 强调文字颜色 1 2 20 6 4" xfId="20795" xr:uid="{00000000-0005-0000-0000-0000BF2B0000}"/>
    <cellStyle name="60% - 强调文字颜色 1 2 20 6 5" xfId="20796" xr:uid="{00000000-0005-0000-0000-0000C02B0000}"/>
    <cellStyle name="60% - 强调文字颜色 1 2 20 6 6" xfId="20797" xr:uid="{00000000-0005-0000-0000-0000C12B0000}"/>
    <cellStyle name="60% - 强调文字颜色 1 2 20 6 7" xfId="20798" xr:uid="{00000000-0005-0000-0000-0000C22B0000}"/>
    <cellStyle name="60% - 强调文字颜色 1 2 20 6 8" xfId="20799" xr:uid="{00000000-0005-0000-0000-0000C32B0000}"/>
    <cellStyle name="60% - 强调文字颜色 1 2 20 7" xfId="18131" xr:uid="{00000000-0005-0000-0000-0000C42B0000}"/>
    <cellStyle name="60% - 强调文字颜色 1 2 20 8" xfId="18134" xr:uid="{00000000-0005-0000-0000-0000C52B0000}"/>
    <cellStyle name="60% - 强调文字颜色 1 2 20 9" xfId="20800" xr:uid="{00000000-0005-0000-0000-0000C62B0000}"/>
    <cellStyle name="60% - 强调文字颜色 1 2 20 9 2" xfId="20802" xr:uid="{00000000-0005-0000-0000-0000C72B0000}"/>
    <cellStyle name="60% - 强调文字颜色 1 2 20 9 3" xfId="8245" xr:uid="{00000000-0005-0000-0000-0000C82B0000}"/>
    <cellStyle name="60% - 强调文字颜色 1 2 3" xfId="18526" xr:uid="{00000000-0005-0000-0000-0000C92B0000}"/>
    <cellStyle name="60% - 强调文字颜色 1 2 3 10" xfId="20805" xr:uid="{00000000-0005-0000-0000-0000CA2B0000}"/>
    <cellStyle name="60% - 强调文字颜色 1 2 3 11" xfId="20808" xr:uid="{00000000-0005-0000-0000-0000CB2B0000}"/>
    <cellStyle name="60% - 强调文字颜色 1 2 3 12" xfId="20811" xr:uid="{00000000-0005-0000-0000-0000CC2B0000}"/>
    <cellStyle name="60% - 强调文字颜色 1 2 3 13" xfId="20814" xr:uid="{00000000-0005-0000-0000-0000CD2B0000}"/>
    <cellStyle name="60% - 强调文字颜色 1 2 3 14" xfId="20816" xr:uid="{00000000-0005-0000-0000-0000CE2B0000}"/>
    <cellStyle name="60% - 强调文字颜色 1 2 3 2" xfId="5934" xr:uid="{00000000-0005-0000-0000-0000CF2B0000}"/>
    <cellStyle name="60% - 强调文字颜色 1 2 3 3" xfId="5946" xr:uid="{00000000-0005-0000-0000-0000D02B0000}"/>
    <cellStyle name="60% - 强调文字颜色 1 2 3 4" xfId="5954" xr:uid="{00000000-0005-0000-0000-0000D12B0000}"/>
    <cellStyle name="60% - 强调文字颜色 1 2 3 5" xfId="1496" xr:uid="{00000000-0005-0000-0000-0000D22B0000}"/>
    <cellStyle name="60% - 强调文字颜色 1 2 3 6" xfId="1511" xr:uid="{00000000-0005-0000-0000-0000D32B0000}"/>
    <cellStyle name="60% - 强调文字颜色 1 2 3 7" xfId="4416" xr:uid="{00000000-0005-0000-0000-0000D42B0000}"/>
    <cellStyle name="60% - 强调文字颜色 1 2 3 8" xfId="18530" xr:uid="{00000000-0005-0000-0000-0000D52B0000}"/>
    <cellStyle name="60% - 强调文字颜色 1 2 3 9" xfId="20819" xr:uid="{00000000-0005-0000-0000-0000D62B0000}"/>
    <cellStyle name="60% - 强调文字颜色 1 2 4" xfId="18535" xr:uid="{00000000-0005-0000-0000-0000D72B0000}"/>
    <cellStyle name="60% - 强调文字颜色 1 2 4 10" xfId="20820" xr:uid="{00000000-0005-0000-0000-0000D82B0000}"/>
    <cellStyle name="60% - 强调文字颜色 1 2 4 11" xfId="20821" xr:uid="{00000000-0005-0000-0000-0000D92B0000}"/>
    <cellStyle name="60% - 强调文字颜色 1 2 4 12" xfId="20823" xr:uid="{00000000-0005-0000-0000-0000DA2B0000}"/>
    <cellStyle name="60% - 强调文字颜色 1 2 4 13" xfId="20825" xr:uid="{00000000-0005-0000-0000-0000DB2B0000}"/>
    <cellStyle name="60% - 强调文字颜色 1 2 4 14" xfId="18059" xr:uid="{00000000-0005-0000-0000-0000DC2B0000}"/>
    <cellStyle name="60% - 强调文字颜色 1 2 4 2" xfId="5985" xr:uid="{00000000-0005-0000-0000-0000DD2B0000}"/>
    <cellStyle name="60% - 强调文字颜色 1 2 4 3" xfId="5990" xr:uid="{00000000-0005-0000-0000-0000DE2B0000}"/>
    <cellStyle name="60% - 强调文字颜色 1 2 4 4" xfId="5997" xr:uid="{00000000-0005-0000-0000-0000DF2B0000}"/>
    <cellStyle name="60% - 强调文字颜色 1 2 4 5" xfId="6002" xr:uid="{00000000-0005-0000-0000-0000E02B0000}"/>
    <cellStyle name="60% - 强调文字颜色 1 2 4 6" xfId="6006" xr:uid="{00000000-0005-0000-0000-0000E12B0000}"/>
    <cellStyle name="60% - 强调文字颜色 1 2 4 7" xfId="18112" xr:uid="{00000000-0005-0000-0000-0000E22B0000}"/>
    <cellStyle name="60% - 强调文字颜色 1 2 4 8" xfId="20827" xr:uid="{00000000-0005-0000-0000-0000E32B0000}"/>
    <cellStyle name="60% - 强调文字颜色 1 2 4 9" xfId="20831" xr:uid="{00000000-0005-0000-0000-0000E42B0000}"/>
    <cellStyle name="60% - 强调文字颜色 1 2 5" xfId="6776" xr:uid="{00000000-0005-0000-0000-0000E52B0000}"/>
    <cellStyle name="60% - 强调文字颜色 1 2 6" xfId="7613" xr:uid="{00000000-0005-0000-0000-0000E62B0000}"/>
    <cellStyle name="60% - 强调文字颜色 1 2 7" xfId="7624" xr:uid="{00000000-0005-0000-0000-0000E72B0000}"/>
    <cellStyle name="60% - 强调文字颜色 1 2 8" xfId="8921" xr:uid="{00000000-0005-0000-0000-0000E82B0000}"/>
    <cellStyle name="60% - 强调文字颜色 1 2 9" xfId="919" xr:uid="{00000000-0005-0000-0000-0000E92B0000}"/>
    <cellStyle name="60% - 强调文字颜色 1 3" xfId="20832" xr:uid="{00000000-0005-0000-0000-0000EA2B0000}"/>
    <cellStyle name="60% - 强调文字颜色 1 3 10" xfId="1645" xr:uid="{00000000-0005-0000-0000-0000EB2B0000}"/>
    <cellStyle name="60% - 强调文字颜色 1 3 11" xfId="1660" xr:uid="{00000000-0005-0000-0000-0000EC2B0000}"/>
    <cellStyle name="60% - 强调文字颜色 1 3 12" xfId="12049" xr:uid="{00000000-0005-0000-0000-0000ED2B0000}"/>
    <cellStyle name="60% - 强调文字颜色 1 3 13" xfId="9922" xr:uid="{00000000-0005-0000-0000-0000EE2B0000}"/>
    <cellStyle name="60% - 强调文字颜色 1 3 14" xfId="9924" xr:uid="{00000000-0005-0000-0000-0000EF2B0000}"/>
    <cellStyle name="60% - 强调文字颜色 1 3 15" xfId="9927" xr:uid="{00000000-0005-0000-0000-0000F02B0000}"/>
    <cellStyle name="60% - 强调文字颜色 1 3 16" xfId="9929" xr:uid="{00000000-0005-0000-0000-0000F12B0000}"/>
    <cellStyle name="60% - 强调文字颜色 1 3 17" xfId="9931" xr:uid="{00000000-0005-0000-0000-0000F22B0000}"/>
    <cellStyle name="60% - 强调文字颜色 1 3 17 10" xfId="13055" xr:uid="{00000000-0005-0000-0000-0000F32B0000}"/>
    <cellStyle name="60% - 强调文字颜色 1 3 17 11" xfId="13057" xr:uid="{00000000-0005-0000-0000-0000F42B0000}"/>
    <cellStyle name="60% - 强调文字颜色 1 3 17 12" xfId="13062" xr:uid="{00000000-0005-0000-0000-0000F52B0000}"/>
    <cellStyle name="60% - 强调文字颜色 1 3 17 13" xfId="13067" xr:uid="{00000000-0005-0000-0000-0000F62B0000}"/>
    <cellStyle name="60% - 强调文字颜色 1 3 17 14" xfId="13115" xr:uid="{00000000-0005-0000-0000-0000F72B0000}"/>
    <cellStyle name="60% - 强调文字颜色 1 3 17 2" xfId="20834" xr:uid="{00000000-0005-0000-0000-0000F82B0000}"/>
    <cellStyle name="60% - 强调文字颜色 1 3 17 2 2" xfId="20837" xr:uid="{00000000-0005-0000-0000-0000F92B0000}"/>
    <cellStyle name="60% - 强调文字颜色 1 3 17 3" xfId="13322" xr:uid="{00000000-0005-0000-0000-0000FA2B0000}"/>
    <cellStyle name="60% - 强调文字颜色 1 3 17 4" xfId="13326" xr:uid="{00000000-0005-0000-0000-0000FB2B0000}"/>
    <cellStyle name="60% - 强调文字颜色 1 3 17 5" xfId="17599" xr:uid="{00000000-0005-0000-0000-0000FC2B0000}"/>
    <cellStyle name="60% - 强调文字颜色 1 3 17 5 10" xfId="8703" xr:uid="{00000000-0005-0000-0000-0000FD2B0000}"/>
    <cellStyle name="60% - 强调文字颜色 1 3 17 5 11" xfId="8708" xr:uid="{00000000-0005-0000-0000-0000FE2B0000}"/>
    <cellStyle name="60% - 强调文字颜色 1 3 17 5 2" xfId="20839" xr:uid="{00000000-0005-0000-0000-0000FF2B0000}"/>
    <cellStyle name="60% - 强调文字颜色 1 3 17 5 2 2" xfId="3978" xr:uid="{00000000-0005-0000-0000-0000002C0000}"/>
    <cellStyle name="60% - 强调文字颜色 1 3 17 5 2 2 2" xfId="20840" xr:uid="{00000000-0005-0000-0000-0000012C0000}"/>
    <cellStyle name="60% - 强调文字颜色 1 3 17 5 2 2 3" xfId="20801" xr:uid="{00000000-0005-0000-0000-0000022C0000}"/>
    <cellStyle name="60% - 强调文字颜色 1 3 17 5 2 3" xfId="4910" xr:uid="{00000000-0005-0000-0000-0000032C0000}"/>
    <cellStyle name="60% - 强调文字颜色 1 3 17 5 2 4" xfId="5212" xr:uid="{00000000-0005-0000-0000-0000042C0000}"/>
    <cellStyle name="60% - 强调文字颜色 1 3 17 5 2 5" xfId="2835" xr:uid="{00000000-0005-0000-0000-0000052C0000}"/>
    <cellStyle name="60% - 强调文字颜色 1 3 17 5 2 6" xfId="2856" xr:uid="{00000000-0005-0000-0000-0000062C0000}"/>
    <cellStyle name="60% - 强调文字颜色 1 3 17 5 2 7" xfId="12036" xr:uid="{00000000-0005-0000-0000-0000072C0000}"/>
    <cellStyle name="60% - 强调文字颜色 1 3 17 5 2 8" xfId="12038" xr:uid="{00000000-0005-0000-0000-0000082C0000}"/>
    <cellStyle name="60% - 强调文字颜色 1 3 17 5 3" xfId="404" xr:uid="{00000000-0005-0000-0000-0000092C0000}"/>
    <cellStyle name="60% - 强调文字颜色 1 3 17 5 4" xfId="20843" xr:uid="{00000000-0005-0000-0000-00000A2C0000}"/>
    <cellStyle name="60% - 强调文字颜色 1 3 17 5 5" xfId="20846" xr:uid="{00000000-0005-0000-0000-00000B2C0000}"/>
    <cellStyle name="60% - 强调文字颜色 1 3 17 5 6" xfId="20849" xr:uid="{00000000-0005-0000-0000-00000C2C0000}"/>
    <cellStyle name="60% - 强调文字颜色 1 3 17 5 6 2" xfId="20851" xr:uid="{00000000-0005-0000-0000-00000D2C0000}"/>
    <cellStyle name="60% - 强调文字颜色 1 3 17 5 6 3" xfId="20853" xr:uid="{00000000-0005-0000-0000-00000E2C0000}"/>
    <cellStyle name="60% - 强调文字颜色 1 3 17 5 7" xfId="15411" xr:uid="{00000000-0005-0000-0000-00000F2C0000}"/>
    <cellStyle name="60% - 强调文字颜色 1 3 17 5 8" xfId="13211" xr:uid="{00000000-0005-0000-0000-0000102C0000}"/>
    <cellStyle name="60% - 强调文字颜色 1 3 17 5 9" xfId="13220" xr:uid="{00000000-0005-0000-0000-0000112C0000}"/>
    <cellStyle name="60% - 强调文字颜色 1 3 17 6" xfId="17602" xr:uid="{00000000-0005-0000-0000-0000122C0000}"/>
    <cellStyle name="60% - 强调文字颜色 1 3 17 6 2" xfId="17266" xr:uid="{00000000-0005-0000-0000-0000132C0000}"/>
    <cellStyle name="60% - 强调文字颜色 1 3 17 6 2 2" xfId="16865" xr:uid="{00000000-0005-0000-0000-0000142C0000}"/>
    <cellStyle name="60% - 强调文字颜色 1 3 17 6 2 3" xfId="16870" xr:uid="{00000000-0005-0000-0000-0000152C0000}"/>
    <cellStyle name="60% - 强调文字颜色 1 3 17 6 3" xfId="17269" xr:uid="{00000000-0005-0000-0000-0000162C0000}"/>
    <cellStyle name="60% - 强调文字颜色 1 3 17 6 4" xfId="17272" xr:uid="{00000000-0005-0000-0000-0000172C0000}"/>
    <cellStyle name="60% - 强调文字颜色 1 3 17 6 5" xfId="6773" xr:uid="{00000000-0005-0000-0000-0000182C0000}"/>
    <cellStyle name="60% - 强调文字颜色 1 3 17 6 6" xfId="6787" xr:uid="{00000000-0005-0000-0000-0000192C0000}"/>
    <cellStyle name="60% - 强调文字颜色 1 3 17 6 7" xfId="20855" xr:uid="{00000000-0005-0000-0000-00001A2C0000}"/>
    <cellStyle name="60% - 强调文字颜色 1 3 17 6 8" xfId="20856" xr:uid="{00000000-0005-0000-0000-00001B2C0000}"/>
    <cellStyle name="60% - 强调文字颜色 1 3 17 7" xfId="17605" xr:uid="{00000000-0005-0000-0000-00001C2C0000}"/>
    <cellStyle name="60% - 强调文字颜色 1 3 17 8" xfId="20857" xr:uid="{00000000-0005-0000-0000-00001D2C0000}"/>
    <cellStyle name="60% - 强调文字颜色 1 3 17 9" xfId="15508" xr:uid="{00000000-0005-0000-0000-00001E2C0000}"/>
    <cellStyle name="60% - 强调文字颜色 1 3 17 9 2" xfId="13081" xr:uid="{00000000-0005-0000-0000-00001F2C0000}"/>
    <cellStyle name="60% - 强调文字颜色 1 3 17 9 3" xfId="16350" xr:uid="{00000000-0005-0000-0000-0000202C0000}"/>
    <cellStyle name="60% - 强调文字颜色 1 3 18" xfId="9933" xr:uid="{00000000-0005-0000-0000-0000212C0000}"/>
    <cellStyle name="60% - 强调文字颜色 1 3 18 10" xfId="5129" xr:uid="{00000000-0005-0000-0000-0000222C0000}"/>
    <cellStyle name="60% - 强调文字颜色 1 3 18 11" xfId="14777" xr:uid="{00000000-0005-0000-0000-0000232C0000}"/>
    <cellStyle name="60% - 强调文字颜色 1 3 18 12" xfId="14811" xr:uid="{00000000-0005-0000-0000-0000242C0000}"/>
    <cellStyle name="60% - 强调文字颜色 1 3 18 13" xfId="14825" xr:uid="{00000000-0005-0000-0000-0000252C0000}"/>
    <cellStyle name="60% - 强调文字颜色 1 3 18 14" xfId="14827" xr:uid="{00000000-0005-0000-0000-0000262C0000}"/>
    <cellStyle name="60% - 强调文字颜色 1 3 18 2" xfId="20858" xr:uid="{00000000-0005-0000-0000-0000272C0000}"/>
    <cellStyle name="60% - 强调文字颜色 1 3 18 3" xfId="14489" xr:uid="{00000000-0005-0000-0000-0000282C0000}"/>
    <cellStyle name="60% - 强调文字颜色 1 3 18 4" xfId="14492" xr:uid="{00000000-0005-0000-0000-0000292C0000}"/>
    <cellStyle name="60% - 强调文字颜色 1 3 18 5" xfId="20861" xr:uid="{00000000-0005-0000-0000-00002A2C0000}"/>
    <cellStyle name="60% - 强调文字颜色 1 3 18 5 10" xfId="20862" xr:uid="{00000000-0005-0000-0000-00002B2C0000}"/>
    <cellStyle name="60% - 强调文字颜色 1 3 18 5 11" xfId="4591" xr:uid="{00000000-0005-0000-0000-00002C2C0000}"/>
    <cellStyle name="60% - 强调文字颜色 1 3 18 5 2" xfId="20863" xr:uid="{00000000-0005-0000-0000-00002D2C0000}"/>
    <cellStyle name="60% - 强调文字颜色 1 3 18 5 2 2" xfId="20864" xr:uid="{00000000-0005-0000-0000-00002E2C0000}"/>
    <cellStyle name="60% - 强调文字颜色 1 3 18 5 2 2 2" xfId="20866" xr:uid="{00000000-0005-0000-0000-00002F2C0000}"/>
    <cellStyle name="60% - 强调文字颜色 1 3 18 5 2 2 3" xfId="20868" xr:uid="{00000000-0005-0000-0000-0000302C0000}"/>
    <cellStyle name="60% - 强调文字颜色 1 3 18 5 2 3" xfId="20869" xr:uid="{00000000-0005-0000-0000-0000312C0000}"/>
    <cellStyle name="60% - 强调文字颜色 1 3 18 5 2 4" xfId="20870" xr:uid="{00000000-0005-0000-0000-0000322C0000}"/>
    <cellStyle name="60% - 强调文字颜色 1 3 18 5 2 5" xfId="20871" xr:uid="{00000000-0005-0000-0000-0000332C0000}"/>
    <cellStyle name="60% - 强调文字颜色 1 3 18 5 2 6" xfId="1430" xr:uid="{00000000-0005-0000-0000-0000342C0000}"/>
    <cellStyle name="60% - 强调文字颜色 1 3 18 5 2 7" xfId="1462" xr:uid="{00000000-0005-0000-0000-0000352C0000}"/>
    <cellStyle name="60% - 强调文字颜色 1 3 18 5 2 8" xfId="12450" xr:uid="{00000000-0005-0000-0000-0000362C0000}"/>
    <cellStyle name="60% - 强调文字颜色 1 3 18 5 3" xfId="20872" xr:uid="{00000000-0005-0000-0000-0000372C0000}"/>
    <cellStyle name="60% - 强调文字颜色 1 3 18 5 4" xfId="20873" xr:uid="{00000000-0005-0000-0000-0000382C0000}"/>
    <cellStyle name="60% - 强调文字颜色 1 3 18 5 5" xfId="20874" xr:uid="{00000000-0005-0000-0000-0000392C0000}"/>
    <cellStyle name="60% - 强调文字颜色 1 3 18 5 6" xfId="20875" xr:uid="{00000000-0005-0000-0000-00003A2C0000}"/>
    <cellStyle name="60% - 强调文字颜色 1 3 18 5 6 2" xfId="20876" xr:uid="{00000000-0005-0000-0000-00003B2C0000}"/>
    <cellStyle name="60% - 强调文字颜色 1 3 18 5 6 3" xfId="20877" xr:uid="{00000000-0005-0000-0000-00003C2C0000}"/>
    <cellStyle name="60% - 强调文字颜色 1 3 18 5 7" xfId="20879" xr:uid="{00000000-0005-0000-0000-00003D2C0000}"/>
    <cellStyle name="60% - 强调文字颜色 1 3 18 5 8" xfId="20880" xr:uid="{00000000-0005-0000-0000-00003E2C0000}"/>
    <cellStyle name="60% - 强调文字颜色 1 3 18 5 9" xfId="20881" xr:uid="{00000000-0005-0000-0000-00003F2C0000}"/>
    <cellStyle name="60% - 强调文字颜色 1 3 18 6" xfId="20882" xr:uid="{00000000-0005-0000-0000-0000402C0000}"/>
    <cellStyle name="60% - 强调文字颜色 1 3 18 6 2" xfId="20883" xr:uid="{00000000-0005-0000-0000-0000412C0000}"/>
    <cellStyle name="60% - 强调文字颜色 1 3 18 6 2 2" xfId="20885" xr:uid="{00000000-0005-0000-0000-0000422C0000}"/>
    <cellStyle name="60% - 强调文字颜色 1 3 18 6 2 3" xfId="20886" xr:uid="{00000000-0005-0000-0000-0000432C0000}"/>
    <cellStyle name="60% - 强调文字颜色 1 3 18 6 3" xfId="20887" xr:uid="{00000000-0005-0000-0000-0000442C0000}"/>
    <cellStyle name="60% - 强调文字颜色 1 3 18 6 4" xfId="20888" xr:uid="{00000000-0005-0000-0000-0000452C0000}"/>
    <cellStyle name="60% - 强调文字颜色 1 3 18 6 5" xfId="20889" xr:uid="{00000000-0005-0000-0000-0000462C0000}"/>
    <cellStyle name="60% - 强调文字颜色 1 3 18 6 6" xfId="20890" xr:uid="{00000000-0005-0000-0000-0000472C0000}"/>
    <cellStyle name="60% - 强调文字颜色 1 3 18 6 7" xfId="20892" xr:uid="{00000000-0005-0000-0000-0000482C0000}"/>
    <cellStyle name="60% - 强调文字颜色 1 3 18 6 8" xfId="20893" xr:uid="{00000000-0005-0000-0000-0000492C0000}"/>
    <cellStyle name="60% - 强调文字颜色 1 3 18 7" xfId="15873" xr:uid="{00000000-0005-0000-0000-00004A2C0000}"/>
    <cellStyle name="60% - 强调文字颜色 1 3 18 8" xfId="15876" xr:uid="{00000000-0005-0000-0000-00004B2C0000}"/>
    <cellStyle name="60% - 强调文字颜色 1 3 18 9" xfId="16362" xr:uid="{00000000-0005-0000-0000-00004C2C0000}"/>
    <cellStyle name="60% - 强调文字颜色 1 3 18 9 2" xfId="16364" xr:uid="{00000000-0005-0000-0000-00004D2C0000}"/>
    <cellStyle name="60% - 强调文字颜色 1 3 18 9 3" xfId="16366" xr:uid="{00000000-0005-0000-0000-00004E2C0000}"/>
    <cellStyle name="60% - 强调文字颜色 1 3 19" xfId="9937" xr:uid="{00000000-0005-0000-0000-00004F2C0000}"/>
    <cellStyle name="60% - 强调文字颜色 1 3 19 10" xfId="14874" xr:uid="{00000000-0005-0000-0000-0000502C0000}"/>
    <cellStyle name="60% - 强调文字颜色 1 3 19 11" xfId="14877" xr:uid="{00000000-0005-0000-0000-0000512C0000}"/>
    <cellStyle name="60% - 强调文字颜色 1 3 19 12" xfId="13262" xr:uid="{00000000-0005-0000-0000-0000522C0000}"/>
    <cellStyle name="60% - 强调文字颜色 1 3 19 13" xfId="11198" xr:uid="{00000000-0005-0000-0000-0000532C0000}"/>
    <cellStyle name="60% - 强调文字颜色 1 3 19 14" xfId="11206" xr:uid="{00000000-0005-0000-0000-0000542C0000}"/>
    <cellStyle name="60% - 强调文字颜色 1 3 19 2" xfId="19647" xr:uid="{00000000-0005-0000-0000-0000552C0000}"/>
    <cellStyle name="60% - 强调文字颜色 1 3 19 3" xfId="19650" xr:uid="{00000000-0005-0000-0000-0000562C0000}"/>
    <cellStyle name="60% - 强调文字颜色 1 3 19 4" xfId="20895" xr:uid="{00000000-0005-0000-0000-0000572C0000}"/>
    <cellStyle name="60% - 强调文字颜色 1 3 19 5" xfId="20896" xr:uid="{00000000-0005-0000-0000-0000582C0000}"/>
    <cellStyle name="60% - 强调文字颜色 1 3 19 5 10" xfId="20897" xr:uid="{00000000-0005-0000-0000-0000592C0000}"/>
    <cellStyle name="60% - 强调文字颜色 1 3 19 5 11" xfId="12829" xr:uid="{00000000-0005-0000-0000-00005A2C0000}"/>
    <cellStyle name="60% - 强调文字颜色 1 3 19 5 2" xfId="20898" xr:uid="{00000000-0005-0000-0000-00005B2C0000}"/>
    <cellStyle name="60% - 强调文字颜色 1 3 19 5 2 2" xfId="20900" xr:uid="{00000000-0005-0000-0000-00005C2C0000}"/>
    <cellStyle name="60% - 强调文字颜色 1 3 19 5 2 2 2" xfId="20903" xr:uid="{00000000-0005-0000-0000-00005D2C0000}"/>
    <cellStyle name="60% - 强调文字颜色 1 3 19 5 2 2 3" xfId="20904" xr:uid="{00000000-0005-0000-0000-00005E2C0000}"/>
    <cellStyle name="60% - 强调文字颜色 1 3 19 5 2 3" xfId="20905" xr:uid="{00000000-0005-0000-0000-00005F2C0000}"/>
    <cellStyle name="60% - 强调文字颜色 1 3 19 5 2 4" xfId="20906" xr:uid="{00000000-0005-0000-0000-0000602C0000}"/>
    <cellStyle name="60% - 强调文字颜色 1 3 19 5 2 5" xfId="20907" xr:uid="{00000000-0005-0000-0000-0000612C0000}"/>
    <cellStyle name="60% - 强调文字颜色 1 3 19 5 2 6" xfId="12939" xr:uid="{00000000-0005-0000-0000-0000622C0000}"/>
    <cellStyle name="60% - 强调文字颜色 1 3 19 5 2 7" xfId="12942" xr:uid="{00000000-0005-0000-0000-0000632C0000}"/>
    <cellStyle name="60% - 强调文字颜色 1 3 19 5 2 8" xfId="12947" xr:uid="{00000000-0005-0000-0000-0000642C0000}"/>
    <cellStyle name="60% - 强调文字颜色 1 3 19 5 3" xfId="20908" xr:uid="{00000000-0005-0000-0000-0000652C0000}"/>
    <cellStyle name="60% - 强调文字颜色 1 3 19 5 4" xfId="20909" xr:uid="{00000000-0005-0000-0000-0000662C0000}"/>
    <cellStyle name="60% - 强调文字颜色 1 3 19 5 5" xfId="20910" xr:uid="{00000000-0005-0000-0000-0000672C0000}"/>
    <cellStyle name="60% - 强调文字颜色 1 3 19 5 6" xfId="20911" xr:uid="{00000000-0005-0000-0000-0000682C0000}"/>
    <cellStyle name="60% - 强调文字颜色 1 3 19 5 6 2" xfId="20913" xr:uid="{00000000-0005-0000-0000-0000692C0000}"/>
    <cellStyle name="60% - 强调文字颜色 1 3 19 5 6 3" xfId="20915" xr:uid="{00000000-0005-0000-0000-00006A2C0000}"/>
    <cellStyle name="60% - 强调文字颜色 1 3 19 5 7" xfId="20918" xr:uid="{00000000-0005-0000-0000-00006B2C0000}"/>
    <cellStyle name="60% - 强调文字颜色 1 3 19 5 8" xfId="20920" xr:uid="{00000000-0005-0000-0000-00006C2C0000}"/>
    <cellStyle name="60% - 强调文字颜色 1 3 19 5 9" xfId="20922" xr:uid="{00000000-0005-0000-0000-00006D2C0000}"/>
    <cellStyle name="60% - 强调文字颜色 1 3 19 6" xfId="20924" xr:uid="{00000000-0005-0000-0000-00006E2C0000}"/>
    <cellStyle name="60% - 强调文字颜色 1 3 19 6 2" xfId="20925" xr:uid="{00000000-0005-0000-0000-00006F2C0000}"/>
    <cellStyle name="60% - 强调文字颜色 1 3 19 6 2 2" xfId="20926" xr:uid="{00000000-0005-0000-0000-0000702C0000}"/>
    <cellStyle name="60% - 强调文字颜色 1 3 19 6 2 3" xfId="20927" xr:uid="{00000000-0005-0000-0000-0000712C0000}"/>
    <cellStyle name="60% - 强调文字颜色 1 3 19 6 3" xfId="20928" xr:uid="{00000000-0005-0000-0000-0000722C0000}"/>
    <cellStyle name="60% - 强调文字颜色 1 3 19 6 4" xfId="20929" xr:uid="{00000000-0005-0000-0000-0000732C0000}"/>
    <cellStyle name="60% - 强调文字颜色 1 3 19 6 5" xfId="20930" xr:uid="{00000000-0005-0000-0000-0000742C0000}"/>
    <cellStyle name="60% - 强调文字颜色 1 3 19 6 6" xfId="20932" xr:uid="{00000000-0005-0000-0000-0000752C0000}"/>
    <cellStyle name="60% - 强调文字颜色 1 3 19 6 7" xfId="20933" xr:uid="{00000000-0005-0000-0000-0000762C0000}"/>
    <cellStyle name="60% - 强调文字颜色 1 3 19 6 8" xfId="20934" xr:uid="{00000000-0005-0000-0000-0000772C0000}"/>
    <cellStyle name="60% - 强调文字颜色 1 3 19 7" xfId="20935" xr:uid="{00000000-0005-0000-0000-0000782C0000}"/>
    <cellStyle name="60% - 强调文字颜色 1 3 19 8" xfId="20936" xr:uid="{00000000-0005-0000-0000-0000792C0000}"/>
    <cellStyle name="60% - 强调文字颜色 1 3 19 9" xfId="20937" xr:uid="{00000000-0005-0000-0000-00007A2C0000}"/>
    <cellStyle name="60% - 强调文字颜色 1 3 19 9 2" xfId="20938" xr:uid="{00000000-0005-0000-0000-00007B2C0000}"/>
    <cellStyle name="60% - 强调文字颜色 1 3 19 9 3" xfId="20939" xr:uid="{00000000-0005-0000-0000-00007C2C0000}"/>
    <cellStyle name="60% - 强调文字颜色 1 3 2" xfId="20940" xr:uid="{00000000-0005-0000-0000-00007D2C0000}"/>
    <cellStyle name="60% - 强调文字颜色 1 3 2 10" xfId="5512" xr:uid="{00000000-0005-0000-0000-00007E2C0000}"/>
    <cellStyle name="60% - 强调文字颜色 1 3 2 11" xfId="5528" xr:uid="{00000000-0005-0000-0000-00007F2C0000}"/>
    <cellStyle name="60% - 强调文字颜色 1 3 2 12" xfId="2232" xr:uid="{00000000-0005-0000-0000-0000802C0000}"/>
    <cellStyle name="60% - 强调文字颜色 1 3 2 13" xfId="2258" xr:uid="{00000000-0005-0000-0000-0000812C0000}"/>
    <cellStyle name="60% - 强调文字颜色 1 3 2 14" xfId="2274" xr:uid="{00000000-0005-0000-0000-0000822C0000}"/>
    <cellStyle name="60% - 强调文字颜色 1 3 2 2" xfId="7852" xr:uid="{00000000-0005-0000-0000-0000832C0000}"/>
    <cellStyle name="60% - 强调文字颜色 1 3 2 3" xfId="7867" xr:uid="{00000000-0005-0000-0000-0000842C0000}"/>
    <cellStyle name="60% - 强调文字颜色 1 3 2 4" xfId="10287" xr:uid="{00000000-0005-0000-0000-0000852C0000}"/>
    <cellStyle name="60% - 强调文字颜色 1 3 2 5" xfId="10293" xr:uid="{00000000-0005-0000-0000-0000862C0000}"/>
    <cellStyle name="60% - 强调文字颜色 1 3 2 6" xfId="10297" xr:uid="{00000000-0005-0000-0000-0000872C0000}"/>
    <cellStyle name="60% - 强调文字颜色 1 3 2 7" xfId="10304" xr:uid="{00000000-0005-0000-0000-0000882C0000}"/>
    <cellStyle name="60% - 强调文字颜色 1 3 2 8" xfId="10310" xr:uid="{00000000-0005-0000-0000-0000892C0000}"/>
    <cellStyle name="60% - 强调文字颜色 1 3 2 9" xfId="10598" xr:uid="{00000000-0005-0000-0000-00008A2C0000}"/>
    <cellStyle name="60% - 强调文字颜色 1 3 20" xfId="9926" xr:uid="{00000000-0005-0000-0000-00008B2C0000}"/>
    <cellStyle name="60% - 强调文字颜色 1 3 20 10" xfId="11779" xr:uid="{00000000-0005-0000-0000-00008C2C0000}"/>
    <cellStyle name="60% - 强调文字颜色 1 3 20 11" xfId="11789" xr:uid="{00000000-0005-0000-0000-00008D2C0000}"/>
    <cellStyle name="60% - 强调文字颜色 1 3 20 12" xfId="20944" xr:uid="{00000000-0005-0000-0000-00008E2C0000}"/>
    <cellStyle name="60% - 强调文字颜色 1 3 20 13" xfId="20948" xr:uid="{00000000-0005-0000-0000-00008F2C0000}"/>
    <cellStyle name="60% - 强调文字颜色 1 3 20 14" xfId="20951" xr:uid="{00000000-0005-0000-0000-0000902C0000}"/>
    <cellStyle name="60% - 强调文字颜色 1 3 20 2" xfId="20953" xr:uid="{00000000-0005-0000-0000-0000912C0000}"/>
    <cellStyle name="60% - 强调文字颜色 1 3 20 3" xfId="20955" xr:uid="{00000000-0005-0000-0000-0000922C0000}"/>
    <cellStyle name="60% - 强调文字颜色 1 3 20 4" xfId="20957" xr:uid="{00000000-0005-0000-0000-0000932C0000}"/>
    <cellStyle name="60% - 强调文字颜色 1 3 20 5" xfId="20959" xr:uid="{00000000-0005-0000-0000-0000942C0000}"/>
    <cellStyle name="60% - 强调文字颜色 1 3 20 5 10" xfId="20960" xr:uid="{00000000-0005-0000-0000-0000952C0000}"/>
    <cellStyle name="60% - 强调文字颜色 1 3 20 5 11" xfId="20961" xr:uid="{00000000-0005-0000-0000-0000962C0000}"/>
    <cellStyle name="60% - 强调文字颜色 1 3 20 5 2" xfId="20962" xr:uid="{00000000-0005-0000-0000-0000972C0000}"/>
    <cellStyle name="60% - 强调文字颜色 1 3 20 5 2 2" xfId="8572" xr:uid="{00000000-0005-0000-0000-0000982C0000}"/>
    <cellStyle name="60% - 强调文字颜色 1 3 20 5 2 2 2" xfId="20966" xr:uid="{00000000-0005-0000-0000-0000992C0000}"/>
    <cellStyle name="60% - 强调文字颜色 1 3 20 5 2 2 3" xfId="20970" xr:uid="{00000000-0005-0000-0000-00009A2C0000}"/>
    <cellStyle name="60% - 强调文字颜色 1 3 20 5 2 3" xfId="8619" xr:uid="{00000000-0005-0000-0000-00009B2C0000}"/>
    <cellStyle name="60% - 强调文字颜色 1 3 20 5 2 4" xfId="8626" xr:uid="{00000000-0005-0000-0000-00009C2C0000}"/>
    <cellStyle name="60% - 强调文字颜色 1 3 20 5 2 5" xfId="8633" xr:uid="{00000000-0005-0000-0000-00009D2C0000}"/>
    <cellStyle name="60% - 强调文字颜色 1 3 20 5 2 6" xfId="20971" xr:uid="{00000000-0005-0000-0000-00009E2C0000}"/>
    <cellStyle name="60% - 强调文字颜色 1 3 20 5 2 7" xfId="20972" xr:uid="{00000000-0005-0000-0000-00009F2C0000}"/>
    <cellStyle name="60% - 强调文字颜色 1 3 20 5 2 8" xfId="20973" xr:uid="{00000000-0005-0000-0000-0000A02C0000}"/>
    <cellStyle name="60% - 强调文字颜色 1 3 20 5 3" xfId="20974" xr:uid="{00000000-0005-0000-0000-0000A12C0000}"/>
    <cellStyle name="60% - 强调文字颜色 1 3 20 5 4" xfId="20975" xr:uid="{00000000-0005-0000-0000-0000A22C0000}"/>
    <cellStyle name="60% - 强调文字颜色 1 3 20 5 5" xfId="20977" xr:uid="{00000000-0005-0000-0000-0000A32C0000}"/>
    <cellStyle name="60% - 强调文字颜色 1 3 20 5 6" xfId="20979" xr:uid="{00000000-0005-0000-0000-0000A42C0000}"/>
    <cellStyle name="60% - 强调文字颜色 1 3 20 5 6 2" xfId="13880" xr:uid="{00000000-0005-0000-0000-0000A52C0000}"/>
    <cellStyle name="60% - 强调文字颜色 1 3 20 5 6 3" xfId="13887" xr:uid="{00000000-0005-0000-0000-0000A62C0000}"/>
    <cellStyle name="60% - 强调文字颜色 1 3 20 5 7" xfId="20980" xr:uid="{00000000-0005-0000-0000-0000A72C0000}"/>
    <cellStyle name="60% - 强调文字颜色 1 3 20 5 8" xfId="20981" xr:uid="{00000000-0005-0000-0000-0000A82C0000}"/>
    <cellStyle name="60% - 强调文字颜色 1 3 20 5 9" xfId="20982" xr:uid="{00000000-0005-0000-0000-0000A92C0000}"/>
    <cellStyle name="60% - 强调文字颜色 1 3 20 6" xfId="20984" xr:uid="{00000000-0005-0000-0000-0000AA2C0000}"/>
    <cellStyle name="60% - 强调文字颜色 1 3 20 6 2" xfId="13680" xr:uid="{00000000-0005-0000-0000-0000AB2C0000}"/>
    <cellStyle name="60% - 强调文字颜色 1 3 20 6 2 2" xfId="6755" xr:uid="{00000000-0005-0000-0000-0000AC2C0000}"/>
    <cellStyle name="60% - 强调文字颜色 1 3 20 6 2 3" xfId="8096" xr:uid="{00000000-0005-0000-0000-0000AD2C0000}"/>
    <cellStyle name="60% - 强调文字颜色 1 3 20 6 3" xfId="13682" xr:uid="{00000000-0005-0000-0000-0000AE2C0000}"/>
    <cellStyle name="60% - 强调文字颜色 1 3 20 6 4" xfId="13684" xr:uid="{00000000-0005-0000-0000-0000AF2C0000}"/>
    <cellStyle name="60% - 强调文字颜色 1 3 20 6 5" xfId="13686" xr:uid="{00000000-0005-0000-0000-0000B02C0000}"/>
    <cellStyle name="60% - 强调文字颜色 1 3 20 6 6" xfId="13688" xr:uid="{00000000-0005-0000-0000-0000B12C0000}"/>
    <cellStyle name="60% - 强调文字颜色 1 3 20 6 7" xfId="20985" xr:uid="{00000000-0005-0000-0000-0000B22C0000}"/>
    <cellStyle name="60% - 强调文字颜色 1 3 20 6 8" xfId="20989" xr:uid="{00000000-0005-0000-0000-0000B32C0000}"/>
    <cellStyle name="60% - 强调文字颜色 1 3 20 7" xfId="20994" xr:uid="{00000000-0005-0000-0000-0000B42C0000}"/>
    <cellStyle name="60% - 强调文字颜色 1 3 20 8" xfId="20996" xr:uid="{00000000-0005-0000-0000-0000B52C0000}"/>
    <cellStyle name="60% - 强调文字颜色 1 3 20 9" xfId="20998" xr:uid="{00000000-0005-0000-0000-0000B62C0000}"/>
    <cellStyle name="60% - 强调文字颜色 1 3 20 9 2" xfId="20999" xr:uid="{00000000-0005-0000-0000-0000B72C0000}"/>
    <cellStyle name="60% - 强调文字颜色 1 3 20 9 3" xfId="21000" xr:uid="{00000000-0005-0000-0000-0000B82C0000}"/>
    <cellStyle name="60% - 强调文字颜色 1 3 3" xfId="21001" xr:uid="{00000000-0005-0000-0000-0000B92C0000}"/>
    <cellStyle name="60% - 强调文字颜色 1 3 3 10" xfId="21003" xr:uid="{00000000-0005-0000-0000-0000BA2C0000}"/>
    <cellStyle name="60% - 强调文字颜色 1 3 3 11" xfId="19780" xr:uid="{00000000-0005-0000-0000-0000BB2C0000}"/>
    <cellStyle name="60% - 强调文字颜色 1 3 3 12" xfId="19782" xr:uid="{00000000-0005-0000-0000-0000BC2C0000}"/>
    <cellStyle name="60% - 强调文字颜色 1 3 3 13" xfId="9177" xr:uid="{00000000-0005-0000-0000-0000BD2C0000}"/>
    <cellStyle name="60% - 强调文字颜色 1 3 3 14" xfId="9181" xr:uid="{00000000-0005-0000-0000-0000BE2C0000}"/>
    <cellStyle name="60% - 强调文字颜色 1 3 3 2" xfId="10606" xr:uid="{00000000-0005-0000-0000-0000BF2C0000}"/>
    <cellStyle name="60% - 强调文字颜色 1 3 3 3" xfId="10617" xr:uid="{00000000-0005-0000-0000-0000C02C0000}"/>
    <cellStyle name="60% - 强调文字颜色 1 3 3 4" xfId="10623" xr:uid="{00000000-0005-0000-0000-0000C12C0000}"/>
    <cellStyle name="60% - 强调文字颜色 1 3 3 5" xfId="21004" xr:uid="{00000000-0005-0000-0000-0000C22C0000}"/>
    <cellStyle name="60% - 强调文字颜色 1 3 3 6" xfId="21005" xr:uid="{00000000-0005-0000-0000-0000C32C0000}"/>
    <cellStyle name="60% - 强调文字颜色 1 3 3 7" xfId="21006" xr:uid="{00000000-0005-0000-0000-0000C42C0000}"/>
    <cellStyle name="60% - 强调文字颜色 1 3 3 8" xfId="21009" xr:uid="{00000000-0005-0000-0000-0000C52C0000}"/>
    <cellStyle name="60% - 强调文字颜色 1 3 3 9" xfId="21012" xr:uid="{00000000-0005-0000-0000-0000C62C0000}"/>
    <cellStyle name="60% - 强调文字颜色 1 3 4" xfId="21014" xr:uid="{00000000-0005-0000-0000-0000C72C0000}"/>
    <cellStyle name="60% - 强调文字颜色 1 3 4 10" xfId="21017" xr:uid="{00000000-0005-0000-0000-0000C82C0000}"/>
    <cellStyle name="60% - 强调文字颜色 1 3 4 11" xfId="19880" xr:uid="{00000000-0005-0000-0000-0000C92C0000}"/>
    <cellStyle name="60% - 强调文字颜色 1 3 4 12" xfId="19883" xr:uid="{00000000-0005-0000-0000-0000CA2C0000}"/>
    <cellStyle name="60% - 强调文字颜色 1 3 4 13" xfId="19885" xr:uid="{00000000-0005-0000-0000-0000CB2C0000}"/>
    <cellStyle name="60% - 强调文字颜色 1 3 4 14" xfId="19887" xr:uid="{00000000-0005-0000-0000-0000CC2C0000}"/>
    <cellStyle name="60% - 强调文字颜色 1 3 4 2" xfId="21018" xr:uid="{00000000-0005-0000-0000-0000CD2C0000}"/>
    <cellStyle name="60% - 强调文字颜色 1 3 4 3" xfId="21019" xr:uid="{00000000-0005-0000-0000-0000CE2C0000}"/>
    <cellStyle name="60% - 强调文字颜色 1 3 4 4" xfId="21020" xr:uid="{00000000-0005-0000-0000-0000CF2C0000}"/>
    <cellStyle name="60% - 强调文字颜色 1 3 4 5" xfId="21021" xr:uid="{00000000-0005-0000-0000-0000D02C0000}"/>
    <cellStyle name="60% - 强调文字颜色 1 3 4 6" xfId="21022" xr:uid="{00000000-0005-0000-0000-0000D12C0000}"/>
    <cellStyle name="60% - 强调文字颜色 1 3 4 7" xfId="21023" xr:uid="{00000000-0005-0000-0000-0000D22C0000}"/>
    <cellStyle name="60% - 强调文字颜色 1 3 4 8" xfId="1253" xr:uid="{00000000-0005-0000-0000-0000D32C0000}"/>
    <cellStyle name="60% - 强调文字颜色 1 3 4 9" xfId="3685" xr:uid="{00000000-0005-0000-0000-0000D42C0000}"/>
    <cellStyle name="60% - 强调文字颜色 1 3 5" xfId="21026" xr:uid="{00000000-0005-0000-0000-0000D52C0000}"/>
    <cellStyle name="60% - 强调文字颜色 1 3 6" xfId="21030" xr:uid="{00000000-0005-0000-0000-0000D62C0000}"/>
    <cellStyle name="60% - 强调文字颜色 1 3 7" xfId="21033" xr:uid="{00000000-0005-0000-0000-0000D72C0000}"/>
    <cellStyle name="60% - 强调文字颜色 1 3 8" xfId="14158" xr:uid="{00000000-0005-0000-0000-0000D82C0000}"/>
    <cellStyle name="60% - 强调文字颜色 1 3 9" xfId="14162" xr:uid="{00000000-0005-0000-0000-0000D92C0000}"/>
    <cellStyle name="60% - 强调文字颜色 1 4" xfId="21035" xr:uid="{00000000-0005-0000-0000-0000DA2C0000}"/>
    <cellStyle name="60% - 强调文字颜色 1 4 10" xfId="7161" xr:uid="{00000000-0005-0000-0000-0000DB2C0000}"/>
    <cellStyle name="60% - 强调文字颜色 1 4 11" xfId="7166" xr:uid="{00000000-0005-0000-0000-0000DC2C0000}"/>
    <cellStyle name="60% - 强调文字颜色 1 4 12" xfId="7171" xr:uid="{00000000-0005-0000-0000-0000DD2C0000}"/>
    <cellStyle name="60% - 强调文字颜色 1 4 13" xfId="16557" xr:uid="{00000000-0005-0000-0000-0000DE2C0000}"/>
    <cellStyle name="60% - 强调文字颜色 1 4 14" xfId="15961" xr:uid="{00000000-0005-0000-0000-0000DF2C0000}"/>
    <cellStyle name="60% - 强调文字颜色 1 4 15" xfId="15966" xr:uid="{00000000-0005-0000-0000-0000E02C0000}"/>
    <cellStyle name="60% - 强调文字颜色 1 4 16" xfId="15968" xr:uid="{00000000-0005-0000-0000-0000E12C0000}"/>
    <cellStyle name="60% - 强调文字颜色 1 4 17" xfId="15970" xr:uid="{00000000-0005-0000-0000-0000E22C0000}"/>
    <cellStyle name="60% - 强调文字颜色 1 4 17 10" xfId="21037" xr:uid="{00000000-0005-0000-0000-0000E32C0000}"/>
    <cellStyle name="60% - 强调文字颜色 1 4 17 11" xfId="21038" xr:uid="{00000000-0005-0000-0000-0000E42C0000}"/>
    <cellStyle name="60% - 强调文字颜色 1 4 17 12" xfId="21039" xr:uid="{00000000-0005-0000-0000-0000E52C0000}"/>
    <cellStyle name="60% - 强调文字颜色 1 4 17 13" xfId="21040" xr:uid="{00000000-0005-0000-0000-0000E62C0000}"/>
    <cellStyle name="60% - 强调文字颜色 1 4 17 14" xfId="21041" xr:uid="{00000000-0005-0000-0000-0000E72C0000}"/>
    <cellStyle name="60% - 强调文字颜色 1 4 17 2" xfId="702" xr:uid="{00000000-0005-0000-0000-0000E82C0000}"/>
    <cellStyle name="60% - 强调文字颜色 1 4 17 3" xfId="742" xr:uid="{00000000-0005-0000-0000-0000E92C0000}"/>
    <cellStyle name="60% - 强调文字颜色 1 4 17 4" xfId="1268" xr:uid="{00000000-0005-0000-0000-0000EA2C0000}"/>
    <cellStyle name="60% - 强调文字颜色 1 4 17 5" xfId="6096" xr:uid="{00000000-0005-0000-0000-0000EB2C0000}"/>
    <cellStyle name="60% - 强调文字颜色 1 4 17 5 10" xfId="14329" xr:uid="{00000000-0005-0000-0000-0000EC2C0000}"/>
    <cellStyle name="60% - 强调文字颜色 1 4 17 5 11" xfId="14332" xr:uid="{00000000-0005-0000-0000-0000ED2C0000}"/>
    <cellStyle name="60% - 强调文字颜色 1 4 17 5 2" xfId="5184" xr:uid="{00000000-0005-0000-0000-0000EE2C0000}"/>
    <cellStyle name="60% - 强调文字颜色 1 4 17 5 2 2" xfId="6106" xr:uid="{00000000-0005-0000-0000-0000EF2C0000}"/>
    <cellStyle name="60% - 强调文字颜色 1 4 17 5 2 2 2" xfId="21042" xr:uid="{00000000-0005-0000-0000-0000F02C0000}"/>
    <cellStyle name="60% - 强调文字颜色 1 4 17 5 2 2 3" xfId="16497" xr:uid="{00000000-0005-0000-0000-0000F12C0000}"/>
    <cellStyle name="60% - 强调文字颜色 1 4 17 5 2 3" xfId="6114" xr:uid="{00000000-0005-0000-0000-0000F22C0000}"/>
    <cellStyle name="60% - 强调文字颜色 1 4 17 5 2 4" xfId="17814" xr:uid="{00000000-0005-0000-0000-0000F32C0000}"/>
    <cellStyle name="60% - 强调文字颜色 1 4 17 5 2 5" xfId="17818" xr:uid="{00000000-0005-0000-0000-0000F42C0000}"/>
    <cellStyle name="60% - 强调文字颜色 1 4 17 5 2 6" xfId="17822" xr:uid="{00000000-0005-0000-0000-0000F52C0000}"/>
    <cellStyle name="60% - 强调文字颜色 1 4 17 5 2 7" xfId="17824" xr:uid="{00000000-0005-0000-0000-0000F62C0000}"/>
    <cellStyle name="60% - 强调文字颜色 1 4 17 5 2 8" xfId="21043" xr:uid="{00000000-0005-0000-0000-0000F72C0000}"/>
    <cellStyle name="60% - 强调文字颜色 1 4 17 5 3" xfId="5190" xr:uid="{00000000-0005-0000-0000-0000F82C0000}"/>
    <cellStyle name="60% - 强调文字颜色 1 4 17 5 4" xfId="6118" xr:uid="{00000000-0005-0000-0000-0000F92C0000}"/>
    <cellStyle name="60% - 强调文字颜色 1 4 17 5 5" xfId="6121" xr:uid="{00000000-0005-0000-0000-0000FA2C0000}"/>
    <cellStyle name="60% - 强调文字颜色 1 4 17 5 6" xfId="6123" xr:uid="{00000000-0005-0000-0000-0000FB2C0000}"/>
    <cellStyle name="60% - 强调文字颜色 1 4 17 5 6 2" xfId="21044" xr:uid="{00000000-0005-0000-0000-0000FC2C0000}"/>
    <cellStyle name="60% - 强调文字颜色 1 4 17 5 6 3" xfId="21046" xr:uid="{00000000-0005-0000-0000-0000FD2C0000}"/>
    <cellStyle name="60% - 强调文字颜色 1 4 17 5 7" xfId="6127" xr:uid="{00000000-0005-0000-0000-0000FE2C0000}"/>
    <cellStyle name="60% - 强调文字颜色 1 4 17 5 8" xfId="6132" xr:uid="{00000000-0005-0000-0000-0000FF2C0000}"/>
    <cellStyle name="60% - 强调文字颜色 1 4 17 5 9" xfId="20061" xr:uid="{00000000-0005-0000-0000-0000002D0000}"/>
    <cellStyle name="60% - 强调文字颜色 1 4 17 6" xfId="6140" xr:uid="{00000000-0005-0000-0000-0000012D0000}"/>
    <cellStyle name="60% - 强调文字颜色 1 4 17 6 2" xfId="18663" xr:uid="{00000000-0005-0000-0000-0000022D0000}"/>
    <cellStyle name="60% - 强调文字颜色 1 4 17 6 2 2" xfId="7681" xr:uid="{00000000-0005-0000-0000-0000032D0000}"/>
    <cellStyle name="60% - 强调文字颜色 1 4 17 6 2 3" xfId="9666" xr:uid="{00000000-0005-0000-0000-0000042D0000}"/>
    <cellStyle name="60% - 强调文字颜色 1 4 17 6 3" xfId="18667" xr:uid="{00000000-0005-0000-0000-0000052D0000}"/>
    <cellStyle name="60% - 强调文字颜色 1 4 17 6 4" xfId="18671" xr:uid="{00000000-0005-0000-0000-0000062D0000}"/>
    <cellStyle name="60% - 强调文字颜色 1 4 17 6 5" xfId="18676" xr:uid="{00000000-0005-0000-0000-0000072D0000}"/>
    <cellStyle name="60% - 强调文字颜色 1 4 17 6 6" xfId="18679" xr:uid="{00000000-0005-0000-0000-0000082D0000}"/>
    <cellStyle name="60% - 强调文字颜色 1 4 17 6 7" xfId="18683" xr:uid="{00000000-0005-0000-0000-0000092D0000}"/>
    <cellStyle name="60% - 强调文字颜色 1 4 17 6 8" xfId="18686" xr:uid="{00000000-0005-0000-0000-00000A2D0000}"/>
    <cellStyle name="60% - 强调文字颜色 1 4 17 7" xfId="6148" xr:uid="{00000000-0005-0000-0000-00000B2D0000}"/>
    <cellStyle name="60% - 强调文字颜色 1 4 17 8" xfId="6156" xr:uid="{00000000-0005-0000-0000-00000C2D0000}"/>
    <cellStyle name="60% - 强调文字颜色 1 4 17 9" xfId="15764" xr:uid="{00000000-0005-0000-0000-00000D2D0000}"/>
    <cellStyle name="60% - 强调文字颜色 1 4 17 9 2" xfId="17053" xr:uid="{00000000-0005-0000-0000-00000E2D0000}"/>
    <cellStyle name="60% - 强调文字颜色 1 4 17 9 3" xfId="17055" xr:uid="{00000000-0005-0000-0000-00000F2D0000}"/>
    <cellStyle name="60% - 强调文字颜色 1 4 18" xfId="15972" xr:uid="{00000000-0005-0000-0000-0000102D0000}"/>
    <cellStyle name="60% - 强调文字颜色 1 4 18 10" xfId="19427" xr:uid="{00000000-0005-0000-0000-0000112D0000}"/>
    <cellStyle name="60% - 强调文字颜色 1 4 18 11" xfId="19429" xr:uid="{00000000-0005-0000-0000-0000122D0000}"/>
    <cellStyle name="60% - 强调文字颜色 1 4 18 12" xfId="19452" xr:uid="{00000000-0005-0000-0000-0000132D0000}"/>
    <cellStyle name="60% - 强调文字颜色 1 4 18 13" xfId="19459" xr:uid="{00000000-0005-0000-0000-0000142D0000}"/>
    <cellStyle name="60% - 强调文字颜色 1 4 18 14" xfId="19462" xr:uid="{00000000-0005-0000-0000-0000152D0000}"/>
    <cellStyle name="60% - 强调文字颜色 1 4 18 2" xfId="6170" xr:uid="{00000000-0005-0000-0000-0000162D0000}"/>
    <cellStyle name="60% - 强调文字颜色 1 4 18 3" xfId="6173" xr:uid="{00000000-0005-0000-0000-0000172D0000}"/>
    <cellStyle name="60% - 强调文字颜色 1 4 18 4" xfId="6178" xr:uid="{00000000-0005-0000-0000-0000182D0000}"/>
    <cellStyle name="60% - 强调文字颜色 1 4 18 5" xfId="6214" xr:uid="{00000000-0005-0000-0000-0000192D0000}"/>
    <cellStyle name="60% - 强调文字颜色 1 4 18 5 10" xfId="21048" xr:uid="{00000000-0005-0000-0000-00001A2D0000}"/>
    <cellStyle name="60% - 强调文字颜色 1 4 18 5 11" xfId="21049" xr:uid="{00000000-0005-0000-0000-00001B2D0000}"/>
    <cellStyle name="60% - 强调文字颜色 1 4 18 5 2" xfId="342" xr:uid="{00000000-0005-0000-0000-00001C2D0000}"/>
    <cellStyle name="60% - 强调文字颜色 1 4 18 5 2 2" xfId="6225" xr:uid="{00000000-0005-0000-0000-00001D2D0000}"/>
    <cellStyle name="60% - 强调文字颜色 1 4 18 5 2 2 2" xfId="12237" xr:uid="{00000000-0005-0000-0000-00001E2D0000}"/>
    <cellStyle name="60% - 强调文字颜色 1 4 18 5 2 2 3" xfId="8317" xr:uid="{00000000-0005-0000-0000-00001F2D0000}"/>
    <cellStyle name="60% - 强调文字颜色 1 4 18 5 2 3" xfId="6229" xr:uid="{00000000-0005-0000-0000-0000202D0000}"/>
    <cellStyle name="60% - 强调文字颜色 1 4 18 5 2 4" xfId="21051" xr:uid="{00000000-0005-0000-0000-0000212D0000}"/>
    <cellStyle name="60% - 强调文字颜色 1 4 18 5 2 5" xfId="21053" xr:uid="{00000000-0005-0000-0000-0000222D0000}"/>
    <cellStyle name="60% - 强调文字颜色 1 4 18 5 2 6" xfId="21055" xr:uid="{00000000-0005-0000-0000-0000232D0000}"/>
    <cellStyle name="60% - 强调文字颜色 1 4 18 5 2 7" xfId="21056" xr:uid="{00000000-0005-0000-0000-0000242D0000}"/>
    <cellStyle name="60% - 强调文字颜色 1 4 18 5 2 8" xfId="21057" xr:uid="{00000000-0005-0000-0000-0000252D0000}"/>
    <cellStyle name="60% - 强调文字颜色 1 4 18 5 3" xfId="330" xr:uid="{00000000-0005-0000-0000-0000262D0000}"/>
    <cellStyle name="60% - 强调文字颜色 1 4 18 5 4" xfId="605" xr:uid="{00000000-0005-0000-0000-0000272D0000}"/>
    <cellStyle name="60% - 强调文字颜色 1 4 18 5 5" xfId="622" xr:uid="{00000000-0005-0000-0000-0000282D0000}"/>
    <cellStyle name="60% - 强调文字颜色 1 4 18 5 6" xfId="652" xr:uid="{00000000-0005-0000-0000-0000292D0000}"/>
    <cellStyle name="60% - 强调文字颜色 1 4 18 5 6 2" xfId="21058" xr:uid="{00000000-0005-0000-0000-00002A2D0000}"/>
    <cellStyle name="60% - 强调文字颜色 1 4 18 5 6 3" xfId="21060" xr:uid="{00000000-0005-0000-0000-00002B2D0000}"/>
    <cellStyle name="60% - 强调文字颜色 1 4 18 5 7" xfId="6233" xr:uid="{00000000-0005-0000-0000-00002C2D0000}"/>
    <cellStyle name="60% - 强调文字颜色 1 4 18 5 8" xfId="6236" xr:uid="{00000000-0005-0000-0000-00002D2D0000}"/>
    <cellStyle name="60% - 强调文字颜色 1 4 18 5 9" xfId="21062" xr:uid="{00000000-0005-0000-0000-00002E2D0000}"/>
    <cellStyle name="60% - 强调文字颜色 1 4 18 6" xfId="6240" xr:uid="{00000000-0005-0000-0000-00002F2D0000}"/>
    <cellStyle name="60% - 强调文字颜色 1 4 18 6 2" xfId="18719" xr:uid="{00000000-0005-0000-0000-0000302D0000}"/>
    <cellStyle name="60% - 强调文字颜色 1 4 18 6 2 2" xfId="9372" xr:uid="{00000000-0005-0000-0000-0000312D0000}"/>
    <cellStyle name="60% - 强调文字颜色 1 4 18 6 2 3" xfId="9378" xr:uid="{00000000-0005-0000-0000-0000322D0000}"/>
    <cellStyle name="60% - 强调文字颜色 1 4 18 6 3" xfId="18725" xr:uid="{00000000-0005-0000-0000-0000332D0000}"/>
    <cellStyle name="60% - 强调文字颜色 1 4 18 6 4" xfId="18728" xr:uid="{00000000-0005-0000-0000-0000342D0000}"/>
    <cellStyle name="60% - 强调文字颜色 1 4 18 6 5" xfId="18732" xr:uid="{00000000-0005-0000-0000-0000352D0000}"/>
    <cellStyle name="60% - 强调文字颜色 1 4 18 6 6" xfId="18734" xr:uid="{00000000-0005-0000-0000-0000362D0000}"/>
    <cellStyle name="60% - 强调文字颜色 1 4 18 6 7" xfId="18736" xr:uid="{00000000-0005-0000-0000-0000372D0000}"/>
    <cellStyle name="60% - 强调文字颜色 1 4 18 6 8" xfId="18738" xr:uid="{00000000-0005-0000-0000-0000382D0000}"/>
    <cellStyle name="60% - 强调文字颜色 1 4 18 7" xfId="6244" xr:uid="{00000000-0005-0000-0000-0000392D0000}"/>
    <cellStyle name="60% - 强调文字颜色 1 4 18 8" xfId="6248" xr:uid="{00000000-0005-0000-0000-00003A2D0000}"/>
    <cellStyle name="60% - 强调文字颜色 1 4 18 9" xfId="18744" xr:uid="{00000000-0005-0000-0000-00003B2D0000}"/>
    <cellStyle name="60% - 强调文字颜色 1 4 18 9 2" xfId="10072" xr:uid="{00000000-0005-0000-0000-00003C2D0000}"/>
    <cellStyle name="60% - 强调文字颜色 1 4 18 9 3" xfId="10077" xr:uid="{00000000-0005-0000-0000-00003D2D0000}"/>
    <cellStyle name="60% - 强调文字颜色 1 4 19" xfId="15974" xr:uid="{00000000-0005-0000-0000-00003E2D0000}"/>
    <cellStyle name="60% - 强调文字颜色 1 4 19 10" xfId="19525" xr:uid="{00000000-0005-0000-0000-00003F2D0000}"/>
    <cellStyle name="60% - 强调文字颜色 1 4 19 11" xfId="19531" xr:uid="{00000000-0005-0000-0000-0000402D0000}"/>
    <cellStyle name="60% - 强调文字颜色 1 4 19 12" xfId="11862" xr:uid="{00000000-0005-0000-0000-0000412D0000}"/>
    <cellStyle name="60% - 强调文字颜色 1 4 19 13" xfId="11454" xr:uid="{00000000-0005-0000-0000-0000422D0000}"/>
    <cellStyle name="60% - 强调文字颜色 1 4 19 14" xfId="11465" xr:uid="{00000000-0005-0000-0000-0000432D0000}"/>
    <cellStyle name="60% - 强调文字颜色 1 4 19 2" xfId="6295" xr:uid="{00000000-0005-0000-0000-0000442D0000}"/>
    <cellStyle name="60% - 强调文字颜色 1 4 19 3" xfId="634" xr:uid="{00000000-0005-0000-0000-0000452D0000}"/>
    <cellStyle name="60% - 强调文字颜色 1 4 19 4" xfId="663" xr:uid="{00000000-0005-0000-0000-0000462D0000}"/>
    <cellStyle name="60% - 强调文字颜色 1 4 19 5" xfId="1904" xr:uid="{00000000-0005-0000-0000-0000472D0000}"/>
    <cellStyle name="60% - 强调文字颜色 1 4 19 5 10" xfId="5306" xr:uid="{00000000-0005-0000-0000-0000482D0000}"/>
    <cellStyle name="60% - 强调文字颜色 1 4 19 5 11" xfId="5319" xr:uid="{00000000-0005-0000-0000-0000492D0000}"/>
    <cellStyle name="60% - 强调文字颜色 1 4 19 5 2" xfId="685" xr:uid="{00000000-0005-0000-0000-00004A2D0000}"/>
    <cellStyle name="60% - 强调文字颜色 1 4 19 5 2 2" xfId="6367" xr:uid="{00000000-0005-0000-0000-00004B2D0000}"/>
    <cellStyle name="60% - 强调文字颜色 1 4 19 5 2 2 2" xfId="21065" xr:uid="{00000000-0005-0000-0000-00004C2D0000}"/>
    <cellStyle name="60% - 强调文字颜色 1 4 19 5 2 2 3" xfId="21068" xr:uid="{00000000-0005-0000-0000-00004D2D0000}"/>
    <cellStyle name="60% - 强调文字颜色 1 4 19 5 2 3" xfId="6372" xr:uid="{00000000-0005-0000-0000-00004E2D0000}"/>
    <cellStyle name="60% - 强调文字颜色 1 4 19 5 2 4" xfId="17077" xr:uid="{00000000-0005-0000-0000-00004F2D0000}"/>
    <cellStyle name="60% - 强调文字颜色 1 4 19 5 2 5" xfId="21071" xr:uid="{00000000-0005-0000-0000-0000502D0000}"/>
    <cellStyle name="60% - 强调文字颜色 1 4 19 5 2 6" xfId="21074" xr:uid="{00000000-0005-0000-0000-0000512D0000}"/>
    <cellStyle name="60% - 强调文字颜色 1 4 19 5 2 7" xfId="11548" xr:uid="{00000000-0005-0000-0000-0000522D0000}"/>
    <cellStyle name="60% - 强调文字颜色 1 4 19 5 2 8" xfId="11556" xr:uid="{00000000-0005-0000-0000-0000532D0000}"/>
    <cellStyle name="60% - 强调文字颜色 1 4 19 5 3" xfId="717" xr:uid="{00000000-0005-0000-0000-0000542D0000}"/>
    <cellStyle name="60% - 强调文字颜色 1 4 19 5 4" xfId="6378" xr:uid="{00000000-0005-0000-0000-0000552D0000}"/>
    <cellStyle name="60% - 强调文字颜色 1 4 19 5 5" xfId="6382" xr:uid="{00000000-0005-0000-0000-0000562D0000}"/>
    <cellStyle name="60% - 强调文字颜色 1 4 19 5 6" xfId="6388" xr:uid="{00000000-0005-0000-0000-0000572D0000}"/>
    <cellStyle name="60% - 强调文字颜色 1 4 19 5 6 2" xfId="21075" xr:uid="{00000000-0005-0000-0000-0000582D0000}"/>
    <cellStyle name="60% - 强调文字颜色 1 4 19 5 6 3" xfId="21078" xr:uid="{00000000-0005-0000-0000-0000592D0000}"/>
    <cellStyle name="60% - 强调文字颜色 1 4 19 5 7" xfId="6394" xr:uid="{00000000-0005-0000-0000-00005A2D0000}"/>
    <cellStyle name="60% - 强调文字颜色 1 4 19 5 8" xfId="6401" xr:uid="{00000000-0005-0000-0000-00005B2D0000}"/>
    <cellStyle name="60% - 强调文字颜色 1 4 19 5 9" xfId="20901" xr:uid="{00000000-0005-0000-0000-00005C2D0000}"/>
    <cellStyle name="60% - 强调文字颜色 1 4 19 6" xfId="1929" xr:uid="{00000000-0005-0000-0000-00005D2D0000}"/>
    <cellStyle name="60% - 强调文字颜色 1 4 19 6 2" xfId="21081" xr:uid="{00000000-0005-0000-0000-00005E2D0000}"/>
    <cellStyle name="60% - 强调文字颜色 1 4 19 6 2 2" xfId="17766" xr:uid="{00000000-0005-0000-0000-00005F2D0000}"/>
    <cellStyle name="60% - 强调文字颜色 1 4 19 6 2 3" xfId="18029" xr:uid="{00000000-0005-0000-0000-0000602D0000}"/>
    <cellStyle name="60% - 强调文字颜色 1 4 19 6 3" xfId="21082" xr:uid="{00000000-0005-0000-0000-0000612D0000}"/>
    <cellStyle name="60% - 强调文字颜色 1 4 19 6 4" xfId="21084" xr:uid="{00000000-0005-0000-0000-0000622D0000}"/>
    <cellStyle name="60% - 强调文字颜色 1 4 19 6 5" xfId="21086" xr:uid="{00000000-0005-0000-0000-0000632D0000}"/>
    <cellStyle name="60% - 强调文字颜色 1 4 19 6 6" xfId="21087" xr:uid="{00000000-0005-0000-0000-0000642D0000}"/>
    <cellStyle name="60% - 强调文字颜色 1 4 19 6 7" xfId="21088" xr:uid="{00000000-0005-0000-0000-0000652D0000}"/>
    <cellStyle name="60% - 强调文字颜色 1 4 19 6 8" xfId="21089" xr:uid="{00000000-0005-0000-0000-0000662D0000}"/>
    <cellStyle name="60% - 强调文字颜色 1 4 19 7" xfId="1959" xr:uid="{00000000-0005-0000-0000-0000672D0000}"/>
    <cellStyle name="60% - 强调文字颜色 1 4 19 8" xfId="1855" xr:uid="{00000000-0005-0000-0000-0000682D0000}"/>
    <cellStyle name="60% - 强调文字颜色 1 4 19 9" xfId="13424" xr:uid="{00000000-0005-0000-0000-0000692D0000}"/>
    <cellStyle name="60% - 强调文字颜色 1 4 19 9 2" xfId="18324" xr:uid="{00000000-0005-0000-0000-00006A2D0000}"/>
    <cellStyle name="60% - 强调文字颜色 1 4 19 9 3" xfId="18328" xr:uid="{00000000-0005-0000-0000-00006B2D0000}"/>
    <cellStyle name="60% - 强调文字颜色 1 4 2" xfId="21090" xr:uid="{00000000-0005-0000-0000-00006C2D0000}"/>
    <cellStyle name="60% - 强调文字颜色 1 4 20" xfId="15965" xr:uid="{00000000-0005-0000-0000-00006D2D0000}"/>
    <cellStyle name="60% - 强调文字颜色 1 4 20 10" xfId="6287" xr:uid="{00000000-0005-0000-0000-00006E2D0000}"/>
    <cellStyle name="60% - 强调文字颜色 1 4 20 11" xfId="6293" xr:uid="{00000000-0005-0000-0000-00006F2D0000}"/>
    <cellStyle name="60% - 强调文字颜色 1 4 20 12" xfId="631" xr:uid="{00000000-0005-0000-0000-0000702D0000}"/>
    <cellStyle name="60% - 强调文字颜色 1 4 20 13" xfId="662" xr:uid="{00000000-0005-0000-0000-0000712D0000}"/>
    <cellStyle name="60% - 强调文字颜色 1 4 20 14" xfId="1903" xr:uid="{00000000-0005-0000-0000-0000722D0000}"/>
    <cellStyle name="60% - 强调文字颜色 1 4 20 2" xfId="6479" xr:uid="{00000000-0005-0000-0000-0000732D0000}"/>
    <cellStyle name="60% - 强调文字颜色 1 4 20 3" xfId="6485" xr:uid="{00000000-0005-0000-0000-0000742D0000}"/>
    <cellStyle name="60% - 强调文字颜色 1 4 20 4" xfId="6492" xr:uid="{00000000-0005-0000-0000-0000752D0000}"/>
    <cellStyle name="60% - 强调文字颜色 1 4 20 5" xfId="6537" xr:uid="{00000000-0005-0000-0000-0000762D0000}"/>
    <cellStyle name="60% - 强调文字颜色 1 4 20 5 10" xfId="21092" xr:uid="{00000000-0005-0000-0000-0000772D0000}"/>
    <cellStyle name="60% - 强调文字颜色 1 4 20 5 11" xfId="21094" xr:uid="{00000000-0005-0000-0000-0000782D0000}"/>
    <cellStyle name="60% - 强调文字颜色 1 4 20 5 2" xfId="6540" xr:uid="{00000000-0005-0000-0000-0000792D0000}"/>
    <cellStyle name="60% - 强调文字颜色 1 4 20 5 2 2" xfId="6550" xr:uid="{00000000-0005-0000-0000-00007A2D0000}"/>
    <cellStyle name="60% - 强调文字颜色 1 4 20 5 2 2 2" xfId="21095" xr:uid="{00000000-0005-0000-0000-00007B2D0000}"/>
    <cellStyle name="60% - 强调文字颜色 1 4 20 5 2 2 3" xfId="21096" xr:uid="{00000000-0005-0000-0000-00007C2D0000}"/>
    <cellStyle name="60% - 强调文字颜色 1 4 20 5 2 3" xfId="6557" xr:uid="{00000000-0005-0000-0000-00007D2D0000}"/>
    <cellStyle name="60% - 强调文字颜色 1 4 20 5 2 4" xfId="19636" xr:uid="{00000000-0005-0000-0000-00007E2D0000}"/>
    <cellStyle name="60% - 强调文字颜色 1 4 20 5 2 5" xfId="19640" xr:uid="{00000000-0005-0000-0000-00007F2D0000}"/>
    <cellStyle name="60% - 强调文字颜色 1 4 20 5 2 6" xfId="21098" xr:uid="{00000000-0005-0000-0000-0000802D0000}"/>
    <cellStyle name="60% - 强调文字颜色 1 4 20 5 2 7" xfId="21099" xr:uid="{00000000-0005-0000-0000-0000812D0000}"/>
    <cellStyle name="60% - 强调文字颜色 1 4 20 5 2 8" xfId="21100" xr:uid="{00000000-0005-0000-0000-0000822D0000}"/>
    <cellStyle name="60% - 强调文字颜色 1 4 20 5 3" xfId="6562" xr:uid="{00000000-0005-0000-0000-0000832D0000}"/>
    <cellStyle name="60% - 强调文字颜色 1 4 20 5 4" xfId="6567" xr:uid="{00000000-0005-0000-0000-0000842D0000}"/>
    <cellStyle name="60% - 强调文字颜色 1 4 20 5 5" xfId="6573" xr:uid="{00000000-0005-0000-0000-0000852D0000}"/>
    <cellStyle name="60% - 强调文字颜色 1 4 20 5 6" xfId="6578" xr:uid="{00000000-0005-0000-0000-0000862D0000}"/>
    <cellStyle name="60% - 强调文字颜色 1 4 20 5 6 2" xfId="16694" xr:uid="{00000000-0005-0000-0000-0000872D0000}"/>
    <cellStyle name="60% - 强调文字颜色 1 4 20 5 6 3" xfId="16700" xr:uid="{00000000-0005-0000-0000-0000882D0000}"/>
    <cellStyle name="60% - 强调文字颜色 1 4 20 5 7" xfId="6583" xr:uid="{00000000-0005-0000-0000-0000892D0000}"/>
    <cellStyle name="60% - 强调文字颜色 1 4 20 5 8" xfId="6586" xr:uid="{00000000-0005-0000-0000-00008A2D0000}"/>
    <cellStyle name="60% - 强调文字颜色 1 4 20 5 9" xfId="21101" xr:uid="{00000000-0005-0000-0000-00008B2D0000}"/>
    <cellStyle name="60% - 强调文字颜色 1 4 20 6" xfId="6595" xr:uid="{00000000-0005-0000-0000-00008C2D0000}"/>
    <cellStyle name="60% - 强调文字颜色 1 4 20 6 2" xfId="21102" xr:uid="{00000000-0005-0000-0000-00008D2D0000}"/>
    <cellStyle name="60% - 强调文字颜色 1 4 20 6 2 2" xfId="5456" xr:uid="{00000000-0005-0000-0000-00008E2D0000}"/>
    <cellStyle name="60% - 强调文字颜色 1 4 20 6 2 3" xfId="5469" xr:uid="{00000000-0005-0000-0000-00008F2D0000}"/>
    <cellStyle name="60% - 强调文字颜色 1 4 20 6 3" xfId="21103" xr:uid="{00000000-0005-0000-0000-0000902D0000}"/>
    <cellStyle name="60% - 强调文字颜色 1 4 20 6 4" xfId="21104" xr:uid="{00000000-0005-0000-0000-0000912D0000}"/>
    <cellStyle name="60% - 强调文字颜色 1 4 20 6 5" xfId="10262" xr:uid="{00000000-0005-0000-0000-0000922D0000}"/>
    <cellStyle name="60% - 强调文字颜色 1 4 20 6 6" xfId="10267" xr:uid="{00000000-0005-0000-0000-0000932D0000}"/>
    <cellStyle name="60% - 强调文字颜色 1 4 20 6 7" xfId="10271" xr:uid="{00000000-0005-0000-0000-0000942D0000}"/>
    <cellStyle name="60% - 强调文字颜色 1 4 20 6 8" xfId="10276" xr:uid="{00000000-0005-0000-0000-0000952D0000}"/>
    <cellStyle name="60% - 强调文字颜色 1 4 20 7" xfId="6599" xr:uid="{00000000-0005-0000-0000-0000962D0000}"/>
    <cellStyle name="60% - 强调文字颜色 1 4 20 8" xfId="1482" xr:uid="{00000000-0005-0000-0000-0000972D0000}"/>
    <cellStyle name="60% - 强调文字颜色 1 4 20 9" xfId="1572" xr:uid="{00000000-0005-0000-0000-0000982D0000}"/>
    <cellStyle name="60% - 强调文字颜色 1 4 20 9 2" xfId="21106" xr:uid="{00000000-0005-0000-0000-0000992D0000}"/>
    <cellStyle name="60% - 强调文字颜色 1 4 20 9 3" xfId="21107" xr:uid="{00000000-0005-0000-0000-00009A2D0000}"/>
    <cellStyle name="60% - 强调文字颜色 1 4 3" xfId="21108" xr:uid="{00000000-0005-0000-0000-00009B2D0000}"/>
    <cellStyle name="60% - 强调文字颜色 1 4 4" xfId="21109" xr:uid="{00000000-0005-0000-0000-00009C2D0000}"/>
    <cellStyle name="60% - 强调文字颜色 1 4 5" xfId="21110" xr:uid="{00000000-0005-0000-0000-00009D2D0000}"/>
    <cellStyle name="60% - 强调文字颜色 1 4 6" xfId="7666" xr:uid="{00000000-0005-0000-0000-00009E2D0000}"/>
    <cellStyle name="60% - 强调文字颜色 1 4 7" xfId="7689" xr:uid="{00000000-0005-0000-0000-00009F2D0000}"/>
    <cellStyle name="60% - 强调文字颜色 1 4 8" xfId="7693" xr:uid="{00000000-0005-0000-0000-0000A02D0000}"/>
    <cellStyle name="60% - 强调文字颜色 1 4 9" xfId="7695" xr:uid="{00000000-0005-0000-0000-0000A12D0000}"/>
    <cellStyle name="60% - 强调文字颜色 1 5" xfId="21111" xr:uid="{00000000-0005-0000-0000-0000A22D0000}"/>
    <cellStyle name="60% - 强调文字颜色 1 5 10" xfId="21114" xr:uid="{00000000-0005-0000-0000-0000A32D0000}"/>
    <cellStyle name="60% - 强调文字颜色 1 5 11" xfId="21116" xr:uid="{00000000-0005-0000-0000-0000A42D0000}"/>
    <cellStyle name="60% - 强调文字颜色 1 5 12" xfId="21117" xr:uid="{00000000-0005-0000-0000-0000A52D0000}"/>
    <cellStyle name="60% - 强调文字颜色 1 5 13" xfId="21119" xr:uid="{00000000-0005-0000-0000-0000A62D0000}"/>
    <cellStyle name="60% - 强调文字颜色 1 5 14" xfId="21121" xr:uid="{00000000-0005-0000-0000-0000A72D0000}"/>
    <cellStyle name="60% - 强调文字颜色 1 5 2" xfId="21123" xr:uid="{00000000-0005-0000-0000-0000A82D0000}"/>
    <cellStyle name="60% - 强调文字颜色 1 5 3" xfId="21126" xr:uid="{00000000-0005-0000-0000-0000A92D0000}"/>
    <cellStyle name="60% - 强调文字颜色 1 5 4" xfId="21131" xr:uid="{00000000-0005-0000-0000-0000AA2D0000}"/>
    <cellStyle name="60% - 强调文字颜色 1 5 5" xfId="21134" xr:uid="{00000000-0005-0000-0000-0000AB2D0000}"/>
    <cellStyle name="60% - 强调文字颜色 1 5 6" xfId="7707" xr:uid="{00000000-0005-0000-0000-0000AC2D0000}"/>
    <cellStyle name="60% - 强调文字颜色 1 5 7" xfId="7711" xr:uid="{00000000-0005-0000-0000-0000AD2D0000}"/>
    <cellStyle name="60% - 强调文字颜色 1 5 8" xfId="7715" xr:uid="{00000000-0005-0000-0000-0000AE2D0000}"/>
    <cellStyle name="60% - 强调文字颜色 1 5 9" xfId="7719" xr:uid="{00000000-0005-0000-0000-0000AF2D0000}"/>
    <cellStyle name="60% - 强调文字颜色 1 6" xfId="21135" xr:uid="{00000000-0005-0000-0000-0000B02D0000}"/>
    <cellStyle name="60% - 强调文字颜色 1 6 10" xfId="17142" xr:uid="{00000000-0005-0000-0000-0000B12D0000}"/>
    <cellStyle name="60% - 强调文字颜色 1 6 11" xfId="17145" xr:uid="{00000000-0005-0000-0000-0000B22D0000}"/>
    <cellStyle name="60% - 强调文字颜色 1 6 12" xfId="17148" xr:uid="{00000000-0005-0000-0000-0000B32D0000}"/>
    <cellStyle name="60% - 强调文字颜色 1 6 13" xfId="17153" xr:uid="{00000000-0005-0000-0000-0000B42D0000}"/>
    <cellStyle name="60% - 强调文字颜色 1 6 14" xfId="1796" xr:uid="{00000000-0005-0000-0000-0000B52D0000}"/>
    <cellStyle name="60% - 强调文字颜色 1 6 2" xfId="21139" xr:uid="{00000000-0005-0000-0000-0000B62D0000}"/>
    <cellStyle name="60% - 强调文字颜色 1 6 3" xfId="21143" xr:uid="{00000000-0005-0000-0000-0000B72D0000}"/>
    <cellStyle name="60% - 强调文字颜色 1 6 4" xfId="21148" xr:uid="{00000000-0005-0000-0000-0000B82D0000}"/>
    <cellStyle name="60% - 强调文字颜色 1 6 5" xfId="21152" xr:uid="{00000000-0005-0000-0000-0000B92D0000}"/>
    <cellStyle name="60% - 强调文字颜色 1 6 6" xfId="21156" xr:uid="{00000000-0005-0000-0000-0000BA2D0000}"/>
    <cellStyle name="60% - 强调文字颜色 1 6 7" xfId="18608" xr:uid="{00000000-0005-0000-0000-0000BB2D0000}"/>
    <cellStyle name="60% - 强调文字颜色 1 6 8" xfId="18615" xr:uid="{00000000-0005-0000-0000-0000BC2D0000}"/>
    <cellStyle name="60% - 强调文字颜色 1 6 9" xfId="19414" xr:uid="{00000000-0005-0000-0000-0000BD2D0000}"/>
    <cellStyle name="60% - 强调文字颜色 1 7" xfId="21158" xr:uid="{00000000-0005-0000-0000-0000BE2D0000}"/>
    <cellStyle name="60% - 强调文字颜色 1 8" xfId="21161" xr:uid="{00000000-0005-0000-0000-0000BF2D0000}"/>
    <cellStyle name="60% - 强调文字颜色 1 9" xfId="21164" xr:uid="{00000000-0005-0000-0000-0000C02D0000}"/>
    <cellStyle name="60% - 强调文字颜色 2 10" xfId="13856" xr:uid="{00000000-0005-0000-0000-0000C12D0000}"/>
    <cellStyle name="60% - 强调文字颜色 2 11" xfId="13863" xr:uid="{00000000-0005-0000-0000-0000C22D0000}"/>
    <cellStyle name="60% - 强调文字颜色 2 12" xfId="21167" xr:uid="{00000000-0005-0000-0000-0000C32D0000}"/>
    <cellStyle name="60% - 强调文字颜色 2 12 10" xfId="18510" xr:uid="{00000000-0005-0000-0000-0000C42D0000}"/>
    <cellStyle name="60% - 强调文字颜色 2 12 11" xfId="18513" xr:uid="{00000000-0005-0000-0000-0000C52D0000}"/>
    <cellStyle name="60% - 强调文字颜色 2 12 12" xfId="18516" xr:uid="{00000000-0005-0000-0000-0000C62D0000}"/>
    <cellStyle name="60% - 强调文字颜色 2 12 13" xfId="18519" xr:uid="{00000000-0005-0000-0000-0000C72D0000}"/>
    <cellStyle name="60% - 强调文字颜色 2 12 14" xfId="18522" xr:uid="{00000000-0005-0000-0000-0000C82D0000}"/>
    <cellStyle name="60% - 强调文字颜色 2 12 2" xfId="21170" xr:uid="{00000000-0005-0000-0000-0000C92D0000}"/>
    <cellStyle name="60% - 强调文字颜色 2 12 3" xfId="21172" xr:uid="{00000000-0005-0000-0000-0000CA2D0000}"/>
    <cellStyle name="60% - 强调文字颜色 2 12 4" xfId="21174" xr:uid="{00000000-0005-0000-0000-0000CB2D0000}"/>
    <cellStyle name="60% - 强调文字颜色 2 12 5" xfId="21175" xr:uid="{00000000-0005-0000-0000-0000CC2D0000}"/>
    <cellStyle name="60% - 强调文字颜色 2 12 5 10" xfId="21176" xr:uid="{00000000-0005-0000-0000-0000CD2D0000}"/>
    <cellStyle name="60% - 强调文字颜色 2 12 5 11" xfId="21177" xr:uid="{00000000-0005-0000-0000-0000CE2D0000}"/>
    <cellStyle name="60% - 强调文字颜色 2 12 5 2" xfId="15217" xr:uid="{00000000-0005-0000-0000-0000CF2D0000}"/>
    <cellStyle name="60% - 强调文字颜色 2 12 5 2 2" xfId="14625" xr:uid="{00000000-0005-0000-0000-0000D02D0000}"/>
    <cellStyle name="60% - 强调文字颜色 2 12 5 2 2 2" xfId="14030" xr:uid="{00000000-0005-0000-0000-0000D12D0000}"/>
    <cellStyle name="60% - 强调文字颜色 2 12 5 2 2 3" xfId="789" xr:uid="{00000000-0005-0000-0000-0000D22D0000}"/>
    <cellStyle name="60% - 强调文字颜色 2 12 5 2 3" xfId="21178" xr:uid="{00000000-0005-0000-0000-0000D32D0000}"/>
    <cellStyle name="60% - 强调文字颜色 2 12 5 2 4" xfId="21179" xr:uid="{00000000-0005-0000-0000-0000D42D0000}"/>
    <cellStyle name="60% - 强调文字颜色 2 12 5 2 5" xfId="21180" xr:uid="{00000000-0005-0000-0000-0000D52D0000}"/>
    <cellStyle name="60% - 强调文字颜色 2 12 5 2 6" xfId="21182" xr:uid="{00000000-0005-0000-0000-0000D62D0000}"/>
    <cellStyle name="60% - 强调文字颜色 2 12 5 2 7" xfId="21184" xr:uid="{00000000-0005-0000-0000-0000D72D0000}"/>
    <cellStyle name="60% - 强调文字颜色 2 12 5 2 8" xfId="21186" xr:uid="{00000000-0005-0000-0000-0000D82D0000}"/>
    <cellStyle name="60% - 强调文字颜色 2 12 5 3" xfId="15221" xr:uid="{00000000-0005-0000-0000-0000D92D0000}"/>
    <cellStyle name="60% - 强调文字颜色 2 12 5 4" xfId="15225" xr:uid="{00000000-0005-0000-0000-0000DA2D0000}"/>
    <cellStyle name="60% - 强调文字颜色 2 12 5 5" xfId="15228" xr:uid="{00000000-0005-0000-0000-0000DB2D0000}"/>
    <cellStyle name="60% - 强调文字颜色 2 12 5 6" xfId="15231" xr:uid="{00000000-0005-0000-0000-0000DC2D0000}"/>
    <cellStyle name="60% - 强调文字颜色 2 12 5 6 2" xfId="21187" xr:uid="{00000000-0005-0000-0000-0000DD2D0000}"/>
    <cellStyle name="60% - 强调文字颜色 2 12 5 6 3" xfId="21189" xr:uid="{00000000-0005-0000-0000-0000DE2D0000}"/>
    <cellStyle name="60% - 强调文字颜色 2 12 5 7" xfId="15234" xr:uid="{00000000-0005-0000-0000-0000DF2D0000}"/>
    <cellStyle name="60% - 强调文字颜色 2 12 5 8" xfId="21190" xr:uid="{00000000-0005-0000-0000-0000E02D0000}"/>
    <cellStyle name="60% - 强调文字颜色 2 12 5 9" xfId="21191" xr:uid="{00000000-0005-0000-0000-0000E12D0000}"/>
    <cellStyle name="60% - 强调文字颜色 2 12 6" xfId="21192" xr:uid="{00000000-0005-0000-0000-0000E22D0000}"/>
    <cellStyle name="60% - 强调文字颜色 2 12 6 2" xfId="21193" xr:uid="{00000000-0005-0000-0000-0000E32D0000}"/>
    <cellStyle name="60% - 强调文字颜色 2 12 6 2 2" xfId="21194" xr:uid="{00000000-0005-0000-0000-0000E42D0000}"/>
    <cellStyle name="60% - 强调文字颜色 2 12 6 2 3" xfId="21196" xr:uid="{00000000-0005-0000-0000-0000E52D0000}"/>
    <cellStyle name="60% - 强调文字颜色 2 12 6 3" xfId="21197" xr:uid="{00000000-0005-0000-0000-0000E62D0000}"/>
    <cellStyle name="60% - 强调文字颜色 2 12 6 4" xfId="21198" xr:uid="{00000000-0005-0000-0000-0000E72D0000}"/>
    <cellStyle name="60% - 强调文字颜色 2 12 6 5" xfId="18411" xr:uid="{00000000-0005-0000-0000-0000E82D0000}"/>
    <cellStyle name="60% - 强调文字颜色 2 12 6 6" xfId="18412" xr:uid="{00000000-0005-0000-0000-0000E92D0000}"/>
    <cellStyle name="60% - 强调文字颜色 2 12 6 7" xfId="21199" xr:uid="{00000000-0005-0000-0000-0000EA2D0000}"/>
    <cellStyle name="60% - 强调文字颜色 2 12 6 8" xfId="21201" xr:uid="{00000000-0005-0000-0000-0000EB2D0000}"/>
    <cellStyle name="60% - 强调文字颜色 2 12 7" xfId="21202" xr:uid="{00000000-0005-0000-0000-0000EC2D0000}"/>
    <cellStyle name="60% - 强调文字颜色 2 12 8" xfId="21203" xr:uid="{00000000-0005-0000-0000-0000ED2D0000}"/>
    <cellStyle name="60% - 强调文字颜色 2 12 9" xfId="21204" xr:uid="{00000000-0005-0000-0000-0000EE2D0000}"/>
    <cellStyle name="60% - 强调文字颜色 2 12 9 2" xfId="8436" xr:uid="{00000000-0005-0000-0000-0000EF2D0000}"/>
    <cellStyle name="60% - 强调文字颜色 2 12 9 3" xfId="8448" xr:uid="{00000000-0005-0000-0000-0000F02D0000}"/>
    <cellStyle name="60% - 强调文字颜色 2 13" xfId="21205" xr:uid="{00000000-0005-0000-0000-0000F12D0000}"/>
    <cellStyle name="60% - 强调文字颜色 2 14" xfId="21207" xr:uid="{00000000-0005-0000-0000-0000F22D0000}"/>
    <cellStyle name="60% - 强调文字颜色 2 15" xfId="21209" xr:uid="{00000000-0005-0000-0000-0000F32D0000}"/>
    <cellStyle name="60% - 强调文字颜色 2 16" xfId="21210" xr:uid="{00000000-0005-0000-0000-0000F42D0000}"/>
    <cellStyle name="60% - 强调文字颜色 2 16 10" xfId="20082" xr:uid="{00000000-0005-0000-0000-0000F52D0000}"/>
    <cellStyle name="60% - 强调文字颜色 2 16 11" xfId="20084" xr:uid="{00000000-0005-0000-0000-0000F62D0000}"/>
    <cellStyle name="60% - 强调文字颜色 2 16 12" xfId="20086" xr:uid="{00000000-0005-0000-0000-0000F72D0000}"/>
    <cellStyle name="60% - 强调文字颜色 2 16 13" xfId="20166" xr:uid="{00000000-0005-0000-0000-0000F82D0000}"/>
    <cellStyle name="60% - 强调文字颜色 2 16 14" xfId="20183" xr:uid="{00000000-0005-0000-0000-0000F92D0000}"/>
    <cellStyle name="60% - 强调文字颜色 2 16 2" xfId="20272" xr:uid="{00000000-0005-0000-0000-0000FA2D0000}"/>
    <cellStyle name="60% - 强调文字颜色 2 16 3" xfId="20274" xr:uid="{00000000-0005-0000-0000-0000FB2D0000}"/>
    <cellStyle name="60% - 强调文字颜色 2 16 4" xfId="20277" xr:uid="{00000000-0005-0000-0000-0000FC2D0000}"/>
    <cellStyle name="60% - 强调文字颜色 2 16 5" xfId="20280" xr:uid="{00000000-0005-0000-0000-0000FD2D0000}"/>
    <cellStyle name="60% - 强调文字颜色 2 16 5 10" xfId="21212" xr:uid="{00000000-0005-0000-0000-0000FE2D0000}"/>
    <cellStyle name="60% - 强调文字颜色 2 16 5 11" xfId="21213" xr:uid="{00000000-0005-0000-0000-0000FF2D0000}"/>
    <cellStyle name="60% - 强调文字颜色 2 16 5 2" xfId="14650" xr:uid="{00000000-0005-0000-0000-0000002E0000}"/>
    <cellStyle name="60% - 强调文字颜色 2 16 5 2 2" xfId="17889" xr:uid="{00000000-0005-0000-0000-0000012E0000}"/>
    <cellStyle name="60% - 强调文字颜色 2 16 5 2 2 2" xfId="21214" xr:uid="{00000000-0005-0000-0000-0000022E0000}"/>
    <cellStyle name="60% - 强调文字颜色 2 16 5 2 2 3" xfId="21215" xr:uid="{00000000-0005-0000-0000-0000032E0000}"/>
    <cellStyle name="60% - 强调文字颜色 2 16 5 2 3" xfId="4563" xr:uid="{00000000-0005-0000-0000-0000042E0000}"/>
    <cellStyle name="60% - 强调文字颜色 2 16 5 2 4" xfId="4588" xr:uid="{00000000-0005-0000-0000-0000052E0000}"/>
    <cellStyle name="60% - 强调文字颜色 2 16 5 2 5" xfId="21219" xr:uid="{00000000-0005-0000-0000-0000062E0000}"/>
    <cellStyle name="60% - 强调文字颜色 2 16 5 2 6" xfId="21222" xr:uid="{00000000-0005-0000-0000-0000072E0000}"/>
    <cellStyle name="60% - 强调文字颜色 2 16 5 2 7" xfId="21225" xr:uid="{00000000-0005-0000-0000-0000082E0000}"/>
    <cellStyle name="60% - 强调文字颜色 2 16 5 2 8" xfId="21228" xr:uid="{00000000-0005-0000-0000-0000092E0000}"/>
    <cellStyle name="60% - 强调文字颜色 2 16 5 3" xfId="14656" xr:uid="{00000000-0005-0000-0000-00000A2E0000}"/>
    <cellStyle name="60% - 强调文字颜色 2 16 5 4" xfId="15113" xr:uid="{00000000-0005-0000-0000-00000B2E0000}"/>
    <cellStyle name="60% - 强调文字颜色 2 16 5 5" xfId="15118" xr:uid="{00000000-0005-0000-0000-00000C2E0000}"/>
    <cellStyle name="60% - 强调文字颜色 2 16 5 6" xfId="15120" xr:uid="{00000000-0005-0000-0000-00000D2E0000}"/>
    <cellStyle name="60% - 强调文字颜色 2 16 5 6 2" xfId="21229" xr:uid="{00000000-0005-0000-0000-00000E2E0000}"/>
    <cellStyle name="60% - 强调文字颜色 2 16 5 6 3" xfId="21230" xr:uid="{00000000-0005-0000-0000-00000F2E0000}"/>
    <cellStyle name="60% - 强调文字颜色 2 16 5 7" xfId="21231" xr:uid="{00000000-0005-0000-0000-0000102E0000}"/>
    <cellStyle name="60% - 强调文字颜色 2 16 5 8" xfId="19934" xr:uid="{00000000-0005-0000-0000-0000112E0000}"/>
    <cellStyle name="60% - 强调文字颜色 2 16 5 9" xfId="19939" xr:uid="{00000000-0005-0000-0000-0000122E0000}"/>
    <cellStyle name="60% - 强调文字颜色 2 16 6" xfId="9780" xr:uid="{00000000-0005-0000-0000-0000132E0000}"/>
    <cellStyle name="60% - 强调文字颜色 2 16 6 2" xfId="10930" xr:uid="{00000000-0005-0000-0000-0000142E0000}"/>
    <cellStyle name="60% - 强调文字颜色 2 16 6 2 2" xfId="9430" xr:uid="{00000000-0005-0000-0000-0000152E0000}"/>
    <cellStyle name="60% - 强调文字颜色 2 16 6 2 3" xfId="9439" xr:uid="{00000000-0005-0000-0000-0000162E0000}"/>
    <cellStyle name="60% - 强调文字颜色 2 16 6 3" xfId="10937" xr:uid="{00000000-0005-0000-0000-0000172E0000}"/>
    <cellStyle name="60% - 强调文字颜色 2 16 6 4" xfId="10942" xr:uid="{00000000-0005-0000-0000-0000182E0000}"/>
    <cellStyle name="60% - 强调文字颜色 2 16 6 5" xfId="10947" xr:uid="{00000000-0005-0000-0000-0000192E0000}"/>
    <cellStyle name="60% - 强调文字颜色 2 16 6 6" xfId="10950" xr:uid="{00000000-0005-0000-0000-00001A2E0000}"/>
    <cellStyle name="60% - 强调文字颜色 2 16 6 7" xfId="10952" xr:uid="{00000000-0005-0000-0000-00001B2E0000}"/>
    <cellStyle name="60% - 强调文字颜色 2 16 6 8" xfId="10955" xr:uid="{00000000-0005-0000-0000-00001C2E0000}"/>
    <cellStyle name="60% - 强调文字颜色 2 16 7" xfId="9795" xr:uid="{00000000-0005-0000-0000-00001D2E0000}"/>
    <cellStyle name="60% - 强调文字颜色 2 16 8" xfId="9521" xr:uid="{00000000-0005-0000-0000-00001E2E0000}"/>
    <cellStyle name="60% - 强调文字颜色 2 16 9" xfId="9534" xr:uid="{00000000-0005-0000-0000-00001F2E0000}"/>
    <cellStyle name="60% - 强调文字颜色 2 16 9 2" xfId="11472" xr:uid="{00000000-0005-0000-0000-0000202E0000}"/>
    <cellStyle name="60% - 强调文字颜色 2 16 9 3" xfId="21232" xr:uid="{00000000-0005-0000-0000-0000212E0000}"/>
    <cellStyle name="60% - 强调文字颜色 2 17" xfId="21234" xr:uid="{00000000-0005-0000-0000-0000222E0000}"/>
    <cellStyle name="60% - 强调文字颜色 2 17 10" xfId="10576" xr:uid="{00000000-0005-0000-0000-0000232E0000}"/>
    <cellStyle name="60% - 强调文字颜色 2 17 11" xfId="21235" xr:uid="{00000000-0005-0000-0000-0000242E0000}"/>
    <cellStyle name="60% - 强调文字颜色 2 17 12" xfId="21240" xr:uid="{00000000-0005-0000-0000-0000252E0000}"/>
    <cellStyle name="60% - 强调文字颜色 2 17 13" xfId="21242" xr:uid="{00000000-0005-0000-0000-0000262E0000}"/>
    <cellStyle name="60% - 强调文字颜色 2 17 14" xfId="21244" xr:uid="{00000000-0005-0000-0000-0000272E0000}"/>
    <cellStyle name="60% - 强调文字颜色 2 17 2" xfId="20287" xr:uid="{00000000-0005-0000-0000-0000282E0000}"/>
    <cellStyle name="60% - 强调文字颜色 2 17 3" xfId="20289" xr:uid="{00000000-0005-0000-0000-0000292E0000}"/>
    <cellStyle name="60% - 强调文字颜色 2 17 4" xfId="20292" xr:uid="{00000000-0005-0000-0000-00002A2E0000}"/>
    <cellStyle name="60% - 强调文字颜色 2 17 5" xfId="20295" xr:uid="{00000000-0005-0000-0000-00002B2E0000}"/>
    <cellStyle name="60% - 强调文字颜色 2 17 5 10" xfId="5285" xr:uid="{00000000-0005-0000-0000-00002C2E0000}"/>
    <cellStyle name="60% - 强调文字颜色 2 17 5 11" xfId="6090" xr:uid="{00000000-0005-0000-0000-00002D2E0000}"/>
    <cellStyle name="60% - 强调文字颜色 2 17 5 2" xfId="21245" xr:uid="{00000000-0005-0000-0000-00002E2E0000}"/>
    <cellStyle name="60% - 强调文字颜色 2 17 5 2 2" xfId="21248" xr:uid="{00000000-0005-0000-0000-00002F2E0000}"/>
    <cellStyle name="60% - 强调文字颜色 2 17 5 2 2 2" xfId="21251" xr:uid="{00000000-0005-0000-0000-0000302E0000}"/>
    <cellStyle name="60% - 强调文字颜色 2 17 5 2 2 3" xfId="11416" xr:uid="{00000000-0005-0000-0000-0000312E0000}"/>
    <cellStyle name="60% - 强调文字颜色 2 17 5 2 3" xfId="21253" xr:uid="{00000000-0005-0000-0000-0000322E0000}"/>
    <cellStyle name="60% - 强调文字颜色 2 17 5 2 4" xfId="11823" xr:uid="{00000000-0005-0000-0000-0000332E0000}"/>
    <cellStyle name="60% - 强调文字颜色 2 17 5 2 5" xfId="11832" xr:uid="{00000000-0005-0000-0000-0000342E0000}"/>
    <cellStyle name="60% - 强调文字颜色 2 17 5 2 6" xfId="11837" xr:uid="{00000000-0005-0000-0000-0000352E0000}"/>
    <cellStyle name="60% - 强调文字颜色 2 17 5 2 7" xfId="11842" xr:uid="{00000000-0005-0000-0000-0000362E0000}"/>
    <cellStyle name="60% - 强调文字颜色 2 17 5 2 8" xfId="11848" xr:uid="{00000000-0005-0000-0000-0000372E0000}"/>
    <cellStyle name="60% - 强调文字颜色 2 17 5 3" xfId="21254" xr:uid="{00000000-0005-0000-0000-0000382E0000}"/>
    <cellStyle name="60% - 强调文字颜色 2 17 5 4" xfId="21255" xr:uid="{00000000-0005-0000-0000-0000392E0000}"/>
    <cellStyle name="60% - 强调文字颜色 2 17 5 5" xfId="21258" xr:uid="{00000000-0005-0000-0000-00003A2E0000}"/>
    <cellStyle name="60% - 强调文字颜色 2 17 5 6" xfId="21259" xr:uid="{00000000-0005-0000-0000-00003B2E0000}"/>
    <cellStyle name="60% - 强调文字颜色 2 17 5 6 2" xfId="3725" xr:uid="{00000000-0005-0000-0000-00003C2E0000}"/>
    <cellStyle name="60% - 强调文字颜色 2 17 5 6 3" xfId="3739" xr:uid="{00000000-0005-0000-0000-00003D2E0000}"/>
    <cellStyle name="60% - 强调文字颜色 2 17 5 7" xfId="21260" xr:uid="{00000000-0005-0000-0000-00003E2E0000}"/>
    <cellStyle name="60% - 强调文字颜色 2 17 5 8" xfId="21261" xr:uid="{00000000-0005-0000-0000-00003F2E0000}"/>
    <cellStyle name="60% - 强调文字颜色 2 17 5 9" xfId="21262" xr:uid="{00000000-0005-0000-0000-0000402E0000}"/>
    <cellStyle name="60% - 强调文字颜色 2 17 6" xfId="10985" xr:uid="{00000000-0005-0000-0000-0000412E0000}"/>
    <cellStyle name="60% - 强调文字颜色 2 17 6 2" xfId="6811" xr:uid="{00000000-0005-0000-0000-0000422E0000}"/>
    <cellStyle name="60% - 强调文字颜色 2 17 6 2 2" xfId="21263" xr:uid="{00000000-0005-0000-0000-0000432E0000}"/>
    <cellStyle name="60% - 强调文字颜色 2 17 6 2 3" xfId="21268" xr:uid="{00000000-0005-0000-0000-0000442E0000}"/>
    <cellStyle name="60% - 强调文字颜色 2 17 6 3" xfId="6823" xr:uid="{00000000-0005-0000-0000-0000452E0000}"/>
    <cellStyle name="60% - 强调文字颜色 2 17 6 4" xfId="21269" xr:uid="{00000000-0005-0000-0000-0000462E0000}"/>
    <cellStyle name="60% - 强调文字颜色 2 17 6 5" xfId="21271" xr:uid="{00000000-0005-0000-0000-0000472E0000}"/>
    <cellStyle name="60% - 强调文字颜色 2 17 6 6" xfId="21273" xr:uid="{00000000-0005-0000-0000-0000482E0000}"/>
    <cellStyle name="60% - 强调文字颜色 2 17 6 7" xfId="21276" xr:uid="{00000000-0005-0000-0000-0000492E0000}"/>
    <cellStyle name="60% - 强调文字颜色 2 17 6 8" xfId="13348" xr:uid="{00000000-0005-0000-0000-00004A2E0000}"/>
    <cellStyle name="60% - 强调文字颜色 2 17 7" xfId="10995" xr:uid="{00000000-0005-0000-0000-00004B2E0000}"/>
    <cellStyle name="60% - 强调文字颜色 2 17 8" xfId="11005" xr:uid="{00000000-0005-0000-0000-00004C2E0000}"/>
    <cellStyle name="60% - 强调文字颜色 2 17 9" xfId="11014" xr:uid="{00000000-0005-0000-0000-00004D2E0000}"/>
    <cellStyle name="60% - 强调文字颜色 2 17 9 2" xfId="2478" xr:uid="{00000000-0005-0000-0000-00004E2E0000}"/>
    <cellStyle name="60% - 强调文字颜色 2 17 9 3" xfId="2496" xr:uid="{00000000-0005-0000-0000-00004F2E0000}"/>
    <cellStyle name="60% - 强调文字颜色 2 18" xfId="21280" xr:uid="{00000000-0005-0000-0000-0000502E0000}"/>
    <cellStyle name="60% - 强调文字颜色 2 18 10" xfId="4440" xr:uid="{00000000-0005-0000-0000-0000512E0000}"/>
    <cellStyle name="60% - 强调文字颜色 2 18 11" xfId="4456" xr:uid="{00000000-0005-0000-0000-0000522E0000}"/>
    <cellStyle name="60% - 强调文字颜色 2 18 12" xfId="4472" xr:uid="{00000000-0005-0000-0000-0000532E0000}"/>
    <cellStyle name="60% - 强调文字颜色 2 18 13" xfId="4484" xr:uid="{00000000-0005-0000-0000-0000542E0000}"/>
    <cellStyle name="60% - 强调文字颜色 2 18 14" xfId="4498" xr:uid="{00000000-0005-0000-0000-0000552E0000}"/>
    <cellStyle name="60% - 强调文字颜色 2 18 2" xfId="20317" xr:uid="{00000000-0005-0000-0000-0000562E0000}"/>
    <cellStyle name="60% - 强调文字颜色 2 18 3" xfId="20322" xr:uid="{00000000-0005-0000-0000-0000572E0000}"/>
    <cellStyle name="60% - 强调文字颜色 2 18 4" xfId="20326" xr:uid="{00000000-0005-0000-0000-0000582E0000}"/>
    <cellStyle name="60% - 强调文字颜色 2 18 5" xfId="20332" xr:uid="{00000000-0005-0000-0000-0000592E0000}"/>
    <cellStyle name="60% - 强调文字颜色 2 18 5 10" xfId="21282" xr:uid="{00000000-0005-0000-0000-00005A2E0000}"/>
    <cellStyle name="60% - 强调文字颜色 2 18 5 11" xfId="21284" xr:uid="{00000000-0005-0000-0000-00005B2E0000}"/>
    <cellStyle name="60% - 强调文字颜色 2 18 5 2" xfId="21285" xr:uid="{00000000-0005-0000-0000-00005C2E0000}"/>
    <cellStyle name="60% - 强调文字颜色 2 18 5 2 2" xfId="17676" xr:uid="{00000000-0005-0000-0000-00005D2E0000}"/>
    <cellStyle name="60% - 强调文字颜色 2 18 5 2 2 2" xfId="21286" xr:uid="{00000000-0005-0000-0000-00005E2E0000}"/>
    <cellStyle name="60% - 强调文字颜色 2 18 5 2 2 3" xfId="19700" xr:uid="{00000000-0005-0000-0000-00005F2E0000}"/>
    <cellStyle name="60% - 强调文字颜色 2 18 5 2 3" xfId="3563" xr:uid="{00000000-0005-0000-0000-0000602E0000}"/>
    <cellStyle name="60% - 强调文字颜色 2 18 5 2 4" xfId="3812" xr:uid="{00000000-0005-0000-0000-0000612E0000}"/>
    <cellStyle name="60% - 强调文字颜色 2 18 5 2 5" xfId="5271" xr:uid="{00000000-0005-0000-0000-0000622E0000}"/>
    <cellStyle name="60% - 强调文字颜色 2 18 5 2 6" xfId="5291" xr:uid="{00000000-0005-0000-0000-0000632E0000}"/>
    <cellStyle name="60% - 强调文字颜色 2 18 5 2 7" xfId="5302" xr:uid="{00000000-0005-0000-0000-0000642E0000}"/>
    <cellStyle name="60% - 强调文字颜色 2 18 5 2 8" xfId="5314" xr:uid="{00000000-0005-0000-0000-0000652E0000}"/>
    <cellStyle name="60% - 强调文字颜色 2 18 5 3" xfId="21287" xr:uid="{00000000-0005-0000-0000-0000662E0000}"/>
    <cellStyle name="60% - 强调文字颜色 2 18 5 4" xfId="14887" xr:uid="{00000000-0005-0000-0000-0000672E0000}"/>
    <cellStyle name="60% - 强调文字颜色 2 18 5 5" xfId="14897" xr:uid="{00000000-0005-0000-0000-0000682E0000}"/>
    <cellStyle name="60% - 强调文字颜色 2 18 5 6" xfId="14902" xr:uid="{00000000-0005-0000-0000-0000692E0000}"/>
    <cellStyle name="60% - 强调文字颜色 2 18 5 6 2" xfId="14077" xr:uid="{00000000-0005-0000-0000-00006A2E0000}"/>
    <cellStyle name="60% - 强调文字颜色 2 18 5 6 3" xfId="14081" xr:uid="{00000000-0005-0000-0000-00006B2E0000}"/>
    <cellStyle name="60% - 强调文字颜色 2 18 5 7" xfId="14907" xr:uid="{00000000-0005-0000-0000-00006C2E0000}"/>
    <cellStyle name="60% - 强调文字颜色 2 18 5 8" xfId="14236" xr:uid="{00000000-0005-0000-0000-00006D2E0000}"/>
    <cellStyle name="60% - 强调文字颜色 2 18 5 9" xfId="14242" xr:uid="{00000000-0005-0000-0000-00006E2E0000}"/>
    <cellStyle name="60% - 强调文字颜色 2 18 6" xfId="20337" xr:uid="{00000000-0005-0000-0000-00006F2E0000}"/>
    <cellStyle name="60% - 强调文字颜色 2 18 6 2" xfId="21288" xr:uid="{00000000-0005-0000-0000-0000702E0000}"/>
    <cellStyle name="60% - 强调文字颜色 2 18 6 2 2" xfId="17699" xr:uid="{00000000-0005-0000-0000-0000712E0000}"/>
    <cellStyle name="60% - 强调文字颜色 2 18 6 2 3" xfId="21291" xr:uid="{00000000-0005-0000-0000-0000722E0000}"/>
    <cellStyle name="60% - 强调文字颜色 2 18 6 3" xfId="21294" xr:uid="{00000000-0005-0000-0000-0000732E0000}"/>
    <cellStyle name="60% - 强调文字颜色 2 18 6 4" xfId="11115" xr:uid="{00000000-0005-0000-0000-0000742E0000}"/>
    <cellStyle name="60% - 强调文字颜色 2 18 6 5" xfId="11121" xr:uid="{00000000-0005-0000-0000-0000752E0000}"/>
    <cellStyle name="60% - 强调文字颜色 2 18 6 6" xfId="21297" xr:uid="{00000000-0005-0000-0000-0000762E0000}"/>
    <cellStyle name="60% - 强调文字颜色 2 18 6 7" xfId="21299" xr:uid="{00000000-0005-0000-0000-0000772E0000}"/>
    <cellStyle name="60% - 强调文字颜色 2 18 6 8" xfId="14929" xr:uid="{00000000-0005-0000-0000-0000782E0000}"/>
    <cellStyle name="60% - 强调文字颜色 2 18 7" xfId="20342" xr:uid="{00000000-0005-0000-0000-0000792E0000}"/>
    <cellStyle name="60% - 强调文字颜色 2 18 8" xfId="20346" xr:uid="{00000000-0005-0000-0000-00007A2E0000}"/>
    <cellStyle name="60% - 强调文字颜色 2 18 9" xfId="21301" xr:uid="{00000000-0005-0000-0000-00007B2E0000}"/>
    <cellStyle name="60% - 强调文字颜色 2 18 9 2" xfId="21304" xr:uid="{00000000-0005-0000-0000-00007C2E0000}"/>
    <cellStyle name="60% - 强调文字颜色 2 18 9 3" xfId="21306" xr:uid="{00000000-0005-0000-0000-00007D2E0000}"/>
    <cellStyle name="60% - 强调文字颜色 2 19" xfId="21308" xr:uid="{00000000-0005-0000-0000-00007E2E0000}"/>
    <cellStyle name="60% - 强调文字颜色 2 2" xfId="901" xr:uid="{00000000-0005-0000-0000-00007F2E0000}"/>
    <cellStyle name="60% - 强调文字颜色 2 2 10" xfId="21309" xr:uid="{00000000-0005-0000-0000-0000802E0000}"/>
    <cellStyle name="60% - 强调文字颜色 2 2 11" xfId="21310" xr:uid="{00000000-0005-0000-0000-0000812E0000}"/>
    <cellStyle name="60% - 强调文字颜色 2 2 12" xfId="21311" xr:uid="{00000000-0005-0000-0000-0000822E0000}"/>
    <cellStyle name="60% - 强调文字颜色 2 2 13" xfId="21312" xr:uid="{00000000-0005-0000-0000-0000832E0000}"/>
    <cellStyle name="60% - 强调文字颜色 2 2 14" xfId="21313" xr:uid="{00000000-0005-0000-0000-0000842E0000}"/>
    <cellStyle name="60% - 强调文字颜色 2 2 15" xfId="12735" xr:uid="{00000000-0005-0000-0000-0000852E0000}"/>
    <cellStyle name="60% - 强调文字颜色 2 2 16" xfId="12748" xr:uid="{00000000-0005-0000-0000-0000862E0000}"/>
    <cellStyle name="60% - 强调文字颜色 2 2 17" xfId="12758" xr:uid="{00000000-0005-0000-0000-0000872E0000}"/>
    <cellStyle name="60% - 强调文字颜色 2 2 17 10" xfId="13488" xr:uid="{00000000-0005-0000-0000-0000882E0000}"/>
    <cellStyle name="60% - 强调文字颜色 2 2 17 11" xfId="21317" xr:uid="{00000000-0005-0000-0000-0000892E0000}"/>
    <cellStyle name="60% - 强调文字颜色 2 2 17 12" xfId="21321" xr:uid="{00000000-0005-0000-0000-00008A2E0000}"/>
    <cellStyle name="60% - 强调文字颜色 2 2 17 13" xfId="14339" xr:uid="{00000000-0005-0000-0000-00008B2E0000}"/>
    <cellStyle name="60% - 强调文字颜色 2 2 17 14" xfId="14348" xr:uid="{00000000-0005-0000-0000-00008C2E0000}"/>
    <cellStyle name="60% - 强调文字颜色 2 2 17 2" xfId="21324" xr:uid="{00000000-0005-0000-0000-00008D2E0000}"/>
    <cellStyle name="60% - 强调文字颜色 2 2 17 3" xfId="21328" xr:uid="{00000000-0005-0000-0000-00008E2E0000}"/>
    <cellStyle name="60% - 强调文字颜色 2 2 17 4" xfId="21331" xr:uid="{00000000-0005-0000-0000-00008F2E0000}"/>
    <cellStyle name="60% - 强调文字颜色 2 2 17 5" xfId="21334" xr:uid="{00000000-0005-0000-0000-0000902E0000}"/>
    <cellStyle name="60% - 强调文字颜色 2 2 17 5 10" xfId="10680" xr:uid="{00000000-0005-0000-0000-0000912E0000}"/>
    <cellStyle name="60% - 强调文字颜色 2 2 17 5 11" xfId="19422" xr:uid="{00000000-0005-0000-0000-0000922E0000}"/>
    <cellStyle name="60% - 强调文字颜色 2 2 17 5 2" xfId="4874" xr:uid="{00000000-0005-0000-0000-0000932E0000}"/>
    <cellStyle name="60% - 强调文字颜色 2 2 17 5 2 2" xfId="19857" xr:uid="{00000000-0005-0000-0000-0000942E0000}"/>
    <cellStyle name="60% - 强调文字颜色 2 2 17 5 2 2 2" xfId="21339" xr:uid="{00000000-0005-0000-0000-0000952E0000}"/>
    <cellStyle name="60% - 强调文字颜色 2 2 17 5 2 2 3" xfId="21341" xr:uid="{00000000-0005-0000-0000-0000962E0000}"/>
    <cellStyle name="60% - 强调文字颜色 2 2 17 5 2 3" xfId="19860" xr:uid="{00000000-0005-0000-0000-0000972E0000}"/>
    <cellStyle name="60% - 强调文字颜色 2 2 17 5 2 4" xfId="19863" xr:uid="{00000000-0005-0000-0000-0000982E0000}"/>
    <cellStyle name="60% - 强调文字颜色 2 2 17 5 2 5" xfId="21342" xr:uid="{00000000-0005-0000-0000-0000992E0000}"/>
    <cellStyle name="60% - 强调文字颜色 2 2 17 5 2 6" xfId="21343" xr:uid="{00000000-0005-0000-0000-00009A2E0000}"/>
    <cellStyle name="60% - 强调文字颜色 2 2 17 5 2 7" xfId="21344" xr:uid="{00000000-0005-0000-0000-00009B2E0000}"/>
    <cellStyle name="60% - 强调文字颜色 2 2 17 5 2 8" xfId="21345" xr:uid="{00000000-0005-0000-0000-00009C2E0000}"/>
    <cellStyle name="60% - 强调文字颜色 2 2 17 5 3" xfId="1100" xr:uid="{00000000-0005-0000-0000-00009D2E0000}"/>
    <cellStyle name="60% - 强调文字颜色 2 2 17 5 4" xfId="10915" xr:uid="{00000000-0005-0000-0000-00009E2E0000}"/>
    <cellStyle name="60% - 强调文字颜色 2 2 17 5 5" xfId="1167" xr:uid="{00000000-0005-0000-0000-00009F2E0000}"/>
    <cellStyle name="60% - 强调文字颜色 2 2 17 5 6" xfId="1190" xr:uid="{00000000-0005-0000-0000-0000A02E0000}"/>
    <cellStyle name="60% - 强调文字颜色 2 2 17 5 6 2" xfId="20336" xr:uid="{00000000-0005-0000-0000-0000A12E0000}"/>
    <cellStyle name="60% - 强调文字颜色 2 2 17 5 6 3" xfId="20341" xr:uid="{00000000-0005-0000-0000-0000A22E0000}"/>
    <cellStyle name="60% - 强调文字颜色 2 2 17 5 7" xfId="11036" xr:uid="{00000000-0005-0000-0000-0000A32E0000}"/>
    <cellStyle name="60% - 强调文字颜色 2 2 17 5 8" xfId="8082" xr:uid="{00000000-0005-0000-0000-0000A42E0000}"/>
    <cellStyle name="60% - 强调文字颜色 2 2 17 5 9" xfId="21346" xr:uid="{00000000-0005-0000-0000-0000A52E0000}"/>
    <cellStyle name="60% - 强调文字颜色 2 2 17 6" xfId="21348" xr:uid="{00000000-0005-0000-0000-0000A62E0000}"/>
    <cellStyle name="60% - 强调文字颜色 2 2 17 6 2" xfId="6590" xr:uid="{00000000-0005-0000-0000-0000A72E0000}"/>
    <cellStyle name="60% - 强调文字颜色 2 2 17 6 2 2" xfId="21350" xr:uid="{00000000-0005-0000-0000-0000A82E0000}"/>
    <cellStyle name="60% - 强调文字颜色 2 2 17 6 2 3" xfId="21351" xr:uid="{00000000-0005-0000-0000-0000A92E0000}"/>
    <cellStyle name="60% - 强调文字颜色 2 2 17 6 3" xfId="7737" xr:uid="{00000000-0005-0000-0000-0000AA2E0000}"/>
    <cellStyle name="60% - 强调文字颜色 2 2 17 6 4" xfId="21352" xr:uid="{00000000-0005-0000-0000-0000AB2E0000}"/>
    <cellStyle name="60% - 强调文字颜色 2 2 17 6 5" xfId="21353" xr:uid="{00000000-0005-0000-0000-0000AC2E0000}"/>
    <cellStyle name="60% - 强调文字颜色 2 2 17 6 6" xfId="2049" xr:uid="{00000000-0005-0000-0000-0000AD2E0000}"/>
    <cellStyle name="60% - 强调文字颜色 2 2 17 6 7" xfId="2114" xr:uid="{00000000-0005-0000-0000-0000AE2E0000}"/>
    <cellStyle name="60% - 强调文字颜色 2 2 17 6 8" xfId="2135" xr:uid="{00000000-0005-0000-0000-0000AF2E0000}"/>
    <cellStyle name="60% - 强调文字颜色 2 2 17 7" xfId="21354" xr:uid="{00000000-0005-0000-0000-0000B02E0000}"/>
    <cellStyle name="60% - 强调文字颜色 2 2 17 8" xfId="21356" xr:uid="{00000000-0005-0000-0000-0000B12E0000}"/>
    <cellStyle name="60% - 强调文字颜色 2 2 17 9" xfId="21358" xr:uid="{00000000-0005-0000-0000-0000B22E0000}"/>
    <cellStyle name="60% - 强调文字颜色 2 2 17 9 2" xfId="1561" xr:uid="{00000000-0005-0000-0000-0000B32E0000}"/>
    <cellStyle name="60% - 强调文字颜色 2 2 17 9 3" xfId="10804" xr:uid="{00000000-0005-0000-0000-0000B42E0000}"/>
    <cellStyle name="60% - 强调文字颜色 2 2 18" xfId="12766" xr:uid="{00000000-0005-0000-0000-0000B52E0000}"/>
    <cellStyle name="60% - 强调文字颜色 2 2 18 10" xfId="8557" xr:uid="{00000000-0005-0000-0000-0000B62E0000}"/>
    <cellStyle name="60% - 强调文字颜色 2 2 18 11" xfId="8564" xr:uid="{00000000-0005-0000-0000-0000B72E0000}"/>
    <cellStyle name="60% - 强调文字颜色 2 2 18 12" xfId="21364" xr:uid="{00000000-0005-0000-0000-0000B82E0000}"/>
    <cellStyle name="60% - 强调文字颜色 2 2 18 13" xfId="21370" xr:uid="{00000000-0005-0000-0000-0000B92E0000}"/>
    <cellStyle name="60% - 强调文字颜色 2 2 18 14" xfId="21376" xr:uid="{00000000-0005-0000-0000-0000BA2E0000}"/>
    <cellStyle name="60% - 强调文字颜色 2 2 18 2" xfId="21377" xr:uid="{00000000-0005-0000-0000-0000BB2E0000}"/>
    <cellStyle name="60% - 强调文字颜色 2 2 18 3" xfId="21378" xr:uid="{00000000-0005-0000-0000-0000BC2E0000}"/>
    <cellStyle name="60% - 强调文字颜色 2 2 18 4" xfId="21379" xr:uid="{00000000-0005-0000-0000-0000BD2E0000}"/>
    <cellStyle name="60% - 强调文字颜色 2 2 18 5" xfId="21381" xr:uid="{00000000-0005-0000-0000-0000BE2E0000}"/>
    <cellStyle name="60% - 强调文字颜色 2 2 18 5 10" xfId="21383" xr:uid="{00000000-0005-0000-0000-0000BF2E0000}"/>
    <cellStyle name="60% - 强调文字颜色 2 2 18 5 11" xfId="21384" xr:uid="{00000000-0005-0000-0000-0000C02E0000}"/>
    <cellStyle name="60% - 强调文字颜色 2 2 18 5 2" xfId="21385" xr:uid="{00000000-0005-0000-0000-0000C12E0000}"/>
    <cellStyle name="60% - 强调文字颜色 2 2 18 5 2 2" xfId="7544" xr:uid="{00000000-0005-0000-0000-0000C22E0000}"/>
    <cellStyle name="60% - 强调文字颜色 2 2 18 5 2 2 2" xfId="9608" xr:uid="{00000000-0005-0000-0000-0000C32E0000}"/>
    <cellStyle name="60% - 强调文字颜色 2 2 18 5 2 2 3" xfId="11443" xr:uid="{00000000-0005-0000-0000-0000C42E0000}"/>
    <cellStyle name="60% - 强调文字颜色 2 2 18 5 2 3" xfId="11753" xr:uid="{00000000-0005-0000-0000-0000C52E0000}"/>
    <cellStyle name="60% - 强调文字颜色 2 2 18 5 2 4" xfId="11763" xr:uid="{00000000-0005-0000-0000-0000C62E0000}"/>
    <cellStyle name="60% - 强调文字颜色 2 2 18 5 2 5" xfId="11771" xr:uid="{00000000-0005-0000-0000-0000C72E0000}"/>
    <cellStyle name="60% - 强调文字颜色 2 2 18 5 2 6" xfId="10924" xr:uid="{00000000-0005-0000-0000-0000C82E0000}"/>
    <cellStyle name="60% - 强调文字颜色 2 2 18 5 2 7" xfId="10056" xr:uid="{00000000-0005-0000-0000-0000C92E0000}"/>
    <cellStyle name="60% - 强调文字颜色 2 2 18 5 2 8" xfId="10065" xr:uid="{00000000-0005-0000-0000-0000CA2E0000}"/>
    <cellStyle name="60% - 强调文字颜色 2 2 18 5 3" xfId="21387" xr:uid="{00000000-0005-0000-0000-0000CB2E0000}"/>
    <cellStyle name="60% - 强调文字颜色 2 2 18 5 4" xfId="21389" xr:uid="{00000000-0005-0000-0000-0000CC2E0000}"/>
    <cellStyle name="60% - 强调文字颜色 2 2 18 5 5" xfId="21391" xr:uid="{00000000-0005-0000-0000-0000CD2E0000}"/>
    <cellStyle name="60% - 强调文字颜色 2 2 18 5 6" xfId="20136" xr:uid="{00000000-0005-0000-0000-0000CE2E0000}"/>
    <cellStyle name="60% - 强调文字颜色 2 2 18 5 6 2" xfId="11864" xr:uid="{00000000-0005-0000-0000-0000CF2E0000}"/>
    <cellStyle name="60% - 强调文字颜色 2 2 18 5 6 3" xfId="11456" xr:uid="{00000000-0005-0000-0000-0000D02E0000}"/>
    <cellStyle name="60% - 强调文字颜色 2 2 18 5 7" xfId="20139" xr:uid="{00000000-0005-0000-0000-0000D12E0000}"/>
    <cellStyle name="60% - 强调文字颜色 2 2 18 5 8" xfId="20142" xr:uid="{00000000-0005-0000-0000-0000D22E0000}"/>
    <cellStyle name="60% - 强调文字颜色 2 2 18 5 9" xfId="20147" xr:uid="{00000000-0005-0000-0000-0000D32E0000}"/>
    <cellStyle name="60% - 强调文字颜色 2 2 18 6" xfId="21392" xr:uid="{00000000-0005-0000-0000-0000D42E0000}"/>
    <cellStyle name="60% - 强调文字颜色 2 2 18 6 2" xfId="6725" xr:uid="{00000000-0005-0000-0000-0000D52E0000}"/>
    <cellStyle name="60% - 强调文字颜色 2 2 18 6 2 2" xfId="6071" xr:uid="{00000000-0005-0000-0000-0000D62E0000}"/>
    <cellStyle name="60% - 强调文字颜色 2 2 18 6 2 3" xfId="1895" xr:uid="{00000000-0005-0000-0000-0000D72E0000}"/>
    <cellStyle name="60% - 强调文字颜色 2 2 18 6 3" xfId="6799" xr:uid="{00000000-0005-0000-0000-0000D82E0000}"/>
    <cellStyle name="60% - 强调文字颜色 2 2 18 6 4" xfId="6908" xr:uid="{00000000-0005-0000-0000-0000D92E0000}"/>
    <cellStyle name="60% - 强调文字颜色 2 2 18 6 5" xfId="21394" xr:uid="{00000000-0005-0000-0000-0000DA2E0000}"/>
    <cellStyle name="60% - 强调文字颜色 2 2 18 6 6" xfId="21395" xr:uid="{00000000-0005-0000-0000-0000DB2E0000}"/>
    <cellStyle name="60% - 强调文字颜色 2 2 18 6 7" xfId="21396" xr:uid="{00000000-0005-0000-0000-0000DC2E0000}"/>
    <cellStyle name="60% - 强调文字颜色 2 2 18 6 8" xfId="21397" xr:uid="{00000000-0005-0000-0000-0000DD2E0000}"/>
    <cellStyle name="60% - 强调文字颜色 2 2 18 7" xfId="21398" xr:uid="{00000000-0005-0000-0000-0000DE2E0000}"/>
    <cellStyle name="60% - 强调文字颜色 2 2 18 8" xfId="21400" xr:uid="{00000000-0005-0000-0000-0000DF2E0000}"/>
    <cellStyle name="60% - 强调文字颜色 2 2 18 9" xfId="13373" xr:uid="{00000000-0005-0000-0000-0000E02E0000}"/>
    <cellStyle name="60% - 强调文字颜色 2 2 18 9 2" xfId="14343" xr:uid="{00000000-0005-0000-0000-0000E12E0000}"/>
    <cellStyle name="60% - 强调文字颜色 2 2 18 9 3" xfId="14351" xr:uid="{00000000-0005-0000-0000-0000E22E0000}"/>
    <cellStyle name="60% - 强调文字颜色 2 2 19" xfId="12771" xr:uid="{00000000-0005-0000-0000-0000E32E0000}"/>
    <cellStyle name="60% - 强调文字颜色 2 2 19 10" xfId="18909" xr:uid="{00000000-0005-0000-0000-0000E42E0000}"/>
    <cellStyle name="60% - 强调文字颜色 2 2 19 11" xfId="18910" xr:uid="{00000000-0005-0000-0000-0000E52E0000}"/>
    <cellStyle name="60% - 强调文字颜色 2 2 19 12" xfId="13214" xr:uid="{00000000-0005-0000-0000-0000E62E0000}"/>
    <cellStyle name="60% - 强调文字颜色 2 2 19 13" xfId="13223" xr:uid="{00000000-0005-0000-0000-0000E72E0000}"/>
    <cellStyle name="60% - 强调文字颜色 2 2 19 14" xfId="18918" xr:uid="{00000000-0005-0000-0000-0000E82E0000}"/>
    <cellStyle name="60% - 强调文字颜色 2 2 19 2" xfId="3626" xr:uid="{00000000-0005-0000-0000-0000E92E0000}"/>
    <cellStyle name="60% - 强调文字颜色 2 2 19 3" xfId="317" xr:uid="{00000000-0005-0000-0000-0000EA2E0000}"/>
    <cellStyle name="60% - 强调文字颜色 2 2 19 4" xfId="1703" xr:uid="{00000000-0005-0000-0000-0000EB2E0000}"/>
    <cellStyle name="60% - 强调文字颜色 2 2 19 5" xfId="1728" xr:uid="{00000000-0005-0000-0000-0000EC2E0000}"/>
    <cellStyle name="60% - 强调文字颜色 2 2 19 5 10" xfId="4926" xr:uid="{00000000-0005-0000-0000-0000ED2E0000}"/>
    <cellStyle name="60% - 强调文字颜色 2 2 19 5 11" xfId="4932" xr:uid="{00000000-0005-0000-0000-0000EE2E0000}"/>
    <cellStyle name="60% - 强调文字颜色 2 2 19 5 2" xfId="2658" xr:uid="{00000000-0005-0000-0000-0000EF2E0000}"/>
    <cellStyle name="60% - 强调文字颜色 2 2 19 5 2 2" xfId="21403" xr:uid="{00000000-0005-0000-0000-0000F02E0000}"/>
    <cellStyle name="60% - 强调文字颜色 2 2 19 5 2 2 2" xfId="21407" xr:uid="{00000000-0005-0000-0000-0000F12E0000}"/>
    <cellStyle name="60% - 强调文字颜色 2 2 19 5 2 2 3" xfId="21411" xr:uid="{00000000-0005-0000-0000-0000F22E0000}"/>
    <cellStyle name="60% - 强调文字颜色 2 2 19 5 2 3" xfId="21414" xr:uid="{00000000-0005-0000-0000-0000F32E0000}"/>
    <cellStyle name="60% - 强调文字颜色 2 2 19 5 2 4" xfId="21416" xr:uid="{00000000-0005-0000-0000-0000F42E0000}"/>
    <cellStyle name="60% - 强调文字颜色 2 2 19 5 2 5" xfId="21419" xr:uid="{00000000-0005-0000-0000-0000F52E0000}"/>
    <cellStyle name="60% - 强调文字颜色 2 2 19 5 2 6" xfId="21422" xr:uid="{00000000-0005-0000-0000-0000F62E0000}"/>
    <cellStyle name="60% - 强调文字颜色 2 2 19 5 2 7" xfId="21423" xr:uid="{00000000-0005-0000-0000-0000F72E0000}"/>
    <cellStyle name="60% - 强调文字颜色 2 2 19 5 2 8" xfId="21424" xr:uid="{00000000-0005-0000-0000-0000F82E0000}"/>
    <cellStyle name="60% - 强调文字颜色 2 2 19 5 3" xfId="3276" xr:uid="{00000000-0005-0000-0000-0000F92E0000}"/>
    <cellStyle name="60% - 强调文字颜色 2 2 19 5 4" xfId="3869" xr:uid="{00000000-0005-0000-0000-0000FA2E0000}"/>
    <cellStyle name="60% - 强调文字颜色 2 2 19 5 5" xfId="3877" xr:uid="{00000000-0005-0000-0000-0000FB2E0000}"/>
    <cellStyle name="60% - 强调文字颜色 2 2 19 5 6" xfId="3884" xr:uid="{00000000-0005-0000-0000-0000FC2E0000}"/>
    <cellStyle name="60% - 强调文字颜色 2 2 19 5 6 2" xfId="3852" xr:uid="{00000000-0005-0000-0000-0000FD2E0000}"/>
    <cellStyle name="60% - 强调文字颜色 2 2 19 5 6 3" xfId="3894" xr:uid="{00000000-0005-0000-0000-0000FE2E0000}"/>
    <cellStyle name="60% - 强调文字颜色 2 2 19 5 7" xfId="4304" xr:uid="{00000000-0005-0000-0000-0000FF2E0000}"/>
    <cellStyle name="60% - 强调文字颜色 2 2 19 5 8" xfId="4554" xr:uid="{00000000-0005-0000-0000-0000002F0000}"/>
    <cellStyle name="60% - 强调文字颜色 2 2 19 5 9" xfId="4575" xr:uid="{00000000-0005-0000-0000-0000012F0000}"/>
    <cellStyle name="60% - 强调文字颜色 2 2 19 6" xfId="4798" xr:uid="{00000000-0005-0000-0000-0000022F0000}"/>
    <cellStyle name="60% - 强调文字颜色 2 2 19 6 2" xfId="20822" xr:uid="{00000000-0005-0000-0000-0000032F0000}"/>
    <cellStyle name="60% - 强调文字颜色 2 2 19 6 2 2" xfId="21425" xr:uid="{00000000-0005-0000-0000-0000042F0000}"/>
    <cellStyle name="60% - 强调文字颜色 2 2 19 6 2 3" xfId="21426" xr:uid="{00000000-0005-0000-0000-0000052F0000}"/>
    <cellStyle name="60% - 强调文字颜色 2 2 19 6 3" xfId="20824" xr:uid="{00000000-0005-0000-0000-0000062F0000}"/>
    <cellStyle name="60% - 强调文字颜色 2 2 19 6 4" xfId="18058" xr:uid="{00000000-0005-0000-0000-0000072F0000}"/>
    <cellStyle name="60% - 强调文字颜色 2 2 19 6 5" xfId="18061" xr:uid="{00000000-0005-0000-0000-0000082F0000}"/>
    <cellStyle name="60% - 强调文字颜色 2 2 19 6 6" xfId="9969" xr:uid="{00000000-0005-0000-0000-0000092F0000}"/>
    <cellStyle name="60% - 强调文字颜色 2 2 19 6 7" xfId="9972" xr:uid="{00000000-0005-0000-0000-00000A2F0000}"/>
    <cellStyle name="60% - 强调文字颜色 2 2 19 6 8" xfId="6910" xr:uid="{00000000-0005-0000-0000-00000B2F0000}"/>
    <cellStyle name="60% - 强调文字颜色 2 2 19 7" xfId="4807" xr:uid="{00000000-0005-0000-0000-00000C2F0000}"/>
    <cellStyle name="60% - 强调文字颜色 2 2 19 8" xfId="4938" xr:uid="{00000000-0005-0000-0000-00000D2F0000}"/>
    <cellStyle name="60% - 强调文字颜色 2 2 19 9" xfId="2564" xr:uid="{00000000-0005-0000-0000-00000E2F0000}"/>
    <cellStyle name="60% - 强调文字颜色 2 2 19 9 2" xfId="5035" xr:uid="{00000000-0005-0000-0000-00000F2F0000}"/>
    <cellStyle name="60% - 强调文字颜色 2 2 19 9 3" xfId="5041" xr:uid="{00000000-0005-0000-0000-0000102F0000}"/>
    <cellStyle name="60% - 强调文字颜色 2 2 2" xfId="3710" xr:uid="{00000000-0005-0000-0000-0000112F0000}"/>
    <cellStyle name="60% - 强调文字颜色 2 2 2 10" xfId="21427" xr:uid="{00000000-0005-0000-0000-0000122F0000}"/>
    <cellStyle name="60% - 强调文字颜色 2 2 2 11" xfId="21429" xr:uid="{00000000-0005-0000-0000-0000132F0000}"/>
    <cellStyle name="60% - 强调文字颜色 2 2 2 12" xfId="4382" xr:uid="{00000000-0005-0000-0000-0000142F0000}"/>
    <cellStyle name="60% - 强调文字颜色 2 2 2 13" xfId="4395" xr:uid="{00000000-0005-0000-0000-0000152F0000}"/>
    <cellStyle name="60% - 强调文字颜色 2 2 2 14" xfId="4406" xr:uid="{00000000-0005-0000-0000-0000162F0000}"/>
    <cellStyle name="60% - 强调文字颜色 2 2 2 2" xfId="21430" xr:uid="{00000000-0005-0000-0000-0000172F0000}"/>
    <cellStyle name="60% - 强调文字颜色 2 2 2 3" xfId="21431" xr:uid="{00000000-0005-0000-0000-0000182F0000}"/>
    <cellStyle name="60% - 强调文字颜色 2 2 2 4" xfId="21432" xr:uid="{00000000-0005-0000-0000-0000192F0000}"/>
    <cellStyle name="60% - 强调文字颜色 2 2 2 5" xfId="21433" xr:uid="{00000000-0005-0000-0000-00001A2F0000}"/>
    <cellStyle name="60% - 强调文字颜色 2 2 2 6" xfId="21434" xr:uid="{00000000-0005-0000-0000-00001B2F0000}"/>
    <cellStyle name="60% - 强调文字颜色 2 2 2 7" xfId="21435" xr:uid="{00000000-0005-0000-0000-00001C2F0000}"/>
    <cellStyle name="60% - 强调文字颜色 2 2 2 8" xfId="21436" xr:uid="{00000000-0005-0000-0000-00001D2F0000}"/>
    <cellStyle name="60% - 强调文字颜色 2 2 2 9" xfId="21437" xr:uid="{00000000-0005-0000-0000-00001E2F0000}"/>
    <cellStyle name="60% - 强调文字颜色 2 2 20" xfId="12734" xr:uid="{00000000-0005-0000-0000-00001F2F0000}"/>
    <cellStyle name="60% - 强调文字颜色 2 2 20 10" xfId="711" xr:uid="{00000000-0005-0000-0000-0000202F0000}"/>
    <cellStyle name="60% - 强调文字颜色 2 2 20 11" xfId="12995" xr:uid="{00000000-0005-0000-0000-0000212F0000}"/>
    <cellStyle name="60% - 强调文字颜色 2 2 20 12" xfId="13000" xr:uid="{00000000-0005-0000-0000-0000222F0000}"/>
    <cellStyle name="60% - 强调文字颜色 2 2 20 13" xfId="13014" xr:uid="{00000000-0005-0000-0000-0000232F0000}"/>
    <cellStyle name="60% - 强调文字颜色 2 2 20 14" xfId="21440" xr:uid="{00000000-0005-0000-0000-0000242F0000}"/>
    <cellStyle name="60% - 强调文字颜色 2 2 20 2" xfId="12738" xr:uid="{00000000-0005-0000-0000-0000252F0000}"/>
    <cellStyle name="60% - 强调文字颜色 2 2 20 3" xfId="12742" xr:uid="{00000000-0005-0000-0000-0000262F0000}"/>
    <cellStyle name="60% - 强调文字颜色 2 2 20 4" xfId="17805" xr:uid="{00000000-0005-0000-0000-0000272F0000}"/>
    <cellStyle name="60% - 强调文字颜色 2 2 20 5" xfId="17808" xr:uid="{00000000-0005-0000-0000-0000282F0000}"/>
    <cellStyle name="60% - 强调文字颜色 2 2 20 5 10" xfId="21448" xr:uid="{00000000-0005-0000-0000-0000292F0000}"/>
    <cellStyle name="60% - 强调文字颜色 2 2 20 5 11" xfId="21451" xr:uid="{00000000-0005-0000-0000-00002A2F0000}"/>
    <cellStyle name="60% - 强调文字颜色 2 2 20 5 2" xfId="21453" xr:uid="{00000000-0005-0000-0000-00002B2F0000}"/>
    <cellStyle name="60% - 强调文字颜色 2 2 20 5 2 2" xfId="16731" xr:uid="{00000000-0005-0000-0000-00002C2F0000}"/>
    <cellStyle name="60% - 强调文字颜色 2 2 20 5 2 2 2" xfId="21454" xr:uid="{00000000-0005-0000-0000-00002D2F0000}"/>
    <cellStyle name="60% - 强调文字颜色 2 2 20 5 2 2 3" xfId="21456" xr:uid="{00000000-0005-0000-0000-00002E2F0000}"/>
    <cellStyle name="60% - 强调文字颜色 2 2 20 5 2 3" xfId="2328" xr:uid="{00000000-0005-0000-0000-00002F2F0000}"/>
    <cellStyle name="60% - 强调文字颜色 2 2 20 5 2 4" xfId="2334" xr:uid="{00000000-0005-0000-0000-0000302F0000}"/>
    <cellStyle name="60% - 强调文字颜色 2 2 20 5 2 5" xfId="21458" xr:uid="{00000000-0005-0000-0000-0000312F0000}"/>
    <cellStyle name="60% - 强调文字颜色 2 2 20 5 2 6" xfId="21459" xr:uid="{00000000-0005-0000-0000-0000322F0000}"/>
    <cellStyle name="60% - 强调文字颜色 2 2 20 5 2 7" xfId="21460" xr:uid="{00000000-0005-0000-0000-0000332F0000}"/>
    <cellStyle name="60% - 强调文字颜色 2 2 20 5 2 8" xfId="21461" xr:uid="{00000000-0005-0000-0000-0000342F0000}"/>
    <cellStyle name="60% - 强调文字颜色 2 2 20 5 3" xfId="21463" xr:uid="{00000000-0005-0000-0000-0000352F0000}"/>
    <cellStyle name="60% - 强调文字颜色 2 2 20 5 4" xfId="21465" xr:uid="{00000000-0005-0000-0000-0000362F0000}"/>
    <cellStyle name="60% - 强调文字颜色 2 2 20 5 5" xfId="21468" xr:uid="{00000000-0005-0000-0000-0000372F0000}"/>
    <cellStyle name="60% - 强调文字颜色 2 2 20 5 6" xfId="21471" xr:uid="{00000000-0005-0000-0000-0000382F0000}"/>
    <cellStyle name="60% - 强调文字颜色 2 2 20 5 6 2" xfId="21473" xr:uid="{00000000-0005-0000-0000-0000392F0000}"/>
    <cellStyle name="60% - 强调文字颜色 2 2 20 5 6 3" xfId="21474" xr:uid="{00000000-0005-0000-0000-00003A2F0000}"/>
    <cellStyle name="60% - 强调文字颜色 2 2 20 5 7" xfId="21476" xr:uid="{00000000-0005-0000-0000-00003B2F0000}"/>
    <cellStyle name="60% - 强调文字颜色 2 2 20 5 8" xfId="21478" xr:uid="{00000000-0005-0000-0000-00003C2F0000}"/>
    <cellStyle name="60% - 强调文字颜色 2 2 20 5 9" xfId="21479" xr:uid="{00000000-0005-0000-0000-00003D2F0000}"/>
    <cellStyle name="60% - 强调文字颜色 2 2 20 6" xfId="21480" xr:uid="{00000000-0005-0000-0000-00003E2F0000}"/>
    <cellStyle name="60% - 强调文字颜色 2 2 20 6 2" xfId="9651" xr:uid="{00000000-0005-0000-0000-00003F2F0000}"/>
    <cellStyle name="60% - 强调文字颜色 2 2 20 6 2 2" xfId="8537" xr:uid="{00000000-0005-0000-0000-0000402F0000}"/>
    <cellStyle name="60% - 强调文字颜色 2 2 20 6 2 3" xfId="2773" xr:uid="{00000000-0005-0000-0000-0000412F0000}"/>
    <cellStyle name="60% - 强调文字颜色 2 2 20 6 3" xfId="3765" xr:uid="{00000000-0005-0000-0000-0000422F0000}"/>
    <cellStyle name="60% - 强调文字颜色 2 2 20 6 4" xfId="3772" xr:uid="{00000000-0005-0000-0000-0000432F0000}"/>
    <cellStyle name="60% - 强调文字颜色 2 2 20 6 5" xfId="9118" xr:uid="{00000000-0005-0000-0000-0000442F0000}"/>
    <cellStyle name="60% - 强调文字颜色 2 2 20 6 6" xfId="3311" xr:uid="{00000000-0005-0000-0000-0000452F0000}"/>
    <cellStyle name="60% - 强调文字颜色 2 2 20 6 7" xfId="21481" xr:uid="{00000000-0005-0000-0000-0000462F0000}"/>
    <cellStyle name="60% - 强调文字颜色 2 2 20 6 8" xfId="21482" xr:uid="{00000000-0005-0000-0000-0000472F0000}"/>
    <cellStyle name="60% - 强调文字颜色 2 2 20 7" xfId="21483" xr:uid="{00000000-0005-0000-0000-0000482F0000}"/>
    <cellStyle name="60% - 强调文字颜色 2 2 20 8" xfId="21484" xr:uid="{00000000-0005-0000-0000-0000492F0000}"/>
    <cellStyle name="60% - 强调文字颜色 2 2 20 9" xfId="21485" xr:uid="{00000000-0005-0000-0000-00004A2F0000}"/>
    <cellStyle name="60% - 强调文字颜色 2 2 20 9 2" xfId="16609" xr:uid="{00000000-0005-0000-0000-00004B2F0000}"/>
    <cellStyle name="60% - 强调文字颜色 2 2 20 9 3" xfId="16637" xr:uid="{00000000-0005-0000-0000-00004C2F0000}"/>
    <cellStyle name="60% - 强调文字颜色 2 2 3" xfId="3732" xr:uid="{00000000-0005-0000-0000-00004D2F0000}"/>
    <cellStyle name="60% - 强调文字颜色 2 2 3 10" xfId="21487" xr:uid="{00000000-0005-0000-0000-00004E2F0000}"/>
    <cellStyle name="60% - 强调文字颜色 2 2 3 11" xfId="21490" xr:uid="{00000000-0005-0000-0000-00004F2F0000}"/>
    <cellStyle name="60% - 强调文字颜色 2 2 3 12" xfId="21494" xr:uid="{00000000-0005-0000-0000-0000502F0000}"/>
    <cellStyle name="60% - 强调文字颜色 2 2 3 13" xfId="21498" xr:uid="{00000000-0005-0000-0000-0000512F0000}"/>
    <cellStyle name="60% - 强调文字颜色 2 2 3 14" xfId="21502" xr:uid="{00000000-0005-0000-0000-0000522F0000}"/>
    <cellStyle name="60% - 强调文字颜色 2 2 3 2" xfId="21508" xr:uid="{00000000-0005-0000-0000-0000532F0000}"/>
    <cellStyle name="60% - 强调文字颜色 2 2 3 3" xfId="21513" xr:uid="{00000000-0005-0000-0000-0000542F0000}"/>
    <cellStyle name="60% - 强调文字颜色 2 2 3 4" xfId="21515" xr:uid="{00000000-0005-0000-0000-0000552F0000}"/>
    <cellStyle name="60% - 强调文字颜色 2 2 3 5" xfId="21518" xr:uid="{00000000-0005-0000-0000-0000562F0000}"/>
    <cellStyle name="60% - 强调文字颜色 2 2 3 6" xfId="21520" xr:uid="{00000000-0005-0000-0000-0000572F0000}"/>
    <cellStyle name="60% - 强调文字颜色 2 2 3 7" xfId="21522" xr:uid="{00000000-0005-0000-0000-0000582F0000}"/>
    <cellStyle name="60% - 强调文字颜色 2 2 3 8" xfId="21524" xr:uid="{00000000-0005-0000-0000-0000592F0000}"/>
    <cellStyle name="60% - 强调文字颜色 2 2 3 9" xfId="21525" xr:uid="{00000000-0005-0000-0000-00005A2F0000}"/>
    <cellStyle name="60% - 强调文字颜色 2 2 4" xfId="21526" xr:uid="{00000000-0005-0000-0000-00005B2F0000}"/>
    <cellStyle name="60% - 强调文字颜色 2 2 4 10" xfId="21529" xr:uid="{00000000-0005-0000-0000-00005C2F0000}"/>
    <cellStyle name="60% - 强调文字颜色 2 2 4 11" xfId="1428" xr:uid="{00000000-0005-0000-0000-00005D2F0000}"/>
    <cellStyle name="60% - 强调文字颜色 2 2 4 12" xfId="1460" xr:uid="{00000000-0005-0000-0000-00005E2F0000}"/>
    <cellStyle name="60% - 强调文字颜色 2 2 4 13" xfId="21532" xr:uid="{00000000-0005-0000-0000-00005F2F0000}"/>
    <cellStyle name="60% - 强调文字颜色 2 2 4 14" xfId="19168" xr:uid="{00000000-0005-0000-0000-0000602F0000}"/>
    <cellStyle name="60% - 强调文字颜色 2 2 4 2" xfId="21534" xr:uid="{00000000-0005-0000-0000-0000612F0000}"/>
    <cellStyle name="60% - 强调文字颜色 2 2 4 3" xfId="21537" xr:uid="{00000000-0005-0000-0000-0000622F0000}"/>
    <cellStyle name="60% - 强调文字颜色 2 2 4 4" xfId="16190" xr:uid="{00000000-0005-0000-0000-0000632F0000}"/>
    <cellStyle name="60% - 强调文字颜色 2 2 4 5" xfId="16194" xr:uid="{00000000-0005-0000-0000-0000642F0000}"/>
    <cellStyle name="60% - 强调文字颜色 2 2 4 6" xfId="14302" xr:uid="{00000000-0005-0000-0000-0000652F0000}"/>
    <cellStyle name="60% - 强调文字颜色 2 2 4 7" xfId="14308" xr:uid="{00000000-0005-0000-0000-0000662F0000}"/>
    <cellStyle name="60% - 强调文字颜色 2 2 4 8" xfId="21539" xr:uid="{00000000-0005-0000-0000-0000672F0000}"/>
    <cellStyle name="60% - 强调文字颜色 2 2 4 9" xfId="21541" xr:uid="{00000000-0005-0000-0000-0000682F0000}"/>
    <cellStyle name="60% - 强调文字颜色 2 2 5" xfId="21542" xr:uid="{00000000-0005-0000-0000-0000692F0000}"/>
    <cellStyle name="60% - 强调文字颜色 2 2 6" xfId="21544" xr:uid="{00000000-0005-0000-0000-00006A2F0000}"/>
    <cellStyle name="60% - 强调文字颜色 2 2 7" xfId="18626" xr:uid="{00000000-0005-0000-0000-00006B2F0000}"/>
    <cellStyle name="60% - 强调文字颜色 2 2 8" xfId="18631" xr:uid="{00000000-0005-0000-0000-00006C2F0000}"/>
    <cellStyle name="60% - 强调文字颜色 2 2 9" xfId="21546" xr:uid="{00000000-0005-0000-0000-00006D2F0000}"/>
    <cellStyle name="60% - 强调文字颜色 2 3" xfId="939" xr:uid="{00000000-0005-0000-0000-00006E2F0000}"/>
    <cellStyle name="60% - 强调文字颜色 2 3 10" xfId="21548" xr:uid="{00000000-0005-0000-0000-00006F2F0000}"/>
    <cellStyle name="60% - 强调文字颜色 2 3 11" xfId="21549" xr:uid="{00000000-0005-0000-0000-0000702F0000}"/>
    <cellStyle name="60% - 强调文字颜色 2 3 12" xfId="21550" xr:uid="{00000000-0005-0000-0000-0000712F0000}"/>
    <cellStyle name="60% - 强调文字颜色 2 3 13" xfId="949" xr:uid="{00000000-0005-0000-0000-0000722F0000}"/>
    <cellStyle name="60% - 强调文字颜色 2 3 14" xfId="985" xr:uid="{00000000-0005-0000-0000-0000732F0000}"/>
    <cellStyle name="60% - 强调文字颜色 2 3 15" xfId="1007" xr:uid="{00000000-0005-0000-0000-0000742F0000}"/>
    <cellStyle name="60% - 强调文字颜色 2 3 16" xfId="1040" xr:uid="{00000000-0005-0000-0000-0000752F0000}"/>
    <cellStyle name="60% - 强调文字颜色 2 3 17" xfId="1060" xr:uid="{00000000-0005-0000-0000-0000762F0000}"/>
    <cellStyle name="60% - 强调文字颜色 2 3 17 10" xfId="13529" xr:uid="{00000000-0005-0000-0000-0000772F0000}"/>
    <cellStyle name="60% - 强调文字颜色 2 3 17 11" xfId="21551" xr:uid="{00000000-0005-0000-0000-0000782F0000}"/>
    <cellStyle name="60% - 强调文字颜色 2 3 17 12" xfId="21553" xr:uid="{00000000-0005-0000-0000-0000792F0000}"/>
    <cellStyle name="60% - 强调文字颜色 2 3 17 13" xfId="21556" xr:uid="{00000000-0005-0000-0000-00007A2F0000}"/>
    <cellStyle name="60% - 强调文字颜色 2 3 17 14" xfId="21559" xr:uid="{00000000-0005-0000-0000-00007B2F0000}"/>
    <cellStyle name="60% - 强调文字颜色 2 3 17 2" xfId="1737" xr:uid="{00000000-0005-0000-0000-00007C2F0000}"/>
    <cellStyle name="60% - 强调文字颜色 2 3 17 2 2" xfId="21563" xr:uid="{00000000-0005-0000-0000-00007D2F0000}"/>
    <cellStyle name="60% - 强调文字颜色 2 3 17 3" xfId="13481" xr:uid="{00000000-0005-0000-0000-00007E2F0000}"/>
    <cellStyle name="60% - 强调文字颜色 2 3 17 4" xfId="13486" xr:uid="{00000000-0005-0000-0000-00007F2F0000}"/>
    <cellStyle name="60% - 强调文字颜色 2 3 17 5" xfId="21314" xr:uid="{00000000-0005-0000-0000-0000802F0000}"/>
    <cellStyle name="60% - 强调文字颜色 2 3 17 5 10" xfId="18079" xr:uid="{00000000-0005-0000-0000-0000812F0000}"/>
    <cellStyle name="60% - 强调文字颜色 2 3 17 5 11" xfId="18083" xr:uid="{00000000-0005-0000-0000-0000822F0000}"/>
    <cellStyle name="60% - 强调文字颜色 2 3 17 5 2" xfId="7235" xr:uid="{00000000-0005-0000-0000-0000832F0000}"/>
    <cellStyle name="60% - 强调文字颜色 2 3 17 5 2 2" xfId="21565" xr:uid="{00000000-0005-0000-0000-0000842F0000}"/>
    <cellStyle name="60% - 强调文字颜色 2 3 17 5 2 2 2" xfId="21567" xr:uid="{00000000-0005-0000-0000-0000852F0000}"/>
    <cellStyle name="60% - 强调文字颜色 2 3 17 5 2 2 3" xfId="21568" xr:uid="{00000000-0005-0000-0000-0000862F0000}"/>
    <cellStyle name="60% - 强调文字颜色 2 3 17 5 2 3" xfId="21569" xr:uid="{00000000-0005-0000-0000-0000872F0000}"/>
    <cellStyle name="60% - 强调文字颜色 2 3 17 5 2 4" xfId="21570" xr:uid="{00000000-0005-0000-0000-0000882F0000}"/>
    <cellStyle name="60% - 强调文字颜色 2 3 17 5 2 5" xfId="21574" xr:uid="{00000000-0005-0000-0000-0000892F0000}"/>
    <cellStyle name="60% - 强调文字颜色 2 3 17 5 2 6" xfId="21576" xr:uid="{00000000-0005-0000-0000-00008A2F0000}"/>
    <cellStyle name="60% - 强调文字颜色 2 3 17 5 2 7" xfId="21578" xr:uid="{00000000-0005-0000-0000-00008B2F0000}"/>
    <cellStyle name="60% - 强调文字颜色 2 3 17 5 2 8" xfId="21580" xr:uid="{00000000-0005-0000-0000-00008C2F0000}"/>
    <cellStyle name="60% - 强调文字颜色 2 3 17 5 3" xfId="7246" xr:uid="{00000000-0005-0000-0000-00008D2F0000}"/>
    <cellStyle name="60% - 强调文字颜色 2 3 17 5 4" xfId="12244" xr:uid="{00000000-0005-0000-0000-00008E2F0000}"/>
    <cellStyle name="60% - 强调文字颜色 2 3 17 5 5" xfId="12276" xr:uid="{00000000-0005-0000-0000-00008F2F0000}"/>
    <cellStyle name="60% - 强调文字颜色 2 3 17 5 6" xfId="12314" xr:uid="{00000000-0005-0000-0000-0000902F0000}"/>
    <cellStyle name="60% - 强调文字颜色 2 3 17 5 6 2" xfId="2931" xr:uid="{00000000-0005-0000-0000-0000912F0000}"/>
    <cellStyle name="60% - 强调文字颜色 2 3 17 5 6 3" xfId="11331" xr:uid="{00000000-0005-0000-0000-0000922F0000}"/>
    <cellStyle name="60% - 强调文字颜色 2 3 17 5 7" xfId="2951" xr:uid="{00000000-0005-0000-0000-0000932F0000}"/>
    <cellStyle name="60% - 强调文字颜色 2 3 17 5 8" xfId="2966" xr:uid="{00000000-0005-0000-0000-0000942F0000}"/>
    <cellStyle name="60% - 强调文字颜色 2 3 17 5 9" xfId="21581" xr:uid="{00000000-0005-0000-0000-0000952F0000}"/>
    <cellStyle name="60% - 强调文字颜色 2 3 17 6" xfId="21319" xr:uid="{00000000-0005-0000-0000-0000962F0000}"/>
    <cellStyle name="60% - 强调文字颜色 2 3 17 6 2" xfId="15551" xr:uid="{00000000-0005-0000-0000-0000972F0000}"/>
    <cellStyle name="60% - 强调文字颜色 2 3 17 6 2 2" xfId="9237" xr:uid="{00000000-0005-0000-0000-0000982F0000}"/>
    <cellStyle name="60% - 强调文字颜色 2 3 17 6 2 3" xfId="9239" xr:uid="{00000000-0005-0000-0000-0000992F0000}"/>
    <cellStyle name="60% - 强调文字颜色 2 3 17 6 3" xfId="15553" xr:uid="{00000000-0005-0000-0000-00009A2F0000}"/>
    <cellStyle name="60% - 强调文字颜色 2 3 17 6 4" xfId="15559" xr:uid="{00000000-0005-0000-0000-00009B2F0000}"/>
    <cellStyle name="60% - 强调文字颜色 2 3 17 6 5" xfId="7527" xr:uid="{00000000-0005-0000-0000-00009C2F0000}"/>
    <cellStyle name="60% - 强调文字颜色 2 3 17 6 6" xfId="5661" xr:uid="{00000000-0005-0000-0000-00009D2F0000}"/>
    <cellStyle name="60% - 强调文字颜色 2 3 17 6 7" xfId="15568" xr:uid="{00000000-0005-0000-0000-00009E2F0000}"/>
    <cellStyle name="60% - 强调文字颜色 2 3 17 6 8" xfId="21584" xr:uid="{00000000-0005-0000-0000-00009F2F0000}"/>
    <cellStyle name="60% - 强调文字颜色 2 3 17 7" xfId="14337" xr:uid="{00000000-0005-0000-0000-0000A02F0000}"/>
    <cellStyle name="60% - 强调文字颜色 2 3 17 8" xfId="14346" xr:uid="{00000000-0005-0000-0000-0000A12F0000}"/>
    <cellStyle name="60% - 强调文字颜色 2 3 17 9" xfId="14356" xr:uid="{00000000-0005-0000-0000-0000A22F0000}"/>
    <cellStyle name="60% - 强调文字颜色 2 3 17 9 2" xfId="7566" xr:uid="{00000000-0005-0000-0000-0000A32F0000}"/>
    <cellStyle name="60% - 强调文字颜色 2 3 17 9 3" xfId="12109" xr:uid="{00000000-0005-0000-0000-0000A42F0000}"/>
    <cellStyle name="60% - 强调文字颜色 2 3 18" xfId="1082" xr:uid="{00000000-0005-0000-0000-0000A52F0000}"/>
    <cellStyle name="60% - 强调文字颜色 2 3 18 10" xfId="5341" xr:uid="{00000000-0005-0000-0000-0000A62F0000}"/>
    <cellStyle name="60% - 强调文字颜色 2 3 18 11" xfId="3218" xr:uid="{00000000-0005-0000-0000-0000A72F0000}"/>
    <cellStyle name="60% - 强调文字颜色 2 3 18 12" xfId="17683" xr:uid="{00000000-0005-0000-0000-0000A82F0000}"/>
    <cellStyle name="60% - 强调文字颜色 2 3 18 13" xfId="17686" xr:uid="{00000000-0005-0000-0000-0000A92F0000}"/>
    <cellStyle name="60% - 强调文字颜色 2 3 18 14" xfId="17689" xr:uid="{00000000-0005-0000-0000-0000AA2F0000}"/>
    <cellStyle name="60% - 强调文字颜色 2 3 18 2" xfId="21585" xr:uid="{00000000-0005-0000-0000-0000AB2F0000}"/>
    <cellStyle name="60% - 强调文字颜色 2 3 18 3" xfId="21586" xr:uid="{00000000-0005-0000-0000-0000AC2F0000}"/>
    <cellStyle name="60% - 强调文字颜色 2 3 18 4" xfId="8493" xr:uid="{00000000-0005-0000-0000-0000AD2F0000}"/>
    <cellStyle name="60% - 强调文字颜色 2 3 18 5" xfId="8507" xr:uid="{00000000-0005-0000-0000-0000AE2F0000}"/>
    <cellStyle name="60% - 强调文字颜色 2 3 18 5 10" xfId="4635" xr:uid="{00000000-0005-0000-0000-0000AF2F0000}"/>
    <cellStyle name="60% - 强调文字颜色 2 3 18 5 11" xfId="21587" xr:uid="{00000000-0005-0000-0000-0000B02F0000}"/>
    <cellStyle name="60% - 强调文字颜色 2 3 18 5 2" xfId="21589" xr:uid="{00000000-0005-0000-0000-0000B12F0000}"/>
    <cellStyle name="60% - 强调文字颜色 2 3 18 5 2 2" xfId="18363" xr:uid="{00000000-0005-0000-0000-0000B22F0000}"/>
    <cellStyle name="60% - 强调文字颜色 2 3 18 5 2 2 2" xfId="21590" xr:uid="{00000000-0005-0000-0000-0000B32F0000}"/>
    <cellStyle name="60% - 强调文字颜色 2 3 18 5 2 2 3" xfId="21591" xr:uid="{00000000-0005-0000-0000-0000B42F0000}"/>
    <cellStyle name="60% - 强调文字颜色 2 3 18 5 2 3" xfId="6919" xr:uid="{00000000-0005-0000-0000-0000B52F0000}"/>
    <cellStyle name="60% - 强调文字颜色 2 3 18 5 2 4" xfId="6927" xr:uid="{00000000-0005-0000-0000-0000B62F0000}"/>
    <cellStyle name="60% - 强调文字颜色 2 3 18 5 2 5" xfId="6937" xr:uid="{00000000-0005-0000-0000-0000B72F0000}"/>
    <cellStyle name="60% - 强调文字颜色 2 3 18 5 2 6" xfId="4961" xr:uid="{00000000-0005-0000-0000-0000B82F0000}"/>
    <cellStyle name="60% - 强调文字颜色 2 3 18 5 2 7" xfId="4981" xr:uid="{00000000-0005-0000-0000-0000B92F0000}"/>
    <cellStyle name="60% - 强调文字颜色 2 3 18 5 2 8" xfId="4990" xr:uid="{00000000-0005-0000-0000-0000BA2F0000}"/>
    <cellStyle name="60% - 强调文字颜色 2 3 18 5 3" xfId="21593" xr:uid="{00000000-0005-0000-0000-0000BB2F0000}"/>
    <cellStyle name="60% - 强调文字颜色 2 3 18 5 4" xfId="21594" xr:uid="{00000000-0005-0000-0000-0000BC2F0000}"/>
    <cellStyle name="60% - 强调文字颜色 2 3 18 5 5" xfId="21595" xr:uid="{00000000-0005-0000-0000-0000BD2F0000}"/>
    <cellStyle name="60% - 强调文字颜色 2 3 18 5 6" xfId="21596" xr:uid="{00000000-0005-0000-0000-0000BE2F0000}"/>
    <cellStyle name="60% - 强调文字颜色 2 3 18 5 6 2" xfId="12821" xr:uid="{00000000-0005-0000-0000-0000BF2F0000}"/>
    <cellStyle name="60% - 强调文字颜色 2 3 18 5 6 3" xfId="12827" xr:uid="{00000000-0005-0000-0000-0000C02F0000}"/>
    <cellStyle name="60% - 强调文字颜色 2 3 18 5 7" xfId="21597" xr:uid="{00000000-0005-0000-0000-0000C12F0000}"/>
    <cellStyle name="60% - 强调文字颜色 2 3 18 5 8" xfId="21599" xr:uid="{00000000-0005-0000-0000-0000C22F0000}"/>
    <cellStyle name="60% - 强调文字颜色 2 3 18 5 9" xfId="21602" xr:uid="{00000000-0005-0000-0000-0000C32F0000}"/>
    <cellStyle name="60% - 强调文字颜色 2 3 18 6" xfId="8514" xr:uid="{00000000-0005-0000-0000-0000C42F0000}"/>
    <cellStyle name="60% - 强调文字颜色 2 3 18 6 2" xfId="21603" xr:uid="{00000000-0005-0000-0000-0000C52F0000}"/>
    <cellStyle name="60% - 强调文字颜色 2 3 18 6 2 2" xfId="4321" xr:uid="{00000000-0005-0000-0000-0000C62F0000}"/>
    <cellStyle name="60% - 强调文字颜色 2 3 18 6 2 3" xfId="4330" xr:uid="{00000000-0005-0000-0000-0000C72F0000}"/>
    <cellStyle name="60% - 强调文字颜色 2 3 18 6 3" xfId="21604" xr:uid="{00000000-0005-0000-0000-0000C82F0000}"/>
    <cellStyle name="60% - 强调文字颜色 2 3 18 6 4" xfId="21605" xr:uid="{00000000-0005-0000-0000-0000C92F0000}"/>
    <cellStyle name="60% - 强调文字颜色 2 3 18 6 5" xfId="10803" xr:uid="{00000000-0005-0000-0000-0000CA2F0000}"/>
    <cellStyle name="60% - 强调文字颜色 2 3 18 6 6" xfId="3588" xr:uid="{00000000-0005-0000-0000-0000CB2F0000}"/>
    <cellStyle name="60% - 强调文字颜色 2 3 18 6 7" xfId="3603" xr:uid="{00000000-0005-0000-0000-0000CC2F0000}"/>
    <cellStyle name="60% - 强调文字颜色 2 3 18 6 8" xfId="5931" xr:uid="{00000000-0005-0000-0000-0000CD2F0000}"/>
    <cellStyle name="60% - 强调文字颜色 2 3 18 7" xfId="8521" xr:uid="{00000000-0005-0000-0000-0000CE2F0000}"/>
    <cellStyle name="60% - 强调文字颜色 2 3 18 8" xfId="8528" xr:uid="{00000000-0005-0000-0000-0000CF2F0000}"/>
    <cellStyle name="60% - 强调文字颜色 2 3 18 9" xfId="8534" xr:uid="{00000000-0005-0000-0000-0000D02F0000}"/>
    <cellStyle name="60% - 强调文字颜色 2 3 18 9 2" xfId="21607" xr:uid="{00000000-0005-0000-0000-0000D12F0000}"/>
    <cellStyle name="60% - 强调文字颜色 2 3 18 9 3" xfId="21609" xr:uid="{00000000-0005-0000-0000-0000D22F0000}"/>
    <cellStyle name="60% - 强调文字颜色 2 3 19" xfId="4895" xr:uid="{00000000-0005-0000-0000-0000D32F0000}"/>
    <cellStyle name="60% - 强调文字颜色 2 3 19 10" xfId="2574" xr:uid="{00000000-0005-0000-0000-0000D42F0000}"/>
    <cellStyle name="60% - 强调文字颜色 2 3 19 11" xfId="21612" xr:uid="{00000000-0005-0000-0000-0000D52F0000}"/>
    <cellStyle name="60% - 强调文字颜色 2 3 19 12" xfId="8068" xr:uid="{00000000-0005-0000-0000-0000D62F0000}"/>
    <cellStyle name="60% - 强调文字颜色 2 3 19 13" xfId="8221" xr:uid="{00000000-0005-0000-0000-0000D72F0000}"/>
    <cellStyle name="60% - 强调文字颜色 2 3 19 14" xfId="21613" xr:uid="{00000000-0005-0000-0000-0000D82F0000}"/>
    <cellStyle name="60% - 强调文字颜色 2 3 19 2" xfId="7451" xr:uid="{00000000-0005-0000-0000-0000D92F0000}"/>
    <cellStyle name="60% - 强调文字颜色 2 3 19 3" xfId="7455" xr:uid="{00000000-0005-0000-0000-0000DA2F0000}"/>
    <cellStyle name="60% - 强调文字颜色 2 3 19 4" xfId="7010" xr:uid="{00000000-0005-0000-0000-0000DB2F0000}"/>
    <cellStyle name="60% - 强调文字颜色 2 3 19 5" xfId="7018" xr:uid="{00000000-0005-0000-0000-0000DC2F0000}"/>
    <cellStyle name="60% - 强调文字颜色 2 3 19 5 10" xfId="6576" xr:uid="{00000000-0005-0000-0000-0000DD2F0000}"/>
    <cellStyle name="60% - 强调文字颜色 2 3 19 5 11" xfId="6581" xr:uid="{00000000-0005-0000-0000-0000DE2F0000}"/>
    <cellStyle name="60% - 强调文字颜色 2 3 19 5 2" xfId="1956" xr:uid="{00000000-0005-0000-0000-0000DF2F0000}"/>
    <cellStyle name="60% - 强调文字颜色 2 3 19 5 2 2" xfId="21616" xr:uid="{00000000-0005-0000-0000-0000E02F0000}"/>
    <cellStyle name="60% - 强调文字颜色 2 3 19 5 2 2 2" xfId="21618" xr:uid="{00000000-0005-0000-0000-0000E12F0000}"/>
    <cellStyle name="60% - 强调文字颜色 2 3 19 5 2 2 3" xfId="21620" xr:uid="{00000000-0005-0000-0000-0000E22F0000}"/>
    <cellStyle name="60% - 强调文字颜色 2 3 19 5 2 3" xfId="21622" xr:uid="{00000000-0005-0000-0000-0000E32F0000}"/>
    <cellStyle name="60% - 强调文字颜色 2 3 19 5 2 4" xfId="21624" xr:uid="{00000000-0005-0000-0000-0000E42F0000}"/>
    <cellStyle name="60% - 强调文字颜色 2 3 19 5 2 5" xfId="21627" xr:uid="{00000000-0005-0000-0000-0000E52F0000}"/>
    <cellStyle name="60% - 强调文字颜色 2 3 19 5 2 6" xfId="21630" xr:uid="{00000000-0005-0000-0000-0000E62F0000}"/>
    <cellStyle name="60% - 强调文字颜色 2 3 19 5 2 7" xfId="21631" xr:uid="{00000000-0005-0000-0000-0000E72F0000}"/>
    <cellStyle name="60% - 强调文字颜色 2 3 19 5 2 8" xfId="21632" xr:uid="{00000000-0005-0000-0000-0000E82F0000}"/>
    <cellStyle name="60% - 强调文字颜色 2 3 19 5 3" xfId="1843" xr:uid="{00000000-0005-0000-0000-0000E92F0000}"/>
    <cellStyle name="60% - 强调文字颜色 2 3 19 5 4" xfId="1869" xr:uid="{00000000-0005-0000-0000-0000EA2F0000}"/>
    <cellStyle name="60% - 强调文字颜色 2 3 19 5 5" xfId="7740" xr:uid="{00000000-0005-0000-0000-0000EB2F0000}"/>
    <cellStyle name="60% - 强调文字颜色 2 3 19 5 6" xfId="7825" xr:uid="{00000000-0005-0000-0000-0000EC2F0000}"/>
    <cellStyle name="60% - 强调文字颜色 2 3 19 5 6 2" xfId="4891" xr:uid="{00000000-0005-0000-0000-0000ED2F0000}"/>
    <cellStyle name="60% - 强调文字颜色 2 3 19 5 6 3" xfId="7829" xr:uid="{00000000-0005-0000-0000-0000EE2F0000}"/>
    <cellStyle name="60% - 强调文字颜色 2 3 19 5 7" xfId="7842" xr:uid="{00000000-0005-0000-0000-0000EF2F0000}"/>
    <cellStyle name="60% - 强调文字颜色 2 3 19 5 8" xfId="7856" xr:uid="{00000000-0005-0000-0000-0000F02F0000}"/>
    <cellStyle name="60% - 强调文字颜色 2 3 19 5 9" xfId="7869" xr:uid="{00000000-0005-0000-0000-0000F12F0000}"/>
    <cellStyle name="60% - 强调文字颜色 2 3 19 6" xfId="7026" xr:uid="{00000000-0005-0000-0000-0000F22F0000}"/>
    <cellStyle name="60% - 强调文字颜色 2 3 19 6 2" xfId="1459" xr:uid="{00000000-0005-0000-0000-0000F32F0000}"/>
    <cellStyle name="60% - 强调文字颜色 2 3 19 6 2 2" xfId="21635" xr:uid="{00000000-0005-0000-0000-0000F42F0000}"/>
    <cellStyle name="60% - 强调文字颜色 2 3 19 6 2 3" xfId="21638" xr:uid="{00000000-0005-0000-0000-0000F52F0000}"/>
    <cellStyle name="60% - 强调文字颜色 2 3 19 6 3" xfId="21531" xr:uid="{00000000-0005-0000-0000-0000F62F0000}"/>
    <cellStyle name="60% - 强调文字颜色 2 3 19 6 4" xfId="19167" xr:uid="{00000000-0005-0000-0000-0000F72F0000}"/>
    <cellStyle name="60% - 强调文字颜色 2 3 19 6 5" xfId="19173" xr:uid="{00000000-0005-0000-0000-0000F82F0000}"/>
    <cellStyle name="60% - 强调文字颜色 2 3 19 6 6" xfId="19177" xr:uid="{00000000-0005-0000-0000-0000F92F0000}"/>
    <cellStyle name="60% - 强调文字颜色 2 3 19 6 7" xfId="19181" xr:uid="{00000000-0005-0000-0000-0000FA2F0000}"/>
    <cellStyle name="60% - 强调文字颜色 2 3 19 6 8" xfId="19194" xr:uid="{00000000-0005-0000-0000-0000FB2F0000}"/>
    <cellStyle name="60% - 强调文字颜色 2 3 19 7" xfId="7035" xr:uid="{00000000-0005-0000-0000-0000FC2F0000}"/>
    <cellStyle name="60% - 强调文字颜色 2 3 19 8" xfId="7049" xr:uid="{00000000-0005-0000-0000-0000FD2F0000}"/>
    <cellStyle name="60% - 强调文字颜色 2 3 19 9" xfId="7059" xr:uid="{00000000-0005-0000-0000-0000FE2F0000}"/>
    <cellStyle name="60% - 强调文字颜色 2 3 19 9 2" xfId="7649" xr:uid="{00000000-0005-0000-0000-0000FF2F0000}"/>
    <cellStyle name="60% - 强调文字颜色 2 3 19 9 3" xfId="7655" xr:uid="{00000000-0005-0000-0000-000000300000}"/>
    <cellStyle name="60% - 强调文字颜色 2 3 2" xfId="21639" xr:uid="{00000000-0005-0000-0000-000001300000}"/>
    <cellStyle name="60% - 强调文字颜色 2 3 2 10" xfId="13176" xr:uid="{00000000-0005-0000-0000-000002300000}"/>
    <cellStyle name="60% - 强调文字颜色 2 3 2 11" xfId="13182" xr:uid="{00000000-0005-0000-0000-000003300000}"/>
    <cellStyle name="60% - 强调文字颜色 2 3 2 12" xfId="5786" xr:uid="{00000000-0005-0000-0000-000004300000}"/>
    <cellStyle name="60% - 强调文字颜色 2 3 2 13" xfId="5815" xr:uid="{00000000-0005-0000-0000-000005300000}"/>
    <cellStyle name="60% - 强调文字颜色 2 3 2 14" xfId="5824" xr:uid="{00000000-0005-0000-0000-000006300000}"/>
    <cellStyle name="60% - 强调文字颜色 2 3 2 2" xfId="21642" xr:uid="{00000000-0005-0000-0000-000007300000}"/>
    <cellStyle name="60% - 强调文字颜色 2 3 2 3" xfId="21643" xr:uid="{00000000-0005-0000-0000-000008300000}"/>
    <cellStyle name="60% - 强调文字颜色 2 3 2 4" xfId="21644" xr:uid="{00000000-0005-0000-0000-000009300000}"/>
    <cellStyle name="60% - 强调文字颜色 2 3 2 5" xfId="21645" xr:uid="{00000000-0005-0000-0000-00000A300000}"/>
    <cellStyle name="60% - 强调文字颜色 2 3 2 6" xfId="21646" xr:uid="{00000000-0005-0000-0000-00000B300000}"/>
    <cellStyle name="60% - 强调文字颜色 2 3 2 7" xfId="21648" xr:uid="{00000000-0005-0000-0000-00000C300000}"/>
    <cellStyle name="60% - 强调文字颜色 2 3 2 8" xfId="21650" xr:uid="{00000000-0005-0000-0000-00000D300000}"/>
    <cellStyle name="60% - 强调文字颜色 2 3 2 9" xfId="21651" xr:uid="{00000000-0005-0000-0000-00000E300000}"/>
    <cellStyle name="60% - 强调文字颜色 2 3 20" xfId="1006" xr:uid="{00000000-0005-0000-0000-00000F300000}"/>
    <cellStyle name="60% - 强调文字颜色 2 3 20 10" xfId="6854" xr:uid="{00000000-0005-0000-0000-000010300000}"/>
    <cellStyle name="60% - 强调文字颜色 2 3 20 11" xfId="2675" xr:uid="{00000000-0005-0000-0000-000011300000}"/>
    <cellStyle name="60% - 强调文字颜色 2 3 20 12" xfId="3269" xr:uid="{00000000-0005-0000-0000-000012300000}"/>
    <cellStyle name="60% - 强调文字颜色 2 3 20 13" xfId="3632" xr:uid="{00000000-0005-0000-0000-000013300000}"/>
    <cellStyle name="60% - 强调文字颜色 2 3 20 14" xfId="3635" xr:uid="{00000000-0005-0000-0000-000014300000}"/>
    <cellStyle name="60% - 强调文字颜色 2 3 20 2" xfId="1022" xr:uid="{00000000-0005-0000-0000-000015300000}"/>
    <cellStyle name="60% - 强调文字颜色 2 3 20 3" xfId="21653" xr:uid="{00000000-0005-0000-0000-000016300000}"/>
    <cellStyle name="60% - 强调文字颜色 2 3 20 4" xfId="21655" xr:uid="{00000000-0005-0000-0000-000017300000}"/>
    <cellStyle name="60% - 强调文字颜色 2 3 20 5" xfId="21657" xr:uid="{00000000-0005-0000-0000-000018300000}"/>
    <cellStyle name="60% - 强调文字颜色 2 3 20 5 10" xfId="21659" xr:uid="{00000000-0005-0000-0000-000019300000}"/>
    <cellStyle name="60% - 强调文字颜色 2 3 20 5 11" xfId="21660" xr:uid="{00000000-0005-0000-0000-00001A300000}"/>
    <cellStyle name="60% - 强调文字颜色 2 3 20 5 2" xfId="21661" xr:uid="{00000000-0005-0000-0000-00001B300000}"/>
    <cellStyle name="60% - 强调文字颜色 2 3 20 5 2 2" xfId="21663" xr:uid="{00000000-0005-0000-0000-00001C300000}"/>
    <cellStyle name="60% - 强调文字颜色 2 3 20 5 2 2 2" xfId="21665" xr:uid="{00000000-0005-0000-0000-00001D300000}"/>
    <cellStyle name="60% - 强调文字颜色 2 3 20 5 2 2 3" xfId="21247" xr:uid="{00000000-0005-0000-0000-00001E300000}"/>
    <cellStyle name="60% - 强调文字颜色 2 3 20 5 2 3" xfId="21667" xr:uid="{00000000-0005-0000-0000-00001F300000}"/>
    <cellStyle name="60% - 强调文字颜色 2 3 20 5 2 4" xfId="21669" xr:uid="{00000000-0005-0000-0000-000020300000}"/>
    <cellStyle name="60% - 强调文字颜色 2 3 20 5 2 5" xfId="16339" xr:uid="{00000000-0005-0000-0000-000021300000}"/>
    <cellStyle name="60% - 强调文字颜色 2 3 20 5 2 6" xfId="16342" xr:uid="{00000000-0005-0000-0000-000022300000}"/>
    <cellStyle name="60% - 强调文字颜色 2 3 20 5 2 7" xfId="930" xr:uid="{00000000-0005-0000-0000-000023300000}"/>
    <cellStyle name="60% - 强调文字颜色 2 3 20 5 2 8" xfId="968" xr:uid="{00000000-0005-0000-0000-000024300000}"/>
    <cellStyle name="60% - 强调文字颜色 2 3 20 5 3" xfId="21670" xr:uid="{00000000-0005-0000-0000-000025300000}"/>
    <cellStyle name="60% - 强调文字颜色 2 3 20 5 4" xfId="21672" xr:uid="{00000000-0005-0000-0000-000026300000}"/>
    <cellStyle name="60% - 强调文字颜色 2 3 20 5 5" xfId="21674" xr:uid="{00000000-0005-0000-0000-000027300000}"/>
    <cellStyle name="60% - 强调文字颜色 2 3 20 5 6" xfId="21676" xr:uid="{00000000-0005-0000-0000-000028300000}"/>
    <cellStyle name="60% - 强调文字颜色 2 3 20 5 6 2" xfId="7362" xr:uid="{00000000-0005-0000-0000-000029300000}"/>
    <cellStyle name="60% - 强调文字颜色 2 3 20 5 6 3" xfId="7364" xr:uid="{00000000-0005-0000-0000-00002A300000}"/>
    <cellStyle name="60% - 强调文字颜色 2 3 20 5 7" xfId="21677" xr:uid="{00000000-0005-0000-0000-00002B300000}"/>
    <cellStyle name="60% - 强调文字颜色 2 3 20 5 8" xfId="21678" xr:uid="{00000000-0005-0000-0000-00002C300000}"/>
    <cellStyle name="60% - 强调文字颜色 2 3 20 5 9" xfId="21679" xr:uid="{00000000-0005-0000-0000-00002D300000}"/>
    <cellStyle name="60% - 强调文字颜色 2 3 20 6" xfId="21681" xr:uid="{00000000-0005-0000-0000-00002E300000}"/>
    <cellStyle name="60% - 强调文字颜色 2 3 20 6 2" xfId="17663" xr:uid="{00000000-0005-0000-0000-00002F300000}"/>
    <cellStyle name="60% - 强调文字颜色 2 3 20 6 2 2" xfId="17669" xr:uid="{00000000-0005-0000-0000-000030300000}"/>
    <cellStyle name="60% - 强调文字颜色 2 3 20 6 2 3" xfId="17680" xr:uid="{00000000-0005-0000-0000-000031300000}"/>
    <cellStyle name="60% - 强调文字颜色 2 3 20 6 3" xfId="17694" xr:uid="{00000000-0005-0000-0000-000032300000}"/>
    <cellStyle name="60% - 强调文字颜色 2 3 20 6 4" xfId="17705" xr:uid="{00000000-0005-0000-0000-000033300000}"/>
    <cellStyle name="60% - 强调文字颜色 2 3 20 6 5" xfId="335" xr:uid="{00000000-0005-0000-0000-000034300000}"/>
    <cellStyle name="60% - 强调文字颜色 2 3 20 6 6" xfId="17707" xr:uid="{00000000-0005-0000-0000-000035300000}"/>
    <cellStyle name="60% - 强调文字颜色 2 3 20 6 7" xfId="21683" xr:uid="{00000000-0005-0000-0000-000036300000}"/>
    <cellStyle name="60% - 强调文字颜色 2 3 20 6 8" xfId="21685" xr:uid="{00000000-0005-0000-0000-000037300000}"/>
    <cellStyle name="60% - 强调文字颜色 2 3 20 7" xfId="21687" xr:uid="{00000000-0005-0000-0000-000038300000}"/>
    <cellStyle name="60% - 强调文字颜色 2 3 20 8" xfId="480" xr:uid="{00000000-0005-0000-0000-000039300000}"/>
    <cellStyle name="60% - 强调文字颜色 2 3 20 9" xfId="21688" xr:uid="{00000000-0005-0000-0000-00003A300000}"/>
    <cellStyle name="60% - 强调文字颜色 2 3 20 9 2" xfId="3142" xr:uid="{00000000-0005-0000-0000-00003B300000}"/>
    <cellStyle name="60% - 强调文字颜色 2 3 20 9 3" xfId="3154" xr:uid="{00000000-0005-0000-0000-00003C300000}"/>
    <cellStyle name="60% - 强调文字颜色 2 3 3" xfId="21689" xr:uid="{00000000-0005-0000-0000-00003D300000}"/>
    <cellStyle name="60% - 强调文字颜色 2 3 3 10" xfId="21692" xr:uid="{00000000-0005-0000-0000-00003E300000}"/>
    <cellStyle name="60% - 强调文字颜色 2 3 3 11" xfId="21693" xr:uid="{00000000-0005-0000-0000-00003F300000}"/>
    <cellStyle name="60% - 强调文字颜色 2 3 3 12" xfId="21696" xr:uid="{00000000-0005-0000-0000-000040300000}"/>
    <cellStyle name="60% - 强调文字颜色 2 3 3 13" xfId="21699" xr:uid="{00000000-0005-0000-0000-000041300000}"/>
    <cellStyle name="60% - 强调文字颜色 2 3 3 14" xfId="21701" xr:uid="{00000000-0005-0000-0000-000042300000}"/>
    <cellStyle name="60% - 强调文字颜色 2 3 3 2" xfId="21705" xr:uid="{00000000-0005-0000-0000-000043300000}"/>
    <cellStyle name="60% - 强调文字颜色 2 3 3 3" xfId="21708" xr:uid="{00000000-0005-0000-0000-000044300000}"/>
    <cellStyle name="60% - 强调文字颜色 2 3 3 4" xfId="14378" xr:uid="{00000000-0005-0000-0000-000045300000}"/>
    <cellStyle name="60% - 强调文字颜色 2 3 3 5" xfId="14384" xr:uid="{00000000-0005-0000-0000-000046300000}"/>
    <cellStyle name="60% - 强调文字颜色 2 3 3 6" xfId="21711" xr:uid="{00000000-0005-0000-0000-000047300000}"/>
    <cellStyle name="60% - 强调文字颜色 2 3 3 7" xfId="21714" xr:uid="{00000000-0005-0000-0000-000048300000}"/>
    <cellStyle name="60% - 强调文字颜色 2 3 3 8" xfId="21716" xr:uid="{00000000-0005-0000-0000-000049300000}"/>
    <cellStyle name="60% - 强调文字颜色 2 3 3 9" xfId="21718" xr:uid="{00000000-0005-0000-0000-00004A300000}"/>
    <cellStyle name="60% - 强调文字颜色 2 3 4" xfId="21719" xr:uid="{00000000-0005-0000-0000-00004B300000}"/>
    <cellStyle name="60% - 强调文字颜色 2 3 4 10" xfId="20968" xr:uid="{00000000-0005-0000-0000-00004C300000}"/>
    <cellStyle name="60% - 强调文字颜色 2 3 4 11" xfId="2029" xr:uid="{00000000-0005-0000-0000-00004D300000}"/>
    <cellStyle name="60% - 强调文字颜色 2 3 4 12" xfId="2041" xr:uid="{00000000-0005-0000-0000-00004E300000}"/>
    <cellStyle name="60% - 强调文字颜色 2 3 4 13" xfId="20113" xr:uid="{00000000-0005-0000-0000-00004F300000}"/>
    <cellStyle name="60% - 强调文字颜色 2 3 4 14" xfId="20119" xr:uid="{00000000-0005-0000-0000-000050300000}"/>
    <cellStyle name="60% - 强调文字颜色 2 3 4 2" xfId="8563" xr:uid="{00000000-0005-0000-0000-000051300000}"/>
    <cellStyle name="60% - 强调文字颜色 2 3 4 3" xfId="21363" xr:uid="{00000000-0005-0000-0000-000052300000}"/>
    <cellStyle name="60% - 强调文字颜色 2 3 4 4" xfId="21369" xr:uid="{00000000-0005-0000-0000-000053300000}"/>
    <cellStyle name="60% - 强调文字颜色 2 3 4 5" xfId="21375" xr:uid="{00000000-0005-0000-0000-000054300000}"/>
    <cellStyle name="60% - 强调文字颜色 2 3 4 6" xfId="21724" xr:uid="{00000000-0005-0000-0000-000055300000}"/>
    <cellStyle name="60% - 强调文字颜色 2 3 4 7" xfId="21728" xr:uid="{00000000-0005-0000-0000-000056300000}"/>
    <cellStyle name="60% - 强调文字颜色 2 3 4 8" xfId="21729" xr:uid="{00000000-0005-0000-0000-000057300000}"/>
    <cellStyle name="60% - 强调文字颜色 2 3 4 9" xfId="13420" xr:uid="{00000000-0005-0000-0000-000058300000}"/>
    <cellStyle name="60% - 强调文字颜色 2 3 5" xfId="21731" xr:uid="{00000000-0005-0000-0000-000059300000}"/>
    <cellStyle name="60% - 强调文字颜色 2 3 6" xfId="21734" xr:uid="{00000000-0005-0000-0000-00005A300000}"/>
    <cellStyle name="60% - 强调文字颜色 2 3 7" xfId="21736" xr:uid="{00000000-0005-0000-0000-00005B300000}"/>
    <cellStyle name="60% - 强调文字颜色 2 3 8" xfId="14230" xr:uid="{00000000-0005-0000-0000-00005C300000}"/>
    <cellStyle name="60% - 强调文字颜色 2 3 9" xfId="14233" xr:uid="{00000000-0005-0000-0000-00005D300000}"/>
    <cellStyle name="60% - 强调文字颜色 2 4" xfId="978" xr:uid="{00000000-0005-0000-0000-00005E300000}"/>
    <cellStyle name="60% - 强调文字颜色 2 4 10" xfId="21738" xr:uid="{00000000-0005-0000-0000-00005F300000}"/>
    <cellStyle name="60% - 强调文字颜色 2 4 11" xfId="21739" xr:uid="{00000000-0005-0000-0000-000060300000}"/>
    <cellStyle name="60% - 强调文字颜色 2 4 12" xfId="21740" xr:uid="{00000000-0005-0000-0000-000061300000}"/>
    <cellStyle name="60% - 强调文字颜色 2 4 13" xfId="18160" xr:uid="{00000000-0005-0000-0000-000062300000}"/>
    <cellStyle name="60% - 强调文字颜色 2 4 14" xfId="18163" xr:uid="{00000000-0005-0000-0000-000063300000}"/>
    <cellStyle name="60% - 强调文字颜色 2 4 15" xfId="21743" xr:uid="{00000000-0005-0000-0000-000064300000}"/>
    <cellStyle name="60% - 强调文字颜色 2 4 16" xfId="21744" xr:uid="{00000000-0005-0000-0000-000065300000}"/>
    <cellStyle name="60% - 强调文字颜色 2 4 17" xfId="21745" xr:uid="{00000000-0005-0000-0000-000066300000}"/>
    <cellStyle name="60% - 强调文字颜色 2 4 17 10" xfId="14936" xr:uid="{00000000-0005-0000-0000-000067300000}"/>
    <cellStyle name="60% - 强调文字颜色 2 4 17 11" xfId="21746" xr:uid="{00000000-0005-0000-0000-000068300000}"/>
    <cellStyle name="60% - 强调文字颜色 2 4 17 12" xfId="21747" xr:uid="{00000000-0005-0000-0000-000069300000}"/>
    <cellStyle name="60% - 强调文字颜色 2 4 17 13" xfId="4301" xr:uid="{00000000-0005-0000-0000-00006A300000}"/>
    <cellStyle name="60% - 强调文字颜色 2 4 17 14" xfId="4558" xr:uid="{00000000-0005-0000-0000-00006B300000}"/>
    <cellStyle name="60% - 强调文字颜色 2 4 17 2" xfId="8466" xr:uid="{00000000-0005-0000-0000-00006C300000}"/>
    <cellStyle name="60% - 强调文字颜色 2 4 17 3" xfId="8470" xr:uid="{00000000-0005-0000-0000-00006D300000}"/>
    <cellStyle name="60% - 强调文字颜色 2 4 17 4" xfId="8475" xr:uid="{00000000-0005-0000-0000-00006E300000}"/>
    <cellStyle name="60% - 强调文字颜色 2 4 17 5" xfId="8575" xr:uid="{00000000-0005-0000-0000-00006F300000}"/>
    <cellStyle name="60% - 强调文字颜色 2 4 17 5 10" xfId="21748" xr:uid="{00000000-0005-0000-0000-000070300000}"/>
    <cellStyle name="60% - 强调文字颜色 2 4 17 5 11" xfId="18763" xr:uid="{00000000-0005-0000-0000-000071300000}"/>
    <cellStyle name="60% - 强调文字颜色 2 4 17 5 2" xfId="7810" xr:uid="{00000000-0005-0000-0000-000072300000}"/>
    <cellStyle name="60% - 强调文字颜色 2 4 17 5 2 2" xfId="8585" xr:uid="{00000000-0005-0000-0000-000073300000}"/>
    <cellStyle name="60% - 强调文字颜色 2 4 17 5 2 2 2" xfId="21753" xr:uid="{00000000-0005-0000-0000-000074300000}"/>
    <cellStyle name="60% - 强调文字颜色 2 4 17 5 2 2 3" xfId="21754" xr:uid="{00000000-0005-0000-0000-000075300000}"/>
    <cellStyle name="60% - 强调文字颜色 2 4 17 5 2 3" xfId="8592" xr:uid="{00000000-0005-0000-0000-000076300000}"/>
    <cellStyle name="60% - 强调文字颜色 2 4 17 5 2 4" xfId="21755" xr:uid="{00000000-0005-0000-0000-000077300000}"/>
    <cellStyle name="60% - 强调文字颜色 2 4 17 5 2 5" xfId="21756" xr:uid="{00000000-0005-0000-0000-000078300000}"/>
    <cellStyle name="60% - 强调文字颜色 2 4 17 5 2 6" xfId="21758" xr:uid="{00000000-0005-0000-0000-000079300000}"/>
    <cellStyle name="60% - 强调文字颜色 2 4 17 5 2 7" xfId="21760" xr:uid="{00000000-0005-0000-0000-00007A300000}"/>
    <cellStyle name="60% - 强调文字颜色 2 4 17 5 2 8" xfId="21761" xr:uid="{00000000-0005-0000-0000-00007B300000}"/>
    <cellStyle name="60% - 强调文字颜色 2 4 17 5 3" xfId="7818" xr:uid="{00000000-0005-0000-0000-00007C300000}"/>
    <cellStyle name="60% - 强调文字颜色 2 4 17 5 4" xfId="2024" xr:uid="{00000000-0005-0000-0000-00007D300000}"/>
    <cellStyle name="60% - 强调文字颜色 2 4 17 5 5" xfId="2036" xr:uid="{00000000-0005-0000-0000-00007E300000}"/>
    <cellStyle name="60% - 强调文字颜色 2 4 17 5 6" xfId="8595" xr:uid="{00000000-0005-0000-0000-00007F300000}"/>
    <cellStyle name="60% - 强调文字颜色 2 4 17 5 6 2" xfId="21763" xr:uid="{00000000-0005-0000-0000-000080300000}"/>
    <cellStyle name="60% - 强调文字颜色 2 4 17 5 6 3" xfId="21769" xr:uid="{00000000-0005-0000-0000-000081300000}"/>
    <cellStyle name="60% - 强调文字颜色 2 4 17 5 7" xfId="8601" xr:uid="{00000000-0005-0000-0000-000082300000}"/>
    <cellStyle name="60% - 强调文字颜色 2 4 17 5 8" xfId="8612" xr:uid="{00000000-0005-0000-0000-000083300000}"/>
    <cellStyle name="60% - 强调文字颜色 2 4 17 5 9" xfId="21774" xr:uid="{00000000-0005-0000-0000-000084300000}"/>
    <cellStyle name="60% - 强调文字颜色 2 4 17 6" xfId="8622" xr:uid="{00000000-0005-0000-0000-000085300000}"/>
    <cellStyle name="60% - 强调文字颜色 2 4 17 6 2" xfId="16376" xr:uid="{00000000-0005-0000-0000-000086300000}"/>
    <cellStyle name="60% - 强调文字颜色 2 4 17 6 2 2" xfId="16894" xr:uid="{00000000-0005-0000-0000-000087300000}"/>
    <cellStyle name="60% - 强调文字颜色 2 4 17 6 2 3" xfId="16897" xr:uid="{00000000-0005-0000-0000-000088300000}"/>
    <cellStyle name="60% - 强调文字颜色 2 4 17 6 3" xfId="16379" xr:uid="{00000000-0005-0000-0000-000089300000}"/>
    <cellStyle name="60% - 强调文字颜色 2 4 17 6 4" xfId="16408" xr:uid="{00000000-0005-0000-0000-00008A300000}"/>
    <cellStyle name="60% - 强调文字颜色 2 4 17 6 5" xfId="16411" xr:uid="{00000000-0005-0000-0000-00008B300000}"/>
    <cellStyle name="60% - 强调文字颜色 2 4 17 6 6" xfId="16414" xr:uid="{00000000-0005-0000-0000-00008C300000}"/>
    <cellStyle name="60% - 强调文字颜色 2 4 17 6 7" xfId="16419" xr:uid="{00000000-0005-0000-0000-00008D300000}"/>
    <cellStyle name="60% - 强调文字颜色 2 4 17 6 8" xfId="19687" xr:uid="{00000000-0005-0000-0000-00008E300000}"/>
    <cellStyle name="60% - 强调文字颜色 2 4 17 7" xfId="8629" xr:uid="{00000000-0005-0000-0000-00008F300000}"/>
    <cellStyle name="60% - 强调文字颜色 2 4 17 8" xfId="8636" xr:uid="{00000000-0005-0000-0000-000090300000}"/>
    <cellStyle name="60% - 强调文字颜色 2 4 17 9" xfId="19691" xr:uid="{00000000-0005-0000-0000-000091300000}"/>
    <cellStyle name="60% - 强调文字颜色 2 4 17 9 2" xfId="13791" xr:uid="{00000000-0005-0000-0000-000092300000}"/>
    <cellStyle name="60% - 强调文字颜色 2 4 17 9 3" xfId="13796" xr:uid="{00000000-0005-0000-0000-000093300000}"/>
    <cellStyle name="60% - 强调文字颜色 2 4 18" xfId="21779" xr:uid="{00000000-0005-0000-0000-000094300000}"/>
    <cellStyle name="60% - 强调文字颜色 2 4 18 10" xfId="8847" xr:uid="{00000000-0005-0000-0000-000095300000}"/>
    <cellStyle name="60% - 强调文字颜色 2 4 18 11" xfId="6625" xr:uid="{00000000-0005-0000-0000-000096300000}"/>
    <cellStyle name="60% - 强调文字颜色 2 4 18 12" xfId="6632" xr:uid="{00000000-0005-0000-0000-000097300000}"/>
    <cellStyle name="60% - 强调文字颜色 2 4 18 13" xfId="6639" xr:uid="{00000000-0005-0000-0000-000098300000}"/>
    <cellStyle name="60% - 强调文字颜色 2 4 18 14" xfId="6646" xr:uid="{00000000-0005-0000-0000-000099300000}"/>
    <cellStyle name="60% - 强调文字颜色 2 4 18 2" xfId="8676" xr:uid="{00000000-0005-0000-0000-00009A300000}"/>
    <cellStyle name="60% - 强调文字颜色 2 4 18 3" xfId="8678" xr:uid="{00000000-0005-0000-0000-00009B300000}"/>
    <cellStyle name="60% - 强调文字颜色 2 4 18 4" xfId="2890" xr:uid="{00000000-0005-0000-0000-00009C300000}"/>
    <cellStyle name="60% - 强调文字颜色 2 4 18 5" xfId="2902" xr:uid="{00000000-0005-0000-0000-00009D300000}"/>
    <cellStyle name="60% - 强调文字颜色 2 4 18 5 10" xfId="21781" xr:uid="{00000000-0005-0000-0000-00009E300000}"/>
    <cellStyle name="60% - 强调文字颜色 2 4 18 5 11" xfId="19069" xr:uid="{00000000-0005-0000-0000-00009F300000}"/>
    <cellStyle name="60% - 强调文字颜色 2 4 18 5 2" xfId="7765" xr:uid="{00000000-0005-0000-0000-0000A0300000}"/>
    <cellStyle name="60% - 强调文字颜色 2 4 18 5 2 2" xfId="8736" xr:uid="{00000000-0005-0000-0000-0000A1300000}"/>
    <cellStyle name="60% - 强调文字颜色 2 4 18 5 2 2 2" xfId="21782" xr:uid="{00000000-0005-0000-0000-0000A2300000}"/>
    <cellStyle name="60% - 强调文字颜色 2 4 18 5 2 2 3" xfId="20409" xr:uid="{00000000-0005-0000-0000-0000A3300000}"/>
    <cellStyle name="60% - 强调文字颜色 2 4 18 5 2 3" xfId="8743" xr:uid="{00000000-0005-0000-0000-0000A4300000}"/>
    <cellStyle name="60% - 强调文字颜色 2 4 18 5 2 4" xfId="21784" xr:uid="{00000000-0005-0000-0000-0000A5300000}"/>
    <cellStyle name="60% - 强调文字颜色 2 4 18 5 2 5" xfId="21786" xr:uid="{00000000-0005-0000-0000-0000A6300000}"/>
    <cellStyle name="60% - 强调文字颜色 2 4 18 5 2 6" xfId="21789" xr:uid="{00000000-0005-0000-0000-0000A7300000}"/>
    <cellStyle name="60% - 强调文字颜色 2 4 18 5 2 7" xfId="21792" xr:uid="{00000000-0005-0000-0000-0000A8300000}"/>
    <cellStyle name="60% - 强调文字颜色 2 4 18 5 2 8" xfId="21796" xr:uid="{00000000-0005-0000-0000-0000A9300000}"/>
    <cellStyle name="60% - 强调文字颜色 2 4 18 5 3" xfId="7775" xr:uid="{00000000-0005-0000-0000-0000AA300000}"/>
    <cellStyle name="60% - 强调文字颜色 2 4 18 5 4" xfId="8748" xr:uid="{00000000-0005-0000-0000-0000AB300000}"/>
    <cellStyle name="60% - 强调文字颜色 2 4 18 5 5" xfId="8754" xr:uid="{00000000-0005-0000-0000-0000AC300000}"/>
    <cellStyle name="60% - 强调文字颜色 2 4 18 5 6" xfId="8758" xr:uid="{00000000-0005-0000-0000-0000AD300000}"/>
    <cellStyle name="60% - 强调文字颜色 2 4 18 5 6 2" xfId="21799" xr:uid="{00000000-0005-0000-0000-0000AE300000}"/>
    <cellStyle name="60% - 强调文字颜色 2 4 18 5 6 3" xfId="21801" xr:uid="{00000000-0005-0000-0000-0000AF300000}"/>
    <cellStyle name="60% - 强调文字颜色 2 4 18 5 7" xfId="8763" xr:uid="{00000000-0005-0000-0000-0000B0300000}"/>
    <cellStyle name="60% - 强调文字颜色 2 4 18 5 8" xfId="8771" xr:uid="{00000000-0005-0000-0000-0000B1300000}"/>
    <cellStyle name="60% - 强调文字颜色 2 4 18 5 9" xfId="21803" xr:uid="{00000000-0005-0000-0000-0000B2300000}"/>
    <cellStyle name="60% - 强调文字颜色 2 4 18 6" xfId="3459" xr:uid="{00000000-0005-0000-0000-0000B3300000}"/>
    <cellStyle name="60% - 强调文字颜色 2 4 18 6 2" xfId="19698" xr:uid="{00000000-0005-0000-0000-0000B4300000}"/>
    <cellStyle name="60% - 强调文字颜色 2 4 18 6 2 2" xfId="19701" xr:uid="{00000000-0005-0000-0000-0000B5300000}"/>
    <cellStyle name="60% - 强调文字颜色 2 4 18 6 2 3" xfId="19703" xr:uid="{00000000-0005-0000-0000-0000B6300000}"/>
    <cellStyle name="60% - 强调文字颜色 2 4 18 6 3" xfId="19717" xr:uid="{00000000-0005-0000-0000-0000B7300000}"/>
    <cellStyle name="60% - 强调文字颜色 2 4 18 6 4" xfId="19719" xr:uid="{00000000-0005-0000-0000-0000B8300000}"/>
    <cellStyle name="60% - 强调文字颜色 2 4 18 6 5" xfId="19721" xr:uid="{00000000-0005-0000-0000-0000B9300000}"/>
    <cellStyle name="60% - 强调文字颜色 2 4 18 6 6" xfId="4550" xr:uid="{00000000-0005-0000-0000-0000BA300000}"/>
    <cellStyle name="60% - 强调文字颜色 2 4 18 6 7" xfId="4571" xr:uid="{00000000-0005-0000-0000-0000BB300000}"/>
    <cellStyle name="60% - 强调文字颜色 2 4 18 6 8" xfId="15822" xr:uid="{00000000-0005-0000-0000-0000BC300000}"/>
    <cellStyle name="60% - 强调文字颜色 2 4 18 7" xfId="3468" xr:uid="{00000000-0005-0000-0000-0000BD300000}"/>
    <cellStyle name="60% - 强调文字颜色 2 4 18 8" xfId="3477" xr:uid="{00000000-0005-0000-0000-0000BE300000}"/>
    <cellStyle name="60% - 强调文字颜色 2 4 18 9" xfId="19743" xr:uid="{00000000-0005-0000-0000-0000BF300000}"/>
    <cellStyle name="60% - 强调文字颜色 2 4 18 9 2" xfId="21805" xr:uid="{00000000-0005-0000-0000-0000C0300000}"/>
    <cellStyle name="60% - 强调文字颜色 2 4 18 9 3" xfId="21807" xr:uid="{00000000-0005-0000-0000-0000C1300000}"/>
    <cellStyle name="60% - 强调文字颜色 2 4 19" xfId="21811" xr:uid="{00000000-0005-0000-0000-0000C2300000}"/>
    <cellStyle name="60% - 强调文字颜色 2 4 19 10" xfId="20265" xr:uid="{00000000-0005-0000-0000-0000C3300000}"/>
    <cellStyle name="60% - 强调文字颜色 2 4 19 11" xfId="20271" xr:uid="{00000000-0005-0000-0000-0000C4300000}"/>
    <cellStyle name="60% - 强调文字颜色 2 4 19 12" xfId="12921" xr:uid="{00000000-0005-0000-0000-0000C5300000}"/>
    <cellStyle name="60% - 强调文字颜色 2 4 19 13" xfId="12924" xr:uid="{00000000-0005-0000-0000-0000C6300000}"/>
    <cellStyle name="60% - 强调文字颜色 2 4 19 14" xfId="21812" xr:uid="{00000000-0005-0000-0000-0000C7300000}"/>
    <cellStyle name="60% - 强调文字颜色 2 4 19 2" xfId="8791" xr:uid="{00000000-0005-0000-0000-0000C8300000}"/>
    <cellStyle name="60% - 强调文字颜色 2 4 19 3" xfId="8792" xr:uid="{00000000-0005-0000-0000-0000C9300000}"/>
    <cellStyle name="60% - 强调文字颜色 2 4 19 4" xfId="8799" xr:uid="{00000000-0005-0000-0000-0000CA300000}"/>
    <cellStyle name="60% - 强调文字颜色 2 4 19 5" xfId="8850" xr:uid="{00000000-0005-0000-0000-0000CB300000}"/>
    <cellStyle name="60% - 强调文字颜色 2 4 19 5 10" xfId="10145" xr:uid="{00000000-0005-0000-0000-0000CC300000}"/>
    <cellStyle name="60% - 强调文字颜色 2 4 19 5 11" xfId="9356" xr:uid="{00000000-0005-0000-0000-0000CD300000}"/>
    <cellStyle name="60% - 强调文字颜色 2 4 19 5 2" xfId="7506" xr:uid="{00000000-0005-0000-0000-0000CE300000}"/>
    <cellStyle name="60% - 强调文字颜色 2 4 19 5 2 2" xfId="8859" xr:uid="{00000000-0005-0000-0000-0000CF300000}"/>
    <cellStyle name="60% - 强调文字颜色 2 4 19 5 2 2 2" xfId="21814" xr:uid="{00000000-0005-0000-0000-0000D0300000}"/>
    <cellStyle name="60% - 强调文字颜色 2 4 19 5 2 2 3" xfId="18754" xr:uid="{00000000-0005-0000-0000-0000D1300000}"/>
    <cellStyle name="60% - 强调文字颜色 2 4 19 5 2 3" xfId="8863" xr:uid="{00000000-0005-0000-0000-0000D2300000}"/>
    <cellStyle name="60% - 强调文字颜色 2 4 19 5 2 4" xfId="21818" xr:uid="{00000000-0005-0000-0000-0000D3300000}"/>
    <cellStyle name="60% - 强调文字颜色 2 4 19 5 2 5" xfId="21822" xr:uid="{00000000-0005-0000-0000-0000D4300000}"/>
    <cellStyle name="60% - 强调文字颜色 2 4 19 5 2 6" xfId="21825" xr:uid="{00000000-0005-0000-0000-0000D5300000}"/>
    <cellStyle name="60% - 强调文字颜色 2 4 19 5 2 7" xfId="21827" xr:uid="{00000000-0005-0000-0000-0000D6300000}"/>
    <cellStyle name="60% - 强调文字颜色 2 4 19 5 2 8" xfId="21829" xr:uid="{00000000-0005-0000-0000-0000D7300000}"/>
    <cellStyle name="60% - 强调文字颜色 2 4 19 5 3" xfId="5582" xr:uid="{00000000-0005-0000-0000-0000D8300000}"/>
    <cellStyle name="60% - 强调文字颜色 2 4 19 5 4" xfId="8867" xr:uid="{00000000-0005-0000-0000-0000D9300000}"/>
    <cellStyle name="60% - 强调文字颜色 2 4 19 5 5" xfId="8871" xr:uid="{00000000-0005-0000-0000-0000DA300000}"/>
    <cellStyle name="60% - 强调文字颜色 2 4 19 5 6" xfId="1964" xr:uid="{00000000-0005-0000-0000-0000DB300000}"/>
    <cellStyle name="60% - 强调文字颜色 2 4 19 5 6 2" xfId="10182" xr:uid="{00000000-0005-0000-0000-0000DC300000}"/>
    <cellStyle name="60% - 强调文字颜色 2 4 19 5 6 3" xfId="10189" xr:uid="{00000000-0005-0000-0000-0000DD300000}"/>
    <cellStyle name="60% - 强调文字颜色 2 4 19 5 7" xfId="1975" xr:uid="{00000000-0005-0000-0000-0000DE300000}"/>
    <cellStyle name="60% - 强调文字颜色 2 4 19 5 8" xfId="1993" xr:uid="{00000000-0005-0000-0000-0000DF300000}"/>
    <cellStyle name="60% - 强调文字颜色 2 4 19 5 9" xfId="2012" xr:uid="{00000000-0005-0000-0000-0000E0300000}"/>
    <cellStyle name="60% - 强调文字颜色 2 4 19 6" xfId="8874" xr:uid="{00000000-0005-0000-0000-0000E1300000}"/>
    <cellStyle name="60% - 强调文字颜色 2 4 19 6 2" xfId="21832" xr:uid="{00000000-0005-0000-0000-0000E2300000}"/>
    <cellStyle name="60% - 强调文字颜色 2 4 19 6 2 2" xfId="21695" xr:uid="{00000000-0005-0000-0000-0000E3300000}"/>
    <cellStyle name="60% - 强调文字颜色 2 4 19 6 2 3" xfId="21698" xr:uid="{00000000-0005-0000-0000-0000E4300000}"/>
    <cellStyle name="60% - 强调文字颜色 2 4 19 6 3" xfId="21835" xr:uid="{00000000-0005-0000-0000-0000E5300000}"/>
    <cellStyle name="60% - 强调文字颜色 2 4 19 6 4" xfId="20090" xr:uid="{00000000-0005-0000-0000-0000E6300000}"/>
    <cellStyle name="60% - 强调文字颜色 2 4 19 6 5" xfId="20093" xr:uid="{00000000-0005-0000-0000-0000E7300000}"/>
    <cellStyle name="60% - 强调文字颜色 2 4 19 6 6" xfId="20096" xr:uid="{00000000-0005-0000-0000-0000E8300000}"/>
    <cellStyle name="60% - 强调文字颜色 2 4 19 6 7" xfId="20098" xr:uid="{00000000-0005-0000-0000-0000E9300000}"/>
    <cellStyle name="60% - 强调文字颜色 2 4 19 6 8" xfId="17458" xr:uid="{00000000-0005-0000-0000-0000EA300000}"/>
    <cellStyle name="60% - 强调文字颜色 2 4 19 7" xfId="7515" xr:uid="{00000000-0005-0000-0000-0000EB300000}"/>
    <cellStyle name="60% - 强调文字颜色 2 4 19 8" xfId="5589" xr:uid="{00000000-0005-0000-0000-0000EC300000}"/>
    <cellStyle name="60% - 强调文字颜色 2 4 19 9" xfId="5601" xr:uid="{00000000-0005-0000-0000-0000ED300000}"/>
    <cellStyle name="60% - 强调文字颜色 2 4 19 9 2" xfId="10057" xr:uid="{00000000-0005-0000-0000-0000EE300000}"/>
    <cellStyle name="60% - 强调文字颜色 2 4 19 9 3" xfId="10063" xr:uid="{00000000-0005-0000-0000-0000EF300000}"/>
    <cellStyle name="60% - 强调文字颜色 2 4 2" xfId="21836" xr:uid="{00000000-0005-0000-0000-0000F0300000}"/>
    <cellStyle name="60% - 强调文字颜色 2 4 20" xfId="21742" xr:uid="{00000000-0005-0000-0000-0000F1300000}"/>
    <cellStyle name="60% - 强调文字颜色 2 4 20 10" xfId="953" xr:uid="{00000000-0005-0000-0000-0000F2300000}"/>
    <cellStyle name="60% - 强调文字颜色 2 4 20 11" xfId="989" xr:uid="{00000000-0005-0000-0000-0000F3300000}"/>
    <cellStyle name="60% - 强调文字颜色 2 4 20 12" xfId="1011" xr:uid="{00000000-0005-0000-0000-0000F4300000}"/>
    <cellStyle name="60% - 强调文字颜色 2 4 20 13" xfId="1049" xr:uid="{00000000-0005-0000-0000-0000F5300000}"/>
    <cellStyle name="60% - 强调文字颜色 2 4 20 14" xfId="1069" xr:uid="{00000000-0005-0000-0000-0000F6300000}"/>
    <cellStyle name="60% - 强调文字颜色 2 4 20 2" xfId="8933" xr:uid="{00000000-0005-0000-0000-0000F7300000}"/>
    <cellStyle name="60% - 强调文字颜色 2 4 20 3" xfId="8940" xr:uid="{00000000-0005-0000-0000-0000F8300000}"/>
    <cellStyle name="60% - 强调文字颜色 2 4 20 4" xfId="8946" xr:uid="{00000000-0005-0000-0000-0000F9300000}"/>
    <cellStyle name="60% - 强调文字颜色 2 4 20 5" xfId="8994" xr:uid="{00000000-0005-0000-0000-0000FA300000}"/>
    <cellStyle name="60% - 强调文字颜色 2 4 20 5 10" xfId="21838" xr:uid="{00000000-0005-0000-0000-0000FB300000}"/>
    <cellStyle name="60% - 强调文字颜色 2 4 20 5 11" xfId="21839" xr:uid="{00000000-0005-0000-0000-0000FC300000}"/>
    <cellStyle name="60% - 强调文字颜色 2 4 20 5 2" xfId="8997" xr:uid="{00000000-0005-0000-0000-0000FD300000}"/>
    <cellStyle name="60% - 强调文字颜色 2 4 20 5 2 2" xfId="296" xr:uid="{00000000-0005-0000-0000-0000FE300000}"/>
    <cellStyle name="60% - 强调文字颜色 2 4 20 5 2 2 2" xfId="18206" xr:uid="{00000000-0005-0000-0000-0000FF300000}"/>
    <cellStyle name="60% - 强调文字颜色 2 4 20 5 2 2 3" xfId="18209" xr:uid="{00000000-0005-0000-0000-000000310000}"/>
    <cellStyle name="60% - 强调文字颜色 2 4 20 5 2 3" xfId="5053" xr:uid="{00000000-0005-0000-0000-000001310000}"/>
    <cellStyle name="60% - 强调文字颜色 2 4 20 5 2 4" xfId="21840" xr:uid="{00000000-0005-0000-0000-000002310000}"/>
    <cellStyle name="60% - 强调文字颜色 2 4 20 5 2 5" xfId="21842" xr:uid="{00000000-0005-0000-0000-000003310000}"/>
    <cellStyle name="60% - 强调文字颜色 2 4 20 5 2 6" xfId="21844" xr:uid="{00000000-0005-0000-0000-000004310000}"/>
    <cellStyle name="60% - 强调文字颜色 2 4 20 5 2 7" xfId="7080" xr:uid="{00000000-0005-0000-0000-000005310000}"/>
    <cellStyle name="60% - 强调文字颜色 2 4 20 5 2 8" xfId="7088" xr:uid="{00000000-0005-0000-0000-000006310000}"/>
    <cellStyle name="60% - 强调文字颜色 2 4 20 5 3" xfId="9000" xr:uid="{00000000-0005-0000-0000-000007310000}"/>
    <cellStyle name="60% - 强调文字颜色 2 4 20 5 4" xfId="9003" xr:uid="{00000000-0005-0000-0000-000008310000}"/>
    <cellStyle name="60% - 强调文字颜色 2 4 20 5 5" xfId="9008" xr:uid="{00000000-0005-0000-0000-000009310000}"/>
    <cellStyle name="60% - 强调文字颜色 2 4 20 5 6" xfId="9016" xr:uid="{00000000-0005-0000-0000-00000A310000}"/>
    <cellStyle name="60% - 强调文字颜色 2 4 20 5 6 2" xfId="4946" xr:uid="{00000000-0005-0000-0000-00000B310000}"/>
    <cellStyle name="60% - 强调文字颜色 2 4 20 5 6 3" xfId="4949" xr:uid="{00000000-0005-0000-0000-00000C310000}"/>
    <cellStyle name="60% - 强调文字颜色 2 4 20 5 7" xfId="9021" xr:uid="{00000000-0005-0000-0000-00000D310000}"/>
    <cellStyle name="60% - 强调文字颜色 2 4 20 5 8" xfId="9026" xr:uid="{00000000-0005-0000-0000-00000E310000}"/>
    <cellStyle name="60% - 强调文字颜色 2 4 20 5 9" xfId="21845" xr:uid="{00000000-0005-0000-0000-00000F310000}"/>
    <cellStyle name="60% - 强调文字颜色 2 4 20 6" xfId="9028" xr:uid="{00000000-0005-0000-0000-000010310000}"/>
    <cellStyle name="60% - 强调文字颜色 2 4 20 6 2" xfId="18773" xr:uid="{00000000-0005-0000-0000-000011310000}"/>
    <cellStyle name="60% - 强调文字颜色 2 4 20 6 2 2" xfId="18777" xr:uid="{00000000-0005-0000-0000-000012310000}"/>
    <cellStyle name="60% - 强调文字颜色 2 4 20 6 2 3" xfId="18781" xr:uid="{00000000-0005-0000-0000-000013310000}"/>
    <cellStyle name="60% - 强调文字颜色 2 4 20 6 3" xfId="18791" xr:uid="{00000000-0005-0000-0000-000014310000}"/>
    <cellStyle name="60% - 强调文字颜色 2 4 20 6 4" xfId="18797" xr:uid="{00000000-0005-0000-0000-000015310000}"/>
    <cellStyle name="60% - 强调文字颜色 2 4 20 6 5" xfId="18799" xr:uid="{00000000-0005-0000-0000-000016310000}"/>
    <cellStyle name="60% - 强调文字颜色 2 4 20 6 6" xfId="18802" xr:uid="{00000000-0005-0000-0000-000017310000}"/>
    <cellStyle name="60% - 强调文字颜色 2 4 20 6 7" xfId="21846" xr:uid="{00000000-0005-0000-0000-000018310000}"/>
    <cellStyle name="60% - 强调文字颜色 2 4 20 6 8" xfId="21847" xr:uid="{00000000-0005-0000-0000-000019310000}"/>
    <cellStyle name="60% - 强调文字颜色 2 4 20 7" xfId="7483" xr:uid="{00000000-0005-0000-0000-00001A310000}"/>
    <cellStyle name="60% - 强调文字颜色 2 4 20 8" xfId="5354" xr:uid="{00000000-0005-0000-0000-00001B310000}"/>
    <cellStyle name="60% - 强调文字颜色 2 4 20 9" xfId="5404" xr:uid="{00000000-0005-0000-0000-00001C310000}"/>
    <cellStyle name="60% - 强调文字颜色 2 4 20 9 2" xfId="6139" xr:uid="{00000000-0005-0000-0000-00001D310000}"/>
    <cellStyle name="60% - 强调文字颜色 2 4 20 9 3" xfId="6151" xr:uid="{00000000-0005-0000-0000-00001E310000}"/>
    <cellStyle name="60% - 强调文字颜色 2 4 3" xfId="21848" xr:uid="{00000000-0005-0000-0000-00001F310000}"/>
    <cellStyle name="60% - 强调文字颜色 2 4 4" xfId="21850" xr:uid="{00000000-0005-0000-0000-000020310000}"/>
    <cellStyle name="60% - 强调文字颜色 2 4 5" xfId="21851" xr:uid="{00000000-0005-0000-0000-000021310000}"/>
    <cellStyle name="60% - 强调文字颜色 2 4 6" xfId="21852" xr:uid="{00000000-0005-0000-0000-000022310000}"/>
    <cellStyle name="60% - 强调文字颜色 2 4 7" xfId="21854" xr:uid="{00000000-0005-0000-0000-000023310000}"/>
    <cellStyle name="60% - 强调文字颜色 2 4 8" xfId="21856" xr:uid="{00000000-0005-0000-0000-000024310000}"/>
    <cellStyle name="60% - 强调文字颜色 2 4 9" xfId="21857" xr:uid="{00000000-0005-0000-0000-000025310000}"/>
    <cellStyle name="60% - 强调文字颜色 2 5" xfId="1000" xr:uid="{00000000-0005-0000-0000-000026310000}"/>
    <cellStyle name="60% - 强调文字颜色 2 5 10" xfId="11023" xr:uid="{00000000-0005-0000-0000-000027310000}"/>
    <cellStyle name="60% - 强调文字颜色 2 5 11" xfId="9449" xr:uid="{00000000-0005-0000-0000-000028310000}"/>
    <cellStyle name="60% - 强调文字颜色 2 5 12" xfId="9460" xr:uid="{00000000-0005-0000-0000-000029310000}"/>
    <cellStyle name="60% - 强调文字颜色 2 5 13" xfId="21861" xr:uid="{00000000-0005-0000-0000-00002A310000}"/>
    <cellStyle name="60% - 强调文字颜色 2 5 14" xfId="21863" xr:uid="{00000000-0005-0000-0000-00002B310000}"/>
    <cellStyle name="60% - 强调文字颜色 2 5 2" xfId="21864" xr:uid="{00000000-0005-0000-0000-00002C310000}"/>
    <cellStyle name="60% - 强调文字颜色 2 5 3" xfId="21866" xr:uid="{00000000-0005-0000-0000-00002D310000}"/>
    <cellStyle name="60% - 强调文字颜色 2 5 4" xfId="21868" xr:uid="{00000000-0005-0000-0000-00002E310000}"/>
    <cellStyle name="60% - 强调文字颜色 2 5 5" xfId="21869" xr:uid="{00000000-0005-0000-0000-00002F310000}"/>
    <cellStyle name="60% - 强调文字颜色 2 5 6" xfId="21871" xr:uid="{00000000-0005-0000-0000-000030310000}"/>
    <cellStyle name="60% - 强调文字颜色 2 5 7" xfId="21872" xr:uid="{00000000-0005-0000-0000-000031310000}"/>
    <cellStyle name="60% - 强调文字颜色 2 5 8" xfId="21873" xr:uid="{00000000-0005-0000-0000-000032310000}"/>
    <cellStyle name="60% - 强调文字颜色 2 5 9" xfId="21874" xr:uid="{00000000-0005-0000-0000-000033310000}"/>
    <cellStyle name="60% - 强调文字颜色 2 6" xfId="1034" xr:uid="{00000000-0005-0000-0000-000034310000}"/>
    <cellStyle name="60% - 强调文字颜色 2 6 10" xfId="21876" xr:uid="{00000000-0005-0000-0000-000035310000}"/>
    <cellStyle name="60% - 强调文字颜色 2 6 11" xfId="21878" xr:uid="{00000000-0005-0000-0000-000036310000}"/>
    <cellStyle name="60% - 强调文字颜色 2 6 12" xfId="21880" xr:uid="{00000000-0005-0000-0000-000037310000}"/>
    <cellStyle name="60% - 强调文字颜色 2 6 13" xfId="21883" xr:uid="{00000000-0005-0000-0000-000038310000}"/>
    <cellStyle name="60% - 强调文字颜色 2 6 14" xfId="21886" xr:uid="{00000000-0005-0000-0000-000039310000}"/>
    <cellStyle name="60% - 强调文字颜色 2 6 2" xfId="505" xr:uid="{00000000-0005-0000-0000-00003A310000}"/>
    <cellStyle name="60% - 强调文字颜色 2 6 3" xfId="21887" xr:uid="{00000000-0005-0000-0000-00003B310000}"/>
    <cellStyle name="60% - 强调文字颜色 2 6 4" xfId="21889" xr:uid="{00000000-0005-0000-0000-00003C310000}"/>
    <cellStyle name="60% - 强调文字颜色 2 6 5" xfId="21890" xr:uid="{00000000-0005-0000-0000-00003D310000}"/>
    <cellStyle name="60% - 强调文字颜色 2 6 6" xfId="21891" xr:uid="{00000000-0005-0000-0000-00003E310000}"/>
    <cellStyle name="60% - 强调文字颜色 2 6 7" xfId="21893" xr:uid="{00000000-0005-0000-0000-00003F310000}"/>
    <cellStyle name="60% - 强调文字颜色 2 6 8" xfId="21896" xr:uid="{00000000-0005-0000-0000-000040310000}"/>
    <cellStyle name="60% - 强调文字颜色 2 6 9" xfId="21898" xr:uid="{00000000-0005-0000-0000-000041310000}"/>
    <cellStyle name="60% - 强调文字颜色 2 7" xfId="1054" xr:uid="{00000000-0005-0000-0000-000042310000}"/>
    <cellStyle name="60% - 强调文字颜色 2 8" xfId="1075" xr:uid="{00000000-0005-0000-0000-000043310000}"/>
    <cellStyle name="60% - 强调文字颜色 2 9" xfId="21899" xr:uid="{00000000-0005-0000-0000-000044310000}"/>
    <cellStyle name="60% - 强调文字颜色 3 10" xfId="21905" xr:uid="{00000000-0005-0000-0000-000045310000}"/>
    <cellStyle name="60% - 强调文字颜色 3 11" xfId="21912" xr:uid="{00000000-0005-0000-0000-000046310000}"/>
    <cellStyle name="60% - 强调文字颜色 3 12" xfId="700" xr:uid="{00000000-0005-0000-0000-000047310000}"/>
    <cellStyle name="60% - 强调文字颜色 3 12 10" xfId="21654" xr:uid="{00000000-0005-0000-0000-000048310000}"/>
    <cellStyle name="60% - 强调文字颜色 3 12 11" xfId="21656" xr:uid="{00000000-0005-0000-0000-000049310000}"/>
    <cellStyle name="60% - 强调文字颜色 3 12 12" xfId="21680" xr:uid="{00000000-0005-0000-0000-00004A310000}"/>
    <cellStyle name="60% - 强调文字颜色 3 12 13" xfId="21686" xr:uid="{00000000-0005-0000-0000-00004B310000}"/>
    <cellStyle name="60% - 强调文字颜色 3 12 14" xfId="479" xr:uid="{00000000-0005-0000-0000-00004C310000}"/>
    <cellStyle name="60% - 强调文字颜色 3 12 2" xfId="21914" xr:uid="{00000000-0005-0000-0000-00004D310000}"/>
    <cellStyle name="60% - 强调文字颜色 3 12 3" xfId="21916" xr:uid="{00000000-0005-0000-0000-00004E310000}"/>
    <cellStyle name="60% - 强调文字颜色 3 12 4" xfId="21918" xr:uid="{00000000-0005-0000-0000-00004F310000}"/>
    <cellStyle name="60% - 强调文字颜色 3 12 5" xfId="21919" xr:uid="{00000000-0005-0000-0000-000050310000}"/>
    <cellStyle name="60% - 强调文字颜色 3 12 5 10" xfId="14520" xr:uid="{00000000-0005-0000-0000-000051310000}"/>
    <cellStyle name="60% - 强调文字颜色 3 12 5 11" xfId="21920" xr:uid="{00000000-0005-0000-0000-000052310000}"/>
    <cellStyle name="60% - 强调文字颜色 3 12 5 2" xfId="19094" xr:uid="{00000000-0005-0000-0000-000053310000}"/>
    <cellStyle name="60% - 强调文字颜色 3 12 5 2 2" xfId="21921" xr:uid="{00000000-0005-0000-0000-000054310000}"/>
    <cellStyle name="60% - 强调文字颜色 3 12 5 2 2 2" xfId="19371" xr:uid="{00000000-0005-0000-0000-000055310000}"/>
    <cellStyle name="60% - 强调文字颜色 3 12 5 2 2 3" xfId="12441" xr:uid="{00000000-0005-0000-0000-000056310000}"/>
    <cellStyle name="60% - 强调文字颜色 3 12 5 2 3" xfId="21923" xr:uid="{00000000-0005-0000-0000-000057310000}"/>
    <cellStyle name="60% - 强调文字颜色 3 12 5 2 4" xfId="21925" xr:uid="{00000000-0005-0000-0000-000058310000}"/>
    <cellStyle name="60% - 强调文字颜色 3 12 5 2 5" xfId="21927" xr:uid="{00000000-0005-0000-0000-000059310000}"/>
    <cellStyle name="60% - 强调文字颜色 3 12 5 2 6" xfId="10703" xr:uid="{00000000-0005-0000-0000-00005A310000}"/>
    <cellStyle name="60% - 强调文字颜色 3 12 5 2 7" xfId="10706" xr:uid="{00000000-0005-0000-0000-00005B310000}"/>
    <cellStyle name="60% - 强调文字颜色 3 12 5 2 8" xfId="21928" xr:uid="{00000000-0005-0000-0000-00005C310000}"/>
    <cellStyle name="60% - 强调文字颜色 3 12 5 3" xfId="16500" xr:uid="{00000000-0005-0000-0000-00005D310000}"/>
    <cellStyle name="60% - 强调文字颜色 3 12 5 4" xfId="16503" xr:uid="{00000000-0005-0000-0000-00005E310000}"/>
    <cellStyle name="60% - 强调文字颜色 3 12 5 5" xfId="14976" xr:uid="{00000000-0005-0000-0000-00005F310000}"/>
    <cellStyle name="60% - 强调文字颜色 3 12 5 6" xfId="14980" xr:uid="{00000000-0005-0000-0000-000060310000}"/>
    <cellStyle name="60% - 强调文字颜色 3 12 5 6 2" xfId="19842" xr:uid="{00000000-0005-0000-0000-000061310000}"/>
    <cellStyle name="60% - 强调文字颜色 3 12 5 6 3" xfId="19848" xr:uid="{00000000-0005-0000-0000-000062310000}"/>
    <cellStyle name="60% - 强调文字颜色 3 12 5 7" xfId="14982" xr:uid="{00000000-0005-0000-0000-000063310000}"/>
    <cellStyle name="60% - 强调文字颜色 3 12 5 8" xfId="14984" xr:uid="{00000000-0005-0000-0000-000064310000}"/>
    <cellStyle name="60% - 强调文字颜色 3 12 5 9" xfId="14986" xr:uid="{00000000-0005-0000-0000-000065310000}"/>
    <cellStyle name="60% - 强调文字颜色 3 12 6" xfId="21931" xr:uid="{00000000-0005-0000-0000-000066310000}"/>
    <cellStyle name="60% - 强调文字颜色 3 12 6 2" xfId="21935" xr:uid="{00000000-0005-0000-0000-000067310000}"/>
    <cellStyle name="60% - 强调文字颜色 3 12 6 2 2" xfId="21936" xr:uid="{00000000-0005-0000-0000-000068310000}"/>
    <cellStyle name="60% - 强调文字颜色 3 12 6 2 3" xfId="21939" xr:uid="{00000000-0005-0000-0000-000069310000}"/>
    <cellStyle name="60% - 强调文字颜色 3 12 6 3" xfId="21942" xr:uid="{00000000-0005-0000-0000-00006A310000}"/>
    <cellStyle name="60% - 强调文字颜色 3 12 6 4" xfId="21944" xr:uid="{00000000-0005-0000-0000-00006B310000}"/>
    <cellStyle name="60% - 强调文字颜色 3 12 6 5" xfId="21945" xr:uid="{00000000-0005-0000-0000-00006C310000}"/>
    <cellStyle name="60% - 强调文字颜色 3 12 6 6" xfId="21947" xr:uid="{00000000-0005-0000-0000-00006D310000}"/>
    <cellStyle name="60% - 强调文字颜色 3 12 6 7" xfId="21949" xr:uid="{00000000-0005-0000-0000-00006E310000}"/>
    <cellStyle name="60% - 强调文字颜色 3 12 6 8" xfId="21951" xr:uid="{00000000-0005-0000-0000-00006F310000}"/>
    <cellStyle name="60% - 强调文字颜色 3 12 7" xfId="21954" xr:uid="{00000000-0005-0000-0000-000070310000}"/>
    <cellStyle name="60% - 强调文字颜色 3 12 8" xfId="21956" xr:uid="{00000000-0005-0000-0000-000071310000}"/>
    <cellStyle name="60% - 强调文字颜色 3 12 9" xfId="21958" xr:uid="{00000000-0005-0000-0000-000072310000}"/>
    <cellStyle name="60% - 强调文字颜色 3 12 9 2" xfId="12904" xr:uid="{00000000-0005-0000-0000-000073310000}"/>
    <cellStyle name="60% - 强调文字颜色 3 12 9 3" xfId="21959" xr:uid="{00000000-0005-0000-0000-000074310000}"/>
    <cellStyle name="60% - 强调文字颜色 3 13" xfId="734" xr:uid="{00000000-0005-0000-0000-000075310000}"/>
    <cellStyle name="60% - 强调文字颜色 3 14" xfId="757" xr:uid="{00000000-0005-0000-0000-000076310000}"/>
    <cellStyle name="60% - 强调文字颜色 3 15" xfId="1283" xr:uid="{00000000-0005-0000-0000-000077310000}"/>
    <cellStyle name="60% - 强调文字颜色 3 16" xfId="1294" xr:uid="{00000000-0005-0000-0000-000078310000}"/>
    <cellStyle name="60% - 强调文字颜色 3 16 10" xfId="21960" xr:uid="{00000000-0005-0000-0000-000079310000}"/>
    <cellStyle name="60% - 强调文字颜色 3 16 11" xfId="21961" xr:uid="{00000000-0005-0000-0000-00007A310000}"/>
    <cellStyle name="60% - 强调文字颜色 3 16 12" xfId="21962" xr:uid="{00000000-0005-0000-0000-00007B310000}"/>
    <cellStyle name="60% - 强调文字颜色 3 16 13" xfId="21963" xr:uid="{00000000-0005-0000-0000-00007C310000}"/>
    <cellStyle name="60% - 强调文字颜色 3 16 14" xfId="21965" xr:uid="{00000000-0005-0000-0000-00007D310000}"/>
    <cellStyle name="60% - 强调文字颜色 3 16 2" xfId="9894" xr:uid="{00000000-0005-0000-0000-00007E310000}"/>
    <cellStyle name="60% - 强调文字颜色 3 16 3" xfId="21967" xr:uid="{00000000-0005-0000-0000-00007F310000}"/>
    <cellStyle name="60% - 强调文字颜色 3 16 4" xfId="21968" xr:uid="{00000000-0005-0000-0000-000080310000}"/>
    <cellStyle name="60% - 强调文字颜色 3 16 5" xfId="21969" xr:uid="{00000000-0005-0000-0000-000081310000}"/>
    <cellStyle name="60% - 强调文字颜色 3 16 5 10" xfId="21972" xr:uid="{00000000-0005-0000-0000-000082310000}"/>
    <cellStyle name="60% - 强调文字颜色 3 16 5 11" xfId="21976" xr:uid="{00000000-0005-0000-0000-000083310000}"/>
    <cellStyle name="60% - 强调文字颜色 3 16 5 2" xfId="15941" xr:uid="{00000000-0005-0000-0000-000084310000}"/>
    <cellStyle name="60% - 强调文字颜色 3 16 5 2 2" xfId="21024" xr:uid="{00000000-0005-0000-0000-000085310000}"/>
    <cellStyle name="60% - 强调文字颜色 3 16 5 2 2 2" xfId="19529" xr:uid="{00000000-0005-0000-0000-000086310000}"/>
    <cellStyle name="60% - 强调文字颜色 3 16 5 2 2 3" xfId="11859" xr:uid="{00000000-0005-0000-0000-000087310000}"/>
    <cellStyle name="60% - 强调文字颜色 3 16 5 2 3" xfId="1251" xr:uid="{00000000-0005-0000-0000-000088310000}"/>
    <cellStyle name="60% - 强调文字颜色 3 16 5 2 4" xfId="3683" xr:uid="{00000000-0005-0000-0000-000089310000}"/>
    <cellStyle name="60% - 强调文字颜色 3 16 5 2 5" xfId="21980" xr:uid="{00000000-0005-0000-0000-00008A310000}"/>
    <cellStyle name="60% - 强调文字颜色 3 16 5 2 6" xfId="21984" xr:uid="{00000000-0005-0000-0000-00008B310000}"/>
    <cellStyle name="60% - 强调文字颜色 3 16 5 2 7" xfId="21986" xr:uid="{00000000-0005-0000-0000-00008C310000}"/>
    <cellStyle name="60% - 强调文字颜色 3 16 5 2 8" xfId="21988" xr:uid="{00000000-0005-0000-0000-00008D310000}"/>
    <cellStyle name="60% - 强调文字颜色 3 16 5 3" xfId="15947" xr:uid="{00000000-0005-0000-0000-00008E310000}"/>
    <cellStyle name="60% - 强调文字颜色 3 16 5 4" xfId="15951" xr:uid="{00000000-0005-0000-0000-00008F310000}"/>
    <cellStyle name="60% - 强调文字颜色 3 16 5 5" xfId="15955" xr:uid="{00000000-0005-0000-0000-000090310000}"/>
    <cellStyle name="60% - 强调文字颜色 3 16 5 6" xfId="15958" xr:uid="{00000000-0005-0000-0000-000091310000}"/>
    <cellStyle name="60% - 强调文字颜色 3 16 5 6 2" xfId="21989" xr:uid="{00000000-0005-0000-0000-000092310000}"/>
    <cellStyle name="60% - 强调文字颜色 3 16 5 6 3" xfId="21991" xr:uid="{00000000-0005-0000-0000-000093310000}"/>
    <cellStyle name="60% - 强调文字颜色 3 16 5 7" xfId="21993" xr:uid="{00000000-0005-0000-0000-000094310000}"/>
    <cellStyle name="60% - 强调文字颜色 3 16 5 8" xfId="21995" xr:uid="{00000000-0005-0000-0000-000095310000}"/>
    <cellStyle name="60% - 强调文字颜色 3 16 5 9" xfId="21997" xr:uid="{00000000-0005-0000-0000-000096310000}"/>
    <cellStyle name="60% - 强调文字颜色 3 16 6" xfId="14259" xr:uid="{00000000-0005-0000-0000-000097310000}"/>
    <cellStyle name="60% - 强调文字颜色 3 16 6 2" xfId="14262" xr:uid="{00000000-0005-0000-0000-000098310000}"/>
    <cellStyle name="60% - 强调文字颜色 3 16 6 2 2" xfId="21999" xr:uid="{00000000-0005-0000-0000-000099310000}"/>
    <cellStyle name="60% - 强调文字颜色 3 16 6 2 3" xfId="22000" xr:uid="{00000000-0005-0000-0000-00009A310000}"/>
    <cellStyle name="60% - 强调文字颜色 3 16 6 3" xfId="14265" xr:uid="{00000000-0005-0000-0000-00009B310000}"/>
    <cellStyle name="60% - 强调文字颜色 3 16 6 4" xfId="22001" xr:uid="{00000000-0005-0000-0000-00009C310000}"/>
    <cellStyle name="60% - 强调文字颜色 3 16 6 5" xfId="22003" xr:uid="{00000000-0005-0000-0000-00009D310000}"/>
    <cellStyle name="60% - 强调文字颜色 3 16 6 6" xfId="22007" xr:uid="{00000000-0005-0000-0000-00009E310000}"/>
    <cellStyle name="60% - 强调文字颜色 3 16 6 7" xfId="22011" xr:uid="{00000000-0005-0000-0000-00009F310000}"/>
    <cellStyle name="60% - 强调文字颜色 3 16 6 8" xfId="22013" xr:uid="{00000000-0005-0000-0000-0000A0310000}"/>
    <cellStyle name="60% - 强调文字颜色 3 16 7" xfId="14268" xr:uid="{00000000-0005-0000-0000-0000A1310000}"/>
    <cellStyle name="60% - 强调文字颜色 3 16 8" xfId="3822" xr:uid="{00000000-0005-0000-0000-0000A2310000}"/>
    <cellStyle name="60% - 强调文字颜色 3 16 9" xfId="11586" xr:uid="{00000000-0005-0000-0000-0000A3310000}"/>
    <cellStyle name="60% - 强调文字颜色 3 16 9 2" xfId="22016" xr:uid="{00000000-0005-0000-0000-0000A4310000}"/>
    <cellStyle name="60% - 强调文字颜色 3 16 9 3" xfId="22019" xr:uid="{00000000-0005-0000-0000-0000A5310000}"/>
    <cellStyle name="60% - 强调文字颜色 3 17" xfId="1305" xr:uid="{00000000-0005-0000-0000-0000A6310000}"/>
    <cellStyle name="60% - 强调文字颜色 3 17 10" xfId="22020" xr:uid="{00000000-0005-0000-0000-0000A7310000}"/>
    <cellStyle name="60% - 强调文字颜色 3 17 11" xfId="22021" xr:uid="{00000000-0005-0000-0000-0000A8310000}"/>
    <cellStyle name="60% - 强调文字颜色 3 17 12" xfId="22022" xr:uid="{00000000-0005-0000-0000-0000A9310000}"/>
    <cellStyle name="60% - 强调文字颜色 3 17 13" xfId="4139" xr:uid="{00000000-0005-0000-0000-0000AA310000}"/>
    <cellStyle name="60% - 强调文字颜色 3 17 14" xfId="4206" xr:uid="{00000000-0005-0000-0000-0000AB310000}"/>
    <cellStyle name="60% - 强调文字颜色 3 17 2" xfId="22025" xr:uid="{00000000-0005-0000-0000-0000AC310000}"/>
    <cellStyle name="60% - 强调文字颜色 3 17 3" xfId="22027" xr:uid="{00000000-0005-0000-0000-0000AD310000}"/>
    <cellStyle name="60% - 强调文字颜色 3 17 4" xfId="22029" xr:uid="{00000000-0005-0000-0000-0000AE310000}"/>
    <cellStyle name="60% - 强调文字颜色 3 17 5" xfId="22030" xr:uid="{00000000-0005-0000-0000-0000AF310000}"/>
    <cellStyle name="60% - 强调文字颜色 3 17 5 10" xfId="22032" xr:uid="{00000000-0005-0000-0000-0000B0310000}"/>
    <cellStyle name="60% - 强调文字颜色 3 17 5 11" xfId="22035" xr:uid="{00000000-0005-0000-0000-0000B1310000}"/>
    <cellStyle name="60% - 强调文字颜色 3 17 5 2" xfId="18103" xr:uid="{00000000-0005-0000-0000-0000B2310000}"/>
    <cellStyle name="60% - 强调文字颜色 3 17 5 2 2" xfId="21726" xr:uid="{00000000-0005-0000-0000-0000B3310000}"/>
    <cellStyle name="60% - 强调文字颜色 3 17 5 2 2 2" xfId="20270" xr:uid="{00000000-0005-0000-0000-0000B4310000}"/>
    <cellStyle name="60% - 强调文字颜色 3 17 5 2 2 3" xfId="12920" xr:uid="{00000000-0005-0000-0000-0000B5310000}"/>
    <cellStyle name="60% - 强调文字颜色 3 17 5 2 3" xfId="21730" xr:uid="{00000000-0005-0000-0000-0000B6310000}"/>
    <cellStyle name="60% - 强调文字颜色 3 17 5 2 4" xfId="13422" xr:uid="{00000000-0005-0000-0000-0000B7310000}"/>
    <cellStyle name="60% - 强调文字颜色 3 17 5 2 5" xfId="7095" xr:uid="{00000000-0005-0000-0000-0000B8310000}"/>
    <cellStyle name="60% - 强调文字颜色 3 17 5 2 6" xfId="7289" xr:uid="{00000000-0005-0000-0000-0000B9310000}"/>
    <cellStyle name="60% - 强调文字颜色 3 17 5 2 7" xfId="7369" xr:uid="{00000000-0005-0000-0000-0000BA310000}"/>
    <cellStyle name="60% - 强调文字颜色 3 17 5 2 8" xfId="7438" xr:uid="{00000000-0005-0000-0000-0000BB310000}"/>
    <cellStyle name="60% - 强调文字颜色 3 17 5 3" xfId="18105" xr:uid="{00000000-0005-0000-0000-0000BC310000}"/>
    <cellStyle name="60% - 强调文字颜色 3 17 5 4" xfId="18108" xr:uid="{00000000-0005-0000-0000-0000BD310000}"/>
    <cellStyle name="60% - 强调文字颜色 3 17 5 5" xfId="22037" xr:uid="{00000000-0005-0000-0000-0000BE310000}"/>
    <cellStyle name="60% - 强调文字颜色 3 17 5 6" xfId="22038" xr:uid="{00000000-0005-0000-0000-0000BF310000}"/>
    <cellStyle name="60% - 强调文字颜色 3 17 5 6 2" xfId="22039" xr:uid="{00000000-0005-0000-0000-0000C0310000}"/>
    <cellStyle name="60% - 强调文字颜色 3 17 5 6 3" xfId="22041" xr:uid="{00000000-0005-0000-0000-0000C1310000}"/>
    <cellStyle name="60% - 强调文字颜色 3 17 5 7" xfId="22044" xr:uid="{00000000-0005-0000-0000-0000C2310000}"/>
    <cellStyle name="60% - 强调文字颜色 3 17 5 8" xfId="22046" xr:uid="{00000000-0005-0000-0000-0000C3310000}"/>
    <cellStyle name="60% - 强调文字颜色 3 17 5 9" xfId="22047" xr:uid="{00000000-0005-0000-0000-0000C4310000}"/>
    <cellStyle name="60% - 强调文字颜色 3 17 6" xfId="22048" xr:uid="{00000000-0005-0000-0000-0000C5310000}"/>
    <cellStyle name="60% - 强调文字颜色 3 17 6 2" xfId="22049" xr:uid="{00000000-0005-0000-0000-0000C6310000}"/>
    <cellStyle name="60% - 强调文字颜色 3 17 6 2 2" xfId="22051" xr:uid="{00000000-0005-0000-0000-0000C7310000}"/>
    <cellStyle name="60% - 强调文字颜色 3 17 6 2 3" xfId="22053" xr:uid="{00000000-0005-0000-0000-0000C8310000}"/>
    <cellStyle name="60% - 强调文字颜色 3 17 6 3" xfId="22054" xr:uid="{00000000-0005-0000-0000-0000C9310000}"/>
    <cellStyle name="60% - 强调文字颜色 3 17 6 4" xfId="22055" xr:uid="{00000000-0005-0000-0000-0000CA310000}"/>
    <cellStyle name="60% - 强调文字颜色 3 17 6 5" xfId="22056" xr:uid="{00000000-0005-0000-0000-0000CB310000}"/>
    <cellStyle name="60% - 强调文字颜色 3 17 6 6" xfId="22057" xr:uid="{00000000-0005-0000-0000-0000CC310000}"/>
    <cellStyle name="60% - 强调文字颜色 3 17 6 7" xfId="22058" xr:uid="{00000000-0005-0000-0000-0000CD310000}"/>
    <cellStyle name="60% - 强调文字颜色 3 17 6 8" xfId="22059" xr:uid="{00000000-0005-0000-0000-0000CE310000}"/>
    <cellStyle name="60% - 强调文字颜色 3 17 7" xfId="22060" xr:uid="{00000000-0005-0000-0000-0000CF310000}"/>
    <cellStyle name="60% - 强调文字颜色 3 17 8" xfId="22061" xr:uid="{00000000-0005-0000-0000-0000D0310000}"/>
    <cellStyle name="60% - 强调文字颜色 3 17 9" xfId="22062" xr:uid="{00000000-0005-0000-0000-0000D1310000}"/>
    <cellStyle name="60% - 强调文字颜色 3 17 9 2" xfId="22063" xr:uid="{00000000-0005-0000-0000-0000D2310000}"/>
    <cellStyle name="60% - 强调文字颜色 3 17 9 3" xfId="22064" xr:uid="{00000000-0005-0000-0000-0000D3310000}"/>
    <cellStyle name="60% - 强调文字颜色 3 18" xfId="1316" xr:uid="{00000000-0005-0000-0000-0000D4310000}"/>
    <cellStyle name="60% - 强调文字颜色 3 18 10" xfId="1324" xr:uid="{00000000-0005-0000-0000-0000D5310000}"/>
    <cellStyle name="60% - 强调文字颜色 3 18 11" xfId="1335" xr:uid="{00000000-0005-0000-0000-0000D6310000}"/>
    <cellStyle name="60% - 强调文字颜色 3 18 12" xfId="1347" xr:uid="{00000000-0005-0000-0000-0000D7310000}"/>
    <cellStyle name="60% - 强调文字颜色 3 18 13" xfId="263" xr:uid="{00000000-0005-0000-0000-0000D8310000}"/>
    <cellStyle name="60% - 强调文字颜色 3 18 14" xfId="1366" xr:uid="{00000000-0005-0000-0000-0000D9310000}"/>
    <cellStyle name="60% - 强调文字颜色 3 18 2" xfId="1378" xr:uid="{00000000-0005-0000-0000-0000DA310000}"/>
    <cellStyle name="60% - 强调文字颜色 3 18 3" xfId="1390" xr:uid="{00000000-0005-0000-0000-0000DB310000}"/>
    <cellStyle name="60% - 强调文字颜色 3 18 4" xfId="1404" xr:uid="{00000000-0005-0000-0000-0000DC310000}"/>
    <cellStyle name="60% - 强调文字颜色 3 18 5" xfId="1419" xr:uid="{00000000-0005-0000-0000-0000DD310000}"/>
    <cellStyle name="60% - 强调文字颜色 3 18 5 10" xfId="1427" xr:uid="{00000000-0005-0000-0000-0000DE310000}"/>
    <cellStyle name="60% - 强调文字颜色 3 18 5 11" xfId="1458" xr:uid="{00000000-0005-0000-0000-0000DF310000}"/>
    <cellStyle name="60% - 强调文字颜色 3 18 5 2" xfId="1477" xr:uid="{00000000-0005-0000-0000-0000E0310000}"/>
    <cellStyle name="60% - 强调文字颜色 3 18 5 2 2" xfId="1489" xr:uid="{00000000-0005-0000-0000-0000E1310000}"/>
    <cellStyle name="60% - 强调文字颜色 3 18 5 2 2 2" xfId="1510" xr:uid="{00000000-0005-0000-0000-0000E2310000}"/>
    <cellStyle name="60% - 强调文字颜色 3 18 5 2 2 3" xfId="1523" xr:uid="{00000000-0005-0000-0000-0000E3310000}"/>
    <cellStyle name="60% - 强调文字颜色 3 18 5 2 3" xfId="234" xr:uid="{00000000-0005-0000-0000-0000E4310000}"/>
    <cellStyle name="60% - 强调文字颜色 3 18 5 2 4" xfId="1530" xr:uid="{00000000-0005-0000-0000-0000E5310000}"/>
    <cellStyle name="60% - 强调文字颜色 3 18 5 2 5" xfId="1538" xr:uid="{00000000-0005-0000-0000-0000E6310000}"/>
    <cellStyle name="60% - 强调文字颜色 3 18 5 2 6" xfId="1545" xr:uid="{00000000-0005-0000-0000-0000E7310000}"/>
    <cellStyle name="60% - 强调文字颜色 3 18 5 2 7" xfId="1556" xr:uid="{00000000-0005-0000-0000-0000E8310000}"/>
    <cellStyle name="60% - 强调文字颜色 3 18 5 2 8" xfId="1564" xr:uid="{00000000-0005-0000-0000-0000E9310000}"/>
    <cellStyle name="60% - 强调文字颜色 3 18 5 3" xfId="1569" xr:uid="{00000000-0005-0000-0000-0000EA310000}"/>
    <cellStyle name="60% - 强调文字颜色 3 18 5 4" xfId="1587" xr:uid="{00000000-0005-0000-0000-0000EB310000}"/>
    <cellStyle name="60% - 强调文字颜色 3 18 5 5" xfId="1603" xr:uid="{00000000-0005-0000-0000-0000EC310000}"/>
    <cellStyle name="60% - 强调文字颜色 3 18 5 6" xfId="1619" xr:uid="{00000000-0005-0000-0000-0000ED310000}"/>
    <cellStyle name="60% - 强调文字颜色 3 18 5 6 2" xfId="1625" xr:uid="{00000000-0005-0000-0000-0000EE310000}"/>
    <cellStyle name="60% - 强调文字颜色 3 18 5 6 3" xfId="444" xr:uid="{00000000-0005-0000-0000-0000EF310000}"/>
    <cellStyle name="60% - 强调文字颜色 3 18 5 7" xfId="1642" xr:uid="{00000000-0005-0000-0000-0000F0310000}"/>
    <cellStyle name="60% - 强调文字颜色 3 18 5 8" xfId="1657" xr:uid="{00000000-0005-0000-0000-0000F1310000}"/>
    <cellStyle name="60% - 强调文字颜色 3 18 5 9" xfId="1672" xr:uid="{00000000-0005-0000-0000-0000F2310000}"/>
    <cellStyle name="60% - 强调文字颜色 3 18 6" xfId="1683" xr:uid="{00000000-0005-0000-0000-0000F3310000}"/>
    <cellStyle name="60% - 强调文字颜色 3 18 6 2" xfId="1693" xr:uid="{00000000-0005-0000-0000-0000F4310000}"/>
    <cellStyle name="60% - 强调文字颜色 3 18 6 2 2" xfId="1716" xr:uid="{00000000-0005-0000-0000-0000F5310000}"/>
    <cellStyle name="60% - 强调文字颜色 3 18 6 2 3" xfId="1739" xr:uid="{00000000-0005-0000-0000-0000F6310000}"/>
    <cellStyle name="60% - 强调文字颜色 3 18 6 3" xfId="1746" xr:uid="{00000000-0005-0000-0000-0000F7310000}"/>
    <cellStyle name="60% - 强调文字颜色 3 18 6 4" xfId="1756" xr:uid="{00000000-0005-0000-0000-0000F8310000}"/>
    <cellStyle name="60% - 强调文字颜色 3 18 6 5" xfId="1766" xr:uid="{00000000-0005-0000-0000-0000F9310000}"/>
    <cellStyle name="60% - 强调文字颜色 3 18 6 6" xfId="388" xr:uid="{00000000-0005-0000-0000-0000FA310000}"/>
    <cellStyle name="60% - 强调文字颜色 3 18 6 7" xfId="1776" xr:uid="{00000000-0005-0000-0000-0000FB310000}"/>
    <cellStyle name="60% - 强调文字颜色 3 18 6 8" xfId="1780" xr:uid="{00000000-0005-0000-0000-0000FC310000}"/>
    <cellStyle name="60% - 强调文字颜色 3 18 7" xfId="1792" xr:uid="{00000000-0005-0000-0000-0000FD310000}"/>
    <cellStyle name="60% - 强调文字颜色 3 18 8" xfId="1806" xr:uid="{00000000-0005-0000-0000-0000FE310000}"/>
    <cellStyle name="60% - 强调文字颜色 3 18 9" xfId="1825" xr:uid="{00000000-0005-0000-0000-0000FF310000}"/>
    <cellStyle name="60% - 强调文字颜色 3 18 9 2" xfId="1853" xr:uid="{00000000-0005-0000-0000-000000320000}"/>
    <cellStyle name="60% - 强调文字颜色 3 18 9 3" xfId="1877" xr:uid="{00000000-0005-0000-0000-000001320000}"/>
    <cellStyle name="60% - 强调文字颜色 3 19" xfId="1885" xr:uid="{00000000-0005-0000-0000-000002320000}"/>
    <cellStyle name="60% - 强调文字颜色 3 2" xfId="10259" xr:uid="{00000000-0005-0000-0000-000003320000}"/>
    <cellStyle name="60% - 强调文字颜色 3 2 10" xfId="22065" xr:uid="{00000000-0005-0000-0000-000004320000}"/>
    <cellStyle name="60% - 强调文字颜色 3 2 11" xfId="22067" xr:uid="{00000000-0005-0000-0000-000005320000}"/>
    <cellStyle name="60% - 强调文字颜色 3 2 12" xfId="22069" xr:uid="{00000000-0005-0000-0000-000006320000}"/>
    <cellStyle name="60% - 强调文字颜色 3 2 13" xfId="22071" xr:uid="{00000000-0005-0000-0000-000007320000}"/>
    <cellStyle name="60% - 强调文字颜色 3 2 14" xfId="22073" xr:uid="{00000000-0005-0000-0000-000008320000}"/>
    <cellStyle name="60% - 强调文字颜色 3 2 15" xfId="22076" xr:uid="{00000000-0005-0000-0000-000009320000}"/>
    <cellStyle name="60% - 强调文字颜色 3 2 16" xfId="22077" xr:uid="{00000000-0005-0000-0000-00000A320000}"/>
    <cellStyle name="60% - 强调文字颜色 3 2 17" xfId="22080" xr:uid="{00000000-0005-0000-0000-00000B320000}"/>
    <cellStyle name="60% - 强调文字颜色 3 2 17 10" xfId="4638" xr:uid="{00000000-0005-0000-0000-00000C320000}"/>
    <cellStyle name="60% - 强调文字颜色 3 2 17 11" xfId="4641" xr:uid="{00000000-0005-0000-0000-00000D320000}"/>
    <cellStyle name="60% - 强调文字颜色 3 2 17 12" xfId="22081" xr:uid="{00000000-0005-0000-0000-00000E320000}"/>
    <cellStyle name="60% - 强调文字颜色 3 2 17 13" xfId="22083" xr:uid="{00000000-0005-0000-0000-00000F320000}"/>
    <cellStyle name="60% - 强调文字颜色 3 2 17 14" xfId="22085" xr:uid="{00000000-0005-0000-0000-000010320000}"/>
    <cellStyle name="60% - 强调文字颜色 3 2 17 2" xfId="22088" xr:uid="{00000000-0005-0000-0000-000011320000}"/>
    <cellStyle name="60% - 强调文字颜色 3 2 17 3" xfId="22092" xr:uid="{00000000-0005-0000-0000-000012320000}"/>
    <cellStyle name="60% - 强调文字颜色 3 2 17 4" xfId="22095" xr:uid="{00000000-0005-0000-0000-000013320000}"/>
    <cellStyle name="60% - 强调文字颜色 3 2 17 5" xfId="22097" xr:uid="{00000000-0005-0000-0000-000014320000}"/>
    <cellStyle name="60% - 强调文字颜色 3 2 17 5 10" xfId="22104" xr:uid="{00000000-0005-0000-0000-000015320000}"/>
    <cellStyle name="60% - 强调文字颜色 3 2 17 5 11" xfId="22109" xr:uid="{00000000-0005-0000-0000-000016320000}"/>
    <cellStyle name="60% - 强调文字颜色 3 2 17 5 2" xfId="22113" xr:uid="{00000000-0005-0000-0000-000017320000}"/>
    <cellStyle name="60% - 强调文字颜色 3 2 17 5 2 2" xfId="22117" xr:uid="{00000000-0005-0000-0000-000018320000}"/>
    <cellStyle name="60% - 强调文字颜色 3 2 17 5 2 2 2" xfId="22118" xr:uid="{00000000-0005-0000-0000-000019320000}"/>
    <cellStyle name="60% - 强调文字颜色 3 2 17 5 2 2 3" xfId="22119" xr:uid="{00000000-0005-0000-0000-00001A320000}"/>
    <cellStyle name="60% - 强调文字颜色 3 2 17 5 2 3" xfId="22122" xr:uid="{00000000-0005-0000-0000-00001B320000}"/>
    <cellStyle name="60% - 强调文字颜色 3 2 17 5 2 4" xfId="22125" xr:uid="{00000000-0005-0000-0000-00001C320000}"/>
    <cellStyle name="60% - 强调文字颜色 3 2 17 5 2 5" xfId="22129" xr:uid="{00000000-0005-0000-0000-00001D320000}"/>
    <cellStyle name="60% - 强调文字颜色 3 2 17 5 2 6" xfId="22133" xr:uid="{00000000-0005-0000-0000-00001E320000}"/>
    <cellStyle name="60% - 强调文字颜色 3 2 17 5 2 7" xfId="22136" xr:uid="{00000000-0005-0000-0000-00001F320000}"/>
    <cellStyle name="60% - 强调文字颜色 3 2 17 5 2 8" xfId="19868" xr:uid="{00000000-0005-0000-0000-000020320000}"/>
    <cellStyle name="60% - 强调文字颜色 3 2 17 5 3" xfId="22138" xr:uid="{00000000-0005-0000-0000-000021320000}"/>
    <cellStyle name="60% - 强调文字颜色 3 2 17 5 4" xfId="14752" xr:uid="{00000000-0005-0000-0000-000022320000}"/>
    <cellStyle name="60% - 强调文字颜色 3 2 17 5 5" xfId="14756" xr:uid="{00000000-0005-0000-0000-000023320000}"/>
    <cellStyle name="60% - 强调文字颜色 3 2 17 5 6" xfId="14760" xr:uid="{00000000-0005-0000-0000-000024320000}"/>
    <cellStyle name="60% - 强调文字颜色 3 2 17 5 6 2" xfId="22143" xr:uid="{00000000-0005-0000-0000-000025320000}"/>
    <cellStyle name="60% - 强调文字颜色 3 2 17 5 6 3" xfId="22145" xr:uid="{00000000-0005-0000-0000-000026320000}"/>
    <cellStyle name="60% - 强调文字颜色 3 2 17 5 7" xfId="14763" xr:uid="{00000000-0005-0000-0000-000027320000}"/>
    <cellStyle name="60% - 强调文字颜色 3 2 17 5 8" xfId="14765" xr:uid="{00000000-0005-0000-0000-000028320000}"/>
    <cellStyle name="60% - 强调文字颜色 3 2 17 5 9" xfId="14767" xr:uid="{00000000-0005-0000-0000-000029320000}"/>
    <cellStyle name="60% - 强调文字颜色 3 2 17 6" xfId="22146" xr:uid="{00000000-0005-0000-0000-00002A320000}"/>
    <cellStyle name="60% - 强调文字颜色 3 2 17 6 2" xfId="19751" xr:uid="{00000000-0005-0000-0000-00002B320000}"/>
    <cellStyle name="60% - 强调文字颜色 3 2 17 6 2 2" xfId="18488" xr:uid="{00000000-0005-0000-0000-00002C320000}"/>
    <cellStyle name="60% - 强调文字颜色 3 2 17 6 2 3" xfId="18490" xr:uid="{00000000-0005-0000-0000-00002D320000}"/>
    <cellStyle name="60% - 强调文字颜色 3 2 17 6 3" xfId="19754" xr:uid="{00000000-0005-0000-0000-00002E320000}"/>
    <cellStyle name="60% - 强调文字颜色 3 2 17 6 4" xfId="19758" xr:uid="{00000000-0005-0000-0000-00002F320000}"/>
    <cellStyle name="60% - 强调文字颜色 3 2 17 6 5" xfId="19761" xr:uid="{00000000-0005-0000-0000-000030320000}"/>
    <cellStyle name="60% - 强调文字颜色 3 2 17 6 6" xfId="11646" xr:uid="{00000000-0005-0000-0000-000031320000}"/>
    <cellStyle name="60% - 强调文字颜色 3 2 17 6 7" xfId="11648" xr:uid="{00000000-0005-0000-0000-000032320000}"/>
    <cellStyle name="60% - 强调文字颜色 3 2 17 6 8" xfId="22148" xr:uid="{00000000-0005-0000-0000-000033320000}"/>
    <cellStyle name="60% - 强调文字颜色 3 2 17 7" xfId="22149" xr:uid="{00000000-0005-0000-0000-000034320000}"/>
    <cellStyle name="60% - 强调文字颜色 3 2 17 8" xfId="22151" xr:uid="{00000000-0005-0000-0000-000035320000}"/>
    <cellStyle name="60% - 强调文字颜色 3 2 17 9" xfId="22152" xr:uid="{00000000-0005-0000-0000-000036320000}"/>
    <cellStyle name="60% - 强调文字颜色 3 2 17 9 2" xfId="385" xr:uid="{00000000-0005-0000-0000-000037320000}"/>
    <cellStyle name="60% - 强调文字颜色 3 2 17 9 3" xfId="1774" xr:uid="{00000000-0005-0000-0000-000038320000}"/>
    <cellStyle name="60% - 强调文字颜色 3 2 18" xfId="22156" xr:uid="{00000000-0005-0000-0000-000039320000}"/>
    <cellStyle name="60% - 强调文字颜色 3 2 18 10" xfId="22159" xr:uid="{00000000-0005-0000-0000-00003A320000}"/>
    <cellStyle name="60% - 强调文字颜色 3 2 18 11" xfId="22162" xr:uid="{00000000-0005-0000-0000-00003B320000}"/>
    <cellStyle name="60% - 强调文字颜色 3 2 18 12" xfId="22164" xr:uid="{00000000-0005-0000-0000-00003C320000}"/>
    <cellStyle name="60% - 强调文字颜色 3 2 18 13" xfId="22166" xr:uid="{00000000-0005-0000-0000-00003D320000}"/>
    <cellStyle name="60% - 强调文字颜色 3 2 18 14" xfId="22168" xr:uid="{00000000-0005-0000-0000-00003E320000}"/>
    <cellStyle name="60% - 强调文字颜色 3 2 18 2" xfId="22170" xr:uid="{00000000-0005-0000-0000-00003F320000}"/>
    <cellStyle name="60% - 强调文字颜色 3 2 18 3" xfId="22172" xr:uid="{00000000-0005-0000-0000-000040320000}"/>
    <cellStyle name="60% - 强调文字颜色 3 2 18 4" xfId="22174" xr:uid="{00000000-0005-0000-0000-000041320000}"/>
    <cellStyle name="60% - 强调文字颜色 3 2 18 5" xfId="22175" xr:uid="{00000000-0005-0000-0000-000042320000}"/>
    <cellStyle name="60% - 强调文字颜色 3 2 18 5 10" xfId="22178" xr:uid="{00000000-0005-0000-0000-000043320000}"/>
    <cellStyle name="60% - 强调文字颜色 3 2 18 5 11" xfId="22180" xr:uid="{00000000-0005-0000-0000-000044320000}"/>
    <cellStyle name="60% - 强调文字颜色 3 2 18 5 2" xfId="21907" xr:uid="{00000000-0005-0000-0000-000045320000}"/>
    <cellStyle name="60% - 强调文字颜色 3 2 18 5 2 2" xfId="7720" xr:uid="{00000000-0005-0000-0000-000046320000}"/>
    <cellStyle name="60% - 强调文字颜色 3 2 18 5 2 2 2" xfId="21154" xr:uid="{00000000-0005-0000-0000-000047320000}"/>
    <cellStyle name="60% - 强调文字颜色 3 2 18 5 2 2 3" xfId="18606" xr:uid="{00000000-0005-0000-0000-000048320000}"/>
    <cellStyle name="60% - 强调文字颜色 3 2 18 5 2 3" xfId="7724" xr:uid="{00000000-0005-0000-0000-000049320000}"/>
    <cellStyle name="60% - 强调文字颜色 3 2 18 5 2 4" xfId="7727" xr:uid="{00000000-0005-0000-0000-00004A320000}"/>
    <cellStyle name="60% - 强调文字颜色 3 2 18 5 2 5" xfId="22181" xr:uid="{00000000-0005-0000-0000-00004B320000}"/>
    <cellStyle name="60% - 强调文字颜色 3 2 18 5 2 6" xfId="22182" xr:uid="{00000000-0005-0000-0000-00004C320000}"/>
    <cellStyle name="60% - 强调文字颜色 3 2 18 5 2 7" xfId="22183" xr:uid="{00000000-0005-0000-0000-00004D320000}"/>
    <cellStyle name="60% - 强调文字颜色 3 2 18 5 2 8" xfId="17811" xr:uid="{00000000-0005-0000-0000-00004E320000}"/>
    <cellStyle name="60% - 强调文字颜色 3 2 18 5 3" xfId="695" xr:uid="{00000000-0005-0000-0000-00004F320000}"/>
    <cellStyle name="60% - 强调文字颜色 3 2 18 5 4" xfId="729" xr:uid="{00000000-0005-0000-0000-000050320000}"/>
    <cellStyle name="60% - 强调文字颜色 3 2 18 5 5" xfId="754" xr:uid="{00000000-0005-0000-0000-000051320000}"/>
    <cellStyle name="60% - 强调文字颜色 3 2 18 5 6" xfId="1280" xr:uid="{00000000-0005-0000-0000-000052320000}"/>
    <cellStyle name="60% - 强调文字颜色 3 2 18 5 6 2" xfId="22184" xr:uid="{00000000-0005-0000-0000-000053320000}"/>
    <cellStyle name="60% - 强调文字颜色 3 2 18 5 6 3" xfId="22185" xr:uid="{00000000-0005-0000-0000-000054320000}"/>
    <cellStyle name="60% - 强调文字颜色 3 2 18 5 7" xfId="1292" xr:uid="{00000000-0005-0000-0000-000055320000}"/>
    <cellStyle name="60% - 强调文字颜色 3 2 18 5 8" xfId="1303" xr:uid="{00000000-0005-0000-0000-000056320000}"/>
    <cellStyle name="60% - 强调文字颜色 3 2 18 5 9" xfId="1314" xr:uid="{00000000-0005-0000-0000-000057320000}"/>
    <cellStyle name="60% - 强调文字颜色 3 2 18 6" xfId="22186" xr:uid="{00000000-0005-0000-0000-000058320000}"/>
    <cellStyle name="60% - 强调文字颜色 3 2 18 6 2" xfId="22188" xr:uid="{00000000-0005-0000-0000-000059320000}"/>
    <cellStyle name="60% - 强调文字颜色 3 2 18 6 2 2" xfId="4586" xr:uid="{00000000-0005-0000-0000-00005A320000}"/>
    <cellStyle name="60% - 强调文字颜色 3 2 18 6 2 3" xfId="21216" xr:uid="{00000000-0005-0000-0000-00005B320000}"/>
    <cellStyle name="60% - 强调文字颜色 3 2 18 6 3" xfId="22191" xr:uid="{00000000-0005-0000-0000-00005C320000}"/>
    <cellStyle name="60% - 强调文字颜色 3 2 18 6 4" xfId="22194" xr:uid="{00000000-0005-0000-0000-00005D320000}"/>
    <cellStyle name="60% - 强调文字颜色 3 2 18 6 5" xfId="22196" xr:uid="{00000000-0005-0000-0000-00005E320000}"/>
    <cellStyle name="60% - 强调文字颜色 3 2 18 6 6" xfId="22197" xr:uid="{00000000-0005-0000-0000-00005F320000}"/>
    <cellStyle name="60% - 强调文字颜色 3 2 18 6 7" xfId="22198" xr:uid="{00000000-0005-0000-0000-000060320000}"/>
    <cellStyle name="60% - 强调文字颜色 3 2 18 6 8" xfId="22199" xr:uid="{00000000-0005-0000-0000-000061320000}"/>
    <cellStyle name="60% - 强调文字颜色 3 2 18 7" xfId="22200" xr:uid="{00000000-0005-0000-0000-000062320000}"/>
    <cellStyle name="60% - 强调文字颜色 3 2 18 8" xfId="22201" xr:uid="{00000000-0005-0000-0000-000063320000}"/>
    <cellStyle name="60% - 强调文字颜色 3 2 18 9" xfId="14671" xr:uid="{00000000-0005-0000-0000-000064320000}"/>
    <cellStyle name="60% - 强调文字颜色 3 2 18 9 2" xfId="836" xr:uid="{00000000-0005-0000-0000-000065320000}"/>
    <cellStyle name="60% - 强调文字颜色 3 2 18 9 3" xfId="863" xr:uid="{00000000-0005-0000-0000-000066320000}"/>
    <cellStyle name="60% - 强调文字颜色 3 2 19" xfId="22205" xr:uid="{00000000-0005-0000-0000-000067320000}"/>
    <cellStyle name="60% - 强调文字颜色 3 2 19 10" xfId="6496" xr:uid="{00000000-0005-0000-0000-000068320000}"/>
    <cellStyle name="60% - 强调文字颜色 3 2 19 11" xfId="5861" xr:uid="{00000000-0005-0000-0000-000069320000}"/>
    <cellStyle name="60% - 强调文字颜色 3 2 19 12" xfId="22206" xr:uid="{00000000-0005-0000-0000-00006A320000}"/>
    <cellStyle name="60% - 强调文字颜色 3 2 19 13" xfId="22207" xr:uid="{00000000-0005-0000-0000-00006B320000}"/>
    <cellStyle name="60% - 强调文字颜色 3 2 19 14" xfId="22209" xr:uid="{00000000-0005-0000-0000-00006C320000}"/>
    <cellStyle name="60% - 强调文字颜色 3 2 19 2" xfId="22213" xr:uid="{00000000-0005-0000-0000-00006D320000}"/>
    <cellStyle name="60% - 强调文字颜色 3 2 19 3" xfId="4834" xr:uid="{00000000-0005-0000-0000-00006E320000}"/>
    <cellStyle name="60% - 强调文字颜色 3 2 19 4" xfId="4856" xr:uid="{00000000-0005-0000-0000-00006F320000}"/>
    <cellStyle name="60% - 强调文字颜色 3 2 19 5" xfId="11809" xr:uid="{00000000-0005-0000-0000-000070320000}"/>
    <cellStyle name="60% - 强调文字颜色 3 2 19 5 10" xfId="4379" xr:uid="{00000000-0005-0000-0000-000071320000}"/>
    <cellStyle name="60% - 强调文字颜色 3 2 19 5 11" xfId="4393" xr:uid="{00000000-0005-0000-0000-000072320000}"/>
    <cellStyle name="60% - 强调文字颜色 3 2 19 5 2" xfId="22215" xr:uid="{00000000-0005-0000-0000-000073320000}"/>
    <cellStyle name="60% - 强调文字颜色 3 2 19 5 2 2" xfId="22219" xr:uid="{00000000-0005-0000-0000-000074320000}"/>
    <cellStyle name="60% - 强调文字颜色 3 2 19 5 2 2 2" xfId="22220" xr:uid="{00000000-0005-0000-0000-000075320000}"/>
    <cellStyle name="60% - 强调文字颜色 3 2 19 5 2 2 3" xfId="22222" xr:uid="{00000000-0005-0000-0000-000076320000}"/>
    <cellStyle name="60% - 强调文字颜色 3 2 19 5 2 3" xfId="22225" xr:uid="{00000000-0005-0000-0000-000077320000}"/>
    <cellStyle name="60% - 强调文字颜色 3 2 19 5 2 4" xfId="22229" xr:uid="{00000000-0005-0000-0000-000078320000}"/>
    <cellStyle name="60% - 强调文字颜色 3 2 19 5 2 5" xfId="22235" xr:uid="{00000000-0005-0000-0000-000079320000}"/>
    <cellStyle name="60% - 强调文字颜色 3 2 19 5 2 6" xfId="8499" xr:uid="{00000000-0005-0000-0000-00007A320000}"/>
    <cellStyle name="60% - 强调文字颜色 3 2 19 5 2 7" xfId="8502" xr:uid="{00000000-0005-0000-0000-00007B320000}"/>
    <cellStyle name="60% - 强调文字颜色 3 2 19 5 2 8" xfId="22237" xr:uid="{00000000-0005-0000-0000-00007C320000}"/>
    <cellStyle name="60% - 强调文字颜色 3 2 19 5 3" xfId="13280" xr:uid="{00000000-0005-0000-0000-00007D320000}"/>
    <cellStyle name="60% - 强调文字颜色 3 2 19 5 4" xfId="13284" xr:uid="{00000000-0005-0000-0000-00007E320000}"/>
    <cellStyle name="60% - 强调文字颜色 3 2 19 5 5" xfId="13287" xr:uid="{00000000-0005-0000-0000-00007F320000}"/>
    <cellStyle name="60% - 强调文字颜色 3 2 19 5 6" xfId="13357" xr:uid="{00000000-0005-0000-0000-000080320000}"/>
    <cellStyle name="60% - 强调文字颜色 3 2 19 5 6 2" xfId="22239" xr:uid="{00000000-0005-0000-0000-000081320000}"/>
    <cellStyle name="60% - 强调文字颜色 3 2 19 5 6 3" xfId="22240" xr:uid="{00000000-0005-0000-0000-000082320000}"/>
    <cellStyle name="60% - 强调文字颜色 3 2 19 5 7" xfId="13359" xr:uid="{00000000-0005-0000-0000-000083320000}"/>
    <cellStyle name="60% - 强调文字颜色 3 2 19 5 8" xfId="13361" xr:uid="{00000000-0005-0000-0000-000084320000}"/>
    <cellStyle name="60% - 强调文字颜色 3 2 19 5 9" xfId="13367" xr:uid="{00000000-0005-0000-0000-000085320000}"/>
    <cellStyle name="60% - 强调文字颜色 3 2 19 6" xfId="11811" xr:uid="{00000000-0005-0000-0000-000086320000}"/>
    <cellStyle name="60% - 强调文字颜色 3 2 19 6 2" xfId="8609" xr:uid="{00000000-0005-0000-0000-000087320000}"/>
    <cellStyle name="60% - 强调文字颜色 3 2 19 6 2 2" xfId="11821" xr:uid="{00000000-0005-0000-0000-000088320000}"/>
    <cellStyle name="60% - 强调文字颜色 3 2 19 6 2 3" xfId="11829" xr:uid="{00000000-0005-0000-0000-000089320000}"/>
    <cellStyle name="60% - 强调文字颜色 3 2 19 6 3" xfId="11850" xr:uid="{00000000-0005-0000-0000-00008A320000}"/>
    <cellStyle name="60% - 强调文字颜色 3 2 19 6 4" xfId="9138" xr:uid="{00000000-0005-0000-0000-00008B320000}"/>
    <cellStyle name="60% - 强调文字颜色 3 2 19 6 5" xfId="9148" xr:uid="{00000000-0005-0000-0000-00008C320000}"/>
    <cellStyle name="60% - 强调文字颜色 3 2 19 6 6" xfId="11425" xr:uid="{00000000-0005-0000-0000-00008D320000}"/>
    <cellStyle name="60% - 强调文字颜色 3 2 19 6 7" xfId="8732" xr:uid="{00000000-0005-0000-0000-00008E320000}"/>
    <cellStyle name="60% - 强调文字颜色 3 2 19 6 8" xfId="8740" xr:uid="{00000000-0005-0000-0000-00008F320000}"/>
    <cellStyle name="60% - 强调文字颜色 3 2 19 7" xfId="11865" xr:uid="{00000000-0005-0000-0000-000090320000}"/>
    <cellStyle name="60% - 强调文字颜色 3 2 19 8" xfId="11457" xr:uid="{00000000-0005-0000-0000-000091320000}"/>
    <cellStyle name="60% - 强调文字颜色 3 2 19 9" xfId="11468" xr:uid="{00000000-0005-0000-0000-000092320000}"/>
    <cellStyle name="60% - 强调文字颜色 3 2 19 9 2" xfId="1134" xr:uid="{00000000-0005-0000-0000-000093320000}"/>
    <cellStyle name="60% - 强调文字颜色 3 2 19 9 3" xfId="1150" xr:uid="{00000000-0005-0000-0000-000094320000}"/>
    <cellStyle name="60% - 强调文字颜色 3 2 2" xfId="13465" xr:uid="{00000000-0005-0000-0000-000095320000}"/>
    <cellStyle name="60% - 强调文字颜色 3 2 2 10" xfId="22241" xr:uid="{00000000-0005-0000-0000-000096320000}"/>
    <cellStyle name="60% - 强调文字颜色 3 2 2 11" xfId="22243" xr:uid="{00000000-0005-0000-0000-000097320000}"/>
    <cellStyle name="60% - 强调文字颜色 3 2 2 12" xfId="7584" xr:uid="{00000000-0005-0000-0000-000098320000}"/>
    <cellStyle name="60% - 强调文字颜色 3 2 2 13" xfId="7396" xr:uid="{00000000-0005-0000-0000-000099320000}"/>
    <cellStyle name="60% - 强调文字颜色 3 2 2 14" xfId="7410" xr:uid="{00000000-0005-0000-0000-00009A320000}"/>
    <cellStyle name="60% - 强调文字颜色 3 2 2 2" xfId="22244" xr:uid="{00000000-0005-0000-0000-00009B320000}"/>
    <cellStyle name="60% - 强调文字颜色 3 2 2 3" xfId="22246" xr:uid="{00000000-0005-0000-0000-00009C320000}"/>
    <cellStyle name="60% - 强调文字颜色 3 2 2 4" xfId="22248" xr:uid="{00000000-0005-0000-0000-00009D320000}"/>
    <cellStyle name="60% - 强调文字颜色 3 2 2 5" xfId="22252" xr:uid="{00000000-0005-0000-0000-00009E320000}"/>
    <cellStyle name="60% - 强调文字颜色 3 2 2 6" xfId="22255" xr:uid="{00000000-0005-0000-0000-00009F320000}"/>
    <cellStyle name="60% - 强调文字颜色 3 2 2 7" xfId="22257" xr:uid="{00000000-0005-0000-0000-0000A0320000}"/>
    <cellStyle name="60% - 强调文字颜色 3 2 2 8" xfId="22258" xr:uid="{00000000-0005-0000-0000-0000A1320000}"/>
    <cellStyle name="60% - 强调文字颜色 3 2 2 9" xfId="22259" xr:uid="{00000000-0005-0000-0000-0000A2320000}"/>
    <cellStyle name="60% - 强调文字颜色 3 2 20" xfId="22075" xr:uid="{00000000-0005-0000-0000-0000A3320000}"/>
    <cellStyle name="60% - 强调文字颜色 3 2 20 10" xfId="10944" xr:uid="{00000000-0005-0000-0000-0000A4320000}"/>
    <cellStyle name="60% - 强调文字颜色 3 2 20 11" xfId="22261" xr:uid="{00000000-0005-0000-0000-0000A5320000}"/>
    <cellStyle name="60% - 强调文字颜色 3 2 20 12" xfId="22263" xr:uid="{00000000-0005-0000-0000-0000A6320000}"/>
    <cellStyle name="60% - 强调文字颜色 3 2 20 13" xfId="22264" xr:uid="{00000000-0005-0000-0000-0000A7320000}"/>
    <cellStyle name="60% - 强调文字颜色 3 2 20 14" xfId="22266" xr:uid="{00000000-0005-0000-0000-0000A8320000}"/>
    <cellStyle name="60% - 强调文字颜色 3 2 20 2" xfId="18071" xr:uid="{00000000-0005-0000-0000-0000A9320000}"/>
    <cellStyle name="60% - 强调文字颜色 3 2 20 3" xfId="11687" xr:uid="{00000000-0005-0000-0000-0000AA320000}"/>
    <cellStyle name="60% - 强调文字颜色 3 2 20 4" xfId="11690" xr:uid="{00000000-0005-0000-0000-0000AB320000}"/>
    <cellStyle name="60% - 强调文字颜色 3 2 20 5" xfId="11693" xr:uid="{00000000-0005-0000-0000-0000AC320000}"/>
    <cellStyle name="60% - 强调文字颜色 3 2 20 5 10" xfId="22268" xr:uid="{00000000-0005-0000-0000-0000AD320000}"/>
    <cellStyle name="60% - 强调文字颜色 3 2 20 5 11" xfId="22270" xr:uid="{00000000-0005-0000-0000-0000AE320000}"/>
    <cellStyle name="60% - 强调文字颜色 3 2 20 5 2" xfId="20305" xr:uid="{00000000-0005-0000-0000-0000AF320000}"/>
    <cellStyle name="60% - 强调文字颜色 3 2 20 5 2 2" xfId="22271" xr:uid="{00000000-0005-0000-0000-0000B0320000}"/>
    <cellStyle name="60% - 强调文字颜色 3 2 20 5 2 2 2" xfId="22272" xr:uid="{00000000-0005-0000-0000-0000B1320000}"/>
    <cellStyle name="60% - 强调文字颜色 3 2 20 5 2 2 3" xfId="22273" xr:uid="{00000000-0005-0000-0000-0000B2320000}"/>
    <cellStyle name="60% - 强调文字颜色 3 2 20 5 2 3" xfId="22274" xr:uid="{00000000-0005-0000-0000-0000B3320000}"/>
    <cellStyle name="60% - 强调文字颜色 3 2 20 5 2 4" xfId="22275" xr:uid="{00000000-0005-0000-0000-0000B4320000}"/>
    <cellStyle name="60% - 强调文字颜色 3 2 20 5 2 5" xfId="22278" xr:uid="{00000000-0005-0000-0000-0000B5320000}"/>
    <cellStyle name="60% - 强调文字颜色 3 2 20 5 2 6" xfId="22282" xr:uid="{00000000-0005-0000-0000-0000B6320000}"/>
    <cellStyle name="60% - 强调文字颜色 3 2 20 5 2 7" xfId="22284" xr:uid="{00000000-0005-0000-0000-0000B7320000}"/>
    <cellStyle name="60% - 强调文字颜色 3 2 20 5 2 8" xfId="15452" xr:uid="{00000000-0005-0000-0000-0000B8320000}"/>
    <cellStyle name="60% - 强调文字颜色 3 2 20 5 3" xfId="20311" xr:uid="{00000000-0005-0000-0000-0000B9320000}"/>
    <cellStyle name="60% - 强调文字颜色 3 2 20 5 4" xfId="4439" xr:uid="{00000000-0005-0000-0000-0000BA320000}"/>
    <cellStyle name="60% - 强调文字颜色 3 2 20 5 5" xfId="4455" xr:uid="{00000000-0005-0000-0000-0000BB320000}"/>
    <cellStyle name="60% - 强调文字颜色 3 2 20 5 6" xfId="4471" xr:uid="{00000000-0005-0000-0000-0000BC320000}"/>
    <cellStyle name="60% - 强调文字颜色 3 2 20 5 6 2" xfId="22287" xr:uid="{00000000-0005-0000-0000-0000BD320000}"/>
    <cellStyle name="60% - 强调文字颜色 3 2 20 5 6 3" xfId="22290" xr:uid="{00000000-0005-0000-0000-0000BE320000}"/>
    <cellStyle name="60% - 强调文字颜色 3 2 20 5 7" xfId="4483" xr:uid="{00000000-0005-0000-0000-0000BF320000}"/>
    <cellStyle name="60% - 强调文字颜色 3 2 20 5 8" xfId="4497" xr:uid="{00000000-0005-0000-0000-0000C0320000}"/>
    <cellStyle name="60% - 强调文字颜色 3 2 20 5 9" xfId="4507" xr:uid="{00000000-0005-0000-0000-0000C1320000}"/>
    <cellStyle name="60% - 强调文字颜色 3 2 20 6" xfId="7534" xr:uid="{00000000-0005-0000-0000-0000C2320000}"/>
    <cellStyle name="60% - 强调文字颜色 3 2 20 6 2" xfId="11371" xr:uid="{00000000-0005-0000-0000-0000C3320000}"/>
    <cellStyle name="60% - 强调文字颜色 3 2 20 6 2 2" xfId="10698" xr:uid="{00000000-0005-0000-0000-0000C4320000}"/>
    <cellStyle name="60% - 强调文字颜色 3 2 20 6 2 3" xfId="11709" xr:uid="{00000000-0005-0000-0000-0000C5320000}"/>
    <cellStyle name="60% - 强调文字颜色 3 2 20 6 3" xfId="7104" xr:uid="{00000000-0005-0000-0000-0000C6320000}"/>
    <cellStyle name="60% - 强调文字颜色 3 2 20 6 4" xfId="7117" xr:uid="{00000000-0005-0000-0000-0000C7320000}"/>
    <cellStyle name="60% - 强调文字颜色 3 2 20 6 5" xfId="7124" xr:uid="{00000000-0005-0000-0000-0000C8320000}"/>
    <cellStyle name="60% - 强调文字颜色 3 2 20 6 6" xfId="7130" xr:uid="{00000000-0005-0000-0000-0000C9320000}"/>
    <cellStyle name="60% - 强调文字颜色 3 2 20 6 7" xfId="7138" xr:uid="{00000000-0005-0000-0000-0000CA320000}"/>
    <cellStyle name="60% - 强调文字颜色 3 2 20 6 8" xfId="11417" xr:uid="{00000000-0005-0000-0000-0000CB320000}"/>
    <cellStyle name="60% - 强调文字颜色 3 2 20 7" xfId="7546" xr:uid="{00000000-0005-0000-0000-0000CC320000}"/>
    <cellStyle name="60% - 强调文字颜色 3 2 20 8" xfId="11754" xr:uid="{00000000-0005-0000-0000-0000CD320000}"/>
    <cellStyle name="60% - 强调文字颜色 3 2 20 9" xfId="11764" xr:uid="{00000000-0005-0000-0000-0000CE320000}"/>
    <cellStyle name="60% - 强调文字颜色 3 2 20 9 2" xfId="22005" xr:uid="{00000000-0005-0000-0000-0000CF320000}"/>
    <cellStyle name="60% - 强调文字颜色 3 2 20 9 3" xfId="22009" xr:uid="{00000000-0005-0000-0000-0000D0320000}"/>
    <cellStyle name="60% - 强调文字颜色 3 2 3" xfId="13471" xr:uid="{00000000-0005-0000-0000-0000D1320000}"/>
    <cellStyle name="60% - 强调文字颜色 3 2 3 10" xfId="22292" xr:uid="{00000000-0005-0000-0000-0000D2320000}"/>
    <cellStyle name="60% - 强调文字颜色 3 2 3 11" xfId="22294" xr:uid="{00000000-0005-0000-0000-0000D3320000}"/>
    <cellStyle name="60% - 强调文字颜色 3 2 3 12" xfId="22296" xr:uid="{00000000-0005-0000-0000-0000D4320000}"/>
    <cellStyle name="60% - 强调文字颜色 3 2 3 13" xfId="22298" xr:uid="{00000000-0005-0000-0000-0000D5320000}"/>
    <cellStyle name="60% - 强调文字颜色 3 2 3 14" xfId="22300" xr:uid="{00000000-0005-0000-0000-0000D6320000}"/>
    <cellStyle name="60% - 强调文字颜色 3 2 3 2" xfId="22301" xr:uid="{00000000-0005-0000-0000-0000D7320000}"/>
    <cellStyle name="60% - 强调文字颜色 3 2 3 3" xfId="22302" xr:uid="{00000000-0005-0000-0000-0000D8320000}"/>
    <cellStyle name="60% - 强调文字颜色 3 2 3 4" xfId="22303" xr:uid="{00000000-0005-0000-0000-0000D9320000}"/>
    <cellStyle name="60% - 强调文字颜色 3 2 3 5" xfId="22304" xr:uid="{00000000-0005-0000-0000-0000DA320000}"/>
    <cellStyle name="60% - 强调文字颜色 3 2 3 6" xfId="22305" xr:uid="{00000000-0005-0000-0000-0000DB320000}"/>
    <cellStyle name="60% - 强调文字颜色 3 2 3 7" xfId="22306" xr:uid="{00000000-0005-0000-0000-0000DC320000}"/>
    <cellStyle name="60% - 强调文字颜色 3 2 3 8" xfId="22307" xr:uid="{00000000-0005-0000-0000-0000DD320000}"/>
    <cellStyle name="60% - 强调文字颜色 3 2 3 9" xfId="22308" xr:uid="{00000000-0005-0000-0000-0000DE320000}"/>
    <cellStyle name="60% - 强调文字颜色 3 2 4" xfId="21505" xr:uid="{00000000-0005-0000-0000-0000DF320000}"/>
    <cellStyle name="60% - 强调文字颜色 3 2 4 10" xfId="22310" xr:uid="{00000000-0005-0000-0000-0000E0320000}"/>
    <cellStyle name="60% - 强调文字颜色 3 2 4 11" xfId="364" xr:uid="{00000000-0005-0000-0000-0000E1320000}"/>
    <cellStyle name="60% - 强调文字颜色 3 2 4 12" xfId="21831" xr:uid="{00000000-0005-0000-0000-0000E2320000}"/>
    <cellStyle name="60% - 强调文字颜色 3 2 4 13" xfId="21834" xr:uid="{00000000-0005-0000-0000-0000E3320000}"/>
    <cellStyle name="60% - 强调文字颜色 3 2 4 14" xfId="20089" xr:uid="{00000000-0005-0000-0000-0000E4320000}"/>
    <cellStyle name="60% - 强调文字颜色 3 2 4 2" xfId="16338" xr:uid="{00000000-0005-0000-0000-0000E5320000}"/>
    <cellStyle name="60% - 强调文字颜色 3 2 4 3" xfId="16341" xr:uid="{00000000-0005-0000-0000-0000E6320000}"/>
    <cellStyle name="60% - 强调文字颜色 3 2 4 4" xfId="929" xr:uid="{00000000-0005-0000-0000-0000E7320000}"/>
    <cellStyle name="60% - 强调文字颜色 3 2 4 5" xfId="967" xr:uid="{00000000-0005-0000-0000-0000E8320000}"/>
    <cellStyle name="60% - 强调文字颜色 3 2 4 6" xfId="22312" xr:uid="{00000000-0005-0000-0000-0000E9320000}"/>
    <cellStyle name="60% - 强调文字颜色 3 2 4 7" xfId="22313" xr:uid="{00000000-0005-0000-0000-0000EA320000}"/>
    <cellStyle name="60% - 强调文字颜色 3 2 4 8" xfId="22314" xr:uid="{00000000-0005-0000-0000-0000EB320000}"/>
    <cellStyle name="60% - 强调文字颜色 3 2 4 9" xfId="22316" xr:uid="{00000000-0005-0000-0000-0000EC320000}"/>
    <cellStyle name="60% - 强调文字颜色 3 2 5" xfId="21510" xr:uid="{00000000-0005-0000-0000-0000ED320000}"/>
    <cellStyle name="60% - 强调文字颜色 3 2 6" xfId="21516" xr:uid="{00000000-0005-0000-0000-0000EE320000}"/>
    <cellStyle name="60% - 强调文字颜色 3 2 7" xfId="21519" xr:uid="{00000000-0005-0000-0000-0000EF320000}"/>
    <cellStyle name="60% - 强调文字颜色 3 2 8" xfId="21521" xr:uid="{00000000-0005-0000-0000-0000F0320000}"/>
    <cellStyle name="60% - 强调文字颜色 3 2 9" xfId="21523" xr:uid="{00000000-0005-0000-0000-0000F1320000}"/>
    <cellStyle name="60% - 强调文字颜色 3 3" xfId="13477" xr:uid="{00000000-0005-0000-0000-0000F2320000}"/>
    <cellStyle name="60% - 强调文字颜色 3 3 10" xfId="22318" xr:uid="{00000000-0005-0000-0000-0000F3320000}"/>
    <cellStyle name="60% - 强调文字颜色 3 3 11" xfId="22321" xr:uid="{00000000-0005-0000-0000-0000F4320000}"/>
    <cellStyle name="60% - 强调文字颜色 3 3 12" xfId="22323" xr:uid="{00000000-0005-0000-0000-0000F5320000}"/>
    <cellStyle name="60% - 强调文字颜色 3 3 13" xfId="22325" xr:uid="{00000000-0005-0000-0000-0000F6320000}"/>
    <cellStyle name="60% - 强调文字颜色 3 3 14" xfId="22327" xr:uid="{00000000-0005-0000-0000-0000F7320000}"/>
    <cellStyle name="60% - 强调文字颜色 3 3 15" xfId="22330" xr:uid="{00000000-0005-0000-0000-0000F8320000}"/>
    <cellStyle name="60% - 强调文字颜色 3 3 16" xfId="22331" xr:uid="{00000000-0005-0000-0000-0000F9320000}"/>
    <cellStyle name="60% - 强调文字颜色 3 3 17" xfId="22332" xr:uid="{00000000-0005-0000-0000-0000FA320000}"/>
    <cellStyle name="60% - 强调文字颜色 3 3 17 10" xfId="22333" xr:uid="{00000000-0005-0000-0000-0000FB320000}"/>
    <cellStyle name="60% - 强调文字颜色 3 3 17 11" xfId="22336" xr:uid="{00000000-0005-0000-0000-0000FC320000}"/>
    <cellStyle name="60% - 强调文字颜色 3 3 17 12" xfId="22338" xr:uid="{00000000-0005-0000-0000-0000FD320000}"/>
    <cellStyle name="60% - 强调文字颜色 3 3 17 13" xfId="22339" xr:uid="{00000000-0005-0000-0000-0000FE320000}"/>
    <cellStyle name="60% - 强调文字颜色 3 3 17 14" xfId="22340" xr:uid="{00000000-0005-0000-0000-0000FF320000}"/>
    <cellStyle name="60% - 强调文字颜色 3 3 17 2" xfId="12705" xr:uid="{00000000-0005-0000-0000-000000330000}"/>
    <cellStyle name="60% - 强调文字颜色 3 3 17 2 2" xfId="7344" xr:uid="{00000000-0005-0000-0000-000001330000}"/>
    <cellStyle name="60% - 强调文字颜色 3 3 17 3" xfId="12707" xr:uid="{00000000-0005-0000-0000-000002330000}"/>
    <cellStyle name="60% - 强调文字颜色 3 3 17 4" xfId="22341" xr:uid="{00000000-0005-0000-0000-000003330000}"/>
    <cellStyle name="60% - 强调文字颜色 3 3 17 5" xfId="22342" xr:uid="{00000000-0005-0000-0000-000004330000}"/>
    <cellStyle name="60% - 强调文字颜色 3 3 17 5 10" xfId="22347" xr:uid="{00000000-0005-0000-0000-000005330000}"/>
    <cellStyle name="60% - 强调文字颜色 3 3 17 5 11" xfId="20005" xr:uid="{00000000-0005-0000-0000-000006330000}"/>
    <cellStyle name="60% - 强调文字颜色 3 3 17 5 2" xfId="22348" xr:uid="{00000000-0005-0000-0000-000007330000}"/>
    <cellStyle name="60% - 强调文字颜色 3 3 17 5 2 2" xfId="19235" xr:uid="{00000000-0005-0000-0000-000008330000}"/>
    <cellStyle name="60% - 强调文字颜色 3 3 17 5 2 2 2" xfId="22349" xr:uid="{00000000-0005-0000-0000-000009330000}"/>
    <cellStyle name="60% - 强调文字颜色 3 3 17 5 2 2 3" xfId="22351" xr:uid="{00000000-0005-0000-0000-00000A330000}"/>
    <cellStyle name="60% - 强调文字颜色 3 3 17 5 2 3" xfId="22354" xr:uid="{00000000-0005-0000-0000-00000B330000}"/>
    <cellStyle name="60% - 强调文字颜色 3 3 17 5 2 4" xfId="22357" xr:uid="{00000000-0005-0000-0000-00000C330000}"/>
    <cellStyle name="60% - 强调文字颜色 3 3 17 5 2 5" xfId="22360" xr:uid="{00000000-0005-0000-0000-00000D330000}"/>
    <cellStyle name="60% - 强调文字颜色 3 3 17 5 2 6" xfId="22364" xr:uid="{00000000-0005-0000-0000-00000E330000}"/>
    <cellStyle name="60% - 强调文字颜色 3 3 17 5 2 7" xfId="22367" xr:uid="{00000000-0005-0000-0000-00000F330000}"/>
    <cellStyle name="60% - 强调文字颜色 3 3 17 5 2 8" xfId="22370" xr:uid="{00000000-0005-0000-0000-000010330000}"/>
    <cellStyle name="60% - 强调文字颜色 3 3 17 5 3" xfId="22371" xr:uid="{00000000-0005-0000-0000-000011330000}"/>
    <cellStyle name="60% - 强调文字颜色 3 3 17 5 4" xfId="22372" xr:uid="{00000000-0005-0000-0000-000012330000}"/>
    <cellStyle name="60% - 强调文字颜色 3 3 17 5 5" xfId="22373" xr:uid="{00000000-0005-0000-0000-000013330000}"/>
    <cellStyle name="60% - 强调文字颜色 3 3 17 5 6" xfId="21404" xr:uid="{00000000-0005-0000-0000-000014330000}"/>
    <cellStyle name="60% - 强调文字颜色 3 3 17 5 6 2" xfId="22376" xr:uid="{00000000-0005-0000-0000-000015330000}"/>
    <cellStyle name="60% - 强调文字颜色 3 3 17 5 6 3" xfId="22379" xr:uid="{00000000-0005-0000-0000-000016330000}"/>
    <cellStyle name="60% - 强调文字颜色 3 3 17 5 7" xfId="21409" xr:uid="{00000000-0005-0000-0000-000017330000}"/>
    <cellStyle name="60% - 强调文字颜色 3 3 17 5 8" xfId="22381" xr:uid="{00000000-0005-0000-0000-000018330000}"/>
    <cellStyle name="60% - 强调文字颜色 3 3 17 5 9" xfId="22383" xr:uid="{00000000-0005-0000-0000-000019330000}"/>
    <cellStyle name="60% - 强调文字颜色 3 3 17 6" xfId="22386" xr:uid="{00000000-0005-0000-0000-00001A330000}"/>
    <cellStyle name="60% - 强调文字颜色 3 3 17 6 2" xfId="22387" xr:uid="{00000000-0005-0000-0000-00001B330000}"/>
    <cellStyle name="60% - 强调文字颜色 3 3 17 6 2 2" xfId="22388" xr:uid="{00000000-0005-0000-0000-00001C330000}"/>
    <cellStyle name="60% - 强调文字颜色 3 3 17 6 2 3" xfId="22389" xr:uid="{00000000-0005-0000-0000-00001D330000}"/>
    <cellStyle name="60% - 强调文字颜色 3 3 17 6 3" xfId="22390" xr:uid="{00000000-0005-0000-0000-00001E330000}"/>
    <cellStyle name="60% - 强调文字颜色 3 3 17 6 4" xfId="22391" xr:uid="{00000000-0005-0000-0000-00001F330000}"/>
    <cellStyle name="60% - 强调文字颜色 3 3 17 6 5" xfId="22393" xr:uid="{00000000-0005-0000-0000-000020330000}"/>
    <cellStyle name="60% - 强调文字颜色 3 3 17 6 6" xfId="22394" xr:uid="{00000000-0005-0000-0000-000021330000}"/>
    <cellStyle name="60% - 强调文字颜色 3 3 17 6 7" xfId="3144" xr:uid="{00000000-0005-0000-0000-000022330000}"/>
    <cellStyle name="60% - 强调文字颜色 3 3 17 6 8" xfId="3156" xr:uid="{00000000-0005-0000-0000-000023330000}"/>
    <cellStyle name="60% - 强调文字颜色 3 3 17 7" xfId="21606" xr:uid="{00000000-0005-0000-0000-000024330000}"/>
    <cellStyle name="60% - 强调文字颜色 3 3 17 8" xfId="21608" xr:uid="{00000000-0005-0000-0000-000025330000}"/>
    <cellStyle name="60% - 强调文字颜色 3 3 17 9" xfId="22396" xr:uid="{00000000-0005-0000-0000-000026330000}"/>
    <cellStyle name="60% - 强调文字颜色 3 3 17 9 2" xfId="5546" xr:uid="{00000000-0005-0000-0000-000027330000}"/>
    <cellStyle name="60% - 强调文字颜色 3 3 17 9 3" xfId="5552" xr:uid="{00000000-0005-0000-0000-000028330000}"/>
    <cellStyle name="60% - 强调文字颜色 3 3 18" xfId="22397" xr:uid="{00000000-0005-0000-0000-000029330000}"/>
    <cellStyle name="60% - 强调文字颜色 3 3 18 10" xfId="18506" xr:uid="{00000000-0005-0000-0000-00002A330000}"/>
    <cellStyle name="60% - 强调文字颜色 3 3 18 11" xfId="22399" xr:uid="{00000000-0005-0000-0000-00002B330000}"/>
    <cellStyle name="60% - 强调文字颜色 3 3 18 12" xfId="22400" xr:uid="{00000000-0005-0000-0000-00002C330000}"/>
    <cellStyle name="60% - 强调文字颜色 3 3 18 13" xfId="22401" xr:uid="{00000000-0005-0000-0000-00002D330000}"/>
    <cellStyle name="60% - 强调文字颜色 3 3 18 14" xfId="22402" xr:uid="{00000000-0005-0000-0000-00002E330000}"/>
    <cellStyle name="60% - 强调文字颜色 3 3 18 2" xfId="22404" xr:uid="{00000000-0005-0000-0000-00002F330000}"/>
    <cellStyle name="60% - 强调文字颜色 3 3 18 3" xfId="22406" xr:uid="{00000000-0005-0000-0000-000030330000}"/>
    <cellStyle name="60% - 强调文字颜色 3 3 18 4" xfId="22408" xr:uid="{00000000-0005-0000-0000-000031330000}"/>
    <cellStyle name="60% - 强调文字颜色 3 3 18 5" xfId="22411" xr:uid="{00000000-0005-0000-0000-000032330000}"/>
    <cellStyle name="60% - 强调文字颜色 3 3 18 5 10" xfId="10370" xr:uid="{00000000-0005-0000-0000-000033330000}"/>
    <cellStyle name="60% - 强调文字颜色 3 3 18 5 11" xfId="10376" xr:uid="{00000000-0005-0000-0000-000034330000}"/>
    <cellStyle name="60% - 强调文字颜色 3 3 18 5 2" xfId="5201" xr:uid="{00000000-0005-0000-0000-000035330000}"/>
    <cellStyle name="60% - 强调文字颜色 3 3 18 5 2 2" xfId="20829" xr:uid="{00000000-0005-0000-0000-000036330000}"/>
    <cellStyle name="60% - 强调文字颜色 3 3 18 5 2 2 2" xfId="22413" xr:uid="{00000000-0005-0000-0000-000037330000}"/>
    <cellStyle name="60% - 强调文字颜色 3 3 18 5 2 2 3" xfId="19652" xr:uid="{00000000-0005-0000-0000-000038330000}"/>
    <cellStyle name="60% - 强调文字颜色 3 3 18 5 2 3" xfId="22415" xr:uid="{00000000-0005-0000-0000-000039330000}"/>
    <cellStyle name="60% - 强调文字颜色 3 3 18 5 2 4" xfId="22416" xr:uid="{00000000-0005-0000-0000-00003A330000}"/>
    <cellStyle name="60% - 强调文字颜色 3 3 18 5 2 5" xfId="22417" xr:uid="{00000000-0005-0000-0000-00003B330000}"/>
    <cellStyle name="60% - 强调文字颜色 3 3 18 5 2 6" xfId="22419" xr:uid="{00000000-0005-0000-0000-00003C330000}"/>
    <cellStyle name="60% - 强调文字颜色 3 3 18 5 2 7" xfId="22420" xr:uid="{00000000-0005-0000-0000-00003D330000}"/>
    <cellStyle name="60% - 强调文字颜色 3 3 18 5 2 8" xfId="18921" xr:uid="{00000000-0005-0000-0000-00003E330000}"/>
    <cellStyle name="60% - 强调文字颜色 3 3 18 5 3" xfId="4956" xr:uid="{00000000-0005-0000-0000-00003F330000}"/>
    <cellStyle name="60% - 强调文字颜色 3 3 18 5 4" xfId="4978" xr:uid="{00000000-0005-0000-0000-000040330000}"/>
    <cellStyle name="60% - 强调文字颜色 3 3 18 5 5" xfId="4988" xr:uid="{00000000-0005-0000-0000-000041330000}"/>
    <cellStyle name="60% - 强调文字颜色 3 3 18 5 6" xfId="3835" xr:uid="{00000000-0005-0000-0000-000042330000}"/>
    <cellStyle name="60% - 强调文字颜色 3 3 18 5 6 2" xfId="22421" xr:uid="{00000000-0005-0000-0000-000043330000}"/>
    <cellStyle name="60% - 强调文字颜色 3 3 18 5 6 3" xfId="22422" xr:uid="{00000000-0005-0000-0000-000044330000}"/>
    <cellStyle name="60% - 强调文字颜色 3 3 18 5 7" xfId="22424" xr:uid="{00000000-0005-0000-0000-000045330000}"/>
    <cellStyle name="60% - 强调文字颜色 3 3 18 5 8" xfId="22427" xr:uid="{00000000-0005-0000-0000-000046330000}"/>
    <cellStyle name="60% - 强调文字颜色 3 3 18 5 9" xfId="22429" xr:uid="{00000000-0005-0000-0000-000047330000}"/>
    <cellStyle name="60% - 强调文字颜色 3 3 18 6" xfId="22431" xr:uid="{00000000-0005-0000-0000-000048330000}"/>
    <cellStyle name="60% - 强调文字颜色 3 3 18 6 2" xfId="5223" xr:uid="{00000000-0005-0000-0000-000049330000}"/>
    <cellStyle name="60% - 强调文字颜色 3 3 18 6 2 2" xfId="3686" xr:uid="{00000000-0005-0000-0000-00004A330000}"/>
    <cellStyle name="60% - 强调文字颜色 3 3 18 6 2 3" xfId="21981" xr:uid="{00000000-0005-0000-0000-00004B330000}"/>
    <cellStyle name="60% - 强调文字颜色 3 3 18 6 3" xfId="2844" xr:uid="{00000000-0005-0000-0000-00004C330000}"/>
    <cellStyle name="60% - 强调文字颜色 3 3 18 6 4" xfId="2866" xr:uid="{00000000-0005-0000-0000-00004D330000}"/>
    <cellStyle name="60% - 强调文字颜色 3 3 18 6 5" xfId="2883" xr:uid="{00000000-0005-0000-0000-00004E330000}"/>
    <cellStyle name="60% - 强调文字颜色 3 3 18 6 6" xfId="2899" xr:uid="{00000000-0005-0000-0000-00004F330000}"/>
    <cellStyle name="60% - 强调文字颜色 3 3 18 6 7" xfId="2908" xr:uid="{00000000-0005-0000-0000-000050330000}"/>
    <cellStyle name="60% - 强调文字颜色 3 3 18 6 8" xfId="4347" xr:uid="{00000000-0005-0000-0000-000051330000}"/>
    <cellStyle name="60% - 强调文字颜色 3 3 18 7" xfId="22433" xr:uid="{00000000-0005-0000-0000-000052330000}"/>
    <cellStyle name="60% - 强调文字颜色 3 3 18 8" xfId="22434" xr:uid="{00000000-0005-0000-0000-000053330000}"/>
    <cellStyle name="60% - 强调文字颜色 3 3 18 9" xfId="22435" xr:uid="{00000000-0005-0000-0000-000054330000}"/>
    <cellStyle name="60% - 强调文字颜色 3 3 18 9 2" xfId="5835" xr:uid="{00000000-0005-0000-0000-000055330000}"/>
    <cellStyle name="60% - 强调文字颜色 3 3 18 9 3" xfId="5839" xr:uid="{00000000-0005-0000-0000-000056330000}"/>
    <cellStyle name="60% - 强调文字颜色 3 3 19" xfId="22436" xr:uid="{00000000-0005-0000-0000-000057330000}"/>
    <cellStyle name="60% - 强调文字颜色 3 3 19 10" xfId="21380" xr:uid="{00000000-0005-0000-0000-000058330000}"/>
    <cellStyle name="60% - 强调文字颜色 3 3 19 11" xfId="21382" xr:uid="{00000000-0005-0000-0000-000059330000}"/>
    <cellStyle name="60% - 强调文字颜色 3 3 19 12" xfId="21393" xr:uid="{00000000-0005-0000-0000-00005A330000}"/>
    <cellStyle name="60% - 强调文字颜色 3 3 19 13" xfId="21399" xr:uid="{00000000-0005-0000-0000-00005B330000}"/>
    <cellStyle name="60% - 强调文字颜色 3 3 19 14" xfId="21401" xr:uid="{00000000-0005-0000-0000-00005C330000}"/>
    <cellStyle name="60% - 强调文字颜色 3 3 19 2" xfId="22438" xr:uid="{00000000-0005-0000-0000-00005D330000}"/>
    <cellStyle name="60% - 强调文字颜色 3 3 19 3" xfId="13397" xr:uid="{00000000-0005-0000-0000-00005E330000}"/>
    <cellStyle name="60% - 强调文字颜色 3 3 19 4" xfId="13401" xr:uid="{00000000-0005-0000-0000-00005F330000}"/>
    <cellStyle name="60% - 强调文字颜色 3 3 19 5" xfId="13406" xr:uid="{00000000-0005-0000-0000-000060330000}"/>
    <cellStyle name="60% - 强调文字颜色 3 3 19 5 10" xfId="7184" xr:uid="{00000000-0005-0000-0000-000061330000}"/>
    <cellStyle name="60% - 强调文字颜色 3 3 19 5 11" xfId="7187" xr:uid="{00000000-0005-0000-0000-000062330000}"/>
    <cellStyle name="60% - 强调文字颜色 3 3 19 5 2" xfId="7901" xr:uid="{00000000-0005-0000-0000-000063330000}"/>
    <cellStyle name="60% - 强调文字颜色 3 3 19 5 2 2" xfId="21540" xr:uid="{00000000-0005-0000-0000-000064330000}"/>
    <cellStyle name="60% - 强调文字颜色 3 3 19 5 2 2 2" xfId="22423" xr:uid="{00000000-0005-0000-0000-000065330000}"/>
    <cellStyle name="60% - 强调文字颜色 3 3 19 5 2 2 3" xfId="22425" xr:uid="{00000000-0005-0000-0000-000066330000}"/>
    <cellStyle name="60% - 强调文字颜色 3 3 19 5 2 3" xfId="4311" xr:uid="{00000000-0005-0000-0000-000067330000}"/>
    <cellStyle name="60% - 强调文字颜色 3 3 19 5 2 4" xfId="4570" xr:uid="{00000000-0005-0000-0000-000068330000}"/>
    <cellStyle name="60% - 强调文字颜色 3 3 19 5 2 5" xfId="4596" xr:uid="{00000000-0005-0000-0000-000069330000}"/>
    <cellStyle name="60% - 强调文字颜色 3 3 19 5 2 6" xfId="4766" xr:uid="{00000000-0005-0000-0000-00006A330000}"/>
    <cellStyle name="60% - 强调文字颜色 3 3 19 5 2 7" xfId="4778" xr:uid="{00000000-0005-0000-0000-00006B330000}"/>
    <cellStyle name="60% - 强调文字颜色 3 3 19 5 2 8" xfId="4784" xr:uid="{00000000-0005-0000-0000-00006C330000}"/>
    <cellStyle name="60% - 强调文字颜色 3 3 19 5 3" xfId="5623" xr:uid="{00000000-0005-0000-0000-00006D330000}"/>
    <cellStyle name="60% - 强调文字颜色 3 3 19 5 4" xfId="5628" xr:uid="{00000000-0005-0000-0000-00006E330000}"/>
    <cellStyle name="60% - 强调文字颜色 3 3 19 5 5" xfId="5633" xr:uid="{00000000-0005-0000-0000-00006F330000}"/>
    <cellStyle name="60% - 强调文字颜色 3 3 19 5 6" xfId="5639" xr:uid="{00000000-0005-0000-0000-000070330000}"/>
    <cellStyle name="60% - 强调文字颜色 3 3 19 5 6 2" xfId="5658" xr:uid="{00000000-0005-0000-0000-000071330000}"/>
    <cellStyle name="60% - 强调文字颜色 3 3 19 5 6 3" xfId="5700" xr:uid="{00000000-0005-0000-0000-000072330000}"/>
    <cellStyle name="60% - 强调文字颜色 3 3 19 5 7" xfId="3036" xr:uid="{00000000-0005-0000-0000-000073330000}"/>
    <cellStyle name="60% - 强调文字颜色 3 3 19 5 8" xfId="3050" xr:uid="{00000000-0005-0000-0000-000074330000}"/>
    <cellStyle name="60% - 强调文字颜色 3 3 19 5 9" xfId="5852" xr:uid="{00000000-0005-0000-0000-000075330000}"/>
    <cellStyle name="60% - 强调文字颜色 3 3 19 6" xfId="13412" xr:uid="{00000000-0005-0000-0000-000076330000}"/>
    <cellStyle name="60% - 强调文字颜色 3 3 19 6 2" xfId="7927" xr:uid="{00000000-0005-0000-0000-000077330000}"/>
    <cellStyle name="60% - 强调文字颜色 3 3 19 6 2 2" xfId="13419" xr:uid="{00000000-0005-0000-0000-000078330000}"/>
    <cellStyle name="60% - 强调文字颜色 3 3 19 6 2 3" xfId="7093" xr:uid="{00000000-0005-0000-0000-000079330000}"/>
    <cellStyle name="60% - 强调文字颜色 3 3 19 6 3" xfId="5902" xr:uid="{00000000-0005-0000-0000-00007A330000}"/>
    <cellStyle name="60% - 强调文字颜色 3 3 19 6 4" xfId="5906" xr:uid="{00000000-0005-0000-0000-00007B330000}"/>
    <cellStyle name="60% - 强调文字颜色 3 3 19 6 5" xfId="5911" xr:uid="{00000000-0005-0000-0000-00007C330000}"/>
    <cellStyle name="60% - 强调文字颜色 3 3 19 6 6" xfId="269" xr:uid="{00000000-0005-0000-0000-00007D330000}"/>
    <cellStyle name="60% - 强调文字颜色 3 3 19 6 7" xfId="5878" xr:uid="{00000000-0005-0000-0000-00007E330000}"/>
    <cellStyle name="60% - 强调文字颜色 3 3 19 6 8" xfId="5884" xr:uid="{00000000-0005-0000-0000-00007F330000}"/>
    <cellStyle name="60% - 强调文字颜色 3 3 19 7" xfId="13429" xr:uid="{00000000-0005-0000-0000-000080330000}"/>
    <cellStyle name="60% - 强调文字颜色 3 3 19 8" xfId="13436" xr:uid="{00000000-0005-0000-0000-000081330000}"/>
    <cellStyle name="60% - 强调文字颜色 3 3 19 9" xfId="13439" xr:uid="{00000000-0005-0000-0000-000082330000}"/>
    <cellStyle name="60% - 强调文字颜色 3 3 19 9 2" xfId="5994" xr:uid="{00000000-0005-0000-0000-000083330000}"/>
    <cellStyle name="60% - 强调文字颜色 3 3 19 9 3" xfId="6004" xr:uid="{00000000-0005-0000-0000-000084330000}"/>
    <cellStyle name="60% - 强调文字颜色 3 3 2" xfId="22440" xr:uid="{00000000-0005-0000-0000-000085330000}"/>
    <cellStyle name="60% - 强调文字颜色 3 3 2 10" xfId="22441" xr:uid="{00000000-0005-0000-0000-000086330000}"/>
    <cellStyle name="60% - 强调文字颜色 3 3 2 11" xfId="22442" xr:uid="{00000000-0005-0000-0000-000087330000}"/>
    <cellStyle name="60% - 强调文字颜色 3 3 2 12" xfId="2540" xr:uid="{00000000-0005-0000-0000-000088330000}"/>
    <cellStyle name="60% - 强调文字颜色 3 3 2 13" xfId="2399" xr:uid="{00000000-0005-0000-0000-000089330000}"/>
    <cellStyle name="60% - 强调文字颜色 3 3 2 14" xfId="2414" xr:uid="{00000000-0005-0000-0000-00008A330000}"/>
    <cellStyle name="60% - 强调文字颜色 3 3 2 2" xfId="22443" xr:uid="{00000000-0005-0000-0000-00008B330000}"/>
    <cellStyle name="60% - 强调文字颜色 3 3 2 3" xfId="22445" xr:uid="{00000000-0005-0000-0000-00008C330000}"/>
    <cellStyle name="60% - 强调文字颜色 3 3 2 4" xfId="22448" xr:uid="{00000000-0005-0000-0000-00008D330000}"/>
    <cellStyle name="60% - 强调文字颜色 3 3 2 5" xfId="22450" xr:uid="{00000000-0005-0000-0000-00008E330000}"/>
    <cellStyle name="60% - 强调文字颜色 3 3 2 6" xfId="22451" xr:uid="{00000000-0005-0000-0000-00008F330000}"/>
    <cellStyle name="60% - 强调文字颜色 3 3 2 7" xfId="22453" xr:uid="{00000000-0005-0000-0000-000090330000}"/>
    <cellStyle name="60% - 强调文字颜色 3 3 2 8" xfId="22455" xr:uid="{00000000-0005-0000-0000-000091330000}"/>
    <cellStyle name="60% - 强调文字颜色 3 3 2 9" xfId="22456" xr:uid="{00000000-0005-0000-0000-000092330000}"/>
    <cellStyle name="60% - 强调文字颜色 3 3 20" xfId="22329" xr:uid="{00000000-0005-0000-0000-000093330000}"/>
    <cellStyle name="60% - 强调文字颜色 3 3 20 10" xfId="22457" xr:uid="{00000000-0005-0000-0000-000094330000}"/>
    <cellStyle name="60% - 强调文字颜色 3 3 20 11" xfId="22461" xr:uid="{00000000-0005-0000-0000-000095330000}"/>
    <cellStyle name="60% - 强调文字颜色 3 3 20 12" xfId="22102" xr:uid="{00000000-0005-0000-0000-000096330000}"/>
    <cellStyle name="60% - 强调文字颜色 3 3 20 13" xfId="22106" xr:uid="{00000000-0005-0000-0000-000097330000}"/>
    <cellStyle name="60% - 强调文字颜色 3 3 20 14" xfId="22462" xr:uid="{00000000-0005-0000-0000-000098330000}"/>
    <cellStyle name="60% - 强调文字颜色 3 3 20 2" xfId="22463" xr:uid="{00000000-0005-0000-0000-000099330000}"/>
    <cellStyle name="60% - 强调文字颜色 3 3 20 3" xfId="13290" xr:uid="{00000000-0005-0000-0000-00009A330000}"/>
    <cellStyle name="60% - 强调文字颜色 3 3 20 4" xfId="349" xr:uid="{00000000-0005-0000-0000-00009B330000}"/>
    <cellStyle name="60% - 强调文字颜色 3 3 20 5" xfId="308" xr:uid="{00000000-0005-0000-0000-00009C330000}"/>
    <cellStyle name="60% - 强调文字颜色 3 3 20 5 10" xfId="19945" xr:uid="{00000000-0005-0000-0000-00009D330000}"/>
    <cellStyle name="60% - 强调文字颜色 3 3 20 5 11" xfId="19948" xr:uid="{00000000-0005-0000-0000-00009E330000}"/>
    <cellStyle name="60% - 强调文字颜色 3 3 20 5 2" xfId="22208" xr:uid="{00000000-0005-0000-0000-00009F330000}"/>
    <cellStyle name="60% - 强调文字颜色 3 3 20 5 2 2" xfId="22465" xr:uid="{00000000-0005-0000-0000-0000A0330000}"/>
    <cellStyle name="60% - 强调文字颜色 3 3 20 5 2 2 2" xfId="19123" xr:uid="{00000000-0005-0000-0000-0000A1330000}"/>
    <cellStyle name="60% - 强调文字颜色 3 3 20 5 2 2 3" xfId="20352" xr:uid="{00000000-0005-0000-0000-0000A2330000}"/>
    <cellStyle name="60% - 强调文字颜色 3 3 20 5 2 3" xfId="22466" xr:uid="{00000000-0005-0000-0000-0000A3330000}"/>
    <cellStyle name="60% - 强调文字颜色 3 3 20 5 2 4" xfId="22467" xr:uid="{00000000-0005-0000-0000-0000A4330000}"/>
    <cellStyle name="60% - 强调文字颜色 3 3 20 5 2 5" xfId="22468" xr:uid="{00000000-0005-0000-0000-0000A5330000}"/>
    <cellStyle name="60% - 强调文字颜色 3 3 20 5 2 6" xfId="22469" xr:uid="{00000000-0005-0000-0000-0000A6330000}"/>
    <cellStyle name="60% - 强调文字颜色 3 3 20 5 2 7" xfId="22470" xr:uid="{00000000-0005-0000-0000-0000A7330000}"/>
    <cellStyle name="60% - 强调文字颜色 3 3 20 5 2 8" xfId="555" xr:uid="{00000000-0005-0000-0000-0000A8330000}"/>
    <cellStyle name="60% - 强调文字颜色 3 3 20 5 3" xfId="22210" xr:uid="{00000000-0005-0000-0000-0000A9330000}"/>
    <cellStyle name="60% - 强调文字颜色 3 3 20 5 4" xfId="11790" xr:uid="{00000000-0005-0000-0000-0000AA330000}"/>
    <cellStyle name="60% - 强调文字颜色 3 3 20 5 5" xfId="11794" xr:uid="{00000000-0005-0000-0000-0000AB330000}"/>
    <cellStyle name="60% - 强调文字颜色 3 3 20 5 6" xfId="11798" xr:uid="{00000000-0005-0000-0000-0000AC330000}"/>
    <cellStyle name="60% - 强调文字颜色 3 3 20 5 6 2" xfId="22471" xr:uid="{00000000-0005-0000-0000-0000AD330000}"/>
    <cellStyle name="60% - 强调文字颜色 3 3 20 5 6 3" xfId="22473" xr:uid="{00000000-0005-0000-0000-0000AE330000}"/>
    <cellStyle name="60% - 强调文字颜色 3 3 20 5 7" xfId="11801" xr:uid="{00000000-0005-0000-0000-0000AF330000}"/>
    <cellStyle name="60% - 强调文字颜色 3 3 20 5 8" xfId="11804" xr:uid="{00000000-0005-0000-0000-0000B0330000}"/>
    <cellStyle name="60% - 强调文字颜色 3 3 20 5 9" xfId="22476" xr:uid="{00000000-0005-0000-0000-0000B1330000}"/>
    <cellStyle name="60% - 强调文字颜色 3 3 20 6" xfId="356" xr:uid="{00000000-0005-0000-0000-0000B2330000}"/>
    <cellStyle name="60% - 强调文字颜色 3 3 20 6 2" xfId="13295" xr:uid="{00000000-0005-0000-0000-0000B3330000}"/>
    <cellStyle name="60% - 强调文字颜色 3 3 20 6 2 2" xfId="8048" xr:uid="{00000000-0005-0000-0000-0000B4330000}"/>
    <cellStyle name="60% - 强调文字颜色 3 3 20 6 2 3" xfId="8057" xr:uid="{00000000-0005-0000-0000-0000B5330000}"/>
    <cellStyle name="60% - 强调文字颜色 3 3 20 6 3" xfId="9621" xr:uid="{00000000-0005-0000-0000-0000B6330000}"/>
    <cellStyle name="60% - 强调文字颜色 3 3 20 6 4" xfId="9626" xr:uid="{00000000-0005-0000-0000-0000B7330000}"/>
    <cellStyle name="60% - 强调文字颜色 3 3 20 6 5" xfId="9632" xr:uid="{00000000-0005-0000-0000-0000B8330000}"/>
    <cellStyle name="60% - 强调文字颜色 3 3 20 6 6" xfId="9636" xr:uid="{00000000-0005-0000-0000-0000B9330000}"/>
    <cellStyle name="60% - 强调文字颜色 3 3 20 6 7" xfId="9641" xr:uid="{00000000-0005-0000-0000-0000BA330000}"/>
    <cellStyle name="60% - 强调文字颜色 3 3 20 6 8" xfId="13312" xr:uid="{00000000-0005-0000-0000-0000BB330000}"/>
    <cellStyle name="60% - 强调文字颜色 3 3 20 7" xfId="362" xr:uid="{00000000-0005-0000-0000-0000BC330000}"/>
    <cellStyle name="60% - 强调文字颜色 3 3 20 8" xfId="13344" xr:uid="{00000000-0005-0000-0000-0000BD330000}"/>
    <cellStyle name="60% - 强调文字颜色 3 3 20 9" xfId="9211" xr:uid="{00000000-0005-0000-0000-0000BE330000}"/>
    <cellStyle name="60% - 强调文字颜色 3 3 20 9 2" xfId="14853" xr:uid="{00000000-0005-0000-0000-0000BF330000}"/>
    <cellStyle name="60% - 强调文字颜色 3 3 20 9 3" xfId="14857" xr:uid="{00000000-0005-0000-0000-0000C0330000}"/>
    <cellStyle name="60% - 强调文字颜色 3 3 3" xfId="22478" xr:uid="{00000000-0005-0000-0000-0000C1330000}"/>
    <cellStyle name="60% - 强调文字颜色 3 3 3 10" xfId="7207" xr:uid="{00000000-0005-0000-0000-0000C2330000}"/>
    <cellStyle name="60% - 强调文字颜色 3 3 3 11" xfId="7213" xr:uid="{00000000-0005-0000-0000-0000C3330000}"/>
    <cellStyle name="60% - 强调文字颜色 3 3 3 12" xfId="7179" xr:uid="{00000000-0005-0000-0000-0000C4330000}"/>
    <cellStyle name="60% - 强调文字颜色 3 3 3 13" xfId="16765" xr:uid="{00000000-0005-0000-0000-0000C5330000}"/>
    <cellStyle name="60% - 强调文字颜色 3 3 3 14" xfId="16769" xr:uid="{00000000-0005-0000-0000-0000C6330000}"/>
    <cellStyle name="60% - 强调文字颜色 3 3 3 2" xfId="22479" xr:uid="{00000000-0005-0000-0000-0000C7330000}"/>
    <cellStyle name="60% - 强调文字颜色 3 3 3 3" xfId="22480" xr:uid="{00000000-0005-0000-0000-0000C8330000}"/>
    <cellStyle name="60% - 强调文字颜色 3 3 3 4" xfId="22481" xr:uid="{00000000-0005-0000-0000-0000C9330000}"/>
    <cellStyle name="60% - 强调文字颜色 3 3 3 5" xfId="22482" xr:uid="{00000000-0005-0000-0000-0000CA330000}"/>
    <cellStyle name="60% - 强调文字颜色 3 3 3 6" xfId="22483" xr:uid="{00000000-0005-0000-0000-0000CB330000}"/>
    <cellStyle name="60% - 强调文字颜色 3 3 3 7" xfId="22484" xr:uid="{00000000-0005-0000-0000-0000CC330000}"/>
    <cellStyle name="60% - 强调文字颜色 3 3 3 8" xfId="21281" xr:uid="{00000000-0005-0000-0000-0000CD330000}"/>
    <cellStyle name="60% - 强调文字颜色 3 3 3 9" xfId="21283" xr:uid="{00000000-0005-0000-0000-0000CE330000}"/>
    <cellStyle name="60% - 强调文字颜色 3 3 4" xfId="21535" xr:uid="{00000000-0005-0000-0000-0000CF330000}"/>
    <cellStyle name="60% - 强调文字颜色 3 3 4 10" xfId="6224" xr:uid="{00000000-0005-0000-0000-0000D0330000}"/>
    <cellStyle name="60% - 强调文字颜色 3 3 4 11" xfId="6228" xr:uid="{00000000-0005-0000-0000-0000D1330000}"/>
    <cellStyle name="60% - 强调文字颜色 3 3 4 12" xfId="21050" xr:uid="{00000000-0005-0000-0000-0000D2330000}"/>
    <cellStyle name="60% - 强调文字颜色 3 3 4 13" xfId="21052" xr:uid="{00000000-0005-0000-0000-0000D3330000}"/>
    <cellStyle name="60% - 强调文字颜色 3 3 4 14" xfId="21054" xr:uid="{00000000-0005-0000-0000-0000D4330000}"/>
    <cellStyle name="60% - 强调文字颜色 3 3 4 2" xfId="3216" xr:uid="{00000000-0005-0000-0000-0000D5330000}"/>
    <cellStyle name="60% - 强调文字颜色 3 3 4 3" xfId="17682" xr:uid="{00000000-0005-0000-0000-0000D6330000}"/>
    <cellStyle name="60% - 强调文字颜色 3 3 4 4" xfId="17685" xr:uid="{00000000-0005-0000-0000-0000D7330000}"/>
    <cellStyle name="60% - 强调文字颜色 3 3 4 5" xfId="17688" xr:uid="{00000000-0005-0000-0000-0000D8330000}"/>
    <cellStyle name="60% - 强调文字颜色 3 3 4 6" xfId="17691" xr:uid="{00000000-0005-0000-0000-0000D9330000}"/>
    <cellStyle name="60% - 强调文字颜色 3 3 4 7" xfId="1490" xr:uid="{00000000-0005-0000-0000-0000DA330000}"/>
    <cellStyle name="60% - 强调文字颜色 3 3 4 8" xfId="232" xr:uid="{00000000-0005-0000-0000-0000DB330000}"/>
    <cellStyle name="60% - 强调文字颜色 3 3 4 9" xfId="1527" xr:uid="{00000000-0005-0000-0000-0000DC330000}"/>
    <cellStyle name="60% - 强调文字颜色 3 3 5" xfId="21538" xr:uid="{00000000-0005-0000-0000-0000DD330000}"/>
    <cellStyle name="60% - 强调文字颜色 3 3 6" xfId="16187" xr:uid="{00000000-0005-0000-0000-0000DE330000}"/>
    <cellStyle name="60% - 强调文字颜色 3 3 7" xfId="16192" xr:uid="{00000000-0005-0000-0000-0000DF330000}"/>
    <cellStyle name="60% - 强调文字颜色 3 3 8" xfId="14304" xr:uid="{00000000-0005-0000-0000-0000E0330000}"/>
    <cellStyle name="60% - 强调文字颜色 3 3 9" xfId="14310" xr:uid="{00000000-0005-0000-0000-0000E1330000}"/>
    <cellStyle name="60% - 强调文字颜色 3 4" xfId="6453" xr:uid="{00000000-0005-0000-0000-0000E2330000}"/>
    <cellStyle name="60% - 强调文字颜色 3 4 10" xfId="22486" xr:uid="{00000000-0005-0000-0000-0000E3330000}"/>
    <cellStyle name="60% - 强调文字颜色 3 4 11" xfId="22489" xr:uid="{00000000-0005-0000-0000-0000E4330000}"/>
    <cellStyle name="60% - 强调文字颜色 3 4 12" xfId="21327" xr:uid="{00000000-0005-0000-0000-0000E5330000}"/>
    <cellStyle name="60% - 强调文字颜色 3 4 13" xfId="21330" xr:uid="{00000000-0005-0000-0000-0000E6330000}"/>
    <cellStyle name="60% - 强调文字颜色 3 4 14" xfId="21333" xr:uid="{00000000-0005-0000-0000-0000E7330000}"/>
    <cellStyle name="60% - 强调文字颜色 3 4 15" xfId="21337" xr:uid="{00000000-0005-0000-0000-0000E8330000}"/>
    <cellStyle name="60% - 强调文字颜色 3 4 16" xfId="21349" xr:uid="{00000000-0005-0000-0000-0000E9330000}"/>
    <cellStyle name="60% - 强调文字颜色 3 4 17" xfId="21355" xr:uid="{00000000-0005-0000-0000-0000EA330000}"/>
    <cellStyle name="60% - 强调文字颜色 3 4 17 10" xfId="582" xr:uid="{00000000-0005-0000-0000-0000EB330000}"/>
    <cellStyle name="60% - 强调文字颜色 3 4 17 11" xfId="593" xr:uid="{00000000-0005-0000-0000-0000EC330000}"/>
    <cellStyle name="60% - 强调文字颜色 3 4 17 12" xfId="515" xr:uid="{00000000-0005-0000-0000-0000ED330000}"/>
    <cellStyle name="60% - 强调文字颜色 3 4 17 13" xfId="558" xr:uid="{00000000-0005-0000-0000-0000EE330000}"/>
    <cellStyle name="60% - 强调文字颜色 3 4 17 14" xfId="22490" xr:uid="{00000000-0005-0000-0000-0000EF330000}"/>
    <cellStyle name="60% - 强调文字颜色 3 4 17 2" xfId="10272" xr:uid="{00000000-0005-0000-0000-0000F0330000}"/>
    <cellStyle name="60% - 强调文字颜色 3 4 17 3" xfId="10277" xr:uid="{00000000-0005-0000-0000-0000F1330000}"/>
    <cellStyle name="60% - 强调文字颜色 3 4 17 4" xfId="5501" xr:uid="{00000000-0005-0000-0000-0000F2330000}"/>
    <cellStyle name="60% - 强调文字颜色 3 4 17 5" xfId="5515" xr:uid="{00000000-0005-0000-0000-0000F3330000}"/>
    <cellStyle name="60% - 强调文字颜色 3 4 17 5 10" xfId="22493" xr:uid="{00000000-0005-0000-0000-0000F4330000}"/>
    <cellStyle name="60% - 强调文字颜色 3 4 17 5 11" xfId="22496" xr:uid="{00000000-0005-0000-0000-0000F5330000}"/>
    <cellStyle name="60% - 强调文字颜色 3 4 17 5 2" xfId="10173" xr:uid="{00000000-0005-0000-0000-0000F6330000}"/>
    <cellStyle name="60% - 强调文字颜色 3 4 17 5 2 2" xfId="10708" xr:uid="{00000000-0005-0000-0000-0000F7330000}"/>
    <cellStyle name="60% - 强调文字颜色 3 4 17 5 2 2 2" xfId="16992" xr:uid="{00000000-0005-0000-0000-0000F8330000}"/>
    <cellStyle name="60% - 强调文字颜色 3 4 17 5 2 2 3" xfId="16995" xr:uid="{00000000-0005-0000-0000-0000F9330000}"/>
    <cellStyle name="60% - 强调文字颜色 3 4 17 5 2 3" xfId="10713" xr:uid="{00000000-0005-0000-0000-0000FA330000}"/>
    <cellStyle name="60% - 强调文字颜色 3 4 17 5 2 4" xfId="22497" xr:uid="{00000000-0005-0000-0000-0000FB330000}"/>
    <cellStyle name="60% - 强调文字颜色 3 4 17 5 2 5" xfId="16166" xr:uid="{00000000-0005-0000-0000-0000FC330000}"/>
    <cellStyle name="60% - 强调文字颜色 3 4 17 5 2 6" xfId="16169" xr:uid="{00000000-0005-0000-0000-0000FD330000}"/>
    <cellStyle name="60% - 强调文字颜色 3 4 17 5 2 7" xfId="22499" xr:uid="{00000000-0005-0000-0000-0000FE330000}"/>
    <cellStyle name="60% - 强调文字颜色 3 4 17 5 2 8" xfId="22502" xr:uid="{00000000-0005-0000-0000-0000FF330000}"/>
    <cellStyle name="60% - 强调文字颜色 3 4 17 5 3" xfId="10179" xr:uid="{00000000-0005-0000-0000-000000340000}"/>
    <cellStyle name="60% - 强调文字颜色 3 4 17 5 4" xfId="10719" xr:uid="{00000000-0005-0000-0000-000001340000}"/>
    <cellStyle name="60% - 强调文字颜色 3 4 17 5 5" xfId="10722" xr:uid="{00000000-0005-0000-0000-000002340000}"/>
    <cellStyle name="60% - 强调文字颜色 3 4 17 5 6" xfId="8342" xr:uid="{00000000-0005-0000-0000-000003340000}"/>
    <cellStyle name="60% - 强调文字颜色 3 4 17 5 6 2" xfId="22504" xr:uid="{00000000-0005-0000-0000-000004340000}"/>
    <cellStyle name="60% - 强调文字颜色 3 4 17 5 6 3" xfId="22506" xr:uid="{00000000-0005-0000-0000-000005340000}"/>
    <cellStyle name="60% - 强调文字颜色 3 4 17 5 7" xfId="8347" xr:uid="{00000000-0005-0000-0000-000006340000}"/>
    <cellStyle name="60% - 强调文字颜色 3 4 17 5 8" xfId="4525" xr:uid="{00000000-0005-0000-0000-000007340000}"/>
    <cellStyle name="60% - 强调文字颜色 3 4 17 5 9" xfId="22508" xr:uid="{00000000-0005-0000-0000-000008340000}"/>
    <cellStyle name="60% - 强调文字颜色 3 4 17 6" xfId="2227" xr:uid="{00000000-0005-0000-0000-000009340000}"/>
    <cellStyle name="60% - 强调文字颜色 3 4 17 6 2" xfId="727" xr:uid="{00000000-0005-0000-0000-00000A340000}"/>
    <cellStyle name="60% - 强调文字颜色 3 4 17 6 2 2" xfId="15683" xr:uid="{00000000-0005-0000-0000-00000B340000}"/>
    <cellStyle name="60% - 强调文字颜色 3 4 17 6 2 3" xfId="15685" xr:uid="{00000000-0005-0000-0000-00000C340000}"/>
    <cellStyle name="60% - 强调文字颜色 3 4 17 6 3" xfId="752" xr:uid="{00000000-0005-0000-0000-00000D340000}"/>
    <cellStyle name="60% - 强调文字颜色 3 4 17 6 4" xfId="1278" xr:uid="{00000000-0005-0000-0000-00000E340000}"/>
    <cellStyle name="60% - 强调文字颜色 3 4 17 6 5" xfId="1289" xr:uid="{00000000-0005-0000-0000-00000F340000}"/>
    <cellStyle name="60% - 强调文字颜色 3 4 17 6 6" xfId="1299" xr:uid="{00000000-0005-0000-0000-000010340000}"/>
    <cellStyle name="60% - 强调文字颜色 3 4 17 6 7" xfId="1309" xr:uid="{00000000-0005-0000-0000-000011340000}"/>
    <cellStyle name="60% - 强调文字颜色 3 4 17 6 8" xfId="1881" xr:uid="{00000000-0005-0000-0000-000012340000}"/>
    <cellStyle name="60% - 强调文字颜色 3 4 17 7" xfId="2253" xr:uid="{00000000-0005-0000-0000-000013340000}"/>
    <cellStyle name="60% - 强调文字颜色 3 4 17 8" xfId="2269" xr:uid="{00000000-0005-0000-0000-000014340000}"/>
    <cellStyle name="60% - 强调文字颜色 3 4 17 9" xfId="22510" xr:uid="{00000000-0005-0000-0000-000015340000}"/>
    <cellStyle name="60% - 强调文字颜色 3 4 17 9 2" xfId="2195" xr:uid="{00000000-0005-0000-0000-000016340000}"/>
    <cellStyle name="60% - 强调文字颜色 3 4 17 9 3" xfId="2206" xr:uid="{00000000-0005-0000-0000-000017340000}"/>
    <cellStyle name="60% - 强调文字颜色 3 4 18" xfId="21357" xr:uid="{00000000-0005-0000-0000-000018340000}"/>
    <cellStyle name="60% - 强调文字颜色 3 4 18 10" xfId="22511" xr:uid="{00000000-0005-0000-0000-000019340000}"/>
    <cellStyle name="60% - 强调文字颜色 3 4 18 11" xfId="22512" xr:uid="{00000000-0005-0000-0000-00001A340000}"/>
    <cellStyle name="60% - 强调文字颜色 3 4 18 12" xfId="22513" xr:uid="{00000000-0005-0000-0000-00001B340000}"/>
    <cellStyle name="60% - 强调文字颜色 3 4 18 13" xfId="22514" xr:uid="{00000000-0005-0000-0000-00001C340000}"/>
    <cellStyle name="60% - 强调文字颜色 3 4 18 14" xfId="22515" xr:uid="{00000000-0005-0000-0000-00001D340000}"/>
    <cellStyle name="60% - 强调文字颜色 3 4 18 2" xfId="10744" xr:uid="{00000000-0005-0000-0000-00001E340000}"/>
    <cellStyle name="60% - 强调文字颜色 3 4 18 3" xfId="10745" xr:uid="{00000000-0005-0000-0000-00001F340000}"/>
    <cellStyle name="60% - 强调文字颜色 3 4 18 4" xfId="10749" xr:uid="{00000000-0005-0000-0000-000020340000}"/>
    <cellStyle name="60% - 强调文字颜色 3 4 18 5" xfId="10765" xr:uid="{00000000-0005-0000-0000-000021340000}"/>
    <cellStyle name="60% - 强调文字颜色 3 4 18 5 10" xfId="608" xr:uid="{00000000-0005-0000-0000-000022340000}"/>
    <cellStyle name="60% - 强调文字颜色 3 4 18 5 11" xfId="641" xr:uid="{00000000-0005-0000-0000-000023340000}"/>
    <cellStyle name="60% - 强调文字颜色 3 4 18 5 2" xfId="10769" xr:uid="{00000000-0005-0000-0000-000024340000}"/>
    <cellStyle name="60% - 强调文字颜色 3 4 18 5 2 2" xfId="7258" xr:uid="{00000000-0005-0000-0000-000025340000}"/>
    <cellStyle name="60% - 强调文字颜色 3 4 18 5 2 2 2" xfId="1178" xr:uid="{00000000-0005-0000-0000-000026340000}"/>
    <cellStyle name="60% - 强调文字颜色 3 4 18 5 2 2 3" xfId="22516" xr:uid="{00000000-0005-0000-0000-000027340000}"/>
    <cellStyle name="60% - 强调文字颜色 3 4 18 5 2 3" xfId="7262" xr:uid="{00000000-0005-0000-0000-000028340000}"/>
    <cellStyle name="60% - 强调文字颜色 3 4 18 5 2 4" xfId="15306" xr:uid="{00000000-0005-0000-0000-000029340000}"/>
    <cellStyle name="60% - 强调文字颜色 3 4 18 5 2 5" xfId="22517" xr:uid="{00000000-0005-0000-0000-00002A340000}"/>
    <cellStyle name="60% - 强调文字颜色 3 4 18 5 2 6" xfId="22518" xr:uid="{00000000-0005-0000-0000-00002B340000}"/>
    <cellStyle name="60% - 强调文字颜色 3 4 18 5 2 7" xfId="22519" xr:uid="{00000000-0005-0000-0000-00002C340000}"/>
    <cellStyle name="60% - 强调文字颜色 3 4 18 5 2 8" xfId="19894" xr:uid="{00000000-0005-0000-0000-00002D340000}"/>
    <cellStyle name="60% - 强调文字颜色 3 4 18 5 3" xfId="10773" xr:uid="{00000000-0005-0000-0000-00002E340000}"/>
    <cellStyle name="60% - 强调文字颜色 3 4 18 5 4" xfId="10780" xr:uid="{00000000-0005-0000-0000-00002F340000}"/>
    <cellStyle name="60% - 强调文字颜色 3 4 18 5 5" xfId="10784" xr:uid="{00000000-0005-0000-0000-000030340000}"/>
    <cellStyle name="60% - 强调文字颜色 3 4 18 5 6" xfId="10787" xr:uid="{00000000-0005-0000-0000-000031340000}"/>
    <cellStyle name="60% - 强调文字颜色 3 4 18 5 6 2" xfId="17601" xr:uid="{00000000-0005-0000-0000-000032340000}"/>
    <cellStyle name="60% - 强调文字颜色 3 4 18 5 6 3" xfId="17604" xr:uid="{00000000-0005-0000-0000-000033340000}"/>
    <cellStyle name="60% - 强调文字颜色 3 4 18 5 7" xfId="10790" xr:uid="{00000000-0005-0000-0000-000034340000}"/>
    <cellStyle name="60% - 强调文字颜色 3 4 18 5 8" xfId="10793" xr:uid="{00000000-0005-0000-0000-000035340000}"/>
    <cellStyle name="60% - 强调文字颜色 3 4 18 5 9" xfId="22521" xr:uid="{00000000-0005-0000-0000-000036340000}"/>
    <cellStyle name="60% - 强调文字颜色 3 4 18 6" xfId="10796" xr:uid="{00000000-0005-0000-0000-000037340000}"/>
    <cellStyle name="60% - 强调文字颜色 3 4 18 6 2" xfId="22522" xr:uid="{00000000-0005-0000-0000-000038340000}"/>
    <cellStyle name="60% - 强调文字颜色 3 4 18 6 2 2" xfId="22525" xr:uid="{00000000-0005-0000-0000-000039340000}"/>
    <cellStyle name="60% - 强调文字颜色 3 4 18 6 2 3" xfId="22528" xr:uid="{00000000-0005-0000-0000-00003A340000}"/>
    <cellStyle name="60% - 强调文字颜色 3 4 18 6 3" xfId="22529" xr:uid="{00000000-0005-0000-0000-00003B340000}"/>
    <cellStyle name="60% - 强调文字颜色 3 4 18 6 4" xfId="22530" xr:uid="{00000000-0005-0000-0000-00003C340000}"/>
    <cellStyle name="60% - 强调文字颜色 3 4 18 6 5" xfId="22531" xr:uid="{00000000-0005-0000-0000-00003D340000}"/>
    <cellStyle name="60% - 强调文字颜色 3 4 18 6 6" xfId="22532" xr:uid="{00000000-0005-0000-0000-00003E340000}"/>
    <cellStyle name="60% - 强调文字颜色 3 4 18 6 7" xfId="13363" xr:uid="{00000000-0005-0000-0000-00003F340000}"/>
    <cellStyle name="60% - 强调文字颜色 3 4 18 6 8" xfId="13449" xr:uid="{00000000-0005-0000-0000-000040340000}"/>
    <cellStyle name="60% - 强调文字颜色 3 4 18 7" xfId="9130" xr:uid="{00000000-0005-0000-0000-000041340000}"/>
    <cellStyle name="60% - 强调文字颜色 3 4 18 8" xfId="9158" xr:uid="{00000000-0005-0000-0000-000042340000}"/>
    <cellStyle name="60% - 强调文字颜色 3 4 18 9" xfId="22533" xr:uid="{00000000-0005-0000-0000-000043340000}"/>
    <cellStyle name="60% - 强调文字颜色 3 4 18 9 2" xfId="2591" xr:uid="{00000000-0005-0000-0000-000044340000}"/>
    <cellStyle name="60% - 强调文字颜色 3 4 18 9 3" xfId="2601" xr:uid="{00000000-0005-0000-0000-000045340000}"/>
    <cellStyle name="60% - 强调文字颜色 3 4 19" xfId="21359" xr:uid="{00000000-0005-0000-0000-000046340000}"/>
    <cellStyle name="60% - 强调文字颜色 3 4 19 10" xfId="22534" xr:uid="{00000000-0005-0000-0000-000047340000}"/>
    <cellStyle name="60% - 强调文字颜色 3 4 19 11" xfId="1508" xr:uid="{00000000-0005-0000-0000-000048340000}"/>
    <cellStyle name="60% - 强调文字颜色 3 4 19 12" xfId="1521" xr:uid="{00000000-0005-0000-0000-000049340000}"/>
    <cellStyle name="60% - 强调文字颜色 3 4 19 13" xfId="4423" xr:uid="{00000000-0005-0000-0000-00004A340000}"/>
    <cellStyle name="60% - 强调文字颜色 3 4 19 14" xfId="4518" xr:uid="{00000000-0005-0000-0000-00004B340000}"/>
    <cellStyle name="60% - 强调文字颜色 3 4 19 2" xfId="1563" xr:uid="{00000000-0005-0000-0000-00004C340000}"/>
    <cellStyle name="60% - 强调文字颜色 3 4 19 3" xfId="10806" xr:uid="{00000000-0005-0000-0000-00004D340000}"/>
    <cellStyle name="60% - 强调文字颜色 3 4 19 4" xfId="10809" xr:uid="{00000000-0005-0000-0000-00004E340000}"/>
    <cellStyle name="60% - 强调文字颜色 3 4 19 5" xfId="10848" xr:uid="{00000000-0005-0000-0000-00004F340000}"/>
    <cellStyle name="60% - 强调文字颜色 3 4 19 5 10" xfId="7676" xr:uid="{00000000-0005-0000-0000-000050340000}"/>
    <cellStyle name="60% - 强调文字颜色 3 4 19 5 11" xfId="9660" xr:uid="{00000000-0005-0000-0000-000051340000}"/>
    <cellStyle name="60% - 强调文字颜色 3 4 19 5 2" xfId="9951" xr:uid="{00000000-0005-0000-0000-000052340000}"/>
    <cellStyle name="60% - 强调文字颜色 3 4 19 5 2 2" xfId="10853" xr:uid="{00000000-0005-0000-0000-000053340000}"/>
    <cellStyle name="60% - 强调文字颜色 3 4 19 5 2 2 2" xfId="22535" xr:uid="{00000000-0005-0000-0000-000054340000}"/>
    <cellStyle name="60% - 强调文字颜色 3 4 19 5 2 2 3" xfId="22537" xr:uid="{00000000-0005-0000-0000-000055340000}"/>
    <cellStyle name="60% - 强调文字颜色 3 4 19 5 2 3" xfId="10857" xr:uid="{00000000-0005-0000-0000-000056340000}"/>
    <cellStyle name="60% - 强调文字颜色 3 4 19 5 2 4" xfId="22538" xr:uid="{00000000-0005-0000-0000-000057340000}"/>
    <cellStyle name="60% - 强调文字颜色 3 4 19 5 2 5" xfId="22540" xr:uid="{00000000-0005-0000-0000-000058340000}"/>
    <cellStyle name="60% - 强调文字颜色 3 4 19 5 2 6" xfId="14442" xr:uid="{00000000-0005-0000-0000-000059340000}"/>
    <cellStyle name="60% - 强调文字颜色 3 4 19 5 2 7" xfId="15243" xr:uid="{00000000-0005-0000-0000-00005A340000}"/>
    <cellStyle name="60% - 强调文字颜色 3 4 19 5 2 8" xfId="12437" xr:uid="{00000000-0005-0000-0000-00005B340000}"/>
    <cellStyle name="60% - 强调文字颜色 3 4 19 5 3" xfId="9956" xr:uid="{00000000-0005-0000-0000-00005C340000}"/>
    <cellStyle name="60% - 强调文字颜色 3 4 19 5 4" xfId="10861" xr:uid="{00000000-0005-0000-0000-00005D340000}"/>
    <cellStyle name="60% - 强调文字颜色 3 4 19 5 5" xfId="10864" xr:uid="{00000000-0005-0000-0000-00005E340000}"/>
    <cellStyle name="60% - 强调文字颜色 3 4 19 5 6" xfId="10868" xr:uid="{00000000-0005-0000-0000-00005F340000}"/>
    <cellStyle name="60% - 强调文字颜色 3 4 19 5 6 2" xfId="17897" xr:uid="{00000000-0005-0000-0000-000060340000}"/>
    <cellStyle name="60% - 强调文字颜色 3 4 19 5 6 3" xfId="17900" xr:uid="{00000000-0005-0000-0000-000061340000}"/>
    <cellStyle name="60% - 强调文字颜色 3 4 19 5 7" xfId="8952" xr:uid="{00000000-0005-0000-0000-000062340000}"/>
    <cellStyle name="60% - 强调文字颜色 3 4 19 5 8" xfId="8957" xr:uid="{00000000-0005-0000-0000-000063340000}"/>
    <cellStyle name="60% - 强调文字颜色 3 4 19 5 9" xfId="22541" xr:uid="{00000000-0005-0000-0000-000064340000}"/>
    <cellStyle name="60% - 强调文字颜色 3 4 19 6" xfId="10155" xr:uid="{00000000-0005-0000-0000-000065340000}"/>
    <cellStyle name="60% - 强调文字颜色 3 4 19 6 2" xfId="22544" xr:uid="{00000000-0005-0000-0000-000066340000}"/>
    <cellStyle name="60% - 强调文字颜色 3 4 19 6 2 2" xfId="22546" xr:uid="{00000000-0005-0000-0000-000067340000}"/>
    <cellStyle name="60% - 强调文字颜色 3 4 19 6 2 3" xfId="22548" xr:uid="{00000000-0005-0000-0000-000068340000}"/>
    <cellStyle name="60% - 强调文字颜色 3 4 19 6 3" xfId="22550" xr:uid="{00000000-0005-0000-0000-000069340000}"/>
    <cellStyle name="60% - 强调文字颜色 3 4 19 6 4" xfId="22552" xr:uid="{00000000-0005-0000-0000-00006A340000}"/>
    <cellStyle name="60% - 强调文字颜色 3 4 19 6 5" xfId="22554" xr:uid="{00000000-0005-0000-0000-00006B340000}"/>
    <cellStyle name="60% - 强调文字颜色 3 4 19 6 6" xfId="22556" xr:uid="{00000000-0005-0000-0000-00006C340000}"/>
    <cellStyle name="60% - 强调文字颜色 3 4 19 6 7" xfId="22557" xr:uid="{00000000-0005-0000-0000-00006D340000}"/>
    <cellStyle name="60% - 强调文字颜色 3 4 19 6 8" xfId="22558" xr:uid="{00000000-0005-0000-0000-00006E340000}"/>
    <cellStyle name="60% - 强调文字颜色 3 4 19 7" xfId="10161" xr:uid="{00000000-0005-0000-0000-00006F340000}"/>
    <cellStyle name="60% - 强调文字颜色 3 4 19 8" xfId="4700" xr:uid="{00000000-0005-0000-0000-000070340000}"/>
    <cellStyle name="60% - 强调文字颜色 3 4 19 9" xfId="22559" xr:uid="{00000000-0005-0000-0000-000071340000}"/>
    <cellStyle name="60% - 强调文字颜色 3 4 19 9 2" xfId="4983" xr:uid="{00000000-0005-0000-0000-000072340000}"/>
    <cellStyle name="60% - 强调文字颜色 3 4 19 9 3" xfId="4992" xr:uid="{00000000-0005-0000-0000-000073340000}"/>
    <cellStyle name="60% - 强调文字颜色 3 4 2" xfId="22560" xr:uid="{00000000-0005-0000-0000-000074340000}"/>
    <cellStyle name="60% - 强调文字颜色 3 4 20" xfId="21336" xr:uid="{00000000-0005-0000-0000-000075340000}"/>
    <cellStyle name="60% - 强调文字颜色 3 4 20 10" xfId="10677" xr:uid="{00000000-0005-0000-0000-000076340000}"/>
    <cellStyle name="60% - 强调文字颜色 3 4 20 11" xfId="19424" xr:uid="{00000000-0005-0000-0000-000077340000}"/>
    <cellStyle name="60% - 强调文字颜色 3 4 20 12" xfId="19473" xr:uid="{00000000-0005-0000-0000-000078340000}"/>
    <cellStyle name="60% - 强调文字颜色 3 4 20 13" xfId="19476" xr:uid="{00000000-0005-0000-0000-000079340000}"/>
    <cellStyle name="60% - 强调文字颜色 3 4 20 14" xfId="19479" xr:uid="{00000000-0005-0000-0000-00007A340000}"/>
    <cellStyle name="60% - 强调文字颜色 3 4 20 2" xfId="4876" xr:uid="{00000000-0005-0000-0000-00007B340000}"/>
    <cellStyle name="60% - 强调文字颜色 3 4 20 3" xfId="1102" xr:uid="{00000000-0005-0000-0000-00007C340000}"/>
    <cellStyle name="60% - 强调文字颜色 3 4 20 4" xfId="10917" xr:uid="{00000000-0005-0000-0000-00007D340000}"/>
    <cellStyle name="60% - 强调文字颜色 3 4 20 5" xfId="1168" xr:uid="{00000000-0005-0000-0000-00007E340000}"/>
    <cellStyle name="60% - 强调文字颜色 3 4 20 5 10" xfId="22562" xr:uid="{00000000-0005-0000-0000-00007F340000}"/>
    <cellStyle name="60% - 强调文字颜色 3 4 20 5 11" xfId="22565" xr:uid="{00000000-0005-0000-0000-000080340000}"/>
    <cellStyle name="60% - 强调文字颜色 3 4 20 5 2" xfId="10986" xr:uid="{00000000-0005-0000-0000-000081340000}"/>
    <cellStyle name="60% - 强调文字颜色 3 4 20 5 2 2" xfId="6812" xr:uid="{00000000-0005-0000-0000-000082340000}"/>
    <cellStyle name="60% - 强调文字颜色 3 4 20 5 2 2 2" xfId="21265" xr:uid="{00000000-0005-0000-0000-000083340000}"/>
    <cellStyle name="60% - 强调文字颜色 3 4 20 5 2 2 3" xfId="21266" xr:uid="{00000000-0005-0000-0000-000084340000}"/>
    <cellStyle name="60% - 强调文字颜色 3 4 20 5 2 3" xfId="6824" xr:uid="{00000000-0005-0000-0000-000085340000}"/>
    <cellStyle name="60% - 强调文字颜色 3 4 20 5 2 4" xfId="21270" xr:uid="{00000000-0005-0000-0000-000086340000}"/>
    <cellStyle name="60% - 强调文字颜色 3 4 20 5 2 5" xfId="21272" xr:uid="{00000000-0005-0000-0000-000087340000}"/>
    <cellStyle name="60% - 强调文字颜色 3 4 20 5 2 6" xfId="21275" xr:uid="{00000000-0005-0000-0000-000088340000}"/>
    <cellStyle name="60% - 强调文字颜色 3 4 20 5 2 7" xfId="21278" xr:uid="{00000000-0005-0000-0000-000089340000}"/>
    <cellStyle name="60% - 强调文字颜色 3 4 20 5 2 8" xfId="13346" xr:uid="{00000000-0005-0000-0000-00008A340000}"/>
    <cellStyle name="60% - 强调文字颜色 3 4 20 5 3" xfId="10996" xr:uid="{00000000-0005-0000-0000-00008B340000}"/>
    <cellStyle name="60% - 强调文字颜色 3 4 20 5 4" xfId="11006" xr:uid="{00000000-0005-0000-0000-00008C340000}"/>
    <cellStyle name="60% - 强调文字颜色 3 4 20 5 5" xfId="11016" xr:uid="{00000000-0005-0000-0000-00008D340000}"/>
    <cellStyle name="60% - 强调文字颜色 3 4 20 5 6" xfId="11025" xr:uid="{00000000-0005-0000-0000-00008E340000}"/>
    <cellStyle name="60% - 强调文字颜色 3 4 20 5 6 2" xfId="22567" xr:uid="{00000000-0005-0000-0000-00008F340000}"/>
    <cellStyle name="60% - 强调文字颜色 3 4 20 5 6 3" xfId="22568" xr:uid="{00000000-0005-0000-0000-000090340000}"/>
    <cellStyle name="60% - 强调文字颜色 3 4 20 5 7" xfId="9450" xr:uid="{00000000-0005-0000-0000-000091340000}"/>
    <cellStyle name="60% - 强调文字颜色 3 4 20 5 8" xfId="9461" xr:uid="{00000000-0005-0000-0000-000092340000}"/>
    <cellStyle name="60% - 强调文字颜色 3 4 20 5 9" xfId="21858" xr:uid="{00000000-0005-0000-0000-000093340000}"/>
    <cellStyle name="60% - 强调文字颜色 3 4 20 6" xfId="1191" xr:uid="{00000000-0005-0000-0000-000094340000}"/>
    <cellStyle name="60% - 强调文字颜色 3 4 20 6 2" xfId="20339" xr:uid="{00000000-0005-0000-0000-000095340000}"/>
    <cellStyle name="60% - 强调文字颜色 3 4 20 6 2 2" xfId="21290" xr:uid="{00000000-0005-0000-0000-000096340000}"/>
    <cellStyle name="60% - 强调文字颜色 3 4 20 6 2 3" xfId="21296" xr:uid="{00000000-0005-0000-0000-000097340000}"/>
    <cellStyle name="60% - 强调文字颜色 3 4 20 6 3" xfId="20344" xr:uid="{00000000-0005-0000-0000-000098340000}"/>
    <cellStyle name="60% - 强调文字颜色 3 4 20 6 4" xfId="20348" xr:uid="{00000000-0005-0000-0000-000099340000}"/>
    <cellStyle name="60% - 强调文字颜色 3 4 20 6 5" xfId="21302" xr:uid="{00000000-0005-0000-0000-00009A340000}"/>
    <cellStyle name="60% - 强调文字颜色 3 4 20 6 6" xfId="22569" xr:uid="{00000000-0005-0000-0000-00009B340000}"/>
    <cellStyle name="60% - 强调文字颜色 3 4 20 6 7" xfId="22570" xr:uid="{00000000-0005-0000-0000-00009C340000}"/>
    <cellStyle name="60% - 强调文字颜色 3 4 20 6 8" xfId="20491" xr:uid="{00000000-0005-0000-0000-00009D340000}"/>
    <cellStyle name="60% - 强调文字颜色 3 4 20 7" xfId="11037" xr:uid="{00000000-0005-0000-0000-00009E340000}"/>
    <cellStyle name="60% - 强调文字颜色 3 4 20 8" xfId="8083" xr:uid="{00000000-0005-0000-0000-00009F340000}"/>
    <cellStyle name="60% - 强调文字颜色 3 4 20 9" xfId="21347" xr:uid="{00000000-0005-0000-0000-0000A0340000}"/>
    <cellStyle name="60% - 强调文字颜色 3 4 20 9 2" xfId="15776" xr:uid="{00000000-0005-0000-0000-0000A1340000}"/>
    <cellStyle name="60% - 强调文字颜色 3 4 20 9 3" xfId="15779" xr:uid="{00000000-0005-0000-0000-0000A2340000}"/>
    <cellStyle name="60% - 强调文字颜色 3 4 3" xfId="22571" xr:uid="{00000000-0005-0000-0000-0000A3340000}"/>
    <cellStyle name="60% - 强调文字颜色 3 4 4" xfId="22573" xr:uid="{00000000-0005-0000-0000-0000A4340000}"/>
    <cellStyle name="60% - 强调文字颜色 3 4 5" xfId="22177" xr:uid="{00000000-0005-0000-0000-0000A5340000}"/>
    <cellStyle name="60% - 强调文字颜色 3 4 6" xfId="22179" xr:uid="{00000000-0005-0000-0000-0000A6340000}"/>
    <cellStyle name="60% - 强调文字颜色 3 4 7" xfId="22574" xr:uid="{00000000-0005-0000-0000-0000A7340000}"/>
    <cellStyle name="60% - 强调文字颜色 3 4 8" xfId="22575" xr:uid="{00000000-0005-0000-0000-0000A8340000}"/>
    <cellStyle name="60% - 强调文字颜色 3 4 9" xfId="22576" xr:uid="{00000000-0005-0000-0000-0000A9340000}"/>
    <cellStyle name="60% - 强调文字颜色 3 5" xfId="6457" xr:uid="{00000000-0005-0000-0000-0000AA340000}"/>
    <cellStyle name="60% - 强调文字颜色 3 5 10" xfId="22578" xr:uid="{00000000-0005-0000-0000-0000AB340000}"/>
    <cellStyle name="60% - 强调文字颜色 3 5 11" xfId="22580" xr:uid="{00000000-0005-0000-0000-0000AC340000}"/>
    <cellStyle name="60% - 强调文字颜色 3 5 12" xfId="22582" xr:uid="{00000000-0005-0000-0000-0000AD340000}"/>
    <cellStyle name="60% - 强调文字颜色 3 5 13" xfId="22584" xr:uid="{00000000-0005-0000-0000-0000AE340000}"/>
    <cellStyle name="60% - 强调文字颜色 3 5 14" xfId="22587" xr:uid="{00000000-0005-0000-0000-0000AF340000}"/>
    <cellStyle name="60% - 强调文字颜色 3 5 2" xfId="22588" xr:uid="{00000000-0005-0000-0000-0000B0340000}"/>
    <cellStyle name="60% - 强调文字颜色 3 5 3" xfId="7461" xr:uid="{00000000-0005-0000-0000-0000B1340000}"/>
    <cellStyle name="60% - 强调文字颜色 3 5 4" xfId="4112" xr:uid="{00000000-0005-0000-0000-0000B2340000}"/>
    <cellStyle name="60% - 强调文字颜色 3 5 5" xfId="4120" xr:uid="{00000000-0005-0000-0000-0000B3340000}"/>
    <cellStyle name="60% - 强调文字颜色 3 5 6" xfId="4128" xr:uid="{00000000-0005-0000-0000-0000B4340000}"/>
    <cellStyle name="60% - 强调文字颜色 3 5 7" xfId="4144" xr:uid="{00000000-0005-0000-0000-0000B5340000}"/>
    <cellStyle name="60% - 强调文字颜色 3 5 8" xfId="22590" xr:uid="{00000000-0005-0000-0000-0000B6340000}"/>
    <cellStyle name="60% - 强调文字颜色 3 5 9" xfId="22591" xr:uid="{00000000-0005-0000-0000-0000B7340000}"/>
    <cellStyle name="60% - 强调文字颜色 3 6" xfId="6461" xr:uid="{00000000-0005-0000-0000-0000B8340000}"/>
    <cellStyle name="60% - 强调文字颜色 3 6 10" xfId="22592" xr:uid="{00000000-0005-0000-0000-0000B9340000}"/>
    <cellStyle name="60% - 强调文字颜色 3 6 11" xfId="22594" xr:uid="{00000000-0005-0000-0000-0000BA340000}"/>
    <cellStyle name="60% - 强调文字颜色 3 6 12" xfId="22596" xr:uid="{00000000-0005-0000-0000-0000BB340000}"/>
    <cellStyle name="60% - 强调文字颜色 3 6 13" xfId="20716" xr:uid="{00000000-0005-0000-0000-0000BC340000}"/>
    <cellStyle name="60% - 强调文字颜色 3 6 14" xfId="20723" xr:uid="{00000000-0005-0000-0000-0000BD340000}"/>
    <cellStyle name="60% - 强调文字颜色 3 6 2" xfId="4364" xr:uid="{00000000-0005-0000-0000-0000BE340000}"/>
    <cellStyle name="60% - 强调文字颜色 3 6 3" xfId="7218" xr:uid="{00000000-0005-0000-0000-0000BF340000}"/>
    <cellStyle name="60% - 强调文字颜色 3 6 4" xfId="7223" xr:uid="{00000000-0005-0000-0000-0000C0340000}"/>
    <cellStyle name="60% - 强调文字颜色 3 6 5" xfId="7228" xr:uid="{00000000-0005-0000-0000-0000C1340000}"/>
    <cellStyle name="60% - 强调文字颜色 3 6 6" xfId="7233" xr:uid="{00000000-0005-0000-0000-0000C2340000}"/>
    <cellStyle name="60% - 强调文字颜色 3 6 7" xfId="7242" xr:uid="{00000000-0005-0000-0000-0000C3340000}"/>
    <cellStyle name="60% - 强调文字颜色 3 6 8" xfId="7253" xr:uid="{00000000-0005-0000-0000-0000C4340000}"/>
    <cellStyle name="60% - 强调文字颜色 3 6 9" xfId="22597" xr:uid="{00000000-0005-0000-0000-0000C5340000}"/>
    <cellStyle name="60% - 强调文字颜色 3 7" xfId="6464" xr:uid="{00000000-0005-0000-0000-0000C6340000}"/>
    <cellStyle name="60% - 强调文字颜色 3 8" xfId="6471" xr:uid="{00000000-0005-0000-0000-0000C7340000}"/>
    <cellStyle name="60% - 强调文字颜色 3 9" xfId="6286" xr:uid="{00000000-0005-0000-0000-0000C8340000}"/>
    <cellStyle name="60% - 强调文字颜色 4 10" xfId="9163" xr:uid="{00000000-0005-0000-0000-0000C9340000}"/>
    <cellStyle name="60% - 强调文字颜色 4 11" xfId="9168" xr:uid="{00000000-0005-0000-0000-0000CA340000}"/>
    <cellStyle name="60% - 强调文字颜色 4 12" xfId="5242" xr:uid="{00000000-0005-0000-0000-0000CB340000}"/>
    <cellStyle name="60% - 强调文字颜色 4 12 10" xfId="22600" xr:uid="{00000000-0005-0000-0000-0000CC340000}"/>
    <cellStyle name="60% - 强调文字颜色 4 12 11" xfId="22602" xr:uid="{00000000-0005-0000-0000-0000CD340000}"/>
    <cellStyle name="60% - 强调文字颜色 4 12 12" xfId="22604" xr:uid="{00000000-0005-0000-0000-0000CE340000}"/>
    <cellStyle name="60% - 强调文字颜色 4 12 13" xfId="22606" xr:uid="{00000000-0005-0000-0000-0000CF340000}"/>
    <cellStyle name="60% - 强调文字颜色 4 12 14" xfId="22608" xr:uid="{00000000-0005-0000-0000-0000D0340000}"/>
    <cellStyle name="60% - 强调文字颜色 4 12 2" xfId="22609" xr:uid="{00000000-0005-0000-0000-0000D1340000}"/>
    <cellStyle name="60% - 强调文字颜色 4 12 3" xfId="22610" xr:uid="{00000000-0005-0000-0000-0000D2340000}"/>
    <cellStyle name="60% - 强调文字颜色 4 12 4" xfId="22611" xr:uid="{00000000-0005-0000-0000-0000D3340000}"/>
    <cellStyle name="60% - 强调文字颜色 4 12 5" xfId="21798" xr:uid="{00000000-0005-0000-0000-0000D4340000}"/>
    <cellStyle name="60% - 强调文字颜色 4 12 5 10" xfId="18241" xr:uid="{00000000-0005-0000-0000-0000D5340000}"/>
    <cellStyle name="60% - 强调文字颜色 4 12 5 11" xfId="18244" xr:uid="{00000000-0005-0000-0000-0000D6340000}"/>
    <cellStyle name="60% - 强调文字颜色 4 12 5 2" xfId="19364" xr:uid="{00000000-0005-0000-0000-0000D7340000}"/>
    <cellStyle name="60% - 强调文字颜色 4 12 5 2 2" xfId="22612" xr:uid="{00000000-0005-0000-0000-0000D8340000}"/>
    <cellStyle name="60% - 强调文字颜色 4 12 5 2 2 2" xfId="22614" xr:uid="{00000000-0005-0000-0000-0000D9340000}"/>
    <cellStyle name="60% - 强调文字颜色 4 12 5 2 2 3" xfId="14141" xr:uid="{00000000-0005-0000-0000-0000DA340000}"/>
    <cellStyle name="60% - 强调文字颜色 4 12 5 2 3" xfId="22615" xr:uid="{00000000-0005-0000-0000-0000DB340000}"/>
    <cellStyle name="60% - 强调文字颜色 4 12 5 2 4" xfId="22617" xr:uid="{00000000-0005-0000-0000-0000DC340000}"/>
    <cellStyle name="60% - 强调文字颜色 4 12 5 2 5" xfId="22618" xr:uid="{00000000-0005-0000-0000-0000DD340000}"/>
    <cellStyle name="60% - 强调文字颜色 4 12 5 2 6" xfId="274" xr:uid="{00000000-0005-0000-0000-0000DE340000}"/>
    <cellStyle name="60% - 强调文字颜色 4 12 5 2 7" xfId="1352" xr:uid="{00000000-0005-0000-0000-0000DF340000}"/>
    <cellStyle name="60% - 强调文字颜色 4 12 5 2 8" xfId="15076" xr:uid="{00000000-0005-0000-0000-0000E0340000}"/>
    <cellStyle name="60% - 强调文字颜色 4 12 5 3" xfId="5504" xr:uid="{00000000-0005-0000-0000-0000E1340000}"/>
    <cellStyle name="60% - 强调文字颜色 4 12 5 4" xfId="5518" xr:uid="{00000000-0005-0000-0000-0000E2340000}"/>
    <cellStyle name="60% - 强调文字颜色 4 12 5 5" xfId="2230" xr:uid="{00000000-0005-0000-0000-0000E3340000}"/>
    <cellStyle name="60% - 强调文字颜色 4 12 5 6" xfId="2256" xr:uid="{00000000-0005-0000-0000-0000E4340000}"/>
    <cellStyle name="60% - 强调文字颜色 4 12 5 6 2" xfId="22620" xr:uid="{00000000-0005-0000-0000-0000E5340000}"/>
    <cellStyle name="60% - 强调文字颜色 4 12 5 6 3" xfId="22621" xr:uid="{00000000-0005-0000-0000-0000E6340000}"/>
    <cellStyle name="60% - 强调文字颜色 4 12 5 7" xfId="2272" xr:uid="{00000000-0005-0000-0000-0000E7340000}"/>
    <cellStyle name="60% - 强调文字颜色 4 12 5 8" xfId="2286" xr:uid="{00000000-0005-0000-0000-0000E8340000}"/>
    <cellStyle name="60% - 强调文字颜色 4 12 5 9" xfId="834" xr:uid="{00000000-0005-0000-0000-0000E9340000}"/>
    <cellStyle name="60% - 强调文字颜色 4 12 6" xfId="21800" xr:uid="{00000000-0005-0000-0000-0000EA340000}"/>
    <cellStyle name="60% - 强调文字颜色 4 12 6 2" xfId="14798" xr:uid="{00000000-0005-0000-0000-0000EB340000}"/>
    <cellStyle name="60% - 强调文字颜色 4 12 6 2 2" xfId="286" xr:uid="{00000000-0005-0000-0000-0000EC340000}"/>
    <cellStyle name="60% - 强调文字颜色 4 12 6 2 3" xfId="22623" xr:uid="{00000000-0005-0000-0000-0000ED340000}"/>
    <cellStyle name="60% - 强调文字颜色 4 12 6 3" xfId="14801" xr:uid="{00000000-0005-0000-0000-0000EE340000}"/>
    <cellStyle name="60% - 强调文字颜色 4 12 6 4" xfId="14803" xr:uid="{00000000-0005-0000-0000-0000EF340000}"/>
    <cellStyle name="60% - 强调文字颜色 4 12 6 5" xfId="14808" xr:uid="{00000000-0005-0000-0000-0000F0340000}"/>
    <cellStyle name="60% - 强调文字颜色 4 12 6 6" xfId="9134" xr:uid="{00000000-0005-0000-0000-0000F1340000}"/>
    <cellStyle name="60% - 强调文字颜色 4 12 6 7" xfId="9160" xr:uid="{00000000-0005-0000-0000-0000F2340000}"/>
    <cellStyle name="60% - 强调文字颜色 4 12 6 8" xfId="22624" xr:uid="{00000000-0005-0000-0000-0000F3340000}"/>
    <cellStyle name="60% - 强调文字颜色 4 12 7" xfId="22625" xr:uid="{00000000-0005-0000-0000-0000F4340000}"/>
    <cellStyle name="60% - 强调文字颜色 4 12 8" xfId="22626" xr:uid="{00000000-0005-0000-0000-0000F5340000}"/>
    <cellStyle name="60% - 强调文字颜色 4 12 9" xfId="22627" xr:uid="{00000000-0005-0000-0000-0000F6340000}"/>
    <cellStyle name="60% - 强调文字颜色 4 12 9 2" xfId="11555" xr:uid="{00000000-0005-0000-0000-0000F7340000}"/>
    <cellStyle name="60% - 强调文字颜色 4 12 9 3" xfId="22630" xr:uid="{00000000-0005-0000-0000-0000F8340000}"/>
    <cellStyle name="60% - 强调文字颜色 4 13" xfId="5247" xr:uid="{00000000-0005-0000-0000-0000F9340000}"/>
    <cellStyle name="60% - 强调文字颜色 4 14" xfId="5254" xr:uid="{00000000-0005-0000-0000-0000FA340000}"/>
    <cellStyle name="60% - 强调文字颜色 4 15" xfId="5337" xr:uid="{00000000-0005-0000-0000-0000FB340000}"/>
    <cellStyle name="60% - 强调文字颜色 4 16" xfId="5350" xr:uid="{00000000-0005-0000-0000-0000FC340000}"/>
    <cellStyle name="60% - 强调文字颜色 4 16 10" xfId="22631" xr:uid="{00000000-0005-0000-0000-0000FD340000}"/>
    <cellStyle name="60% - 强调文字颜色 4 16 11" xfId="22632" xr:uid="{00000000-0005-0000-0000-0000FE340000}"/>
    <cellStyle name="60% - 强调文字颜色 4 16 12" xfId="22633" xr:uid="{00000000-0005-0000-0000-0000FF340000}"/>
    <cellStyle name="60% - 强调文字颜色 4 16 13" xfId="22634" xr:uid="{00000000-0005-0000-0000-000000350000}"/>
    <cellStyle name="60% - 强调文字颜色 4 16 14" xfId="22635" xr:uid="{00000000-0005-0000-0000-000001350000}"/>
    <cellStyle name="60% - 强调文字颜色 4 16 2" xfId="22636" xr:uid="{00000000-0005-0000-0000-000002350000}"/>
    <cellStyle name="60% - 强调文字颜色 4 16 3" xfId="22637" xr:uid="{00000000-0005-0000-0000-000003350000}"/>
    <cellStyle name="60% - 强调文字颜色 4 16 4" xfId="22638" xr:uid="{00000000-0005-0000-0000-000004350000}"/>
    <cellStyle name="60% - 强调文字颜色 4 16 5" xfId="22639" xr:uid="{00000000-0005-0000-0000-000005350000}"/>
    <cellStyle name="60% - 强调文字颜色 4 16 5 10" xfId="17174" xr:uid="{00000000-0005-0000-0000-000006350000}"/>
    <cellStyle name="60% - 强调文字颜色 4 16 5 11" xfId="17176" xr:uid="{00000000-0005-0000-0000-000007350000}"/>
    <cellStyle name="60% - 强调文字颜色 4 16 5 2" xfId="8016" xr:uid="{00000000-0005-0000-0000-000008350000}"/>
    <cellStyle name="60% - 强调文字颜色 4 16 5 2 2" xfId="22640" xr:uid="{00000000-0005-0000-0000-000009350000}"/>
    <cellStyle name="60% - 强调文字颜色 4 16 5 2 2 2" xfId="10373" xr:uid="{00000000-0005-0000-0000-00000A350000}"/>
    <cellStyle name="60% - 强调文字颜色 4 16 5 2 2 3" xfId="16966" xr:uid="{00000000-0005-0000-0000-00000B350000}"/>
    <cellStyle name="60% - 强调文字颜色 4 16 5 2 3" xfId="22641" xr:uid="{00000000-0005-0000-0000-00000C350000}"/>
    <cellStyle name="60% - 强调文字颜色 4 16 5 2 4" xfId="22524" xr:uid="{00000000-0005-0000-0000-00000D350000}"/>
    <cellStyle name="60% - 强调文字颜色 4 16 5 2 5" xfId="22527" xr:uid="{00000000-0005-0000-0000-00000E350000}"/>
    <cellStyle name="60% - 强调文字颜色 4 16 5 2 6" xfId="22643" xr:uid="{00000000-0005-0000-0000-00000F350000}"/>
    <cellStyle name="60% - 强调文字颜色 4 16 5 2 7" xfId="22645" xr:uid="{00000000-0005-0000-0000-000010350000}"/>
    <cellStyle name="60% - 强调文字颜色 4 16 5 2 8" xfId="22647" xr:uid="{00000000-0005-0000-0000-000011350000}"/>
    <cellStyle name="60% - 强调文字颜色 4 16 5 3" xfId="16707" xr:uid="{00000000-0005-0000-0000-000012350000}"/>
    <cellStyle name="60% - 强调文字颜色 4 16 5 4" xfId="16711" xr:uid="{00000000-0005-0000-0000-000013350000}"/>
    <cellStyle name="60% - 强调文字颜色 4 16 5 5" xfId="16714" xr:uid="{00000000-0005-0000-0000-000014350000}"/>
    <cellStyle name="60% - 强调文字颜色 4 16 5 6" xfId="16716" xr:uid="{00000000-0005-0000-0000-000015350000}"/>
    <cellStyle name="60% - 强调文字颜色 4 16 5 6 2" xfId="22648" xr:uid="{00000000-0005-0000-0000-000016350000}"/>
    <cellStyle name="60% - 强调文字颜色 4 16 5 6 3" xfId="22649" xr:uid="{00000000-0005-0000-0000-000017350000}"/>
    <cellStyle name="60% - 强调文字颜色 4 16 5 7" xfId="6502" xr:uid="{00000000-0005-0000-0000-000018350000}"/>
    <cellStyle name="60% - 强调文字颜色 4 16 5 8" xfId="6510" xr:uid="{00000000-0005-0000-0000-000019350000}"/>
    <cellStyle name="60% - 强调文字颜色 4 16 5 9" xfId="281" xr:uid="{00000000-0005-0000-0000-00001A350000}"/>
    <cellStyle name="60% - 强调文字颜色 4 16 6" xfId="22650" xr:uid="{00000000-0005-0000-0000-00001B350000}"/>
    <cellStyle name="60% - 强调文字颜色 4 16 6 2" xfId="1828" xr:uid="{00000000-0005-0000-0000-00001C350000}"/>
    <cellStyle name="60% - 强调文字颜色 4 16 6 2 2" xfId="22651" xr:uid="{00000000-0005-0000-0000-00001D350000}"/>
    <cellStyle name="60% - 强调文字颜色 4 16 6 2 3" xfId="22652" xr:uid="{00000000-0005-0000-0000-00001E350000}"/>
    <cellStyle name="60% - 强调文字颜色 4 16 6 3" xfId="1859" xr:uid="{00000000-0005-0000-0000-00001F350000}"/>
    <cellStyle name="60% - 强调文字颜色 4 16 6 4" xfId="5059" xr:uid="{00000000-0005-0000-0000-000020350000}"/>
    <cellStyle name="60% - 强调文字颜色 4 16 6 5" xfId="5068" xr:uid="{00000000-0005-0000-0000-000021350000}"/>
    <cellStyle name="60% - 强调文字颜色 4 16 6 6" xfId="14852" xr:uid="{00000000-0005-0000-0000-000022350000}"/>
    <cellStyle name="60% - 强调文字颜色 4 16 6 7" xfId="14856" xr:uid="{00000000-0005-0000-0000-000023350000}"/>
    <cellStyle name="60% - 强调文字颜色 4 16 6 8" xfId="22653" xr:uid="{00000000-0005-0000-0000-000024350000}"/>
    <cellStyle name="60% - 强调文字颜色 4 16 7" xfId="22654" xr:uid="{00000000-0005-0000-0000-000025350000}"/>
    <cellStyle name="60% - 强调文字颜色 4 16 8" xfId="22655" xr:uid="{00000000-0005-0000-0000-000026350000}"/>
    <cellStyle name="60% - 强调文字颜色 4 16 9" xfId="22656" xr:uid="{00000000-0005-0000-0000-000027350000}"/>
    <cellStyle name="60% - 强调文字颜色 4 16 9 2" xfId="18560" xr:uid="{00000000-0005-0000-0000-000028350000}"/>
    <cellStyle name="60% - 强调文字颜色 4 16 9 3" xfId="18565" xr:uid="{00000000-0005-0000-0000-000029350000}"/>
    <cellStyle name="60% - 强调文字颜色 4 17" xfId="3222" xr:uid="{00000000-0005-0000-0000-00002A350000}"/>
    <cellStyle name="60% - 强调文字颜色 4 17 10" xfId="22657" xr:uid="{00000000-0005-0000-0000-00002B350000}"/>
    <cellStyle name="60% - 强调文字颜色 4 17 11" xfId="22658" xr:uid="{00000000-0005-0000-0000-00002C350000}"/>
    <cellStyle name="60% - 强调文字颜色 4 17 12" xfId="22659" xr:uid="{00000000-0005-0000-0000-00002D350000}"/>
    <cellStyle name="60% - 强调文字颜色 4 17 13" xfId="22660" xr:uid="{00000000-0005-0000-0000-00002E350000}"/>
    <cellStyle name="60% - 强调文字颜色 4 17 14" xfId="22661" xr:uid="{00000000-0005-0000-0000-00002F350000}"/>
    <cellStyle name="60% - 强调文字颜色 4 17 2" xfId="6672" xr:uid="{00000000-0005-0000-0000-000030350000}"/>
    <cellStyle name="60% - 强调文字颜色 4 17 3" xfId="6678" xr:uid="{00000000-0005-0000-0000-000031350000}"/>
    <cellStyle name="60% - 强调文字颜色 4 17 4" xfId="6684" xr:uid="{00000000-0005-0000-0000-000032350000}"/>
    <cellStyle name="60% - 强调文字颜色 4 17 5" xfId="6690" xr:uid="{00000000-0005-0000-0000-000033350000}"/>
    <cellStyle name="60% - 强调文字颜色 4 17 5 10" xfId="10194" xr:uid="{00000000-0005-0000-0000-000034350000}"/>
    <cellStyle name="60% - 强调文字颜色 4 17 5 11" xfId="10201" xr:uid="{00000000-0005-0000-0000-000035350000}"/>
    <cellStyle name="60% - 强调文字颜色 4 17 5 2" xfId="22662" xr:uid="{00000000-0005-0000-0000-000036350000}"/>
    <cellStyle name="60% - 强调文字颜色 4 17 5 2 2" xfId="22664" xr:uid="{00000000-0005-0000-0000-000037350000}"/>
    <cellStyle name="60% - 强调文字颜色 4 17 5 2 2 2" xfId="17952" xr:uid="{00000000-0005-0000-0000-000038350000}"/>
    <cellStyle name="60% - 强调文字颜色 4 17 5 2 2 3" xfId="3299" xr:uid="{00000000-0005-0000-0000-000039350000}"/>
    <cellStyle name="60% - 强调文字颜色 4 17 5 2 3" xfId="22667" xr:uid="{00000000-0005-0000-0000-00003A350000}"/>
    <cellStyle name="60% - 强调文字颜色 4 17 5 2 4" xfId="22545" xr:uid="{00000000-0005-0000-0000-00003B350000}"/>
    <cellStyle name="60% - 强调文字颜色 4 17 5 2 5" xfId="22547" xr:uid="{00000000-0005-0000-0000-00003C350000}"/>
    <cellStyle name="60% - 强调文字颜色 4 17 5 2 6" xfId="22669" xr:uid="{00000000-0005-0000-0000-00003D350000}"/>
    <cellStyle name="60% - 强调文字颜色 4 17 5 2 7" xfId="22670" xr:uid="{00000000-0005-0000-0000-00003E350000}"/>
    <cellStyle name="60% - 强调文字颜色 4 17 5 2 8" xfId="15273" xr:uid="{00000000-0005-0000-0000-00003F350000}"/>
    <cellStyle name="60% - 强调文字颜色 4 17 5 3" xfId="22671" xr:uid="{00000000-0005-0000-0000-000040350000}"/>
    <cellStyle name="60% - 强调文字颜色 4 17 5 4" xfId="22673" xr:uid="{00000000-0005-0000-0000-000041350000}"/>
    <cellStyle name="60% - 强调文字颜色 4 17 5 5" xfId="22675" xr:uid="{00000000-0005-0000-0000-000042350000}"/>
    <cellStyle name="60% - 强调文字颜色 4 17 5 6" xfId="19633" xr:uid="{00000000-0005-0000-0000-000043350000}"/>
    <cellStyle name="60% - 强调文字颜色 4 17 5 6 2" xfId="2869" xr:uid="{00000000-0005-0000-0000-000044350000}"/>
    <cellStyle name="60% - 强调文字颜色 4 17 5 6 3" xfId="2887" xr:uid="{00000000-0005-0000-0000-000045350000}"/>
    <cellStyle name="60% - 强调文字颜色 4 17 5 7" xfId="6549" xr:uid="{00000000-0005-0000-0000-000046350000}"/>
    <cellStyle name="60% - 强调文字颜色 4 17 5 8" xfId="6556" xr:uid="{00000000-0005-0000-0000-000047350000}"/>
    <cellStyle name="60% - 强调文字颜色 4 17 5 9" xfId="19635" xr:uid="{00000000-0005-0000-0000-000048350000}"/>
    <cellStyle name="60% - 强调文字颜色 4 17 6" xfId="22676" xr:uid="{00000000-0005-0000-0000-000049350000}"/>
    <cellStyle name="60% - 强调文字颜色 4 17 6 2" xfId="14893" xr:uid="{00000000-0005-0000-0000-00004A350000}"/>
    <cellStyle name="60% - 强调文字颜色 4 17 6 2 2" xfId="22677" xr:uid="{00000000-0005-0000-0000-00004B350000}"/>
    <cellStyle name="60% - 强调文字颜色 4 17 6 2 3" xfId="22679" xr:uid="{00000000-0005-0000-0000-00004C350000}"/>
    <cellStyle name="60% - 强调文字颜色 4 17 6 3" xfId="14899" xr:uid="{00000000-0005-0000-0000-00004D350000}"/>
    <cellStyle name="60% - 强调文字颜色 4 17 6 4" xfId="14904" xr:uid="{00000000-0005-0000-0000-00004E350000}"/>
    <cellStyle name="60% - 强调文字颜色 4 17 6 5" xfId="14909" xr:uid="{00000000-0005-0000-0000-00004F350000}"/>
    <cellStyle name="60% - 强调文字颜色 4 17 6 6" xfId="14238" xr:uid="{00000000-0005-0000-0000-000050350000}"/>
    <cellStyle name="60% - 强调文字颜色 4 17 6 7" xfId="14244" xr:uid="{00000000-0005-0000-0000-000051350000}"/>
    <cellStyle name="60% - 强调文字颜色 4 17 6 8" xfId="22680" xr:uid="{00000000-0005-0000-0000-000052350000}"/>
    <cellStyle name="60% - 强调文字颜色 4 17 7" xfId="22681" xr:uid="{00000000-0005-0000-0000-000053350000}"/>
    <cellStyle name="60% - 强调文字颜色 4 17 8" xfId="22683" xr:uid="{00000000-0005-0000-0000-000054350000}"/>
    <cellStyle name="60% - 强调文字颜色 4 17 9" xfId="22684" xr:uid="{00000000-0005-0000-0000-000055350000}"/>
    <cellStyle name="60% - 强调文字颜色 4 17 9 2" xfId="22687" xr:uid="{00000000-0005-0000-0000-000056350000}"/>
    <cellStyle name="60% - 强调文字颜色 4 17 9 3" xfId="22690" xr:uid="{00000000-0005-0000-0000-000057350000}"/>
    <cellStyle name="60% - 强调文字颜色 4 18" xfId="3241" xr:uid="{00000000-0005-0000-0000-000058350000}"/>
    <cellStyle name="60% - 强调文字颜色 4 18 10" xfId="3500" xr:uid="{00000000-0005-0000-0000-000059350000}"/>
    <cellStyle name="60% - 强调文字颜色 4 18 11" xfId="3511" xr:uid="{00000000-0005-0000-0000-00005A350000}"/>
    <cellStyle name="60% - 强调文字颜色 4 18 12" xfId="3423" xr:uid="{00000000-0005-0000-0000-00005B350000}"/>
    <cellStyle name="60% - 强调文字颜色 4 18 13" xfId="3444" xr:uid="{00000000-0005-0000-0000-00005C350000}"/>
    <cellStyle name="60% - 强调文字颜色 4 18 14" xfId="3527" xr:uid="{00000000-0005-0000-0000-00005D350000}"/>
    <cellStyle name="60% - 强调文字颜色 4 18 2" xfId="2381" xr:uid="{00000000-0005-0000-0000-00005E350000}"/>
    <cellStyle name="60% - 强调文字颜色 4 18 3" xfId="2613" xr:uid="{00000000-0005-0000-0000-00005F350000}"/>
    <cellStyle name="60% - 强调文字颜色 4 18 4" xfId="2716" xr:uid="{00000000-0005-0000-0000-000060350000}"/>
    <cellStyle name="60% - 强调文字颜色 4 18 5" xfId="2734" xr:uid="{00000000-0005-0000-0000-000061350000}"/>
    <cellStyle name="60% - 强调文字颜色 4 18 5 10" xfId="573" xr:uid="{00000000-0005-0000-0000-000062350000}"/>
    <cellStyle name="60% - 强调文字颜色 4 18 5 11" xfId="417" xr:uid="{00000000-0005-0000-0000-000063350000}"/>
    <cellStyle name="60% - 强调文字颜色 4 18 5 2" xfId="5362" xr:uid="{00000000-0005-0000-0000-000064350000}"/>
    <cellStyle name="60% - 强调文字颜色 4 18 5 2 2" xfId="5372" xr:uid="{00000000-0005-0000-0000-000065350000}"/>
    <cellStyle name="60% - 强调文字颜色 4 18 5 2 2 2" xfId="5379" xr:uid="{00000000-0005-0000-0000-000066350000}"/>
    <cellStyle name="60% - 强调文字颜色 4 18 5 2 2 3" xfId="1021" xr:uid="{00000000-0005-0000-0000-000067350000}"/>
    <cellStyle name="60% - 强调文字颜色 4 18 5 2 3" xfId="5392" xr:uid="{00000000-0005-0000-0000-000068350000}"/>
    <cellStyle name="60% - 强调文字颜色 4 18 5 2 4" xfId="1692" xr:uid="{00000000-0005-0000-0000-000069350000}"/>
    <cellStyle name="60% - 强调文字颜色 4 18 5 2 5" xfId="1745" xr:uid="{00000000-0005-0000-0000-00006A350000}"/>
    <cellStyle name="60% - 强调文字颜色 4 18 5 2 6" xfId="1755" xr:uid="{00000000-0005-0000-0000-00006B350000}"/>
    <cellStyle name="60% - 强调文字颜色 4 18 5 2 7" xfId="1765" xr:uid="{00000000-0005-0000-0000-00006C350000}"/>
    <cellStyle name="60% - 强调文字颜色 4 18 5 2 8" xfId="387" xr:uid="{00000000-0005-0000-0000-00006D350000}"/>
    <cellStyle name="60% - 强调文字颜色 4 18 5 3" xfId="5400" xr:uid="{00000000-0005-0000-0000-00006E350000}"/>
    <cellStyle name="60% - 强调文字颜色 4 18 5 4" xfId="5415" xr:uid="{00000000-0005-0000-0000-00006F350000}"/>
    <cellStyle name="60% - 强调文字颜色 4 18 5 5" xfId="5428" xr:uid="{00000000-0005-0000-0000-000070350000}"/>
    <cellStyle name="60% - 强调文字颜色 4 18 5 6" xfId="5440" xr:uid="{00000000-0005-0000-0000-000071350000}"/>
    <cellStyle name="60% - 强调文字颜色 4 18 5 6 2" xfId="1438" xr:uid="{00000000-0005-0000-0000-000072350000}"/>
    <cellStyle name="60% - 强调文字颜色 4 18 5 6 3" xfId="1470" xr:uid="{00000000-0005-0000-0000-000073350000}"/>
    <cellStyle name="60% - 强调文字颜色 4 18 5 7" xfId="5455" xr:uid="{00000000-0005-0000-0000-000074350000}"/>
    <cellStyle name="60% - 强调文字颜色 4 18 5 8" xfId="5468" xr:uid="{00000000-0005-0000-0000-000075350000}"/>
    <cellStyle name="60% - 强调文字颜色 4 18 5 9" xfId="5478" xr:uid="{00000000-0005-0000-0000-000076350000}"/>
    <cellStyle name="60% - 强调文字颜色 4 18 6" xfId="5489" xr:uid="{00000000-0005-0000-0000-000077350000}"/>
    <cellStyle name="60% - 强调文字颜色 4 18 6 2" xfId="5494" xr:uid="{00000000-0005-0000-0000-000078350000}"/>
    <cellStyle name="60% - 强调文字颜色 4 18 6 2 2" xfId="5508" xr:uid="{00000000-0005-0000-0000-000079350000}"/>
    <cellStyle name="60% - 强调文字颜色 4 18 6 2 3" xfId="5526" xr:uid="{00000000-0005-0000-0000-00007A350000}"/>
    <cellStyle name="60% - 强调文字颜色 4 18 6 3" xfId="5532" xr:uid="{00000000-0005-0000-0000-00007B350000}"/>
    <cellStyle name="60% - 强调文字颜色 4 18 6 4" xfId="5536" xr:uid="{00000000-0005-0000-0000-00007C350000}"/>
    <cellStyle name="60% - 强调文字颜色 4 18 6 5" xfId="5540" xr:uid="{00000000-0005-0000-0000-00007D350000}"/>
    <cellStyle name="60% - 强调文字颜色 4 18 6 6" xfId="5544" xr:uid="{00000000-0005-0000-0000-00007E350000}"/>
    <cellStyle name="60% - 强调文字颜色 4 18 6 7" xfId="5550" xr:uid="{00000000-0005-0000-0000-00007F350000}"/>
    <cellStyle name="60% - 强调文字颜色 4 18 6 8" xfId="5556" xr:uid="{00000000-0005-0000-0000-000080350000}"/>
    <cellStyle name="60% - 强调文字颜色 4 18 7" xfId="5563" xr:uid="{00000000-0005-0000-0000-000081350000}"/>
    <cellStyle name="60% - 强调文字颜色 4 18 8" xfId="5570" xr:uid="{00000000-0005-0000-0000-000082350000}"/>
    <cellStyle name="60% - 强调文字颜色 4 18 9" xfId="5577" xr:uid="{00000000-0005-0000-0000-000083350000}"/>
    <cellStyle name="60% - 强调文字颜色 4 18 9 2" xfId="5598" xr:uid="{00000000-0005-0000-0000-000084350000}"/>
    <cellStyle name="60% - 强调文字颜色 4 18 9 3" xfId="5607" xr:uid="{00000000-0005-0000-0000-000085350000}"/>
    <cellStyle name="60% - 强调文字颜色 4 19" xfId="2927" xr:uid="{00000000-0005-0000-0000-000086350000}"/>
    <cellStyle name="60% - 强调文字颜色 4 2" xfId="10312" xr:uid="{00000000-0005-0000-0000-000087350000}"/>
    <cellStyle name="60% - 强调文字颜色 4 2 10" xfId="11739" xr:uid="{00000000-0005-0000-0000-000088350000}"/>
    <cellStyle name="60% - 强调文字颜色 4 2 11" xfId="15482" xr:uid="{00000000-0005-0000-0000-000089350000}"/>
    <cellStyle name="60% - 强调文字颜色 4 2 12" xfId="12969" xr:uid="{00000000-0005-0000-0000-00008A350000}"/>
    <cellStyle name="60% - 强调文字颜色 4 2 13" xfId="676" xr:uid="{00000000-0005-0000-0000-00008B350000}"/>
    <cellStyle name="60% - 强调文字颜色 4 2 14" xfId="707" xr:uid="{00000000-0005-0000-0000-00008C350000}"/>
    <cellStyle name="60% - 强调文字颜色 4 2 15" xfId="12992" xr:uid="{00000000-0005-0000-0000-00008D350000}"/>
    <cellStyle name="60% - 强调文字颜色 4 2 16" xfId="12998" xr:uid="{00000000-0005-0000-0000-00008E350000}"/>
    <cellStyle name="60% - 强调文字颜色 4 2 17" xfId="13018" xr:uid="{00000000-0005-0000-0000-00008F350000}"/>
    <cellStyle name="60% - 强调文字颜色 4 2 17 10" xfId="14410" xr:uid="{00000000-0005-0000-0000-000090350000}"/>
    <cellStyle name="60% - 强调文字颜色 4 2 17 11" xfId="14413" xr:uid="{00000000-0005-0000-0000-000091350000}"/>
    <cellStyle name="60% - 强调文字颜色 4 2 17 12" xfId="22691" xr:uid="{00000000-0005-0000-0000-000092350000}"/>
    <cellStyle name="60% - 强调文字颜色 4 2 17 13" xfId="22693" xr:uid="{00000000-0005-0000-0000-000093350000}"/>
    <cellStyle name="60% - 强调文字颜色 4 2 17 14" xfId="22695" xr:uid="{00000000-0005-0000-0000-000094350000}"/>
    <cellStyle name="60% - 强调文字颜色 4 2 17 2" xfId="22696" xr:uid="{00000000-0005-0000-0000-000095350000}"/>
    <cellStyle name="60% - 强调文字颜色 4 2 17 3" xfId="22699" xr:uid="{00000000-0005-0000-0000-000096350000}"/>
    <cellStyle name="60% - 强调文字颜色 4 2 17 4" xfId="22702" xr:uid="{00000000-0005-0000-0000-000097350000}"/>
    <cellStyle name="60% - 强调文字颜色 4 2 17 5" xfId="22704" xr:uid="{00000000-0005-0000-0000-000098350000}"/>
    <cellStyle name="60% - 强调文字颜色 4 2 17 5 10" xfId="22265" xr:uid="{00000000-0005-0000-0000-000099350000}"/>
    <cellStyle name="60% - 强调文字颜色 4 2 17 5 11" xfId="11668" xr:uid="{00000000-0005-0000-0000-00009A350000}"/>
    <cellStyle name="60% - 强调文字颜色 4 2 17 5 2" xfId="14726" xr:uid="{00000000-0005-0000-0000-00009B350000}"/>
    <cellStyle name="60% - 强调文字颜色 4 2 17 5 2 2" xfId="22706" xr:uid="{00000000-0005-0000-0000-00009C350000}"/>
    <cellStyle name="60% - 强调文字颜色 4 2 17 5 2 2 2" xfId="283" xr:uid="{00000000-0005-0000-0000-00009D350000}"/>
    <cellStyle name="60% - 强调文字颜色 4 2 17 5 2 2 3" xfId="6518" xr:uid="{00000000-0005-0000-0000-00009E350000}"/>
    <cellStyle name="60% - 强调文字颜色 4 2 17 5 2 3" xfId="22708" xr:uid="{00000000-0005-0000-0000-00009F350000}"/>
    <cellStyle name="60% - 强调文字颜色 4 2 17 5 2 4" xfId="15314" xr:uid="{00000000-0005-0000-0000-0000A0350000}"/>
    <cellStyle name="60% - 强调文字颜色 4 2 17 5 2 5" xfId="15321" xr:uid="{00000000-0005-0000-0000-0000A1350000}"/>
    <cellStyle name="60% - 强调文字颜色 4 2 17 5 2 6" xfId="22710" xr:uid="{00000000-0005-0000-0000-0000A2350000}"/>
    <cellStyle name="60% - 强调文字颜色 4 2 17 5 2 7" xfId="22713" xr:uid="{00000000-0005-0000-0000-0000A3350000}"/>
    <cellStyle name="60% - 强调文字颜色 4 2 17 5 2 8" xfId="22715" xr:uid="{00000000-0005-0000-0000-0000A4350000}"/>
    <cellStyle name="60% - 强调文字颜色 4 2 17 5 3" xfId="16545" xr:uid="{00000000-0005-0000-0000-0000A5350000}"/>
    <cellStyle name="60% - 强调文字颜色 4 2 17 5 4" xfId="16549" xr:uid="{00000000-0005-0000-0000-0000A6350000}"/>
    <cellStyle name="60% - 强调文字颜色 4 2 17 5 5" xfId="16553" xr:uid="{00000000-0005-0000-0000-0000A7350000}"/>
    <cellStyle name="60% - 强调文字颜色 4 2 17 5 6" xfId="22717" xr:uid="{00000000-0005-0000-0000-0000A8350000}"/>
    <cellStyle name="60% - 强调文字颜色 4 2 17 5 6 2" xfId="19036" xr:uid="{00000000-0005-0000-0000-0000A9350000}"/>
    <cellStyle name="60% - 强调文字颜色 4 2 17 5 6 3" xfId="19039" xr:uid="{00000000-0005-0000-0000-0000AA350000}"/>
    <cellStyle name="60% - 强调文字颜色 4 2 17 5 7" xfId="17989" xr:uid="{00000000-0005-0000-0000-0000AB350000}"/>
    <cellStyle name="60% - 强调文字颜色 4 2 17 5 8" xfId="17991" xr:uid="{00000000-0005-0000-0000-0000AC350000}"/>
    <cellStyle name="60% - 强调文字颜色 4 2 17 5 9" xfId="17993" xr:uid="{00000000-0005-0000-0000-0000AD350000}"/>
    <cellStyle name="60% - 强调文字颜色 4 2 17 6" xfId="22719" xr:uid="{00000000-0005-0000-0000-0000AE350000}"/>
    <cellStyle name="60% - 强调文字颜色 4 2 17 6 2" xfId="22721" xr:uid="{00000000-0005-0000-0000-0000AF350000}"/>
    <cellStyle name="60% - 强调文字颜色 4 2 17 6 2 2" xfId="18049" xr:uid="{00000000-0005-0000-0000-0000B0350000}"/>
    <cellStyle name="60% - 强调文字颜色 4 2 17 6 2 3" xfId="18053" xr:uid="{00000000-0005-0000-0000-0000B1350000}"/>
    <cellStyle name="60% - 强调文字颜色 4 2 17 6 3" xfId="22725" xr:uid="{00000000-0005-0000-0000-0000B2350000}"/>
    <cellStyle name="60% - 强调文字颜色 4 2 17 6 4" xfId="22728" xr:uid="{00000000-0005-0000-0000-0000B3350000}"/>
    <cellStyle name="60% - 强调文字颜色 4 2 17 6 5" xfId="22730" xr:uid="{00000000-0005-0000-0000-0000B4350000}"/>
    <cellStyle name="60% - 强调文字颜色 4 2 17 6 6" xfId="13245" xr:uid="{00000000-0005-0000-0000-0000B5350000}"/>
    <cellStyle name="60% - 强调文字颜色 4 2 17 6 7" xfId="13248" xr:uid="{00000000-0005-0000-0000-0000B6350000}"/>
    <cellStyle name="60% - 强调文字颜色 4 2 17 6 8" xfId="18013" xr:uid="{00000000-0005-0000-0000-0000B7350000}"/>
    <cellStyle name="60% - 强调文字颜色 4 2 17 7" xfId="22732" xr:uid="{00000000-0005-0000-0000-0000B8350000}"/>
    <cellStyle name="60% - 强调文字颜色 4 2 17 8" xfId="22733" xr:uid="{00000000-0005-0000-0000-0000B9350000}"/>
    <cellStyle name="60% - 强调文字颜色 4 2 17 9" xfId="22734" xr:uid="{00000000-0005-0000-0000-0000BA350000}"/>
    <cellStyle name="60% - 强调文字颜色 4 2 17 9 2" xfId="1814" xr:uid="{00000000-0005-0000-0000-0000BB350000}"/>
    <cellStyle name="60% - 强调文字颜色 4 2 17 9 3" xfId="20661" xr:uid="{00000000-0005-0000-0000-0000BC350000}"/>
    <cellStyle name="60% - 强调文字颜色 4 2 18" xfId="21444" xr:uid="{00000000-0005-0000-0000-0000BD350000}"/>
    <cellStyle name="60% - 强调文字颜色 4 2 18 10" xfId="22735" xr:uid="{00000000-0005-0000-0000-0000BE350000}"/>
    <cellStyle name="60% - 强调文字颜色 4 2 18 11" xfId="22737" xr:uid="{00000000-0005-0000-0000-0000BF350000}"/>
    <cellStyle name="60% - 强调文字颜色 4 2 18 12" xfId="22739" xr:uid="{00000000-0005-0000-0000-0000C0350000}"/>
    <cellStyle name="60% - 强调文字颜色 4 2 18 13" xfId="17283" xr:uid="{00000000-0005-0000-0000-0000C1350000}"/>
    <cellStyle name="60% - 强调文字颜色 4 2 18 14" xfId="3933" xr:uid="{00000000-0005-0000-0000-0000C2350000}"/>
    <cellStyle name="60% - 强调文字颜色 4 2 18 2" xfId="15025" xr:uid="{00000000-0005-0000-0000-0000C3350000}"/>
    <cellStyle name="60% - 强调文字颜色 4 2 18 3" xfId="15029" xr:uid="{00000000-0005-0000-0000-0000C4350000}"/>
    <cellStyle name="60% - 强调文字颜色 4 2 18 4" xfId="15044" xr:uid="{00000000-0005-0000-0000-0000C5350000}"/>
    <cellStyle name="60% - 强调文字颜色 4 2 18 5" xfId="4116" xr:uid="{00000000-0005-0000-0000-0000C6350000}"/>
    <cellStyle name="60% - 强调文字颜色 4 2 18 5 10" xfId="13447" xr:uid="{00000000-0005-0000-0000-0000C7350000}"/>
    <cellStyle name="60% - 强调文字颜色 4 2 18 5 11" xfId="22743" xr:uid="{00000000-0005-0000-0000-0000C8350000}"/>
    <cellStyle name="60% - 强调文字颜色 4 2 18 5 2" xfId="20566" xr:uid="{00000000-0005-0000-0000-0000C9350000}"/>
    <cellStyle name="60% - 强调文字颜色 4 2 18 5 2 2" xfId="17531" xr:uid="{00000000-0005-0000-0000-0000CA350000}"/>
    <cellStyle name="60% - 强调文字颜色 4 2 18 5 2 2 2" xfId="2339" xr:uid="{00000000-0005-0000-0000-0000CB350000}"/>
    <cellStyle name="60% - 强调文字颜色 4 2 18 5 2 2 3" xfId="2791" xr:uid="{00000000-0005-0000-0000-0000CC350000}"/>
    <cellStyle name="60% - 强调文字颜色 4 2 18 5 2 3" xfId="17533" xr:uid="{00000000-0005-0000-0000-0000CD350000}"/>
    <cellStyle name="60% - 强调文字颜色 4 2 18 5 2 4" xfId="17535" xr:uid="{00000000-0005-0000-0000-0000CE350000}"/>
    <cellStyle name="60% - 强调文字颜色 4 2 18 5 2 5" xfId="22744" xr:uid="{00000000-0005-0000-0000-0000CF350000}"/>
    <cellStyle name="60% - 强调文字颜色 4 2 18 5 2 6" xfId="22746" xr:uid="{00000000-0005-0000-0000-0000D0350000}"/>
    <cellStyle name="60% - 强调文字颜色 4 2 18 5 2 7" xfId="22748" xr:uid="{00000000-0005-0000-0000-0000D1350000}"/>
    <cellStyle name="60% - 强调文字颜色 4 2 18 5 2 8" xfId="22750" xr:uid="{00000000-0005-0000-0000-0000D2350000}"/>
    <cellStyle name="60% - 强调文字颜色 4 2 18 5 3" xfId="20570" xr:uid="{00000000-0005-0000-0000-0000D3350000}"/>
    <cellStyle name="60% - 强调文字颜色 4 2 18 5 4" xfId="20615" xr:uid="{00000000-0005-0000-0000-0000D4350000}"/>
    <cellStyle name="60% - 强调文字颜色 4 2 18 5 5" xfId="20686" xr:uid="{00000000-0005-0000-0000-0000D5350000}"/>
    <cellStyle name="60% - 强调文字颜色 4 2 18 5 6" xfId="22752" xr:uid="{00000000-0005-0000-0000-0000D6350000}"/>
    <cellStyle name="60% - 强调文字颜色 4 2 18 5 6 2" xfId="22754" xr:uid="{00000000-0005-0000-0000-0000D7350000}"/>
    <cellStyle name="60% - 强调文字颜色 4 2 18 5 6 3" xfId="22755" xr:uid="{00000000-0005-0000-0000-0000D8350000}"/>
    <cellStyle name="60% - 强调文字颜色 4 2 18 5 7" xfId="22756" xr:uid="{00000000-0005-0000-0000-0000D9350000}"/>
    <cellStyle name="60% - 强调文字颜色 4 2 18 5 8" xfId="22757" xr:uid="{00000000-0005-0000-0000-0000DA350000}"/>
    <cellStyle name="60% - 强调文字颜色 4 2 18 5 9" xfId="22758" xr:uid="{00000000-0005-0000-0000-0000DB350000}"/>
    <cellStyle name="60% - 强调文字颜色 4 2 18 6" xfId="4123" xr:uid="{00000000-0005-0000-0000-0000DC350000}"/>
    <cellStyle name="60% - 强调文字颜色 4 2 18 6 2" xfId="22759" xr:uid="{00000000-0005-0000-0000-0000DD350000}"/>
    <cellStyle name="60% - 强调文字颜色 4 2 18 6 2 2" xfId="4543" xr:uid="{00000000-0005-0000-0000-0000DE350000}"/>
    <cellStyle name="60% - 强调文字颜色 4 2 18 6 2 3" xfId="17587" xr:uid="{00000000-0005-0000-0000-0000DF350000}"/>
    <cellStyle name="60% - 强调文字颜色 4 2 18 6 3" xfId="22762" xr:uid="{00000000-0005-0000-0000-0000E0350000}"/>
    <cellStyle name="60% - 强调文字颜色 4 2 18 6 4" xfId="22764" xr:uid="{00000000-0005-0000-0000-0000E1350000}"/>
    <cellStyle name="60% - 强调文字颜色 4 2 18 6 5" xfId="22766" xr:uid="{00000000-0005-0000-0000-0000E2350000}"/>
    <cellStyle name="60% - 强调文字颜色 4 2 18 6 6" xfId="22767" xr:uid="{00000000-0005-0000-0000-0000E3350000}"/>
    <cellStyle name="60% - 强调文字颜色 4 2 18 6 7" xfId="22768" xr:uid="{00000000-0005-0000-0000-0000E4350000}"/>
    <cellStyle name="60% - 强调文字颜色 4 2 18 6 8" xfId="22769" xr:uid="{00000000-0005-0000-0000-0000E5350000}"/>
    <cellStyle name="60% - 强调文字颜色 4 2 18 7" xfId="4131" xr:uid="{00000000-0005-0000-0000-0000E6350000}"/>
    <cellStyle name="60% - 强调文字颜色 4 2 18 8" xfId="4147" xr:uid="{00000000-0005-0000-0000-0000E7350000}"/>
    <cellStyle name="60% - 强调文字颜色 4 2 18 9" xfId="4217" xr:uid="{00000000-0005-0000-0000-0000E8350000}"/>
    <cellStyle name="60% - 强调文字颜色 4 2 18 9 2" xfId="22770" xr:uid="{00000000-0005-0000-0000-0000E9350000}"/>
    <cellStyle name="60% - 强调文字颜色 4 2 18 9 3" xfId="22771" xr:uid="{00000000-0005-0000-0000-0000EA350000}"/>
    <cellStyle name="60% - 强调文字颜色 4 2 19" xfId="22773" xr:uid="{00000000-0005-0000-0000-0000EB350000}"/>
    <cellStyle name="60% - 强调文字颜色 4 2 19 10" xfId="22774" xr:uid="{00000000-0005-0000-0000-0000EC350000}"/>
    <cellStyle name="60% - 强调文字颜色 4 2 19 11" xfId="22775" xr:uid="{00000000-0005-0000-0000-0000ED350000}"/>
    <cellStyle name="60% - 强调文字颜色 4 2 19 12" xfId="22776" xr:uid="{00000000-0005-0000-0000-0000EE350000}"/>
    <cellStyle name="60% - 强调文字颜色 4 2 19 13" xfId="17405" xr:uid="{00000000-0005-0000-0000-0000EF350000}"/>
    <cellStyle name="60% - 强调文字颜色 4 2 19 14" xfId="17408" xr:uid="{00000000-0005-0000-0000-0000F0350000}"/>
    <cellStyle name="60% - 强调文字颜色 4 2 19 2" xfId="15056" xr:uid="{00000000-0005-0000-0000-0000F1350000}"/>
    <cellStyle name="60% - 强调文字颜色 4 2 19 3" xfId="15059" xr:uid="{00000000-0005-0000-0000-0000F2350000}"/>
    <cellStyle name="60% - 强调文字颜色 4 2 19 4" xfId="15072" xr:uid="{00000000-0005-0000-0000-0000F3350000}"/>
    <cellStyle name="60% - 强调文字颜色 4 2 19 5" xfId="15080" xr:uid="{00000000-0005-0000-0000-0000F4350000}"/>
    <cellStyle name="60% - 强调文字颜色 4 2 19 5 10" xfId="1448" xr:uid="{00000000-0005-0000-0000-0000F5350000}"/>
    <cellStyle name="60% - 强调文字颜色 4 2 19 5 11" xfId="22777" xr:uid="{00000000-0005-0000-0000-0000F6350000}"/>
    <cellStyle name="60% - 强调文字颜色 4 2 19 5 2" xfId="22786" xr:uid="{00000000-0005-0000-0000-0000F7350000}"/>
    <cellStyle name="60% - 强调文字颜色 4 2 19 5 2 2" xfId="20112" xr:uid="{00000000-0005-0000-0000-0000F8350000}"/>
    <cellStyle name="60% - 强调文字颜色 4 2 19 5 2 2 2" xfId="22789" xr:uid="{00000000-0005-0000-0000-0000F9350000}"/>
    <cellStyle name="60% - 强调文字颜色 4 2 19 5 2 2 3" xfId="22793" xr:uid="{00000000-0005-0000-0000-0000FA350000}"/>
    <cellStyle name="60% - 强调文字颜色 4 2 19 5 2 3" xfId="20118" xr:uid="{00000000-0005-0000-0000-0000FB350000}"/>
    <cellStyle name="60% - 强调文字颜色 4 2 19 5 2 4" xfId="20124" xr:uid="{00000000-0005-0000-0000-0000FC350000}"/>
    <cellStyle name="60% - 强调文字颜色 4 2 19 5 2 5" xfId="20135" xr:uid="{00000000-0005-0000-0000-0000FD350000}"/>
    <cellStyle name="60% - 强调文字颜色 4 2 19 5 2 6" xfId="9145" xr:uid="{00000000-0005-0000-0000-0000FE350000}"/>
    <cellStyle name="60% - 强调文字颜色 4 2 19 5 2 7" xfId="9156" xr:uid="{00000000-0005-0000-0000-0000FF350000}"/>
    <cellStyle name="60% - 强调文字颜色 4 2 19 5 2 8" xfId="22797" xr:uid="{00000000-0005-0000-0000-000000360000}"/>
    <cellStyle name="60% - 强调文字颜色 4 2 19 5 3" xfId="22800" xr:uid="{00000000-0005-0000-0000-000001360000}"/>
    <cellStyle name="60% - 强调文字颜色 4 2 19 5 4" xfId="22803" xr:uid="{00000000-0005-0000-0000-000002360000}"/>
    <cellStyle name="60% - 强调文字颜色 4 2 19 5 5" xfId="22805" xr:uid="{00000000-0005-0000-0000-000003360000}"/>
    <cellStyle name="60% - 强调文字颜色 4 2 19 5 6" xfId="22808" xr:uid="{00000000-0005-0000-0000-000004360000}"/>
    <cellStyle name="60% - 强调文字颜色 4 2 19 5 6 2" xfId="22810" xr:uid="{00000000-0005-0000-0000-000005360000}"/>
    <cellStyle name="60% - 强调文字颜色 4 2 19 5 6 3" xfId="22813" xr:uid="{00000000-0005-0000-0000-000006360000}"/>
    <cellStyle name="60% - 强调文字颜色 4 2 19 5 7" xfId="22817" xr:uid="{00000000-0005-0000-0000-000007360000}"/>
    <cellStyle name="60% - 强调文字颜色 4 2 19 5 8" xfId="22820" xr:uid="{00000000-0005-0000-0000-000008360000}"/>
    <cellStyle name="60% - 强调文字颜色 4 2 19 5 9" xfId="22822" xr:uid="{00000000-0005-0000-0000-000009360000}"/>
    <cellStyle name="60% - 强调文字颜色 4 2 19 6" xfId="15083" xr:uid="{00000000-0005-0000-0000-00000A360000}"/>
    <cellStyle name="60% - 强调文字颜色 4 2 19 6 2" xfId="22823" xr:uid="{00000000-0005-0000-0000-00000B360000}"/>
    <cellStyle name="60% - 强调文字颜色 4 2 19 6 2 2" xfId="18236" xr:uid="{00000000-0005-0000-0000-00000C360000}"/>
    <cellStyle name="60% - 强调文字颜色 4 2 19 6 2 3" xfId="18253" xr:uid="{00000000-0005-0000-0000-00000D360000}"/>
    <cellStyle name="60% - 强调文字颜色 4 2 19 6 3" xfId="22824" xr:uid="{00000000-0005-0000-0000-00000E360000}"/>
    <cellStyle name="60% - 强调文字颜色 4 2 19 6 4" xfId="22825" xr:uid="{00000000-0005-0000-0000-00000F360000}"/>
    <cellStyle name="60% - 强调文字颜色 4 2 19 6 5" xfId="22826" xr:uid="{00000000-0005-0000-0000-000010360000}"/>
    <cellStyle name="60% - 强调文字颜色 4 2 19 6 6" xfId="12936" xr:uid="{00000000-0005-0000-0000-000011360000}"/>
    <cellStyle name="60% - 强调文字颜色 4 2 19 6 7" xfId="12938" xr:uid="{00000000-0005-0000-0000-000012360000}"/>
    <cellStyle name="60% - 强调文字颜色 4 2 19 6 8" xfId="22827" xr:uid="{00000000-0005-0000-0000-000013360000}"/>
    <cellStyle name="60% - 强调文字颜色 4 2 19 7" xfId="15087" xr:uid="{00000000-0005-0000-0000-000014360000}"/>
    <cellStyle name="60% - 强调文字颜色 4 2 19 8" xfId="22829" xr:uid="{00000000-0005-0000-0000-000015360000}"/>
    <cellStyle name="60% - 强调文字颜色 4 2 19 9" xfId="22831" xr:uid="{00000000-0005-0000-0000-000016360000}"/>
    <cellStyle name="60% - 强调文字颜色 4 2 19 9 2" xfId="22832" xr:uid="{00000000-0005-0000-0000-000017360000}"/>
    <cellStyle name="60% - 强调文字颜色 4 2 19 9 3" xfId="22833" xr:uid="{00000000-0005-0000-0000-000018360000}"/>
    <cellStyle name="60% - 强调文字颜色 4 2 2" xfId="22834" xr:uid="{00000000-0005-0000-0000-000019360000}"/>
    <cellStyle name="60% - 强调文字颜色 4 2 2 10" xfId="18740" xr:uid="{00000000-0005-0000-0000-00001A360000}"/>
    <cellStyle name="60% - 强调文字颜色 4 2 2 11" xfId="22836" xr:uid="{00000000-0005-0000-0000-00001B360000}"/>
    <cellStyle name="60% - 强调文字颜色 4 2 2 12" xfId="8884" xr:uid="{00000000-0005-0000-0000-00001C360000}"/>
    <cellStyle name="60% - 强调文字颜色 4 2 2 13" xfId="9974" xr:uid="{00000000-0005-0000-0000-00001D360000}"/>
    <cellStyle name="60% - 强调文字颜色 4 2 2 14" xfId="9978" xr:uid="{00000000-0005-0000-0000-00001E360000}"/>
    <cellStyle name="60% - 强调文字颜色 4 2 2 2" xfId="22837" xr:uid="{00000000-0005-0000-0000-00001F360000}"/>
    <cellStyle name="60% - 强调文字颜色 4 2 2 3" xfId="22838" xr:uid="{00000000-0005-0000-0000-000020360000}"/>
    <cellStyle name="60% - 强调文字颜色 4 2 2 4" xfId="18333" xr:uid="{00000000-0005-0000-0000-000021360000}"/>
    <cellStyle name="60% - 强调文字颜色 4 2 2 5" xfId="18337" xr:uid="{00000000-0005-0000-0000-000022360000}"/>
    <cellStyle name="60% - 强调文字颜色 4 2 2 6" xfId="10000" xr:uid="{00000000-0005-0000-0000-000023360000}"/>
    <cellStyle name="60% - 强调文字颜色 4 2 2 7" xfId="9785" xr:uid="{00000000-0005-0000-0000-000024360000}"/>
    <cellStyle name="60% - 强调文字颜色 4 2 2 8" xfId="9800" xr:uid="{00000000-0005-0000-0000-000025360000}"/>
    <cellStyle name="60% - 强调文字颜色 4 2 2 9" xfId="9526" xr:uid="{00000000-0005-0000-0000-000026360000}"/>
    <cellStyle name="60% - 强调文字颜色 4 2 20" xfId="12991" xr:uid="{00000000-0005-0000-0000-000027360000}"/>
    <cellStyle name="60% - 强调文字颜色 4 2 20 10" xfId="22839" xr:uid="{00000000-0005-0000-0000-000028360000}"/>
    <cellStyle name="60% - 强调文字颜色 4 2 20 11" xfId="22841" xr:uid="{00000000-0005-0000-0000-000029360000}"/>
    <cellStyle name="60% - 强调文字颜色 4 2 20 12" xfId="22843" xr:uid="{00000000-0005-0000-0000-00002A360000}"/>
    <cellStyle name="60% - 强调文字颜色 4 2 20 13" xfId="22845" xr:uid="{00000000-0005-0000-0000-00002B360000}"/>
    <cellStyle name="60% - 强调文字颜色 4 2 20 14" xfId="22847" xr:uid="{00000000-0005-0000-0000-00002C360000}"/>
    <cellStyle name="60% - 强调文字颜色 4 2 20 2" xfId="20647" xr:uid="{00000000-0005-0000-0000-00002D360000}"/>
    <cellStyle name="60% - 强调文字颜色 4 2 20 3" xfId="20649" xr:uid="{00000000-0005-0000-0000-00002E360000}"/>
    <cellStyle name="60% - 强调文字颜色 4 2 20 4" xfId="22848" xr:uid="{00000000-0005-0000-0000-00002F360000}"/>
    <cellStyle name="60% - 强调文字颜色 4 2 20 5" xfId="22849" xr:uid="{00000000-0005-0000-0000-000030360000}"/>
    <cellStyle name="60% - 强调文字颜色 4 2 20 5 10" xfId="22850" xr:uid="{00000000-0005-0000-0000-000031360000}"/>
    <cellStyle name="60% - 强调文字颜色 4 2 20 5 11" xfId="22852" xr:uid="{00000000-0005-0000-0000-000032360000}"/>
    <cellStyle name="60% - 强调文字颜色 4 2 20 5 2" xfId="22853" xr:uid="{00000000-0005-0000-0000-000033360000}"/>
    <cellStyle name="60% - 强调文字颜色 4 2 20 5 2 2" xfId="12427" xr:uid="{00000000-0005-0000-0000-000034360000}"/>
    <cellStyle name="60% - 强调文字颜色 4 2 20 5 2 2 2" xfId="8424" xr:uid="{00000000-0005-0000-0000-000035360000}"/>
    <cellStyle name="60% - 强调文字颜色 4 2 20 5 2 2 3" xfId="8435" xr:uid="{00000000-0005-0000-0000-000036360000}"/>
    <cellStyle name="60% - 强调文字颜色 4 2 20 5 2 3" xfId="8416" xr:uid="{00000000-0005-0000-0000-000037360000}"/>
    <cellStyle name="60% - 强调文字颜色 4 2 20 5 2 4" xfId="8423" xr:uid="{00000000-0005-0000-0000-000038360000}"/>
    <cellStyle name="60% - 强调文字颜色 4 2 20 5 2 5" xfId="8434" xr:uid="{00000000-0005-0000-0000-000039360000}"/>
    <cellStyle name="60% - 强调文字颜色 4 2 20 5 2 6" xfId="8447" xr:uid="{00000000-0005-0000-0000-00003A360000}"/>
    <cellStyle name="60% - 强调文字颜色 4 2 20 5 2 7" xfId="8454" xr:uid="{00000000-0005-0000-0000-00003B360000}"/>
    <cellStyle name="60% - 强调文字颜色 4 2 20 5 2 8" xfId="8457" xr:uid="{00000000-0005-0000-0000-00003C360000}"/>
    <cellStyle name="60% - 强调文字颜色 4 2 20 5 3" xfId="22854" xr:uid="{00000000-0005-0000-0000-00003D360000}"/>
    <cellStyle name="60% - 强调文字颜色 4 2 20 5 4" xfId="936" xr:uid="{00000000-0005-0000-0000-00003E360000}"/>
    <cellStyle name="60% - 强调文字颜色 4 2 20 5 5" xfId="977" xr:uid="{00000000-0005-0000-0000-00003F360000}"/>
    <cellStyle name="60% - 强调文字颜色 4 2 20 5 6" xfId="22857" xr:uid="{00000000-0005-0000-0000-000040360000}"/>
    <cellStyle name="60% - 强调文字颜色 4 2 20 5 6 2" xfId="22859" xr:uid="{00000000-0005-0000-0000-000041360000}"/>
    <cellStyle name="60% - 强调文字颜色 4 2 20 5 6 3" xfId="22861" xr:uid="{00000000-0005-0000-0000-000042360000}"/>
    <cellStyle name="60% - 强调文字颜色 4 2 20 5 7" xfId="22863" xr:uid="{00000000-0005-0000-0000-000043360000}"/>
    <cellStyle name="60% - 强调文字颜色 4 2 20 5 8" xfId="22865" xr:uid="{00000000-0005-0000-0000-000044360000}"/>
    <cellStyle name="60% - 强调文字颜色 4 2 20 5 9" xfId="22867" xr:uid="{00000000-0005-0000-0000-000045360000}"/>
    <cellStyle name="60% - 强调文字颜色 4 2 20 6" xfId="22868" xr:uid="{00000000-0005-0000-0000-000046360000}"/>
    <cellStyle name="60% - 强调文字颜色 4 2 20 6 2" xfId="20187" xr:uid="{00000000-0005-0000-0000-000047360000}"/>
    <cellStyle name="60% - 强调文字颜色 4 2 20 6 2 2" xfId="12475" xr:uid="{00000000-0005-0000-0000-000048360000}"/>
    <cellStyle name="60% - 强调文字颜色 4 2 20 6 2 3" xfId="12480" xr:uid="{00000000-0005-0000-0000-000049360000}"/>
    <cellStyle name="60% - 强调文字颜色 4 2 20 6 3" xfId="20191" xr:uid="{00000000-0005-0000-0000-00004A360000}"/>
    <cellStyle name="60% - 强调文字颜色 4 2 20 6 4" xfId="22870" xr:uid="{00000000-0005-0000-0000-00004B360000}"/>
    <cellStyle name="60% - 强调文字颜色 4 2 20 6 5" xfId="22872" xr:uid="{00000000-0005-0000-0000-00004C360000}"/>
    <cellStyle name="60% - 强调文字颜色 4 2 20 6 6" xfId="22874" xr:uid="{00000000-0005-0000-0000-00004D360000}"/>
    <cellStyle name="60% - 强调文字颜色 4 2 20 6 7" xfId="20522" xr:uid="{00000000-0005-0000-0000-00004E360000}"/>
    <cellStyle name="60% - 强调文字颜色 4 2 20 6 8" xfId="20524" xr:uid="{00000000-0005-0000-0000-00004F360000}"/>
    <cellStyle name="60% - 强调文字颜色 4 2 20 7" xfId="22875" xr:uid="{00000000-0005-0000-0000-000050360000}"/>
    <cellStyle name="60% - 强调文字颜色 4 2 20 8" xfId="22876" xr:uid="{00000000-0005-0000-0000-000051360000}"/>
    <cellStyle name="60% - 强调文字颜色 4 2 20 9" xfId="22877" xr:uid="{00000000-0005-0000-0000-000052360000}"/>
    <cellStyle name="60% - 强调文字颜色 4 2 20 9 2" xfId="22879" xr:uid="{00000000-0005-0000-0000-000053360000}"/>
    <cellStyle name="60% - 强调文字颜色 4 2 20 9 3" xfId="22881" xr:uid="{00000000-0005-0000-0000-000054360000}"/>
    <cellStyle name="60% - 强调文字颜色 4 2 3" xfId="22882" xr:uid="{00000000-0005-0000-0000-000055360000}"/>
    <cellStyle name="60% - 强调文字颜色 4 2 3 10" xfId="22884" xr:uid="{00000000-0005-0000-0000-000056360000}"/>
    <cellStyle name="60% - 强调文字颜色 4 2 3 11" xfId="22885" xr:uid="{00000000-0005-0000-0000-000057360000}"/>
    <cellStyle name="60% - 强调文字颜色 4 2 3 12" xfId="22886" xr:uid="{00000000-0005-0000-0000-000058360000}"/>
    <cellStyle name="60% - 强调文字颜色 4 2 3 13" xfId="22887" xr:uid="{00000000-0005-0000-0000-000059360000}"/>
    <cellStyle name="60% - 强调文字颜色 4 2 3 14" xfId="22889" xr:uid="{00000000-0005-0000-0000-00005A360000}"/>
    <cellStyle name="60% - 强调文字颜色 4 2 3 2" xfId="18856" xr:uid="{00000000-0005-0000-0000-00005B360000}"/>
    <cellStyle name="60% - 强调文字颜色 4 2 3 3" xfId="18859" xr:uid="{00000000-0005-0000-0000-00005C360000}"/>
    <cellStyle name="60% - 强调文字颜色 4 2 3 4" xfId="18865" xr:uid="{00000000-0005-0000-0000-00005D360000}"/>
    <cellStyle name="60% - 强调文字颜色 4 2 3 5" xfId="18869" xr:uid="{00000000-0005-0000-0000-00005E360000}"/>
    <cellStyle name="60% - 强调文字颜色 4 2 3 6" xfId="18944" xr:uid="{00000000-0005-0000-0000-00005F360000}"/>
    <cellStyle name="60% - 强调文字颜色 4 2 3 7" xfId="19012" xr:uid="{00000000-0005-0000-0000-000060360000}"/>
    <cellStyle name="60% - 强调文字颜色 4 2 3 8" xfId="22891" xr:uid="{00000000-0005-0000-0000-000061360000}"/>
    <cellStyle name="60% - 强调文字颜色 4 2 3 9" xfId="22893" xr:uid="{00000000-0005-0000-0000-000062360000}"/>
    <cellStyle name="60% - 强调文字颜色 4 2 4" xfId="21703" xr:uid="{00000000-0005-0000-0000-000063360000}"/>
    <cellStyle name="60% - 强调文字颜色 4 2 4 10" xfId="22895" xr:uid="{00000000-0005-0000-0000-000064360000}"/>
    <cellStyle name="60% - 强调文字颜色 4 2 4 11" xfId="22896" xr:uid="{00000000-0005-0000-0000-000065360000}"/>
    <cellStyle name="60% - 强调文字颜色 4 2 4 12" xfId="22898" xr:uid="{00000000-0005-0000-0000-000066360000}"/>
    <cellStyle name="60% - 强调文字颜色 4 2 4 13" xfId="22901" xr:uid="{00000000-0005-0000-0000-000067360000}"/>
    <cellStyle name="60% - 强调文字颜色 4 2 4 14" xfId="22903" xr:uid="{00000000-0005-0000-0000-000068360000}"/>
    <cellStyle name="60% - 强调文字颜色 4 2 4 2" xfId="7000" xr:uid="{00000000-0005-0000-0000-000069360000}"/>
    <cellStyle name="60% - 强调文字颜色 4 2 4 3" xfId="2761" xr:uid="{00000000-0005-0000-0000-00006A360000}"/>
    <cellStyle name="60% - 强调文字颜色 4 2 4 4" xfId="11067" xr:uid="{00000000-0005-0000-0000-00006B360000}"/>
    <cellStyle name="60% - 强调文字颜色 4 2 4 5" xfId="11073" xr:uid="{00000000-0005-0000-0000-00006C360000}"/>
    <cellStyle name="60% - 强调文字颜色 4 2 4 6" xfId="4612" xr:uid="{00000000-0005-0000-0000-00006D360000}"/>
    <cellStyle name="60% - 强调文字颜色 4 2 4 7" xfId="4620" xr:uid="{00000000-0005-0000-0000-00006E360000}"/>
    <cellStyle name="60% - 强调文字颜色 4 2 4 8" xfId="11193" xr:uid="{00000000-0005-0000-0000-00006F360000}"/>
    <cellStyle name="60% - 强调文字颜色 4 2 4 9" xfId="14485" xr:uid="{00000000-0005-0000-0000-000070360000}"/>
    <cellStyle name="60% - 强调文字颜色 4 2 5" xfId="21706" xr:uid="{00000000-0005-0000-0000-000071360000}"/>
    <cellStyle name="60% - 强调文字颜色 4 2 6" xfId="14376" xr:uid="{00000000-0005-0000-0000-000072360000}"/>
    <cellStyle name="60% - 强调文字颜色 4 2 7" xfId="14382" xr:uid="{00000000-0005-0000-0000-000073360000}"/>
    <cellStyle name="60% - 强调文字颜色 4 2 8" xfId="21709" xr:uid="{00000000-0005-0000-0000-000074360000}"/>
    <cellStyle name="60% - 强调文字颜色 4 2 9" xfId="21712" xr:uid="{00000000-0005-0000-0000-000075360000}"/>
    <cellStyle name="60% - 强调文字颜色 4 3" xfId="10599" xr:uid="{00000000-0005-0000-0000-000076360000}"/>
    <cellStyle name="60% - 强调文字颜色 4 3 10" xfId="12203" xr:uid="{00000000-0005-0000-0000-000077360000}"/>
    <cellStyle name="60% - 强调文字颜色 4 3 11" xfId="12206" xr:uid="{00000000-0005-0000-0000-000078360000}"/>
    <cellStyle name="60% - 强调文字颜色 4 3 12" xfId="22904" xr:uid="{00000000-0005-0000-0000-000079360000}"/>
    <cellStyle name="60% - 强调文字颜色 4 3 13" xfId="22905" xr:uid="{00000000-0005-0000-0000-00007A360000}"/>
    <cellStyle name="60% - 强调文字颜色 4 3 14" xfId="22906" xr:uid="{00000000-0005-0000-0000-00007B360000}"/>
    <cellStyle name="60% - 强调文字颜色 4 3 15" xfId="22908" xr:uid="{00000000-0005-0000-0000-00007C360000}"/>
    <cellStyle name="60% - 强调文字颜色 4 3 16" xfId="22909" xr:uid="{00000000-0005-0000-0000-00007D360000}"/>
    <cellStyle name="60% - 强调文字颜色 4 3 17" xfId="22910" xr:uid="{00000000-0005-0000-0000-00007E360000}"/>
    <cellStyle name="60% - 强调文字颜色 4 3 17 10" xfId="22912" xr:uid="{00000000-0005-0000-0000-00007F360000}"/>
    <cellStyle name="60% - 强调文字颜色 4 3 17 11" xfId="22914" xr:uid="{00000000-0005-0000-0000-000080360000}"/>
    <cellStyle name="60% - 强调文字颜色 4 3 17 12" xfId="15806" xr:uid="{00000000-0005-0000-0000-000081360000}"/>
    <cellStyle name="60% - 强调文字颜色 4 3 17 13" xfId="15809" xr:uid="{00000000-0005-0000-0000-000082360000}"/>
    <cellStyle name="60% - 强调文字颜色 4 3 17 14" xfId="17715" xr:uid="{00000000-0005-0000-0000-000083360000}"/>
    <cellStyle name="60% - 强调文字颜色 4 3 17 2" xfId="19450" xr:uid="{00000000-0005-0000-0000-000084360000}"/>
    <cellStyle name="60% - 强调文字颜色 4 3 17 2 2" xfId="4942" xr:uid="{00000000-0005-0000-0000-000085360000}"/>
    <cellStyle name="60% - 强调文字颜色 4 3 17 3" xfId="22915" xr:uid="{00000000-0005-0000-0000-000086360000}"/>
    <cellStyle name="60% - 强调文字颜色 4 3 17 4" xfId="22916" xr:uid="{00000000-0005-0000-0000-000087360000}"/>
    <cellStyle name="60% - 强调文字颜色 4 3 17 5" xfId="20224" xr:uid="{00000000-0005-0000-0000-000088360000}"/>
    <cellStyle name="60% - 强调文字颜色 4 3 17 5 10" xfId="22846" xr:uid="{00000000-0005-0000-0000-000089360000}"/>
    <cellStyle name="60% - 强调文字颜色 4 3 17 5 11" xfId="22917" xr:uid="{00000000-0005-0000-0000-00008A360000}"/>
    <cellStyle name="60% - 强调文字颜色 4 3 17 5 2" xfId="20738" xr:uid="{00000000-0005-0000-0000-00008B360000}"/>
    <cellStyle name="60% - 强调文字颜色 4 3 17 5 2 2" xfId="22918" xr:uid="{00000000-0005-0000-0000-00008C360000}"/>
    <cellStyle name="60% - 强调文字颜色 4 3 17 5 2 2 2" xfId="8973" xr:uid="{00000000-0005-0000-0000-00008D360000}"/>
    <cellStyle name="60% - 强调文字颜色 4 3 17 5 2 2 3" xfId="8979" xr:uid="{00000000-0005-0000-0000-00008E360000}"/>
    <cellStyle name="60% - 强调文字颜色 4 3 17 5 2 3" xfId="22919" xr:uid="{00000000-0005-0000-0000-00008F360000}"/>
    <cellStyle name="60% - 强调文字颜色 4 3 17 5 2 4" xfId="15539" xr:uid="{00000000-0005-0000-0000-000090360000}"/>
    <cellStyle name="60% - 强调文字颜色 4 3 17 5 2 5" xfId="15542" xr:uid="{00000000-0005-0000-0000-000091360000}"/>
    <cellStyle name="60% - 强调文字颜色 4 3 17 5 2 6" xfId="22920" xr:uid="{00000000-0005-0000-0000-000092360000}"/>
    <cellStyle name="60% - 强调文字颜色 4 3 17 5 2 7" xfId="22922" xr:uid="{00000000-0005-0000-0000-000093360000}"/>
    <cellStyle name="60% - 强调文字颜色 4 3 17 5 2 8" xfId="22923" xr:uid="{00000000-0005-0000-0000-000094360000}"/>
    <cellStyle name="60% - 强调文字颜色 4 3 17 5 3" xfId="20741" xr:uid="{00000000-0005-0000-0000-000095360000}"/>
    <cellStyle name="60% - 强调文字颜色 4 3 17 5 4" xfId="20744" xr:uid="{00000000-0005-0000-0000-000096360000}"/>
    <cellStyle name="60% - 强调文字颜色 4 3 17 5 5" xfId="20750" xr:uid="{00000000-0005-0000-0000-000097360000}"/>
    <cellStyle name="60% - 强调文字颜色 4 3 17 5 6" xfId="20755" xr:uid="{00000000-0005-0000-0000-000098360000}"/>
    <cellStyle name="60% - 强调文字颜色 4 3 17 5 6 2" xfId="19968" xr:uid="{00000000-0005-0000-0000-000099360000}"/>
    <cellStyle name="60% - 强调文字颜色 4 3 17 5 6 3" xfId="19974" xr:uid="{00000000-0005-0000-0000-00009A360000}"/>
    <cellStyle name="60% - 强调文字颜色 4 3 17 5 7" xfId="22926" xr:uid="{00000000-0005-0000-0000-00009B360000}"/>
    <cellStyle name="60% - 强调文字颜色 4 3 17 5 8" xfId="22928" xr:uid="{00000000-0005-0000-0000-00009C360000}"/>
    <cellStyle name="60% - 强调文字颜色 4 3 17 5 9" xfId="22930" xr:uid="{00000000-0005-0000-0000-00009D360000}"/>
    <cellStyle name="60% - 强调文字颜色 4 3 17 6" xfId="20227" xr:uid="{00000000-0005-0000-0000-00009E360000}"/>
    <cellStyle name="60% - 强调文字颜色 4 3 17 6 2" xfId="22932" xr:uid="{00000000-0005-0000-0000-00009F360000}"/>
    <cellStyle name="60% - 强调文字颜色 4 3 17 6 2 2" xfId="22934" xr:uid="{00000000-0005-0000-0000-0000A0360000}"/>
    <cellStyle name="60% - 强调文字颜色 4 3 17 6 2 3" xfId="22936" xr:uid="{00000000-0005-0000-0000-0000A1360000}"/>
    <cellStyle name="60% - 强调文字颜色 4 3 17 6 3" xfId="22939" xr:uid="{00000000-0005-0000-0000-0000A2360000}"/>
    <cellStyle name="60% - 强调文字颜色 4 3 17 6 4" xfId="22941" xr:uid="{00000000-0005-0000-0000-0000A3360000}"/>
    <cellStyle name="60% - 强调文字颜色 4 3 17 6 5" xfId="22944" xr:uid="{00000000-0005-0000-0000-0000A4360000}"/>
    <cellStyle name="60% - 强调文字颜色 4 3 17 6 6" xfId="22946" xr:uid="{00000000-0005-0000-0000-0000A5360000}"/>
    <cellStyle name="60% - 强调文字颜色 4 3 17 6 7" xfId="22948" xr:uid="{00000000-0005-0000-0000-0000A6360000}"/>
    <cellStyle name="60% - 强调文字颜色 4 3 17 6 8" xfId="22950" xr:uid="{00000000-0005-0000-0000-0000A7360000}"/>
    <cellStyle name="60% - 强调文字颜色 4 3 17 7" xfId="21804" xr:uid="{00000000-0005-0000-0000-0000A8360000}"/>
    <cellStyle name="60% - 强调文字颜色 4 3 17 8" xfId="21806" xr:uid="{00000000-0005-0000-0000-0000A9360000}"/>
    <cellStyle name="60% - 强调文字颜色 4 3 17 9" xfId="2917" xr:uid="{00000000-0005-0000-0000-0000AA360000}"/>
    <cellStyle name="60% - 强调文字颜色 4 3 17 9 2" xfId="2937" xr:uid="{00000000-0005-0000-0000-0000AB360000}"/>
    <cellStyle name="60% - 强调文字颜色 4 3 17 9 3" xfId="2017" xr:uid="{00000000-0005-0000-0000-0000AC360000}"/>
    <cellStyle name="60% - 强调文字颜色 4 3 18" xfId="22952" xr:uid="{00000000-0005-0000-0000-0000AD360000}"/>
    <cellStyle name="60% - 强调文字颜色 4 3 18 10" xfId="22954" xr:uid="{00000000-0005-0000-0000-0000AE360000}"/>
    <cellStyle name="60% - 强调文字颜色 4 3 18 11" xfId="22955" xr:uid="{00000000-0005-0000-0000-0000AF360000}"/>
    <cellStyle name="60% - 强调文字颜色 4 3 18 12" xfId="22956" xr:uid="{00000000-0005-0000-0000-0000B0360000}"/>
    <cellStyle name="60% - 强调文字颜色 4 3 18 13" xfId="22957" xr:uid="{00000000-0005-0000-0000-0000B1360000}"/>
    <cellStyle name="60% - 强调文字颜色 4 3 18 14" xfId="17743" xr:uid="{00000000-0005-0000-0000-0000B2360000}"/>
    <cellStyle name="60% - 强调文字颜色 4 3 18 2" xfId="15199" xr:uid="{00000000-0005-0000-0000-0000B3360000}"/>
    <cellStyle name="60% - 强调文字颜色 4 3 18 3" xfId="15203" xr:uid="{00000000-0005-0000-0000-0000B4360000}"/>
    <cellStyle name="60% - 强调文字颜色 4 3 18 4" xfId="15242" xr:uid="{00000000-0005-0000-0000-0000B5360000}"/>
    <cellStyle name="60% - 强调文字颜色 4 3 18 5" xfId="5032" xr:uid="{00000000-0005-0000-0000-0000B6360000}"/>
    <cellStyle name="60% - 强调文字颜色 4 3 18 5 10" xfId="22140" xr:uid="{00000000-0005-0000-0000-0000B7360000}"/>
    <cellStyle name="60% - 强调文字颜色 4 3 18 5 11" xfId="22144" xr:uid="{00000000-0005-0000-0000-0000B8360000}"/>
    <cellStyle name="60% - 强调文字颜色 4 3 18 5 2" xfId="22958" xr:uid="{00000000-0005-0000-0000-0000B9360000}"/>
    <cellStyle name="60% - 强调文字颜色 4 3 18 5 2 2" xfId="18638" xr:uid="{00000000-0005-0000-0000-0000BA360000}"/>
    <cellStyle name="60% - 强调文字颜色 4 3 18 5 2 2 2" xfId="21892" xr:uid="{00000000-0005-0000-0000-0000BB360000}"/>
    <cellStyle name="60% - 强调文字颜色 4 3 18 5 2 2 3" xfId="21895" xr:uid="{00000000-0005-0000-0000-0000BC360000}"/>
    <cellStyle name="60% - 强调文字颜色 4 3 18 5 2 3" xfId="18641" xr:uid="{00000000-0005-0000-0000-0000BD360000}"/>
    <cellStyle name="60% - 强调文字颜色 4 3 18 5 2 4" xfId="18644" xr:uid="{00000000-0005-0000-0000-0000BE360000}"/>
    <cellStyle name="60% - 强调文字颜色 4 3 18 5 2 5" xfId="15667" xr:uid="{00000000-0005-0000-0000-0000BF360000}"/>
    <cellStyle name="60% - 强调文字颜色 4 3 18 5 2 6" xfId="16506" xr:uid="{00000000-0005-0000-0000-0000C0360000}"/>
    <cellStyle name="60% - 强调文字颜色 4 3 18 5 2 7" xfId="16508" xr:uid="{00000000-0005-0000-0000-0000C1360000}"/>
    <cellStyle name="60% - 强调文字颜色 4 3 18 5 2 8" xfId="10648" xr:uid="{00000000-0005-0000-0000-0000C2360000}"/>
    <cellStyle name="60% - 强调文字颜色 4 3 18 5 3" xfId="22960" xr:uid="{00000000-0005-0000-0000-0000C3360000}"/>
    <cellStyle name="60% - 强调文字颜色 4 3 18 5 4" xfId="22962" xr:uid="{00000000-0005-0000-0000-0000C4360000}"/>
    <cellStyle name="60% - 强调文字颜色 4 3 18 5 5" xfId="22963" xr:uid="{00000000-0005-0000-0000-0000C5360000}"/>
    <cellStyle name="60% - 强调文字颜色 4 3 18 5 6" xfId="22965" xr:uid="{00000000-0005-0000-0000-0000C6360000}"/>
    <cellStyle name="60% - 强调文字颜色 4 3 18 5 6 2" xfId="12594" xr:uid="{00000000-0005-0000-0000-0000C7360000}"/>
    <cellStyle name="60% - 强调文字颜色 4 3 18 5 6 3" xfId="12600" xr:uid="{00000000-0005-0000-0000-0000C8360000}"/>
    <cellStyle name="60% - 强调文字颜色 4 3 18 5 7" xfId="22967" xr:uid="{00000000-0005-0000-0000-0000C9360000}"/>
    <cellStyle name="60% - 强调文字颜色 4 3 18 5 8" xfId="22968" xr:uid="{00000000-0005-0000-0000-0000CA360000}"/>
    <cellStyle name="60% - 强调文字颜色 4 3 18 5 9" xfId="22971" xr:uid="{00000000-0005-0000-0000-0000CB360000}"/>
    <cellStyle name="60% - 强调文字颜色 4 3 18 6" xfId="5038" xr:uid="{00000000-0005-0000-0000-0000CC360000}"/>
    <cellStyle name="60% - 强调文字颜色 4 3 18 6 2" xfId="22974" xr:uid="{00000000-0005-0000-0000-0000CD360000}"/>
    <cellStyle name="60% - 强调文字颜色 4 3 18 6 2 2" xfId="7805" xr:uid="{00000000-0005-0000-0000-0000CE360000}"/>
    <cellStyle name="60% - 强调文字颜色 4 3 18 6 2 3" xfId="18696" xr:uid="{00000000-0005-0000-0000-0000CF360000}"/>
    <cellStyle name="60% - 强调文字颜色 4 3 18 6 3" xfId="22976" xr:uid="{00000000-0005-0000-0000-0000D0360000}"/>
    <cellStyle name="60% - 强调文字颜色 4 3 18 6 4" xfId="22978" xr:uid="{00000000-0005-0000-0000-0000D1360000}"/>
    <cellStyle name="60% - 强调文字颜色 4 3 18 6 5" xfId="22980" xr:uid="{00000000-0005-0000-0000-0000D2360000}"/>
    <cellStyle name="60% - 强调文字颜色 4 3 18 6 6" xfId="22982" xr:uid="{00000000-0005-0000-0000-0000D3360000}"/>
    <cellStyle name="60% - 强调文字颜色 4 3 18 6 7" xfId="22985" xr:uid="{00000000-0005-0000-0000-0000D4360000}"/>
    <cellStyle name="60% - 强调文字颜色 4 3 18 6 8" xfId="22988" xr:uid="{00000000-0005-0000-0000-0000D5360000}"/>
    <cellStyle name="60% - 强调文字颜色 4 3 18 7" xfId="5046" xr:uid="{00000000-0005-0000-0000-0000D6360000}"/>
    <cellStyle name="60% - 强调文字颜色 4 3 18 8" xfId="19748" xr:uid="{00000000-0005-0000-0000-0000D7360000}"/>
    <cellStyle name="60% - 强调文字颜色 4 3 18 9" xfId="22989" xr:uid="{00000000-0005-0000-0000-0000D8360000}"/>
    <cellStyle name="60% - 强调文字颜色 4 3 18 9 2" xfId="22990" xr:uid="{00000000-0005-0000-0000-0000D9360000}"/>
    <cellStyle name="60% - 强调文字颜色 4 3 18 9 3" xfId="3618" xr:uid="{00000000-0005-0000-0000-0000DA360000}"/>
    <cellStyle name="60% - 强调文字颜色 4 3 19" xfId="20963" xr:uid="{00000000-0005-0000-0000-0000DB360000}"/>
    <cellStyle name="60% - 强调文字颜色 4 3 19 10" xfId="11397" xr:uid="{00000000-0005-0000-0000-0000DC360000}"/>
    <cellStyle name="60% - 强调文字颜色 4 3 19 11" xfId="11150" xr:uid="{00000000-0005-0000-0000-0000DD360000}"/>
    <cellStyle name="60% - 强调文字颜色 4 3 19 12" xfId="17538" xr:uid="{00000000-0005-0000-0000-0000DE360000}"/>
    <cellStyle name="60% - 强调文字颜色 4 3 19 13" xfId="17540" xr:uid="{00000000-0005-0000-0000-0000DF360000}"/>
    <cellStyle name="60% - 强调文字颜色 4 3 19 14" xfId="22991" xr:uid="{00000000-0005-0000-0000-0000E0360000}"/>
    <cellStyle name="60% - 强调文字颜色 4 3 19 2" xfId="8582" xr:uid="{00000000-0005-0000-0000-0000E1360000}"/>
    <cellStyle name="60% - 强调文字颜色 4 3 19 3" xfId="8589" xr:uid="{00000000-0005-0000-0000-0000E2360000}"/>
    <cellStyle name="60% - 强调文字颜色 4 3 19 4" xfId="15268" xr:uid="{00000000-0005-0000-0000-0000E3360000}"/>
    <cellStyle name="60% - 强调文字颜色 4 3 19 5" xfId="15276" xr:uid="{00000000-0005-0000-0000-0000E4360000}"/>
    <cellStyle name="60% - 强调文字颜色 4 3 19 5 10" xfId="6473" xr:uid="{00000000-0005-0000-0000-0000E5360000}"/>
    <cellStyle name="60% - 强调文字颜色 4 3 19 5 11" xfId="6284" xr:uid="{00000000-0005-0000-0000-0000E6360000}"/>
    <cellStyle name="60% - 强调文字颜色 4 3 19 5 2" xfId="8330" xr:uid="{00000000-0005-0000-0000-0000E7360000}"/>
    <cellStyle name="60% - 强调文字颜色 4 3 19 5 2 2" xfId="8340" xr:uid="{00000000-0005-0000-0000-0000E8360000}"/>
    <cellStyle name="60% - 强调文字颜色 4 3 19 5 2 2 2" xfId="22992" xr:uid="{00000000-0005-0000-0000-0000E9360000}"/>
    <cellStyle name="60% - 强调文字颜色 4 3 19 5 2 2 3" xfId="22993" xr:uid="{00000000-0005-0000-0000-0000EA360000}"/>
    <cellStyle name="60% - 强调文字颜色 4 3 19 5 2 3" xfId="8345" xr:uid="{00000000-0005-0000-0000-0000EB360000}"/>
    <cellStyle name="60% - 强调文字颜色 4 3 19 5 2 4" xfId="4523" xr:uid="{00000000-0005-0000-0000-0000EC360000}"/>
    <cellStyle name="60% - 强调文字颜色 4 3 19 5 2 5" xfId="4538" xr:uid="{00000000-0005-0000-0000-0000ED360000}"/>
    <cellStyle name="60% - 强调文字颜色 4 3 19 5 2 6" xfId="4597" xr:uid="{00000000-0005-0000-0000-0000EE360000}"/>
    <cellStyle name="60% - 强调文字颜色 4 3 19 5 2 7" xfId="4603" xr:uid="{00000000-0005-0000-0000-0000EF360000}"/>
    <cellStyle name="60% - 强调文字颜色 4 3 19 5 2 8" xfId="392" xr:uid="{00000000-0005-0000-0000-0000F0360000}"/>
    <cellStyle name="60% - 强调文字颜色 4 3 19 5 3" xfId="8413" xr:uid="{00000000-0005-0000-0000-0000F1360000}"/>
    <cellStyle name="60% - 强调文字颜色 4 3 19 5 4" xfId="22994" xr:uid="{00000000-0005-0000-0000-0000F2360000}"/>
    <cellStyle name="60% - 强调文字颜色 4 3 19 5 5" xfId="22996" xr:uid="{00000000-0005-0000-0000-0000F3360000}"/>
    <cellStyle name="60% - 强调文字颜色 4 3 19 5 6" xfId="22997" xr:uid="{00000000-0005-0000-0000-0000F4360000}"/>
    <cellStyle name="60% - 强调文字颜色 4 3 19 5 6 2" xfId="1450" xr:uid="{00000000-0005-0000-0000-0000F5360000}"/>
    <cellStyle name="60% - 强调文字颜色 4 3 19 5 6 3" xfId="22779" xr:uid="{00000000-0005-0000-0000-0000F6360000}"/>
    <cellStyle name="60% - 强调文字颜色 4 3 19 5 7" xfId="22999" xr:uid="{00000000-0005-0000-0000-0000F7360000}"/>
    <cellStyle name="60% - 强调文字颜色 4 3 19 5 8" xfId="23001" xr:uid="{00000000-0005-0000-0000-0000F8360000}"/>
    <cellStyle name="60% - 强调文字颜色 4 3 19 5 9" xfId="23004" xr:uid="{00000000-0005-0000-0000-0000F9360000}"/>
    <cellStyle name="60% - 强调文字颜色 4 3 19 6" xfId="15283" xr:uid="{00000000-0005-0000-0000-0000FA360000}"/>
    <cellStyle name="60% - 强调文字颜色 4 3 19 6 2" xfId="18952" xr:uid="{00000000-0005-0000-0000-0000FB360000}"/>
    <cellStyle name="60% - 强调文字颜色 4 3 19 6 2 2" xfId="23006" xr:uid="{00000000-0005-0000-0000-0000FC360000}"/>
    <cellStyle name="60% - 强调文字颜色 4 3 19 6 2 3" xfId="23007" xr:uid="{00000000-0005-0000-0000-0000FD360000}"/>
    <cellStyle name="60% - 强调文字颜色 4 3 19 6 3" xfId="18954" xr:uid="{00000000-0005-0000-0000-0000FE360000}"/>
    <cellStyle name="60% - 强调文字颜色 4 3 19 6 4" xfId="23008" xr:uid="{00000000-0005-0000-0000-0000FF360000}"/>
    <cellStyle name="60% - 强调文字颜色 4 3 19 6 5" xfId="23009" xr:uid="{00000000-0005-0000-0000-000000370000}"/>
    <cellStyle name="60% - 强调文字颜色 4 3 19 6 6" xfId="23010" xr:uid="{00000000-0005-0000-0000-000001370000}"/>
    <cellStyle name="60% - 强调文字颜色 4 3 19 6 7" xfId="23011" xr:uid="{00000000-0005-0000-0000-000002370000}"/>
    <cellStyle name="60% - 强调文字颜色 4 3 19 6 8" xfId="23012" xr:uid="{00000000-0005-0000-0000-000003370000}"/>
    <cellStyle name="60% - 强调文字颜色 4 3 19 7" xfId="15286" xr:uid="{00000000-0005-0000-0000-000004370000}"/>
    <cellStyle name="60% - 强调文字颜色 4 3 19 8" xfId="23013" xr:uid="{00000000-0005-0000-0000-000005370000}"/>
    <cellStyle name="60% - 强调文字颜色 4 3 19 9" xfId="23014" xr:uid="{00000000-0005-0000-0000-000006370000}"/>
    <cellStyle name="60% - 强调文字颜色 4 3 19 9 2" xfId="23015" xr:uid="{00000000-0005-0000-0000-000007370000}"/>
    <cellStyle name="60% - 强调文字颜色 4 3 19 9 3" xfId="23017" xr:uid="{00000000-0005-0000-0000-000008370000}"/>
    <cellStyle name="60% - 强调文字颜色 4 3 2" xfId="23019" xr:uid="{00000000-0005-0000-0000-000009370000}"/>
    <cellStyle name="60% - 强调文字颜色 4 3 2 10" xfId="3589" xr:uid="{00000000-0005-0000-0000-00000A370000}"/>
    <cellStyle name="60% - 强调文字颜色 4 3 2 11" xfId="23022" xr:uid="{00000000-0005-0000-0000-00000B370000}"/>
    <cellStyle name="60% - 强调文字颜色 4 3 2 12" xfId="5939" xr:uid="{00000000-0005-0000-0000-00000C370000}"/>
    <cellStyle name="60% - 强调文字颜色 4 3 2 13" xfId="5950" xr:uid="{00000000-0005-0000-0000-00000D370000}"/>
    <cellStyle name="60% - 强调文字颜色 4 3 2 14" xfId="5959" xr:uid="{00000000-0005-0000-0000-00000E370000}"/>
    <cellStyle name="60% - 强调文字颜色 4 3 2 2" xfId="23023" xr:uid="{00000000-0005-0000-0000-00000F370000}"/>
    <cellStyle name="60% - 强调文字颜色 4 3 2 3" xfId="23025" xr:uid="{00000000-0005-0000-0000-000010370000}"/>
    <cellStyle name="60% - 强调文字颜色 4 3 2 4" xfId="23027" xr:uid="{00000000-0005-0000-0000-000011370000}"/>
    <cellStyle name="60% - 强调文字颜色 4 3 2 5" xfId="23029" xr:uid="{00000000-0005-0000-0000-000012370000}"/>
    <cellStyle name="60% - 强调文字颜色 4 3 2 6" xfId="23031" xr:uid="{00000000-0005-0000-0000-000013370000}"/>
    <cellStyle name="60% - 强调文字颜色 4 3 2 7" xfId="23034" xr:uid="{00000000-0005-0000-0000-000014370000}"/>
    <cellStyle name="60% - 强调文字颜色 4 3 2 8" xfId="23037" xr:uid="{00000000-0005-0000-0000-000015370000}"/>
    <cellStyle name="60% - 强调文字颜色 4 3 2 9" xfId="23038" xr:uid="{00000000-0005-0000-0000-000016370000}"/>
    <cellStyle name="60% - 强调文字颜色 4 3 20" xfId="22907" xr:uid="{00000000-0005-0000-0000-000017370000}"/>
    <cellStyle name="60% - 强调文字颜色 4 3 20 10" xfId="23042" xr:uid="{00000000-0005-0000-0000-000018370000}"/>
    <cellStyle name="60% - 强调文字颜色 4 3 20 11" xfId="23046" xr:uid="{00000000-0005-0000-0000-000019370000}"/>
    <cellStyle name="60% - 强调文字颜色 4 3 20 12" xfId="22345" xr:uid="{00000000-0005-0000-0000-00001A370000}"/>
    <cellStyle name="60% - 强调文字颜色 4 3 20 13" xfId="20007" xr:uid="{00000000-0005-0000-0000-00001B370000}"/>
    <cellStyle name="60% - 强调文字颜色 4 3 20 14" xfId="20043" xr:uid="{00000000-0005-0000-0000-00001C370000}"/>
    <cellStyle name="60% - 强调文字颜色 4 3 20 2" xfId="23048" xr:uid="{00000000-0005-0000-0000-00001D370000}"/>
    <cellStyle name="60% - 强调文字颜色 4 3 20 3" xfId="23049" xr:uid="{00000000-0005-0000-0000-00001E370000}"/>
    <cellStyle name="60% - 强调文字颜色 4 3 20 4" xfId="23050" xr:uid="{00000000-0005-0000-0000-00001F370000}"/>
    <cellStyle name="60% - 强调文字颜色 4 3 20 5" xfId="23051" xr:uid="{00000000-0005-0000-0000-000020370000}"/>
    <cellStyle name="60% - 强调文字颜色 4 3 20 5 10" xfId="19916" xr:uid="{00000000-0005-0000-0000-000021370000}"/>
    <cellStyle name="60% - 强调文字颜色 4 3 20 5 11" xfId="3005" xr:uid="{00000000-0005-0000-0000-000022370000}"/>
    <cellStyle name="60% - 强调文字颜色 4 3 20 5 2" xfId="23052" xr:uid="{00000000-0005-0000-0000-000023370000}"/>
    <cellStyle name="60% - 强调文字颜色 4 3 20 5 2 2" xfId="14113" xr:uid="{00000000-0005-0000-0000-000024370000}"/>
    <cellStyle name="60% - 强调文字颜色 4 3 20 5 2 2 2" xfId="16109" xr:uid="{00000000-0005-0000-0000-000025370000}"/>
    <cellStyle name="60% - 强调文字颜色 4 3 20 5 2 2 3" xfId="16113" xr:uid="{00000000-0005-0000-0000-000026370000}"/>
    <cellStyle name="60% - 强调文字颜色 4 3 20 5 2 3" xfId="14115" xr:uid="{00000000-0005-0000-0000-000027370000}"/>
    <cellStyle name="60% - 强调文字颜色 4 3 20 5 2 4" xfId="14118" xr:uid="{00000000-0005-0000-0000-000028370000}"/>
    <cellStyle name="60% - 强调文字颜色 4 3 20 5 2 5" xfId="14129" xr:uid="{00000000-0005-0000-0000-000029370000}"/>
    <cellStyle name="60% - 强调文字颜色 4 3 20 5 2 6" xfId="23054" xr:uid="{00000000-0005-0000-0000-00002A370000}"/>
    <cellStyle name="60% - 强调文字颜色 4 3 20 5 2 7" xfId="23057" xr:uid="{00000000-0005-0000-0000-00002B370000}"/>
    <cellStyle name="60% - 强调文字颜色 4 3 20 5 2 8" xfId="23059" xr:uid="{00000000-0005-0000-0000-00002C370000}"/>
    <cellStyle name="60% - 强调文字颜色 4 3 20 5 3" xfId="23061" xr:uid="{00000000-0005-0000-0000-00002D370000}"/>
    <cellStyle name="60% - 强调文字颜色 4 3 20 5 4" xfId="23062" xr:uid="{00000000-0005-0000-0000-00002E370000}"/>
    <cellStyle name="60% - 强调文字颜色 4 3 20 5 5" xfId="23064" xr:uid="{00000000-0005-0000-0000-00002F370000}"/>
    <cellStyle name="60% - 强调文字颜色 4 3 20 5 6" xfId="23066" xr:uid="{00000000-0005-0000-0000-000030370000}"/>
    <cellStyle name="60% - 强调文字颜色 4 3 20 5 6 2" xfId="23068" xr:uid="{00000000-0005-0000-0000-000031370000}"/>
    <cellStyle name="60% - 强调文字颜色 4 3 20 5 6 3" xfId="23070" xr:uid="{00000000-0005-0000-0000-000032370000}"/>
    <cellStyle name="60% - 强调文字颜色 4 3 20 5 7" xfId="23071" xr:uid="{00000000-0005-0000-0000-000033370000}"/>
    <cellStyle name="60% - 强调文字颜色 4 3 20 5 8" xfId="23072" xr:uid="{00000000-0005-0000-0000-000034370000}"/>
    <cellStyle name="60% - 强调文字颜色 4 3 20 5 9" xfId="16305" xr:uid="{00000000-0005-0000-0000-000035370000}"/>
    <cellStyle name="60% - 强调文字颜色 4 3 20 6" xfId="23074" xr:uid="{00000000-0005-0000-0000-000036370000}"/>
    <cellStyle name="60% - 强调文字颜色 4 3 20 6 2" xfId="23076" xr:uid="{00000000-0005-0000-0000-000037370000}"/>
    <cellStyle name="60% - 强调文字颜色 4 3 20 6 2 2" xfId="1854" xr:uid="{00000000-0005-0000-0000-000038370000}"/>
    <cellStyle name="60% - 强调文字颜色 4 3 20 6 2 3" xfId="13423" xr:uid="{00000000-0005-0000-0000-000039370000}"/>
    <cellStyle name="60% - 强调文字颜色 4 3 20 6 3" xfId="23079" xr:uid="{00000000-0005-0000-0000-00003A370000}"/>
    <cellStyle name="60% - 强调文字颜色 4 3 20 6 4" xfId="23081" xr:uid="{00000000-0005-0000-0000-00003B370000}"/>
    <cellStyle name="60% - 强调文字颜色 4 3 20 6 5" xfId="23083" xr:uid="{00000000-0005-0000-0000-00003C370000}"/>
    <cellStyle name="60% - 强调文字颜色 4 3 20 6 6" xfId="23085" xr:uid="{00000000-0005-0000-0000-00003D370000}"/>
    <cellStyle name="60% - 强调文字颜色 4 3 20 6 7" xfId="23087" xr:uid="{00000000-0005-0000-0000-00003E370000}"/>
    <cellStyle name="60% - 强调文字颜色 4 3 20 6 8" xfId="21195" xr:uid="{00000000-0005-0000-0000-00003F370000}"/>
    <cellStyle name="60% - 强调文字颜色 4 3 20 7" xfId="19724" xr:uid="{00000000-0005-0000-0000-000040370000}"/>
    <cellStyle name="60% - 强调文字颜色 4 3 20 8" xfId="19731" xr:uid="{00000000-0005-0000-0000-000041370000}"/>
    <cellStyle name="60% - 强调文字颜色 4 3 20 9" xfId="19734" xr:uid="{00000000-0005-0000-0000-000042370000}"/>
    <cellStyle name="60% - 强调文字颜色 4 3 20 9 2" xfId="3040" xr:uid="{00000000-0005-0000-0000-000043370000}"/>
    <cellStyle name="60% - 强调文字颜色 4 3 20 9 3" xfId="3054" xr:uid="{00000000-0005-0000-0000-000044370000}"/>
    <cellStyle name="60% - 强调文字颜色 4 3 3" xfId="8553" xr:uid="{00000000-0005-0000-0000-000045370000}"/>
    <cellStyle name="60% - 强调文字颜色 4 3 3 10" xfId="17002" xr:uid="{00000000-0005-0000-0000-000046370000}"/>
    <cellStyle name="60% - 强调文字颜色 4 3 3 11" xfId="17006" xr:uid="{00000000-0005-0000-0000-000047370000}"/>
    <cellStyle name="60% - 强调文字颜色 4 3 3 12" xfId="17010" xr:uid="{00000000-0005-0000-0000-000048370000}"/>
    <cellStyle name="60% - 强调文字颜色 4 3 3 13" xfId="17015" xr:uid="{00000000-0005-0000-0000-000049370000}"/>
    <cellStyle name="60% - 强调文字颜色 4 3 3 14" xfId="17019" xr:uid="{00000000-0005-0000-0000-00004A370000}"/>
    <cellStyle name="60% - 强调文字颜色 4 3 3 2" xfId="23089" xr:uid="{00000000-0005-0000-0000-00004B370000}"/>
    <cellStyle name="60% - 强调文字颜色 4 3 3 3" xfId="23093" xr:uid="{00000000-0005-0000-0000-00004C370000}"/>
    <cellStyle name="60% - 强调文字颜色 4 3 3 4" xfId="14123" xr:uid="{00000000-0005-0000-0000-00004D370000}"/>
    <cellStyle name="60% - 强调文字颜色 4 3 3 5" xfId="14126" xr:uid="{00000000-0005-0000-0000-00004E370000}"/>
    <cellStyle name="60% - 强调文字颜色 4 3 3 6" xfId="23097" xr:uid="{00000000-0005-0000-0000-00004F370000}"/>
    <cellStyle name="60% - 强调文字颜色 4 3 3 7" xfId="23098" xr:uid="{00000000-0005-0000-0000-000050370000}"/>
    <cellStyle name="60% - 强调文字颜色 4 3 3 8" xfId="23099" xr:uid="{00000000-0005-0000-0000-000051370000}"/>
    <cellStyle name="60% - 强调文字颜色 4 3 3 9" xfId="23100" xr:uid="{00000000-0005-0000-0000-000052370000}"/>
    <cellStyle name="60% - 强调文字颜色 4 3 4" xfId="8560" xr:uid="{00000000-0005-0000-0000-000053370000}"/>
    <cellStyle name="60% - 强调文字颜色 4 3 4 10" xfId="8713" xr:uid="{00000000-0005-0000-0000-000054370000}"/>
    <cellStyle name="60% - 强调文字颜色 4 3 4 11" xfId="8717" xr:uid="{00000000-0005-0000-0000-000055370000}"/>
    <cellStyle name="60% - 强调文字颜色 4 3 4 12" xfId="8721" xr:uid="{00000000-0005-0000-0000-000056370000}"/>
    <cellStyle name="60% - 强调文字颜色 4 3 4 13" xfId="8725" xr:uid="{00000000-0005-0000-0000-000057370000}"/>
    <cellStyle name="60% - 强调文字颜色 4 3 4 14" xfId="8729" xr:uid="{00000000-0005-0000-0000-000058370000}"/>
    <cellStyle name="60% - 强调文字颜色 4 3 4 2" xfId="6622" xr:uid="{00000000-0005-0000-0000-000059370000}"/>
    <cellStyle name="60% - 强调文字颜色 4 3 4 3" xfId="6630" xr:uid="{00000000-0005-0000-0000-00005A370000}"/>
    <cellStyle name="60% - 强调文字颜色 4 3 4 4" xfId="6637" xr:uid="{00000000-0005-0000-0000-00005B370000}"/>
    <cellStyle name="60% - 强调文字颜色 4 3 4 5" xfId="6643" xr:uid="{00000000-0005-0000-0000-00005C370000}"/>
    <cellStyle name="60% - 强调文字颜色 4 3 4 6" xfId="6650" xr:uid="{00000000-0005-0000-0000-00005D370000}"/>
    <cellStyle name="60% - 强调文字颜色 4 3 4 7" xfId="323" xr:uid="{00000000-0005-0000-0000-00005E370000}"/>
    <cellStyle name="60% - 强调文字颜色 4 3 4 8" xfId="598" xr:uid="{00000000-0005-0000-0000-00005F370000}"/>
    <cellStyle name="60% - 强调文字颜色 4 3 4 9" xfId="611" xr:uid="{00000000-0005-0000-0000-000060370000}"/>
    <cellStyle name="60% - 强调文字颜色 4 3 5" xfId="21360" xr:uid="{00000000-0005-0000-0000-000061370000}"/>
    <cellStyle name="60% - 强调文字颜色 4 3 6" xfId="21366" xr:uid="{00000000-0005-0000-0000-000062370000}"/>
    <cellStyle name="60% - 强调文字颜色 4 3 7" xfId="21372" xr:uid="{00000000-0005-0000-0000-000063370000}"/>
    <cellStyle name="60% - 强调文字颜色 4 3 8" xfId="21722" xr:uid="{00000000-0005-0000-0000-000064370000}"/>
    <cellStyle name="60% - 强调文字颜色 4 3 9" xfId="21725" xr:uid="{00000000-0005-0000-0000-000065370000}"/>
    <cellStyle name="60% - 强调文字颜色 4 4" xfId="13491" xr:uid="{00000000-0005-0000-0000-000066370000}"/>
    <cellStyle name="60% - 强调文字颜色 4 4 10" xfId="17972" xr:uid="{00000000-0005-0000-0000-000067370000}"/>
    <cellStyle name="60% - 强调文字颜色 4 4 11" xfId="1712" xr:uid="{00000000-0005-0000-0000-000068370000}"/>
    <cellStyle name="60% - 强调文字颜色 4 4 12" xfId="1735" xr:uid="{00000000-0005-0000-0000-000069370000}"/>
    <cellStyle name="60% - 强调文字颜色 4 4 13" xfId="13482" xr:uid="{00000000-0005-0000-0000-00006A370000}"/>
    <cellStyle name="60% - 强调文字颜色 4 4 14" xfId="13487" xr:uid="{00000000-0005-0000-0000-00006B370000}"/>
    <cellStyle name="60% - 强调文字颜色 4 4 15" xfId="21316" xr:uid="{00000000-0005-0000-0000-00006C370000}"/>
    <cellStyle name="60% - 强调文字颜色 4 4 16" xfId="21320" xr:uid="{00000000-0005-0000-0000-00006D370000}"/>
    <cellStyle name="60% - 强调文字颜色 4 4 17" xfId="14338" xr:uid="{00000000-0005-0000-0000-00006E370000}"/>
    <cellStyle name="60% - 强调文字颜色 4 4 17 10" xfId="23102" xr:uid="{00000000-0005-0000-0000-00006F370000}"/>
    <cellStyle name="60% - 强调文字颜色 4 4 17 11" xfId="23105" xr:uid="{00000000-0005-0000-0000-000070370000}"/>
    <cellStyle name="60% - 强调文字颜色 4 4 17 12" xfId="23108" xr:uid="{00000000-0005-0000-0000-000071370000}"/>
    <cellStyle name="60% - 强调文字颜色 4 4 17 13" xfId="23110" xr:uid="{00000000-0005-0000-0000-000072370000}"/>
    <cellStyle name="60% - 强调文字颜色 4 4 17 14" xfId="20899" xr:uid="{00000000-0005-0000-0000-000073370000}"/>
    <cellStyle name="60% - 强调文字颜色 4 4 17 2" xfId="11985" xr:uid="{00000000-0005-0000-0000-000074370000}"/>
    <cellStyle name="60% - 强调文字颜色 4 4 17 3" xfId="11988" xr:uid="{00000000-0005-0000-0000-000075370000}"/>
    <cellStyle name="60% - 强调文字颜色 4 4 17 4" xfId="11991" xr:uid="{00000000-0005-0000-0000-000076370000}"/>
    <cellStyle name="60% - 强调文字颜色 4 4 17 5" xfId="12025" xr:uid="{00000000-0005-0000-0000-000077370000}"/>
    <cellStyle name="60% - 强调文字颜色 4 4 17 5 10" xfId="23114" xr:uid="{00000000-0005-0000-0000-000078370000}"/>
    <cellStyle name="60% - 强调文字颜色 4 4 17 5 11" xfId="23115" xr:uid="{00000000-0005-0000-0000-000079370000}"/>
    <cellStyle name="60% - 强调文字颜色 4 4 17 5 2" xfId="11615" xr:uid="{00000000-0005-0000-0000-00007A370000}"/>
    <cellStyle name="60% - 强调文字颜色 4 4 17 5 2 2" xfId="4019" xr:uid="{00000000-0005-0000-0000-00007B370000}"/>
    <cellStyle name="60% - 强调文字颜色 4 4 17 5 2 2 2" xfId="10941" xr:uid="{00000000-0005-0000-0000-00007C370000}"/>
    <cellStyle name="60% - 强调文字颜色 4 4 17 5 2 2 3" xfId="10946" xr:uid="{00000000-0005-0000-0000-00007D370000}"/>
    <cellStyle name="60% - 强调文字颜色 4 4 17 5 2 3" xfId="4028" xr:uid="{00000000-0005-0000-0000-00007E370000}"/>
    <cellStyle name="60% - 强调文字颜色 4 4 17 5 2 4" xfId="4040" xr:uid="{00000000-0005-0000-0000-00007F370000}"/>
    <cellStyle name="60% - 强调文字颜色 4 4 17 5 2 5" xfId="23116" xr:uid="{00000000-0005-0000-0000-000080370000}"/>
    <cellStyle name="60% - 强调文字颜色 4 4 17 5 2 6" xfId="23117" xr:uid="{00000000-0005-0000-0000-000081370000}"/>
    <cellStyle name="60% - 强调文字颜色 4 4 17 5 2 7" xfId="23118" xr:uid="{00000000-0005-0000-0000-000082370000}"/>
    <cellStyle name="60% - 强调文字颜色 4 4 17 5 2 8" xfId="23119" xr:uid="{00000000-0005-0000-0000-000083370000}"/>
    <cellStyle name="60% - 强调文字颜色 4 4 17 5 3" xfId="11622" xr:uid="{00000000-0005-0000-0000-000084370000}"/>
    <cellStyle name="60% - 强调文字颜色 4 4 17 5 4" xfId="10488" xr:uid="{00000000-0005-0000-0000-000085370000}"/>
    <cellStyle name="60% - 强调文字颜色 4 4 17 5 5" xfId="10496" xr:uid="{00000000-0005-0000-0000-000086370000}"/>
    <cellStyle name="60% - 强调文字颜色 4 4 17 5 6" xfId="10507" xr:uid="{00000000-0005-0000-0000-000087370000}"/>
    <cellStyle name="60% - 强调文字颜色 4 4 17 5 6 2" xfId="3043" xr:uid="{00000000-0005-0000-0000-000088370000}"/>
    <cellStyle name="60% - 强调文字颜色 4 4 17 5 6 3" xfId="5847" xr:uid="{00000000-0005-0000-0000-000089370000}"/>
    <cellStyle name="60% - 强调文字颜色 4 4 17 5 7" xfId="10513" xr:uid="{00000000-0005-0000-0000-00008A370000}"/>
    <cellStyle name="60% - 强调文字颜色 4 4 17 5 8" xfId="10526" xr:uid="{00000000-0005-0000-0000-00008B370000}"/>
    <cellStyle name="60% - 强调文字颜色 4 4 17 5 9" xfId="23120" xr:uid="{00000000-0005-0000-0000-00008C370000}"/>
    <cellStyle name="60% - 强调文字颜色 4 4 17 6" xfId="5777" xr:uid="{00000000-0005-0000-0000-00008D370000}"/>
    <cellStyle name="60% - 强调文字颜色 4 4 17 6 2" xfId="5798" xr:uid="{00000000-0005-0000-0000-00008E370000}"/>
    <cellStyle name="60% - 强调文字颜色 4 4 17 6 2 2" xfId="23123" xr:uid="{00000000-0005-0000-0000-00008F370000}"/>
    <cellStyle name="60% - 强调文字颜色 4 4 17 6 2 3" xfId="23125" xr:uid="{00000000-0005-0000-0000-000090370000}"/>
    <cellStyle name="60% - 强调文字颜色 4 4 17 6 3" xfId="23127" xr:uid="{00000000-0005-0000-0000-000091370000}"/>
    <cellStyle name="60% - 强调文字颜色 4 4 17 6 4" xfId="23129" xr:uid="{00000000-0005-0000-0000-000092370000}"/>
    <cellStyle name="60% - 强调文字颜色 4 4 17 6 5" xfId="23131" xr:uid="{00000000-0005-0000-0000-000093370000}"/>
    <cellStyle name="60% - 强调文字颜色 4 4 17 6 6" xfId="23133" xr:uid="{00000000-0005-0000-0000-000094370000}"/>
    <cellStyle name="60% - 强调文字颜色 4 4 17 6 7" xfId="23135" xr:uid="{00000000-0005-0000-0000-000095370000}"/>
    <cellStyle name="60% - 强调文字颜色 4 4 17 6 8" xfId="23137" xr:uid="{00000000-0005-0000-0000-000096370000}"/>
    <cellStyle name="60% - 强调文字颜色 4 4 17 7" xfId="5808" xr:uid="{00000000-0005-0000-0000-000097370000}"/>
    <cellStyle name="60% - 强调文字颜色 4 4 17 8" xfId="5818" xr:uid="{00000000-0005-0000-0000-000098370000}"/>
    <cellStyle name="60% - 强调文字颜色 4 4 17 9" xfId="23139" xr:uid="{00000000-0005-0000-0000-000099370000}"/>
    <cellStyle name="60% - 强调文字颜色 4 4 17 9 2" xfId="4154" xr:uid="{00000000-0005-0000-0000-00009A370000}"/>
    <cellStyle name="60% - 强调文字颜色 4 4 17 9 3" xfId="4159" xr:uid="{00000000-0005-0000-0000-00009B370000}"/>
    <cellStyle name="60% - 强调文字颜色 4 4 18" xfId="14347" xr:uid="{00000000-0005-0000-0000-00009C370000}"/>
    <cellStyle name="60% - 强调文字颜色 4 4 18 10" xfId="23140" xr:uid="{00000000-0005-0000-0000-00009D370000}"/>
    <cellStyle name="60% - 强调文字颜色 4 4 18 11" xfId="23141" xr:uid="{00000000-0005-0000-0000-00009E370000}"/>
    <cellStyle name="60% - 强调文字颜色 4 4 18 12" xfId="23142" xr:uid="{00000000-0005-0000-0000-00009F370000}"/>
    <cellStyle name="60% - 强调文字颜色 4 4 18 13" xfId="23143" xr:uid="{00000000-0005-0000-0000-0000A0370000}"/>
    <cellStyle name="60% - 强调文字颜色 4 4 18 14" xfId="23144" xr:uid="{00000000-0005-0000-0000-0000A1370000}"/>
    <cellStyle name="60% - 强调文字颜色 4 4 18 2" xfId="6743" xr:uid="{00000000-0005-0000-0000-0000A2370000}"/>
    <cellStyle name="60% - 强调文字颜色 4 4 18 3" xfId="6753" xr:uid="{00000000-0005-0000-0000-0000A3370000}"/>
    <cellStyle name="60% - 强调文字颜色 4 4 18 4" xfId="8095" xr:uid="{00000000-0005-0000-0000-0000A4370000}"/>
    <cellStyle name="60% - 强调文字颜色 4 4 18 5" xfId="6195" xr:uid="{00000000-0005-0000-0000-0000A5370000}"/>
    <cellStyle name="60% - 强调文字颜色 4 4 18 5 10" xfId="10225" xr:uid="{00000000-0005-0000-0000-0000A6370000}"/>
    <cellStyle name="60% - 强调文字颜色 4 4 18 5 11" xfId="6025" xr:uid="{00000000-0005-0000-0000-0000A7370000}"/>
    <cellStyle name="60% - 强调文字颜色 4 4 18 5 2" xfId="3060" xr:uid="{00000000-0005-0000-0000-0000A8370000}"/>
    <cellStyle name="60% - 强调文字颜色 4 4 18 5 2 2" xfId="2131" xr:uid="{00000000-0005-0000-0000-0000A9370000}"/>
    <cellStyle name="60% - 强调文字颜色 4 4 18 5 2 2 2" xfId="8181" xr:uid="{00000000-0005-0000-0000-0000AA370000}"/>
    <cellStyle name="60% - 强调文字颜色 4 4 18 5 2 2 3" xfId="17363" xr:uid="{00000000-0005-0000-0000-0000AB370000}"/>
    <cellStyle name="60% - 强调文字颜色 4 4 18 5 2 3" xfId="2149" xr:uid="{00000000-0005-0000-0000-0000AC370000}"/>
    <cellStyle name="60% - 强调文字颜色 4 4 18 5 2 4" xfId="17449" xr:uid="{00000000-0005-0000-0000-0000AD370000}"/>
    <cellStyle name="60% - 强调文字颜色 4 4 18 5 2 5" xfId="23146" xr:uid="{00000000-0005-0000-0000-0000AE370000}"/>
    <cellStyle name="60% - 强调文字颜色 4 4 18 5 2 6" xfId="23148" xr:uid="{00000000-0005-0000-0000-0000AF370000}"/>
    <cellStyle name="60% - 强调文字颜色 4 4 18 5 2 7" xfId="23150" xr:uid="{00000000-0005-0000-0000-0000B0370000}"/>
    <cellStyle name="60% - 强调文字颜色 4 4 18 5 2 8" xfId="20469" xr:uid="{00000000-0005-0000-0000-0000B1370000}"/>
    <cellStyle name="60% - 强调文字颜色 4 4 18 5 3" xfId="3074" xr:uid="{00000000-0005-0000-0000-0000B2370000}"/>
    <cellStyle name="60% - 强调文字颜色 4 4 18 5 4" xfId="8206" xr:uid="{00000000-0005-0000-0000-0000B3370000}"/>
    <cellStyle name="60% - 强调文字颜色 4 4 18 5 5" xfId="8213" xr:uid="{00000000-0005-0000-0000-0000B4370000}"/>
    <cellStyle name="60% - 强调文字颜色 4 4 18 5 6" xfId="12081" xr:uid="{00000000-0005-0000-0000-0000B5370000}"/>
    <cellStyle name="60% - 强调文字颜色 4 4 18 5 6 2" xfId="14278" xr:uid="{00000000-0005-0000-0000-0000B6370000}"/>
    <cellStyle name="60% - 强调文字颜色 4 4 18 5 6 3" xfId="14282" xr:uid="{00000000-0005-0000-0000-0000B7370000}"/>
    <cellStyle name="60% - 强调文字颜色 4 4 18 5 7" xfId="12086" xr:uid="{00000000-0005-0000-0000-0000B8370000}"/>
    <cellStyle name="60% - 强调文字颜色 4 4 18 5 8" xfId="12090" xr:uid="{00000000-0005-0000-0000-0000B9370000}"/>
    <cellStyle name="60% - 强调文字颜色 4 4 18 5 9" xfId="23152" xr:uid="{00000000-0005-0000-0000-0000BA370000}"/>
    <cellStyle name="60% - 强调文字颜色 4 4 18 6" xfId="6205" xr:uid="{00000000-0005-0000-0000-0000BB370000}"/>
    <cellStyle name="60% - 强调文字颜色 4 4 18 6 2" xfId="23155" xr:uid="{00000000-0005-0000-0000-0000BC370000}"/>
    <cellStyle name="60% - 强调文字颜色 4 4 18 6 2 2" xfId="13661" xr:uid="{00000000-0005-0000-0000-0000BD370000}"/>
    <cellStyle name="60% - 强调文字颜色 4 4 18 6 2 3" xfId="13665" xr:uid="{00000000-0005-0000-0000-0000BE370000}"/>
    <cellStyle name="60% - 强调文字颜色 4 4 18 6 3" xfId="23156" xr:uid="{00000000-0005-0000-0000-0000BF370000}"/>
    <cellStyle name="60% - 强调文字颜色 4 4 18 6 4" xfId="23157" xr:uid="{00000000-0005-0000-0000-0000C0370000}"/>
    <cellStyle name="60% - 强调文字颜色 4 4 18 6 5" xfId="23158" xr:uid="{00000000-0005-0000-0000-0000C1370000}"/>
    <cellStyle name="60% - 强调文字颜色 4 4 18 6 6" xfId="23159" xr:uid="{00000000-0005-0000-0000-0000C2370000}"/>
    <cellStyle name="60% - 强调文字颜色 4 4 18 6 7" xfId="23160" xr:uid="{00000000-0005-0000-0000-0000C3370000}"/>
    <cellStyle name="60% - 强调文字颜色 4 4 18 6 8" xfId="23161" xr:uid="{00000000-0005-0000-0000-0000C4370000}"/>
    <cellStyle name="60% - 强调文字颜色 4 4 18 7" xfId="12093" xr:uid="{00000000-0005-0000-0000-0000C5370000}"/>
    <cellStyle name="60% - 强调文字颜色 4 4 18 8" xfId="12100" xr:uid="{00000000-0005-0000-0000-0000C6370000}"/>
    <cellStyle name="60% - 强调文字颜色 4 4 18 9" xfId="23162" xr:uid="{00000000-0005-0000-0000-0000C7370000}"/>
    <cellStyle name="60% - 强调文字颜色 4 4 18 9 2" xfId="6266" xr:uid="{00000000-0005-0000-0000-0000C8370000}"/>
    <cellStyle name="60% - 强调文字颜色 4 4 18 9 3" xfId="6274" xr:uid="{00000000-0005-0000-0000-0000C9370000}"/>
    <cellStyle name="60% - 强调文字颜色 4 4 19" xfId="14357" xr:uid="{00000000-0005-0000-0000-0000CA370000}"/>
    <cellStyle name="60% - 强调文字颜色 4 4 19 10" xfId="4228" xr:uid="{00000000-0005-0000-0000-0000CB370000}"/>
    <cellStyle name="60% - 强调文字颜色 4 4 19 11" xfId="2061" xr:uid="{00000000-0005-0000-0000-0000CC370000}"/>
    <cellStyle name="60% - 强调文字颜色 4 4 19 12" xfId="2091" xr:uid="{00000000-0005-0000-0000-0000CD370000}"/>
    <cellStyle name="60% - 强调文字颜色 4 4 19 13" xfId="23166" xr:uid="{00000000-0005-0000-0000-0000CE370000}"/>
    <cellStyle name="60% - 强调文字颜色 4 4 19 14" xfId="23168" xr:uid="{00000000-0005-0000-0000-0000CF370000}"/>
    <cellStyle name="60% - 强调文字颜色 4 4 19 2" xfId="7568" xr:uid="{00000000-0005-0000-0000-0000D0370000}"/>
    <cellStyle name="60% - 强调文字颜色 4 4 19 3" xfId="12111" xr:uid="{00000000-0005-0000-0000-0000D1370000}"/>
    <cellStyle name="60% - 强调文字颜色 4 4 19 4" xfId="12115" xr:uid="{00000000-0005-0000-0000-0000D2370000}"/>
    <cellStyle name="60% - 强调文字颜色 4 4 19 5" xfId="12192" xr:uid="{00000000-0005-0000-0000-0000D3370000}"/>
    <cellStyle name="60% - 强调文字颜色 4 4 19 5 10" xfId="917" xr:uid="{00000000-0005-0000-0000-0000D4370000}"/>
    <cellStyle name="60% - 强调文字颜色 4 4 19 5 11" xfId="956" xr:uid="{00000000-0005-0000-0000-0000D5370000}"/>
    <cellStyle name="60% - 强调文字颜色 4 4 19 5 2" xfId="1205" xr:uid="{00000000-0005-0000-0000-0000D6370000}"/>
    <cellStyle name="60% - 强调文字颜色 4 4 19 5 2 2" xfId="10504" xr:uid="{00000000-0005-0000-0000-0000D7370000}"/>
    <cellStyle name="60% - 强调文字颜色 4 4 19 5 2 2 2" xfId="3049" xr:uid="{00000000-0005-0000-0000-0000D8370000}"/>
    <cellStyle name="60% - 强调文字颜色 4 4 19 5 2 2 3" xfId="5851" xr:uid="{00000000-0005-0000-0000-0000D9370000}"/>
    <cellStyle name="60% - 强调文字颜色 4 4 19 5 2 3" xfId="10521" xr:uid="{00000000-0005-0000-0000-0000DA370000}"/>
    <cellStyle name="60% - 强调文字颜色 4 4 19 5 2 4" xfId="18484" xr:uid="{00000000-0005-0000-0000-0000DB370000}"/>
    <cellStyle name="60% - 强调文字颜色 4 4 19 5 2 5" xfId="23169" xr:uid="{00000000-0005-0000-0000-0000DC370000}"/>
    <cellStyle name="60% - 强调文字颜色 4 4 19 5 2 6" xfId="23170" xr:uid="{00000000-0005-0000-0000-0000DD370000}"/>
    <cellStyle name="60% - 强调文字颜色 4 4 19 5 2 7" xfId="23171" xr:uid="{00000000-0005-0000-0000-0000DE370000}"/>
    <cellStyle name="60% - 强调文字颜色 4 4 19 5 2 8" xfId="23172" xr:uid="{00000000-0005-0000-0000-0000DF370000}"/>
    <cellStyle name="60% - 强调文字颜色 4 4 19 5 3" xfId="528" xr:uid="{00000000-0005-0000-0000-0000E0370000}"/>
    <cellStyle name="60% - 强调文字颜色 4 4 19 5 4" xfId="6037" xr:uid="{00000000-0005-0000-0000-0000E1370000}"/>
    <cellStyle name="60% - 强调文字颜色 4 4 19 5 5" xfId="6043" xr:uid="{00000000-0005-0000-0000-0000E2370000}"/>
    <cellStyle name="60% - 强调文字颜色 4 4 19 5 6" xfId="6050" xr:uid="{00000000-0005-0000-0000-0000E3370000}"/>
    <cellStyle name="60% - 强调文字颜色 4 4 19 5 6 2" xfId="4191" xr:uid="{00000000-0005-0000-0000-0000E4370000}"/>
    <cellStyle name="60% - 强调文字颜色 4 4 19 5 6 3" xfId="21751" xr:uid="{00000000-0005-0000-0000-0000E5370000}"/>
    <cellStyle name="60% - 强调文字颜色 4 4 19 5 7" xfId="6056" xr:uid="{00000000-0005-0000-0000-0000E6370000}"/>
    <cellStyle name="60% - 强调文字颜色 4 4 19 5 8" xfId="6063" xr:uid="{00000000-0005-0000-0000-0000E7370000}"/>
    <cellStyle name="60% - 强调文字颜色 4 4 19 5 9" xfId="1888" xr:uid="{00000000-0005-0000-0000-0000E8370000}"/>
    <cellStyle name="60% - 强调文字颜色 4 4 19 6" xfId="12196" xr:uid="{00000000-0005-0000-0000-0000E9370000}"/>
    <cellStyle name="60% - 强调文字颜色 4 4 19 6 2" xfId="23175" xr:uid="{00000000-0005-0000-0000-0000EA370000}"/>
    <cellStyle name="60% - 强调文字颜色 4 4 19 6 2 2" xfId="12079" xr:uid="{00000000-0005-0000-0000-0000EB370000}"/>
    <cellStyle name="60% - 强调文字颜色 4 4 19 6 2 3" xfId="23176" xr:uid="{00000000-0005-0000-0000-0000EC370000}"/>
    <cellStyle name="60% - 强调文字颜色 4 4 19 6 3" xfId="23179" xr:uid="{00000000-0005-0000-0000-0000ED370000}"/>
    <cellStyle name="60% - 强调文字颜色 4 4 19 6 4" xfId="23182" xr:uid="{00000000-0005-0000-0000-0000EE370000}"/>
    <cellStyle name="60% - 强调文字颜色 4 4 19 6 5" xfId="23185" xr:uid="{00000000-0005-0000-0000-0000EF370000}"/>
    <cellStyle name="60% - 强调文字颜色 4 4 19 6 6" xfId="23188" xr:uid="{00000000-0005-0000-0000-0000F0370000}"/>
    <cellStyle name="60% - 强调文字颜色 4 4 19 6 7" xfId="23189" xr:uid="{00000000-0005-0000-0000-0000F1370000}"/>
    <cellStyle name="60% - 强调文字颜色 4 4 19 6 8" xfId="213" xr:uid="{00000000-0005-0000-0000-0000F2370000}"/>
    <cellStyle name="60% - 强调文字颜色 4 4 19 7" xfId="12199" xr:uid="{00000000-0005-0000-0000-0000F3370000}"/>
    <cellStyle name="60% - 强调文字颜色 4 4 19 8" xfId="10474" xr:uid="{00000000-0005-0000-0000-0000F4370000}"/>
    <cellStyle name="60% - 强调文字颜色 4 4 19 9" xfId="23190" xr:uid="{00000000-0005-0000-0000-0000F5370000}"/>
    <cellStyle name="60% - 强调文字颜色 4 4 19 9 2" xfId="21793" xr:uid="{00000000-0005-0000-0000-0000F6370000}"/>
    <cellStyle name="60% - 强调文字颜色 4 4 19 9 3" xfId="21797" xr:uid="{00000000-0005-0000-0000-0000F7370000}"/>
    <cellStyle name="60% - 强调文字颜色 4 4 2" xfId="23194" xr:uid="{00000000-0005-0000-0000-0000F8370000}"/>
    <cellStyle name="60% - 强调文字颜色 4 4 20" xfId="21315" xr:uid="{00000000-0005-0000-0000-0000F9370000}"/>
    <cellStyle name="60% - 强调文字颜色 4 4 20 10" xfId="18077" xr:uid="{00000000-0005-0000-0000-0000FA370000}"/>
    <cellStyle name="60% - 强调文字颜色 4 4 20 11" xfId="18081" xr:uid="{00000000-0005-0000-0000-0000FB370000}"/>
    <cellStyle name="60% - 强调文字颜色 4 4 20 12" xfId="18085" xr:uid="{00000000-0005-0000-0000-0000FC370000}"/>
    <cellStyle name="60% - 强调文字颜色 4 4 20 13" xfId="18088" xr:uid="{00000000-0005-0000-0000-0000FD370000}"/>
    <cellStyle name="60% - 强调文字颜色 4 4 20 14" xfId="18091" xr:uid="{00000000-0005-0000-0000-0000FE370000}"/>
    <cellStyle name="60% - 强调文字颜色 4 4 20 2" xfId="7236" xr:uid="{00000000-0005-0000-0000-0000FF370000}"/>
    <cellStyle name="60% - 强调文字颜色 4 4 20 3" xfId="7247" xr:uid="{00000000-0005-0000-0000-000000380000}"/>
    <cellStyle name="60% - 强调文字颜色 4 4 20 4" xfId="12245" xr:uid="{00000000-0005-0000-0000-000001380000}"/>
    <cellStyle name="60% - 强调文字颜色 4 4 20 5" xfId="12277" xr:uid="{00000000-0005-0000-0000-000002380000}"/>
    <cellStyle name="60% - 强调文字颜色 4 4 20 5 10" xfId="23195" xr:uid="{00000000-0005-0000-0000-000003380000}"/>
    <cellStyle name="60% - 强调文字颜色 4 4 20 5 11" xfId="23196" xr:uid="{00000000-0005-0000-0000-000004380000}"/>
    <cellStyle name="60% - 强调文字颜色 4 4 20 5 2" xfId="11247" xr:uid="{00000000-0005-0000-0000-000005380000}"/>
    <cellStyle name="60% - 强调文字颜色 4 4 20 5 2 2" xfId="12281" xr:uid="{00000000-0005-0000-0000-000006380000}"/>
    <cellStyle name="60% - 强调文字颜色 4 4 20 5 2 2 2" xfId="16800" xr:uid="{00000000-0005-0000-0000-000007380000}"/>
    <cellStyle name="60% - 强调文字颜色 4 4 20 5 2 2 3" xfId="16805" xr:uid="{00000000-0005-0000-0000-000008380000}"/>
    <cellStyle name="60% - 强调文字颜色 4 4 20 5 2 3" xfId="12287" xr:uid="{00000000-0005-0000-0000-000009380000}"/>
    <cellStyle name="60% - 强调文字颜色 4 4 20 5 2 4" xfId="14947" xr:uid="{00000000-0005-0000-0000-00000A380000}"/>
    <cellStyle name="60% - 强调文字颜色 4 4 20 5 2 5" xfId="16808" xr:uid="{00000000-0005-0000-0000-00000B380000}"/>
    <cellStyle name="60% - 强调文字颜色 4 4 20 5 2 6" xfId="23197" xr:uid="{00000000-0005-0000-0000-00000C380000}"/>
    <cellStyle name="60% - 强调文字颜色 4 4 20 5 2 7" xfId="23198" xr:uid="{00000000-0005-0000-0000-00000D380000}"/>
    <cellStyle name="60% - 强调文字颜色 4 4 20 5 2 8" xfId="23199" xr:uid="{00000000-0005-0000-0000-00000E380000}"/>
    <cellStyle name="60% - 强调文字颜色 4 4 20 5 3" xfId="9277" xr:uid="{00000000-0005-0000-0000-00000F380000}"/>
    <cellStyle name="60% - 强调文字颜色 4 4 20 5 4" xfId="9287" xr:uid="{00000000-0005-0000-0000-000010380000}"/>
    <cellStyle name="60% - 强调文字颜色 4 4 20 5 5" xfId="12296" xr:uid="{00000000-0005-0000-0000-000011380000}"/>
    <cellStyle name="60% - 强调文字颜色 4 4 20 5 6" xfId="12304" xr:uid="{00000000-0005-0000-0000-000012380000}"/>
    <cellStyle name="60% - 强调文字颜色 4 4 20 5 6 2" xfId="23201" xr:uid="{00000000-0005-0000-0000-000013380000}"/>
    <cellStyle name="60% - 强调文字颜色 4 4 20 5 6 3" xfId="23203" xr:uid="{00000000-0005-0000-0000-000014380000}"/>
    <cellStyle name="60% - 强调文字颜色 4 4 20 5 7" xfId="12308" xr:uid="{00000000-0005-0000-0000-000015380000}"/>
    <cellStyle name="60% - 强调文字颜色 4 4 20 5 8" xfId="12312" xr:uid="{00000000-0005-0000-0000-000016380000}"/>
    <cellStyle name="60% - 强调文字颜色 4 4 20 5 9" xfId="23204" xr:uid="{00000000-0005-0000-0000-000017380000}"/>
    <cellStyle name="60% - 强调文字颜色 4 4 20 6" xfId="12316" xr:uid="{00000000-0005-0000-0000-000018380000}"/>
    <cellStyle name="60% - 强调文字颜色 4 4 20 6 2" xfId="2933" xr:uid="{00000000-0005-0000-0000-000019380000}"/>
    <cellStyle name="60% - 强调文字颜色 4 4 20 6 2 2" xfId="11313" xr:uid="{00000000-0005-0000-0000-00001A380000}"/>
    <cellStyle name="60% - 强调文字颜色 4 4 20 6 2 3" xfId="11316" xr:uid="{00000000-0005-0000-0000-00001B380000}"/>
    <cellStyle name="60% - 强调文字颜色 4 4 20 6 3" xfId="11333" xr:uid="{00000000-0005-0000-0000-00001C380000}"/>
    <cellStyle name="60% - 强调文字颜色 4 4 20 6 4" xfId="23205" xr:uid="{00000000-0005-0000-0000-00001D380000}"/>
    <cellStyle name="60% - 强调文字颜色 4 4 20 6 5" xfId="23206" xr:uid="{00000000-0005-0000-0000-00001E380000}"/>
    <cellStyle name="60% - 强调文字颜色 4 4 20 6 6" xfId="23207" xr:uid="{00000000-0005-0000-0000-00001F380000}"/>
    <cellStyle name="60% - 强调文字颜色 4 4 20 6 7" xfId="23208" xr:uid="{00000000-0005-0000-0000-000020380000}"/>
    <cellStyle name="60% - 强调文字颜色 4 4 20 6 8" xfId="21264" xr:uid="{00000000-0005-0000-0000-000021380000}"/>
    <cellStyle name="60% - 强调文字颜色 4 4 20 7" xfId="2953" xr:uid="{00000000-0005-0000-0000-000022380000}"/>
    <cellStyle name="60% - 强调文字颜色 4 4 20 8" xfId="2968" xr:uid="{00000000-0005-0000-0000-000023380000}"/>
    <cellStyle name="60% - 强调文字颜色 4 4 20 9" xfId="21583" xr:uid="{00000000-0005-0000-0000-000024380000}"/>
    <cellStyle name="60% - 强调文字颜色 4 4 20 9 2" xfId="3781" xr:uid="{00000000-0005-0000-0000-000025380000}"/>
    <cellStyle name="60% - 强调文字颜色 4 4 20 9 3" xfId="3791" xr:uid="{00000000-0005-0000-0000-000026380000}"/>
    <cellStyle name="60% - 强调文字颜色 4 4 3" xfId="23211" xr:uid="{00000000-0005-0000-0000-000027380000}"/>
    <cellStyle name="60% - 强调文字颜色 4 4 4" xfId="23214" xr:uid="{00000000-0005-0000-0000-000028380000}"/>
    <cellStyle name="60% - 强调文字颜色 4 4 5" xfId="23217" xr:uid="{00000000-0005-0000-0000-000029380000}"/>
    <cellStyle name="60% - 强调文字颜色 4 4 6" xfId="23220" xr:uid="{00000000-0005-0000-0000-00002A380000}"/>
    <cellStyle name="60% - 强调文字颜色 4 4 7" xfId="23221" xr:uid="{00000000-0005-0000-0000-00002B380000}"/>
    <cellStyle name="60% - 强调文字颜色 4 4 8" xfId="23222" xr:uid="{00000000-0005-0000-0000-00002C380000}"/>
    <cellStyle name="60% - 强调文字颜色 4 4 9" xfId="23223" xr:uid="{00000000-0005-0000-0000-00002D380000}"/>
    <cellStyle name="60% - 强调文字颜色 4 5" xfId="23224" xr:uid="{00000000-0005-0000-0000-00002E380000}"/>
    <cellStyle name="60% - 强调文字颜色 4 5 10" xfId="23225" xr:uid="{00000000-0005-0000-0000-00002F380000}"/>
    <cellStyle name="60% - 强调文字颜色 4 5 11" xfId="23226" xr:uid="{00000000-0005-0000-0000-000030380000}"/>
    <cellStyle name="60% - 强调文字颜色 4 5 12" xfId="23228" xr:uid="{00000000-0005-0000-0000-000031380000}"/>
    <cellStyle name="60% - 强调文字颜色 4 5 13" xfId="23021" xr:uid="{00000000-0005-0000-0000-000032380000}"/>
    <cellStyle name="60% - 强调文字颜色 4 5 14" xfId="8556" xr:uid="{00000000-0005-0000-0000-000033380000}"/>
    <cellStyle name="60% - 强调文字颜色 4 5 2" xfId="7914" xr:uid="{00000000-0005-0000-0000-000034380000}"/>
    <cellStyle name="60% - 强调文字颜色 4 5 3" xfId="7917" xr:uid="{00000000-0005-0000-0000-000035380000}"/>
    <cellStyle name="60% - 强调文字颜色 4 5 4" xfId="23230" xr:uid="{00000000-0005-0000-0000-000036380000}"/>
    <cellStyle name="60% - 强调文字颜色 4 5 5" xfId="23232" xr:uid="{00000000-0005-0000-0000-000037380000}"/>
    <cellStyle name="60% - 强调文字颜色 4 5 6" xfId="23234" xr:uid="{00000000-0005-0000-0000-000038380000}"/>
    <cellStyle name="60% - 强调文字颜色 4 5 7" xfId="23235" xr:uid="{00000000-0005-0000-0000-000039380000}"/>
    <cellStyle name="60% - 强调文字颜色 4 5 8" xfId="23236" xr:uid="{00000000-0005-0000-0000-00003A380000}"/>
    <cellStyle name="60% - 强调文字颜色 4 5 9" xfId="23237" xr:uid="{00000000-0005-0000-0000-00003B380000}"/>
    <cellStyle name="60% - 强调文字颜色 4 6" xfId="23238" xr:uid="{00000000-0005-0000-0000-00003C380000}"/>
    <cellStyle name="60% - 强调文字颜色 4 6 10" xfId="23239" xr:uid="{00000000-0005-0000-0000-00003D380000}"/>
    <cellStyle name="60% - 强调文字颜色 4 6 11" xfId="23240" xr:uid="{00000000-0005-0000-0000-00003E380000}"/>
    <cellStyle name="60% - 强调文字颜色 4 6 12" xfId="18891" xr:uid="{00000000-0005-0000-0000-00003F380000}"/>
    <cellStyle name="60% - 强调文字颜色 4 6 13" xfId="18905" xr:uid="{00000000-0005-0000-0000-000040380000}"/>
    <cellStyle name="60% - 强调文字颜色 4 6 14" xfId="18907" xr:uid="{00000000-0005-0000-0000-000041380000}"/>
    <cellStyle name="60% - 强调文字颜色 4 6 2" xfId="23242" xr:uid="{00000000-0005-0000-0000-000042380000}"/>
    <cellStyle name="60% - 强调文字颜色 4 6 3" xfId="768" xr:uid="{00000000-0005-0000-0000-000043380000}"/>
    <cellStyle name="60% - 强调文字颜色 4 6 4" xfId="498" xr:uid="{00000000-0005-0000-0000-000044380000}"/>
    <cellStyle name="60% - 强调文字颜色 4 6 5" xfId="775" xr:uid="{00000000-0005-0000-0000-000045380000}"/>
    <cellStyle name="60% - 强调文字颜色 4 6 6" xfId="782" xr:uid="{00000000-0005-0000-0000-000046380000}"/>
    <cellStyle name="60% - 强调文字颜色 4 6 7" xfId="796" xr:uid="{00000000-0005-0000-0000-000047380000}"/>
    <cellStyle name="60% - 强调文字颜色 4 6 8" xfId="23246" xr:uid="{00000000-0005-0000-0000-000048380000}"/>
    <cellStyle name="60% - 强调文字颜色 4 6 9" xfId="23249" xr:uid="{00000000-0005-0000-0000-000049380000}"/>
    <cellStyle name="60% - 强调文字颜色 4 7" xfId="23250" xr:uid="{00000000-0005-0000-0000-00004A380000}"/>
    <cellStyle name="60% - 强调文字颜色 4 8" xfId="23251" xr:uid="{00000000-0005-0000-0000-00004B380000}"/>
    <cellStyle name="60% - 强调文字颜色 4 9" xfId="6316" xr:uid="{00000000-0005-0000-0000-00004C380000}"/>
    <cellStyle name="60% - 强调文字颜色 5 10" xfId="23252" xr:uid="{00000000-0005-0000-0000-00004D380000}"/>
    <cellStyle name="60% - 强调文字颜色 5 11" xfId="23254" xr:uid="{00000000-0005-0000-0000-00004E380000}"/>
    <cellStyle name="60% - 强调文字颜色 5 12" xfId="3663" xr:uid="{00000000-0005-0000-0000-00004F380000}"/>
    <cellStyle name="60% - 强调文字颜色 5 12 10" xfId="23256" xr:uid="{00000000-0005-0000-0000-000050380000}"/>
    <cellStyle name="60% - 强调文字颜色 5 12 11" xfId="23257" xr:uid="{00000000-0005-0000-0000-000051380000}"/>
    <cellStyle name="60% - 强调文字颜色 5 12 12" xfId="23258" xr:uid="{00000000-0005-0000-0000-000052380000}"/>
    <cellStyle name="60% - 强调文字颜色 5 12 13" xfId="16064" xr:uid="{00000000-0005-0000-0000-000053380000}"/>
    <cellStyle name="60% - 强调文字颜色 5 12 14" xfId="16070" xr:uid="{00000000-0005-0000-0000-000054380000}"/>
    <cellStyle name="60% - 强调文字颜色 5 12 2" xfId="23260" xr:uid="{00000000-0005-0000-0000-000055380000}"/>
    <cellStyle name="60% - 强调文字颜色 5 12 3" xfId="23262" xr:uid="{00000000-0005-0000-0000-000056380000}"/>
    <cellStyle name="60% - 强调文字颜色 5 12 4" xfId="23267" xr:uid="{00000000-0005-0000-0000-000057380000}"/>
    <cellStyle name="60% - 强调文字颜色 5 12 5" xfId="23270" xr:uid="{00000000-0005-0000-0000-000058380000}"/>
    <cellStyle name="60% - 强调文字颜色 5 12 5 10" xfId="1126" xr:uid="{00000000-0005-0000-0000-000059380000}"/>
    <cellStyle name="60% - 强调文字颜色 5 12 5 11" xfId="23272" xr:uid="{00000000-0005-0000-0000-00005A380000}"/>
    <cellStyle name="60% - 强调文字颜色 5 12 5 2" xfId="13166" xr:uid="{00000000-0005-0000-0000-00005B380000}"/>
    <cellStyle name="60% - 强调文字颜色 5 12 5 2 2" xfId="23273" xr:uid="{00000000-0005-0000-0000-00005C380000}"/>
    <cellStyle name="60% - 强调文字颜色 5 12 5 2 2 2" xfId="17838" xr:uid="{00000000-0005-0000-0000-00005D380000}"/>
    <cellStyle name="60% - 强调文字颜色 5 12 5 2 2 3" xfId="23274" xr:uid="{00000000-0005-0000-0000-00005E380000}"/>
    <cellStyle name="60% - 强调文字颜色 5 12 5 2 3" xfId="23276" xr:uid="{00000000-0005-0000-0000-00005F380000}"/>
    <cellStyle name="60% - 强调文字颜色 5 12 5 2 4" xfId="23277" xr:uid="{00000000-0005-0000-0000-000060380000}"/>
    <cellStyle name="60% - 强调文字颜色 5 12 5 2 5" xfId="23278" xr:uid="{00000000-0005-0000-0000-000061380000}"/>
    <cellStyle name="60% - 强调文字颜色 5 12 5 2 6" xfId="11405" xr:uid="{00000000-0005-0000-0000-000062380000}"/>
    <cellStyle name="60% - 强调文字颜色 5 12 5 2 7" xfId="11407" xr:uid="{00000000-0005-0000-0000-000063380000}"/>
    <cellStyle name="60% - 强调文字颜色 5 12 5 2 8" xfId="15900" xr:uid="{00000000-0005-0000-0000-000064380000}"/>
    <cellStyle name="60% - 强调文字颜色 5 12 5 3" xfId="13171" xr:uid="{00000000-0005-0000-0000-000065380000}"/>
    <cellStyle name="60% - 强调文字颜色 5 12 5 4" xfId="13178" xr:uid="{00000000-0005-0000-0000-000066380000}"/>
    <cellStyle name="60% - 强调文字颜色 5 12 5 5" xfId="5779" xr:uid="{00000000-0005-0000-0000-000067380000}"/>
    <cellStyle name="60% - 强调文字颜色 5 12 5 6" xfId="5812" xr:uid="{00000000-0005-0000-0000-000068380000}"/>
    <cellStyle name="60% - 强调文字颜色 5 12 5 6 2" xfId="23281" xr:uid="{00000000-0005-0000-0000-000069380000}"/>
    <cellStyle name="60% - 强调文字颜色 5 12 5 6 3" xfId="23283" xr:uid="{00000000-0005-0000-0000-00006A380000}"/>
    <cellStyle name="60% - 强调文字颜色 5 12 5 7" xfId="5820" xr:uid="{00000000-0005-0000-0000-00006B380000}"/>
    <cellStyle name="60% - 强调文字颜色 5 12 5 8" xfId="5827" xr:uid="{00000000-0005-0000-0000-00006C380000}"/>
    <cellStyle name="60% - 强调文字颜色 5 12 5 9" xfId="5833" xr:uid="{00000000-0005-0000-0000-00006D380000}"/>
    <cellStyle name="60% - 强调文字颜色 5 12 6" xfId="16469" xr:uid="{00000000-0005-0000-0000-00006E380000}"/>
    <cellStyle name="60% - 强调文字颜色 5 12 6 2" xfId="6759" xr:uid="{00000000-0005-0000-0000-00006F380000}"/>
    <cellStyle name="60% - 强调文字颜色 5 12 6 2 2" xfId="347" xr:uid="{00000000-0005-0000-0000-000070380000}"/>
    <cellStyle name="60% - 强调文字颜色 5 12 6 2 3" xfId="23284" xr:uid="{00000000-0005-0000-0000-000071380000}"/>
    <cellStyle name="60% - 强调文字颜色 5 12 6 3" xfId="15697" xr:uid="{00000000-0005-0000-0000-000072380000}"/>
    <cellStyle name="60% - 强调文字颜色 5 12 6 4" xfId="15702" xr:uid="{00000000-0005-0000-0000-000073380000}"/>
    <cellStyle name="60% - 强调文字颜色 5 12 6 5" xfId="15703" xr:uid="{00000000-0005-0000-0000-000074380000}"/>
    <cellStyle name="60% - 强调文字颜色 5 12 6 6" xfId="15708" xr:uid="{00000000-0005-0000-0000-000075380000}"/>
    <cellStyle name="60% - 强调文字颜色 5 12 6 7" xfId="15716" xr:uid="{00000000-0005-0000-0000-000076380000}"/>
    <cellStyle name="60% - 强调文字颜色 5 12 6 8" xfId="23287" xr:uid="{00000000-0005-0000-0000-000077380000}"/>
    <cellStyle name="60% - 强调文字颜色 5 12 7" xfId="16472" xr:uid="{00000000-0005-0000-0000-000078380000}"/>
    <cellStyle name="60% - 强调文字颜色 5 12 8" xfId="23289" xr:uid="{00000000-0005-0000-0000-000079380000}"/>
    <cellStyle name="60% - 强调文字颜色 5 12 9" xfId="14849" xr:uid="{00000000-0005-0000-0000-00007A380000}"/>
    <cellStyle name="60% - 强调文字颜色 5 12 9 2" xfId="23291" xr:uid="{00000000-0005-0000-0000-00007B380000}"/>
    <cellStyle name="60% - 强调文字颜色 5 12 9 3" xfId="23293" xr:uid="{00000000-0005-0000-0000-00007C380000}"/>
    <cellStyle name="60% - 强调文字颜色 5 13" xfId="3672" xr:uid="{00000000-0005-0000-0000-00007D380000}"/>
    <cellStyle name="60% - 强调文字颜色 5 14" xfId="3679" xr:uid="{00000000-0005-0000-0000-00007E380000}"/>
    <cellStyle name="60% - 强调文字颜色 5 15" xfId="2557" xr:uid="{00000000-0005-0000-0000-00007F380000}"/>
    <cellStyle name="60% - 强调文字颜色 5 16" xfId="2577" xr:uid="{00000000-0005-0000-0000-000080380000}"/>
    <cellStyle name="60% - 强调文字颜色 5 16 10" xfId="23294" xr:uid="{00000000-0005-0000-0000-000081380000}"/>
    <cellStyle name="60% - 强调文字颜色 5 16 11" xfId="23295" xr:uid="{00000000-0005-0000-0000-000082380000}"/>
    <cellStyle name="60% - 强调文字颜色 5 16 12" xfId="23296" xr:uid="{00000000-0005-0000-0000-000083380000}"/>
    <cellStyle name="60% - 强调文字颜色 5 16 13" xfId="23297" xr:uid="{00000000-0005-0000-0000-000084380000}"/>
    <cellStyle name="60% - 强调文字颜色 5 16 14" xfId="23298" xr:uid="{00000000-0005-0000-0000-000085380000}"/>
    <cellStyle name="60% - 强调文字颜色 5 16 2" xfId="21233" xr:uid="{00000000-0005-0000-0000-000086380000}"/>
    <cellStyle name="60% - 强调文字颜色 5 16 3" xfId="21279" xr:uid="{00000000-0005-0000-0000-000087380000}"/>
    <cellStyle name="60% - 强调文字颜色 5 16 4" xfId="21307" xr:uid="{00000000-0005-0000-0000-000088380000}"/>
    <cellStyle name="60% - 强调文字颜色 5 16 5" xfId="23299" xr:uid="{00000000-0005-0000-0000-000089380000}"/>
    <cellStyle name="60% - 强调文字颜色 5 16 5 10" xfId="10086" xr:uid="{00000000-0005-0000-0000-00008A380000}"/>
    <cellStyle name="60% - 强调文字颜色 5 16 5 11" xfId="10088" xr:uid="{00000000-0005-0000-0000-00008B380000}"/>
    <cellStyle name="60% - 强调文字颜色 5 16 5 2" xfId="3483" xr:uid="{00000000-0005-0000-0000-00008C380000}"/>
    <cellStyle name="60% - 强调文字颜色 5 16 5 2 2" xfId="16447" xr:uid="{00000000-0005-0000-0000-00008D380000}"/>
    <cellStyle name="60% - 强调文字颜色 5 16 5 2 2 2" xfId="11177" xr:uid="{00000000-0005-0000-0000-00008E380000}"/>
    <cellStyle name="60% - 强调文字颜色 5 16 5 2 2 3" xfId="11179" xr:uid="{00000000-0005-0000-0000-00008F380000}"/>
    <cellStyle name="60% - 强调文字颜色 5 16 5 2 3" xfId="16449" xr:uid="{00000000-0005-0000-0000-000090380000}"/>
    <cellStyle name="60% - 强调文字颜色 5 16 5 2 4" xfId="16453" xr:uid="{00000000-0005-0000-0000-000091380000}"/>
    <cellStyle name="60% - 强调文字颜色 5 16 5 2 5" xfId="3959" xr:uid="{00000000-0005-0000-0000-000092380000}"/>
    <cellStyle name="60% - 强调文字颜色 5 16 5 2 6" xfId="3984" xr:uid="{00000000-0005-0000-0000-000093380000}"/>
    <cellStyle name="60% - 强调文字颜色 5 16 5 2 7" xfId="4916" xr:uid="{00000000-0005-0000-0000-000094380000}"/>
    <cellStyle name="60% - 强调文字颜色 5 16 5 2 8" xfId="5218" xr:uid="{00000000-0005-0000-0000-000095380000}"/>
    <cellStyle name="60% - 强调文字颜色 5 16 5 3" xfId="3488" xr:uid="{00000000-0005-0000-0000-000096380000}"/>
    <cellStyle name="60% - 强调文字颜色 5 16 5 4" xfId="17654" xr:uid="{00000000-0005-0000-0000-000097380000}"/>
    <cellStyle name="60% - 强调文字颜色 5 16 5 5" xfId="17658" xr:uid="{00000000-0005-0000-0000-000098380000}"/>
    <cellStyle name="60% - 强调文字颜色 5 16 5 6" xfId="8086" xr:uid="{00000000-0005-0000-0000-000099380000}"/>
    <cellStyle name="60% - 强调文字颜色 5 16 5 6 2" xfId="15694" xr:uid="{00000000-0005-0000-0000-00009A380000}"/>
    <cellStyle name="60% - 强调文字颜色 5 16 5 6 3" xfId="15699" xr:uid="{00000000-0005-0000-0000-00009B380000}"/>
    <cellStyle name="60% - 强调文字颜色 5 16 5 7" xfId="8104" xr:uid="{00000000-0005-0000-0000-00009C380000}"/>
    <cellStyle name="60% - 强调文字颜色 5 16 5 8" xfId="23301" xr:uid="{00000000-0005-0000-0000-00009D380000}"/>
    <cellStyle name="60% - 强调文字颜色 5 16 5 9" xfId="23303" xr:uid="{00000000-0005-0000-0000-00009E380000}"/>
    <cellStyle name="60% - 强调文字颜色 5 16 6" xfId="23305" xr:uid="{00000000-0005-0000-0000-00009F380000}"/>
    <cellStyle name="60% - 强调文字颜色 5 16 6 2" xfId="3341" xr:uid="{00000000-0005-0000-0000-0000A0380000}"/>
    <cellStyle name="60% - 强调文字颜色 5 16 6 2 2" xfId="17251" xr:uid="{00000000-0005-0000-0000-0000A1380000}"/>
    <cellStyle name="60% - 强调文字颜色 5 16 6 2 3" xfId="17256" xr:uid="{00000000-0005-0000-0000-0000A2380000}"/>
    <cellStyle name="60% - 强调文字颜色 5 16 6 3" xfId="3354" xr:uid="{00000000-0005-0000-0000-0000A3380000}"/>
    <cellStyle name="60% - 强调文字颜色 5 16 6 4" xfId="3369" xr:uid="{00000000-0005-0000-0000-0000A4380000}"/>
    <cellStyle name="60% - 强调文字颜色 5 16 6 5" xfId="15771" xr:uid="{00000000-0005-0000-0000-0000A5380000}"/>
    <cellStyle name="60% - 强调文字颜色 5 16 6 6" xfId="15774" xr:uid="{00000000-0005-0000-0000-0000A6380000}"/>
    <cellStyle name="60% - 强调文字颜色 5 16 6 7" xfId="15777" xr:uid="{00000000-0005-0000-0000-0000A7380000}"/>
    <cellStyle name="60% - 强调文字颜色 5 16 6 8" xfId="23306" xr:uid="{00000000-0005-0000-0000-0000A8380000}"/>
    <cellStyle name="60% - 强调文字颜色 5 16 7" xfId="23308" xr:uid="{00000000-0005-0000-0000-0000A9380000}"/>
    <cellStyle name="60% - 强调文字颜色 5 16 8" xfId="23310" xr:uid="{00000000-0005-0000-0000-0000AA380000}"/>
    <cellStyle name="60% - 强调文字颜色 5 16 9" xfId="23312" xr:uid="{00000000-0005-0000-0000-0000AB380000}"/>
    <cellStyle name="60% - 强调文字颜色 5 16 9 2" xfId="20424" xr:uid="{00000000-0005-0000-0000-0000AC380000}"/>
    <cellStyle name="60% - 强调文字颜色 5 16 9 3" xfId="23315" xr:uid="{00000000-0005-0000-0000-0000AD380000}"/>
    <cellStyle name="60% - 强调文字颜色 5 17" xfId="8063" xr:uid="{00000000-0005-0000-0000-0000AE380000}"/>
    <cellStyle name="60% - 强调文字颜色 5 17 10" xfId="21946" xr:uid="{00000000-0005-0000-0000-0000AF380000}"/>
    <cellStyle name="60% - 强调文字颜色 5 17 11" xfId="21948" xr:uid="{00000000-0005-0000-0000-0000B0380000}"/>
    <cellStyle name="60% - 强调文字颜色 5 17 12" xfId="21950" xr:uid="{00000000-0005-0000-0000-0000B1380000}"/>
    <cellStyle name="60% - 强调文字颜色 5 17 13" xfId="18422" xr:uid="{00000000-0005-0000-0000-0000B2380000}"/>
    <cellStyle name="60% - 强调文字颜色 5 17 14" xfId="18424" xr:uid="{00000000-0005-0000-0000-0000B3380000}"/>
    <cellStyle name="60% - 强调文字颜色 5 17 2" xfId="23318" xr:uid="{00000000-0005-0000-0000-0000B4380000}"/>
    <cellStyle name="60% - 强调文字颜色 5 17 3" xfId="23319" xr:uid="{00000000-0005-0000-0000-0000B5380000}"/>
    <cellStyle name="60% - 强调文字颜色 5 17 4" xfId="23320" xr:uid="{00000000-0005-0000-0000-0000B6380000}"/>
    <cellStyle name="60% - 强调文字颜色 5 17 5" xfId="23321" xr:uid="{00000000-0005-0000-0000-0000B7380000}"/>
    <cellStyle name="60% - 强调文字颜色 5 17 5 10" xfId="15543" xr:uid="{00000000-0005-0000-0000-0000B8380000}"/>
    <cellStyle name="60% - 强调文字颜色 5 17 5 11" xfId="22921" xr:uid="{00000000-0005-0000-0000-0000B9380000}"/>
    <cellStyle name="60% - 强调文字颜色 5 17 5 2" xfId="23322" xr:uid="{00000000-0005-0000-0000-0000BA380000}"/>
    <cellStyle name="60% - 强调文字颜色 5 17 5 2 2" xfId="23325" xr:uid="{00000000-0005-0000-0000-0000BB380000}"/>
    <cellStyle name="60% - 强调文字颜色 5 17 5 2 2 2" xfId="23326" xr:uid="{00000000-0005-0000-0000-0000BC380000}"/>
    <cellStyle name="60% - 强调文字颜色 5 17 5 2 2 3" xfId="16631" xr:uid="{00000000-0005-0000-0000-0000BD380000}"/>
    <cellStyle name="60% - 强调文字颜色 5 17 5 2 3" xfId="23329" xr:uid="{00000000-0005-0000-0000-0000BE380000}"/>
    <cellStyle name="60% - 强调文字颜色 5 17 5 2 4" xfId="23330" xr:uid="{00000000-0005-0000-0000-0000BF380000}"/>
    <cellStyle name="60% - 强调文字颜色 5 17 5 2 5" xfId="23331" xr:uid="{00000000-0005-0000-0000-0000C0380000}"/>
    <cellStyle name="60% - 强调文字颜色 5 17 5 2 6" xfId="23332" xr:uid="{00000000-0005-0000-0000-0000C1380000}"/>
    <cellStyle name="60% - 强调文字颜色 5 17 5 2 7" xfId="23333" xr:uid="{00000000-0005-0000-0000-0000C2380000}"/>
    <cellStyle name="60% - 强调文字颜色 5 17 5 2 8" xfId="16150" xr:uid="{00000000-0005-0000-0000-0000C3380000}"/>
    <cellStyle name="60% - 强调文字颜色 5 17 5 3" xfId="23336" xr:uid="{00000000-0005-0000-0000-0000C4380000}"/>
    <cellStyle name="60% - 强调文字颜色 5 17 5 4" xfId="19673" xr:uid="{00000000-0005-0000-0000-0000C5380000}"/>
    <cellStyle name="60% - 强调文字颜色 5 17 5 5" xfId="19677" xr:uid="{00000000-0005-0000-0000-0000C6380000}"/>
    <cellStyle name="60% - 强调文字颜色 5 17 5 6" xfId="23339" xr:uid="{00000000-0005-0000-0000-0000C7380000}"/>
    <cellStyle name="60% - 强调文字颜色 5 17 5 6 2" xfId="13552" xr:uid="{00000000-0005-0000-0000-0000C8380000}"/>
    <cellStyle name="60% - 强调文字颜色 5 17 5 6 3" xfId="13556" xr:uid="{00000000-0005-0000-0000-0000C9380000}"/>
    <cellStyle name="60% - 强调文字颜色 5 17 5 7" xfId="22840" xr:uid="{00000000-0005-0000-0000-0000CA380000}"/>
    <cellStyle name="60% - 强调文字颜色 5 17 5 8" xfId="22842" xr:uid="{00000000-0005-0000-0000-0000CB380000}"/>
    <cellStyle name="60% - 强调文字颜色 5 17 5 9" xfId="22844" xr:uid="{00000000-0005-0000-0000-0000CC380000}"/>
    <cellStyle name="60% - 强调文字颜色 5 17 6" xfId="23340" xr:uid="{00000000-0005-0000-0000-0000CD380000}"/>
    <cellStyle name="60% - 强调文字颜色 5 17 6 2" xfId="1581" xr:uid="{00000000-0005-0000-0000-0000CE380000}"/>
    <cellStyle name="60% - 强调文字颜色 5 17 6 2 2" xfId="23341" xr:uid="{00000000-0005-0000-0000-0000CF380000}"/>
    <cellStyle name="60% - 强调文字颜色 5 17 6 2 3" xfId="23343" xr:uid="{00000000-0005-0000-0000-0000D0380000}"/>
    <cellStyle name="60% - 强调文字颜色 5 17 6 3" xfId="1598" xr:uid="{00000000-0005-0000-0000-0000D1380000}"/>
    <cellStyle name="60% - 强调文字颜色 5 17 6 4" xfId="1614" xr:uid="{00000000-0005-0000-0000-0000D2380000}"/>
    <cellStyle name="60% - 强调文字颜色 5 17 6 5" xfId="1636" xr:uid="{00000000-0005-0000-0000-0000D3380000}"/>
    <cellStyle name="60% - 强调文字颜色 5 17 6 6" xfId="1652" xr:uid="{00000000-0005-0000-0000-0000D4380000}"/>
    <cellStyle name="60% - 强调文字颜色 5 17 6 7" xfId="1667" xr:uid="{00000000-0005-0000-0000-0000D5380000}"/>
    <cellStyle name="60% - 强调文字颜色 5 17 6 8" xfId="23345" xr:uid="{00000000-0005-0000-0000-0000D6380000}"/>
    <cellStyle name="60% - 强调文字颜色 5 17 7" xfId="23347" xr:uid="{00000000-0005-0000-0000-0000D7380000}"/>
    <cellStyle name="60% - 强调文字颜色 5 17 8" xfId="23348" xr:uid="{00000000-0005-0000-0000-0000D8380000}"/>
    <cellStyle name="60% - 强调文字颜色 5 17 9" xfId="23349" xr:uid="{00000000-0005-0000-0000-0000D9380000}"/>
    <cellStyle name="60% - 强调文字颜色 5 17 9 2" xfId="23350" xr:uid="{00000000-0005-0000-0000-0000DA380000}"/>
    <cellStyle name="60% - 强调文字颜色 5 17 9 3" xfId="23351" xr:uid="{00000000-0005-0000-0000-0000DB380000}"/>
    <cellStyle name="60% - 强调文字颜色 5 18" xfId="8070" xr:uid="{00000000-0005-0000-0000-0000DC380000}"/>
    <cellStyle name="60% - 强调文字颜色 5 18 10" xfId="3992" xr:uid="{00000000-0005-0000-0000-0000DD380000}"/>
    <cellStyle name="60% - 强调文字颜色 5 18 11" xfId="4001" xr:uid="{00000000-0005-0000-0000-0000DE380000}"/>
    <cellStyle name="60% - 强调文字颜色 5 18 12" xfId="2069" xr:uid="{00000000-0005-0000-0000-0000DF380000}"/>
    <cellStyle name="60% - 强调文字颜色 5 18 13" xfId="3109" xr:uid="{00000000-0005-0000-0000-0000E0380000}"/>
    <cellStyle name="60% - 强调文字颜色 5 18 14" xfId="4011" xr:uid="{00000000-0005-0000-0000-0000E1380000}"/>
    <cellStyle name="60% - 强调文字颜色 5 18 2" xfId="276" xr:uid="{00000000-0005-0000-0000-0000E2380000}"/>
    <cellStyle name="60% - 强调文字颜色 5 18 3" xfId="1354" xr:uid="{00000000-0005-0000-0000-0000E3380000}"/>
    <cellStyle name="60% - 强调文字颜色 5 18 4" xfId="3123" xr:uid="{00000000-0005-0000-0000-0000E4380000}"/>
    <cellStyle name="60% - 强调文字颜色 5 18 5" xfId="3128" xr:uid="{00000000-0005-0000-0000-0000E5380000}"/>
    <cellStyle name="60% - 强调文字颜色 5 18 5 10" xfId="906" xr:uid="{00000000-0005-0000-0000-0000E6380000}"/>
    <cellStyle name="60% - 强调文字颜色 5 18 5 11" xfId="942" xr:uid="{00000000-0005-0000-0000-0000E7380000}"/>
    <cellStyle name="60% - 强调文字颜色 5 18 5 2" xfId="8079" xr:uid="{00000000-0005-0000-0000-0000E8380000}"/>
    <cellStyle name="60% - 强调文字颜色 5 18 5 2 2" xfId="8091" xr:uid="{00000000-0005-0000-0000-0000E9380000}"/>
    <cellStyle name="60% - 强调文字颜色 5 18 5 2 2 2" xfId="8101" xr:uid="{00000000-0005-0000-0000-0000EA380000}"/>
    <cellStyle name="60% - 强调文字颜色 5 18 5 2 2 3" xfId="6200" xr:uid="{00000000-0005-0000-0000-0000EB380000}"/>
    <cellStyle name="60% - 强调文字颜色 5 18 5 2 3" xfId="8110" xr:uid="{00000000-0005-0000-0000-0000EC380000}"/>
    <cellStyle name="60% - 强调文字颜色 5 18 5 2 4" xfId="8117" xr:uid="{00000000-0005-0000-0000-0000ED380000}"/>
    <cellStyle name="60% - 强调文字颜色 5 18 5 2 5" xfId="8122" xr:uid="{00000000-0005-0000-0000-0000EE380000}"/>
    <cellStyle name="60% - 强调文字颜色 5 18 5 2 6" xfId="8128" xr:uid="{00000000-0005-0000-0000-0000EF380000}"/>
    <cellStyle name="60% - 强调文字颜色 5 18 5 2 7" xfId="8134" xr:uid="{00000000-0005-0000-0000-0000F0380000}"/>
    <cellStyle name="60% - 强调文字颜色 5 18 5 2 8" xfId="1815" xr:uid="{00000000-0005-0000-0000-0000F1380000}"/>
    <cellStyle name="60% - 强调文字颜色 5 18 5 3" xfId="8139" xr:uid="{00000000-0005-0000-0000-0000F2380000}"/>
    <cellStyle name="60% - 强调文字颜色 5 18 5 4" xfId="8141" xr:uid="{00000000-0005-0000-0000-0000F3380000}"/>
    <cellStyle name="60% - 强调文字颜色 5 18 5 5" xfId="8148" xr:uid="{00000000-0005-0000-0000-0000F4380000}"/>
    <cellStyle name="60% - 强调文字颜色 5 18 5 6" xfId="8156" xr:uid="{00000000-0005-0000-0000-0000F5380000}"/>
    <cellStyle name="60% - 强调文字颜色 5 18 5 6 2" xfId="7588" xr:uid="{00000000-0005-0000-0000-0000F6380000}"/>
    <cellStyle name="60% - 强调文字颜色 5 18 5 6 3" xfId="7920" xr:uid="{00000000-0005-0000-0000-0000F7380000}"/>
    <cellStyle name="60% - 强调文字颜色 5 18 5 7" xfId="8165" xr:uid="{00000000-0005-0000-0000-0000F8380000}"/>
    <cellStyle name="60% - 强调文字颜色 5 18 5 8" xfId="8170" xr:uid="{00000000-0005-0000-0000-0000F9380000}"/>
    <cellStyle name="60% - 强调文字颜色 5 18 5 9" xfId="8175" xr:uid="{00000000-0005-0000-0000-0000FA380000}"/>
    <cellStyle name="60% - 强调文字颜色 5 18 6" xfId="3065" xr:uid="{00000000-0005-0000-0000-0000FB380000}"/>
    <cellStyle name="60% - 强调文字颜色 5 18 6 2" xfId="2138" xr:uid="{00000000-0005-0000-0000-0000FC380000}"/>
    <cellStyle name="60% - 强调文字颜色 5 18 6 2 2" xfId="8190" xr:uid="{00000000-0005-0000-0000-0000FD380000}"/>
    <cellStyle name="60% - 强调文字颜色 5 18 6 2 3" xfId="8199" xr:uid="{00000000-0005-0000-0000-0000FE380000}"/>
    <cellStyle name="60% - 强调文字颜色 5 18 6 3" xfId="2156" xr:uid="{00000000-0005-0000-0000-0000FF380000}"/>
    <cellStyle name="60% - 强调文字颜色 5 18 6 4" xfId="2165" xr:uid="{00000000-0005-0000-0000-000000390000}"/>
    <cellStyle name="60% - 强调文字颜色 5 18 6 5" xfId="2181" xr:uid="{00000000-0005-0000-0000-000001390000}"/>
    <cellStyle name="60% - 强调文字颜色 5 18 6 6" xfId="2192" xr:uid="{00000000-0005-0000-0000-000002390000}"/>
    <cellStyle name="60% - 强调文字颜色 5 18 6 7" xfId="2203" xr:uid="{00000000-0005-0000-0000-000003390000}"/>
    <cellStyle name="60% - 强调文字颜色 5 18 6 8" xfId="204" xr:uid="{00000000-0005-0000-0000-000004390000}"/>
    <cellStyle name="60% - 强调文字颜色 5 18 7" xfId="3079" xr:uid="{00000000-0005-0000-0000-000005390000}"/>
    <cellStyle name="60% - 强调文字颜色 5 18 8" xfId="8208" xr:uid="{00000000-0005-0000-0000-000006390000}"/>
    <cellStyle name="60% - 强调文字颜色 5 18 9" xfId="8216" xr:uid="{00000000-0005-0000-0000-000007390000}"/>
    <cellStyle name="60% - 强调文字颜色 5 18 9 2" xfId="4703" xr:uid="{00000000-0005-0000-0000-000008390000}"/>
    <cellStyle name="60% - 强调文字颜色 5 18 9 3" xfId="4711" xr:uid="{00000000-0005-0000-0000-000009390000}"/>
    <cellStyle name="60% - 强调文字颜色 5 19" xfId="8223" xr:uid="{00000000-0005-0000-0000-00000A390000}"/>
    <cellStyle name="60% - 强调文字颜色 5 2" xfId="21007" xr:uid="{00000000-0005-0000-0000-00000B390000}"/>
    <cellStyle name="60% - 强调文字颜色 5 2 10" xfId="23353" xr:uid="{00000000-0005-0000-0000-00000C390000}"/>
    <cellStyle name="60% - 强调文字颜色 5 2 11" xfId="23355" xr:uid="{00000000-0005-0000-0000-00000D390000}"/>
    <cellStyle name="60% - 强调文字颜色 5 2 12" xfId="23357" xr:uid="{00000000-0005-0000-0000-00000E390000}"/>
    <cellStyle name="60% - 强调文字颜色 5 2 13" xfId="23358" xr:uid="{00000000-0005-0000-0000-00000F390000}"/>
    <cellStyle name="60% - 强调文字颜色 5 2 14" xfId="23359" xr:uid="{00000000-0005-0000-0000-000010390000}"/>
    <cellStyle name="60% - 强调文字颜色 5 2 15" xfId="23361" xr:uid="{00000000-0005-0000-0000-000011390000}"/>
    <cellStyle name="60% - 强调文字颜色 5 2 16" xfId="23363" xr:uid="{00000000-0005-0000-0000-000012390000}"/>
    <cellStyle name="60% - 强调文字颜色 5 2 17" xfId="1850" xr:uid="{00000000-0005-0000-0000-000013390000}"/>
    <cellStyle name="60% - 强调文字颜色 5 2 17 10" xfId="23365" xr:uid="{00000000-0005-0000-0000-000014390000}"/>
    <cellStyle name="60% - 强调文字颜色 5 2 17 11" xfId="23367" xr:uid="{00000000-0005-0000-0000-000015390000}"/>
    <cellStyle name="60% - 强调文字颜色 5 2 17 12" xfId="23370" xr:uid="{00000000-0005-0000-0000-000016390000}"/>
    <cellStyle name="60% - 强调文字颜色 5 2 17 13" xfId="23374" xr:uid="{00000000-0005-0000-0000-000017390000}"/>
    <cellStyle name="60% - 强调文字颜色 5 2 17 14" xfId="23377" xr:uid="{00000000-0005-0000-0000-000018390000}"/>
    <cellStyle name="60% - 强调文字颜色 5 2 17 2" xfId="23380" xr:uid="{00000000-0005-0000-0000-000019390000}"/>
    <cellStyle name="60% - 强调文字颜色 5 2 17 3" xfId="23381" xr:uid="{00000000-0005-0000-0000-00001A390000}"/>
    <cellStyle name="60% - 强调文字颜色 5 2 17 4" xfId="23383" xr:uid="{00000000-0005-0000-0000-00001B390000}"/>
    <cellStyle name="60% - 强调文字颜色 5 2 17 5" xfId="23385" xr:uid="{00000000-0005-0000-0000-00001C390000}"/>
    <cellStyle name="60% - 强调文字颜色 5 2 17 5 10" xfId="10322" xr:uid="{00000000-0005-0000-0000-00001D390000}"/>
    <cellStyle name="60% - 强调文字颜色 5 2 17 5 11" xfId="10330" xr:uid="{00000000-0005-0000-0000-00001E390000}"/>
    <cellStyle name="60% - 强调文字颜色 5 2 17 5 2" xfId="11966" xr:uid="{00000000-0005-0000-0000-00001F390000}"/>
    <cellStyle name="60% - 强调文字颜色 5 2 17 5 2 2" xfId="1402" xr:uid="{00000000-0005-0000-0000-000020390000}"/>
    <cellStyle name="60% - 强调文字颜色 5 2 17 5 2 2 2" xfId="23387" xr:uid="{00000000-0005-0000-0000-000021390000}"/>
    <cellStyle name="60% - 强调文字颜色 5 2 17 5 2 2 3" xfId="23388" xr:uid="{00000000-0005-0000-0000-000022390000}"/>
    <cellStyle name="60% - 强调文字颜色 5 2 17 5 2 3" xfId="1417" xr:uid="{00000000-0005-0000-0000-000023390000}"/>
    <cellStyle name="60% - 强调文字颜色 5 2 17 5 2 4" xfId="1680" xr:uid="{00000000-0005-0000-0000-000024390000}"/>
    <cellStyle name="60% - 强调文字颜色 5 2 17 5 2 5" xfId="1789" xr:uid="{00000000-0005-0000-0000-000025390000}"/>
    <cellStyle name="60% - 强调文字颜色 5 2 17 5 2 6" xfId="1804" xr:uid="{00000000-0005-0000-0000-000026390000}"/>
    <cellStyle name="60% - 强调文字颜色 5 2 17 5 2 7" xfId="1823" xr:uid="{00000000-0005-0000-0000-000027390000}"/>
    <cellStyle name="60% - 强调文字颜色 5 2 17 5 2 8" xfId="16434" xr:uid="{00000000-0005-0000-0000-000028390000}"/>
    <cellStyle name="60% - 强调文字颜色 5 2 17 5 3" xfId="11973" xr:uid="{00000000-0005-0000-0000-000029390000}"/>
    <cellStyle name="60% - 强调文字颜色 5 2 17 5 4" xfId="8250" xr:uid="{00000000-0005-0000-0000-00002A390000}"/>
    <cellStyle name="60% - 强调文字颜色 5 2 17 5 5" xfId="8259" xr:uid="{00000000-0005-0000-0000-00002B390000}"/>
    <cellStyle name="60% - 强调文字颜色 5 2 17 5 6" xfId="8265" xr:uid="{00000000-0005-0000-0000-00002C390000}"/>
    <cellStyle name="60% - 强调文字颜色 5 2 17 5 6 2" xfId="10047" xr:uid="{00000000-0005-0000-0000-00002D390000}"/>
    <cellStyle name="60% - 强调文字颜色 5 2 17 5 6 3" xfId="7193" xr:uid="{00000000-0005-0000-0000-00002E390000}"/>
    <cellStyle name="60% - 强调文字颜色 5 2 17 5 7" xfId="5497" xr:uid="{00000000-0005-0000-0000-00002F390000}"/>
    <cellStyle name="60% - 强调文字颜色 5 2 17 5 8" xfId="19060" xr:uid="{00000000-0005-0000-0000-000030390000}"/>
    <cellStyle name="60% - 强调文字颜色 5 2 17 5 9" xfId="19104" xr:uid="{00000000-0005-0000-0000-000031390000}"/>
    <cellStyle name="60% - 强调文字颜色 5 2 17 6" xfId="23389" xr:uid="{00000000-0005-0000-0000-000032390000}"/>
    <cellStyle name="60% - 强调文字颜色 5 2 17 6 2" xfId="23392" xr:uid="{00000000-0005-0000-0000-000033390000}"/>
    <cellStyle name="60% - 强调文字颜色 5 2 17 6 2 2" xfId="23394" xr:uid="{00000000-0005-0000-0000-000034390000}"/>
    <cellStyle name="60% - 强调文字颜色 5 2 17 6 2 3" xfId="23395" xr:uid="{00000000-0005-0000-0000-000035390000}"/>
    <cellStyle name="60% - 强调文字颜色 5 2 17 6 3" xfId="23397" xr:uid="{00000000-0005-0000-0000-000036390000}"/>
    <cellStyle name="60% - 强调文字颜色 5 2 17 6 4" xfId="23400" xr:uid="{00000000-0005-0000-0000-000037390000}"/>
    <cellStyle name="60% - 强调文字颜色 5 2 17 6 5" xfId="23402" xr:uid="{00000000-0005-0000-0000-000038390000}"/>
    <cellStyle name="60% - 强调文字颜色 5 2 17 6 6" xfId="14732" xr:uid="{00000000-0005-0000-0000-000039390000}"/>
    <cellStyle name="60% - 强调文字颜色 5 2 17 6 7" xfId="14734" xr:uid="{00000000-0005-0000-0000-00003A390000}"/>
    <cellStyle name="60% - 强调文字颜色 5 2 17 6 8" xfId="19342" xr:uid="{00000000-0005-0000-0000-00003B390000}"/>
    <cellStyle name="60% - 强调文字颜色 5 2 17 7" xfId="23403" xr:uid="{00000000-0005-0000-0000-00003C390000}"/>
    <cellStyle name="60% - 强调文字颜色 5 2 17 8" xfId="23405" xr:uid="{00000000-0005-0000-0000-00003D390000}"/>
    <cellStyle name="60% - 强调文字颜色 5 2 17 9" xfId="23407" xr:uid="{00000000-0005-0000-0000-00003E390000}"/>
    <cellStyle name="60% - 强调文字颜色 5 2 17 9 2" xfId="6873" xr:uid="{00000000-0005-0000-0000-00003F390000}"/>
    <cellStyle name="60% - 强调文字颜色 5 2 17 9 3" xfId="20884" xr:uid="{00000000-0005-0000-0000-000040390000}"/>
    <cellStyle name="60% - 强调文字颜色 5 2 18" xfId="1875" xr:uid="{00000000-0005-0000-0000-000041390000}"/>
    <cellStyle name="60% - 强调文字颜色 5 2 18 10" xfId="5168" xr:uid="{00000000-0005-0000-0000-000042390000}"/>
    <cellStyle name="60% - 强调文字颜色 5 2 18 11" xfId="5174" xr:uid="{00000000-0005-0000-0000-000043390000}"/>
    <cellStyle name="60% - 强调文字颜色 5 2 18 12" xfId="5177" xr:uid="{00000000-0005-0000-0000-000044390000}"/>
    <cellStyle name="60% - 强调文字颜色 5 2 18 13" xfId="5182" xr:uid="{00000000-0005-0000-0000-000045390000}"/>
    <cellStyle name="60% - 强调文字颜色 5 2 18 14" xfId="5188" xr:uid="{00000000-0005-0000-0000-000046390000}"/>
    <cellStyle name="60% - 强调文字颜色 5 2 18 2" xfId="15837" xr:uid="{00000000-0005-0000-0000-000047390000}"/>
    <cellStyle name="60% - 强调文字颜色 5 2 18 3" xfId="15840" xr:uid="{00000000-0005-0000-0000-000048390000}"/>
    <cellStyle name="60% - 强调文字颜色 5 2 18 4" xfId="15869" xr:uid="{00000000-0005-0000-0000-000049390000}"/>
    <cellStyle name="60% - 强调文字颜色 5 2 18 5" xfId="868" xr:uid="{00000000-0005-0000-0000-00004A390000}"/>
    <cellStyle name="60% - 强调文字颜色 5 2 18 5 10" xfId="23409" xr:uid="{00000000-0005-0000-0000-00004B390000}"/>
    <cellStyle name="60% - 强调文字颜色 5 2 18 5 11" xfId="23411" xr:uid="{00000000-0005-0000-0000-00004C390000}"/>
    <cellStyle name="60% - 强调文字颜色 5 2 18 5 2" xfId="23415" xr:uid="{00000000-0005-0000-0000-00004D390000}"/>
    <cellStyle name="60% - 强调文字颜色 5 2 18 5 2 2" xfId="23417" xr:uid="{00000000-0005-0000-0000-00004E390000}"/>
    <cellStyle name="60% - 强调文字颜色 5 2 18 5 2 2 2" xfId="23420" xr:uid="{00000000-0005-0000-0000-00004F390000}"/>
    <cellStyle name="60% - 强调文字颜色 5 2 18 5 2 2 3" xfId="5618" xr:uid="{00000000-0005-0000-0000-000050390000}"/>
    <cellStyle name="60% - 强调文字颜色 5 2 18 5 2 3" xfId="23422" xr:uid="{00000000-0005-0000-0000-000051390000}"/>
    <cellStyle name="60% - 强调文字颜色 5 2 18 5 2 4" xfId="23423" xr:uid="{00000000-0005-0000-0000-000052390000}"/>
    <cellStyle name="60% - 强调文字颜色 5 2 18 5 2 5" xfId="23424" xr:uid="{00000000-0005-0000-0000-000053390000}"/>
    <cellStyle name="60% - 强调文字颜色 5 2 18 5 2 6" xfId="23425" xr:uid="{00000000-0005-0000-0000-000054390000}"/>
    <cellStyle name="60% - 强调文字颜色 5 2 18 5 2 7" xfId="23427" xr:uid="{00000000-0005-0000-0000-000055390000}"/>
    <cellStyle name="60% - 强调文字颜色 5 2 18 5 2 8" xfId="23429" xr:uid="{00000000-0005-0000-0000-000056390000}"/>
    <cellStyle name="60% - 强调文字颜色 5 2 18 5 3" xfId="23430" xr:uid="{00000000-0005-0000-0000-000057390000}"/>
    <cellStyle name="60% - 强调文字颜色 5 2 18 5 4" xfId="23432" xr:uid="{00000000-0005-0000-0000-000058390000}"/>
    <cellStyle name="60% - 强调文字颜色 5 2 18 5 5" xfId="23039" xr:uid="{00000000-0005-0000-0000-000059390000}"/>
    <cellStyle name="60% - 强调文字颜色 5 2 18 5 6" xfId="23047" xr:uid="{00000000-0005-0000-0000-00005A390000}"/>
    <cellStyle name="60% - 强调文字颜色 5 2 18 5 6 2" xfId="23434" xr:uid="{00000000-0005-0000-0000-00005B390000}"/>
    <cellStyle name="60% - 强调文字颜色 5 2 18 5 6 3" xfId="23438" xr:uid="{00000000-0005-0000-0000-00005C390000}"/>
    <cellStyle name="60% - 强调文字颜色 5 2 18 5 7" xfId="22346" xr:uid="{00000000-0005-0000-0000-00005D390000}"/>
    <cellStyle name="60% - 强调文字颜色 5 2 18 5 8" xfId="20004" xr:uid="{00000000-0005-0000-0000-00005E390000}"/>
    <cellStyle name="60% - 强调文字颜色 5 2 18 5 9" xfId="20041" xr:uid="{00000000-0005-0000-0000-00005F390000}"/>
    <cellStyle name="60% - 强调文字颜色 5 2 18 6" xfId="879" xr:uid="{00000000-0005-0000-0000-000060390000}"/>
    <cellStyle name="60% - 强调文字颜色 5 2 18 6 2" xfId="23441" xr:uid="{00000000-0005-0000-0000-000061390000}"/>
    <cellStyle name="60% - 强调文字颜色 5 2 18 6 2 2" xfId="9719" xr:uid="{00000000-0005-0000-0000-000062390000}"/>
    <cellStyle name="60% - 强调文字颜色 5 2 18 6 2 3" xfId="16176" xr:uid="{00000000-0005-0000-0000-000063390000}"/>
    <cellStyle name="60% - 强调文字颜色 5 2 18 6 3" xfId="23444" xr:uid="{00000000-0005-0000-0000-000064390000}"/>
    <cellStyle name="60% - 强调文字颜色 5 2 18 6 4" xfId="23446" xr:uid="{00000000-0005-0000-0000-000065390000}"/>
    <cellStyle name="60% - 强调文字颜色 5 2 18 6 5" xfId="23447" xr:uid="{00000000-0005-0000-0000-000066390000}"/>
    <cellStyle name="60% - 强调文字颜色 5 2 18 6 6" xfId="23448" xr:uid="{00000000-0005-0000-0000-000067390000}"/>
    <cellStyle name="60% - 强调文字颜色 5 2 18 6 7" xfId="23449" xr:uid="{00000000-0005-0000-0000-000068390000}"/>
    <cellStyle name="60% - 强调文字颜色 5 2 18 6 8" xfId="20220" xr:uid="{00000000-0005-0000-0000-000069390000}"/>
    <cellStyle name="60% - 强调文字颜色 5 2 18 7" xfId="891" xr:uid="{00000000-0005-0000-0000-00006A390000}"/>
    <cellStyle name="60% - 强调文字颜色 5 2 18 8" xfId="23450" xr:uid="{00000000-0005-0000-0000-00006B390000}"/>
    <cellStyle name="60% - 强调文字颜色 5 2 18 9" xfId="23452" xr:uid="{00000000-0005-0000-0000-00006C390000}"/>
    <cellStyle name="60% - 强调文字颜色 5 2 18 9 2" xfId="23454" xr:uid="{00000000-0005-0000-0000-00006D390000}"/>
    <cellStyle name="60% - 强调文字颜色 5 2 18 9 3" xfId="23455" xr:uid="{00000000-0005-0000-0000-00006E390000}"/>
    <cellStyle name="60% - 强调文字颜色 5 2 19" xfId="9039" xr:uid="{00000000-0005-0000-0000-00006F390000}"/>
    <cellStyle name="60% - 强调文字颜色 5 2 19 10" xfId="23456" xr:uid="{00000000-0005-0000-0000-000070390000}"/>
    <cellStyle name="60% - 强调文字颜色 5 2 19 11" xfId="23457" xr:uid="{00000000-0005-0000-0000-000071390000}"/>
    <cellStyle name="60% - 强调文字颜色 5 2 19 12" xfId="23458" xr:uid="{00000000-0005-0000-0000-000072390000}"/>
    <cellStyle name="60% - 强调文字颜色 5 2 19 13" xfId="23459" xr:uid="{00000000-0005-0000-0000-000073390000}"/>
    <cellStyle name="60% - 强调文字颜色 5 2 19 14" xfId="15300" xr:uid="{00000000-0005-0000-0000-000074390000}"/>
    <cellStyle name="60% - 强调文字颜色 5 2 19 2" xfId="15890" xr:uid="{00000000-0005-0000-0000-000075390000}"/>
    <cellStyle name="60% - 强调文字颜色 5 2 19 3" xfId="15892" xr:uid="{00000000-0005-0000-0000-000076390000}"/>
    <cellStyle name="60% - 强调文字颜色 5 2 19 4" xfId="15897" xr:uid="{00000000-0005-0000-0000-000077390000}"/>
    <cellStyle name="60% - 强调文字颜色 5 2 19 5" xfId="15906" xr:uid="{00000000-0005-0000-0000-000078390000}"/>
    <cellStyle name="60% - 强调文字颜色 5 2 19 5 10" xfId="23461" xr:uid="{00000000-0005-0000-0000-000079390000}"/>
    <cellStyle name="60% - 强调文字颜色 5 2 19 5 11" xfId="23465" xr:uid="{00000000-0005-0000-0000-00007A390000}"/>
    <cellStyle name="60% - 强调文字颜色 5 2 19 5 2" xfId="23469" xr:uid="{00000000-0005-0000-0000-00007B390000}"/>
    <cellStyle name="60% - 强调文字颜色 5 2 19 5 2 2" xfId="23472" xr:uid="{00000000-0005-0000-0000-00007C390000}"/>
    <cellStyle name="60% - 强调文字颜色 5 2 19 5 2 2 2" xfId="23473" xr:uid="{00000000-0005-0000-0000-00007D390000}"/>
    <cellStyle name="60% - 强调文字颜色 5 2 19 5 2 2 3" xfId="23474" xr:uid="{00000000-0005-0000-0000-00007E390000}"/>
    <cellStyle name="60% - 强调文字颜色 5 2 19 5 2 3" xfId="23475" xr:uid="{00000000-0005-0000-0000-00007F390000}"/>
    <cellStyle name="60% - 强调文字颜色 5 2 19 5 2 4" xfId="23016" xr:uid="{00000000-0005-0000-0000-000080390000}"/>
    <cellStyle name="60% - 强调文字颜色 5 2 19 5 2 5" xfId="23018" xr:uid="{00000000-0005-0000-0000-000081390000}"/>
    <cellStyle name="60% - 强调文字颜色 5 2 19 5 2 6" xfId="4682" xr:uid="{00000000-0005-0000-0000-000082390000}"/>
    <cellStyle name="60% - 强调文字颜色 5 2 19 5 2 7" xfId="4689" xr:uid="{00000000-0005-0000-0000-000083390000}"/>
    <cellStyle name="60% - 强调文字颜色 5 2 19 5 2 8" xfId="23477" xr:uid="{00000000-0005-0000-0000-000084390000}"/>
    <cellStyle name="60% - 强调文字颜色 5 2 19 5 3" xfId="23478" xr:uid="{00000000-0005-0000-0000-000085390000}"/>
    <cellStyle name="60% - 强调文字颜色 5 2 19 5 4" xfId="23481" xr:uid="{00000000-0005-0000-0000-000086390000}"/>
    <cellStyle name="60% - 强调文字颜色 5 2 19 5 5" xfId="23482" xr:uid="{00000000-0005-0000-0000-000087390000}"/>
    <cellStyle name="60% - 强调文字颜色 5 2 19 5 6" xfId="23483" xr:uid="{00000000-0005-0000-0000-000088390000}"/>
    <cellStyle name="60% - 强调文字颜色 5 2 19 5 6 2" xfId="23484" xr:uid="{00000000-0005-0000-0000-000089390000}"/>
    <cellStyle name="60% - 强调文字颜色 5 2 19 5 6 3" xfId="23485" xr:uid="{00000000-0005-0000-0000-00008A390000}"/>
    <cellStyle name="60% - 强调文字颜色 5 2 19 5 7" xfId="23486" xr:uid="{00000000-0005-0000-0000-00008B390000}"/>
    <cellStyle name="60% - 强调文字颜色 5 2 19 5 8" xfId="23488" xr:uid="{00000000-0005-0000-0000-00008C390000}"/>
    <cellStyle name="60% - 强调文字颜色 5 2 19 5 9" xfId="23490" xr:uid="{00000000-0005-0000-0000-00008D390000}"/>
    <cellStyle name="60% - 强调文字颜色 5 2 19 6" xfId="15908" xr:uid="{00000000-0005-0000-0000-00008E390000}"/>
    <cellStyle name="60% - 强调文字颜色 5 2 19 6 2" xfId="23491" xr:uid="{00000000-0005-0000-0000-00008F390000}"/>
    <cellStyle name="60% - 强调文字颜色 5 2 19 6 2 2" xfId="23494" xr:uid="{00000000-0005-0000-0000-000090390000}"/>
    <cellStyle name="60% - 强调文字颜色 5 2 19 6 2 3" xfId="23497" xr:uid="{00000000-0005-0000-0000-000091390000}"/>
    <cellStyle name="60% - 强调文字颜色 5 2 19 6 3" xfId="23498" xr:uid="{00000000-0005-0000-0000-000092390000}"/>
    <cellStyle name="60% - 强调文字颜色 5 2 19 6 4" xfId="23500" xr:uid="{00000000-0005-0000-0000-000093390000}"/>
    <cellStyle name="60% - 强调文字颜色 5 2 19 6 5" xfId="23501" xr:uid="{00000000-0005-0000-0000-000094390000}"/>
    <cellStyle name="60% - 强调文字颜色 5 2 19 6 6" xfId="4377" xr:uid="{00000000-0005-0000-0000-000095390000}"/>
    <cellStyle name="60% - 强调文字颜色 5 2 19 6 7" xfId="4391" xr:uid="{00000000-0005-0000-0000-000096390000}"/>
    <cellStyle name="60% - 强调文字颜色 5 2 19 6 8" xfId="23502" xr:uid="{00000000-0005-0000-0000-000097390000}"/>
    <cellStyle name="60% - 强调文字颜色 5 2 19 7" xfId="15911" xr:uid="{00000000-0005-0000-0000-000098390000}"/>
    <cellStyle name="60% - 强调文字颜色 5 2 19 8" xfId="23503" xr:uid="{00000000-0005-0000-0000-000099390000}"/>
    <cellStyle name="60% - 强调文字颜色 5 2 19 9" xfId="15328" xr:uid="{00000000-0005-0000-0000-00009A390000}"/>
    <cellStyle name="60% - 强调文字颜色 5 2 19 9 2" xfId="23504" xr:uid="{00000000-0005-0000-0000-00009B390000}"/>
    <cellStyle name="60% - 强调文字颜色 5 2 19 9 3" xfId="23505" xr:uid="{00000000-0005-0000-0000-00009C390000}"/>
    <cellStyle name="60% - 强调文字颜色 5 2 2" xfId="20733" xr:uid="{00000000-0005-0000-0000-00009D390000}"/>
    <cellStyle name="60% - 强调文字颜色 5 2 2 10" xfId="19043" xr:uid="{00000000-0005-0000-0000-00009E390000}"/>
    <cellStyle name="60% - 强调文字颜色 5 2 2 11" xfId="23506" xr:uid="{00000000-0005-0000-0000-00009F390000}"/>
    <cellStyle name="60% - 强调文字颜色 5 2 2 12" xfId="9609" xr:uid="{00000000-0005-0000-0000-0000A0390000}"/>
    <cellStyle name="60% - 强调文字颜色 5 2 2 13" xfId="11444" xr:uid="{00000000-0005-0000-0000-0000A1390000}"/>
    <cellStyle name="60% - 强调文字颜色 5 2 2 14" xfId="11448" xr:uid="{00000000-0005-0000-0000-0000A2390000}"/>
    <cellStyle name="60% - 强调文字颜色 5 2 2 2" xfId="4606" xr:uid="{00000000-0005-0000-0000-0000A3390000}"/>
    <cellStyle name="60% - 强调文字颜色 5 2 2 3" xfId="397" xr:uid="{00000000-0005-0000-0000-0000A4390000}"/>
    <cellStyle name="60% - 强调文字颜色 5 2 2 4" xfId="18441" xr:uid="{00000000-0005-0000-0000-0000A5390000}"/>
    <cellStyle name="60% - 强调文字颜色 5 2 2 5" xfId="18443" xr:uid="{00000000-0005-0000-0000-0000A6390000}"/>
    <cellStyle name="60% - 强调文字颜色 5 2 2 6" xfId="19311" xr:uid="{00000000-0005-0000-0000-0000A7390000}"/>
    <cellStyle name="60% - 强调文字颜色 5 2 2 7" xfId="19313" xr:uid="{00000000-0005-0000-0000-0000A8390000}"/>
    <cellStyle name="60% - 强调文字颜色 5 2 2 8" xfId="23507" xr:uid="{00000000-0005-0000-0000-0000A9390000}"/>
    <cellStyle name="60% - 强调文字颜色 5 2 2 9" xfId="23508" xr:uid="{00000000-0005-0000-0000-0000AA390000}"/>
    <cellStyle name="60% - 强调文字颜色 5 2 20" xfId="23360" xr:uid="{00000000-0005-0000-0000-0000AB390000}"/>
    <cellStyle name="60% - 强调文字颜色 5 2 20 10" xfId="5846" xr:uid="{00000000-0005-0000-0000-0000AC390000}"/>
    <cellStyle name="60% - 强调文字颜色 5 2 20 11" xfId="5858" xr:uid="{00000000-0005-0000-0000-0000AD390000}"/>
    <cellStyle name="60% - 强调文字颜色 5 2 20 12" xfId="20836" xr:uid="{00000000-0005-0000-0000-0000AE390000}"/>
    <cellStyle name="60% - 强调文字颜色 5 2 20 13" xfId="23510" xr:uid="{00000000-0005-0000-0000-0000AF390000}"/>
    <cellStyle name="60% - 强调文字颜色 5 2 20 14" xfId="23113" xr:uid="{00000000-0005-0000-0000-0000B0390000}"/>
    <cellStyle name="60% - 强调文字颜色 5 2 20 2" xfId="23511" xr:uid="{00000000-0005-0000-0000-0000B1390000}"/>
    <cellStyle name="60% - 强调文字颜色 5 2 20 3" xfId="23512" xr:uid="{00000000-0005-0000-0000-0000B2390000}"/>
    <cellStyle name="60% - 强调文字颜色 5 2 20 4" xfId="15755" xr:uid="{00000000-0005-0000-0000-0000B3390000}"/>
    <cellStyle name="60% - 强调文字颜色 5 2 20 5" xfId="15757" xr:uid="{00000000-0005-0000-0000-0000B4390000}"/>
    <cellStyle name="60% - 强调文字颜色 5 2 20 5 10" xfId="23513" xr:uid="{00000000-0005-0000-0000-0000B5390000}"/>
    <cellStyle name="60% - 强调文字颜色 5 2 20 5 11" xfId="23515" xr:uid="{00000000-0005-0000-0000-0000B6390000}"/>
    <cellStyle name="60% - 强调文字颜色 5 2 20 5 2" xfId="23518" xr:uid="{00000000-0005-0000-0000-0000B7390000}"/>
    <cellStyle name="60% - 强调文字颜色 5 2 20 5 2 2" xfId="23519" xr:uid="{00000000-0005-0000-0000-0000B8390000}"/>
    <cellStyle name="60% - 强调文字颜色 5 2 20 5 2 2 2" xfId="11725" xr:uid="{00000000-0005-0000-0000-0000B9390000}"/>
    <cellStyle name="60% - 强调文字颜色 5 2 20 5 2 2 3" xfId="11731" xr:uid="{00000000-0005-0000-0000-0000BA390000}"/>
    <cellStyle name="60% - 强调文字颜色 5 2 20 5 2 3" xfId="23520" xr:uid="{00000000-0005-0000-0000-0000BB390000}"/>
    <cellStyle name="60% - 强调文字颜色 5 2 20 5 2 4" xfId="16108" xr:uid="{00000000-0005-0000-0000-0000BC390000}"/>
    <cellStyle name="60% - 强调文字颜色 5 2 20 5 2 5" xfId="16112" xr:uid="{00000000-0005-0000-0000-0000BD390000}"/>
    <cellStyle name="60% - 强调文字颜色 5 2 20 5 2 6" xfId="23521" xr:uid="{00000000-0005-0000-0000-0000BE390000}"/>
    <cellStyle name="60% - 强调文字颜色 5 2 20 5 2 7" xfId="23523" xr:uid="{00000000-0005-0000-0000-0000BF390000}"/>
    <cellStyle name="60% - 强调文字颜色 5 2 20 5 2 8" xfId="23525" xr:uid="{00000000-0005-0000-0000-0000C0390000}"/>
    <cellStyle name="60% - 强调文字颜色 5 2 20 5 3" xfId="23527" xr:uid="{00000000-0005-0000-0000-0000C1390000}"/>
    <cellStyle name="60% - 强调文字颜色 5 2 20 5 4" xfId="23529" xr:uid="{00000000-0005-0000-0000-0000C2390000}"/>
    <cellStyle name="60% - 强调文字颜色 5 2 20 5 5" xfId="23531" xr:uid="{00000000-0005-0000-0000-0000C3390000}"/>
    <cellStyle name="60% - 强调文字颜色 5 2 20 5 6" xfId="23535" xr:uid="{00000000-0005-0000-0000-0000C4390000}"/>
    <cellStyle name="60% - 强调文字颜色 5 2 20 5 6 2" xfId="9007" xr:uid="{00000000-0005-0000-0000-0000C5390000}"/>
    <cellStyle name="60% - 强调文字颜色 5 2 20 5 6 3" xfId="9015" xr:uid="{00000000-0005-0000-0000-0000C6390000}"/>
    <cellStyle name="60% - 强调文字颜色 5 2 20 5 7" xfId="23538" xr:uid="{00000000-0005-0000-0000-0000C7390000}"/>
    <cellStyle name="60% - 强调文字颜色 5 2 20 5 8" xfId="800" xr:uid="{00000000-0005-0000-0000-0000C8390000}"/>
    <cellStyle name="60% - 强调文字颜色 5 2 20 5 9" xfId="369" xr:uid="{00000000-0005-0000-0000-0000C9390000}"/>
    <cellStyle name="60% - 强调文字颜色 5 2 20 6" xfId="23539" xr:uid="{00000000-0005-0000-0000-0000CA390000}"/>
    <cellStyle name="60% - 强调文字颜色 5 2 20 6 2" xfId="17244" xr:uid="{00000000-0005-0000-0000-0000CB390000}"/>
    <cellStyle name="60% - 强调文字颜色 5 2 20 6 2 2" xfId="23540" xr:uid="{00000000-0005-0000-0000-0000CC390000}"/>
    <cellStyle name="60% - 强调文字颜色 5 2 20 6 2 3" xfId="23541" xr:uid="{00000000-0005-0000-0000-0000CD390000}"/>
    <cellStyle name="60% - 强调文字颜色 5 2 20 6 3" xfId="17248" xr:uid="{00000000-0005-0000-0000-0000CE390000}"/>
    <cellStyle name="60% - 强调文字颜色 5 2 20 6 4" xfId="16218" xr:uid="{00000000-0005-0000-0000-0000CF390000}"/>
    <cellStyle name="60% - 强调文字颜色 5 2 20 6 5" xfId="16226" xr:uid="{00000000-0005-0000-0000-0000D0390000}"/>
    <cellStyle name="60% - 强调文字颜色 5 2 20 6 6" xfId="23542" xr:uid="{00000000-0005-0000-0000-0000D1390000}"/>
    <cellStyle name="60% - 强调文字颜色 5 2 20 6 7" xfId="23543" xr:uid="{00000000-0005-0000-0000-0000D2390000}"/>
    <cellStyle name="60% - 强调文字颜色 5 2 20 6 8" xfId="17167" xr:uid="{00000000-0005-0000-0000-0000D3390000}"/>
    <cellStyle name="60% - 强调文字颜色 5 2 20 7" xfId="23544" xr:uid="{00000000-0005-0000-0000-0000D4390000}"/>
    <cellStyle name="60% - 强调文字颜色 5 2 20 8" xfId="23545" xr:uid="{00000000-0005-0000-0000-0000D5390000}"/>
    <cellStyle name="60% - 强调文字颜色 5 2 20 9" xfId="23546" xr:uid="{00000000-0005-0000-0000-0000D6390000}"/>
    <cellStyle name="60% - 强调文字颜色 5 2 20 9 2" xfId="13051" xr:uid="{00000000-0005-0000-0000-0000D7390000}"/>
    <cellStyle name="60% - 强调文字颜色 5 2 20 9 3" xfId="23547" xr:uid="{00000000-0005-0000-0000-0000D8390000}"/>
    <cellStyle name="60% - 强调文字颜色 5 2 3" xfId="13967" xr:uid="{00000000-0005-0000-0000-0000D9390000}"/>
    <cellStyle name="60% - 强调文字颜色 5 2 3 10" xfId="23550" xr:uid="{00000000-0005-0000-0000-0000DA390000}"/>
    <cellStyle name="60% - 强调文字颜色 5 2 3 11" xfId="23551" xr:uid="{00000000-0005-0000-0000-0000DB390000}"/>
    <cellStyle name="60% - 强调文字颜色 5 2 3 12" xfId="23552" xr:uid="{00000000-0005-0000-0000-0000DC390000}"/>
    <cellStyle name="60% - 强调文字颜色 5 2 3 13" xfId="23553" xr:uid="{00000000-0005-0000-0000-0000DD390000}"/>
    <cellStyle name="60% - 强调文字颜色 5 2 3 14" xfId="23554" xr:uid="{00000000-0005-0000-0000-0000DE390000}"/>
    <cellStyle name="60% - 强调文字颜色 5 2 3 2" xfId="13974" xr:uid="{00000000-0005-0000-0000-0000DF390000}"/>
    <cellStyle name="60% - 强调文字颜色 5 2 3 3" xfId="13978" xr:uid="{00000000-0005-0000-0000-0000E0390000}"/>
    <cellStyle name="60% - 强调文字颜色 5 2 3 4" xfId="23555" xr:uid="{00000000-0005-0000-0000-0000E1390000}"/>
    <cellStyle name="60% - 强调文字颜色 5 2 3 5" xfId="23557" xr:uid="{00000000-0005-0000-0000-0000E2390000}"/>
    <cellStyle name="60% - 强调文字颜色 5 2 3 6" xfId="23559" xr:uid="{00000000-0005-0000-0000-0000E3390000}"/>
    <cellStyle name="60% - 强调文字颜色 5 2 3 7" xfId="23561" xr:uid="{00000000-0005-0000-0000-0000E4390000}"/>
    <cellStyle name="60% - 强调文字颜色 5 2 3 8" xfId="23563" xr:uid="{00000000-0005-0000-0000-0000E5390000}"/>
    <cellStyle name="60% - 强调文字颜色 5 2 3 9" xfId="23565" xr:uid="{00000000-0005-0000-0000-0000E6390000}"/>
    <cellStyle name="60% - 强调文字颜色 5 2 4" xfId="13986" xr:uid="{00000000-0005-0000-0000-0000E7390000}"/>
    <cellStyle name="60% - 强调文字颜色 5 2 4 10" xfId="23566" xr:uid="{00000000-0005-0000-0000-0000E8390000}"/>
    <cellStyle name="60% - 强调文字颜色 5 2 4 11" xfId="23568" xr:uid="{00000000-0005-0000-0000-0000E9390000}"/>
    <cellStyle name="60% - 强调文字颜色 5 2 4 12" xfId="23571" xr:uid="{00000000-0005-0000-0000-0000EA390000}"/>
    <cellStyle name="60% - 强调文字颜色 5 2 4 13" xfId="18912" xr:uid="{00000000-0005-0000-0000-0000EB390000}"/>
    <cellStyle name="60% - 强调文字颜色 5 2 4 14" xfId="18916" xr:uid="{00000000-0005-0000-0000-0000EC390000}"/>
    <cellStyle name="60% - 强调文字颜色 5 2 4 2" xfId="21573" xr:uid="{00000000-0005-0000-0000-0000ED390000}"/>
    <cellStyle name="60% - 强调文字颜色 5 2 4 3" xfId="21575" xr:uid="{00000000-0005-0000-0000-0000EE390000}"/>
    <cellStyle name="60% - 强调文字颜色 5 2 4 4" xfId="21577" xr:uid="{00000000-0005-0000-0000-0000EF390000}"/>
    <cellStyle name="60% - 强调文字颜色 5 2 4 5" xfId="21579" xr:uid="{00000000-0005-0000-0000-0000F0390000}"/>
    <cellStyle name="60% - 强调文字颜色 5 2 4 6" xfId="23575" xr:uid="{00000000-0005-0000-0000-0000F1390000}"/>
    <cellStyle name="60% - 强调文字颜色 5 2 4 7" xfId="23576" xr:uid="{00000000-0005-0000-0000-0000F2390000}"/>
    <cellStyle name="60% - 强调文字颜色 5 2 4 8" xfId="23577" xr:uid="{00000000-0005-0000-0000-0000F3390000}"/>
    <cellStyle name="60% - 强调文字颜色 5 2 4 9" xfId="23578" xr:uid="{00000000-0005-0000-0000-0000F4390000}"/>
    <cellStyle name="60% - 强调文字颜色 5 2 5" xfId="13996" xr:uid="{00000000-0005-0000-0000-0000F5390000}"/>
    <cellStyle name="60% - 强调文字颜色 5 2 6" xfId="12356" xr:uid="{00000000-0005-0000-0000-0000F6390000}"/>
    <cellStyle name="60% - 强调文字颜色 5 2 7" xfId="12367" xr:uid="{00000000-0005-0000-0000-0000F7390000}"/>
    <cellStyle name="60% - 强调文字颜色 5 2 8" xfId="12374" xr:uid="{00000000-0005-0000-0000-0000F8390000}"/>
    <cellStyle name="60% - 强调文字颜色 5 2 9" xfId="12382" xr:uid="{00000000-0005-0000-0000-0000F9390000}"/>
    <cellStyle name="60% - 强调文字颜色 5 3" xfId="21010" xr:uid="{00000000-0005-0000-0000-0000FA390000}"/>
    <cellStyle name="60% - 强调文字颜色 5 3 10" xfId="22984" xr:uid="{00000000-0005-0000-0000-0000FB390000}"/>
    <cellStyle name="60% - 强调文字颜色 5 3 11" xfId="22987" xr:uid="{00000000-0005-0000-0000-0000FC390000}"/>
    <cellStyle name="60% - 强调文字颜色 5 3 12" xfId="23580" xr:uid="{00000000-0005-0000-0000-0000FD390000}"/>
    <cellStyle name="60% - 强调文字颜色 5 3 13" xfId="23581" xr:uid="{00000000-0005-0000-0000-0000FE390000}"/>
    <cellStyle name="60% - 强调文字颜色 5 3 14" xfId="23582" xr:uid="{00000000-0005-0000-0000-0000FF390000}"/>
    <cellStyle name="60% - 强调文字颜色 5 3 15" xfId="23584" xr:uid="{00000000-0005-0000-0000-0000003A0000}"/>
    <cellStyle name="60% - 强调文字颜色 5 3 16" xfId="9690" xr:uid="{00000000-0005-0000-0000-0000013A0000}"/>
    <cellStyle name="60% - 强调文字颜色 5 3 17" xfId="9709" xr:uid="{00000000-0005-0000-0000-0000023A0000}"/>
    <cellStyle name="60% - 强调文字颜色 5 3 17 10" xfId="15712" xr:uid="{00000000-0005-0000-0000-0000033A0000}"/>
    <cellStyle name="60% - 强调文字颜色 5 3 17 11" xfId="23285" xr:uid="{00000000-0005-0000-0000-0000043A0000}"/>
    <cellStyle name="60% - 强调文字颜色 5 3 17 12" xfId="23585" xr:uid="{00000000-0005-0000-0000-0000053A0000}"/>
    <cellStyle name="60% - 强调文字颜色 5 3 17 13" xfId="23587" xr:uid="{00000000-0005-0000-0000-0000063A0000}"/>
    <cellStyle name="60% - 强调文字颜色 5 3 17 14" xfId="23589" xr:uid="{00000000-0005-0000-0000-0000073A0000}"/>
    <cellStyle name="60% - 强调文字颜色 5 3 17 2" xfId="19542" xr:uid="{00000000-0005-0000-0000-0000083A0000}"/>
    <cellStyle name="60% - 强调文字颜色 5 3 17 2 2" xfId="4115" xr:uid="{00000000-0005-0000-0000-0000093A0000}"/>
    <cellStyle name="60% - 强调文字颜色 5 3 17 3" xfId="23592" xr:uid="{00000000-0005-0000-0000-00000A3A0000}"/>
    <cellStyle name="60% - 强调文字颜色 5 3 17 4" xfId="23594" xr:uid="{00000000-0005-0000-0000-00000B3A0000}"/>
    <cellStyle name="60% - 强调文字颜色 5 3 17 5" xfId="23596" xr:uid="{00000000-0005-0000-0000-00000C3A0000}"/>
    <cellStyle name="60% - 强调文字颜色 5 3 17 5 10" xfId="11552" xr:uid="{00000000-0005-0000-0000-00000D3A0000}"/>
    <cellStyle name="60% - 强调文字颜色 5 3 17 5 11" xfId="22628" xr:uid="{00000000-0005-0000-0000-00000E3A0000}"/>
    <cellStyle name="60% - 强调文字颜色 5 3 17 5 2" xfId="23600" xr:uid="{00000000-0005-0000-0000-00000F3A0000}"/>
    <cellStyle name="60% - 强调文字颜色 5 3 17 5 2 2" xfId="23601" xr:uid="{00000000-0005-0000-0000-0000103A0000}"/>
    <cellStyle name="60% - 强调文字颜色 5 3 17 5 2 2 2" xfId="19639" xr:uid="{00000000-0005-0000-0000-0000113A0000}"/>
    <cellStyle name="60% - 强调文字颜色 5 3 17 5 2 2 3" xfId="21097" xr:uid="{00000000-0005-0000-0000-0000123A0000}"/>
    <cellStyle name="60% - 强调文字颜色 5 3 17 5 2 3" xfId="23602" xr:uid="{00000000-0005-0000-0000-0000133A0000}"/>
    <cellStyle name="60% - 强调文字颜色 5 3 17 5 2 4" xfId="16356" xr:uid="{00000000-0005-0000-0000-0000143A0000}"/>
    <cellStyle name="60% - 强调文字颜色 5 3 17 5 2 5" xfId="16359" xr:uid="{00000000-0005-0000-0000-0000153A0000}"/>
    <cellStyle name="60% - 强调文字颜色 5 3 17 5 2 6" xfId="23603" xr:uid="{00000000-0005-0000-0000-0000163A0000}"/>
    <cellStyle name="60% - 强调文字颜色 5 3 17 5 2 7" xfId="23604" xr:uid="{00000000-0005-0000-0000-0000173A0000}"/>
    <cellStyle name="60% - 强调文字颜色 5 3 17 5 2 8" xfId="23605" xr:uid="{00000000-0005-0000-0000-0000183A0000}"/>
    <cellStyle name="60% - 强调文字颜色 5 3 17 5 3" xfId="23609" xr:uid="{00000000-0005-0000-0000-0000193A0000}"/>
    <cellStyle name="60% - 强调文字颜色 5 3 17 5 4" xfId="23613" xr:uid="{00000000-0005-0000-0000-00001A3A0000}"/>
    <cellStyle name="60% - 强调文字颜色 5 3 17 5 5" xfId="23617" xr:uid="{00000000-0005-0000-0000-00001B3A0000}"/>
    <cellStyle name="60% - 强调文字颜色 5 3 17 5 6" xfId="23621" xr:uid="{00000000-0005-0000-0000-00001C3A0000}"/>
    <cellStyle name="60% - 强调文字颜色 5 3 17 5 6 2" xfId="5167" xr:uid="{00000000-0005-0000-0000-00001D3A0000}"/>
    <cellStyle name="60% - 强调文字颜色 5 3 17 5 6 3" xfId="5173" xr:uid="{00000000-0005-0000-0000-00001E3A0000}"/>
    <cellStyle name="60% - 强调文字颜色 5 3 17 5 7" xfId="21446" xr:uid="{00000000-0005-0000-0000-00001F3A0000}"/>
    <cellStyle name="60% - 强调文字颜色 5 3 17 5 8" xfId="21450" xr:uid="{00000000-0005-0000-0000-0000203A0000}"/>
    <cellStyle name="60% - 强调文字颜色 5 3 17 5 9" xfId="23622" xr:uid="{00000000-0005-0000-0000-0000213A0000}"/>
    <cellStyle name="60% - 强调文字颜色 5 3 17 6" xfId="23624" xr:uid="{00000000-0005-0000-0000-0000223A0000}"/>
    <cellStyle name="60% - 强调文字颜色 5 3 17 6 2" xfId="23626" xr:uid="{00000000-0005-0000-0000-0000233A0000}"/>
    <cellStyle name="60% - 强调文字颜色 5 3 17 6 2 2" xfId="23627" xr:uid="{00000000-0005-0000-0000-0000243A0000}"/>
    <cellStyle name="60% - 强调文字颜色 5 3 17 6 2 3" xfId="23629" xr:uid="{00000000-0005-0000-0000-0000253A0000}"/>
    <cellStyle name="60% - 强调文字颜色 5 3 17 6 3" xfId="23631" xr:uid="{00000000-0005-0000-0000-0000263A0000}"/>
    <cellStyle name="60% - 强调文字颜色 5 3 17 6 4" xfId="23633" xr:uid="{00000000-0005-0000-0000-0000273A0000}"/>
    <cellStyle name="60% - 强调文字颜色 5 3 17 6 5" xfId="23636" xr:uid="{00000000-0005-0000-0000-0000283A0000}"/>
    <cellStyle name="60% - 强调文字颜色 5 3 17 6 6" xfId="23637" xr:uid="{00000000-0005-0000-0000-0000293A0000}"/>
    <cellStyle name="60% - 强调文字颜色 5 3 17 6 7" xfId="23638" xr:uid="{00000000-0005-0000-0000-00002A3A0000}"/>
    <cellStyle name="60% - 强调文字颜色 5 3 17 6 8" xfId="23639" xr:uid="{00000000-0005-0000-0000-00002B3A0000}"/>
    <cellStyle name="60% - 强调文字颜色 5 3 17 7" xfId="23641" xr:uid="{00000000-0005-0000-0000-00002C3A0000}"/>
    <cellStyle name="60% - 强调文字颜色 5 3 17 8" xfId="23643" xr:uid="{00000000-0005-0000-0000-00002D3A0000}"/>
    <cellStyle name="60% - 强调文字颜色 5 3 17 9" xfId="23645" xr:uid="{00000000-0005-0000-0000-00002E3A0000}"/>
    <cellStyle name="60% - 强调文字颜色 5 3 17 9 2" xfId="6338" xr:uid="{00000000-0005-0000-0000-00002F3A0000}"/>
    <cellStyle name="60% - 强调文字颜色 5 3 17 9 3" xfId="6342" xr:uid="{00000000-0005-0000-0000-0000303A0000}"/>
    <cellStyle name="60% - 强调文字颜色 5 3 18" xfId="9714" xr:uid="{00000000-0005-0000-0000-0000313A0000}"/>
    <cellStyle name="60% - 强调文字颜色 5 3 18 10" xfId="23649" xr:uid="{00000000-0005-0000-0000-0000323A0000}"/>
    <cellStyle name="60% - 强调文字颜色 5 3 18 11" xfId="23654" xr:uid="{00000000-0005-0000-0000-0000333A0000}"/>
    <cellStyle name="60% - 强调文字颜色 5 3 18 12" xfId="23657" xr:uid="{00000000-0005-0000-0000-0000343A0000}"/>
    <cellStyle name="60% - 强调文字颜色 5 3 18 13" xfId="288" xr:uid="{00000000-0005-0000-0000-0000353A0000}"/>
    <cellStyle name="60% - 强调文字颜色 5 3 18 14" xfId="22622" xr:uid="{00000000-0005-0000-0000-0000363A0000}"/>
    <cellStyle name="60% - 强调文字颜色 5 3 18 2" xfId="16053" xr:uid="{00000000-0005-0000-0000-0000373A0000}"/>
    <cellStyle name="60% - 强调文字颜色 5 3 18 3" xfId="16056" xr:uid="{00000000-0005-0000-0000-0000383A0000}"/>
    <cellStyle name="60% - 强调文字颜色 5 3 18 4" xfId="16117" xr:uid="{00000000-0005-0000-0000-0000393A0000}"/>
    <cellStyle name="60% - 强调文字颜色 5 3 18 5" xfId="7647" xr:uid="{00000000-0005-0000-0000-00003A3A0000}"/>
    <cellStyle name="60% - 强调文字颜色 5 3 18 5 10" xfId="22685" xr:uid="{00000000-0005-0000-0000-00003B3A0000}"/>
    <cellStyle name="60% - 强调文字颜色 5 3 18 5 11" xfId="22688" xr:uid="{00000000-0005-0000-0000-00003C3A0000}"/>
    <cellStyle name="60% - 强调文字颜色 5 3 18 5 2" xfId="10471" xr:uid="{00000000-0005-0000-0000-00003D3A0000}"/>
    <cellStyle name="60% - 强调文字颜色 5 3 18 5 2 2" xfId="10481" xr:uid="{00000000-0005-0000-0000-00003E3A0000}"/>
    <cellStyle name="60% - 强调文字颜色 5 3 18 5 2 2 2" xfId="13536" xr:uid="{00000000-0005-0000-0000-00003F3A0000}"/>
    <cellStyle name="60% - 强调文字颜色 5 3 18 5 2 2 3" xfId="14318" xr:uid="{00000000-0005-0000-0000-0000403A0000}"/>
    <cellStyle name="60% - 强调文字颜色 5 3 18 5 2 3" xfId="10485" xr:uid="{00000000-0005-0000-0000-0000413A0000}"/>
    <cellStyle name="60% - 强调文字颜色 5 3 18 5 2 4" xfId="14019" xr:uid="{00000000-0005-0000-0000-0000423A0000}"/>
    <cellStyle name="60% - 强调文字颜色 5 3 18 5 2 5" xfId="14022" xr:uid="{00000000-0005-0000-0000-0000433A0000}"/>
    <cellStyle name="60% - 强调文字颜色 5 3 18 5 2 6" xfId="14024" xr:uid="{00000000-0005-0000-0000-0000443A0000}"/>
    <cellStyle name="60% - 强调文字颜色 5 3 18 5 2 7" xfId="14028" xr:uid="{00000000-0005-0000-0000-0000453A0000}"/>
    <cellStyle name="60% - 强调文字颜色 5 3 18 5 2 8" xfId="14033" xr:uid="{00000000-0005-0000-0000-0000463A0000}"/>
    <cellStyle name="60% - 强调文字颜色 5 3 18 5 3" xfId="23658" xr:uid="{00000000-0005-0000-0000-0000473A0000}"/>
    <cellStyle name="60% - 强调文字颜色 5 3 18 5 4" xfId="23661" xr:uid="{00000000-0005-0000-0000-0000483A0000}"/>
    <cellStyle name="60% - 强调文字颜色 5 3 18 5 5" xfId="23664" xr:uid="{00000000-0005-0000-0000-0000493A0000}"/>
    <cellStyle name="60% - 强调文字颜色 5 3 18 5 6" xfId="23667" xr:uid="{00000000-0005-0000-0000-00004A3A0000}"/>
    <cellStyle name="60% - 强调文字颜色 5 3 18 5 6 2" xfId="23648" xr:uid="{00000000-0005-0000-0000-00004B3A0000}"/>
    <cellStyle name="60% - 强调文字颜色 5 3 18 5 6 3" xfId="23653" xr:uid="{00000000-0005-0000-0000-00004C3A0000}"/>
    <cellStyle name="60% - 强调文字颜色 5 3 18 5 7" xfId="23671" xr:uid="{00000000-0005-0000-0000-00004D3A0000}"/>
    <cellStyle name="60% - 强调文字颜色 5 3 18 5 8" xfId="23672" xr:uid="{00000000-0005-0000-0000-00004E3A0000}"/>
    <cellStyle name="60% - 强调文字颜色 5 3 18 5 9" xfId="23673" xr:uid="{00000000-0005-0000-0000-00004F3A0000}"/>
    <cellStyle name="60% - 强调文字颜色 5 3 18 6" xfId="7653" xr:uid="{00000000-0005-0000-0000-0000503A0000}"/>
    <cellStyle name="60% - 强调文字颜色 5 3 18 6 2" xfId="7621" xr:uid="{00000000-0005-0000-0000-0000513A0000}"/>
    <cellStyle name="60% - 强调文字颜色 5 3 18 6 2 2" xfId="567" xr:uid="{00000000-0005-0000-0000-0000523A0000}"/>
    <cellStyle name="60% - 强调文字颜色 5 3 18 6 2 3" xfId="412" xr:uid="{00000000-0005-0000-0000-0000533A0000}"/>
    <cellStyle name="60% - 强调文字颜色 5 3 18 6 3" xfId="7632" xr:uid="{00000000-0005-0000-0000-0000543A0000}"/>
    <cellStyle name="60% - 强调文字颜色 5 3 18 6 4" xfId="8931" xr:uid="{00000000-0005-0000-0000-0000553A0000}"/>
    <cellStyle name="60% - 强调文字颜色 5 3 18 6 5" xfId="925" xr:uid="{00000000-0005-0000-0000-0000563A0000}"/>
    <cellStyle name="60% - 强调文字颜色 5 3 18 6 6" xfId="962" xr:uid="{00000000-0005-0000-0000-0000573A0000}"/>
    <cellStyle name="60% - 强调文字颜色 5 3 18 6 7" xfId="995" xr:uid="{00000000-0005-0000-0000-0000583A0000}"/>
    <cellStyle name="60% - 强调文字颜色 5 3 18 6 8" xfId="23674" xr:uid="{00000000-0005-0000-0000-0000593A0000}"/>
    <cellStyle name="60% - 强调文字颜色 5 3 18 7" xfId="7659" xr:uid="{00000000-0005-0000-0000-00005A3A0000}"/>
    <cellStyle name="60% - 强调文字颜色 5 3 18 8" xfId="19997" xr:uid="{00000000-0005-0000-0000-00005B3A0000}"/>
    <cellStyle name="60% - 强调文字颜色 5 3 18 9" xfId="23677" xr:uid="{00000000-0005-0000-0000-00005C3A0000}"/>
    <cellStyle name="60% - 强调文字颜色 5 3 18 9 2" xfId="23679" xr:uid="{00000000-0005-0000-0000-00005D3A0000}"/>
    <cellStyle name="60% - 强调文字颜色 5 3 18 9 3" xfId="23682" xr:uid="{00000000-0005-0000-0000-00005E3A0000}"/>
    <cellStyle name="60% - 强调文字颜色 5 3 19" xfId="9053" xr:uid="{00000000-0005-0000-0000-00005F3A0000}"/>
    <cellStyle name="60% - 强调文字颜色 5 3 19 10" xfId="16417" xr:uid="{00000000-0005-0000-0000-0000603A0000}"/>
    <cellStyle name="60% - 强调文字颜色 5 3 19 11" xfId="19686" xr:uid="{00000000-0005-0000-0000-0000613A0000}"/>
    <cellStyle name="60% - 强调文字颜色 5 3 19 12" xfId="19689" xr:uid="{00000000-0005-0000-0000-0000623A0000}"/>
    <cellStyle name="60% - 强调文字颜色 5 3 19 13" xfId="23683" xr:uid="{00000000-0005-0000-0000-0000633A0000}"/>
    <cellStyle name="60% - 强调文字颜色 5 3 19 14" xfId="23684" xr:uid="{00000000-0005-0000-0000-0000643A0000}"/>
    <cellStyle name="60% - 强调文字颜色 5 3 19 2" xfId="16142" xr:uid="{00000000-0005-0000-0000-0000653A0000}"/>
    <cellStyle name="60% - 强调文字颜色 5 3 19 3" xfId="16145" xr:uid="{00000000-0005-0000-0000-0000663A0000}"/>
    <cellStyle name="60% - 强调文字颜色 5 3 19 4" xfId="16147" xr:uid="{00000000-0005-0000-0000-0000673A0000}"/>
    <cellStyle name="60% - 强调文字颜色 5 3 19 5" xfId="16159" xr:uid="{00000000-0005-0000-0000-0000683A0000}"/>
    <cellStyle name="60% - 强调文字颜色 5 3 19 5 10" xfId="11785" xr:uid="{00000000-0005-0000-0000-0000693A0000}"/>
    <cellStyle name="60% - 强调文字颜色 5 3 19 5 11" xfId="20941" xr:uid="{00000000-0005-0000-0000-00006A3A0000}"/>
    <cellStyle name="60% - 强调文字颜色 5 3 19 5 2" xfId="23686" xr:uid="{00000000-0005-0000-0000-00006B3A0000}"/>
    <cellStyle name="60% - 强调文字颜色 5 3 19 5 2 2" xfId="23688" xr:uid="{00000000-0005-0000-0000-00006C3A0000}"/>
    <cellStyle name="60% - 强调文字颜色 5 3 19 5 2 2 2" xfId="8255" xr:uid="{00000000-0005-0000-0000-00006D3A0000}"/>
    <cellStyle name="60% - 强调文字颜色 5 3 19 5 2 2 3" xfId="8261" xr:uid="{00000000-0005-0000-0000-00006E3A0000}"/>
    <cellStyle name="60% - 强调文字颜色 5 3 19 5 2 3" xfId="23689" xr:uid="{00000000-0005-0000-0000-00006F3A0000}"/>
    <cellStyle name="60% - 强调文字颜色 5 3 19 5 2 4" xfId="23690" xr:uid="{00000000-0005-0000-0000-0000703A0000}"/>
    <cellStyle name="60% - 强调文字颜色 5 3 19 5 2 5" xfId="15601" xr:uid="{00000000-0005-0000-0000-0000713A0000}"/>
    <cellStyle name="60% - 强调文字颜色 5 3 19 5 2 6" xfId="15607" xr:uid="{00000000-0005-0000-0000-0000723A0000}"/>
    <cellStyle name="60% - 强调文字颜色 5 3 19 5 2 7" xfId="15612" xr:uid="{00000000-0005-0000-0000-0000733A0000}"/>
    <cellStyle name="60% - 强调文字颜色 5 3 19 5 2 8" xfId="15617" xr:uid="{00000000-0005-0000-0000-0000743A0000}"/>
    <cellStyle name="60% - 强调文字颜色 5 3 19 5 3" xfId="23694" xr:uid="{00000000-0005-0000-0000-0000753A0000}"/>
    <cellStyle name="60% - 强调文字颜色 5 3 19 5 4" xfId="23697" xr:uid="{00000000-0005-0000-0000-0000763A0000}"/>
    <cellStyle name="60% - 强调文字颜色 5 3 19 5 5" xfId="23699" xr:uid="{00000000-0005-0000-0000-0000773A0000}"/>
    <cellStyle name="60% - 强调文字颜色 5 3 19 5 6" xfId="23701" xr:uid="{00000000-0005-0000-0000-0000783A0000}"/>
    <cellStyle name="60% - 强调文字颜色 5 3 19 5 6 2" xfId="20987" xr:uid="{00000000-0005-0000-0000-0000793A0000}"/>
    <cellStyle name="60% - 强调文字颜色 5 3 19 5 6 3" xfId="20991" xr:uid="{00000000-0005-0000-0000-00007A3A0000}"/>
    <cellStyle name="60% - 强调文字颜色 5 3 19 5 7" xfId="7299" xr:uid="{00000000-0005-0000-0000-00007B3A0000}"/>
    <cellStyle name="60% - 强调文字颜色 5 3 19 5 8" xfId="7317" xr:uid="{00000000-0005-0000-0000-00007C3A0000}"/>
    <cellStyle name="60% - 强调文字颜色 5 3 19 5 9" xfId="23706" xr:uid="{00000000-0005-0000-0000-00007D3A0000}"/>
    <cellStyle name="60% - 强调文字颜色 5 3 19 6" xfId="16161" xr:uid="{00000000-0005-0000-0000-00007E3A0000}"/>
    <cellStyle name="60% - 强调文字颜色 5 3 19 6 2" xfId="23708" xr:uid="{00000000-0005-0000-0000-00007F3A0000}"/>
    <cellStyle name="60% - 强调文字颜色 5 3 19 6 2 2" xfId="23711" xr:uid="{00000000-0005-0000-0000-0000803A0000}"/>
    <cellStyle name="60% - 强调文字颜色 5 3 19 6 2 3" xfId="23712" xr:uid="{00000000-0005-0000-0000-0000813A0000}"/>
    <cellStyle name="60% - 强调文字颜色 5 3 19 6 3" xfId="15108" xr:uid="{00000000-0005-0000-0000-0000823A0000}"/>
    <cellStyle name="60% - 强调文字颜色 5 3 19 6 4" xfId="15152" xr:uid="{00000000-0005-0000-0000-0000833A0000}"/>
    <cellStyle name="60% - 强调文字颜色 5 3 19 6 5" xfId="15165" xr:uid="{00000000-0005-0000-0000-0000843A0000}"/>
    <cellStyle name="60% - 强调文字颜色 5 3 19 6 6" xfId="15170" xr:uid="{00000000-0005-0000-0000-0000853A0000}"/>
    <cellStyle name="60% - 强调文字颜色 5 3 19 6 7" xfId="7398" xr:uid="{00000000-0005-0000-0000-0000863A0000}"/>
    <cellStyle name="60% - 强调文字颜色 5 3 19 6 8" xfId="7412" xr:uid="{00000000-0005-0000-0000-0000873A0000}"/>
    <cellStyle name="60% - 强调文字颜色 5 3 19 7" xfId="16163" xr:uid="{00000000-0005-0000-0000-0000883A0000}"/>
    <cellStyle name="60% - 强调文字颜色 5 3 19 8" xfId="23715" xr:uid="{00000000-0005-0000-0000-0000893A0000}"/>
    <cellStyle name="60% - 强调文字颜色 5 3 19 9" xfId="23717" xr:uid="{00000000-0005-0000-0000-00008A3A0000}"/>
    <cellStyle name="60% - 强调文字颜色 5 3 19 9 2" xfId="23692" xr:uid="{00000000-0005-0000-0000-00008B3A0000}"/>
    <cellStyle name="60% - 强调文字颜色 5 3 19 9 3" xfId="15603" xr:uid="{00000000-0005-0000-0000-00008C3A0000}"/>
    <cellStyle name="60% - 强调文字颜色 5 3 2" xfId="23718" xr:uid="{00000000-0005-0000-0000-00008D3A0000}"/>
    <cellStyle name="60% - 强调文字颜色 5 3 2 10" xfId="20056" xr:uid="{00000000-0005-0000-0000-00008E3A0000}"/>
    <cellStyle name="60% - 强调文字颜色 5 3 2 11" xfId="23721" xr:uid="{00000000-0005-0000-0000-00008F3A0000}"/>
    <cellStyle name="60% - 强调文字颜色 5 3 2 12" xfId="8374" xr:uid="{00000000-0005-0000-0000-0000903A0000}"/>
    <cellStyle name="60% - 强调文字颜色 5 3 2 13" xfId="8381" xr:uid="{00000000-0005-0000-0000-0000913A0000}"/>
    <cellStyle name="60% - 强调文字颜色 5 3 2 14" xfId="8389" xr:uid="{00000000-0005-0000-0000-0000923A0000}"/>
    <cellStyle name="60% - 强调文字颜色 5 3 2 2" xfId="23722" xr:uid="{00000000-0005-0000-0000-0000933A0000}"/>
    <cellStyle name="60% - 强调文字颜色 5 3 2 3" xfId="23723" xr:uid="{00000000-0005-0000-0000-0000943A0000}"/>
    <cellStyle name="60% - 强调文字颜色 5 3 2 4" xfId="23724" xr:uid="{00000000-0005-0000-0000-0000953A0000}"/>
    <cellStyle name="60% - 强调文字颜色 5 3 2 5" xfId="23725" xr:uid="{00000000-0005-0000-0000-0000963A0000}"/>
    <cellStyle name="60% - 强调文字颜色 5 3 2 6" xfId="19337" xr:uid="{00000000-0005-0000-0000-0000973A0000}"/>
    <cellStyle name="60% - 强调文字颜色 5 3 2 7" xfId="19340" xr:uid="{00000000-0005-0000-0000-0000983A0000}"/>
    <cellStyle name="60% - 强调文字颜色 5 3 2 8" xfId="23727" xr:uid="{00000000-0005-0000-0000-0000993A0000}"/>
    <cellStyle name="60% - 强调文字颜色 5 3 2 9" xfId="23729" xr:uid="{00000000-0005-0000-0000-00009A3A0000}"/>
    <cellStyle name="60% - 强调文字颜色 5 3 20" xfId="23583" xr:uid="{00000000-0005-0000-0000-00009B3A0000}"/>
    <cellStyle name="60% - 强调文字颜色 5 3 20 10" xfId="14281" xr:uid="{00000000-0005-0000-0000-00009C3A0000}"/>
    <cellStyle name="60% - 强调文字颜色 5 3 20 11" xfId="23730" xr:uid="{00000000-0005-0000-0000-00009D3A0000}"/>
    <cellStyle name="60% - 强调文字颜色 5 3 20 12" xfId="22492" xr:uid="{00000000-0005-0000-0000-00009E3A0000}"/>
    <cellStyle name="60% - 强调文字颜色 5 3 20 13" xfId="22494" xr:uid="{00000000-0005-0000-0000-00009F3A0000}"/>
    <cellStyle name="60% - 强调文字颜色 5 3 20 14" xfId="11083" xr:uid="{00000000-0005-0000-0000-0000A03A0000}"/>
    <cellStyle name="60% - 强调文字颜色 5 3 20 2" xfId="23731" xr:uid="{00000000-0005-0000-0000-0000A13A0000}"/>
    <cellStyle name="60% - 强调文字颜色 5 3 20 3" xfId="23732" xr:uid="{00000000-0005-0000-0000-0000A23A0000}"/>
    <cellStyle name="60% - 强调文字颜色 5 3 20 4" xfId="1424" xr:uid="{00000000-0005-0000-0000-0000A33A0000}"/>
    <cellStyle name="60% - 强调文字颜色 5 3 20 5" xfId="1455" xr:uid="{00000000-0005-0000-0000-0000A43A0000}"/>
    <cellStyle name="60% - 强调文字颜色 5 3 20 5 10" xfId="11949" xr:uid="{00000000-0005-0000-0000-0000A53A0000}"/>
    <cellStyle name="60% - 强调文字颜色 5 3 20 5 11" xfId="11956" xr:uid="{00000000-0005-0000-0000-0000A63A0000}"/>
    <cellStyle name="60% - 强调文字颜色 5 3 20 5 2" xfId="23735" xr:uid="{00000000-0005-0000-0000-0000A73A0000}"/>
    <cellStyle name="60% - 强调文字颜色 5 3 20 5 2 2" xfId="23736" xr:uid="{00000000-0005-0000-0000-0000A83A0000}"/>
    <cellStyle name="60% - 强调文字颜色 5 3 20 5 2 2 2" xfId="12493" xr:uid="{00000000-0005-0000-0000-0000A93A0000}"/>
    <cellStyle name="60% - 强调文字颜色 5 3 20 5 2 2 3" xfId="23740" xr:uid="{00000000-0005-0000-0000-0000AA3A0000}"/>
    <cellStyle name="60% - 强调文字颜色 5 3 20 5 2 3" xfId="23741" xr:uid="{00000000-0005-0000-0000-0000AB3A0000}"/>
    <cellStyle name="60% - 强调文字颜色 5 3 20 5 2 4" xfId="15430" xr:uid="{00000000-0005-0000-0000-0000AC3A0000}"/>
    <cellStyle name="60% - 强调文字颜色 5 3 20 5 2 5" xfId="15434" xr:uid="{00000000-0005-0000-0000-0000AD3A0000}"/>
    <cellStyle name="60% - 强调文字颜色 5 3 20 5 2 6" xfId="23742" xr:uid="{00000000-0005-0000-0000-0000AE3A0000}"/>
    <cellStyle name="60% - 强调文字颜色 5 3 20 5 2 7" xfId="23743" xr:uid="{00000000-0005-0000-0000-0000AF3A0000}"/>
    <cellStyle name="60% - 强调文字颜色 5 3 20 5 2 8" xfId="23744" xr:uid="{00000000-0005-0000-0000-0000B03A0000}"/>
    <cellStyle name="60% - 强调文字颜色 5 3 20 5 3" xfId="23747" xr:uid="{00000000-0005-0000-0000-0000B13A0000}"/>
    <cellStyle name="60% - 强调文字颜色 5 3 20 5 4" xfId="23750" xr:uid="{00000000-0005-0000-0000-0000B23A0000}"/>
    <cellStyle name="60% - 强调文字颜色 5 3 20 5 5" xfId="23753" xr:uid="{00000000-0005-0000-0000-0000B33A0000}"/>
    <cellStyle name="60% - 强调文字颜色 5 3 20 5 6" xfId="23756" xr:uid="{00000000-0005-0000-0000-0000B43A0000}"/>
    <cellStyle name="60% - 强调文字颜色 5 3 20 5 6 2" xfId="11015" xr:uid="{00000000-0005-0000-0000-0000B53A0000}"/>
    <cellStyle name="60% - 强调文字颜色 5 3 20 5 6 3" xfId="11024" xr:uid="{00000000-0005-0000-0000-0000B63A0000}"/>
    <cellStyle name="60% - 强调文字颜色 5 3 20 5 7" xfId="23758" xr:uid="{00000000-0005-0000-0000-0000B73A0000}"/>
    <cellStyle name="60% - 强调文字颜色 5 3 20 5 8" xfId="23759" xr:uid="{00000000-0005-0000-0000-0000B83A0000}"/>
    <cellStyle name="60% - 强调文字颜色 5 3 20 5 9" xfId="23760" xr:uid="{00000000-0005-0000-0000-0000B93A0000}"/>
    <cellStyle name="60% - 强调文字颜色 5 3 20 6" xfId="23761" xr:uid="{00000000-0005-0000-0000-0000BA3A0000}"/>
    <cellStyle name="60% - 强调文字颜色 5 3 20 6 2" xfId="23765" xr:uid="{00000000-0005-0000-0000-0000BB3A0000}"/>
    <cellStyle name="60% - 强调文字颜色 5 3 20 6 2 2" xfId="23766" xr:uid="{00000000-0005-0000-0000-0000BC3A0000}"/>
    <cellStyle name="60% - 强调文字颜色 5 3 20 6 2 3" xfId="23768" xr:uid="{00000000-0005-0000-0000-0000BD3A0000}"/>
    <cellStyle name="60% - 强调文字颜色 5 3 20 6 3" xfId="23773" xr:uid="{00000000-0005-0000-0000-0000BE3A0000}"/>
    <cellStyle name="60% - 强调文字颜色 5 3 20 6 4" xfId="23778" xr:uid="{00000000-0005-0000-0000-0000BF3A0000}"/>
    <cellStyle name="60% - 强调文字颜色 5 3 20 6 5" xfId="23437" xr:uid="{00000000-0005-0000-0000-0000C03A0000}"/>
    <cellStyle name="60% - 强调文字颜色 5 3 20 6 6" xfId="23440" xr:uid="{00000000-0005-0000-0000-0000C13A0000}"/>
    <cellStyle name="60% - 强调文字颜色 5 3 20 6 7" xfId="23781" xr:uid="{00000000-0005-0000-0000-0000C23A0000}"/>
    <cellStyle name="60% - 强调文字颜色 5 3 20 6 8" xfId="21937" xr:uid="{00000000-0005-0000-0000-0000C33A0000}"/>
    <cellStyle name="60% - 强调文字颜色 5 3 20 7" xfId="19985" xr:uid="{00000000-0005-0000-0000-0000C43A0000}"/>
    <cellStyle name="60% - 强调文字颜色 5 3 20 8" xfId="19282" xr:uid="{00000000-0005-0000-0000-0000C53A0000}"/>
    <cellStyle name="60% - 强调文字颜色 5 3 20 9" xfId="19287" xr:uid="{00000000-0005-0000-0000-0000C63A0000}"/>
    <cellStyle name="60% - 强调文字颜色 5 3 20 9 2" xfId="3189" xr:uid="{00000000-0005-0000-0000-0000C73A0000}"/>
    <cellStyle name="60% - 强调文字颜色 5 3 20 9 3" xfId="3193" xr:uid="{00000000-0005-0000-0000-0000C83A0000}"/>
    <cellStyle name="60% - 强调文字颜色 5 3 3" xfId="21762" xr:uid="{00000000-0005-0000-0000-0000C93A0000}"/>
    <cellStyle name="60% - 强调文字颜色 5 3 3 10" xfId="12823" xr:uid="{00000000-0005-0000-0000-0000CA3A0000}"/>
    <cellStyle name="60% - 强调文字颜色 5 3 3 11" xfId="17199" xr:uid="{00000000-0005-0000-0000-0000CB3A0000}"/>
    <cellStyle name="60% - 强调文字颜色 5 3 3 12" xfId="17203" xr:uid="{00000000-0005-0000-0000-0000CC3A0000}"/>
    <cellStyle name="60% - 强调文字颜色 5 3 3 13" xfId="17208" xr:uid="{00000000-0005-0000-0000-0000CD3A0000}"/>
    <cellStyle name="60% - 强调文字颜色 5 3 3 14" xfId="17213" xr:uid="{00000000-0005-0000-0000-0000CE3A0000}"/>
    <cellStyle name="60% - 强调文字颜色 5 3 3 2" xfId="23783" xr:uid="{00000000-0005-0000-0000-0000CF3A0000}"/>
    <cellStyle name="60% - 强调文字颜色 5 3 3 3" xfId="8351" xr:uid="{00000000-0005-0000-0000-0000D03A0000}"/>
    <cellStyle name="60% - 强调文字颜色 5 3 3 4" xfId="7751" xr:uid="{00000000-0005-0000-0000-0000D13A0000}"/>
    <cellStyle name="60% - 强调文字颜色 5 3 3 5" xfId="14191" xr:uid="{00000000-0005-0000-0000-0000D23A0000}"/>
    <cellStyle name="60% - 强调文字颜色 5 3 3 6" xfId="23786" xr:uid="{00000000-0005-0000-0000-0000D33A0000}"/>
    <cellStyle name="60% - 强调文字颜色 5 3 3 7" xfId="18544" xr:uid="{00000000-0005-0000-0000-0000D43A0000}"/>
    <cellStyle name="60% - 强调文字颜色 5 3 3 8" xfId="18548" xr:uid="{00000000-0005-0000-0000-0000D53A0000}"/>
    <cellStyle name="60% - 强调文字颜色 5 3 3 9" xfId="18552" xr:uid="{00000000-0005-0000-0000-0000D63A0000}"/>
    <cellStyle name="60% - 强调文字颜色 5 3 4" xfId="21768" xr:uid="{00000000-0005-0000-0000-0000D73A0000}"/>
    <cellStyle name="60% - 强调文字颜色 5 3 4 10" xfId="9303" xr:uid="{00000000-0005-0000-0000-0000D83A0000}"/>
    <cellStyle name="60% - 强调文字颜色 5 3 4 11" xfId="9310" xr:uid="{00000000-0005-0000-0000-0000D93A0000}"/>
    <cellStyle name="60% - 强调文字颜色 5 3 4 12" xfId="9322" xr:uid="{00000000-0005-0000-0000-0000DA3A0000}"/>
    <cellStyle name="60% - 强调文字颜色 5 3 4 13" xfId="9334" xr:uid="{00000000-0005-0000-0000-0000DB3A0000}"/>
    <cellStyle name="60% - 强调文字颜色 5 3 4 14" xfId="9342" xr:uid="{00000000-0005-0000-0000-0000DC3A0000}"/>
    <cellStyle name="60% - 强调文字颜色 5 3 4 2" xfId="23788" xr:uid="{00000000-0005-0000-0000-0000DD3A0000}"/>
    <cellStyle name="60% - 强调文字颜色 5 3 4 3" xfId="23790" xr:uid="{00000000-0005-0000-0000-0000DE3A0000}"/>
    <cellStyle name="60% - 强调文字颜色 5 3 4 4" xfId="23792" xr:uid="{00000000-0005-0000-0000-0000DF3A0000}"/>
    <cellStyle name="60% - 强调文字颜色 5 3 4 5" xfId="23794" xr:uid="{00000000-0005-0000-0000-0000E03A0000}"/>
    <cellStyle name="60% - 强调文字颜色 5 3 4 6" xfId="17797" xr:uid="{00000000-0005-0000-0000-0000E13A0000}"/>
    <cellStyle name="60% - 强调文字颜色 5 3 4 7" xfId="2433" xr:uid="{00000000-0005-0000-0000-0000E23A0000}"/>
    <cellStyle name="60% - 强调文字颜色 5 3 4 8" xfId="2455" xr:uid="{00000000-0005-0000-0000-0000E33A0000}"/>
    <cellStyle name="60% - 强调文字颜色 5 3 4 9" xfId="2471" xr:uid="{00000000-0005-0000-0000-0000E43A0000}"/>
    <cellStyle name="60% - 强调文字颜色 5 3 5" xfId="23795" xr:uid="{00000000-0005-0000-0000-0000E53A0000}"/>
    <cellStyle name="60% - 强调文字颜色 5 3 6" xfId="23799" xr:uid="{00000000-0005-0000-0000-0000E63A0000}"/>
    <cellStyle name="60% - 强调文字颜色 5 3 7" xfId="23803" xr:uid="{00000000-0005-0000-0000-0000E73A0000}"/>
    <cellStyle name="60% - 强调文字颜色 5 3 8" xfId="23806" xr:uid="{00000000-0005-0000-0000-0000E83A0000}"/>
    <cellStyle name="60% - 强调文字颜色 5 3 9" xfId="22050" xr:uid="{00000000-0005-0000-0000-0000E93A0000}"/>
    <cellStyle name="60% - 强调文字颜色 5 4" xfId="23808" xr:uid="{00000000-0005-0000-0000-0000EA3A0000}"/>
    <cellStyle name="60% - 强调文字颜色 5 4 10" xfId="11413" xr:uid="{00000000-0005-0000-0000-0000EB3A0000}"/>
    <cellStyle name="60% - 强调文字颜色 5 4 11" xfId="8463" xr:uid="{00000000-0005-0000-0000-0000EC3A0000}"/>
    <cellStyle name="60% - 强调文字颜色 5 4 12" xfId="8468" xr:uid="{00000000-0005-0000-0000-0000ED3A0000}"/>
    <cellStyle name="60% - 强调文字颜色 5 4 13" xfId="8472" xr:uid="{00000000-0005-0000-0000-0000EE3A0000}"/>
    <cellStyle name="60% - 强调文字颜色 5 4 14" xfId="8477" xr:uid="{00000000-0005-0000-0000-0000EF3A0000}"/>
    <cellStyle name="60% - 强调文字颜色 5 4 15" xfId="8578" xr:uid="{00000000-0005-0000-0000-0000F03A0000}"/>
    <cellStyle name="60% - 强调文字颜色 5 4 16" xfId="8624" xr:uid="{00000000-0005-0000-0000-0000F13A0000}"/>
    <cellStyle name="60% - 强调文字颜色 5 4 17" xfId="8631" xr:uid="{00000000-0005-0000-0000-0000F23A0000}"/>
    <cellStyle name="60% - 强调文字颜色 5 4 17 10" xfId="23809" xr:uid="{00000000-0005-0000-0000-0000F33A0000}"/>
    <cellStyle name="60% - 强调文字颜色 5 4 17 11" xfId="23811" xr:uid="{00000000-0005-0000-0000-0000F43A0000}"/>
    <cellStyle name="60% - 强调文字颜色 5 4 17 12" xfId="23813" xr:uid="{00000000-0005-0000-0000-0000F53A0000}"/>
    <cellStyle name="60% - 强调文字颜色 5 4 17 13" xfId="15547" xr:uid="{00000000-0005-0000-0000-0000F63A0000}"/>
    <cellStyle name="60% - 强调文字颜色 5 4 17 14" xfId="15572" xr:uid="{00000000-0005-0000-0000-0000F73A0000}"/>
    <cellStyle name="60% - 强调文字颜色 5 4 17 2" xfId="6905" xr:uid="{00000000-0005-0000-0000-0000F83A0000}"/>
    <cellStyle name="60% - 强调文字颜色 5 4 17 3" xfId="13563" xr:uid="{00000000-0005-0000-0000-0000F93A0000}"/>
    <cellStyle name="60% - 强调文字颜色 5 4 17 4" xfId="13566" xr:uid="{00000000-0005-0000-0000-0000FA3A0000}"/>
    <cellStyle name="60% - 强调文字颜色 5 4 17 5" xfId="13621" xr:uid="{00000000-0005-0000-0000-0000FB3A0000}"/>
    <cellStyle name="60% - 强调文字颜色 5 4 17 5 10" xfId="23815" xr:uid="{00000000-0005-0000-0000-0000FC3A0000}"/>
    <cellStyle name="60% - 强调文字颜色 5 4 17 5 11" xfId="7722" xr:uid="{00000000-0005-0000-0000-0000FD3A0000}"/>
    <cellStyle name="60% - 强调文字颜色 5 4 17 5 2" xfId="13626" xr:uid="{00000000-0005-0000-0000-0000FE3A0000}"/>
    <cellStyle name="60% - 强调文字颜色 5 4 17 5 2 2" xfId="13629" xr:uid="{00000000-0005-0000-0000-0000FF3A0000}"/>
    <cellStyle name="60% - 强调文字颜色 5 4 17 5 2 2 2" xfId="21841" xr:uid="{00000000-0005-0000-0000-0000003B0000}"/>
    <cellStyle name="60% - 强调文字颜色 5 4 17 5 2 2 3" xfId="21843" xr:uid="{00000000-0005-0000-0000-0000013B0000}"/>
    <cellStyle name="60% - 强调文字颜色 5 4 17 5 2 3" xfId="13632" xr:uid="{00000000-0005-0000-0000-0000023B0000}"/>
    <cellStyle name="60% - 强调文字颜色 5 4 17 5 2 4" xfId="23816" xr:uid="{00000000-0005-0000-0000-0000033B0000}"/>
    <cellStyle name="60% - 强调文字颜色 5 4 17 5 2 5" xfId="23817" xr:uid="{00000000-0005-0000-0000-0000043B0000}"/>
    <cellStyle name="60% - 强调文字颜色 5 4 17 5 2 6" xfId="23818" xr:uid="{00000000-0005-0000-0000-0000053B0000}"/>
    <cellStyle name="60% - 强调文字颜色 5 4 17 5 2 7" xfId="23819" xr:uid="{00000000-0005-0000-0000-0000063B0000}"/>
    <cellStyle name="60% - 强调文字颜色 5 4 17 5 2 8" xfId="23820" xr:uid="{00000000-0005-0000-0000-0000073B0000}"/>
    <cellStyle name="60% - 强调文字颜色 5 4 17 5 3" xfId="13638" xr:uid="{00000000-0005-0000-0000-0000083B0000}"/>
    <cellStyle name="60% - 强调文字颜色 5 4 17 5 4" xfId="13644" xr:uid="{00000000-0005-0000-0000-0000093B0000}"/>
    <cellStyle name="60% - 强调文字颜色 5 4 17 5 5" xfId="13649" xr:uid="{00000000-0005-0000-0000-00000A3B0000}"/>
    <cellStyle name="60% - 强调文字颜色 5 4 17 5 6" xfId="12624" xr:uid="{00000000-0005-0000-0000-00000B3B0000}"/>
    <cellStyle name="60% - 强调文字颜色 5 4 17 5 6 2" xfId="7792" xr:uid="{00000000-0005-0000-0000-00000C3B0000}"/>
    <cellStyle name="60% - 强调文字颜色 5 4 17 5 6 3" xfId="7797" xr:uid="{00000000-0005-0000-0000-00000D3B0000}"/>
    <cellStyle name="60% - 强调文字颜色 5 4 17 5 7" xfId="12633" xr:uid="{00000000-0005-0000-0000-00000E3B0000}"/>
    <cellStyle name="60% - 强调文字颜色 5 4 17 5 8" xfId="13656" xr:uid="{00000000-0005-0000-0000-00000F3B0000}"/>
    <cellStyle name="60% - 强调文字颜色 5 4 17 5 9" xfId="23821" xr:uid="{00000000-0005-0000-0000-0000103B0000}"/>
    <cellStyle name="60% - 强调文字颜色 5 4 17 6" xfId="13660" xr:uid="{00000000-0005-0000-0000-0000113B0000}"/>
    <cellStyle name="60% - 强调文字颜色 5 4 17 6 2" xfId="23823" xr:uid="{00000000-0005-0000-0000-0000123B0000}"/>
    <cellStyle name="60% - 强调文字颜色 5 4 17 6 2 2" xfId="13510" xr:uid="{00000000-0005-0000-0000-0000133B0000}"/>
    <cellStyle name="60% - 强调文字颜色 5 4 17 6 2 3" xfId="13514" xr:uid="{00000000-0005-0000-0000-0000143B0000}"/>
    <cellStyle name="60% - 强调文字颜色 5 4 17 6 3" xfId="23825" xr:uid="{00000000-0005-0000-0000-0000153B0000}"/>
    <cellStyle name="60% - 强调文字颜色 5 4 17 6 4" xfId="23827" xr:uid="{00000000-0005-0000-0000-0000163B0000}"/>
    <cellStyle name="60% - 强调文字颜色 5 4 17 6 5" xfId="23829" xr:uid="{00000000-0005-0000-0000-0000173B0000}"/>
    <cellStyle name="60% - 强调文字颜色 5 4 17 6 6" xfId="23830" xr:uid="{00000000-0005-0000-0000-0000183B0000}"/>
    <cellStyle name="60% - 强调文字颜色 5 4 17 6 7" xfId="23831" xr:uid="{00000000-0005-0000-0000-0000193B0000}"/>
    <cellStyle name="60% - 强调文字颜色 5 4 17 6 8" xfId="23832" xr:uid="{00000000-0005-0000-0000-00001A3B0000}"/>
    <cellStyle name="60% - 强调文字颜色 5 4 17 7" xfId="13664" xr:uid="{00000000-0005-0000-0000-00001B3B0000}"/>
    <cellStyle name="60% - 强调文字颜色 5 4 17 8" xfId="13668" xr:uid="{00000000-0005-0000-0000-00001C3B0000}"/>
    <cellStyle name="60% - 强调文字颜色 5 4 17 9" xfId="23833" xr:uid="{00000000-0005-0000-0000-00001D3B0000}"/>
    <cellStyle name="60% - 强调文字颜色 5 4 17 9 2" xfId="6977" xr:uid="{00000000-0005-0000-0000-00001E3B0000}"/>
    <cellStyle name="60% - 强调文字颜色 5 4 17 9 3" xfId="6983" xr:uid="{00000000-0005-0000-0000-00001F3B0000}"/>
    <cellStyle name="60% - 强调文字颜色 5 4 18" xfId="8638" xr:uid="{00000000-0005-0000-0000-0000203B0000}"/>
    <cellStyle name="60% - 强调文字颜色 5 4 18 10" xfId="20986" xr:uid="{00000000-0005-0000-0000-0000213B0000}"/>
    <cellStyle name="60% - 强调文字颜色 5 4 18 11" xfId="20990" xr:uid="{00000000-0005-0000-0000-0000223B0000}"/>
    <cellStyle name="60% - 强调文字颜色 5 4 18 12" xfId="23834" xr:uid="{00000000-0005-0000-0000-0000233B0000}"/>
    <cellStyle name="60% - 强调文字颜色 5 4 18 13" xfId="23835" xr:uid="{00000000-0005-0000-0000-0000243B0000}"/>
    <cellStyle name="60% - 强调文字颜色 5 4 18 14" xfId="23836" xr:uid="{00000000-0005-0000-0000-0000253B0000}"/>
    <cellStyle name="60% - 强调文字颜色 5 4 18 2" xfId="8640" xr:uid="{00000000-0005-0000-0000-0000263B0000}"/>
    <cellStyle name="60% - 强调文字颜色 5 4 18 3" xfId="8646" xr:uid="{00000000-0005-0000-0000-0000273B0000}"/>
    <cellStyle name="60% - 强调文字颜色 5 4 18 4" xfId="13690" xr:uid="{00000000-0005-0000-0000-0000283B0000}"/>
    <cellStyle name="60% - 强调文字颜色 5 4 18 5" xfId="13740" xr:uid="{00000000-0005-0000-0000-0000293B0000}"/>
    <cellStyle name="60% - 强调文字颜色 5 4 18 5 10" xfId="23837" xr:uid="{00000000-0005-0000-0000-00002A3B0000}"/>
    <cellStyle name="60% - 强调文字颜色 5 4 18 5 11" xfId="23838" xr:uid="{00000000-0005-0000-0000-00002B3B0000}"/>
    <cellStyle name="60% - 强调文字颜色 5 4 18 5 2" xfId="13746" xr:uid="{00000000-0005-0000-0000-00002C3B0000}"/>
    <cellStyle name="60% - 强调文字颜色 5 4 18 5 2 2" xfId="13748" xr:uid="{00000000-0005-0000-0000-00002D3B0000}"/>
    <cellStyle name="60% - 强调文字颜色 5 4 18 5 2 2 2" xfId="7254" xr:uid="{00000000-0005-0000-0000-00002E3B0000}"/>
    <cellStyle name="60% - 强调文字颜色 5 4 18 5 2 2 3" xfId="22598" xr:uid="{00000000-0005-0000-0000-00002F3B0000}"/>
    <cellStyle name="60% - 强调文字颜色 5 4 18 5 2 3" xfId="13751" xr:uid="{00000000-0005-0000-0000-0000303B0000}"/>
    <cellStyle name="60% - 强调文字颜色 5 4 18 5 2 4" xfId="23839" xr:uid="{00000000-0005-0000-0000-0000313B0000}"/>
    <cellStyle name="60% - 强调文字颜色 5 4 18 5 2 5" xfId="23840" xr:uid="{00000000-0005-0000-0000-0000323B0000}"/>
    <cellStyle name="60% - 强调文字颜色 5 4 18 5 2 6" xfId="23841" xr:uid="{00000000-0005-0000-0000-0000333B0000}"/>
    <cellStyle name="60% - 强调文字颜色 5 4 18 5 2 7" xfId="23842" xr:uid="{00000000-0005-0000-0000-0000343B0000}"/>
    <cellStyle name="60% - 强调文字颜色 5 4 18 5 2 8" xfId="21252" xr:uid="{00000000-0005-0000-0000-0000353B0000}"/>
    <cellStyle name="60% - 强调文字颜色 5 4 18 5 3" xfId="13754" xr:uid="{00000000-0005-0000-0000-0000363B0000}"/>
    <cellStyle name="60% - 强调文字颜色 5 4 18 5 4" xfId="13757" xr:uid="{00000000-0005-0000-0000-0000373B0000}"/>
    <cellStyle name="60% - 强调文字颜色 5 4 18 5 5" xfId="13760" xr:uid="{00000000-0005-0000-0000-0000383B0000}"/>
    <cellStyle name="60% - 强调文字颜色 5 4 18 5 6" xfId="13765" xr:uid="{00000000-0005-0000-0000-0000393B0000}"/>
    <cellStyle name="60% - 强调文字颜色 5 4 18 5 6 2" xfId="14870" xr:uid="{00000000-0005-0000-0000-00003A3B0000}"/>
    <cellStyle name="60% - 强调文字颜色 5 4 18 5 6 3" xfId="14938" xr:uid="{00000000-0005-0000-0000-00003B3B0000}"/>
    <cellStyle name="60% - 强调文字颜色 5 4 18 5 7" xfId="3753" xr:uid="{00000000-0005-0000-0000-00003C3B0000}"/>
    <cellStyle name="60% - 强调文字颜色 5 4 18 5 8" xfId="3761" xr:uid="{00000000-0005-0000-0000-00003D3B0000}"/>
    <cellStyle name="60% - 强调文字颜色 5 4 18 5 9" xfId="23843" xr:uid="{00000000-0005-0000-0000-00003E3B0000}"/>
    <cellStyle name="60% - 强调文字颜色 5 4 18 6" xfId="13769" xr:uid="{00000000-0005-0000-0000-00003F3B0000}"/>
    <cellStyle name="60% - 强调文字颜色 5 4 18 6 2" xfId="23845" xr:uid="{00000000-0005-0000-0000-0000403B0000}"/>
    <cellStyle name="60% - 强调文字颜色 5 4 18 6 2 2" xfId="23846" xr:uid="{00000000-0005-0000-0000-0000413B0000}"/>
    <cellStyle name="60% - 强调文字颜色 5 4 18 6 2 3" xfId="23847" xr:uid="{00000000-0005-0000-0000-0000423B0000}"/>
    <cellStyle name="60% - 强调文字颜色 5 4 18 6 3" xfId="23849" xr:uid="{00000000-0005-0000-0000-0000433B0000}"/>
    <cellStyle name="60% - 强调文字颜色 5 4 18 6 4" xfId="23850" xr:uid="{00000000-0005-0000-0000-0000443B0000}"/>
    <cellStyle name="60% - 强调文字颜色 5 4 18 6 5" xfId="17117" xr:uid="{00000000-0005-0000-0000-0000453B0000}"/>
    <cellStyle name="60% - 强调文字颜色 5 4 18 6 6" xfId="17120" xr:uid="{00000000-0005-0000-0000-0000463B0000}"/>
    <cellStyle name="60% - 强调文字颜色 5 4 18 6 7" xfId="23852" xr:uid="{00000000-0005-0000-0000-0000473B0000}"/>
    <cellStyle name="60% - 强调文字颜色 5 4 18 6 8" xfId="23853" xr:uid="{00000000-0005-0000-0000-0000483B0000}"/>
    <cellStyle name="60% - 强调文字颜色 5 4 18 7" xfId="13775" xr:uid="{00000000-0005-0000-0000-0000493B0000}"/>
    <cellStyle name="60% - 强调文字颜色 5 4 18 8" xfId="13781" xr:uid="{00000000-0005-0000-0000-00004A3B0000}"/>
    <cellStyle name="60% - 强调文字颜色 5 4 18 9" xfId="23854" xr:uid="{00000000-0005-0000-0000-00004B3B0000}"/>
    <cellStyle name="60% - 强调文字颜色 5 4 18 9 2" xfId="8659" xr:uid="{00000000-0005-0000-0000-00004C3B0000}"/>
    <cellStyle name="60% - 强调文字颜色 5 4 18 9 3" xfId="8664" xr:uid="{00000000-0005-0000-0000-00004D3B0000}"/>
    <cellStyle name="60% - 强调文字颜色 5 4 19" xfId="19693" xr:uid="{00000000-0005-0000-0000-00004E3B0000}"/>
    <cellStyle name="60% - 强调文字颜色 5 4 19 10" xfId="12076" xr:uid="{00000000-0005-0000-0000-00004F3B0000}"/>
    <cellStyle name="60% - 强调文字颜色 5 4 19 11" xfId="2443" xr:uid="{00000000-0005-0000-0000-0000503B0000}"/>
    <cellStyle name="60% - 强调文字颜色 5 4 19 12" xfId="2446" xr:uid="{00000000-0005-0000-0000-0000513B0000}"/>
    <cellStyle name="60% - 强调文字颜色 5 4 19 13" xfId="12927" xr:uid="{00000000-0005-0000-0000-0000523B0000}"/>
    <cellStyle name="60% - 强调文字颜色 5 4 19 14" xfId="23856" xr:uid="{00000000-0005-0000-0000-0000533B0000}"/>
    <cellStyle name="60% - 强调文字颜色 5 4 19 2" xfId="13793" xr:uid="{00000000-0005-0000-0000-0000543B0000}"/>
    <cellStyle name="60% - 强调文字颜色 5 4 19 3" xfId="13798" xr:uid="{00000000-0005-0000-0000-0000553B0000}"/>
    <cellStyle name="60% - 强调文字颜色 5 4 19 4" xfId="13802" xr:uid="{00000000-0005-0000-0000-0000563B0000}"/>
    <cellStyle name="60% - 强调文字颜色 5 4 19 5" xfId="13866" xr:uid="{00000000-0005-0000-0000-0000573B0000}"/>
    <cellStyle name="60% - 强调文字颜色 5 4 19 5 10" xfId="2682" xr:uid="{00000000-0005-0000-0000-0000583B0000}"/>
    <cellStyle name="60% - 强调文字颜色 5 4 19 5 11" xfId="3275" xr:uid="{00000000-0005-0000-0000-0000593B0000}"/>
    <cellStyle name="60% - 强调文字颜色 5 4 19 5 2" xfId="13874" xr:uid="{00000000-0005-0000-0000-00005A3B0000}"/>
    <cellStyle name="60% - 强调文字颜色 5 4 19 5 2 2" xfId="13876" xr:uid="{00000000-0005-0000-0000-00005B3B0000}"/>
    <cellStyle name="60% - 强调文字颜色 5 4 19 5 2 2 2" xfId="22026" xr:uid="{00000000-0005-0000-0000-00005C3B0000}"/>
    <cellStyle name="60% - 强调文字颜色 5 4 19 5 2 2 3" xfId="22028" xr:uid="{00000000-0005-0000-0000-00005D3B0000}"/>
    <cellStyle name="60% - 强调文字颜色 5 4 19 5 2 3" xfId="13878" xr:uid="{00000000-0005-0000-0000-00005E3B0000}"/>
    <cellStyle name="60% - 强调文字颜色 5 4 19 5 2 4" xfId="23857" xr:uid="{00000000-0005-0000-0000-00005F3B0000}"/>
    <cellStyle name="60% - 强调文字颜色 5 4 19 5 2 5" xfId="572" xr:uid="{00000000-0005-0000-0000-0000603B0000}"/>
    <cellStyle name="60% - 强调文字颜色 5 4 19 5 2 6" xfId="416" xr:uid="{00000000-0005-0000-0000-0000613B0000}"/>
    <cellStyle name="60% - 强调文字颜色 5 4 19 5 2 7" xfId="23860" xr:uid="{00000000-0005-0000-0000-0000623B0000}"/>
    <cellStyle name="60% - 强调文字颜色 5 4 19 5 2 8" xfId="23862" xr:uid="{00000000-0005-0000-0000-0000633B0000}"/>
    <cellStyle name="60% - 强调文字颜色 5 4 19 5 3" xfId="13885" xr:uid="{00000000-0005-0000-0000-0000643B0000}"/>
    <cellStyle name="60% - 强调文字颜色 5 4 19 5 4" xfId="13892" xr:uid="{00000000-0005-0000-0000-0000653B0000}"/>
    <cellStyle name="60% - 强调文字颜色 5 4 19 5 5" xfId="13896" xr:uid="{00000000-0005-0000-0000-0000663B0000}"/>
    <cellStyle name="60% - 强调文字颜色 5 4 19 5 6" xfId="13900" xr:uid="{00000000-0005-0000-0000-0000673B0000}"/>
    <cellStyle name="60% - 强调文字颜色 5 4 19 5 6 2" xfId="21682" xr:uid="{00000000-0005-0000-0000-0000683B0000}"/>
    <cellStyle name="60% - 强调文字颜色 5 4 19 5 6 3" xfId="21684" xr:uid="{00000000-0005-0000-0000-0000693B0000}"/>
    <cellStyle name="60% - 强调文字颜色 5 4 19 5 7" xfId="13903" xr:uid="{00000000-0005-0000-0000-00006A3B0000}"/>
    <cellStyle name="60% - 强调文字颜色 5 4 19 5 8" xfId="13906" xr:uid="{00000000-0005-0000-0000-00006B3B0000}"/>
    <cellStyle name="60% - 强调文字颜色 5 4 19 5 9" xfId="23864" xr:uid="{00000000-0005-0000-0000-00006C3B0000}"/>
    <cellStyle name="60% - 强调文字颜色 5 4 19 6" xfId="13908" xr:uid="{00000000-0005-0000-0000-00006D3B0000}"/>
    <cellStyle name="60% - 强调文字颜色 5 4 19 6 2" xfId="23867" xr:uid="{00000000-0005-0000-0000-00006E3B0000}"/>
    <cellStyle name="60% - 强调文字颜色 5 4 19 6 2 2" xfId="23868" xr:uid="{00000000-0005-0000-0000-00006F3B0000}"/>
    <cellStyle name="60% - 强调文字颜色 5 4 19 6 2 3" xfId="23869" xr:uid="{00000000-0005-0000-0000-0000703B0000}"/>
    <cellStyle name="60% - 强调文字颜色 5 4 19 6 3" xfId="23871" xr:uid="{00000000-0005-0000-0000-0000713B0000}"/>
    <cellStyle name="60% - 强调文字颜色 5 4 19 6 4" xfId="23873" xr:uid="{00000000-0005-0000-0000-0000723B0000}"/>
    <cellStyle name="60% - 强调文字颜色 5 4 19 6 5" xfId="23875" xr:uid="{00000000-0005-0000-0000-0000733B0000}"/>
    <cellStyle name="60% - 强调文字颜色 5 4 19 6 6" xfId="23877" xr:uid="{00000000-0005-0000-0000-0000743B0000}"/>
    <cellStyle name="60% - 强调文字颜色 5 4 19 6 7" xfId="23878" xr:uid="{00000000-0005-0000-0000-0000753B0000}"/>
    <cellStyle name="60% - 强调文字颜色 5 4 19 6 8" xfId="23879" xr:uid="{00000000-0005-0000-0000-0000763B0000}"/>
    <cellStyle name="60% - 强调文字颜色 5 4 19 7" xfId="13913" xr:uid="{00000000-0005-0000-0000-0000773B0000}"/>
    <cellStyle name="60% - 强调文字颜色 5 4 19 8" xfId="13917" xr:uid="{00000000-0005-0000-0000-0000783B0000}"/>
    <cellStyle name="60% - 强调文字颜色 5 4 19 9" xfId="23880" xr:uid="{00000000-0005-0000-0000-0000793B0000}"/>
    <cellStyle name="60% - 强调文字颜色 5 4 19 9 2" xfId="23882" xr:uid="{00000000-0005-0000-0000-00007A3B0000}"/>
    <cellStyle name="60% - 强调文字颜色 5 4 19 9 3" xfId="23883" xr:uid="{00000000-0005-0000-0000-00007B3B0000}"/>
    <cellStyle name="60% - 强调文字颜色 5 4 2" xfId="23885" xr:uid="{00000000-0005-0000-0000-00007C3B0000}"/>
    <cellStyle name="60% - 强调文字颜色 5 4 20" xfId="8577" xr:uid="{00000000-0005-0000-0000-00007D3B0000}"/>
    <cellStyle name="60% - 强调文字颜色 5 4 20 10" xfId="21750" xr:uid="{00000000-0005-0000-0000-00007E3B0000}"/>
    <cellStyle name="60% - 强调文字颜色 5 4 20 11" xfId="18765" xr:uid="{00000000-0005-0000-0000-00007F3B0000}"/>
    <cellStyle name="60% - 强调文字颜色 5 4 20 12" xfId="18768" xr:uid="{00000000-0005-0000-0000-0000803B0000}"/>
    <cellStyle name="60% - 强调文字颜色 5 4 20 13" xfId="18771" xr:uid="{00000000-0005-0000-0000-0000813B0000}"/>
    <cellStyle name="60% - 强调文字颜色 5 4 20 14" xfId="18774" xr:uid="{00000000-0005-0000-0000-0000823B0000}"/>
    <cellStyle name="60% - 强调文字颜色 5 4 20 2" xfId="7811" xr:uid="{00000000-0005-0000-0000-0000833B0000}"/>
    <cellStyle name="60% - 强调文字颜色 5 4 20 3" xfId="7819" xr:uid="{00000000-0005-0000-0000-0000843B0000}"/>
    <cellStyle name="60% - 强调文字颜色 5 4 20 4" xfId="2022" xr:uid="{00000000-0005-0000-0000-0000853B0000}"/>
    <cellStyle name="60% - 强调文字颜色 5 4 20 5" xfId="2034" xr:uid="{00000000-0005-0000-0000-0000863B0000}"/>
    <cellStyle name="60% - 强调文字颜色 5 4 20 5 10" xfId="23362" xr:uid="{00000000-0005-0000-0000-0000873B0000}"/>
    <cellStyle name="60% - 强调文字颜色 5 4 20 5 11" xfId="23364" xr:uid="{00000000-0005-0000-0000-0000883B0000}"/>
    <cellStyle name="60% - 强调文字颜色 5 4 20 5 2" xfId="13970" xr:uid="{00000000-0005-0000-0000-0000893B0000}"/>
    <cellStyle name="60% - 强调文字颜色 5 4 20 5 2 2" xfId="13975" xr:uid="{00000000-0005-0000-0000-00008A3B0000}"/>
    <cellStyle name="60% - 强调文字颜色 5 4 20 5 2 2 2" xfId="23887" xr:uid="{00000000-0005-0000-0000-00008B3B0000}"/>
    <cellStyle name="60% - 强调文字颜色 5 4 20 5 2 2 3" xfId="23888" xr:uid="{00000000-0005-0000-0000-00008C3B0000}"/>
    <cellStyle name="60% - 强调文字颜色 5 4 20 5 2 3" xfId="13979" xr:uid="{00000000-0005-0000-0000-00008D3B0000}"/>
    <cellStyle name="60% - 强调文字颜色 5 4 20 5 2 4" xfId="23556" xr:uid="{00000000-0005-0000-0000-00008E3B0000}"/>
    <cellStyle name="60% - 强调文字颜色 5 4 20 5 2 5" xfId="23558" xr:uid="{00000000-0005-0000-0000-00008F3B0000}"/>
    <cellStyle name="60% - 强调文字颜色 5 4 20 5 2 6" xfId="23560" xr:uid="{00000000-0005-0000-0000-0000903B0000}"/>
    <cellStyle name="60% - 强调文字颜色 5 4 20 5 2 7" xfId="23562" xr:uid="{00000000-0005-0000-0000-0000913B0000}"/>
    <cellStyle name="60% - 强调文字颜色 5 4 20 5 2 8" xfId="23564" xr:uid="{00000000-0005-0000-0000-0000923B0000}"/>
    <cellStyle name="60% - 强调文字颜色 5 4 20 5 3" xfId="13989" xr:uid="{00000000-0005-0000-0000-0000933B0000}"/>
    <cellStyle name="60% - 强调文字颜色 5 4 20 5 4" xfId="13999" xr:uid="{00000000-0005-0000-0000-0000943B0000}"/>
    <cellStyle name="60% - 强调文字颜色 5 4 20 5 5" xfId="12359" xr:uid="{00000000-0005-0000-0000-0000953B0000}"/>
    <cellStyle name="60% - 强调文字颜色 5 4 20 5 6" xfId="12370" xr:uid="{00000000-0005-0000-0000-0000963B0000}"/>
    <cellStyle name="60% - 强调文字颜色 5 4 20 5 6 2" xfId="12295" xr:uid="{00000000-0005-0000-0000-0000973B0000}"/>
    <cellStyle name="60% - 强调文字颜色 5 4 20 5 6 3" xfId="12303" xr:uid="{00000000-0005-0000-0000-0000983B0000}"/>
    <cellStyle name="60% - 强调文字颜色 5 4 20 5 7" xfId="12376" xr:uid="{00000000-0005-0000-0000-0000993B0000}"/>
    <cellStyle name="60% - 强调文字颜色 5 4 20 5 8" xfId="12383" xr:uid="{00000000-0005-0000-0000-00009A3B0000}"/>
    <cellStyle name="60% - 强调文字颜色 5 4 20 5 9" xfId="23889" xr:uid="{00000000-0005-0000-0000-00009B3B0000}"/>
    <cellStyle name="60% - 强调文字颜色 5 4 20 6" xfId="8597" xr:uid="{00000000-0005-0000-0000-00009C3B0000}"/>
    <cellStyle name="60% - 强调文字颜色 5 4 20 6 2" xfId="21767" xr:uid="{00000000-0005-0000-0000-00009D3B0000}"/>
    <cellStyle name="60% - 强调文字颜色 5 4 20 6 2 2" xfId="23784" xr:uid="{00000000-0005-0000-0000-00009E3B0000}"/>
    <cellStyle name="60% - 强调文字颜色 5 4 20 6 2 3" xfId="8353" xr:uid="{00000000-0005-0000-0000-00009F3B0000}"/>
    <cellStyle name="60% - 强调文字颜色 5 4 20 6 3" xfId="21773" xr:uid="{00000000-0005-0000-0000-0000A03B0000}"/>
    <cellStyle name="60% - 强调文字颜色 5 4 20 6 4" xfId="23798" xr:uid="{00000000-0005-0000-0000-0000A13B0000}"/>
    <cellStyle name="60% - 强调文字颜色 5 4 20 6 5" xfId="23802" xr:uid="{00000000-0005-0000-0000-0000A23B0000}"/>
    <cellStyle name="60% - 强调文字颜色 5 4 20 6 6" xfId="23805" xr:uid="{00000000-0005-0000-0000-0000A33B0000}"/>
    <cellStyle name="60% - 强调文字颜色 5 4 20 6 7" xfId="23807" xr:uid="{00000000-0005-0000-0000-0000A43B0000}"/>
    <cellStyle name="60% - 强调文字颜色 5 4 20 6 8" xfId="22052" xr:uid="{00000000-0005-0000-0000-0000A53B0000}"/>
    <cellStyle name="60% - 强调文字颜色 5 4 20 7" xfId="8603" xr:uid="{00000000-0005-0000-0000-0000A63B0000}"/>
    <cellStyle name="60% - 强调文字颜色 5 4 20 8" xfId="8614" xr:uid="{00000000-0005-0000-0000-0000A73B0000}"/>
    <cellStyle name="60% - 强调文字颜色 5 4 20 9" xfId="21776" xr:uid="{00000000-0005-0000-0000-0000A83B0000}"/>
    <cellStyle name="60% - 强调文字颜色 5 4 20 9 2" xfId="627" xr:uid="{00000000-0005-0000-0000-0000A93B0000}"/>
    <cellStyle name="60% - 强调文字颜色 5 4 20 9 3" xfId="657" xr:uid="{00000000-0005-0000-0000-0000AA3B0000}"/>
    <cellStyle name="60% - 强调文字颜色 5 4 3" xfId="738" xr:uid="{00000000-0005-0000-0000-0000AB3B0000}"/>
    <cellStyle name="60% - 强调文字颜色 5 4 4" xfId="1264" xr:uid="{00000000-0005-0000-0000-0000AC3B0000}"/>
    <cellStyle name="60% - 强调文字颜色 5 4 5" xfId="23891" xr:uid="{00000000-0005-0000-0000-0000AD3B0000}"/>
    <cellStyle name="60% - 强调文字颜色 5 4 6" xfId="23893" xr:uid="{00000000-0005-0000-0000-0000AE3B0000}"/>
    <cellStyle name="60% - 强调文字颜色 5 4 7" xfId="23894" xr:uid="{00000000-0005-0000-0000-0000AF3B0000}"/>
    <cellStyle name="60% - 强调文字颜色 5 4 8" xfId="23895" xr:uid="{00000000-0005-0000-0000-0000B03B0000}"/>
    <cellStyle name="60% - 强调文字颜色 5 4 9" xfId="23896" xr:uid="{00000000-0005-0000-0000-0000B13B0000}"/>
    <cellStyle name="60% - 强调文字颜色 5 5" xfId="23897" xr:uid="{00000000-0005-0000-0000-0000B23B0000}"/>
    <cellStyle name="60% - 强调文字颜色 5 5 10" xfId="23898" xr:uid="{00000000-0005-0000-0000-0000B33B0000}"/>
    <cellStyle name="60% - 强调文字颜色 5 5 11" xfId="23899" xr:uid="{00000000-0005-0000-0000-0000B43B0000}"/>
    <cellStyle name="60% - 强调文字颜色 5 5 12" xfId="23901" xr:uid="{00000000-0005-0000-0000-0000B53B0000}"/>
    <cellStyle name="60% - 强调文字颜色 5 5 13" xfId="23903" xr:uid="{00000000-0005-0000-0000-0000B63B0000}"/>
    <cellStyle name="60% - 强调文字颜色 5 5 14" xfId="23866" xr:uid="{00000000-0005-0000-0000-0000B73B0000}"/>
    <cellStyle name="60% - 强调文字颜色 5 5 2" xfId="15845" xr:uid="{00000000-0005-0000-0000-0000B83B0000}"/>
    <cellStyle name="60% - 强调文字颜色 5 5 3" xfId="14004" xr:uid="{00000000-0005-0000-0000-0000B93B0000}"/>
    <cellStyle name="60% - 强调文字颜色 5 5 4" xfId="14011" xr:uid="{00000000-0005-0000-0000-0000BA3B0000}"/>
    <cellStyle name="60% - 强调文字颜色 5 5 5" xfId="23905" xr:uid="{00000000-0005-0000-0000-0000BB3B0000}"/>
    <cellStyle name="60% - 强调文字颜色 5 5 6" xfId="23907" xr:uid="{00000000-0005-0000-0000-0000BC3B0000}"/>
    <cellStyle name="60% - 强调文字颜色 5 5 7" xfId="23908" xr:uid="{00000000-0005-0000-0000-0000BD3B0000}"/>
    <cellStyle name="60% - 强调文字颜色 5 5 8" xfId="23909" xr:uid="{00000000-0005-0000-0000-0000BE3B0000}"/>
    <cellStyle name="60% - 强调文字颜色 5 5 9" xfId="23910" xr:uid="{00000000-0005-0000-0000-0000BF3B0000}"/>
    <cellStyle name="60% - 强调文字颜色 5 6" xfId="23911" xr:uid="{00000000-0005-0000-0000-0000C03B0000}"/>
    <cellStyle name="60% - 强调文字颜色 5 6 10" xfId="4864" xr:uid="{00000000-0005-0000-0000-0000C13B0000}"/>
    <cellStyle name="60% - 强调文字颜色 5 6 11" xfId="4868" xr:uid="{00000000-0005-0000-0000-0000C23B0000}"/>
    <cellStyle name="60% - 强调文字颜色 5 6 12" xfId="4873" xr:uid="{00000000-0005-0000-0000-0000C33B0000}"/>
    <cellStyle name="60% - 强调文字颜色 5 6 13" xfId="4881" xr:uid="{00000000-0005-0000-0000-0000C43B0000}"/>
    <cellStyle name="60% - 强调文字颜色 5 6 14" xfId="1109" xr:uid="{00000000-0005-0000-0000-0000C53B0000}"/>
    <cellStyle name="60% - 强调文字颜色 5 6 2" xfId="6289" xr:uid="{00000000-0005-0000-0000-0000C63B0000}"/>
    <cellStyle name="60% - 强调文字颜色 5 6 3" xfId="629" xr:uid="{00000000-0005-0000-0000-0000C73B0000}"/>
    <cellStyle name="60% - 强调文字颜色 5 6 4" xfId="659" xr:uid="{00000000-0005-0000-0000-0000C83B0000}"/>
    <cellStyle name="60% - 强调文字颜色 5 6 5" xfId="1900" xr:uid="{00000000-0005-0000-0000-0000C93B0000}"/>
    <cellStyle name="60% - 强调文字颜色 5 6 6" xfId="1926" xr:uid="{00000000-0005-0000-0000-0000CA3B0000}"/>
    <cellStyle name="60% - 强调文字颜色 5 6 7" xfId="1950" xr:uid="{00000000-0005-0000-0000-0000CB3B0000}"/>
    <cellStyle name="60% - 强调文字颜色 5 6 8" xfId="1838" xr:uid="{00000000-0005-0000-0000-0000CC3B0000}"/>
    <cellStyle name="60% - 强调文字颜色 5 6 9" xfId="23914" xr:uid="{00000000-0005-0000-0000-0000CD3B0000}"/>
    <cellStyle name="60% - 强调文字颜色 5 7" xfId="23916" xr:uid="{00000000-0005-0000-0000-0000CE3B0000}"/>
    <cellStyle name="60% - 强调文字颜色 5 8" xfId="23918" xr:uid="{00000000-0005-0000-0000-0000CF3B0000}"/>
    <cellStyle name="60% - 强调文字颜色 5 9" xfId="18955" xr:uid="{00000000-0005-0000-0000-0000D03B0000}"/>
    <cellStyle name="60% - 强调文字颜色 6 10" xfId="19899" xr:uid="{00000000-0005-0000-0000-0000D13B0000}"/>
    <cellStyle name="60% - 强调文字颜色 6 11" xfId="19901" xr:uid="{00000000-0005-0000-0000-0000D23B0000}"/>
    <cellStyle name="60% - 强调文字颜色 6 12" xfId="5733" xr:uid="{00000000-0005-0000-0000-0000D33B0000}"/>
    <cellStyle name="60% - 强调文字颜色 6 12 10" xfId="23919" xr:uid="{00000000-0005-0000-0000-0000D43B0000}"/>
    <cellStyle name="60% - 强调文字颜色 6 12 11" xfId="23920" xr:uid="{00000000-0005-0000-0000-0000D53B0000}"/>
    <cellStyle name="60% - 强调文字颜色 6 12 12" xfId="23921" xr:uid="{00000000-0005-0000-0000-0000D63B0000}"/>
    <cellStyle name="60% - 强调文字颜色 6 12 13" xfId="23924" xr:uid="{00000000-0005-0000-0000-0000D73B0000}"/>
    <cellStyle name="60% - 强调文字颜色 6 12 14" xfId="23927" xr:uid="{00000000-0005-0000-0000-0000D83B0000}"/>
    <cellStyle name="60% - 强调文字颜色 6 12 2" xfId="20665" xr:uid="{00000000-0005-0000-0000-0000D93B0000}"/>
    <cellStyle name="60% - 强调文字颜色 6 12 3" xfId="23930" xr:uid="{00000000-0005-0000-0000-0000DA3B0000}"/>
    <cellStyle name="60% - 强调文字颜色 6 12 4" xfId="23933" xr:uid="{00000000-0005-0000-0000-0000DB3B0000}"/>
    <cellStyle name="60% - 强调文字颜色 6 12 5" xfId="23936" xr:uid="{00000000-0005-0000-0000-0000DC3B0000}"/>
    <cellStyle name="60% - 强调文字颜色 6 12 5 10" xfId="9689" xr:uid="{00000000-0005-0000-0000-0000DD3B0000}"/>
    <cellStyle name="60% - 强调文字颜色 6 12 5 11" xfId="9708" xr:uid="{00000000-0005-0000-0000-0000DE3B0000}"/>
    <cellStyle name="60% - 强调文字颜色 6 12 5 2" xfId="19847" xr:uid="{00000000-0005-0000-0000-0000DF3B0000}"/>
    <cellStyle name="60% - 强调文字颜色 6 12 5 2 2" xfId="18543" xr:uid="{00000000-0005-0000-0000-0000E03B0000}"/>
    <cellStyle name="60% - 强调文字颜色 6 12 5 2 2 2" xfId="8487" xr:uid="{00000000-0005-0000-0000-0000E13B0000}"/>
    <cellStyle name="60% - 强调文字颜色 6 12 5 2 2 3" xfId="23937" xr:uid="{00000000-0005-0000-0000-0000E23B0000}"/>
    <cellStyle name="60% - 强调文字颜色 6 12 5 2 3" xfId="18547" xr:uid="{00000000-0005-0000-0000-0000E33B0000}"/>
    <cellStyle name="60% - 强调文字颜色 6 12 5 2 4" xfId="18551" xr:uid="{00000000-0005-0000-0000-0000E43B0000}"/>
    <cellStyle name="60% - 强调文字颜色 6 12 5 2 5" xfId="18555" xr:uid="{00000000-0005-0000-0000-0000E53B0000}"/>
    <cellStyle name="60% - 强调文字颜色 6 12 5 2 6" xfId="18558" xr:uid="{00000000-0005-0000-0000-0000E63B0000}"/>
    <cellStyle name="60% - 强调文字颜色 6 12 5 2 7" xfId="18564" xr:uid="{00000000-0005-0000-0000-0000E73B0000}"/>
    <cellStyle name="60% - 强调文字颜色 6 12 5 2 8" xfId="16645" xr:uid="{00000000-0005-0000-0000-0000E83B0000}"/>
    <cellStyle name="60% - 强调文字颜色 6 12 5 3" xfId="2422" xr:uid="{00000000-0005-0000-0000-0000E93B0000}"/>
    <cellStyle name="60% - 强调文字颜色 6 12 5 4" xfId="2534" xr:uid="{00000000-0005-0000-0000-0000EA3B0000}"/>
    <cellStyle name="60% - 强调文字颜色 6 12 5 5" xfId="2542" xr:uid="{00000000-0005-0000-0000-0000EB3B0000}"/>
    <cellStyle name="60% - 强调文字颜色 6 12 5 6" xfId="2401" xr:uid="{00000000-0005-0000-0000-0000EC3B0000}"/>
    <cellStyle name="60% - 强调文字颜色 6 12 5 6 2" xfId="23938" xr:uid="{00000000-0005-0000-0000-0000ED3B0000}"/>
    <cellStyle name="60% - 强调文字颜色 6 12 5 6 3" xfId="23939" xr:uid="{00000000-0005-0000-0000-0000EE3B0000}"/>
    <cellStyle name="60% - 强调文字颜色 6 12 5 7" xfId="2416" xr:uid="{00000000-0005-0000-0000-0000EF3B0000}"/>
    <cellStyle name="60% - 强调文字颜色 6 12 5 8" xfId="2584" xr:uid="{00000000-0005-0000-0000-0000F03B0000}"/>
    <cellStyle name="60% - 强调文字颜色 6 12 5 9" xfId="2597" xr:uid="{00000000-0005-0000-0000-0000F13B0000}"/>
    <cellStyle name="60% - 强调文字颜色 6 12 6" xfId="23942" xr:uid="{00000000-0005-0000-0000-0000F23B0000}"/>
    <cellStyle name="60% - 强调文字颜色 6 12 6 2" xfId="16491" xr:uid="{00000000-0005-0000-0000-0000F33B0000}"/>
    <cellStyle name="60% - 强调文字颜色 6 12 6 2 2" xfId="23943" xr:uid="{00000000-0005-0000-0000-0000F43B0000}"/>
    <cellStyle name="60% - 强调文字颜色 6 12 6 2 3" xfId="23944" xr:uid="{00000000-0005-0000-0000-0000F53B0000}"/>
    <cellStyle name="60% - 强调文字颜色 6 12 6 3" xfId="2638" xr:uid="{00000000-0005-0000-0000-0000F63B0000}"/>
    <cellStyle name="60% - 强调文字颜色 6 12 6 4" xfId="2683" xr:uid="{00000000-0005-0000-0000-0000F73B0000}"/>
    <cellStyle name="60% - 强调文字颜色 6 12 6 5" xfId="2686" xr:uid="{00000000-0005-0000-0000-0000F83B0000}"/>
    <cellStyle name="60% - 强调文字颜色 6 12 6 6" xfId="2700" xr:uid="{00000000-0005-0000-0000-0000F93B0000}"/>
    <cellStyle name="60% - 强调文字颜色 6 12 6 7" xfId="1133" xr:uid="{00000000-0005-0000-0000-0000FA3B0000}"/>
    <cellStyle name="60% - 强调文字颜色 6 12 6 8" xfId="1148" xr:uid="{00000000-0005-0000-0000-0000FB3B0000}"/>
    <cellStyle name="60% - 强调文字颜色 6 12 7" xfId="23947" xr:uid="{00000000-0005-0000-0000-0000FC3B0000}"/>
    <cellStyle name="60% - 强调文字颜色 6 12 8" xfId="9647" xr:uid="{00000000-0005-0000-0000-0000FD3B0000}"/>
    <cellStyle name="60% - 强调文字颜色 6 12 9" xfId="9655" xr:uid="{00000000-0005-0000-0000-0000FE3B0000}"/>
    <cellStyle name="60% - 强调文字颜色 6 12 9 2" xfId="8540" xr:uid="{00000000-0005-0000-0000-0000FF3B0000}"/>
    <cellStyle name="60% - 强调文字颜色 6 12 9 3" xfId="2778" xr:uid="{00000000-0005-0000-0000-0000003C0000}"/>
    <cellStyle name="60% - 强调文字颜色 6 13" xfId="5751" xr:uid="{00000000-0005-0000-0000-0000013C0000}"/>
    <cellStyle name="60% - 强调文字颜色 6 14" xfId="5762" xr:uid="{00000000-0005-0000-0000-0000023C0000}"/>
    <cellStyle name="60% - 强调文字颜色 6 15" xfId="5773" xr:uid="{00000000-0005-0000-0000-0000033C0000}"/>
    <cellStyle name="60% - 强调文字颜色 6 16" xfId="10389" xr:uid="{00000000-0005-0000-0000-0000043C0000}"/>
    <cellStyle name="60% - 强调文字颜色 6 16 10" xfId="18384" xr:uid="{00000000-0005-0000-0000-0000053C0000}"/>
    <cellStyle name="60% - 强调文字颜色 6 16 11" xfId="18386" xr:uid="{00000000-0005-0000-0000-0000063C0000}"/>
    <cellStyle name="60% - 强调文字颜色 6 16 12" xfId="18408" xr:uid="{00000000-0005-0000-0000-0000073C0000}"/>
    <cellStyle name="60% - 强调文字颜色 6 16 13" xfId="18415" xr:uid="{00000000-0005-0000-0000-0000083C0000}"/>
    <cellStyle name="60% - 强调文字颜色 6 16 14" xfId="18418" xr:uid="{00000000-0005-0000-0000-0000093C0000}"/>
    <cellStyle name="60% - 强调文字颜色 6 16 2" xfId="23948" xr:uid="{00000000-0005-0000-0000-00000A3C0000}"/>
    <cellStyle name="60% - 强调文字颜色 6 16 3" xfId="23950" xr:uid="{00000000-0005-0000-0000-00000B3C0000}"/>
    <cellStyle name="60% - 强调文字颜色 6 16 4" xfId="23952" xr:uid="{00000000-0005-0000-0000-00000C3C0000}"/>
    <cellStyle name="60% - 强调文字颜色 6 16 5" xfId="23953" xr:uid="{00000000-0005-0000-0000-00000D3C0000}"/>
    <cellStyle name="60% - 强调文字颜色 6 16 5 10" xfId="22276" xr:uid="{00000000-0005-0000-0000-00000E3C0000}"/>
    <cellStyle name="60% - 强调文字颜色 6 16 5 11" xfId="22279" xr:uid="{00000000-0005-0000-0000-00000F3C0000}"/>
    <cellStyle name="60% - 强调文字颜色 6 16 5 2" xfId="18750" xr:uid="{00000000-0005-0000-0000-0000103C0000}"/>
    <cellStyle name="60% - 强调文字颜色 6 16 5 2 2" xfId="23954" xr:uid="{00000000-0005-0000-0000-0000113C0000}"/>
    <cellStyle name="60% - 强调文字颜色 6 16 5 2 2 2" xfId="4413" xr:uid="{00000000-0005-0000-0000-0000123C0000}"/>
    <cellStyle name="60% - 强调文字颜色 6 16 5 2 2 3" xfId="4415" xr:uid="{00000000-0005-0000-0000-0000133C0000}"/>
    <cellStyle name="60% - 强调文字颜色 6 16 5 2 3" xfId="23955" xr:uid="{00000000-0005-0000-0000-0000143C0000}"/>
    <cellStyle name="60% - 强调文字颜色 6 16 5 2 4" xfId="23956" xr:uid="{00000000-0005-0000-0000-0000153C0000}"/>
    <cellStyle name="60% - 强调文字颜色 6 16 5 2 5" xfId="23957" xr:uid="{00000000-0005-0000-0000-0000163C0000}"/>
    <cellStyle name="60% - 强调文字颜色 6 16 5 2 6" xfId="23958" xr:uid="{00000000-0005-0000-0000-0000173C0000}"/>
    <cellStyle name="60% - 强调文字颜色 6 16 5 2 7" xfId="23959" xr:uid="{00000000-0005-0000-0000-0000183C0000}"/>
    <cellStyle name="60% - 强调文字颜色 6 16 5 2 8" xfId="23960" xr:uid="{00000000-0005-0000-0000-0000193C0000}"/>
    <cellStyle name="60% - 强调文字颜色 6 16 5 3" xfId="18757" xr:uid="{00000000-0005-0000-0000-00001A3C0000}"/>
    <cellStyle name="60% - 强调文字颜色 6 16 5 4" xfId="18759" xr:uid="{00000000-0005-0000-0000-00001B3C0000}"/>
    <cellStyle name="60% - 强调文字颜色 6 16 5 5" xfId="18761" xr:uid="{00000000-0005-0000-0000-00001C3C0000}"/>
    <cellStyle name="60% - 强调文字颜色 6 16 5 6" xfId="11305" xr:uid="{00000000-0005-0000-0000-00001D3C0000}"/>
    <cellStyle name="60% - 强调文字颜色 6 16 5 6 2" xfId="14221" xr:uid="{00000000-0005-0000-0000-00001E3C0000}"/>
    <cellStyle name="60% - 强调文字颜色 6 16 5 6 3" xfId="14224" xr:uid="{00000000-0005-0000-0000-00001F3C0000}"/>
    <cellStyle name="60% - 强调文字颜色 6 16 5 7" xfId="11308" xr:uid="{00000000-0005-0000-0000-0000203C0000}"/>
    <cellStyle name="60% - 强调文字颜色 6 16 5 8" xfId="23961" xr:uid="{00000000-0005-0000-0000-0000213C0000}"/>
    <cellStyle name="60% - 强调文字颜色 6 16 5 9" xfId="23962" xr:uid="{00000000-0005-0000-0000-0000223C0000}"/>
    <cellStyle name="60% - 强调文字颜色 6 16 6" xfId="23963" xr:uid="{00000000-0005-0000-0000-0000233C0000}"/>
    <cellStyle name="60% - 强调文字颜色 6 16 6 2" xfId="6428" xr:uid="{00000000-0005-0000-0000-0000243C0000}"/>
    <cellStyle name="60% - 强调文字颜色 6 16 6 2 2" xfId="4781" xr:uid="{00000000-0005-0000-0000-0000253C0000}"/>
    <cellStyle name="60% - 强调文字颜色 6 16 6 2 3" xfId="4787" xr:uid="{00000000-0005-0000-0000-0000263C0000}"/>
    <cellStyle name="60% - 强调文字颜色 6 16 6 3" xfId="6437" xr:uid="{00000000-0005-0000-0000-0000273C0000}"/>
    <cellStyle name="60% - 强调文字颜色 6 16 6 4" xfId="6446" xr:uid="{00000000-0005-0000-0000-0000283C0000}"/>
    <cellStyle name="60% - 强调文字颜色 6 16 6 5" xfId="6545" xr:uid="{00000000-0005-0000-0000-0000293C0000}"/>
    <cellStyle name="60% - 强调文字颜色 6 16 6 6" xfId="6553" xr:uid="{00000000-0005-0000-0000-00002A3C0000}"/>
    <cellStyle name="60% - 强调文字颜色 6 16 6 7" xfId="16529" xr:uid="{00000000-0005-0000-0000-00002B3C0000}"/>
    <cellStyle name="60% - 强调文字颜色 6 16 6 8" xfId="23964" xr:uid="{00000000-0005-0000-0000-00002C3C0000}"/>
    <cellStyle name="60% - 强调文字颜色 6 16 7" xfId="23328" xr:uid="{00000000-0005-0000-0000-00002D3C0000}"/>
    <cellStyle name="60% - 强调文字颜色 6 16 8" xfId="16633" xr:uid="{00000000-0005-0000-0000-00002E3C0000}"/>
    <cellStyle name="60% - 强调文字颜色 6 16 9" xfId="16062" xr:uid="{00000000-0005-0000-0000-00002F3C0000}"/>
    <cellStyle name="60% - 强调文字颜色 6 16 9 2" xfId="16068" xr:uid="{00000000-0005-0000-0000-0000303C0000}"/>
    <cellStyle name="60% - 强调文字颜色 6 16 9 3" xfId="16072" xr:uid="{00000000-0005-0000-0000-0000313C0000}"/>
    <cellStyle name="60% - 强调文字颜色 6 17" xfId="807" xr:uid="{00000000-0005-0000-0000-0000323C0000}"/>
    <cellStyle name="60% - 强调文字颜色 6 17 10" xfId="23965" xr:uid="{00000000-0005-0000-0000-0000333C0000}"/>
    <cellStyle name="60% - 强调文字颜色 6 17 11" xfId="21124" xr:uid="{00000000-0005-0000-0000-0000343C0000}"/>
    <cellStyle name="60% - 强调文字颜色 6 17 12" xfId="21127" xr:uid="{00000000-0005-0000-0000-0000353C0000}"/>
    <cellStyle name="60% - 强调文字颜色 6 17 13" xfId="21128" xr:uid="{00000000-0005-0000-0000-0000363C0000}"/>
    <cellStyle name="60% - 强调文字颜色 6 17 14" xfId="21132" xr:uid="{00000000-0005-0000-0000-0000373C0000}"/>
    <cellStyle name="60% - 强调文字颜色 6 17 2" xfId="23967" xr:uid="{00000000-0005-0000-0000-0000383C0000}"/>
    <cellStyle name="60% - 强调文字颜色 6 17 3" xfId="23968" xr:uid="{00000000-0005-0000-0000-0000393C0000}"/>
    <cellStyle name="60% - 强调文字颜色 6 17 4" xfId="23969" xr:uid="{00000000-0005-0000-0000-00003A3C0000}"/>
    <cellStyle name="60% - 强调文字颜色 6 17 5" xfId="4952" xr:uid="{00000000-0005-0000-0000-00003B3C0000}"/>
    <cellStyle name="60% - 强调文字颜色 6 17 5 10" xfId="23970" xr:uid="{00000000-0005-0000-0000-00003C3C0000}"/>
    <cellStyle name="60% - 强调文字颜色 6 17 5 11" xfId="23971" xr:uid="{00000000-0005-0000-0000-00003D3C0000}"/>
    <cellStyle name="60% - 强调文字颜色 6 17 5 2" xfId="10881" xr:uid="{00000000-0005-0000-0000-00003E3C0000}"/>
    <cellStyle name="60% - 强调文字颜色 6 17 5 2 2" xfId="3519" xr:uid="{00000000-0005-0000-0000-00003F3C0000}"/>
    <cellStyle name="60% - 强调文字颜色 6 17 5 2 2 2" xfId="2528" xr:uid="{00000000-0005-0000-0000-0000403C0000}"/>
    <cellStyle name="60% - 强调文字颜色 6 17 5 2 2 3" xfId="5133" xr:uid="{00000000-0005-0000-0000-0000413C0000}"/>
    <cellStyle name="60% - 强调文字颜色 6 17 5 2 3" xfId="20413" xr:uid="{00000000-0005-0000-0000-0000423C0000}"/>
    <cellStyle name="60% - 强调文字颜色 6 17 5 2 4" xfId="20416" xr:uid="{00000000-0005-0000-0000-0000433C0000}"/>
    <cellStyle name="60% - 强调文字颜色 6 17 5 2 5" xfId="20419" xr:uid="{00000000-0005-0000-0000-0000443C0000}"/>
    <cellStyle name="60% - 强调文字颜色 6 17 5 2 6" xfId="20422" xr:uid="{00000000-0005-0000-0000-0000453C0000}"/>
    <cellStyle name="60% - 强调文字颜色 6 17 5 2 7" xfId="23317" xr:uid="{00000000-0005-0000-0000-0000463C0000}"/>
    <cellStyle name="60% - 强调文字颜色 6 17 5 2 8" xfId="16864" xr:uid="{00000000-0005-0000-0000-0000473C0000}"/>
    <cellStyle name="60% - 强调文字颜色 6 17 5 3" xfId="10891" xr:uid="{00000000-0005-0000-0000-0000483C0000}"/>
    <cellStyle name="60% - 强调文字颜色 6 17 5 4" xfId="20544" xr:uid="{00000000-0005-0000-0000-0000493C0000}"/>
    <cellStyle name="60% - 强调文字颜色 6 17 5 5" xfId="23972" xr:uid="{00000000-0005-0000-0000-00004A3C0000}"/>
    <cellStyle name="60% - 强调文字颜色 6 17 5 6" xfId="23974" xr:uid="{00000000-0005-0000-0000-00004B3C0000}"/>
    <cellStyle name="60% - 强调文字颜色 6 17 5 6 2" xfId="23976" xr:uid="{00000000-0005-0000-0000-00004C3C0000}"/>
    <cellStyle name="60% - 强调文字颜色 6 17 5 6 3" xfId="23977" xr:uid="{00000000-0005-0000-0000-00004D3C0000}"/>
    <cellStyle name="60% - 强调文字颜色 6 17 5 7" xfId="23979" xr:uid="{00000000-0005-0000-0000-00004E3C0000}"/>
    <cellStyle name="60% - 强调文字颜色 6 17 5 8" xfId="23982" xr:uid="{00000000-0005-0000-0000-00004F3C0000}"/>
    <cellStyle name="60% - 强调文字颜色 6 17 5 9" xfId="23984" xr:uid="{00000000-0005-0000-0000-0000503C0000}"/>
    <cellStyle name="60% - 强调文字颜色 6 17 6" xfId="11190" xr:uid="{00000000-0005-0000-0000-0000513C0000}"/>
    <cellStyle name="60% - 强调文字颜色 6 17 6 2" xfId="5409" xr:uid="{00000000-0005-0000-0000-0000523C0000}"/>
    <cellStyle name="60% - 强调文字颜色 6 17 6 2 2" xfId="23986" xr:uid="{00000000-0005-0000-0000-0000533C0000}"/>
    <cellStyle name="60% - 强调文字颜色 6 17 6 2 3" xfId="23988" xr:uid="{00000000-0005-0000-0000-0000543C0000}"/>
    <cellStyle name="60% - 强调文字颜色 6 17 6 3" xfId="5423" xr:uid="{00000000-0005-0000-0000-0000553C0000}"/>
    <cellStyle name="60% - 强调文字颜色 6 17 6 4" xfId="5437" xr:uid="{00000000-0005-0000-0000-0000563C0000}"/>
    <cellStyle name="60% - 强调文字颜色 6 17 6 5" xfId="5452" xr:uid="{00000000-0005-0000-0000-0000573C0000}"/>
    <cellStyle name="60% - 强调文字颜色 6 17 6 6" xfId="5465" xr:uid="{00000000-0005-0000-0000-0000583C0000}"/>
    <cellStyle name="60% - 强调文字颜色 6 17 6 7" xfId="5475" xr:uid="{00000000-0005-0000-0000-0000593C0000}"/>
    <cellStyle name="60% - 强调文字颜色 6 17 6 8" xfId="23989" xr:uid="{00000000-0005-0000-0000-00005A3C0000}"/>
    <cellStyle name="60% - 强调文字颜色 6 17 7" xfId="23990" xr:uid="{00000000-0005-0000-0000-00005B3C0000}"/>
    <cellStyle name="60% - 强调文字颜色 6 17 8" xfId="23991" xr:uid="{00000000-0005-0000-0000-00005C3C0000}"/>
    <cellStyle name="60% - 强调文字颜色 6 17 9" xfId="16120" xr:uid="{00000000-0005-0000-0000-00005D3C0000}"/>
    <cellStyle name="60% - 强调文字颜色 6 17 9 2" xfId="9262" xr:uid="{00000000-0005-0000-0000-00005E3C0000}"/>
    <cellStyle name="60% - 强调文字颜色 6 17 9 3" xfId="9266" xr:uid="{00000000-0005-0000-0000-00005F3C0000}"/>
    <cellStyle name="60% - 强调文字颜色 6 18" xfId="376" xr:uid="{00000000-0005-0000-0000-0000603C0000}"/>
    <cellStyle name="60% - 强调文字颜色 6 18 10" xfId="3828" xr:uid="{00000000-0005-0000-0000-0000613C0000}"/>
    <cellStyle name="60% - 强调文字颜色 6 18 11" xfId="2690" xr:uid="{00000000-0005-0000-0000-0000623C0000}"/>
    <cellStyle name="60% - 强调文字颜色 6 18 12" xfId="1118" xr:uid="{00000000-0005-0000-0000-0000633C0000}"/>
    <cellStyle name="60% - 强调文字颜色 6 18 13" xfId="1140" xr:uid="{00000000-0005-0000-0000-0000643C0000}"/>
    <cellStyle name="60% - 强调文字颜色 6 18 14" xfId="2706" xr:uid="{00000000-0005-0000-0000-0000653C0000}"/>
    <cellStyle name="60% - 强调文字颜色 6 18 2" xfId="10392" xr:uid="{00000000-0005-0000-0000-0000663C0000}"/>
    <cellStyle name="60% - 强调文字颜色 6 18 3" xfId="10398" xr:uid="{00000000-0005-0000-0000-0000673C0000}"/>
    <cellStyle name="60% - 强调文字颜色 6 18 4" xfId="10401" xr:uid="{00000000-0005-0000-0000-0000683C0000}"/>
    <cellStyle name="60% - 强调文字颜色 6 18 5" xfId="10402" xr:uid="{00000000-0005-0000-0000-0000693C0000}"/>
    <cellStyle name="60% - 强调文字颜色 6 18 5 10" xfId="10070" xr:uid="{00000000-0005-0000-0000-00006A3C0000}"/>
    <cellStyle name="60% - 强调文字颜色 6 18 5 11" xfId="10075" xr:uid="{00000000-0005-0000-0000-00006B3C0000}"/>
    <cellStyle name="60% - 强调文字颜色 6 18 5 2" xfId="2971" xr:uid="{00000000-0005-0000-0000-00006C3C0000}"/>
    <cellStyle name="60% - 强调文字颜色 6 18 5 2 2" xfId="10414" xr:uid="{00000000-0005-0000-0000-00006D3C0000}"/>
    <cellStyle name="60% - 强调文字颜色 6 18 5 2 2 2" xfId="5331" xr:uid="{00000000-0005-0000-0000-00006E3C0000}"/>
    <cellStyle name="60% - 强调文字颜色 6 18 5 2 2 3" xfId="5346" xr:uid="{00000000-0005-0000-0000-00006F3C0000}"/>
    <cellStyle name="60% - 强调文字颜色 6 18 5 2 3" xfId="10428" xr:uid="{00000000-0005-0000-0000-0000703C0000}"/>
    <cellStyle name="60% - 强调文字颜色 6 18 5 2 4" xfId="10434" xr:uid="{00000000-0005-0000-0000-0000713C0000}"/>
    <cellStyle name="60% - 强调文字颜色 6 18 5 2 5" xfId="10440" xr:uid="{00000000-0005-0000-0000-0000723C0000}"/>
    <cellStyle name="60% - 强调文字颜色 6 18 5 2 6" xfId="10443" xr:uid="{00000000-0005-0000-0000-0000733C0000}"/>
    <cellStyle name="60% - 强调文字颜色 6 18 5 2 7" xfId="10446" xr:uid="{00000000-0005-0000-0000-0000743C0000}"/>
    <cellStyle name="60% - 强调文字颜色 6 18 5 2 8" xfId="6874" xr:uid="{00000000-0005-0000-0000-0000753C0000}"/>
    <cellStyle name="60% - 强调文字颜色 6 18 5 3" xfId="2990" xr:uid="{00000000-0005-0000-0000-0000763C0000}"/>
    <cellStyle name="60% - 强调文字颜色 6 18 5 4" xfId="3003" xr:uid="{00000000-0005-0000-0000-0000773C0000}"/>
    <cellStyle name="60% - 强调文字颜色 6 18 5 5" xfId="3014" xr:uid="{00000000-0005-0000-0000-0000783C0000}"/>
    <cellStyle name="60% - 强调文字颜色 6 18 5 6" xfId="3023" xr:uid="{00000000-0005-0000-0000-0000793C0000}"/>
    <cellStyle name="60% - 强调文字颜色 6 18 5 6 2" xfId="9658" xr:uid="{00000000-0005-0000-0000-00007A3C0000}"/>
    <cellStyle name="60% - 强调文字颜色 6 18 5 6 3" xfId="9669" xr:uid="{00000000-0005-0000-0000-00007B3C0000}"/>
    <cellStyle name="60% - 强调文字颜色 6 18 5 7" xfId="5229" xr:uid="{00000000-0005-0000-0000-00007C3C0000}"/>
    <cellStyle name="60% - 强调文字颜色 6 18 5 8" xfId="5237" xr:uid="{00000000-0005-0000-0000-00007D3C0000}"/>
    <cellStyle name="60% - 强调文字颜色 6 18 5 9" xfId="4665" xr:uid="{00000000-0005-0000-0000-00007E3C0000}"/>
    <cellStyle name="60% - 强调文字颜色 6 18 6" xfId="10449" xr:uid="{00000000-0005-0000-0000-00007F3C0000}"/>
    <cellStyle name="60% - 强调文字颜色 6 18 6 2" xfId="5704" xr:uid="{00000000-0005-0000-0000-0000803C0000}"/>
    <cellStyle name="60% - 强调文字颜色 6 18 6 2 2" xfId="10457" xr:uid="{00000000-0005-0000-0000-0000813C0000}"/>
    <cellStyle name="60% - 强调文字颜色 6 18 6 2 3" xfId="10460" xr:uid="{00000000-0005-0000-0000-0000823C0000}"/>
    <cellStyle name="60% - 强调文字颜色 6 18 6 3" xfId="5711" xr:uid="{00000000-0005-0000-0000-0000833C0000}"/>
    <cellStyle name="60% - 强调文字颜色 6 18 6 4" xfId="5723" xr:uid="{00000000-0005-0000-0000-0000843C0000}"/>
    <cellStyle name="60% - 强调文字颜色 6 18 6 5" xfId="5743" xr:uid="{00000000-0005-0000-0000-0000853C0000}"/>
    <cellStyle name="60% - 强调文字颜色 6 18 6 6" xfId="5756" xr:uid="{00000000-0005-0000-0000-0000863C0000}"/>
    <cellStyle name="60% - 强调文字颜色 6 18 6 7" xfId="5766" xr:uid="{00000000-0005-0000-0000-0000873C0000}"/>
    <cellStyle name="60% - 强调文字颜色 6 18 6 8" xfId="10386" xr:uid="{00000000-0005-0000-0000-0000883C0000}"/>
    <cellStyle name="60% - 强调文字颜色 6 18 7" xfId="10463" xr:uid="{00000000-0005-0000-0000-0000893C0000}"/>
    <cellStyle name="60% - 强调文字颜色 6 18 8" xfId="10467" xr:uid="{00000000-0005-0000-0000-00008A3C0000}"/>
    <cellStyle name="60% - 强调文字颜色 6 18 9" xfId="10470" xr:uid="{00000000-0005-0000-0000-00008B3C0000}"/>
    <cellStyle name="60% - 强调文字颜色 6 18 9 2" xfId="10478" xr:uid="{00000000-0005-0000-0000-00008C3C0000}"/>
    <cellStyle name="60% - 强调文字颜色 6 18 9 3" xfId="10482" xr:uid="{00000000-0005-0000-0000-00008D3C0000}"/>
    <cellStyle name="60% - 强调文字颜色 6 19" xfId="4743" xr:uid="{00000000-0005-0000-0000-00008E3C0000}"/>
    <cellStyle name="60% - 强调文字颜色 6 2" xfId="1250" xr:uid="{00000000-0005-0000-0000-00008F3C0000}"/>
    <cellStyle name="60% - 强调文字颜色 6 2 10" xfId="23992" xr:uid="{00000000-0005-0000-0000-0000903C0000}"/>
    <cellStyle name="60% - 强调文字颜色 6 2 11" xfId="23993" xr:uid="{00000000-0005-0000-0000-0000913C0000}"/>
    <cellStyle name="60% - 强调文字颜色 6 2 12" xfId="23994" xr:uid="{00000000-0005-0000-0000-0000923C0000}"/>
    <cellStyle name="60% - 强调文字颜色 6 2 13" xfId="23995" xr:uid="{00000000-0005-0000-0000-0000933C0000}"/>
    <cellStyle name="60% - 强调文字颜色 6 2 14" xfId="23996" xr:uid="{00000000-0005-0000-0000-0000943C0000}"/>
    <cellStyle name="60% - 强调文字颜色 6 2 15" xfId="461" xr:uid="{00000000-0005-0000-0000-0000953C0000}"/>
    <cellStyle name="60% - 强调文字颜色 6 2 16" xfId="23997" xr:uid="{00000000-0005-0000-0000-0000963C0000}"/>
    <cellStyle name="60% - 强调文字颜色 6 2 17" xfId="23998" xr:uid="{00000000-0005-0000-0000-0000973C0000}"/>
    <cellStyle name="60% - 强调文字颜色 6 2 17 10" xfId="23999" xr:uid="{00000000-0005-0000-0000-0000983C0000}"/>
    <cellStyle name="60% - 强调文字颜色 6 2 17 11" xfId="24001" xr:uid="{00000000-0005-0000-0000-0000993C0000}"/>
    <cellStyle name="60% - 强调文字颜色 6 2 17 12" xfId="24003" xr:uid="{00000000-0005-0000-0000-00009A3C0000}"/>
    <cellStyle name="60% - 强调文字颜色 6 2 17 13" xfId="24005" xr:uid="{00000000-0005-0000-0000-00009B3C0000}"/>
    <cellStyle name="60% - 强调文字颜色 6 2 17 14" xfId="24007" xr:uid="{00000000-0005-0000-0000-00009C3C0000}"/>
    <cellStyle name="60% - 强调文字颜色 6 2 17 2" xfId="7076" xr:uid="{00000000-0005-0000-0000-00009D3C0000}"/>
    <cellStyle name="60% - 强调文字颜色 6 2 17 3" xfId="7084" xr:uid="{00000000-0005-0000-0000-00009E3C0000}"/>
    <cellStyle name="60% - 强调文字颜色 6 2 17 4" xfId="9773" xr:uid="{00000000-0005-0000-0000-00009F3C0000}"/>
    <cellStyle name="60% - 强调文字颜色 6 2 17 5" xfId="9240" xr:uid="{00000000-0005-0000-0000-0000A03C0000}"/>
    <cellStyle name="60% - 强调文字颜色 6 2 17 5 10" xfId="1594" xr:uid="{00000000-0005-0000-0000-0000A13C0000}"/>
    <cellStyle name="60% - 强调文字颜色 6 2 17 5 11" xfId="1609" xr:uid="{00000000-0005-0000-0000-0000A23C0000}"/>
    <cellStyle name="60% - 强调文字颜色 6 2 17 5 2" xfId="24009" xr:uid="{00000000-0005-0000-0000-0000A33C0000}"/>
    <cellStyle name="60% - 强调文字颜色 6 2 17 5 2 2" xfId="24011" xr:uid="{00000000-0005-0000-0000-0000A43C0000}"/>
    <cellStyle name="60% - 强调文字颜色 6 2 17 5 2 2 2" xfId="24012" xr:uid="{00000000-0005-0000-0000-0000A53C0000}"/>
    <cellStyle name="60% - 强调文字颜色 6 2 17 5 2 2 3" xfId="24013" xr:uid="{00000000-0005-0000-0000-0000A63C0000}"/>
    <cellStyle name="60% - 强调文字颜色 6 2 17 5 2 3" xfId="24014" xr:uid="{00000000-0005-0000-0000-0000A73C0000}"/>
    <cellStyle name="60% - 强调文字颜色 6 2 17 5 2 4" xfId="6468" xr:uid="{00000000-0005-0000-0000-0000A83C0000}"/>
    <cellStyle name="60% - 强调文字颜色 6 2 17 5 2 5" xfId="6281" xr:uid="{00000000-0005-0000-0000-0000A93C0000}"/>
    <cellStyle name="60% - 强调文字颜色 6 2 17 5 2 6" xfId="24015" xr:uid="{00000000-0005-0000-0000-0000AA3C0000}"/>
    <cellStyle name="60% - 强调文字颜色 6 2 17 5 2 7" xfId="625" xr:uid="{00000000-0005-0000-0000-0000AB3C0000}"/>
    <cellStyle name="60% - 强调文字颜色 6 2 17 5 2 8" xfId="655" xr:uid="{00000000-0005-0000-0000-0000AC3C0000}"/>
    <cellStyle name="60% - 强调文字颜色 6 2 17 5 3" xfId="24017" xr:uid="{00000000-0005-0000-0000-0000AD3C0000}"/>
    <cellStyle name="60% - 强调文字颜色 6 2 17 5 4" xfId="24020" xr:uid="{00000000-0005-0000-0000-0000AE3C0000}"/>
    <cellStyle name="60% - 强调文字颜色 6 2 17 5 5" xfId="24022" xr:uid="{00000000-0005-0000-0000-0000AF3C0000}"/>
    <cellStyle name="60% - 强调文字颜色 6 2 17 5 6" xfId="24023" xr:uid="{00000000-0005-0000-0000-0000B03C0000}"/>
    <cellStyle name="60% - 强调文字颜色 6 2 17 5 6 2" xfId="24024" xr:uid="{00000000-0005-0000-0000-0000B13C0000}"/>
    <cellStyle name="60% - 强调文字颜色 6 2 17 5 6 3" xfId="24025" xr:uid="{00000000-0005-0000-0000-0000B23C0000}"/>
    <cellStyle name="60% - 强调文字颜色 6 2 17 5 7" xfId="24026" xr:uid="{00000000-0005-0000-0000-0000B33C0000}"/>
    <cellStyle name="60% - 强调文字颜色 6 2 17 5 8" xfId="24027" xr:uid="{00000000-0005-0000-0000-0000B43C0000}"/>
    <cellStyle name="60% - 强调文字颜色 6 2 17 5 9" xfId="24028" xr:uid="{00000000-0005-0000-0000-0000B53C0000}"/>
    <cellStyle name="60% - 强调文字颜色 6 2 17 6" xfId="9249" xr:uid="{00000000-0005-0000-0000-0000B63C0000}"/>
    <cellStyle name="60% - 强调文字颜色 6 2 17 6 2" xfId="21501" xr:uid="{00000000-0005-0000-0000-0000B73C0000}"/>
    <cellStyle name="60% - 强调文字颜色 6 2 17 6 2 2" xfId="24031" xr:uid="{00000000-0005-0000-0000-0000B83C0000}"/>
    <cellStyle name="60% - 强调文字颜色 6 2 17 6 2 3" xfId="24032" xr:uid="{00000000-0005-0000-0000-0000B93C0000}"/>
    <cellStyle name="60% - 强调文字颜色 6 2 17 6 3" xfId="24033" xr:uid="{00000000-0005-0000-0000-0000BA3C0000}"/>
    <cellStyle name="60% - 强调文字颜色 6 2 17 6 4" xfId="24036" xr:uid="{00000000-0005-0000-0000-0000BB3C0000}"/>
    <cellStyle name="60% - 强调文字颜色 6 2 17 6 5" xfId="24037" xr:uid="{00000000-0005-0000-0000-0000BC3C0000}"/>
    <cellStyle name="60% - 强调文字颜色 6 2 17 6 6" xfId="24038" xr:uid="{00000000-0005-0000-0000-0000BD3C0000}"/>
    <cellStyle name="60% - 强调文字颜色 6 2 17 6 7" xfId="24039" xr:uid="{00000000-0005-0000-0000-0000BE3C0000}"/>
    <cellStyle name="60% - 强调文字颜色 6 2 17 6 8" xfId="24040" xr:uid="{00000000-0005-0000-0000-0000BF3C0000}"/>
    <cellStyle name="60% - 强调文字颜色 6 2 17 7" xfId="19148" xr:uid="{00000000-0005-0000-0000-0000C03C0000}"/>
    <cellStyle name="60% - 强调文字颜色 6 2 17 8" xfId="19150" xr:uid="{00000000-0005-0000-0000-0000C13C0000}"/>
    <cellStyle name="60% - 强调文字颜色 6 2 17 9" xfId="19152" xr:uid="{00000000-0005-0000-0000-0000C23C0000}"/>
    <cellStyle name="60% - 强调文字颜色 6 2 17 9 2" xfId="9353" xr:uid="{00000000-0005-0000-0000-0000C33C0000}"/>
    <cellStyle name="60% - 强调文字颜色 6 2 17 9 3" xfId="9369" xr:uid="{00000000-0005-0000-0000-0000C43C0000}"/>
    <cellStyle name="60% - 强调文字颜色 6 2 18" xfId="16624" xr:uid="{00000000-0005-0000-0000-0000C53C0000}"/>
    <cellStyle name="60% - 强调文字颜色 6 2 18 10" xfId="17999" xr:uid="{00000000-0005-0000-0000-0000C63C0000}"/>
    <cellStyle name="60% - 强调文字颜色 6 2 18 11" xfId="18002" xr:uid="{00000000-0005-0000-0000-0000C73C0000}"/>
    <cellStyle name="60% - 强调文字颜色 6 2 18 12" xfId="18005" xr:uid="{00000000-0005-0000-0000-0000C83C0000}"/>
    <cellStyle name="60% - 强调文字颜色 6 2 18 13" xfId="18008" xr:uid="{00000000-0005-0000-0000-0000C93C0000}"/>
    <cellStyle name="60% - 强调文字颜色 6 2 18 14" xfId="24041" xr:uid="{00000000-0005-0000-0000-0000CA3C0000}"/>
    <cellStyle name="60% - 强调文字颜色 6 2 18 2" xfId="9836" xr:uid="{00000000-0005-0000-0000-0000CB3C0000}"/>
    <cellStyle name="60% - 强调文字颜色 6 2 18 3" xfId="9843" xr:uid="{00000000-0005-0000-0000-0000CC3C0000}"/>
    <cellStyle name="60% - 强调文字颜色 6 2 18 4" xfId="9851" xr:uid="{00000000-0005-0000-0000-0000CD3C0000}"/>
    <cellStyle name="60% - 强调文字颜色 6 2 18 5" xfId="9474" xr:uid="{00000000-0005-0000-0000-0000CE3C0000}"/>
    <cellStyle name="60% - 强调文字颜色 6 2 18 5 10" xfId="12961" xr:uid="{00000000-0005-0000-0000-0000CF3C0000}"/>
    <cellStyle name="60% - 强调文字颜色 6 2 18 5 11" xfId="13029" xr:uid="{00000000-0005-0000-0000-0000D03C0000}"/>
    <cellStyle name="60% - 强调文字颜色 6 2 18 5 2" xfId="24044" xr:uid="{00000000-0005-0000-0000-0000D13C0000}"/>
    <cellStyle name="60% - 强调文字颜色 6 2 18 5 2 2" xfId="24046" xr:uid="{00000000-0005-0000-0000-0000D23C0000}"/>
    <cellStyle name="60% - 强调文字颜色 6 2 18 5 2 2 2" xfId="24047" xr:uid="{00000000-0005-0000-0000-0000D33C0000}"/>
    <cellStyle name="60% - 强调文字颜色 6 2 18 5 2 2 3" xfId="24048" xr:uid="{00000000-0005-0000-0000-0000D43C0000}"/>
    <cellStyle name="60% - 强调文字颜色 6 2 18 5 2 3" xfId="24049" xr:uid="{00000000-0005-0000-0000-0000D53C0000}"/>
    <cellStyle name="60% - 强调文字颜色 6 2 18 5 2 4" xfId="24050" xr:uid="{00000000-0005-0000-0000-0000D63C0000}"/>
    <cellStyle name="60% - 强调文字颜色 6 2 18 5 2 5" xfId="24051" xr:uid="{00000000-0005-0000-0000-0000D73C0000}"/>
    <cellStyle name="60% - 强调文字颜色 6 2 18 5 2 6" xfId="24052" xr:uid="{00000000-0005-0000-0000-0000D83C0000}"/>
    <cellStyle name="60% - 强调文字颜色 6 2 18 5 2 7" xfId="5610" xr:uid="{00000000-0005-0000-0000-0000D93C0000}"/>
    <cellStyle name="60% - 强调文字颜色 6 2 18 5 2 8" xfId="3936" xr:uid="{00000000-0005-0000-0000-0000DA3C0000}"/>
    <cellStyle name="60% - 强调文字颜色 6 2 18 5 3" xfId="24054" xr:uid="{00000000-0005-0000-0000-0000DB3C0000}"/>
    <cellStyle name="60% - 强调文字颜色 6 2 18 5 4" xfId="24056" xr:uid="{00000000-0005-0000-0000-0000DC3C0000}"/>
    <cellStyle name="60% - 强调文字颜色 6 2 18 5 5" xfId="24058" xr:uid="{00000000-0005-0000-0000-0000DD3C0000}"/>
    <cellStyle name="60% - 强调文字颜色 6 2 18 5 6" xfId="24059" xr:uid="{00000000-0005-0000-0000-0000DE3C0000}"/>
    <cellStyle name="60% - 强调文字颜色 6 2 18 5 6 2" xfId="7893" xr:uid="{00000000-0005-0000-0000-0000DF3C0000}"/>
    <cellStyle name="60% - 强调文字颜色 6 2 18 5 6 3" xfId="23421" xr:uid="{00000000-0005-0000-0000-0000E03C0000}"/>
    <cellStyle name="60% - 强调文字颜色 6 2 18 5 7" xfId="24060" xr:uid="{00000000-0005-0000-0000-0000E13C0000}"/>
    <cellStyle name="60% - 强调文字颜色 6 2 18 5 8" xfId="24061" xr:uid="{00000000-0005-0000-0000-0000E23C0000}"/>
    <cellStyle name="60% - 强调文字颜色 6 2 18 5 9" xfId="24062" xr:uid="{00000000-0005-0000-0000-0000E33C0000}"/>
    <cellStyle name="60% - 强调文字颜色 6 2 18 6" xfId="9480" xr:uid="{00000000-0005-0000-0000-0000E43C0000}"/>
    <cellStyle name="60% - 强调文字颜色 6 2 18 6 2" xfId="2123" xr:uid="{00000000-0005-0000-0000-0000E53C0000}"/>
    <cellStyle name="60% - 强调文字颜色 6 2 18 6 2 2" xfId="11287" xr:uid="{00000000-0005-0000-0000-0000E63C0000}"/>
    <cellStyle name="60% - 强调文字颜色 6 2 18 6 2 3" xfId="24063" xr:uid="{00000000-0005-0000-0000-0000E73C0000}"/>
    <cellStyle name="60% - 强调文字颜色 6 2 18 6 3" xfId="24065" xr:uid="{00000000-0005-0000-0000-0000E83C0000}"/>
    <cellStyle name="60% - 强调文字颜色 6 2 18 6 4" xfId="24068" xr:uid="{00000000-0005-0000-0000-0000E93C0000}"/>
    <cellStyle name="60% - 强调文字颜色 6 2 18 6 5" xfId="24070" xr:uid="{00000000-0005-0000-0000-0000EA3C0000}"/>
    <cellStyle name="60% - 强调文字颜色 6 2 18 6 6" xfId="24072" xr:uid="{00000000-0005-0000-0000-0000EB3C0000}"/>
    <cellStyle name="60% - 强调文字颜色 6 2 18 6 7" xfId="24074" xr:uid="{00000000-0005-0000-0000-0000EC3C0000}"/>
    <cellStyle name="60% - 强调文字颜色 6 2 18 6 8" xfId="24075" xr:uid="{00000000-0005-0000-0000-0000ED3C0000}"/>
    <cellStyle name="60% - 强调文字颜色 6 2 18 7" xfId="9486" xr:uid="{00000000-0005-0000-0000-0000EE3C0000}"/>
    <cellStyle name="60% - 强调文字颜色 6 2 18 8" xfId="24076" xr:uid="{00000000-0005-0000-0000-0000EF3C0000}"/>
    <cellStyle name="60% - 强调文字颜色 6 2 18 9" xfId="9560" xr:uid="{00000000-0005-0000-0000-0000F03C0000}"/>
    <cellStyle name="60% - 强调文字颜色 6 2 18 9 2" xfId="9563" xr:uid="{00000000-0005-0000-0000-0000F13C0000}"/>
    <cellStyle name="60% - 强调文字颜色 6 2 18 9 3" xfId="4706" xr:uid="{00000000-0005-0000-0000-0000F23C0000}"/>
    <cellStyle name="60% - 强调文字颜色 6 2 19" xfId="5972" xr:uid="{00000000-0005-0000-0000-0000F33C0000}"/>
    <cellStyle name="60% - 强调文字颜色 6 2 19 10" xfId="7082" xr:uid="{00000000-0005-0000-0000-0000F43C0000}"/>
    <cellStyle name="60% - 强调文字颜色 6 2 19 11" xfId="24077" xr:uid="{00000000-0005-0000-0000-0000F53C0000}"/>
    <cellStyle name="60% - 强调文字颜色 6 2 19 12" xfId="9244" xr:uid="{00000000-0005-0000-0000-0000F63C0000}"/>
    <cellStyle name="60% - 强调文字颜色 6 2 19 13" xfId="9247" xr:uid="{00000000-0005-0000-0000-0000F73C0000}"/>
    <cellStyle name="60% - 强调文字颜色 6 2 19 14" xfId="9253" xr:uid="{00000000-0005-0000-0000-0000F83C0000}"/>
    <cellStyle name="60% - 强调文字颜色 6 2 19 2" xfId="16603" xr:uid="{00000000-0005-0000-0000-0000F93C0000}"/>
    <cellStyle name="60% - 强调文字颜色 6 2 19 3" xfId="16608" xr:uid="{00000000-0005-0000-0000-0000FA3C0000}"/>
    <cellStyle name="60% - 强调文字颜色 6 2 19 4" xfId="16636" xr:uid="{00000000-0005-0000-0000-0000FB3C0000}"/>
    <cellStyle name="60% - 强调文字颜色 6 2 19 5" xfId="16658" xr:uid="{00000000-0005-0000-0000-0000FC3C0000}"/>
    <cellStyle name="60% - 强调文字颜色 6 2 19 5 10" xfId="24082" xr:uid="{00000000-0005-0000-0000-0000FD3C0000}"/>
    <cellStyle name="60% - 强调文字颜色 6 2 19 5 11" xfId="24087" xr:uid="{00000000-0005-0000-0000-0000FE3C0000}"/>
    <cellStyle name="60% - 强调文字颜色 6 2 19 5 2" xfId="2520" xr:uid="{00000000-0005-0000-0000-0000FF3C0000}"/>
    <cellStyle name="60% - 强调文字颜色 6 2 19 5 2 2" xfId="24088" xr:uid="{00000000-0005-0000-0000-0000003D0000}"/>
    <cellStyle name="60% - 强调文字颜色 6 2 19 5 2 2 2" xfId="24089" xr:uid="{00000000-0005-0000-0000-0000013D0000}"/>
    <cellStyle name="60% - 强调文字颜色 6 2 19 5 2 2 3" xfId="24090" xr:uid="{00000000-0005-0000-0000-0000023D0000}"/>
    <cellStyle name="60% - 强调文字颜色 6 2 19 5 2 3" xfId="6589" xr:uid="{00000000-0005-0000-0000-0000033D0000}"/>
    <cellStyle name="60% - 强调文字颜色 6 2 19 5 2 4" xfId="7736" xr:uid="{00000000-0005-0000-0000-0000043D0000}"/>
    <cellStyle name="60% - 强调文字颜色 6 2 19 5 2 5" xfId="14448" xr:uid="{00000000-0005-0000-0000-0000053D0000}"/>
    <cellStyle name="60% - 强调文字颜色 6 2 19 5 2 6" xfId="14738" xr:uid="{00000000-0005-0000-0000-0000063D0000}"/>
    <cellStyle name="60% - 强调文字颜色 6 2 19 5 2 7" xfId="2043" xr:uid="{00000000-0005-0000-0000-0000073D0000}"/>
    <cellStyle name="60% - 强调文字颜色 6 2 19 5 2 8" xfId="2107" xr:uid="{00000000-0005-0000-0000-0000083D0000}"/>
    <cellStyle name="60% - 强调文字颜色 6 2 19 5 3" xfId="5126" xr:uid="{00000000-0005-0000-0000-0000093D0000}"/>
    <cellStyle name="60% - 强调文字颜色 6 2 19 5 4" xfId="10726" xr:uid="{00000000-0005-0000-0000-00000A3D0000}"/>
    <cellStyle name="60% - 强调文字颜色 6 2 19 5 5" xfId="24092" xr:uid="{00000000-0005-0000-0000-00000B3D0000}"/>
    <cellStyle name="60% - 强调文字颜色 6 2 19 5 6" xfId="24095" xr:uid="{00000000-0005-0000-0000-00000C3D0000}"/>
    <cellStyle name="60% - 强调文字颜色 6 2 19 5 6 2" xfId="24096" xr:uid="{00000000-0005-0000-0000-00000D3D0000}"/>
    <cellStyle name="60% - 强调文字颜色 6 2 19 5 6 3" xfId="16172" xr:uid="{00000000-0005-0000-0000-00000E3D0000}"/>
    <cellStyle name="60% - 强调文字颜色 6 2 19 5 7" xfId="24099" xr:uid="{00000000-0005-0000-0000-00000F3D0000}"/>
    <cellStyle name="60% - 强调文字颜色 6 2 19 5 8" xfId="24102" xr:uid="{00000000-0005-0000-0000-0000103D0000}"/>
    <cellStyle name="60% - 强调文字颜色 6 2 19 5 9" xfId="24105" xr:uid="{00000000-0005-0000-0000-0000113D0000}"/>
    <cellStyle name="60% - 强调文字颜色 6 2 19 6" xfId="6941" xr:uid="{00000000-0005-0000-0000-0000123D0000}"/>
    <cellStyle name="60% - 强调文字颜色 6 2 19 6 2" xfId="2532" xr:uid="{00000000-0005-0000-0000-0000133D0000}"/>
    <cellStyle name="60% - 强调文字颜色 6 2 19 6 2 2" xfId="24106" xr:uid="{00000000-0005-0000-0000-0000143D0000}"/>
    <cellStyle name="60% - 强调文字颜色 6 2 19 6 2 3" xfId="24108" xr:uid="{00000000-0005-0000-0000-0000153D0000}"/>
    <cellStyle name="60% - 强调文字颜色 6 2 19 6 3" xfId="2552" xr:uid="{00000000-0005-0000-0000-0000163D0000}"/>
    <cellStyle name="60% - 强调文字颜色 6 2 19 6 4" xfId="24110" xr:uid="{00000000-0005-0000-0000-0000173D0000}"/>
    <cellStyle name="60% - 强调文字颜色 6 2 19 6 5" xfId="24112" xr:uid="{00000000-0005-0000-0000-0000183D0000}"/>
    <cellStyle name="60% - 强调文字颜色 6 2 19 6 6" xfId="24114" xr:uid="{00000000-0005-0000-0000-0000193D0000}"/>
    <cellStyle name="60% - 强调文字颜色 6 2 19 6 7" xfId="24117" xr:uid="{00000000-0005-0000-0000-00001A3D0000}"/>
    <cellStyle name="60% - 强调文字颜色 6 2 19 6 8" xfId="24119" xr:uid="{00000000-0005-0000-0000-00001B3D0000}"/>
    <cellStyle name="60% - 强调文字颜色 6 2 19 7" xfId="6946" xr:uid="{00000000-0005-0000-0000-00001C3D0000}"/>
    <cellStyle name="60% - 强调文字颜色 6 2 19 8" xfId="6951" xr:uid="{00000000-0005-0000-0000-00001D3D0000}"/>
    <cellStyle name="60% - 强调文字颜色 6 2 19 9" xfId="6218" xr:uid="{00000000-0005-0000-0000-00001E3D0000}"/>
    <cellStyle name="60% - 强调文字颜色 6 2 19 9 2" xfId="18864" xr:uid="{00000000-0005-0000-0000-00001F3D0000}"/>
    <cellStyle name="60% - 强调文字颜色 6 2 19 9 3" xfId="18868" xr:uid="{00000000-0005-0000-0000-0000203D0000}"/>
    <cellStyle name="60% - 强调文字颜色 6 2 2" xfId="19558" xr:uid="{00000000-0005-0000-0000-0000213D0000}"/>
    <cellStyle name="60% - 强调文字颜色 6 2 2 10" xfId="19331" xr:uid="{00000000-0005-0000-0000-0000223D0000}"/>
    <cellStyle name="60% - 强调文字颜色 6 2 2 11" xfId="19563" xr:uid="{00000000-0005-0000-0000-0000233D0000}"/>
    <cellStyle name="60% - 强调文字颜色 6 2 2 12" xfId="13320" xr:uid="{00000000-0005-0000-0000-0000243D0000}"/>
    <cellStyle name="60% - 强调文字颜色 6 2 2 13" xfId="13330" xr:uid="{00000000-0005-0000-0000-0000253D0000}"/>
    <cellStyle name="60% - 强调文字颜色 6 2 2 14" xfId="13333" xr:uid="{00000000-0005-0000-0000-0000263D0000}"/>
    <cellStyle name="60% - 强调文字颜色 6 2 2 2" xfId="8768" xr:uid="{00000000-0005-0000-0000-0000273D0000}"/>
    <cellStyle name="60% - 强调文字颜色 6 2 2 3" xfId="11920" xr:uid="{00000000-0005-0000-0000-0000283D0000}"/>
    <cellStyle name="60% - 强调文字颜色 6 2 2 4" xfId="19568" xr:uid="{00000000-0005-0000-0000-0000293D0000}"/>
    <cellStyle name="60% - 强调文字颜色 6 2 2 5" xfId="19571" xr:uid="{00000000-0005-0000-0000-00002A3D0000}"/>
    <cellStyle name="60% - 强调文字颜色 6 2 2 6" xfId="19574" xr:uid="{00000000-0005-0000-0000-00002B3D0000}"/>
    <cellStyle name="60% - 强调文字颜色 6 2 2 7" xfId="19581" xr:uid="{00000000-0005-0000-0000-00002C3D0000}"/>
    <cellStyle name="60% - 强调文字颜色 6 2 2 8" xfId="19585" xr:uid="{00000000-0005-0000-0000-00002D3D0000}"/>
    <cellStyle name="60% - 强调文字颜色 6 2 2 9" xfId="19589" xr:uid="{00000000-0005-0000-0000-00002E3D0000}"/>
    <cellStyle name="60% - 强调文字颜色 6 2 20" xfId="460" xr:uid="{00000000-0005-0000-0000-00002F3D0000}"/>
    <cellStyle name="60% - 强调文字颜色 6 2 20 10" xfId="23597" xr:uid="{00000000-0005-0000-0000-0000303D0000}"/>
    <cellStyle name="60% - 强调文字颜色 6 2 20 11" xfId="23606" xr:uid="{00000000-0005-0000-0000-0000313D0000}"/>
    <cellStyle name="60% - 强调文字颜色 6 2 20 12" xfId="23610" xr:uid="{00000000-0005-0000-0000-0000323D0000}"/>
    <cellStyle name="60% - 强调文字颜色 6 2 20 13" xfId="23614" xr:uid="{00000000-0005-0000-0000-0000333D0000}"/>
    <cellStyle name="60% - 强调文字颜色 6 2 20 14" xfId="23618" xr:uid="{00000000-0005-0000-0000-0000343D0000}"/>
    <cellStyle name="60% - 强调文字颜色 6 2 20 2" xfId="24120" xr:uid="{00000000-0005-0000-0000-0000353D0000}"/>
    <cellStyle name="60% - 强调文字颜色 6 2 20 3" xfId="21452" xr:uid="{00000000-0005-0000-0000-0000363D0000}"/>
    <cellStyle name="60% - 强调文字颜色 6 2 20 4" xfId="21462" xr:uid="{00000000-0005-0000-0000-0000373D0000}"/>
    <cellStyle name="60% - 强调文字颜色 6 2 20 5" xfId="21464" xr:uid="{00000000-0005-0000-0000-0000383D0000}"/>
    <cellStyle name="60% - 强调文字颜色 6 2 20 5 10" xfId="15240" xr:uid="{00000000-0005-0000-0000-0000393D0000}"/>
    <cellStyle name="60% - 强调文字颜色 6 2 20 5 11" xfId="5030" xr:uid="{00000000-0005-0000-0000-00003A3D0000}"/>
    <cellStyle name="60% - 强调文字颜色 6 2 20 5 2" xfId="24122" xr:uid="{00000000-0005-0000-0000-00003B3D0000}"/>
    <cellStyle name="60% - 强调文字颜色 6 2 20 5 2 2" xfId="24123" xr:uid="{00000000-0005-0000-0000-00003C3D0000}"/>
    <cellStyle name="60% - 强调文字颜色 6 2 20 5 2 2 2" xfId="24124" xr:uid="{00000000-0005-0000-0000-00003D3D0000}"/>
    <cellStyle name="60% - 强调文字颜色 6 2 20 5 2 2 3" xfId="24125" xr:uid="{00000000-0005-0000-0000-00003E3D0000}"/>
    <cellStyle name="60% - 强调文字颜色 6 2 20 5 2 3" xfId="24126" xr:uid="{00000000-0005-0000-0000-00003F3D0000}"/>
    <cellStyle name="60% - 强调文字颜色 6 2 20 5 2 4" xfId="16799" xr:uid="{00000000-0005-0000-0000-0000403D0000}"/>
    <cellStyle name="60% - 强调文字颜色 6 2 20 5 2 5" xfId="16804" xr:uid="{00000000-0005-0000-0000-0000413D0000}"/>
    <cellStyle name="60% - 强调文字颜色 6 2 20 5 2 6" xfId="24127" xr:uid="{00000000-0005-0000-0000-0000423D0000}"/>
    <cellStyle name="60% - 强调文字颜色 6 2 20 5 2 7" xfId="24128" xr:uid="{00000000-0005-0000-0000-0000433D0000}"/>
    <cellStyle name="60% - 强调文字颜色 6 2 20 5 2 8" xfId="24129" xr:uid="{00000000-0005-0000-0000-0000443D0000}"/>
    <cellStyle name="60% - 强调文字颜色 6 2 20 5 3" xfId="24130" xr:uid="{00000000-0005-0000-0000-0000453D0000}"/>
    <cellStyle name="60% - 强调文字颜色 6 2 20 5 4" xfId="24131" xr:uid="{00000000-0005-0000-0000-0000463D0000}"/>
    <cellStyle name="60% - 强调文字颜色 6 2 20 5 5" xfId="24132" xr:uid="{00000000-0005-0000-0000-0000473D0000}"/>
    <cellStyle name="60% - 强调文字颜色 6 2 20 5 6" xfId="24133" xr:uid="{00000000-0005-0000-0000-0000483D0000}"/>
    <cellStyle name="60% - 强调文字颜色 6 2 20 5 6 2" xfId="24134" xr:uid="{00000000-0005-0000-0000-0000493D0000}"/>
    <cellStyle name="60% - 强调文字颜色 6 2 20 5 6 3" xfId="24135" xr:uid="{00000000-0005-0000-0000-00004A3D0000}"/>
    <cellStyle name="60% - 强调文字颜色 6 2 20 5 7" xfId="24136" xr:uid="{00000000-0005-0000-0000-00004B3D0000}"/>
    <cellStyle name="60% - 强调文字颜色 6 2 20 5 8" xfId="24137" xr:uid="{00000000-0005-0000-0000-00004C3D0000}"/>
    <cellStyle name="60% - 强调文字颜色 6 2 20 5 9" xfId="24138" xr:uid="{00000000-0005-0000-0000-00004D3D0000}"/>
    <cellStyle name="60% - 强调文字颜色 6 2 20 6" xfId="21467" xr:uid="{00000000-0005-0000-0000-00004E3D0000}"/>
    <cellStyle name="60% - 强调文字颜色 6 2 20 6 2" xfId="24139" xr:uid="{00000000-0005-0000-0000-00004F3D0000}"/>
    <cellStyle name="60% - 强调文字颜色 6 2 20 6 2 2" xfId="24140" xr:uid="{00000000-0005-0000-0000-0000503D0000}"/>
    <cellStyle name="60% - 强调文字颜色 6 2 20 6 2 3" xfId="24141" xr:uid="{00000000-0005-0000-0000-0000513D0000}"/>
    <cellStyle name="60% - 强调文字颜色 6 2 20 6 3" xfId="24143" xr:uid="{00000000-0005-0000-0000-0000523D0000}"/>
    <cellStyle name="60% - 强调文字颜色 6 2 20 6 4" xfId="24144" xr:uid="{00000000-0005-0000-0000-0000533D0000}"/>
    <cellStyle name="60% - 强调文字颜色 6 2 20 6 5" xfId="24145" xr:uid="{00000000-0005-0000-0000-0000543D0000}"/>
    <cellStyle name="60% - 强调文字颜色 6 2 20 6 6" xfId="24147" xr:uid="{00000000-0005-0000-0000-0000553D0000}"/>
    <cellStyle name="60% - 强调文字颜色 6 2 20 6 7" xfId="17273" xr:uid="{00000000-0005-0000-0000-0000563D0000}"/>
    <cellStyle name="60% - 强调文字颜色 6 2 20 6 8" xfId="3661" xr:uid="{00000000-0005-0000-0000-0000573D0000}"/>
    <cellStyle name="60% - 强调文字颜色 6 2 20 7" xfId="21470" xr:uid="{00000000-0005-0000-0000-0000583D0000}"/>
    <cellStyle name="60% - 强调文字颜色 6 2 20 8" xfId="21475" xr:uid="{00000000-0005-0000-0000-0000593D0000}"/>
    <cellStyle name="60% - 强调文字颜色 6 2 20 9" xfId="21477" xr:uid="{00000000-0005-0000-0000-00005A3D0000}"/>
    <cellStyle name="60% - 强调文字颜色 6 2 20 9 2" xfId="4273" xr:uid="{00000000-0005-0000-0000-00005B3D0000}"/>
    <cellStyle name="60% - 强调文字颜色 6 2 20 9 3" xfId="4286" xr:uid="{00000000-0005-0000-0000-00005C3D0000}"/>
    <cellStyle name="60% - 强调文字颜色 6 2 3" xfId="19592" xr:uid="{00000000-0005-0000-0000-00005D3D0000}"/>
    <cellStyle name="60% - 强调文字颜色 6 2 3 10" xfId="16641" xr:uid="{00000000-0005-0000-0000-00005E3D0000}"/>
    <cellStyle name="60% - 强调文字颜色 6 2 3 11" xfId="16646" xr:uid="{00000000-0005-0000-0000-00005F3D0000}"/>
    <cellStyle name="60% - 强调文字颜色 6 2 3 12" xfId="16650" xr:uid="{00000000-0005-0000-0000-0000603D0000}"/>
    <cellStyle name="60% - 强调文字颜色 6 2 3 13" xfId="6527" xr:uid="{00000000-0005-0000-0000-0000613D0000}"/>
    <cellStyle name="60% - 强调文字颜色 6 2 3 14" xfId="6532" xr:uid="{00000000-0005-0000-0000-0000623D0000}"/>
    <cellStyle name="60% - 强调文字颜色 6 2 3 2" xfId="8370" xr:uid="{00000000-0005-0000-0000-0000633D0000}"/>
    <cellStyle name="60% - 强调文字颜色 6 2 3 3" xfId="8378" xr:uid="{00000000-0005-0000-0000-0000643D0000}"/>
    <cellStyle name="60% - 强调文字颜色 6 2 3 4" xfId="8385" xr:uid="{00000000-0005-0000-0000-0000653D0000}"/>
    <cellStyle name="60% - 强调文字颜色 6 2 3 5" xfId="8393" xr:uid="{00000000-0005-0000-0000-0000663D0000}"/>
    <cellStyle name="60% - 强调文字颜色 6 2 3 6" xfId="8399" xr:uid="{00000000-0005-0000-0000-0000673D0000}"/>
    <cellStyle name="60% - 强调文字颜色 6 2 3 7" xfId="5142" xr:uid="{00000000-0005-0000-0000-0000683D0000}"/>
    <cellStyle name="60% - 强调文字颜色 6 2 3 8" xfId="19597" xr:uid="{00000000-0005-0000-0000-0000693D0000}"/>
    <cellStyle name="60% - 强调文字颜色 6 2 3 9" xfId="5158" xr:uid="{00000000-0005-0000-0000-00006A3D0000}"/>
    <cellStyle name="60% - 强调文字颜色 6 2 4" xfId="19600" xr:uid="{00000000-0005-0000-0000-00006B3D0000}"/>
    <cellStyle name="60% - 强调文字颜色 6 2 4 10" xfId="18862" xr:uid="{00000000-0005-0000-0000-00006C3D0000}"/>
    <cellStyle name="60% - 强调文字颜色 6 2 4 11" xfId="18866" xr:uid="{00000000-0005-0000-0000-00006D3D0000}"/>
    <cellStyle name="60% - 强调文字颜色 6 2 4 12" xfId="18942" xr:uid="{00000000-0005-0000-0000-00006E3D0000}"/>
    <cellStyle name="60% - 强调文字颜色 6 2 4 13" xfId="19009" xr:uid="{00000000-0005-0000-0000-00006F3D0000}"/>
    <cellStyle name="60% - 强调文字颜色 6 2 4 14" xfId="22890" xr:uid="{00000000-0005-0000-0000-0000703D0000}"/>
    <cellStyle name="60% - 强调文字颜色 6 2 4 2" xfId="6936" xr:uid="{00000000-0005-0000-0000-0000713D0000}"/>
    <cellStyle name="60% - 强调文字颜色 6 2 4 3" xfId="4960" xr:uid="{00000000-0005-0000-0000-0000723D0000}"/>
    <cellStyle name="60% - 强调文字颜色 6 2 4 4" xfId="4980" xr:uid="{00000000-0005-0000-0000-0000733D0000}"/>
    <cellStyle name="60% - 强调文字颜色 6 2 4 5" xfId="4989" xr:uid="{00000000-0005-0000-0000-0000743D0000}"/>
    <cellStyle name="60% - 强调文字颜色 6 2 4 6" xfId="3838" xr:uid="{00000000-0005-0000-0000-0000753D0000}"/>
    <cellStyle name="60% - 强调文字颜色 6 2 4 7" xfId="3846" xr:uid="{00000000-0005-0000-0000-0000763D0000}"/>
    <cellStyle name="60% - 强调文字颜色 6 2 4 8" xfId="24150" xr:uid="{00000000-0005-0000-0000-0000773D0000}"/>
    <cellStyle name="60% - 强调文字颜色 6 2 4 9" xfId="24153" xr:uid="{00000000-0005-0000-0000-0000783D0000}"/>
    <cellStyle name="60% - 强调文字颜色 6 2 5" xfId="19604" xr:uid="{00000000-0005-0000-0000-0000793D0000}"/>
    <cellStyle name="60% - 强调文字颜色 6 2 6" xfId="19609" xr:uid="{00000000-0005-0000-0000-00007A3D0000}"/>
    <cellStyle name="60% - 强调文字颜色 6 2 7" xfId="22561" xr:uid="{00000000-0005-0000-0000-00007B3D0000}"/>
    <cellStyle name="60% - 强调文字颜色 6 2 8" xfId="22564" xr:uid="{00000000-0005-0000-0000-00007C3D0000}"/>
    <cellStyle name="60% - 强调文字颜色 6 2 9" xfId="24155" xr:uid="{00000000-0005-0000-0000-00007D3D0000}"/>
    <cellStyle name="60% - 强调文字颜色 6 3" xfId="3682" xr:uid="{00000000-0005-0000-0000-00007E3D0000}"/>
    <cellStyle name="60% - 强调文字颜色 6 3 10" xfId="12130" xr:uid="{00000000-0005-0000-0000-00007F3D0000}"/>
    <cellStyle name="60% - 强调文字颜色 6 3 11" xfId="12133" xr:uid="{00000000-0005-0000-0000-0000803D0000}"/>
    <cellStyle name="60% - 强调文字颜色 6 3 12" xfId="12137" xr:uid="{00000000-0005-0000-0000-0000813D0000}"/>
    <cellStyle name="60% - 强调文字颜色 6 3 13" xfId="9985" xr:uid="{00000000-0005-0000-0000-0000823D0000}"/>
    <cellStyle name="60% - 强调文字颜色 6 3 14" xfId="9989" xr:uid="{00000000-0005-0000-0000-0000833D0000}"/>
    <cellStyle name="60% - 强调文字颜色 6 3 15" xfId="9992" xr:uid="{00000000-0005-0000-0000-0000843D0000}"/>
    <cellStyle name="60% - 强调文字颜色 6 3 16" xfId="9995" xr:uid="{00000000-0005-0000-0000-0000853D0000}"/>
    <cellStyle name="60% - 强调文字颜色 6 3 17" xfId="9997" xr:uid="{00000000-0005-0000-0000-0000863D0000}"/>
    <cellStyle name="60% - 强调文字颜色 6 3 17 10" xfId="2747" xr:uid="{00000000-0005-0000-0000-0000873D0000}"/>
    <cellStyle name="60% - 强调文字颜色 6 3 17 11" xfId="2756" xr:uid="{00000000-0005-0000-0000-0000883D0000}"/>
    <cellStyle name="60% - 强调文字颜色 6 3 17 12" xfId="7200" xr:uid="{00000000-0005-0000-0000-0000893D0000}"/>
    <cellStyle name="60% - 强调文字颜色 6 3 17 13" xfId="18348" xr:uid="{00000000-0005-0000-0000-00008A3D0000}"/>
    <cellStyle name="60% - 强调文字颜色 6 3 17 14" xfId="18352" xr:uid="{00000000-0005-0000-0000-00008B3D0000}"/>
    <cellStyle name="60% - 强调文字颜色 6 3 17 2" xfId="19461" xr:uid="{00000000-0005-0000-0000-00008C3D0000}"/>
    <cellStyle name="60% - 强调文字颜色 6 3 17 2 2" xfId="20433" xr:uid="{00000000-0005-0000-0000-00008D3D0000}"/>
    <cellStyle name="60% - 强调文字颜色 6 3 17 3" xfId="18701" xr:uid="{00000000-0005-0000-0000-00008E3D0000}"/>
    <cellStyle name="60% - 强调文字颜色 6 3 17 4" xfId="18704" xr:uid="{00000000-0005-0000-0000-00008F3D0000}"/>
    <cellStyle name="60% - 强调文字颜色 6 3 17 5" xfId="18707" xr:uid="{00000000-0005-0000-0000-0000903D0000}"/>
    <cellStyle name="60% - 强调文字颜色 6 3 17 5 10" xfId="24156" xr:uid="{00000000-0005-0000-0000-0000913D0000}"/>
    <cellStyle name="60% - 强调文字颜色 6 3 17 5 11" xfId="24157" xr:uid="{00000000-0005-0000-0000-0000923D0000}"/>
    <cellStyle name="60% - 强调文字颜色 6 3 17 5 2" xfId="24159" xr:uid="{00000000-0005-0000-0000-0000933D0000}"/>
    <cellStyle name="60% - 强调文字颜色 6 3 17 5 2 2" xfId="24160" xr:uid="{00000000-0005-0000-0000-0000943D0000}"/>
    <cellStyle name="60% - 强调文字颜色 6 3 17 5 2 2 2" xfId="11029" xr:uid="{00000000-0005-0000-0000-0000953D0000}"/>
    <cellStyle name="60% - 强调文字颜色 6 3 17 5 2 2 3" xfId="8075" xr:uid="{00000000-0005-0000-0000-0000963D0000}"/>
    <cellStyle name="60% - 强调文字颜色 6 3 17 5 2 3" xfId="24162" xr:uid="{00000000-0005-0000-0000-0000973D0000}"/>
    <cellStyle name="60% - 强调文字颜色 6 3 17 5 2 4" xfId="17135" xr:uid="{00000000-0005-0000-0000-0000983D0000}"/>
    <cellStyle name="60% - 强调文字颜色 6 3 17 5 2 5" xfId="9126" xr:uid="{00000000-0005-0000-0000-0000993D0000}"/>
    <cellStyle name="60% - 强调文字颜色 6 3 17 5 2 6" xfId="24163" xr:uid="{00000000-0005-0000-0000-00009A3D0000}"/>
    <cellStyle name="60% - 强调文字颜色 6 3 17 5 2 7" xfId="24164" xr:uid="{00000000-0005-0000-0000-00009B3D0000}"/>
    <cellStyle name="60% - 强调文字颜色 6 3 17 5 2 8" xfId="24165" xr:uid="{00000000-0005-0000-0000-00009C3D0000}"/>
    <cellStyle name="60% - 强调文字颜色 6 3 17 5 3" xfId="24166" xr:uid="{00000000-0005-0000-0000-00009D3D0000}"/>
    <cellStyle name="60% - 强调文字颜色 6 3 17 5 4" xfId="24167" xr:uid="{00000000-0005-0000-0000-00009E3D0000}"/>
    <cellStyle name="60% - 强调文字颜色 6 3 17 5 5" xfId="24169" xr:uid="{00000000-0005-0000-0000-00009F3D0000}"/>
    <cellStyle name="60% - 强调文字颜色 6 3 17 5 6" xfId="24171" xr:uid="{00000000-0005-0000-0000-0000A03D0000}"/>
    <cellStyle name="60% - 强调文字颜色 6 3 17 5 6 2" xfId="354" xr:uid="{00000000-0005-0000-0000-0000A13D0000}"/>
    <cellStyle name="60% - 强调文字颜色 6 3 17 5 6 3" xfId="360" xr:uid="{00000000-0005-0000-0000-0000A23D0000}"/>
    <cellStyle name="60% - 强调文字颜色 6 3 17 5 7" xfId="24172" xr:uid="{00000000-0005-0000-0000-0000A33D0000}"/>
    <cellStyle name="60% - 强调文字颜色 6 3 17 5 8" xfId="24173" xr:uid="{00000000-0005-0000-0000-0000A43D0000}"/>
    <cellStyle name="60% - 强调文字颜色 6 3 17 5 9" xfId="24174" xr:uid="{00000000-0005-0000-0000-0000A53D0000}"/>
    <cellStyle name="60% - 强调文字颜色 6 3 17 6" xfId="18710" xr:uid="{00000000-0005-0000-0000-0000A63D0000}"/>
    <cellStyle name="60% - 强调文字颜色 6 3 17 6 2" xfId="22299" xr:uid="{00000000-0005-0000-0000-0000A73D0000}"/>
    <cellStyle name="60% - 强调文字颜色 6 3 17 6 2 2" xfId="24175" xr:uid="{00000000-0005-0000-0000-0000A83D0000}"/>
    <cellStyle name="60% - 强调文字颜色 6 3 17 6 2 3" xfId="24176" xr:uid="{00000000-0005-0000-0000-0000A93D0000}"/>
    <cellStyle name="60% - 强调文字颜色 6 3 17 6 3" xfId="24177" xr:uid="{00000000-0005-0000-0000-0000AA3D0000}"/>
    <cellStyle name="60% - 强调文字颜色 6 3 17 6 4" xfId="24178" xr:uid="{00000000-0005-0000-0000-0000AB3D0000}"/>
    <cellStyle name="60% - 强调文字颜色 6 3 17 6 5" xfId="24180" xr:uid="{00000000-0005-0000-0000-0000AC3D0000}"/>
    <cellStyle name="60% - 强调文字颜色 6 3 17 6 6" xfId="24181" xr:uid="{00000000-0005-0000-0000-0000AD3D0000}"/>
    <cellStyle name="60% - 强调文字颜色 6 3 17 6 7" xfId="24182" xr:uid="{00000000-0005-0000-0000-0000AE3D0000}"/>
    <cellStyle name="60% - 强调文字颜色 6 3 17 6 8" xfId="24183" xr:uid="{00000000-0005-0000-0000-0000AF3D0000}"/>
    <cellStyle name="60% - 强调文字颜色 6 3 17 7" xfId="18713" xr:uid="{00000000-0005-0000-0000-0000B03D0000}"/>
    <cellStyle name="60% - 强调文字颜色 6 3 17 8" xfId="20077" xr:uid="{00000000-0005-0000-0000-0000B13D0000}"/>
    <cellStyle name="60% - 强调文字颜色 6 3 17 9" xfId="20079" xr:uid="{00000000-0005-0000-0000-0000B23D0000}"/>
    <cellStyle name="60% - 强调文字颜色 6 3 17 9 2" xfId="8830" xr:uid="{00000000-0005-0000-0000-0000B33D0000}"/>
    <cellStyle name="60% - 强调文字颜色 6 3 17 9 3" xfId="8839" xr:uid="{00000000-0005-0000-0000-0000B43D0000}"/>
    <cellStyle name="60% - 强调文字颜色 6 3 18" xfId="10004" xr:uid="{00000000-0005-0000-0000-0000B53D0000}"/>
    <cellStyle name="60% - 强调文字颜色 6 3 18 10" xfId="19109" xr:uid="{00000000-0005-0000-0000-0000B63D0000}"/>
    <cellStyle name="60% - 强调文字颜色 6 3 18 11" xfId="19111" xr:uid="{00000000-0005-0000-0000-0000B73D0000}"/>
    <cellStyle name="60% - 强调文字颜色 6 3 18 12" xfId="19113" xr:uid="{00000000-0005-0000-0000-0000B83D0000}"/>
    <cellStyle name="60% - 强调文字颜色 6 3 18 13" xfId="19115" xr:uid="{00000000-0005-0000-0000-0000B93D0000}"/>
    <cellStyle name="60% - 强调文字颜色 6 3 18 14" xfId="24185" xr:uid="{00000000-0005-0000-0000-0000BA3D0000}"/>
    <cellStyle name="60% - 强调文字颜色 6 3 18 2" xfId="11757" xr:uid="{00000000-0005-0000-0000-0000BB3D0000}"/>
    <cellStyle name="60% - 强调文字颜色 6 3 18 3" xfId="11766" xr:uid="{00000000-0005-0000-0000-0000BC3D0000}"/>
    <cellStyle name="60% - 强调文字颜色 6 3 18 4" xfId="10919" xr:uid="{00000000-0005-0000-0000-0000BD3D0000}"/>
    <cellStyle name="60% - 强调文字颜色 6 3 18 5" xfId="10051" xr:uid="{00000000-0005-0000-0000-0000BE3D0000}"/>
    <cellStyle name="60% - 强调文字颜色 6 3 18 5 10" xfId="24187" xr:uid="{00000000-0005-0000-0000-0000BF3D0000}"/>
    <cellStyle name="60% - 强调文字颜色 6 3 18 5 11" xfId="24193" xr:uid="{00000000-0005-0000-0000-0000C03D0000}"/>
    <cellStyle name="60% - 强调文字颜色 6 3 18 5 2" xfId="24195" xr:uid="{00000000-0005-0000-0000-0000C13D0000}"/>
    <cellStyle name="60% - 强调文字颜色 6 3 18 5 2 2" xfId="24197" xr:uid="{00000000-0005-0000-0000-0000C23D0000}"/>
    <cellStyle name="60% - 强调文字颜色 6 3 18 5 2 2 2" xfId="9343" xr:uid="{00000000-0005-0000-0000-0000C33D0000}"/>
    <cellStyle name="60% - 强调文字颜色 6 3 18 5 2 2 3" xfId="24198" xr:uid="{00000000-0005-0000-0000-0000C43D0000}"/>
    <cellStyle name="60% - 强调文字颜色 6 3 18 5 2 3" xfId="24199" xr:uid="{00000000-0005-0000-0000-0000C53D0000}"/>
    <cellStyle name="60% - 强调文字颜色 6 3 18 5 2 4" xfId="24200" xr:uid="{00000000-0005-0000-0000-0000C63D0000}"/>
    <cellStyle name="60% - 强调文字颜色 6 3 18 5 2 5" xfId="24201" xr:uid="{00000000-0005-0000-0000-0000C73D0000}"/>
    <cellStyle name="60% - 强调文字颜色 6 3 18 5 2 6" xfId="24202" xr:uid="{00000000-0005-0000-0000-0000C83D0000}"/>
    <cellStyle name="60% - 强调文字颜色 6 3 18 5 2 7" xfId="19367" xr:uid="{00000000-0005-0000-0000-0000C93D0000}"/>
    <cellStyle name="60% - 强调文字颜色 6 3 18 5 2 8" xfId="19369" xr:uid="{00000000-0005-0000-0000-0000CA3D0000}"/>
    <cellStyle name="60% - 强调文字颜色 6 3 18 5 3" xfId="24204" xr:uid="{00000000-0005-0000-0000-0000CB3D0000}"/>
    <cellStyle name="60% - 强调文字颜色 6 3 18 5 4" xfId="24207" xr:uid="{00000000-0005-0000-0000-0000CC3D0000}"/>
    <cellStyle name="60% - 强调文字颜色 6 3 18 5 5" xfId="24210" xr:uid="{00000000-0005-0000-0000-0000CD3D0000}"/>
    <cellStyle name="60% - 强调文字颜色 6 3 18 5 6" xfId="24213" xr:uid="{00000000-0005-0000-0000-0000CE3D0000}"/>
    <cellStyle name="60% - 强调文字颜色 6 3 18 5 6 2" xfId="17443" xr:uid="{00000000-0005-0000-0000-0000CF3D0000}"/>
    <cellStyle name="60% - 强调文字颜色 6 3 18 5 6 3" xfId="17491" xr:uid="{00000000-0005-0000-0000-0000D03D0000}"/>
    <cellStyle name="60% - 强调文字颜色 6 3 18 5 7" xfId="24216" xr:uid="{00000000-0005-0000-0000-0000D13D0000}"/>
    <cellStyle name="60% - 强调文字颜色 6 3 18 5 8" xfId="24218" xr:uid="{00000000-0005-0000-0000-0000D23D0000}"/>
    <cellStyle name="60% - 强调文字颜色 6 3 18 5 9" xfId="24220" xr:uid="{00000000-0005-0000-0000-0000D33D0000}"/>
    <cellStyle name="60% - 强调文字颜色 6 3 18 6" xfId="10060" xr:uid="{00000000-0005-0000-0000-0000D43D0000}"/>
    <cellStyle name="60% - 强调文字颜色 6 3 18 6 2" xfId="24221" xr:uid="{00000000-0005-0000-0000-0000D53D0000}"/>
    <cellStyle name="60% - 强调文字颜色 6 3 18 6 2 2" xfId="11609" xr:uid="{00000000-0005-0000-0000-0000D63D0000}"/>
    <cellStyle name="60% - 强调文字颜色 6 3 18 6 2 3" xfId="24222" xr:uid="{00000000-0005-0000-0000-0000D73D0000}"/>
    <cellStyle name="60% - 强调文字颜色 6 3 18 6 3" xfId="24224" xr:uid="{00000000-0005-0000-0000-0000D83D0000}"/>
    <cellStyle name="60% - 强调文字颜色 6 3 18 6 4" xfId="24226" xr:uid="{00000000-0005-0000-0000-0000D93D0000}"/>
    <cellStyle name="60% - 强调文字颜色 6 3 18 6 5" xfId="24228" xr:uid="{00000000-0005-0000-0000-0000DA3D0000}"/>
    <cellStyle name="60% - 强调文字颜色 6 3 18 6 6" xfId="24230" xr:uid="{00000000-0005-0000-0000-0000DB3D0000}"/>
    <cellStyle name="60% - 强调文字颜色 6 3 18 6 7" xfId="24232" xr:uid="{00000000-0005-0000-0000-0000DC3D0000}"/>
    <cellStyle name="60% - 强调文字颜色 6 3 18 6 8" xfId="24234" xr:uid="{00000000-0005-0000-0000-0000DD3D0000}"/>
    <cellStyle name="60% - 强调文字颜色 6 3 18 7" xfId="2078" xr:uid="{00000000-0005-0000-0000-0000DE3D0000}"/>
    <cellStyle name="60% - 强调文字颜色 6 3 18 8" xfId="20216" xr:uid="{00000000-0005-0000-0000-0000DF3D0000}"/>
    <cellStyle name="60% - 强调文字颜色 6 3 18 9" xfId="24236" xr:uid="{00000000-0005-0000-0000-0000E03D0000}"/>
    <cellStyle name="60% - 强调文字颜色 6 3 18 9 2" xfId="10122" xr:uid="{00000000-0005-0000-0000-0000E13D0000}"/>
    <cellStyle name="60% - 强调文字颜色 6 3 18 9 3" xfId="7372" xr:uid="{00000000-0005-0000-0000-0000E23D0000}"/>
    <cellStyle name="60% - 强调文字颜色 6 3 19" xfId="9791" xr:uid="{00000000-0005-0000-0000-0000E33D0000}"/>
    <cellStyle name="60% - 强调文字颜色 6 3 19 10" xfId="24237" xr:uid="{00000000-0005-0000-0000-0000E43D0000}"/>
    <cellStyle name="60% - 强调文字颜色 6 3 19 11" xfId="24239" xr:uid="{00000000-0005-0000-0000-0000E53D0000}"/>
    <cellStyle name="60% - 强调文字颜色 6 3 19 12" xfId="24241" xr:uid="{00000000-0005-0000-0000-0000E63D0000}"/>
    <cellStyle name="60% - 强调文字颜色 6 3 19 13" xfId="24243" xr:uid="{00000000-0005-0000-0000-0000E73D0000}"/>
    <cellStyle name="60% - 强调文字颜色 6 3 19 14" xfId="24245" xr:uid="{00000000-0005-0000-0000-0000E83D0000}"/>
    <cellStyle name="60% - 强调文字颜色 6 3 19 2" xfId="16823" xr:uid="{00000000-0005-0000-0000-0000E93D0000}"/>
    <cellStyle name="60% - 强调文字颜色 6 3 19 3" xfId="16828" xr:uid="{00000000-0005-0000-0000-0000EA3D0000}"/>
    <cellStyle name="60% - 强调文字颜色 6 3 19 4" xfId="16858" xr:uid="{00000000-0005-0000-0000-0000EB3D0000}"/>
    <cellStyle name="60% - 强调文字颜色 6 3 19 5" xfId="14559" xr:uid="{00000000-0005-0000-0000-0000EC3D0000}"/>
    <cellStyle name="60% - 强调文字颜色 6 3 19 5 10" xfId="20747" xr:uid="{00000000-0005-0000-0000-0000ED3D0000}"/>
    <cellStyle name="60% - 强调文字颜色 6 3 19 5 11" xfId="20752" xr:uid="{00000000-0005-0000-0000-0000EE3D0000}"/>
    <cellStyle name="60% - 强调文字颜色 6 3 19 5 2" xfId="17724" xr:uid="{00000000-0005-0000-0000-0000EF3D0000}"/>
    <cellStyle name="60% - 强调文字颜色 6 3 19 5 2 2" xfId="24246" xr:uid="{00000000-0005-0000-0000-0000F03D0000}"/>
    <cellStyle name="60% - 强调文字颜色 6 3 19 5 2 2 2" xfId="10395" xr:uid="{00000000-0005-0000-0000-0000F13D0000}"/>
    <cellStyle name="60% - 强调文字颜色 6 3 19 5 2 2 3" xfId="10399" xr:uid="{00000000-0005-0000-0000-0000F23D0000}"/>
    <cellStyle name="60% - 强调文字颜色 6 3 19 5 2 3" xfId="24247" xr:uid="{00000000-0005-0000-0000-0000F33D0000}"/>
    <cellStyle name="60% - 强调文字颜色 6 3 19 5 2 4" xfId="24248" xr:uid="{00000000-0005-0000-0000-0000F43D0000}"/>
    <cellStyle name="60% - 强调文字颜色 6 3 19 5 2 5" xfId="24249" xr:uid="{00000000-0005-0000-0000-0000F53D0000}"/>
    <cellStyle name="60% - 强调文字颜色 6 3 19 5 2 6" xfId="24250" xr:uid="{00000000-0005-0000-0000-0000F63D0000}"/>
    <cellStyle name="60% - 强调文字颜色 6 3 19 5 2 7" xfId="24252" xr:uid="{00000000-0005-0000-0000-0000F73D0000}"/>
    <cellStyle name="60% - 强调文字颜色 6 3 19 5 2 8" xfId="24254" xr:uid="{00000000-0005-0000-0000-0000F83D0000}"/>
    <cellStyle name="60% - 强调文字颜色 6 3 19 5 3" xfId="17726" xr:uid="{00000000-0005-0000-0000-0000F93D0000}"/>
    <cellStyle name="60% - 强调文字颜色 6 3 19 5 4" xfId="17728" xr:uid="{00000000-0005-0000-0000-0000FA3D0000}"/>
    <cellStyle name="60% - 强调文字颜色 6 3 19 5 5" xfId="24255" xr:uid="{00000000-0005-0000-0000-0000FB3D0000}"/>
    <cellStyle name="60% - 强调文字颜色 6 3 19 5 6" xfId="24256" xr:uid="{00000000-0005-0000-0000-0000FC3D0000}"/>
    <cellStyle name="60% - 强调文字颜色 6 3 19 5 6 2" xfId="24257" xr:uid="{00000000-0005-0000-0000-0000FD3D0000}"/>
    <cellStyle name="60% - 强调文字颜色 6 3 19 5 6 3" xfId="16907" xr:uid="{00000000-0005-0000-0000-0000FE3D0000}"/>
    <cellStyle name="60% - 强调文字颜色 6 3 19 5 7" xfId="24258" xr:uid="{00000000-0005-0000-0000-0000FF3D0000}"/>
    <cellStyle name="60% - 强调文字颜色 6 3 19 5 8" xfId="24260" xr:uid="{00000000-0005-0000-0000-0000003E0000}"/>
    <cellStyle name="60% - 强调文字颜色 6 3 19 5 9" xfId="24262" xr:uid="{00000000-0005-0000-0000-0000013E0000}"/>
    <cellStyle name="60% - 强调文字颜色 6 3 19 6" xfId="14563" xr:uid="{00000000-0005-0000-0000-0000023E0000}"/>
    <cellStyle name="60% - 强调文字颜色 6 3 19 6 2" xfId="3597" xr:uid="{00000000-0005-0000-0000-0000033E0000}"/>
    <cellStyle name="60% - 强调文字颜色 6 3 19 6 2 2" xfId="24263" xr:uid="{00000000-0005-0000-0000-0000043E0000}"/>
    <cellStyle name="60% - 强调文字颜色 6 3 19 6 2 3" xfId="12210" xr:uid="{00000000-0005-0000-0000-0000053E0000}"/>
    <cellStyle name="60% - 强调文字颜色 6 3 19 6 3" xfId="24264" xr:uid="{00000000-0005-0000-0000-0000063E0000}"/>
    <cellStyle name="60% - 强调文字颜色 6 3 19 6 4" xfId="24265" xr:uid="{00000000-0005-0000-0000-0000073E0000}"/>
    <cellStyle name="60% - 强调文字颜色 6 3 19 6 5" xfId="24266" xr:uid="{00000000-0005-0000-0000-0000083E0000}"/>
    <cellStyle name="60% - 强调文字颜色 6 3 19 6 6" xfId="24267" xr:uid="{00000000-0005-0000-0000-0000093E0000}"/>
    <cellStyle name="60% - 强调文字颜色 6 3 19 6 7" xfId="24268" xr:uid="{00000000-0005-0000-0000-00000A3E0000}"/>
    <cellStyle name="60% - 强调文字颜色 6 3 19 6 8" xfId="24269" xr:uid="{00000000-0005-0000-0000-00000B3E0000}"/>
    <cellStyle name="60% - 强调文字颜色 6 3 19 7" xfId="16887" xr:uid="{00000000-0005-0000-0000-00000C3E0000}"/>
    <cellStyle name="60% - 强调文字颜色 6 3 19 8" xfId="24270" xr:uid="{00000000-0005-0000-0000-00000D3E0000}"/>
    <cellStyle name="60% - 强调文字颜色 6 3 19 9" xfId="24272" xr:uid="{00000000-0005-0000-0000-00000E3E0000}"/>
    <cellStyle name="60% - 强调文字颜色 6 3 19 9 2" xfId="23858" xr:uid="{00000000-0005-0000-0000-00000F3E0000}"/>
    <cellStyle name="60% - 强调文字颜色 6 3 19 9 3" xfId="570" xr:uid="{00000000-0005-0000-0000-0000103E0000}"/>
    <cellStyle name="60% - 强调文字颜色 6 3 2" xfId="24274" xr:uid="{00000000-0005-0000-0000-0000113E0000}"/>
    <cellStyle name="60% - 强调文字颜色 6 3 2 10" xfId="7855" xr:uid="{00000000-0005-0000-0000-0000123E0000}"/>
    <cellStyle name="60% - 强调文字颜色 6 3 2 11" xfId="7865" xr:uid="{00000000-0005-0000-0000-0000133E0000}"/>
    <cellStyle name="60% - 强调文字颜色 6 3 2 12" xfId="10285" xr:uid="{00000000-0005-0000-0000-0000143E0000}"/>
    <cellStyle name="60% - 强调文字颜色 6 3 2 13" xfId="10295" xr:uid="{00000000-0005-0000-0000-0000153E0000}"/>
    <cellStyle name="60% - 强调文字颜色 6 3 2 14" xfId="10299" xr:uid="{00000000-0005-0000-0000-0000163E0000}"/>
    <cellStyle name="60% - 强调文字颜色 6 3 2 2" xfId="1990" xr:uid="{00000000-0005-0000-0000-0000173E0000}"/>
    <cellStyle name="60% - 强调文字颜色 6 3 2 3" xfId="2010" xr:uid="{00000000-0005-0000-0000-0000183E0000}"/>
    <cellStyle name="60% - 强调文字颜色 6 3 2 4" xfId="2222" xr:uid="{00000000-0005-0000-0000-0000193E0000}"/>
    <cellStyle name="60% - 强调文字颜色 6 3 2 5" xfId="2301" xr:uid="{00000000-0005-0000-0000-00001A3E0000}"/>
    <cellStyle name="60% - 强调文字颜色 6 3 2 6" xfId="2309" xr:uid="{00000000-0005-0000-0000-00001B3E0000}"/>
    <cellStyle name="60% - 强调文字颜色 6 3 2 7" xfId="2318" xr:uid="{00000000-0005-0000-0000-00001C3E0000}"/>
    <cellStyle name="60% - 强调文字颜色 6 3 2 8" xfId="3231" xr:uid="{00000000-0005-0000-0000-00001D3E0000}"/>
    <cellStyle name="60% - 强调文字颜色 6 3 2 9" xfId="424" xr:uid="{00000000-0005-0000-0000-00001E3E0000}"/>
    <cellStyle name="60% - 强调文字颜色 6 3 20" xfId="9991" xr:uid="{00000000-0005-0000-0000-00001F3E0000}"/>
    <cellStyle name="60% - 强调文字颜色 6 3 20 10" xfId="24277" xr:uid="{00000000-0005-0000-0000-0000203E0000}"/>
    <cellStyle name="60% - 强调文字颜色 6 3 20 11" xfId="24279" xr:uid="{00000000-0005-0000-0000-0000213E0000}"/>
    <cellStyle name="60% - 强调文字颜色 6 3 20 12" xfId="24281" xr:uid="{00000000-0005-0000-0000-0000223E0000}"/>
    <cellStyle name="60% - 强调文字颜色 6 3 20 13" xfId="20757" xr:uid="{00000000-0005-0000-0000-0000233E0000}"/>
    <cellStyle name="60% - 强调文字颜色 6 3 20 14" xfId="20761" xr:uid="{00000000-0005-0000-0000-0000243E0000}"/>
    <cellStyle name="60% - 强调文字颜色 6 3 20 2" xfId="24283" xr:uid="{00000000-0005-0000-0000-0000253E0000}"/>
    <cellStyle name="60% - 强调文字颜色 6 3 20 3" xfId="24284" xr:uid="{00000000-0005-0000-0000-0000263E0000}"/>
    <cellStyle name="60% - 强调文字颜色 6 3 20 4" xfId="24285" xr:uid="{00000000-0005-0000-0000-0000273E0000}"/>
    <cellStyle name="60% - 强调文字颜色 6 3 20 5" xfId="14532" xr:uid="{00000000-0005-0000-0000-0000283E0000}"/>
    <cellStyle name="60% - 强调文字颜色 6 3 20 5 10" xfId="19799" xr:uid="{00000000-0005-0000-0000-0000293E0000}"/>
    <cellStyle name="60% - 强调文字颜色 6 3 20 5 11" xfId="19802" xr:uid="{00000000-0005-0000-0000-00002A3E0000}"/>
    <cellStyle name="60% - 强调文字颜色 6 3 20 5 2" xfId="14535" xr:uid="{00000000-0005-0000-0000-00002B3E0000}"/>
    <cellStyle name="60% - 强调文字颜色 6 3 20 5 2 2" xfId="24286" xr:uid="{00000000-0005-0000-0000-00002C3E0000}"/>
    <cellStyle name="60% - 强调文字颜色 6 3 20 5 2 2 2" xfId="24287" xr:uid="{00000000-0005-0000-0000-00002D3E0000}"/>
    <cellStyle name="60% - 强调文字颜色 6 3 20 5 2 2 3" xfId="24288" xr:uid="{00000000-0005-0000-0000-00002E3E0000}"/>
    <cellStyle name="60% - 强调文字颜色 6 3 20 5 2 3" xfId="24289" xr:uid="{00000000-0005-0000-0000-00002F3E0000}"/>
    <cellStyle name="60% - 强调文字颜色 6 3 20 5 2 4" xfId="17041" xr:uid="{00000000-0005-0000-0000-0000303E0000}"/>
    <cellStyle name="60% - 强调文字颜色 6 3 20 5 2 5" xfId="17044" xr:uid="{00000000-0005-0000-0000-0000313E0000}"/>
    <cellStyle name="60% - 强调文字颜色 6 3 20 5 2 6" xfId="24290" xr:uid="{00000000-0005-0000-0000-0000323E0000}"/>
    <cellStyle name="60% - 强调文字颜色 6 3 20 5 2 7" xfId="24291" xr:uid="{00000000-0005-0000-0000-0000333E0000}"/>
    <cellStyle name="60% - 强调文字颜色 6 3 20 5 2 8" xfId="24292" xr:uid="{00000000-0005-0000-0000-0000343E0000}"/>
    <cellStyle name="60% - 强调文字颜色 6 3 20 5 3" xfId="14538" xr:uid="{00000000-0005-0000-0000-0000353E0000}"/>
    <cellStyle name="60% - 强调文字颜色 6 3 20 5 4" xfId="24293" xr:uid="{00000000-0005-0000-0000-0000363E0000}"/>
    <cellStyle name="60% - 强调文字颜色 6 3 20 5 5" xfId="24295" xr:uid="{00000000-0005-0000-0000-0000373E0000}"/>
    <cellStyle name="60% - 强调文字颜色 6 3 20 5 6" xfId="24297" xr:uid="{00000000-0005-0000-0000-0000383E0000}"/>
    <cellStyle name="60% - 强调文字颜色 6 3 20 5 6 2" xfId="23923" xr:uid="{00000000-0005-0000-0000-0000393E0000}"/>
    <cellStyle name="60% - 强调文字颜色 6 3 20 5 6 3" xfId="23926" xr:uid="{00000000-0005-0000-0000-00003A3E0000}"/>
    <cellStyle name="60% - 强调文字颜色 6 3 20 5 7" xfId="24299" xr:uid="{00000000-0005-0000-0000-00003B3E0000}"/>
    <cellStyle name="60% - 强调文字颜色 6 3 20 5 8" xfId="24301" xr:uid="{00000000-0005-0000-0000-00003C3E0000}"/>
    <cellStyle name="60% - 强调文字颜色 6 3 20 5 9" xfId="24303" xr:uid="{00000000-0005-0000-0000-00003D3E0000}"/>
    <cellStyle name="60% - 强调文字颜色 6 3 20 6" xfId="14541" xr:uid="{00000000-0005-0000-0000-00003E3E0000}"/>
    <cellStyle name="60% - 强调文字颜色 6 3 20 6 2" xfId="24305" xr:uid="{00000000-0005-0000-0000-00003F3E0000}"/>
    <cellStyle name="60% - 强调文字颜色 6 3 20 6 2 2" xfId="18461" xr:uid="{00000000-0005-0000-0000-0000403E0000}"/>
    <cellStyle name="60% - 强调文字颜色 6 3 20 6 2 3" xfId="18471" xr:uid="{00000000-0005-0000-0000-0000413E0000}"/>
    <cellStyle name="60% - 强调文字颜色 6 3 20 6 3" xfId="24307" xr:uid="{00000000-0005-0000-0000-0000423E0000}"/>
    <cellStyle name="60% - 强调文字颜色 6 3 20 6 4" xfId="24309" xr:uid="{00000000-0005-0000-0000-0000433E0000}"/>
    <cellStyle name="60% - 强调文字颜色 6 3 20 6 5" xfId="23646" xr:uid="{00000000-0005-0000-0000-0000443E0000}"/>
    <cellStyle name="60% - 强调文字颜色 6 3 20 6 6" xfId="23651" xr:uid="{00000000-0005-0000-0000-0000453E0000}"/>
    <cellStyle name="60% - 强调文字颜色 6 3 20 6 7" xfId="23655" xr:uid="{00000000-0005-0000-0000-0000463E0000}"/>
    <cellStyle name="60% - 强调文字颜色 6 3 20 6 8" xfId="287" xr:uid="{00000000-0005-0000-0000-0000473E0000}"/>
    <cellStyle name="60% - 强调文字颜色 6 3 20 7" xfId="14543" xr:uid="{00000000-0005-0000-0000-0000483E0000}"/>
    <cellStyle name="60% - 强调文字颜色 6 3 20 8" xfId="14547" xr:uid="{00000000-0005-0000-0000-0000493E0000}"/>
    <cellStyle name="60% - 强调文字颜色 6 3 20 9" xfId="14550" xr:uid="{00000000-0005-0000-0000-00004A3E0000}"/>
    <cellStyle name="60% - 强调文字颜色 6 3 20 9 2" xfId="8546" xr:uid="{00000000-0005-0000-0000-00004B3E0000}"/>
    <cellStyle name="60% - 强调文字颜色 6 3 20 9 3" xfId="8549" xr:uid="{00000000-0005-0000-0000-00004C3E0000}"/>
    <cellStyle name="60% - 强调文字颜色 6 3 3" xfId="19680" xr:uid="{00000000-0005-0000-0000-00004D3E0000}"/>
    <cellStyle name="60% - 强调文字颜色 6 3 3 10" xfId="19624" xr:uid="{00000000-0005-0000-0000-00004E3E0000}"/>
    <cellStyle name="60% - 强调文字颜色 6 3 3 11" xfId="19628" xr:uid="{00000000-0005-0000-0000-00004F3E0000}"/>
    <cellStyle name="60% - 强调文字颜色 6 3 3 12" xfId="19666" xr:uid="{00000000-0005-0000-0000-0000503E0000}"/>
    <cellStyle name="60% - 强调文字颜色 6 3 3 13" xfId="19695" xr:uid="{00000000-0005-0000-0000-0000513E0000}"/>
    <cellStyle name="60% - 强调文字颜色 6 3 3 14" xfId="24311" xr:uid="{00000000-0005-0000-0000-0000523E0000}"/>
    <cellStyle name="60% - 强调文字颜色 6 3 3 2" xfId="2366" xr:uid="{00000000-0005-0000-0000-0000533E0000}"/>
    <cellStyle name="60% - 强调文字颜色 6 3 3 3" xfId="2388" xr:uid="{00000000-0005-0000-0000-0000543E0000}"/>
    <cellStyle name="60% - 强调文字颜色 6 3 3 4" xfId="2620" xr:uid="{00000000-0005-0000-0000-0000553E0000}"/>
    <cellStyle name="60% - 强调文字颜色 6 3 3 5" xfId="2723" xr:uid="{00000000-0005-0000-0000-0000563E0000}"/>
    <cellStyle name="60% - 强调文字颜色 6 3 3 6" xfId="2743" xr:uid="{00000000-0005-0000-0000-0000573E0000}"/>
    <cellStyle name="60% - 强调文字颜色 6 3 3 7" xfId="2751" xr:uid="{00000000-0005-0000-0000-0000583E0000}"/>
    <cellStyle name="60% - 强调文字颜色 6 3 3 8" xfId="20360" xr:uid="{00000000-0005-0000-0000-0000593E0000}"/>
    <cellStyle name="60% - 强调文字颜色 6 3 3 9" xfId="20365" xr:uid="{00000000-0005-0000-0000-00005A3E0000}"/>
    <cellStyle name="60% - 强调文字颜色 6 3 4" xfId="19683" xr:uid="{00000000-0005-0000-0000-00005B3E0000}"/>
    <cellStyle name="60% - 强调文字颜色 6 3 4 10" xfId="10011" xr:uid="{00000000-0005-0000-0000-00005C3E0000}"/>
    <cellStyle name="60% - 强调文字颜色 6 3 4 11" xfId="10015" xr:uid="{00000000-0005-0000-0000-00005D3E0000}"/>
    <cellStyle name="60% - 强调文字颜色 6 3 4 12" xfId="10019" xr:uid="{00000000-0005-0000-0000-00005E3E0000}"/>
    <cellStyle name="60% - 强调文字颜色 6 3 4 13" xfId="10025" xr:uid="{00000000-0005-0000-0000-00005F3E0000}"/>
    <cellStyle name="60% - 强调文字颜色 6 3 4 14" xfId="10030" xr:uid="{00000000-0005-0000-0000-0000603E0000}"/>
    <cellStyle name="60% - 强调文字颜色 6 3 4 2" xfId="4339" xr:uid="{00000000-0005-0000-0000-0000613E0000}"/>
    <cellStyle name="60% - 强调文字颜色 6 3 4 3" xfId="24315" xr:uid="{00000000-0005-0000-0000-0000623E0000}"/>
    <cellStyle name="60% - 强调文字颜色 6 3 4 4" xfId="24319" xr:uid="{00000000-0005-0000-0000-0000633E0000}"/>
    <cellStyle name="60% - 强调文字颜色 6 3 4 5" xfId="24323" xr:uid="{00000000-0005-0000-0000-0000643E0000}"/>
    <cellStyle name="60% - 强调文字颜色 6 3 4 6" xfId="17844" xr:uid="{00000000-0005-0000-0000-0000653E0000}"/>
    <cellStyle name="60% - 强调文字颜色 6 3 4 7" xfId="17854" xr:uid="{00000000-0005-0000-0000-0000663E0000}"/>
    <cellStyle name="60% - 强调文字颜色 6 3 4 8" xfId="17860" xr:uid="{00000000-0005-0000-0000-0000673E0000}"/>
    <cellStyle name="60% - 强调文字颜色 6 3 4 9" xfId="17867" xr:uid="{00000000-0005-0000-0000-0000683E0000}"/>
    <cellStyle name="60% - 强调文字颜色 6 3 5" xfId="24325" xr:uid="{00000000-0005-0000-0000-0000693E0000}"/>
    <cellStyle name="60% - 强调文字颜色 6 3 6" xfId="24329" xr:uid="{00000000-0005-0000-0000-00006A3E0000}"/>
    <cellStyle name="60% - 强调文字颜色 6 3 7" xfId="24333" xr:uid="{00000000-0005-0000-0000-00006B3E0000}"/>
    <cellStyle name="60% - 强调文字颜色 6 3 8" xfId="24335" xr:uid="{00000000-0005-0000-0000-00006C3E0000}"/>
    <cellStyle name="60% - 强调文字颜色 6 3 9" xfId="24336" xr:uid="{00000000-0005-0000-0000-00006D3E0000}"/>
    <cellStyle name="60% - 强调文字颜色 6 4" xfId="21979" xr:uid="{00000000-0005-0000-0000-00006E3E0000}"/>
    <cellStyle name="60% - 强调文字颜色 6 4 10" xfId="3768" xr:uid="{00000000-0005-0000-0000-00006F3E0000}"/>
    <cellStyle name="60% - 强调文字颜色 6 4 11" xfId="3776" xr:uid="{00000000-0005-0000-0000-0000703E0000}"/>
    <cellStyle name="60% - 强调文字颜色 6 4 12" xfId="9122" xr:uid="{00000000-0005-0000-0000-0000713E0000}"/>
    <cellStyle name="60% - 强调文字颜色 6 4 13" xfId="3315" xr:uid="{00000000-0005-0000-0000-0000723E0000}"/>
    <cellStyle name="60% - 强调文字颜色 6 4 14" xfId="3322" xr:uid="{00000000-0005-0000-0000-0000733E0000}"/>
    <cellStyle name="60% - 强调文字颜色 6 4 15" xfId="3333" xr:uid="{00000000-0005-0000-0000-0000743E0000}"/>
    <cellStyle name="60% - 强调文字颜色 6 4 16" xfId="3345" xr:uid="{00000000-0005-0000-0000-0000753E0000}"/>
    <cellStyle name="60% - 强调文字颜色 6 4 17" xfId="3361" xr:uid="{00000000-0005-0000-0000-0000763E0000}"/>
    <cellStyle name="60% - 强调文字颜色 6 4 17 10" xfId="24338" xr:uid="{00000000-0005-0000-0000-0000773E0000}"/>
    <cellStyle name="60% - 强调文字颜色 6 4 17 11" xfId="24341" xr:uid="{00000000-0005-0000-0000-0000783E0000}"/>
    <cellStyle name="60% - 强调文字颜色 6 4 17 12" xfId="24343" xr:uid="{00000000-0005-0000-0000-0000793E0000}"/>
    <cellStyle name="60% - 强调文字颜色 6 4 17 13" xfId="24345" xr:uid="{00000000-0005-0000-0000-00007A3E0000}"/>
    <cellStyle name="60% - 强调文字颜色 6 4 17 14" xfId="24347" xr:uid="{00000000-0005-0000-0000-00007B3E0000}"/>
    <cellStyle name="60% - 强调文字颜色 6 4 17 2" xfId="19930" xr:uid="{00000000-0005-0000-0000-00007C3E0000}"/>
    <cellStyle name="60% - 强调文字颜色 6 4 17 3" xfId="19240" xr:uid="{00000000-0005-0000-0000-00007D3E0000}"/>
    <cellStyle name="60% - 强调文字颜色 6 4 17 4" xfId="19249" xr:uid="{00000000-0005-0000-0000-00007E3E0000}"/>
    <cellStyle name="60% - 强调文字颜色 6 4 17 5" xfId="19254" xr:uid="{00000000-0005-0000-0000-00007F3E0000}"/>
    <cellStyle name="60% - 强调文字颜色 6 4 17 5 10" xfId="12753" xr:uid="{00000000-0005-0000-0000-0000803E0000}"/>
    <cellStyle name="60% - 强调文字颜色 6 4 17 5 11" xfId="12760" xr:uid="{00000000-0005-0000-0000-0000813E0000}"/>
    <cellStyle name="60% - 强调文字颜色 6 4 17 5 2" xfId="24348" xr:uid="{00000000-0005-0000-0000-0000823E0000}"/>
    <cellStyle name="60% - 强调文字颜色 6 4 17 5 2 2" xfId="1721" xr:uid="{00000000-0005-0000-0000-0000833E0000}"/>
    <cellStyle name="60% - 强调文字颜色 6 4 17 5 2 2 2" xfId="2678" xr:uid="{00000000-0005-0000-0000-0000843E0000}"/>
    <cellStyle name="60% - 强调文字颜色 6 4 17 5 2 2 3" xfId="3272" xr:uid="{00000000-0005-0000-0000-0000853E0000}"/>
    <cellStyle name="60% - 强调文字颜色 6 4 17 5 2 3" xfId="3657" xr:uid="{00000000-0005-0000-0000-0000863E0000}"/>
    <cellStyle name="60% - 强调文字颜色 6 4 17 5 2 4" xfId="3667" xr:uid="{00000000-0005-0000-0000-0000873E0000}"/>
    <cellStyle name="60% - 强调文字颜色 6 4 17 5 2 5" xfId="3676" xr:uid="{00000000-0005-0000-0000-0000883E0000}"/>
    <cellStyle name="60% - 强调文字颜色 6 4 17 5 2 6" xfId="2554" xr:uid="{00000000-0005-0000-0000-0000893E0000}"/>
    <cellStyle name="60% - 强调文字颜色 6 4 17 5 2 7" xfId="2572" xr:uid="{00000000-0005-0000-0000-00008A3E0000}"/>
    <cellStyle name="60% - 强调文字颜色 6 4 17 5 2 8" xfId="21611" xr:uid="{00000000-0005-0000-0000-00008B3E0000}"/>
    <cellStyle name="60% - 强调文字颜色 6 4 17 5 3" xfId="24349" xr:uid="{00000000-0005-0000-0000-00008C3E0000}"/>
    <cellStyle name="60% - 强调文字颜色 6 4 17 5 4" xfId="24350" xr:uid="{00000000-0005-0000-0000-00008D3E0000}"/>
    <cellStyle name="60% - 强调文字颜色 6 4 17 5 5" xfId="19125" xr:uid="{00000000-0005-0000-0000-00008E3E0000}"/>
    <cellStyle name="60% - 强调文字颜色 6 4 17 5 6" xfId="19127" xr:uid="{00000000-0005-0000-0000-00008F3E0000}"/>
    <cellStyle name="60% - 强调文字颜色 6 4 17 5 6 2" xfId="2995" xr:uid="{00000000-0005-0000-0000-0000903E0000}"/>
    <cellStyle name="60% - 强调文字颜色 6 4 17 5 6 3" xfId="3000" xr:uid="{00000000-0005-0000-0000-0000913E0000}"/>
    <cellStyle name="60% - 强调文字颜色 6 4 17 5 7" xfId="19129" xr:uid="{00000000-0005-0000-0000-0000923E0000}"/>
    <cellStyle name="60% - 强调文字颜色 6 4 17 5 8" xfId="19131" xr:uid="{00000000-0005-0000-0000-0000933E0000}"/>
    <cellStyle name="60% - 强调文字颜色 6 4 17 5 9" xfId="19133" xr:uid="{00000000-0005-0000-0000-0000943E0000}"/>
    <cellStyle name="60% - 强调文字颜色 6 4 17 6" xfId="19258" xr:uid="{00000000-0005-0000-0000-0000953E0000}"/>
    <cellStyle name="60% - 强调文字颜色 6 4 17 6 2" xfId="22888" xr:uid="{00000000-0005-0000-0000-0000963E0000}"/>
    <cellStyle name="60% - 强调文字颜色 6 4 17 6 2 2" xfId="6619" xr:uid="{00000000-0005-0000-0000-0000973E0000}"/>
    <cellStyle name="60% - 强调文字颜色 6 4 17 6 2 3" xfId="6667" xr:uid="{00000000-0005-0000-0000-0000983E0000}"/>
    <cellStyle name="60% - 强调文字颜色 6 4 17 6 3" xfId="24351" xr:uid="{00000000-0005-0000-0000-0000993E0000}"/>
    <cellStyle name="60% - 强调文字颜色 6 4 17 6 4" xfId="24352" xr:uid="{00000000-0005-0000-0000-00009A3E0000}"/>
    <cellStyle name="60% - 强调文字颜色 6 4 17 6 5" xfId="24353" xr:uid="{00000000-0005-0000-0000-00009B3E0000}"/>
    <cellStyle name="60% - 强调文字颜色 6 4 17 6 6" xfId="24354" xr:uid="{00000000-0005-0000-0000-00009C3E0000}"/>
    <cellStyle name="60% - 强调文字颜色 6 4 17 6 7" xfId="24355" xr:uid="{00000000-0005-0000-0000-00009D3E0000}"/>
    <cellStyle name="60% - 强调文字颜色 6 4 17 6 8" xfId="24356" xr:uid="{00000000-0005-0000-0000-00009E3E0000}"/>
    <cellStyle name="60% - 强调文字颜色 6 4 17 7" xfId="19262" xr:uid="{00000000-0005-0000-0000-00009F3E0000}"/>
    <cellStyle name="60% - 强调文字颜色 6 4 17 8" xfId="19266" xr:uid="{00000000-0005-0000-0000-0000A03E0000}"/>
    <cellStyle name="60% - 强调文字颜色 6 4 17 9" xfId="1503" xr:uid="{00000000-0005-0000-0000-0000A13E0000}"/>
    <cellStyle name="60% - 强调文字颜色 6 4 17 9 2" xfId="9507" xr:uid="{00000000-0005-0000-0000-0000A23E0000}"/>
    <cellStyle name="60% - 强调文字颜色 6 4 17 9 3" xfId="9512" xr:uid="{00000000-0005-0000-0000-0000A33E0000}"/>
    <cellStyle name="60% - 强调文字颜色 6 4 18" xfId="9200" xr:uid="{00000000-0005-0000-0000-0000A43E0000}"/>
    <cellStyle name="60% - 强调文字颜色 6 4 18 10" xfId="20046" xr:uid="{00000000-0005-0000-0000-0000A53E0000}"/>
    <cellStyle name="60% - 强调文字颜色 6 4 18 11" xfId="20049" xr:uid="{00000000-0005-0000-0000-0000A63E0000}"/>
    <cellStyle name="60% - 强调文字颜色 6 4 18 12" xfId="20052" xr:uid="{00000000-0005-0000-0000-0000A73E0000}"/>
    <cellStyle name="60% - 强调文字颜色 6 4 18 13" xfId="20055" xr:uid="{00000000-0005-0000-0000-0000A83E0000}"/>
    <cellStyle name="60% - 强调文字颜色 6 4 18 14" xfId="23720" xr:uid="{00000000-0005-0000-0000-0000A93E0000}"/>
    <cellStyle name="60% - 强调文字颜色 6 4 18 2" xfId="9206" xr:uid="{00000000-0005-0000-0000-0000AA3E0000}"/>
    <cellStyle name="60% - 强调文字颜色 6 4 18 3" xfId="9214" xr:uid="{00000000-0005-0000-0000-0000AB3E0000}"/>
    <cellStyle name="60% - 强调文字颜色 6 4 18 4" xfId="14451" xr:uid="{00000000-0005-0000-0000-0000AC3E0000}"/>
    <cellStyle name="60% - 强调文字颜色 6 4 18 5" xfId="14455" xr:uid="{00000000-0005-0000-0000-0000AD3E0000}"/>
    <cellStyle name="60% - 强调文字颜色 6 4 18 5 10" xfId="22079" xr:uid="{00000000-0005-0000-0000-0000AE3E0000}"/>
    <cellStyle name="60% - 强调文字颜色 6 4 18 5 11" xfId="22154" xr:uid="{00000000-0005-0000-0000-0000AF3E0000}"/>
    <cellStyle name="60% - 强调文字颜色 6 4 18 5 2" xfId="24359" xr:uid="{00000000-0005-0000-0000-0000B03E0000}"/>
    <cellStyle name="60% - 强调文字颜色 6 4 18 5 2 2" xfId="745" xr:uid="{00000000-0005-0000-0000-0000B13E0000}"/>
    <cellStyle name="60% - 强调文字颜色 6 4 18 5 2 2 2" xfId="22458" xr:uid="{00000000-0005-0000-0000-0000B23E0000}"/>
    <cellStyle name="60% - 强调文字颜色 6 4 18 5 2 2 3" xfId="22099" xr:uid="{00000000-0005-0000-0000-0000B33E0000}"/>
    <cellStyle name="60% - 强调文字颜色 6 4 18 5 2 3" xfId="1271" xr:uid="{00000000-0005-0000-0000-0000B43E0000}"/>
    <cellStyle name="60% - 强调文字颜色 6 4 18 5 2 4" xfId="6099" xr:uid="{00000000-0005-0000-0000-0000B53E0000}"/>
    <cellStyle name="60% - 强调文字颜色 6 4 18 5 2 5" xfId="6142" xr:uid="{00000000-0005-0000-0000-0000B63E0000}"/>
    <cellStyle name="60% - 强调文字颜色 6 4 18 5 2 6" xfId="6152" xr:uid="{00000000-0005-0000-0000-0000B73E0000}"/>
    <cellStyle name="60% - 强调文字颜色 6 4 18 5 2 7" xfId="20261" xr:uid="{00000000-0005-0000-0000-0000B83E0000}"/>
    <cellStyle name="60% - 强调文字颜色 6 4 18 5 2 8" xfId="20266" xr:uid="{00000000-0005-0000-0000-0000B93E0000}"/>
    <cellStyle name="60% - 强调文字颜色 6 4 18 5 3" xfId="24364" xr:uid="{00000000-0005-0000-0000-0000BA3E0000}"/>
    <cellStyle name="60% - 强调文字颜色 6 4 18 5 4" xfId="24369" xr:uid="{00000000-0005-0000-0000-0000BB3E0000}"/>
    <cellStyle name="60% - 强调文字颜色 6 4 18 5 5" xfId="24373" xr:uid="{00000000-0005-0000-0000-0000BC3E0000}"/>
    <cellStyle name="60% - 强调文字颜色 6 4 18 5 6" xfId="24377" xr:uid="{00000000-0005-0000-0000-0000BD3E0000}"/>
    <cellStyle name="60% - 强调文字颜色 6 4 18 5 6 2" xfId="24378" xr:uid="{00000000-0005-0000-0000-0000BE3E0000}"/>
    <cellStyle name="60% - 强调文字颜色 6 4 18 5 6 3" xfId="24379" xr:uid="{00000000-0005-0000-0000-0000BF3E0000}"/>
    <cellStyle name="60% - 强调文字颜色 6 4 18 5 7" xfId="24381" xr:uid="{00000000-0005-0000-0000-0000C03E0000}"/>
    <cellStyle name="60% - 强调文字颜色 6 4 18 5 8" xfId="24383" xr:uid="{00000000-0005-0000-0000-0000C13E0000}"/>
    <cellStyle name="60% - 强调文字颜色 6 4 18 5 9" xfId="24385" xr:uid="{00000000-0005-0000-0000-0000C23E0000}"/>
    <cellStyle name="60% - 强调文字颜色 6 4 18 6" xfId="14460" xr:uid="{00000000-0005-0000-0000-0000C33E0000}"/>
    <cellStyle name="60% - 强调文字颜色 6 4 18 6 2" xfId="10727" xr:uid="{00000000-0005-0000-0000-0000C43E0000}"/>
    <cellStyle name="60% - 强调文字颜色 6 4 18 6 2 2" xfId="10737" xr:uid="{00000000-0005-0000-0000-0000C53E0000}"/>
    <cellStyle name="60% - 强调文字颜色 6 4 18 6 2 3" xfId="10740" xr:uid="{00000000-0005-0000-0000-0000C63E0000}"/>
    <cellStyle name="60% - 强调文字颜色 6 4 18 6 3" xfId="10799" xr:uid="{00000000-0005-0000-0000-0000C73E0000}"/>
    <cellStyle name="60% - 强调文字颜色 6 4 18 6 4" xfId="24386" xr:uid="{00000000-0005-0000-0000-0000C83E0000}"/>
    <cellStyle name="60% - 强调文字颜色 6 4 18 6 5" xfId="24388" xr:uid="{00000000-0005-0000-0000-0000C93E0000}"/>
    <cellStyle name="60% - 强调文字颜色 6 4 18 6 6" xfId="24390" xr:uid="{00000000-0005-0000-0000-0000CA3E0000}"/>
    <cellStyle name="60% - 强调文字颜色 6 4 18 6 7" xfId="24391" xr:uid="{00000000-0005-0000-0000-0000CB3E0000}"/>
    <cellStyle name="60% - 强调文字颜色 6 4 18 6 8" xfId="24392" xr:uid="{00000000-0005-0000-0000-0000CC3E0000}"/>
    <cellStyle name="60% - 强调文字颜色 6 4 18 7" xfId="14465" xr:uid="{00000000-0005-0000-0000-0000CD3E0000}"/>
    <cellStyle name="60% - 强调文字颜色 6 4 18 8" xfId="24395" xr:uid="{00000000-0005-0000-0000-0000CE3E0000}"/>
    <cellStyle name="60% - 强调文字颜色 6 4 18 9" xfId="24398" xr:uid="{00000000-0005-0000-0000-0000CF3E0000}"/>
    <cellStyle name="60% - 强调文字颜色 6 4 18 9 2" xfId="10002" xr:uid="{00000000-0005-0000-0000-0000D03E0000}"/>
    <cellStyle name="60% - 强调文字颜色 6 4 18 9 3" xfId="9788" xr:uid="{00000000-0005-0000-0000-0000D13E0000}"/>
    <cellStyle name="60% - 强调文字颜色 6 4 19" xfId="15453" xr:uid="{00000000-0005-0000-0000-0000D23E0000}"/>
    <cellStyle name="60% - 强调文字颜色 6 4 19 10" xfId="24400" xr:uid="{00000000-0005-0000-0000-0000D33E0000}"/>
    <cellStyle name="60% - 强调文字颜色 6 4 19 11" xfId="24401" xr:uid="{00000000-0005-0000-0000-0000D43E0000}"/>
    <cellStyle name="60% - 强调文字颜色 6 4 19 12" xfId="12819" xr:uid="{00000000-0005-0000-0000-0000D53E0000}"/>
    <cellStyle name="60% - 强调文字颜色 6 4 19 13" xfId="12822" xr:uid="{00000000-0005-0000-0000-0000D63E0000}"/>
    <cellStyle name="60% - 强调文字颜色 6 4 19 14" xfId="17198" xr:uid="{00000000-0005-0000-0000-0000D73E0000}"/>
    <cellStyle name="60% - 强调文字颜色 6 4 19 2" xfId="17067" xr:uid="{00000000-0005-0000-0000-0000D83E0000}"/>
    <cellStyle name="60% - 强调文字颜色 6 4 19 3" xfId="17072" xr:uid="{00000000-0005-0000-0000-0000D93E0000}"/>
    <cellStyle name="60% - 强调文字颜色 6 4 19 4" xfId="17096" xr:uid="{00000000-0005-0000-0000-0000DA3E0000}"/>
    <cellStyle name="60% - 强调文字颜色 6 4 19 5" xfId="17101" xr:uid="{00000000-0005-0000-0000-0000DB3E0000}"/>
    <cellStyle name="60% - 强调文字颜色 6 4 19 5 10" xfId="13013" xr:uid="{00000000-0005-0000-0000-0000DC3E0000}"/>
    <cellStyle name="60% - 强调文字颜色 6 4 19 5 11" xfId="21439" xr:uid="{00000000-0005-0000-0000-0000DD3E0000}"/>
    <cellStyle name="60% - 强调文字颜色 6 4 19 5 2" xfId="18811" xr:uid="{00000000-0005-0000-0000-0000DE3E0000}"/>
    <cellStyle name="60% - 强调文字颜色 6 4 19 5 2 2" xfId="9454" xr:uid="{00000000-0005-0000-0000-0000DF3E0000}"/>
    <cellStyle name="60% - 强调文字颜色 6 4 19 5 2 2 2" xfId="23043" xr:uid="{00000000-0005-0000-0000-0000E03E0000}"/>
    <cellStyle name="60% - 强调文字颜色 6 4 19 5 2 2 3" xfId="22343" xr:uid="{00000000-0005-0000-0000-0000E13E0000}"/>
    <cellStyle name="60% - 强调文字颜色 6 4 19 5 2 3" xfId="9464" xr:uid="{00000000-0005-0000-0000-0000E23E0000}"/>
    <cellStyle name="60% - 强调文字颜色 6 4 19 5 2 4" xfId="9466" xr:uid="{00000000-0005-0000-0000-0000E33E0000}"/>
    <cellStyle name="60% - 强调文字颜色 6 4 19 5 2 5" xfId="9468" xr:uid="{00000000-0005-0000-0000-0000E43E0000}"/>
    <cellStyle name="60% - 强调文字颜色 6 4 19 5 2 6" xfId="9471" xr:uid="{00000000-0005-0000-0000-0000E53E0000}"/>
    <cellStyle name="60% - 强调文字颜色 6 4 19 5 2 7" xfId="24402" xr:uid="{00000000-0005-0000-0000-0000E63E0000}"/>
    <cellStyle name="60% - 强调文字颜色 6 4 19 5 2 8" xfId="24403" xr:uid="{00000000-0005-0000-0000-0000E73E0000}"/>
    <cellStyle name="60% - 强调文字颜色 6 4 19 5 3" xfId="18815" xr:uid="{00000000-0005-0000-0000-0000E83E0000}"/>
    <cellStyle name="60% - 强调文字颜色 6 4 19 5 4" xfId="18819" xr:uid="{00000000-0005-0000-0000-0000E93E0000}"/>
    <cellStyle name="60% - 强调文字颜色 6 4 19 5 5" xfId="24406" xr:uid="{00000000-0005-0000-0000-0000EA3E0000}"/>
    <cellStyle name="60% - 强调文字颜色 6 4 19 5 6" xfId="24408" xr:uid="{00000000-0005-0000-0000-0000EB3E0000}"/>
    <cellStyle name="60% - 强调文字颜色 6 4 19 5 6 2" xfId="24409" xr:uid="{00000000-0005-0000-0000-0000EC3E0000}"/>
    <cellStyle name="60% - 强调文字颜色 6 4 19 5 6 3" xfId="17904" xr:uid="{00000000-0005-0000-0000-0000ED3E0000}"/>
    <cellStyle name="60% - 强调文字颜色 6 4 19 5 7" xfId="24412" xr:uid="{00000000-0005-0000-0000-0000EE3E0000}"/>
    <cellStyle name="60% - 强调文字颜色 6 4 19 5 8" xfId="24414" xr:uid="{00000000-0005-0000-0000-0000EF3E0000}"/>
    <cellStyle name="60% - 强调文字颜色 6 4 19 5 9" xfId="11698" xr:uid="{00000000-0005-0000-0000-0000F03E0000}"/>
    <cellStyle name="60% - 强调文字颜色 6 4 19 6" xfId="17104" xr:uid="{00000000-0005-0000-0000-0000F13E0000}"/>
    <cellStyle name="60% - 强调文字颜色 6 4 19 6 2" xfId="4581" xr:uid="{00000000-0005-0000-0000-0000F23E0000}"/>
    <cellStyle name="60% - 强调文字颜色 6 4 19 6 2 2" xfId="24416" xr:uid="{00000000-0005-0000-0000-0000F33E0000}"/>
    <cellStyle name="60% - 强调文字颜色 6 4 19 6 2 3" xfId="24417" xr:uid="{00000000-0005-0000-0000-0000F43E0000}"/>
    <cellStyle name="60% - 强调文字颜色 6 4 19 6 3" xfId="24420" xr:uid="{00000000-0005-0000-0000-0000F53E0000}"/>
    <cellStyle name="60% - 强调文字颜色 6 4 19 6 4" xfId="24421" xr:uid="{00000000-0005-0000-0000-0000F63E0000}"/>
    <cellStyle name="60% - 强调文字颜色 6 4 19 6 5" xfId="24422" xr:uid="{00000000-0005-0000-0000-0000F73E0000}"/>
    <cellStyle name="60% - 强调文字颜色 6 4 19 6 6" xfId="24423" xr:uid="{00000000-0005-0000-0000-0000F83E0000}"/>
    <cellStyle name="60% - 强调文字颜色 6 4 19 6 7" xfId="24424" xr:uid="{00000000-0005-0000-0000-0000F93E0000}"/>
    <cellStyle name="60% - 强调文字颜色 6 4 19 6 8" xfId="24425" xr:uid="{00000000-0005-0000-0000-0000FA3E0000}"/>
    <cellStyle name="60% - 强调文字颜色 6 4 19 7" xfId="17107" xr:uid="{00000000-0005-0000-0000-0000FB3E0000}"/>
    <cellStyle name="60% - 强调文字颜色 6 4 19 8" xfId="24427" xr:uid="{00000000-0005-0000-0000-0000FC3E0000}"/>
    <cellStyle name="60% - 强调文字颜色 6 4 19 9" xfId="24430" xr:uid="{00000000-0005-0000-0000-0000FD3E0000}"/>
    <cellStyle name="60% - 强调文字颜色 6 4 19 9 2" xfId="24432" xr:uid="{00000000-0005-0000-0000-0000FE3E0000}"/>
    <cellStyle name="60% - 强调文字颜色 6 4 19 9 3" xfId="20552" xr:uid="{00000000-0005-0000-0000-0000FF3E0000}"/>
    <cellStyle name="60% - 强调文字颜色 6 4 2" xfId="24433" xr:uid="{00000000-0005-0000-0000-0000003F0000}"/>
    <cellStyle name="60% - 强调文字颜色 6 4 20" xfId="3332" xr:uid="{00000000-0005-0000-0000-0000013F0000}"/>
    <cellStyle name="60% - 强调文字颜色 6 4 20 10" xfId="9129" xr:uid="{00000000-0005-0000-0000-0000023F0000}"/>
    <cellStyle name="60% - 强调文字颜色 6 4 20 11" xfId="9172" xr:uid="{00000000-0005-0000-0000-0000033F0000}"/>
    <cellStyle name="60% - 强调文字颜色 6 4 20 12" xfId="9176" xr:uid="{00000000-0005-0000-0000-0000043F0000}"/>
    <cellStyle name="60% - 强调文字颜色 6 4 20 13" xfId="7731" xr:uid="{00000000-0005-0000-0000-0000053F0000}"/>
    <cellStyle name="60% - 强调文字颜色 6 4 20 14" xfId="7887" xr:uid="{00000000-0005-0000-0000-0000063F0000}"/>
    <cellStyle name="60% - 强调文字颜色 6 4 20 2" xfId="9186" xr:uid="{00000000-0005-0000-0000-0000073F0000}"/>
    <cellStyle name="60% - 强调文字颜色 6 4 20 3" xfId="6221" xr:uid="{00000000-0005-0000-0000-0000083F0000}"/>
    <cellStyle name="60% - 强调文字颜色 6 4 20 4" xfId="6231" xr:uid="{00000000-0005-0000-0000-0000093F0000}"/>
    <cellStyle name="60% - 强调文字颜色 6 4 20 5" xfId="6954" xr:uid="{00000000-0005-0000-0000-00000A3F0000}"/>
    <cellStyle name="60% - 强调文字颜色 6 4 20 5 10" xfId="24434" xr:uid="{00000000-0005-0000-0000-00000B3F0000}"/>
    <cellStyle name="60% - 强调文字颜色 6 4 20 5 11" xfId="24435" xr:uid="{00000000-0005-0000-0000-00000C3F0000}"/>
    <cellStyle name="60% - 强调文字颜色 6 4 20 5 2" xfId="24436" xr:uid="{00000000-0005-0000-0000-00000D3F0000}"/>
    <cellStyle name="60% - 强调文字颜色 6 4 20 5 2 2" xfId="24437" xr:uid="{00000000-0005-0000-0000-00000E3F0000}"/>
    <cellStyle name="60% - 强调文字颜色 6 4 20 5 2 2 2" xfId="23460" xr:uid="{00000000-0005-0000-0000-00000F3F0000}"/>
    <cellStyle name="60% - 强调文字颜色 6 4 20 5 2 2 3" xfId="23464" xr:uid="{00000000-0005-0000-0000-0000103F0000}"/>
    <cellStyle name="60% - 强调文字颜色 6 4 20 5 2 3" xfId="24438" xr:uid="{00000000-0005-0000-0000-0000113F0000}"/>
    <cellStyle name="60% - 强调文字颜色 6 4 20 5 2 4" xfId="24440" xr:uid="{00000000-0005-0000-0000-0000123F0000}"/>
    <cellStyle name="60% - 强调文字颜色 6 4 20 5 2 5" xfId="24441" xr:uid="{00000000-0005-0000-0000-0000133F0000}"/>
    <cellStyle name="60% - 强调文字颜色 6 4 20 5 2 6" xfId="24443" xr:uid="{00000000-0005-0000-0000-0000143F0000}"/>
    <cellStyle name="60% - 强调文字颜色 6 4 20 5 2 7" xfId="24444" xr:uid="{00000000-0005-0000-0000-0000153F0000}"/>
    <cellStyle name="60% - 强调文字颜色 6 4 20 5 2 8" xfId="24445" xr:uid="{00000000-0005-0000-0000-0000163F0000}"/>
    <cellStyle name="60% - 强调文字颜色 6 4 20 5 3" xfId="24446" xr:uid="{00000000-0005-0000-0000-0000173F0000}"/>
    <cellStyle name="60% - 强调文字颜色 6 4 20 5 4" xfId="24447" xr:uid="{00000000-0005-0000-0000-0000183F0000}"/>
    <cellStyle name="60% - 强调文字颜色 6 4 20 5 5" xfId="24448" xr:uid="{00000000-0005-0000-0000-0000193F0000}"/>
    <cellStyle name="60% - 强调文字颜色 6 4 20 5 6" xfId="24449" xr:uid="{00000000-0005-0000-0000-00001A3F0000}"/>
    <cellStyle name="60% - 强调文字颜色 6 4 20 5 6 2" xfId="24450" xr:uid="{00000000-0005-0000-0000-00001B3F0000}"/>
    <cellStyle name="60% - 强调文字颜色 6 4 20 5 6 3" xfId="24451" xr:uid="{00000000-0005-0000-0000-00001C3F0000}"/>
    <cellStyle name="60% - 强调文字颜色 6 4 20 5 7" xfId="24452" xr:uid="{00000000-0005-0000-0000-00001D3F0000}"/>
    <cellStyle name="60% - 强调文字颜色 6 4 20 5 8" xfId="24454" xr:uid="{00000000-0005-0000-0000-00001E3F0000}"/>
    <cellStyle name="60% - 强调文字颜色 6 4 20 5 9" xfId="24456" xr:uid="{00000000-0005-0000-0000-00001F3F0000}"/>
    <cellStyle name="60% - 强调文字颜色 6 4 20 6" xfId="6963" xr:uid="{00000000-0005-0000-0000-0000203F0000}"/>
    <cellStyle name="60% - 强调文字颜色 6 4 20 6 2" xfId="24458" xr:uid="{00000000-0005-0000-0000-0000213F0000}"/>
    <cellStyle name="60% - 强调文字颜色 6 4 20 6 2 2" xfId="22017" xr:uid="{00000000-0005-0000-0000-0000223F0000}"/>
    <cellStyle name="60% - 强调文字颜色 6 4 20 6 2 3" xfId="23549" xr:uid="{00000000-0005-0000-0000-0000233F0000}"/>
    <cellStyle name="60% - 强调文字颜色 6 4 20 6 3" xfId="24462" xr:uid="{00000000-0005-0000-0000-0000243F0000}"/>
    <cellStyle name="60% - 强调文字颜色 6 4 20 6 4" xfId="24463" xr:uid="{00000000-0005-0000-0000-0000253F0000}"/>
    <cellStyle name="60% - 强调文字颜色 6 4 20 6 5" xfId="24464" xr:uid="{00000000-0005-0000-0000-0000263F0000}"/>
    <cellStyle name="60% - 强调文字颜色 6 4 20 6 6" xfId="24465" xr:uid="{00000000-0005-0000-0000-0000273F0000}"/>
    <cellStyle name="60% - 强调文字颜色 6 4 20 6 7" xfId="24466" xr:uid="{00000000-0005-0000-0000-0000283F0000}"/>
    <cellStyle name="60% - 强调文字颜色 6 4 20 6 8" xfId="22678" xr:uid="{00000000-0005-0000-0000-0000293F0000}"/>
    <cellStyle name="60% - 强调文字颜色 6 4 20 7" xfId="7593" xr:uid="{00000000-0005-0000-0000-00002A3F0000}"/>
    <cellStyle name="60% - 强调文字颜色 6 4 20 8" xfId="7924" xr:uid="{00000000-0005-0000-0000-00002B3F0000}"/>
    <cellStyle name="60% - 强调文字颜色 6 4 20 9" xfId="24468" xr:uid="{00000000-0005-0000-0000-00002C3F0000}"/>
    <cellStyle name="60% - 强调文字颜色 6 4 20 9 2" xfId="9173" xr:uid="{00000000-0005-0000-0000-00002D3F0000}"/>
    <cellStyle name="60% - 强调文字颜色 6 4 20 9 3" xfId="7729" xr:uid="{00000000-0005-0000-0000-00002E3F0000}"/>
    <cellStyle name="60% - 强调文字颜色 6 4 3" xfId="16421" xr:uid="{00000000-0005-0000-0000-00002F3F0000}"/>
    <cellStyle name="60% - 强调文字颜色 6 4 4" xfId="16424" xr:uid="{00000000-0005-0000-0000-0000303F0000}"/>
    <cellStyle name="60% - 强调文字颜色 6 4 5" xfId="22707" xr:uid="{00000000-0005-0000-0000-0000313F0000}"/>
    <cellStyle name="60% - 强调文字颜色 6 4 6" xfId="22709" xr:uid="{00000000-0005-0000-0000-0000323F0000}"/>
    <cellStyle name="60% - 强调文字颜色 6 4 7" xfId="15317" xr:uid="{00000000-0005-0000-0000-0000333F0000}"/>
    <cellStyle name="60% - 强调文字颜色 6 4 8" xfId="15323" xr:uid="{00000000-0005-0000-0000-0000343F0000}"/>
    <cellStyle name="60% - 强调文字颜色 6 4 9" xfId="22712" xr:uid="{00000000-0005-0000-0000-0000353F0000}"/>
    <cellStyle name="60% - 强调文字颜色 6 5" xfId="21983" xr:uid="{00000000-0005-0000-0000-0000363F0000}"/>
    <cellStyle name="60% - 强调文字颜色 6 5 10" xfId="16122" xr:uid="{00000000-0005-0000-0000-0000373F0000}"/>
    <cellStyle name="60% - 强调文字颜色 6 5 11" xfId="14137" xr:uid="{00000000-0005-0000-0000-0000383F0000}"/>
    <cellStyle name="60% - 强调文字颜色 6 5 12" xfId="14144" xr:uid="{00000000-0005-0000-0000-0000393F0000}"/>
    <cellStyle name="60% - 强调文字颜色 6 5 13" xfId="14148" xr:uid="{00000000-0005-0000-0000-00003A3F0000}"/>
    <cellStyle name="60% - 强调文字颜色 6 5 14" xfId="3575" xr:uid="{00000000-0005-0000-0000-00003B3F0000}"/>
    <cellStyle name="60% - 强调文字颜色 6 5 2" xfId="24469" xr:uid="{00000000-0005-0000-0000-00003C3F0000}"/>
    <cellStyle name="60% - 强调文字颜色 6 5 3" xfId="24470" xr:uid="{00000000-0005-0000-0000-00003D3F0000}"/>
    <cellStyle name="60% - 强调文字颜色 6 5 4" xfId="24471" xr:uid="{00000000-0005-0000-0000-00003E3F0000}"/>
    <cellStyle name="60% - 强调文字颜色 6 5 5" xfId="24472" xr:uid="{00000000-0005-0000-0000-00003F3F0000}"/>
    <cellStyle name="60% - 强调文字颜色 6 5 6" xfId="24473" xr:uid="{00000000-0005-0000-0000-0000403F0000}"/>
    <cellStyle name="60% - 强调文字颜色 6 5 7" xfId="24475" xr:uid="{00000000-0005-0000-0000-0000413F0000}"/>
    <cellStyle name="60% - 强调文字颜色 6 5 8" xfId="24476" xr:uid="{00000000-0005-0000-0000-0000423F0000}"/>
    <cellStyle name="60% - 强调文字颜色 6 5 9" xfId="24477" xr:uid="{00000000-0005-0000-0000-0000433F0000}"/>
    <cellStyle name="60% - 强调文字颜色 6 6" xfId="21985" xr:uid="{00000000-0005-0000-0000-0000443F0000}"/>
    <cellStyle name="60% - 强调文字颜色 6 6 10" xfId="23680" xr:uid="{00000000-0005-0000-0000-0000453F0000}"/>
    <cellStyle name="60% - 强调文字颜色 6 6 11" xfId="24478" xr:uid="{00000000-0005-0000-0000-0000463F0000}"/>
    <cellStyle name="60% - 强调文字颜色 6 6 12" xfId="24479" xr:uid="{00000000-0005-0000-0000-0000473F0000}"/>
    <cellStyle name="60% - 强调文字颜色 6 6 13" xfId="24480" xr:uid="{00000000-0005-0000-0000-0000483F0000}"/>
    <cellStyle name="60% - 强调文字颜色 6 6 14" xfId="2242" xr:uid="{00000000-0005-0000-0000-0000493F0000}"/>
    <cellStyle name="60% - 强调文字颜色 6 6 2" xfId="6845" xr:uid="{00000000-0005-0000-0000-00004A3F0000}"/>
    <cellStyle name="60% - 强调文字颜色 6 6 3" xfId="6849" xr:uid="{00000000-0005-0000-0000-00004B3F0000}"/>
    <cellStyle name="60% - 强调文字颜色 6 6 4" xfId="6852" xr:uid="{00000000-0005-0000-0000-00004C3F0000}"/>
    <cellStyle name="60% - 强调文字颜色 6 6 5" xfId="5677" xr:uid="{00000000-0005-0000-0000-00004D3F0000}"/>
    <cellStyle name="60% - 强调文字颜色 6 6 6" xfId="5683" xr:uid="{00000000-0005-0000-0000-00004E3F0000}"/>
    <cellStyle name="60% - 强调文字颜色 6 6 7" xfId="6862" xr:uid="{00000000-0005-0000-0000-00004F3F0000}"/>
    <cellStyle name="60% - 强调文字颜色 6 6 8" xfId="2322" xr:uid="{00000000-0005-0000-0000-0000503F0000}"/>
    <cellStyle name="60% - 强调文字颜色 6 6 9" xfId="20298" xr:uid="{00000000-0005-0000-0000-0000513F0000}"/>
    <cellStyle name="60% - 强调文字颜色 6 7" xfId="21987" xr:uid="{00000000-0005-0000-0000-0000523F0000}"/>
    <cellStyle name="60% - 强调文字颜色 6 8" xfId="24481" xr:uid="{00000000-0005-0000-0000-0000533F0000}"/>
    <cellStyle name="60% - 强调文字颜色 6 9" xfId="18992" xr:uid="{00000000-0005-0000-0000-0000543F0000}"/>
    <cellStyle name="60% - 輔色1" xfId="35" xr:uid="{00000000-0005-0000-0000-000016000000}"/>
    <cellStyle name="60% - 輔色1 2" xfId="38495" xr:uid="{00000000-0005-0000-0000-000004000000}"/>
    <cellStyle name="60% - 輔色2" xfId="36" xr:uid="{00000000-0005-0000-0000-000017000000}"/>
    <cellStyle name="60% - 輔色2 2" xfId="38494" xr:uid="{00000000-0005-0000-0000-000005000000}"/>
    <cellStyle name="60% - 輔色3" xfId="37" xr:uid="{00000000-0005-0000-0000-000018000000}"/>
    <cellStyle name="60% - 輔色3 2" xfId="38493" xr:uid="{00000000-0005-0000-0000-000006000000}"/>
    <cellStyle name="60% - 輔色4" xfId="17849" xr:uid="{00000000-0005-0000-0000-0000583F0000}"/>
    <cellStyle name="60% - 輔色5" xfId="12686" xr:uid="{00000000-0005-0000-0000-0000593F0000}"/>
    <cellStyle name="60% - 輔色6" xfId="5096" xr:uid="{00000000-0005-0000-0000-00005A3F0000}"/>
    <cellStyle name="Accent1 2" xfId="38" xr:uid="{00000000-0005-0000-0000-000019000000}"/>
    <cellStyle name="Accent2 2" xfId="39" xr:uid="{00000000-0005-0000-0000-00001A000000}"/>
    <cellStyle name="Accent3 2" xfId="40" xr:uid="{00000000-0005-0000-0000-00001B000000}"/>
    <cellStyle name="Accent4 2" xfId="41" xr:uid="{00000000-0005-0000-0000-00001C000000}"/>
    <cellStyle name="Accent5 2" xfId="42" xr:uid="{00000000-0005-0000-0000-00001D000000}"/>
    <cellStyle name="Accent6 2" xfId="43" xr:uid="{00000000-0005-0000-0000-00001E000000}"/>
    <cellStyle name="Bad 2" xfId="44" xr:uid="{00000000-0005-0000-0000-00001F000000}"/>
    <cellStyle name="Calculation 2" xfId="45" xr:uid="{00000000-0005-0000-0000-000020000000}"/>
    <cellStyle name="Calculation 2 2" xfId="38410" xr:uid="{00000000-0005-0000-0000-000020000000}"/>
    <cellStyle name="Calculation 2 3" xfId="38767" xr:uid="{00000000-0005-0000-0000-000020000000}"/>
    <cellStyle name="Check Cell 2" xfId="46" xr:uid="{00000000-0005-0000-0000-000021000000}"/>
    <cellStyle name="Comma" xfId="1" builtinId="3"/>
    <cellStyle name="Comma 10" xfId="38608" xr:uid="{00000000-0005-0000-0000-000000000000}"/>
    <cellStyle name="Comma 11" xfId="38616" xr:uid="{00000000-0005-0000-0000-000001000000}"/>
    <cellStyle name="Comma 12" xfId="38624" xr:uid="{00000000-0005-0000-0000-000002000000}"/>
    <cellStyle name="Comma 13" xfId="38633" xr:uid="{00000000-0005-0000-0000-000003000000}"/>
    <cellStyle name="Comma 14" xfId="38641" xr:uid="{00000000-0005-0000-0000-000004000000}"/>
    <cellStyle name="Comma 15" xfId="38650" xr:uid="{00000000-0005-0000-0000-000005000000}"/>
    <cellStyle name="Comma 16" xfId="38658" xr:uid="{00000000-0005-0000-0000-000006000000}"/>
    <cellStyle name="Comma 17" xfId="38679" xr:uid="{00000000-0005-0000-0000-000007000000}"/>
    <cellStyle name="Comma 18" xfId="38689" xr:uid="{00000000-0005-0000-0000-000008000000}"/>
    <cellStyle name="Comma 19" xfId="38697" xr:uid="{00000000-0005-0000-0000-000009000000}"/>
    <cellStyle name="Comma 2" xfId="9" xr:uid="{00000000-0005-0000-0000-000037000000}"/>
    <cellStyle name="Comma 2 2" xfId="38396" xr:uid="{130645F3-4AD5-4D5F-A8BE-9E754537EAA0}"/>
    <cellStyle name="Comma 2 2 2" xfId="38675" xr:uid="{00000000-0005-0000-0000-00000B000000}"/>
    <cellStyle name="Comma 2 3" xfId="24485" xr:uid="{00000000-0005-0000-0000-00005C3F0000}"/>
    <cellStyle name="Comma 2 4" xfId="38512" xr:uid="{A806AD26-BC21-4D07-BD81-97F747FF0DB5}"/>
    <cellStyle name="Comma 2 5" xfId="38545" xr:uid="{00000000-0005-0000-0000-00000A000000}"/>
    <cellStyle name="Comma 20" xfId="38705" xr:uid="{00000000-0005-0000-0000-00000C000000}"/>
    <cellStyle name="Comma 21" xfId="38715" xr:uid="{00000000-0005-0000-0000-00000D000000}"/>
    <cellStyle name="Comma 22" xfId="38724" xr:uid="{00000000-0005-0000-0000-00000E000000}"/>
    <cellStyle name="Comma 23" xfId="38733" xr:uid="{00000000-0005-0000-0000-00000F000000}"/>
    <cellStyle name="Comma 24" xfId="38742" xr:uid="{00000000-0005-0000-0000-000010000000}"/>
    <cellStyle name="Comma 25" xfId="38751" xr:uid="{00000000-0005-0000-0000-000011000000}"/>
    <cellStyle name="Comma 26" xfId="38752" xr:uid="{00000000-0005-0000-0000-000012000000}"/>
    <cellStyle name="Comma 27" xfId="38757" xr:uid="{00000000-0005-0000-0000-000091970000}"/>
    <cellStyle name="Comma 28" xfId="38785" xr:uid="{00000000-0005-0000-0000-0000AD970000}"/>
    <cellStyle name="Comma 3" xfId="12" xr:uid="{00000000-0005-0000-0000-00005B000000}"/>
    <cellStyle name="Comma 3 2" xfId="38394" xr:uid="{40CFD9B1-AD06-4B23-95F8-FDDC2F528219}"/>
    <cellStyle name="Comma 3 2 2" xfId="38523" xr:uid="{CC2233FF-B41C-405D-8425-BBB56D6AD3C5}"/>
    <cellStyle name="Comma 3 2 3" xfId="38678" xr:uid="{00000000-0005-0000-0000-000014000000}"/>
    <cellStyle name="Comma 3 3" xfId="38514" xr:uid="{F2312D94-91C3-4C49-AF18-05E1E1E37CA0}"/>
    <cellStyle name="Comma 3 4" xfId="38554" xr:uid="{00000000-0005-0000-0000-000013000000}"/>
    <cellStyle name="Comma 4" xfId="184" xr:uid="{00000000-0005-0000-0000-0000F0000000}"/>
    <cellStyle name="Comma 4 2" xfId="38517" xr:uid="{BA6FC54E-FDE4-4779-A1C4-68A95A6DDD91}"/>
    <cellStyle name="Comma 4 3" xfId="38564" xr:uid="{00000000-0005-0000-0000-000015000000}"/>
    <cellStyle name="Comma 5" xfId="38406" xr:uid="{00000000-0005-0000-0000-000033960000}"/>
    <cellStyle name="Comma 5 2" xfId="38520" xr:uid="{8D74C008-B63D-45DA-B21E-6D1232DF2041}"/>
    <cellStyle name="Comma 5 3" xfId="38565" xr:uid="{00000000-0005-0000-0000-000016000000}"/>
    <cellStyle name="Comma 5 4" xfId="38762" xr:uid="{00000000-0005-0000-0000-000035000000}"/>
    <cellStyle name="Comma 6" xfId="38492" xr:uid="{00000000-0005-0000-0000-000051960000}"/>
    <cellStyle name="Comma 6 2" xfId="38521" xr:uid="{2A39E8AD-0661-4AED-A3AA-43CCD3187B7C}"/>
    <cellStyle name="Comma 6 3" xfId="38576" xr:uid="{00000000-0005-0000-0000-000017000000}"/>
    <cellStyle name="Comma 7" xfId="38584" xr:uid="{00000000-0005-0000-0000-000018000000}"/>
    <cellStyle name="Comma 8" xfId="38592" xr:uid="{00000000-0005-0000-0000-000019000000}"/>
    <cellStyle name="Comma 9" xfId="38600" xr:uid="{00000000-0005-0000-0000-00001A000000}"/>
    <cellStyle name="Currency" xfId="38525" builtinId="4"/>
    <cellStyle name="Explanatory Text 2" xfId="47" xr:uid="{00000000-0005-0000-0000-000024000000}"/>
    <cellStyle name="Explanatory Text 3" xfId="38491" xr:uid="{00000000-0005-0000-0000-000009000000}"/>
    <cellStyle name="Good 2" xfId="48" xr:uid="{00000000-0005-0000-0000-000025000000}"/>
    <cellStyle name="Heading 1 2" xfId="49" xr:uid="{00000000-0005-0000-0000-000026000000}"/>
    <cellStyle name="Heading 2 2" xfId="50" xr:uid="{00000000-0005-0000-0000-000027000000}"/>
    <cellStyle name="Heading 3 2" xfId="51" xr:uid="{00000000-0005-0000-0000-000028000000}"/>
    <cellStyle name="Heading 4 2" xfId="52" xr:uid="{00000000-0005-0000-0000-000029000000}"/>
    <cellStyle name="Hyperlink" xfId="8" builtinId="8"/>
    <cellStyle name="Hyperlink 2" xfId="38566" xr:uid="{00000000-0005-0000-0000-00001B000000}"/>
    <cellStyle name="Hyperlink 2 2" xfId="38677" xr:uid="{00000000-0005-0000-0000-00001C000000}"/>
    <cellStyle name="Hyperlink 3" xfId="38786" xr:uid="{00000000-0005-0000-0000-0000AE970000}"/>
    <cellStyle name="Input 2" xfId="53" xr:uid="{00000000-0005-0000-0000-00002A000000}"/>
    <cellStyle name="Input 2 2" xfId="38415" xr:uid="{00000000-0005-0000-0000-00002A000000}"/>
    <cellStyle name="Input 2 3" xfId="38768" xr:uid="{00000000-0005-0000-0000-00002A000000}"/>
    <cellStyle name="l]_x000d__x000a_Path=h:_x000d__x000a_Name=Diana Chang_x000d__x000a_DDEApps=nsf,nsg,nsh,ntf,ns2,ors,org_x000d__x000a_SmartIcons=Read Message_x000d__x000a__x000d__x000a__x000d__x000a_[cc:Edit" xfId="38761" xr:uid="{00000000-0005-0000-0000-000034000000}"/>
    <cellStyle name="Linked Cell 2" xfId="54" xr:uid="{00000000-0005-0000-0000-00002B000000}"/>
    <cellStyle name="Neutral 2" xfId="55" xr:uid="{00000000-0005-0000-0000-00002C000000}"/>
    <cellStyle name="Normal" xfId="0" builtinId="0"/>
    <cellStyle name="Normal 10" xfId="5" xr:uid="{86E13F24-1107-476D-A24B-9048C1D0189D}"/>
    <cellStyle name="Normal 10 10" xfId="38611" xr:uid="{00000000-0005-0000-0000-00001F000000}"/>
    <cellStyle name="Normal 10 11" xfId="38619" xr:uid="{00000000-0005-0000-0000-000020000000}"/>
    <cellStyle name="Normal 10 12" xfId="38628" xr:uid="{00000000-0005-0000-0000-000021000000}"/>
    <cellStyle name="Normal 10 13" xfId="38636" xr:uid="{00000000-0005-0000-0000-000022000000}"/>
    <cellStyle name="Normal 10 14" xfId="38645" xr:uid="{00000000-0005-0000-0000-000023000000}"/>
    <cellStyle name="Normal 10 15" xfId="38653" xr:uid="{00000000-0005-0000-0000-000024000000}"/>
    <cellStyle name="Normal 10 16" xfId="38661" xr:uid="{00000000-0005-0000-0000-000025000000}"/>
    <cellStyle name="Normal 10 17" xfId="38684" xr:uid="{00000000-0005-0000-0000-000026000000}"/>
    <cellStyle name="Normal 10 18" xfId="38692" xr:uid="{00000000-0005-0000-0000-000027000000}"/>
    <cellStyle name="Normal 10 19" xfId="38700" xr:uid="{00000000-0005-0000-0000-000028000000}"/>
    <cellStyle name="Normal 10 2" xfId="38540" xr:uid="{00000000-0005-0000-0000-000029000000}"/>
    <cellStyle name="Normal 10 2 2" xfId="38668" xr:uid="{00000000-0005-0000-0000-00002A000000}"/>
    <cellStyle name="Normal 10 20" xfId="38709" xr:uid="{00000000-0005-0000-0000-00002B000000}"/>
    <cellStyle name="Normal 10 21" xfId="38719" xr:uid="{00000000-0005-0000-0000-00002C000000}"/>
    <cellStyle name="Normal 10 22" xfId="38728" xr:uid="{00000000-0005-0000-0000-00002D000000}"/>
    <cellStyle name="Normal 10 23" xfId="38737" xr:uid="{00000000-0005-0000-0000-00002E000000}"/>
    <cellStyle name="Normal 10 24" xfId="38746" xr:uid="{00000000-0005-0000-0000-00002F000000}"/>
    <cellStyle name="Normal 10 25" xfId="38532" xr:uid="{00000000-0005-0000-0000-00001E000000}"/>
    <cellStyle name="Normal 10 26" xfId="38760" xr:uid="{00000000-0005-0000-0000-000033000000}"/>
    <cellStyle name="Normal 10 3" xfId="38549" xr:uid="{00000000-0005-0000-0000-000030000000}"/>
    <cellStyle name="Normal 10 4" xfId="38558" xr:uid="{00000000-0005-0000-0000-000031000000}"/>
    <cellStyle name="Normal 10 5" xfId="38571" xr:uid="{00000000-0005-0000-0000-000032000000}"/>
    <cellStyle name="Normal 10 6" xfId="38579" xr:uid="{00000000-0005-0000-0000-000033000000}"/>
    <cellStyle name="Normal 10 7" xfId="38587" xr:uid="{00000000-0005-0000-0000-000034000000}"/>
    <cellStyle name="Normal 10 7 2" xfId="38555" xr:uid="{00000000-0005-0000-0000-000035000000}"/>
    <cellStyle name="Normal 10 8" xfId="38595" xr:uid="{00000000-0005-0000-0000-000036000000}"/>
    <cellStyle name="Normal 10 9" xfId="38603" xr:uid="{00000000-0005-0000-0000-000037000000}"/>
    <cellStyle name="Normal 11" xfId="183" xr:uid="{00000000-0005-0000-0000-0000F1000000}"/>
    <cellStyle name="Normal 11 10" xfId="38610" xr:uid="{00000000-0005-0000-0000-000039000000}"/>
    <cellStyle name="Normal 11 11" xfId="38618" xr:uid="{00000000-0005-0000-0000-00003A000000}"/>
    <cellStyle name="Normal 11 12" xfId="38627" xr:uid="{00000000-0005-0000-0000-00003B000000}"/>
    <cellStyle name="Normal 11 13" xfId="38635" xr:uid="{00000000-0005-0000-0000-00003C000000}"/>
    <cellStyle name="Normal 11 14" xfId="38644" xr:uid="{00000000-0005-0000-0000-00003D000000}"/>
    <cellStyle name="Normal 11 15" xfId="38652" xr:uid="{00000000-0005-0000-0000-00003E000000}"/>
    <cellStyle name="Normal 11 16" xfId="38660" xr:uid="{00000000-0005-0000-0000-00003F000000}"/>
    <cellStyle name="Normal 11 17" xfId="38683" xr:uid="{00000000-0005-0000-0000-000040000000}"/>
    <cellStyle name="Normal 11 18" xfId="38691" xr:uid="{00000000-0005-0000-0000-000041000000}"/>
    <cellStyle name="Normal 11 19" xfId="38699" xr:uid="{00000000-0005-0000-0000-000042000000}"/>
    <cellStyle name="Normal 11 2" xfId="38539" xr:uid="{00000000-0005-0000-0000-000043000000}"/>
    <cellStyle name="Normal 11 2 2" xfId="38667" xr:uid="{00000000-0005-0000-0000-000044000000}"/>
    <cellStyle name="Normal 11 20" xfId="38708" xr:uid="{00000000-0005-0000-0000-000045000000}"/>
    <cellStyle name="Normal 11 21" xfId="38718" xr:uid="{00000000-0005-0000-0000-000046000000}"/>
    <cellStyle name="Normal 11 22" xfId="38727" xr:uid="{00000000-0005-0000-0000-000047000000}"/>
    <cellStyle name="Normal 11 23" xfId="38736" xr:uid="{00000000-0005-0000-0000-000048000000}"/>
    <cellStyle name="Normal 11 24" xfId="38745" xr:uid="{00000000-0005-0000-0000-000049000000}"/>
    <cellStyle name="Normal 11 25" xfId="38531" xr:uid="{00000000-0005-0000-0000-000038000000}"/>
    <cellStyle name="Normal 11 3" xfId="38548" xr:uid="{00000000-0005-0000-0000-00004A000000}"/>
    <cellStyle name="Normal 11 4" xfId="38557" xr:uid="{00000000-0005-0000-0000-00004B000000}"/>
    <cellStyle name="Normal 11 5" xfId="38570" xr:uid="{00000000-0005-0000-0000-00004C000000}"/>
    <cellStyle name="Normal 11 6" xfId="38578" xr:uid="{00000000-0005-0000-0000-00004D000000}"/>
    <cellStyle name="Normal 11 7" xfId="38586" xr:uid="{00000000-0005-0000-0000-00004E000000}"/>
    <cellStyle name="Normal 11 8" xfId="38594" xr:uid="{00000000-0005-0000-0000-00004F000000}"/>
    <cellStyle name="Normal 11 9" xfId="38602" xr:uid="{00000000-0005-0000-0000-000050000000}"/>
    <cellStyle name="Normal 12" xfId="185" xr:uid="{00000000-0005-0000-0000-0000F2000000}"/>
    <cellStyle name="Normal 12 10" xfId="38609" xr:uid="{00000000-0005-0000-0000-000052000000}"/>
    <cellStyle name="Normal 12 11" xfId="38617" xr:uid="{00000000-0005-0000-0000-000053000000}"/>
    <cellStyle name="Normal 12 12" xfId="38626" xr:uid="{00000000-0005-0000-0000-000054000000}"/>
    <cellStyle name="Normal 12 13" xfId="38634" xr:uid="{00000000-0005-0000-0000-000055000000}"/>
    <cellStyle name="Normal 12 14" xfId="38643" xr:uid="{00000000-0005-0000-0000-000056000000}"/>
    <cellStyle name="Normal 12 15" xfId="38651" xr:uid="{00000000-0005-0000-0000-000057000000}"/>
    <cellStyle name="Normal 12 16" xfId="38659" xr:uid="{00000000-0005-0000-0000-000058000000}"/>
    <cellStyle name="Normal 12 17" xfId="38682" xr:uid="{00000000-0005-0000-0000-000059000000}"/>
    <cellStyle name="Normal 12 18" xfId="38690" xr:uid="{00000000-0005-0000-0000-00005A000000}"/>
    <cellStyle name="Normal 12 19" xfId="38698" xr:uid="{00000000-0005-0000-0000-00005B000000}"/>
    <cellStyle name="Normal 12 2" xfId="38538" xr:uid="{00000000-0005-0000-0000-00005C000000}"/>
    <cellStyle name="Normal 12 2 2" xfId="38666" xr:uid="{00000000-0005-0000-0000-00005D000000}"/>
    <cellStyle name="Normal 12 20" xfId="38707" xr:uid="{00000000-0005-0000-0000-00005E000000}"/>
    <cellStyle name="Normal 12 21" xfId="38717" xr:uid="{00000000-0005-0000-0000-00005F000000}"/>
    <cellStyle name="Normal 12 22" xfId="38726" xr:uid="{00000000-0005-0000-0000-000060000000}"/>
    <cellStyle name="Normal 12 23" xfId="38735" xr:uid="{00000000-0005-0000-0000-000061000000}"/>
    <cellStyle name="Normal 12 24" xfId="38744" xr:uid="{00000000-0005-0000-0000-000062000000}"/>
    <cellStyle name="Normal 12 25" xfId="38530" xr:uid="{00000000-0005-0000-0000-000051000000}"/>
    <cellStyle name="Normal 12 3" xfId="38547" xr:uid="{00000000-0005-0000-0000-000063000000}"/>
    <cellStyle name="Normal 12 4" xfId="38556" xr:uid="{00000000-0005-0000-0000-000064000000}"/>
    <cellStyle name="Normal 12 5" xfId="38569" xr:uid="{00000000-0005-0000-0000-000065000000}"/>
    <cellStyle name="Normal 12 6" xfId="38577" xr:uid="{00000000-0005-0000-0000-000066000000}"/>
    <cellStyle name="Normal 12 7" xfId="38585" xr:uid="{00000000-0005-0000-0000-000067000000}"/>
    <cellStyle name="Normal 12 8" xfId="38593" xr:uid="{00000000-0005-0000-0000-000068000000}"/>
    <cellStyle name="Normal 12 9" xfId="38601" xr:uid="{00000000-0005-0000-0000-000069000000}"/>
    <cellStyle name="Normal 13" xfId="186" xr:uid="{00000000-0005-0000-0000-0000EA000000}"/>
    <cellStyle name="Normal 13 10" xfId="38612" xr:uid="{00000000-0005-0000-0000-00006B000000}"/>
    <cellStyle name="Normal 13 11" xfId="38620" xr:uid="{00000000-0005-0000-0000-00006C000000}"/>
    <cellStyle name="Normal 13 12" xfId="38629" xr:uid="{00000000-0005-0000-0000-00006D000000}"/>
    <cellStyle name="Normal 13 13" xfId="38637" xr:uid="{00000000-0005-0000-0000-00006E000000}"/>
    <cellStyle name="Normal 13 14" xfId="38646" xr:uid="{00000000-0005-0000-0000-00006F000000}"/>
    <cellStyle name="Normal 13 15" xfId="38654" xr:uid="{00000000-0005-0000-0000-000070000000}"/>
    <cellStyle name="Normal 13 16" xfId="38662" xr:uid="{00000000-0005-0000-0000-000071000000}"/>
    <cellStyle name="Normal 13 17" xfId="38685" xr:uid="{00000000-0005-0000-0000-000072000000}"/>
    <cellStyle name="Normal 13 18" xfId="38693" xr:uid="{00000000-0005-0000-0000-000073000000}"/>
    <cellStyle name="Normal 13 19" xfId="38701" xr:uid="{00000000-0005-0000-0000-000074000000}"/>
    <cellStyle name="Normal 13 2" xfId="38541" xr:uid="{00000000-0005-0000-0000-000075000000}"/>
    <cellStyle name="Normal 13 2 2" xfId="38669" xr:uid="{00000000-0005-0000-0000-000076000000}"/>
    <cellStyle name="Normal 13 20" xfId="38710" xr:uid="{00000000-0005-0000-0000-000077000000}"/>
    <cellStyle name="Normal 13 21" xfId="38720" xr:uid="{00000000-0005-0000-0000-000078000000}"/>
    <cellStyle name="Normal 13 22" xfId="38729" xr:uid="{00000000-0005-0000-0000-000079000000}"/>
    <cellStyle name="Normal 13 23" xfId="38738" xr:uid="{00000000-0005-0000-0000-00007A000000}"/>
    <cellStyle name="Normal 13 24" xfId="38747" xr:uid="{00000000-0005-0000-0000-00007B000000}"/>
    <cellStyle name="Normal 13 25" xfId="38533" xr:uid="{00000000-0005-0000-0000-00006A000000}"/>
    <cellStyle name="Normal 13 3" xfId="38550" xr:uid="{00000000-0005-0000-0000-00007C000000}"/>
    <cellStyle name="Normal 13 4" xfId="38559" xr:uid="{00000000-0005-0000-0000-00007D000000}"/>
    <cellStyle name="Normal 13 5" xfId="38572" xr:uid="{00000000-0005-0000-0000-00007E000000}"/>
    <cellStyle name="Normal 13 6" xfId="38580" xr:uid="{00000000-0005-0000-0000-00007F000000}"/>
    <cellStyle name="Normal 13 7" xfId="38588" xr:uid="{00000000-0005-0000-0000-000080000000}"/>
    <cellStyle name="Normal 13 8" xfId="38596" xr:uid="{00000000-0005-0000-0000-000081000000}"/>
    <cellStyle name="Normal 13 9" xfId="38604" xr:uid="{00000000-0005-0000-0000-000082000000}"/>
    <cellStyle name="Normal 14" xfId="187" xr:uid="{00000000-0005-0000-0000-0000EB000000}"/>
    <cellStyle name="Normal 14 10" xfId="38613" xr:uid="{00000000-0005-0000-0000-000084000000}"/>
    <cellStyle name="Normal 14 11" xfId="38621" xr:uid="{00000000-0005-0000-0000-000085000000}"/>
    <cellStyle name="Normal 14 12" xfId="38630" xr:uid="{00000000-0005-0000-0000-000086000000}"/>
    <cellStyle name="Normal 14 13" xfId="38638" xr:uid="{00000000-0005-0000-0000-000087000000}"/>
    <cellStyle name="Normal 14 14" xfId="38647" xr:uid="{00000000-0005-0000-0000-000088000000}"/>
    <cellStyle name="Normal 14 15" xfId="38655" xr:uid="{00000000-0005-0000-0000-000089000000}"/>
    <cellStyle name="Normal 14 16" xfId="38663" xr:uid="{00000000-0005-0000-0000-00008A000000}"/>
    <cellStyle name="Normal 14 17" xfId="38686" xr:uid="{00000000-0005-0000-0000-00008B000000}"/>
    <cellStyle name="Normal 14 18" xfId="38694" xr:uid="{00000000-0005-0000-0000-00008C000000}"/>
    <cellStyle name="Normal 14 19" xfId="38702" xr:uid="{00000000-0005-0000-0000-00008D000000}"/>
    <cellStyle name="Normal 14 2" xfId="38542" xr:uid="{00000000-0005-0000-0000-00008E000000}"/>
    <cellStyle name="Normal 14 2 2" xfId="38670" xr:uid="{00000000-0005-0000-0000-00008F000000}"/>
    <cellStyle name="Normal 14 20" xfId="38711" xr:uid="{00000000-0005-0000-0000-000090000000}"/>
    <cellStyle name="Normal 14 21" xfId="38721" xr:uid="{00000000-0005-0000-0000-000091000000}"/>
    <cellStyle name="Normal 14 22" xfId="38730" xr:uid="{00000000-0005-0000-0000-000092000000}"/>
    <cellStyle name="Normal 14 23" xfId="38739" xr:uid="{00000000-0005-0000-0000-000093000000}"/>
    <cellStyle name="Normal 14 24" xfId="38748" xr:uid="{00000000-0005-0000-0000-000094000000}"/>
    <cellStyle name="Normal 14 25" xfId="38534" xr:uid="{00000000-0005-0000-0000-000083000000}"/>
    <cellStyle name="Normal 14 3" xfId="38551" xr:uid="{00000000-0005-0000-0000-000095000000}"/>
    <cellStyle name="Normal 14 4" xfId="38560" xr:uid="{00000000-0005-0000-0000-000096000000}"/>
    <cellStyle name="Normal 14 5" xfId="38573" xr:uid="{00000000-0005-0000-0000-000097000000}"/>
    <cellStyle name="Normal 14 6" xfId="38581" xr:uid="{00000000-0005-0000-0000-000098000000}"/>
    <cellStyle name="Normal 14 7" xfId="38589" xr:uid="{00000000-0005-0000-0000-000099000000}"/>
    <cellStyle name="Normal 14 8" xfId="38597" xr:uid="{00000000-0005-0000-0000-00009A000000}"/>
    <cellStyle name="Normal 14 9" xfId="38605" xr:uid="{00000000-0005-0000-0000-00009B000000}"/>
    <cellStyle name="Normal 15" xfId="192" xr:uid="{00000000-0005-0000-0000-000047400000}"/>
    <cellStyle name="Normal 15 2" xfId="38681" xr:uid="{00000000-0005-0000-0000-00009D000000}"/>
    <cellStyle name="Normal 15 3" xfId="38642" xr:uid="{00000000-0005-0000-0000-00009C000000}"/>
    <cellStyle name="Normal 16" xfId="38401" xr:uid="{00000000-0005-0000-0000-00002F960000}"/>
    <cellStyle name="Normal 16 2" xfId="38706" xr:uid="{00000000-0005-0000-0000-00009E000000}"/>
    <cellStyle name="Normal 17" xfId="38402" xr:uid="{00000000-0005-0000-0000-000030960000}"/>
    <cellStyle name="Normal 17 2" xfId="38716" xr:uid="{00000000-0005-0000-0000-00009F000000}"/>
    <cellStyle name="Normal 18" xfId="38403" xr:uid="{00000000-0005-0000-0000-000031960000}"/>
    <cellStyle name="Normal 18 2" xfId="38725" xr:uid="{00000000-0005-0000-0000-0000A0000000}"/>
    <cellStyle name="Normal 19" xfId="38404" xr:uid="{00000000-0005-0000-0000-000032960000}"/>
    <cellStyle name="Normal 19 2" xfId="38734" xr:uid="{00000000-0005-0000-0000-0000A1000000}"/>
    <cellStyle name="Normal 2" xfId="2" xr:uid="{58DE0D34-B57E-4299-A133-2B9AD0E3B903}"/>
    <cellStyle name="Normal 2 2" xfId="56" xr:uid="{00000000-0005-0000-0000-00002F000000}"/>
    <cellStyle name="Normal 2 2 2" xfId="38398" xr:uid="{C2518C46-07D4-4D14-AFFC-DBB3CC63EB3C}"/>
    <cellStyle name="Normal 2 2 3" xfId="38507" xr:uid="{00000000-0005-0000-0000-000004000000}"/>
    <cellStyle name="Normal 2 2 4" xfId="38714" xr:uid="{00000000-0005-0000-0000-0000A3000000}"/>
    <cellStyle name="Normal 2 2 5" xfId="38763" xr:uid="{00000000-0005-0000-0000-000038000000}"/>
    <cellStyle name="Normal 2 3" xfId="57" xr:uid="{00000000-0005-0000-0000-000030000000}"/>
    <cellStyle name="Normal 2 3 2" xfId="38400" xr:uid="{F9E0EC3E-2853-411C-B534-32100867ECA6}"/>
    <cellStyle name="Normal 2 3 3" xfId="38513" xr:uid="{C95553D0-65D3-48C8-8624-965984B73F11}"/>
    <cellStyle name="Normal 2 4" xfId="11095" xr:uid="{00000000-0005-0000-0000-00005E3F0000}"/>
    <cellStyle name="Normal 2 4 2" xfId="38516" xr:uid="{22594C00-8A48-4158-A03D-A5B937BD9DB4}"/>
    <cellStyle name="Normal 2 5" xfId="38522" xr:uid="{F5866931-F2F4-4117-9B82-D1F96FBFDA8E}"/>
    <cellStyle name="Normal 2 6" xfId="38509" xr:uid="{00000000-0005-0000-0000-000003000000}"/>
    <cellStyle name="Normal 2 7" xfId="38537" xr:uid="{00000000-0005-0000-0000-0000A2000000}"/>
    <cellStyle name="Normal 2 8" xfId="38758" xr:uid="{00000000-0005-0000-0000-000031000000}"/>
    <cellStyle name="Normal 20" xfId="38405" xr:uid="{00000000-0005-0000-0000-000034960000}"/>
    <cellStyle name="Normal 20 2" xfId="38743" xr:uid="{00000000-0005-0000-0000-0000A4000000}"/>
    <cellStyle name="Normal 21" xfId="38407" xr:uid="{00000000-0005-0000-0000-000035960000}"/>
    <cellStyle name="Normal 21 2" xfId="38753" xr:uid="{00000000-0005-0000-0000-00000E010000}"/>
    <cellStyle name="Normal 22" xfId="38408" xr:uid="{00000000-0005-0000-0000-000036960000}"/>
    <cellStyle name="Normal 22 2" xfId="38518" xr:uid="{4649CD82-BE29-4C87-8FB6-6D8897489859}"/>
    <cellStyle name="Normal 23" xfId="38500" xr:uid="{00000000-0005-0000-0000-000053960000}"/>
    <cellStyle name="Normal 24" xfId="38502" xr:uid="{00000000-0005-0000-0000-000094960000}"/>
    <cellStyle name="Normal 25" xfId="38503" xr:uid="{00000000-0005-0000-0000-000095960000}"/>
    <cellStyle name="Normal 26" xfId="38504" xr:uid="{00000000-0005-0000-0000-000096960000}"/>
    <cellStyle name="Normal 27" xfId="38505" xr:uid="{00000000-0005-0000-0000-000097960000}"/>
    <cellStyle name="Normal 28" xfId="38524" xr:uid="{00000000-0005-0000-0000-0000AA960000}"/>
    <cellStyle name="Normal 29" xfId="38526" xr:uid="{00000000-0005-0000-0000-0000AB960000}"/>
    <cellStyle name="Normal 3" xfId="3" xr:uid="{86312893-3E3D-4F13-982B-57490AEC491F}"/>
    <cellStyle name="Normal 3 2" xfId="59" xr:uid="{00000000-0005-0000-0000-000032000000}"/>
    <cellStyle name="Normal 3 2 2" xfId="38395" xr:uid="{28F3C265-6D1C-429C-8562-6477C456D102}"/>
    <cellStyle name="Normal 3 2 3" xfId="38674" xr:uid="{00000000-0005-0000-0000-0000A6000000}"/>
    <cellStyle name="Normal 3 3" xfId="58" xr:uid="{00000000-0005-0000-0000-000031000000}"/>
    <cellStyle name="Normal 3 4" xfId="11097" xr:uid="{00000000-0005-0000-0000-00005F3F0000}"/>
    <cellStyle name="Normal 3 5" xfId="38546" xr:uid="{00000000-0005-0000-0000-0000A5000000}"/>
    <cellStyle name="Normal 30" xfId="38527" xr:uid="{00000000-0005-0000-0000-0000AC960000}"/>
    <cellStyle name="Normal 31" xfId="38528" xr:uid="{00000000-0005-0000-0000-0000AD960000}"/>
    <cellStyle name="Normal 32" xfId="38529" xr:uid="{00000000-0005-0000-0000-0000CB960000}"/>
    <cellStyle name="Normal 33" xfId="38754" xr:uid="{00000000-0005-0000-0000-00008F970000}"/>
    <cellStyle name="Normal 34" xfId="38755" xr:uid="{00000000-0005-0000-0000-000090970000}"/>
    <cellStyle name="Normal 35" xfId="38756" xr:uid="{00000000-0005-0000-0000-000094970000}"/>
    <cellStyle name="Normal 36" xfId="38764" xr:uid="{00000000-0005-0000-0000-000099970000}"/>
    <cellStyle name="Normal 37" xfId="38765" xr:uid="{00000000-0005-0000-0000-00009A970000}"/>
    <cellStyle name="Normal 38" xfId="38766" xr:uid="{00000000-0005-0000-0000-00009B970000}"/>
    <cellStyle name="Normal 39" xfId="38776" xr:uid="{00000000-0005-0000-0000-0000A5970000}"/>
    <cellStyle name="Normal 4" xfId="6" xr:uid="{A83414BC-4E3E-47FF-A3D3-44C8D3559A53}"/>
    <cellStyle name="Normal 4 2" xfId="60" xr:uid="{00000000-0005-0000-0000-000033000000}"/>
    <cellStyle name="Normal 4 2 2" xfId="38519" xr:uid="{E218B156-8780-4179-91B0-CA6633532D99}"/>
    <cellStyle name="Normal 4 2 3" xfId="38676" xr:uid="{00000000-0005-0000-0000-0000A8000000}"/>
    <cellStyle name="Normal 4 3" xfId="38393" xr:uid="{B3BEABEE-2A6D-4C6F-8E9F-8F001688342C}"/>
    <cellStyle name="Normal 4 4" xfId="38563" xr:uid="{00000000-0005-0000-0000-0000A7000000}"/>
    <cellStyle name="Normal 40" xfId="38780" xr:uid="{00000000-0005-0000-0000-0000A9970000}"/>
    <cellStyle name="Normal 41" xfId="38781" xr:uid="{00000000-0005-0000-0000-0000AA970000}"/>
    <cellStyle name="Normal 42" xfId="38782" xr:uid="{00000000-0005-0000-0000-0000AB970000}"/>
    <cellStyle name="Normal 43" xfId="38783" xr:uid="{00000000-0005-0000-0000-0000AC970000}"/>
    <cellStyle name="Normal 44" xfId="38784" xr:uid="{00000000-0005-0000-0000-0000AF970000}"/>
    <cellStyle name="Normal 5" xfId="7" xr:uid="{00000000-0005-0000-0000-000036000000}"/>
    <cellStyle name="Normal 5 2" xfId="61" xr:uid="{00000000-0005-0000-0000-000034000000}"/>
    <cellStyle name="Normal 5 3" xfId="10734" xr:uid="{00000000-0005-0000-0000-0000603F0000}"/>
    <cellStyle name="Normal 5 4" xfId="38515" xr:uid="{F443A857-F342-4348-BEB7-5DEE428BEA67}"/>
    <cellStyle name="Normal 5 5" xfId="38567" xr:uid="{00000000-0005-0000-0000-0000A9000000}"/>
    <cellStyle name="Normal 6" xfId="10" xr:uid="{00000000-0005-0000-0000-000038000000}"/>
    <cellStyle name="Normal 6 2" xfId="189" xr:uid="{00000000-0005-0000-0000-000035000000}"/>
    <cellStyle name="Normal 6 2 2" xfId="38673" xr:uid="{00000000-0005-0000-0000-0000AB000000}"/>
    <cellStyle name="Normal 6 3" xfId="38399" xr:uid="{1CE4592E-91FE-48BE-9672-C29E83B18993}"/>
    <cellStyle name="Normal 6 4" xfId="38506" xr:uid="{00000000-0005-0000-0000-000005000000}"/>
    <cellStyle name="Normal 6 5" xfId="38568" xr:uid="{00000000-0005-0000-0000-0000AA000000}"/>
    <cellStyle name="Normal 7" xfId="11" xr:uid="{00000000-0005-0000-0000-000065000000}"/>
    <cellStyle name="Normal 7 2" xfId="38680" xr:uid="{00000000-0005-0000-0000-0000AD000000}"/>
    <cellStyle name="Normal 7 3" xfId="38625" xr:uid="{00000000-0005-0000-0000-0000AC000000}"/>
    <cellStyle name="Normal 8" xfId="182" xr:uid="{00000000-0005-0000-0000-0000EF000000}"/>
    <cellStyle name="Normal 8 10" xfId="38615" xr:uid="{00000000-0005-0000-0000-0000AF000000}"/>
    <cellStyle name="Normal 8 11" xfId="38623" xr:uid="{00000000-0005-0000-0000-0000B0000000}"/>
    <cellStyle name="Normal 8 12" xfId="38632" xr:uid="{00000000-0005-0000-0000-0000B1000000}"/>
    <cellStyle name="Normal 8 13" xfId="38640" xr:uid="{00000000-0005-0000-0000-0000B2000000}"/>
    <cellStyle name="Normal 8 14" xfId="38649" xr:uid="{00000000-0005-0000-0000-0000B3000000}"/>
    <cellStyle name="Normal 8 15" xfId="38657" xr:uid="{00000000-0005-0000-0000-0000B4000000}"/>
    <cellStyle name="Normal 8 16" xfId="38665" xr:uid="{00000000-0005-0000-0000-0000B5000000}"/>
    <cellStyle name="Normal 8 17" xfId="38688" xr:uid="{00000000-0005-0000-0000-0000B6000000}"/>
    <cellStyle name="Normal 8 18" xfId="38696" xr:uid="{00000000-0005-0000-0000-0000B7000000}"/>
    <cellStyle name="Normal 8 19" xfId="38704" xr:uid="{00000000-0005-0000-0000-0000B8000000}"/>
    <cellStyle name="Normal 8 2" xfId="38544" xr:uid="{00000000-0005-0000-0000-0000B9000000}"/>
    <cellStyle name="Normal 8 2 2" xfId="38672" xr:uid="{00000000-0005-0000-0000-0000BA000000}"/>
    <cellStyle name="Normal 8 20" xfId="38713" xr:uid="{00000000-0005-0000-0000-0000BB000000}"/>
    <cellStyle name="Normal 8 21" xfId="38723" xr:uid="{00000000-0005-0000-0000-0000BC000000}"/>
    <cellStyle name="Normal 8 22" xfId="38732" xr:uid="{00000000-0005-0000-0000-0000BD000000}"/>
    <cellStyle name="Normal 8 23" xfId="38741" xr:uid="{00000000-0005-0000-0000-0000BE000000}"/>
    <cellStyle name="Normal 8 24" xfId="38750" xr:uid="{00000000-0005-0000-0000-0000BF000000}"/>
    <cellStyle name="Normal 8 25" xfId="38536" xr:uid="{00000000-0005-0000-0000-0000AE000000}"/>
    <cellStyle name="Normal 8 3" xfId="38553" xr:uid="{00000000-0005-0000-0000-0000C0000000}"/>
    <cellStyle name="Normal 8 4" xfId="38562" xr:uid="{00000000-0005-0000-0000-0000C1000000}"/>
    <cellStyle name="Normal 8 5" xfId="38575" xr:uid="{00000000-0005-0000-0000-0000C2000000}"/>
    <cellStyle name="Normal 8 6" xfId="38583" xr:uid="{00000000-0005-0000-0000-0000C3000000}"/>
    <cellStyle name="Normal 8 7" xfId="38591" xr:uid="{00000000-0005-0000-0000-0000C4000000}"/>
    <cellStyle name="Normal 8 8" xfId="38599" xr:uid="{00000000-0005-0000-0000-0000C5000000}"/>
    <cellStyle name="Normal 8 9" xfId="38607" xr:uid="{00000000-0005-0000-0000-0000C6000000}"/>
    <cellStyle name="Normal 9" xfId="4" xr:uid="{0D86B33F-F38B-4CFB-B11E-BDFE593C048D}"/>
    <cellStyle name="Normal 9 10" xfId="38614" xr:uid="{00000000-0005-0000-0000-0000C8000000}"/>
    <cellStyle name="Normal 9 11" xfId="38622" xr:uid="{00000000-0005-0000-0000-0000C9000000}"/>
    <cellStyle name="Normal 9 12" xfId="38631" xr:uid="{00000000-0005-0000-0000-0000CA000000}"/>
    <cellStyle name="Normal 9 13" xfId="38639" xr:uid="{00000000-0005-0000-0000-0000CB000000}"/>
    <cellStyle name="Normal 9 14" xfId="38648" xr:uid="{00000000-0005-0000-0000-0000CC000000}"/>
    <cellStyle name="Normal 9 15" xfId="38656" xr:uid="{00000000-0005-0000-0000-0000CD000000}"/>
    <cellStyle name="Normal 9 16" xfId="38664" xr:uid="{00000000-0005-0000-0000-0000CE000000}"/>
    <cellStyle name="Normal 9 17" xfId="38687" xr:uid="{00000000-0005-0000-0000-0000CF000000}"/>
    <cellStyle name="Normal 9 18" xfId="38695" xr:uid="{00000000-0005-0000-0000-0000D0000000}"/>
    <cellStyle name="Normal 9 19" xfId="38703" xr:uid="{00000000-0005-0000-0000-0000D1000000}"/>
    <cellStyle name="Normal 9 2" xfId="38543" xr:uid="{00000000-0005-0000-0000-0000D2000000}"/>
    <cellStyle name="Normal 9 2 2" xfId="38671" xr:uid="{00000000-0005-0000-0000-0000D3000000}"/>
    <cellStyle name="Normal 9 20" xfId="38712" xr:uid="{00000000-0005-0000-0000-0000D4000000}"/>
    <cellStyle name="Normal 9 21" xfId="38722" xr:uid="{00000000-0005-0000-0000-0000D5000000}"/>
    <cellStyle name="Normal 9 22" xfId="38731" xr:uid="{00000000-0005-0000-0000-0000D6000000}"/>
    <cellStyle name="Normal 9 23" xfId="38740" xr:uid="{00000000-0005-0000-0000-0000D7000000}"/>
    <cellStyle name="Normal 9 24" xfId="38749" xr:uid="{00000000-0005-0000-0000-0000D8000000}"/>
    <cellStyle name="Normal 9 25" xfId="38535" xr:uid="{00000000-0005-0000-0000-0000C7000000}"/>
    <cellStyle name="Normal 9 3" xfId="38552" xr:uid="{00000000-0005-0000-0000-0000D9000000}"/>
    <cellStyle name="Normal 9 4" xfId="38561" xr:uid="{00000000-0005-0000-0000-0000DA000000}"/>
    <cellStyle name="Normal 9 5" xfId="38574" xr:uid="{00000000-0005-0000-0000-0000DB000000}"/>
    <cellStyle name="Normal 9 6" xfId="38582" xr:uid="{00000000-0005-0000-0000-0000DC000000}"/>
    <cellStyle name="Normal 9 7" xfId="38590" xr:uid="{00000000-0005-0000-0000-0000DD000000}"/>
    <cellStyle name="Normal 9 8" xfId="38598" xr:uid="{00000000-0005-0000-0000-0000DE000000}"/>
    <cellStyle name="Normal 9 9" xfId="38606" xr:uid="{00000000-0005-0000-0000-0000DF000000}"/>
    <cellStyle name="Note 2" xfId="62" xr:uid="{00000000-0005-0000-0000-00003E000000}"/>
    <cellStyle name="Note 2 2" xfId="38423" xr:uid="{00000000-0005-0000-0000-00003E000000}"/>
    <cellStyle name="Note 2 3" xfId="38769" xr:uid="{00000000-0005-0000-0000-000041000000}"/>
    <cellStyle name="Output 2" xfId="63" xr:uid="{00000000-0005-0000-0000-00003F000000}"/>
    <cellStyle name="Output 2 2" xfId="38424" xr:uid="{00000000-0005-0000-0000-00003F000000}"/>
    <cellStyle name="Output 2 3" xfId="38770" xr:uid="{00000000-0005-0000-0000-000042000000}"/>
    <cellStyle name="Percent 2" xfId="38511" xr:uid="{E6F3148F-B4DE-423C-8C5C-E846A48629DE}"/>
    <cellStyle name="Title 2" xfId="64" xr:uid="{00000000-0005-0000-0000-000040000000}"/>
    <cellStyle name="Total 2" xfId="65" xr:uid="{00000000-0005-0000-0000-000041000000}"/>
    <cellStyle name="Total 2 2" xfId="38426" xr:uid="{00000000-0005-0000-0000-000041000000}"/>
    <cellStyle name="Total 2 3" xfId="38771" xr:uid="{00000000-0005-0000-0000-000044000000}"/>
    <cellStyle name="Warning Text 2" xfId="66" xr:uid="{00000000-0005-0000-0000-000042000000}"/>
    <cellStyle name="표준_IS-이삭글로벌 DOC 양식" xfId="38508" xr:uid="{00000000-0005-0000-0000-000006000000}"/>
    <cellStyle name="一般 12" xfId="38775" xr:uid="{8761F917-7C38-46B4-9FB2-D6EA63AF3E7A}"/>
    <cellStyle name="一般 2" xfId="67" xr:uid="{00000000-0005-0000-0000-000043000000}"/>
    <cellStyle name="一般 2 2" xfId="68" xr:uid="{00000000-0005-0000-0000-000044000000}"/>
    <cellStyle name="一般 3" xfId="188" xr:uid="{00000000-0005-0000-0000-000046000000}"/>
    <cellStyle name="一般 5" xfId="69" xr:uid="{00000000-0005-0000-0000-000045000000}"/>
    <cellStyle name="一般 5 2" xfId="190" xr:uid="{00000000-0005-0000-0000-000048000000}"/>
    <cellStyle name="一般 69" xfId="70" xr:uid="{00000000-0005-0000-0000-000046000000}"/>
    <cellStyle name="一般 69 2" xfId="191" xr:uid="{00000000-0005-0000-0000-00004A000000}"/>
    <cellStyle name="一般_07年2月出貨通知單_5月份出货通知单_6月份出货通知单_4月份出货通知单_4月份出货通知单" xfId="24486" xr:uid="{00000000-0005-0000-0000-0000613F0000}"/>
    <cellStyle name="中等" xfId="24488" xr:uid="{00000000-0005-0000-0000-0000633F0000}"/>
    <cellStyle name="備註" xfId="1720" xr:uid="{00000000-0005-0000-0000-0000643F0000}"/>
    <cellStyle name="備註 2" xfId="71" xr:uid="{00000000-0005-0000-0000-000048000000}"/>
    <cellStyle name="備註 2 2" xfId="72" xr:uid="{00000000-0005-0000-0000-000049000000}"/>
    <cellStyle name="備註 2 2 2" xfId="38430" xr:uid="{00000000-0005-0000-0000-00004A000000}"/>
    <cellStyle name="備註 2 2 3" xfId="38489" xr:uid="{00000000-0005-0000-0000-00001A000000}"/>
    <cellStyle name="備註 2 2 4" xfId="38773" xr:uid="{00000000-0005-0000-0000-00004E000000}"/>
    <cellStyle name="備註 2 2 5" xfId="38778" xr:uid="{00000000-0005-0000-0000-00001C000000}"/>
    <cellStyle name="備註 2 3" xfId="73" xr:uid="{00000000-0005-0000-0000-00004A000000}"/>
    <cellStyle name="備註 2 3 2" xfId="38431" xr:uid="{00000000-0005-0000-0000-00004B000000}"/>
    <cellStyle name="備註 2 3 3" xfId="38488" xr:uid="{00000000-0005-0000-0000-00001B000000}"/>
    <cellStyle name="備註 2 3 4" xfId="38774" xr:uid="{00000000-0005-0000-0000-00004F000000}"/>
    <cellStyle name="備註 2 3 5" xfId="38779" xr:uid="{00000000-0005-0000-0000-00001D000000}"/>
    <cellStyle name="備註 2 4" xfId="38429" xr:uid="{00000000-0005-0000-0000-000049000000}"/>
    <cellStyle name="備註 2 5" xfId="38490" xr:uid="{00000000-0005-0000-0000-000019000000}"/>
    <cellStyle name="備註 2 6" xfId="38772" xr:uid="{00000000-0005-0000-0000-00004D000000}"/>
    <cellStyle name="備註 2 7" xfId="38777" xr:uid="{00000000-0005-0000-0000-00001B000000}"/>
    <cellStyle name="千位分隔 2" xfId="20774" xr:uid="{00000000-0005-0000-0000-0000653F0000}"/>
    <cellStyle name="千分位 2" xfId="74" xr:uid="{00000000-0005-0000-0000-00004B000000}"/>
    <cellStyle name="千分位 2 2" xfId="75" xr:uid="{00000000-0005-0000-0000-00004C000000}"/>
    <cellStyle name="千分位 2 2 2" xfId="76" xr:uid="{00000000-0005-0000-0000-00004D000000}"/>
    <cellStyle name="千分位 2 2 2 2" xfId="38485" xr:uid="{00000000-0005-0000-0000-00001E000000}"/>
    <cellStyle name="千分位 2 2 3" xfId="77" xr:uid="{00000000-0005-0000-0000-00004E000000}"/>
    <cellStyle name="千分位 2 2 3 2" xfId="38484" xr:uid="{00000000-0005-0000-0000-00001F000000}"/>
    <cellStyle name="千分位 2 2 4" xfId="38486" xr:uid="{00000000-0005-0000-0000-00001D000000}"/>
    <cellStyle name="千分位 2 3" xfId="78" xr:uid="{00000000-0005-0000-0000-00004F000000}"/>
    <cellStyle name="千分位 2 3 2" xfId="38483" xr:uid="{00000000-0005-0000-0000-000020000000}"/>
    <cellStyle name="千分位 2 4" xfId="79" xr:uid="{00000000-0005-0000-0000-000050000000}"/>
    <cellStyle name="千分位 2 4 2" xfId="38482" xr:uid="{00000000-0005-0000-0000-000021000000}"/>
    <cellStyle name="千分位 2 5" xfId="80" xr:uid="{00000000-0005-0000-0000-000051000000}"/>
    <cellStyle name="千分位 2 6" xfId="38487" xr:uid="{00000000-0005-0000-0000-00001C000000}"/>
    <cellStyle name="千分位 3" xfId="81" xr:uid="{00000000-0005-0000-0000-000052000000}"/>
    <cellStyle name="千分位 3 2" xfId="82" xr:uid="{00000000-0005-0000-0000-000053000000}"/>
    <cellStyle name="千分位 3 2 2" xfId="38480" xr:uid="{00000000-0005-0000-0000-000023000000}"/>
    <cellStyle name="千分位 3 3" xfId="83" xr:uid="{00000000-0005-0000-0000-000054000000}"/>
    <cellStyle name="千分位 3 3 2" xfId="38479" xr:uid="{00000000-0005-0000-0000-000024000000}"/>
    <cellStyle name="千分位 3 4" xfId="84" xr:uid="{00000000-0005-0000-0000-000055000000}"/>
    <cellStyle name="千分位 3 5" xfId="38481" xr:uid="{00000000-0005-0000-0000-000022000000}"/>
    <cellStyle name="千分位 4" xfId="85" xr:uid="{00000000-0005-0000-0000-000056000000}"/>
    <cellStyle name="千分位_2月份包裝明細" xfId="9045" xr:uid="{00000000-0005-0000-0000-0000663F0000}"/>
    <cellStyle name="合計" xfId="10655" xr:uid="{00000000-0005-0000-0000-0000673F0000}"/>
    <cellStyle name="壞" xfId="24489" xr:uid="{00000000-0005-0000-0000-0000683F0000}"/>
    <cellStyle name="壞_3-20 PAV packing list" xfId="17646" xr:uid="{00000000-0005-0000-0000-0000693F0000}"/>
    <cellStyle name="壞_3-20 PAV packing list_PAV.2014年3月包裝明細" xfId="18453" xr:uid="{00000000-0005-0000-0000-00006A3F0000}"/>
    <cellStyle name="壞_3-20 PAV packing list_TFR2014年3月包裝明細" xfId="24490" xr:uid="{00000000-0005-0000-0000-00006B3F0000}"/>
    <cellStyle name="壞_3-20 PAV packing list_涂布2014年3月包装明细" xfId="24493" xr:uid="{00000000-0005-0000-0000-00006C3F0000}"/>
    <cellStyle name="壞_JB 包装明细 12.23" xfId="3941" xr:uid="{00000000-0005-0000-0000-00006D3F0000}"/>
    <cellStyle name="壞_JB 包装明细 12.23_涂布2014年3月包装明细" xfId="24495" xr:uid="{00000000-0005-0000-0000-00006E3F0000}"/>
    <cellStyle name="壞_JB 包装明细2.14" xfId="3649" xr:uid="{00000000-0005-0000-0000-00006F3F0000}"/>
    <cellStyle name="壞_LCH 2012年1月包裝明細" xfId="24496" xr:uid="{00000000-0005-0000-0000-0000703F0000}"/>
    <cellStyle name="壞_LCH 2012年1月包裝明細_1" xfId="24442" xr:uid="{00000000-0005-0000-0000-0000713F0000}"/>
    <cellStyle name="壞_LCH 2012年1月包裝明細_1123" xfId="18669" xr:uid="{00000000-0005-0000-0000-0000723F0000}"/>
    <cellStyle name="壞_LCH 2012年1月包裝明細_1136" xfId="24497" xr:uid="{00000000-0005-0000-0000-0000733F0000}"/>
    <cellStyle name="壞_LCH 2012年1月包裝明細_143" xfId="17061" xr:uid="{00000000-0005-0000-0000-0000743F0000}"/>
    <cellStyle name="壞_LCH 2012年1月包裝明細_4.15" xfId="10548" xr:uid="{00000000-0005-0000-0000-0000753F0000}"/>
    <cellStyle name="壞_LCH 2012年1月包裝明細_PL" xfId="18673" xr:uid="{00000000-0005-0000-0000-0000763F0000}"/>
    <cellStyle name="壞_LCH 2012年1月包裝明細_TFR" xfId="23966" xr:uid="{00000000-0005-0000-0000-0000773F0000}"/>
    <cellStyle name="壞_LCH 2012年1月包裝明細_TFR 包装明细 5.13" xfId="22150" xr:uid="{00000000-0005-0000-0000-0000783F0000}"/>
    <cellStyle name="壞_LCH 2012年1月包裝明細_TFR(SEB ASIA) 包装明细3-25" xfId="16803" xr:uid="{00000000-0005-0000-0000-0000793F0000}"/>
    <cellStyle name="壞_LCH 2012年1月包裝明細_TFR(SEB ASIA) 包装明细4.29" xfId="13714" xr:uid="{00000000-0005-0000-0000-00007A3F0000}"/>
    <cellStyle name="壞_LCH 2012年1月包裝明細_TFR2014年1月包裝明細" xfId="14488" xr:uid="{00000000-0005-0000-0000-00007B3F0000}"/>
    <cellStyle name="壞_LCH 2012年1月包裝明細_TFR2014年1月包裝明細_1" xfId="1974" xr:uid="{00000000-0005-0000-0000-00007C3F0000}"/>
    <cellStyle name="壞_LCH 2012年1月包裝明細_TFR2014年1月包裝明細_1123" xfId="24499" xr:uid="{00000000-0005-0000-0000-00007D3F0000}"/>
    <cellStyle name="壞_LCH 2012年1月包裝明細_TFR2014年1月包裝明細_1136" xfId="12584" xr:uid="{00000000-0005-0000-0000-00007E3F0000}"/>
    <cellStyle name="壞_LCH 2012年1月包裝明細_TFR2014年1月包裝明細_143" xfId="9131" xr:uid="{00000000-0005-0000-0000-00007F3F0000}"/>
    <cellStyle name="壞_LCH 2012年1月包裝明細_TFR2014年1月包裝明細_4.15" xfId="24500" xr:uid="{00000000-0005-0000-0000-0000803F0000}"/>
    <cellStyle name="壞_LCH 2012年1月包裝明細_TFR2014年1月包裝明細_PL" xfId="24501" xr:uid="{00000000-0005-0000-0000-0000813F0000}"/>
    <cellStyle name="壞_LCH 2012年1月包裝明細_TFR2014年1月包裝明細_TFR" xfId="19552" xr:uid="{00000000-0005-0000-0000-0000823F0000}"/>
    <cellStyle name="壞_LCH 2012年1月包裝明細_TFR2014年1月包裝明細_TFR 包装明细 5.13" xfId="18300" xr:uid="{00000000-0005-0000-0000-0000833F0000}"/>
    <cellStyle name="壞_LCH 2012年1月包裝明細_TFR2014年1月包裝明細_TFR(SEB ASIA) 包装明细3-25" xfId="18731" xr:uid="{00000000-0005-0000-0000-0000843F0000}"/>
    <cellStyle name="壞_LCH 2012年1月包裝明細_TFR2014年1月包裝明細_TFR(SEB ASIA) 包装明细4.29" xfId="15155" xr:uid="{00000000-0005-0000-0000-0000853F0000}"/>
    <cellStyle name="壞_LCH 2012年1月包裝明細_TFR2014年1月包裝明細_TFR2014年3月包裝明細" xfId="23714" xr:uid="{00000000-0005-0000-0000-0000863F0000}"/>
    <cellStyle name="壞_LCH 2012年1月包裝明細_TFR2014年1月包裝明細_TFR2014年3月包裝明細_1" xfId="13304" xr:uid="{00000000-0005-0000-0000-0000873F0000}"/>
    <cellStyle name="壞_LCH 2012年1月包裝明細_TFR2014年1月包裝明細_TFR2014年3月包裝明細_2" xfId="19465" xr:uid="{00000000-0005-0000-0000-0000883F0000}"/>
    <cellStyle name="壞_LCH 2012年1月包裝明細_TFR2014年1月包裝明細_TFR2014年3月包裝明細_3" xfId="19470" xr:uid="{00000000-0005-0000-0000-0000893F0000}"/>
    <cellStyle name="壞_LCH 2012年1月包裝明細_TFR2014年1月包裝明細_TFR2014年3月包裝明細_4" xfId="24502" xr:uid="{00000000-0005-0000-0000-00008A3F0000}"/>
    <cellStyle name="壞_LCH 2012年1月包裝明細_TFR2014年1月包裝明細_TFR2014年4月包裝明細" xfId="24503" xr:uid="{00000000-0005-0000-0000-00008B3F0000}"/>
    <cellStyle name="壞_LCH 2012年1月包裝明細_TFR2014年1月包裝明細_包装明细" xfId="24504" xr:uid="{00000000-0005-0000-0000-00008C3F0000}"/>
    <cellStyle name="壞_LCH 2012年1月包裝明細_TFR2014年3月包裝明細" xfId="6816" xr:uid="{00000000-0005-0000-0000-00008D3F0000}"/>
    <cellStyle name="壞_LCH 2012年1月包裝明細_TFR2014年3月包裝明細_1" xfId="490" xr:uid="{00000000-0005-0000-0000-00008E3F0000}"/>
    <cellStyle name="壞_LCH 2012年1月包裝明細_TFR2014年3月包裝明細_2" xfId="10129" xr:uid="{00000000-0005-0000-0000-00008F3F0000}"/>
    <cellStyle name="壞_LCH 2012年1月包裝明細_TFR2014年3月包裝明細_3" xfId="11475" xr:uid="{00000000-0005-0000-0000-0000903F0000}"/>
    <cellStyle name="壞_LCH 2012年1月包裝明細_TFR2014年3月包裝明細_4" xfId="24505" xr:uid="{00000000-0005-0000-0000-0000913F0000}"/>
    <cellStyle name="壞_LCH 2012年1月包裝明細_TFR2014年4月包裝明細" xfId="7390" xr:uid="{00000000-0005-0000-0000-0000923F0000}"/>
    <cellStyle name="壞_LCH 2012年1月包裝明細_TLF 包装明细1.7" xfId="13441" xr:uid="{00000000-0005-0000-0000-0000933F0000}"/>
    <cellStyle name="壞_LCH 2012年1月包裝明細_包装明细" xfId="24506" xr:uid="{00000000-0005-0000-0000-0000943F0000}"/>
    <cellStyle name="壞_LK 包装明细3.4" xfId="24509" xr:uid="{00000000-0005-0000-0000-0000953F0000}"/>
    <cellStyle name="壞_PAV 包装明细" xfId="24511" xr:uid="{00000000-0005-0000-0000-0000963F0000}"/>
    <cellStyle name="壞_PAV 包装明细 1.13" xfId="10948" xr:uid="{00000000-0005-0000-0000-0000973F0000}"/>
    <cellStyle name="壞_PAV.2013年1月包裝明細" xfId="24514" xr:uid="{00000000-0005-0000-0000-0000983F0000}"/>
    <cellStyle name="壞_PAV.2013年1月包裝明細_00" xfId="2595" xr:uid="{00000000-0005-0000-0000-0000993F0000}"/>
    <cellStyle name="壞_PAV.2013年1月包裝明細_1" xfId="23279" xr:uid="{00000000-0005-0000-0000-00009A3F0000}"/>
    <cellStyle name="壞_PAV.2013年1月包裝明細_1123" xfId="24515" xr:uid="{00000000-0005-0000-0000-00009B3F0000}"/>
    <cellStyle name="壞_PAV.2013年1月包裝明細_1136" xfId="21028" xr:uid="{00000000-0005-0000-0000-00009C3F0000}"/>
    <cellStyle name="壞_PAV.2013年1月包裝明細_143" xfId="20551" xr:uid="{00000000-0005-0000-0000-00009D3F0000}"/>
    <cellStyle name="壞_PAV.2013年1月包裝明細_4.15" xfId="12832" xr:uid="{00000000-0005-0000-0000-00009E3F0000}"/>
    <cellStyle name="壞_PAV.2013年1月包裝明細_456" xfId="8787" xr:uid="{00000000-0005-0000-0000-00009F3F0000}"/>
    <cellStyle name="壞_PAV.2013年1月包裝明細_789" xfId="3126" xr:uid="{00000000-0005-0000-0000-0000A03F0000}"/>
    <cellStyle name="壞_PAV.2013年1月包裝明細_DEI 包装明细 10.21" xfId="7030" xr:uid="{00000000-0005-0000-0000-0000A13F0000}"/>
    <cellStyle name="壞_PAV.2013年1月包裝明細_DEI 包装明细 11.1" xfId="23314" xr:uid="{00000000-0005-0000-0000-0000A23F0000}"/>
    <cellStyle name="壞_PAV.2013年1月包裝明細_EF 包装明细12.13" xfId="17828" xr:uid="{00000000-0005-0000-0000-0000A33F0000}"/>
    <cellStyle name="壞_PAV.2013年1月包裝明細_PL" xfId="24516" xr:uid="{00000000-0005-0000-0000-0000A43F0000}"/>
    <cellStyle name="壞_PAV.2013年1月包裝明細_SEB 591 包装明细 9.5" xfId="15320" xr:uid="{00000000-0005-0000-0000-0000A53F0000}"/>
    <cellStyle name="壞_PAV.2013年1月包裝明細_SEB 包装明细1.9" xfId="24517" xr:uid="{00000000-0005-0000-0000-0000A63F0000}"/>
    <cellStyle name="壞_PAV.2013年1月包裝明細_SEB 包装明细12.31" xfId="24518" xr:uid="{00000000-0005-0000-0000-0000A73F0000}"/>
    <cellStyle name="壞_PAV.2013年1月包裝明細_SEB 包装明细2.13 revised" xfId="24519" xr:uid="{00000000-0005-0000-0000-0000A83F0000}"/>
    <cellStyle name="壞_PAV.2013年1月包裝明細_TFR" xfId="24521" xr:uid="{00000000-0005-0000-0000-0000A93F0000}"/>
    <cellStyle name="壞_PAV.2013年1月包裝明細_TFR 包装明细 5.13" xfId="6658" xr:uid="{00000000-0005-0000-0000-0000AA3F0000}"/>
    <cellStyle name="壞_PAV.2013年1月包裝明細_TFR(SEB ASIA) 包装明细3-25" xfId="19437" xr:uid="{00000000-0005-0000-0000-0000AB3F0000}"/>
    <cellStyle name="壞_PAV.2013年1月包裝明細_TFR(SEB ASIA) 包装明细4.29" xfId="15279" xr:uid="{00000000-0005-0000-0000-0000AC3F0000}"/>
    <cellStyle name="壞_PAV.2013年1月包裝明細_TFR2014年1月包裝明細" xfId="17807" xr:uid="{00000000-0005-0000-0000-0000AD3F0000}"/>
    <cellStyle name="壞_PAV.2013年1月包裝明細_TFR2014年1月包裝明細_1" xfId="24522" xr:uid="{00000000-0005-0000-0000-0000AE3F0000}"/>
    <cellStyle name="壞_PAV.2013年1月包裝明細_TFR2014年1月包裝明細_1123" xfId="24523" xr:uid="{00000000-0005-0000-0000-0000AF3F0000}"/>
    <cellStyle name="壞_PAV.2013年1月包裝明細_TFR2014年1月包裝明細_1136" xfId="24524" xr:uid="{00000000-0005-0000-0000-0000B03F0000}"/>
    <cellStyle name="壞_PAV.2013年1月包裝明細_TFR2014年1月包裝明細_143" xfId="24526" xr:uid="{00000000-0005-0000-0000-0000B13F0000}"/>
    <cellStyle name="壞_PAV.2013年1月包裝明細_TFR2014年1月包裝明細_4.15" xfId="15041" xr:uid="{00000000-0005-0000-0000-0000B23F0000}"/>
    <cellStyle name="壞_PAV.2013年1月包裝明細_TFR2014年1月包裝明細_PL" xfId="16431" xr:uid="{00000000-0005-0000-0000-0000B33F0000}"/>
    <cellStyle name="壞_PAV.2013年1月包裝明細_TFR2014年1月包裝明細_TFR" xfId="6212" xr:uid="{00000000-0005-0000-0000-0000B43F0000}"/>
    <cellStyle name="壞_PAV.2013年1月包裝明細_TFR2014年1月包裝明細_TFR 包装明细 5.13" xfId="9286" xr:uid="{00000000-0005-0000-0000-0000B53F0000}"/>
    <cellStyle name="壞_PAV.2013年1月包裝明細_TFR2014年1月包裝明細_TFR(SEB ASIA) 包装明细3-25" xfId="4433" xr:uid="{00000000-0005-0000-0000-0000B63F0000}"/>
    <cellStyle name="壞_PAV.2013年1月包裝明細_TFR2014年1月包裝明細_TFR(SEB ASIA) 包装明细4.29" xfId="12033" xr:uid="{00000000-0005-0000-0000-0000B73F0000}"/>
    <cellStyle name="壞_PAV.2013年1月包裝明細_TFR2014年1月包裝明細_TFR2014年3月包裝明細" xfId="19913" xr:uid="{00000000-0005-0000-0000-0000B83F0000}"/>
    <cellStyle name="壞_PAV.2013年1月包裝明細_TFR2014年1月包裝明細_TFR2014年3月包裝明細_1" xfId="24527" xr:uid="{00000000-0005-0000-0000-0000B93F0000}"/>
    <cellStyle name="壞_PAV.2013年1月包裝明細_TFR2014年1月包裝明細_TFR2014年3月包裝明細_2" xfId="24529" xr:uid="{00000000-0005-0000-0000-0000BA3F0000}"/>
    <cellStyle name="壞_PAV.2013年1月包裝明細_TFR2014年1月包裝明細_TFR2014年3月包裝明細_3" xfId="24531" xr:uid="{00000000-0005-0000-0000-0000BB3F0000}"/>
    <cellStyle name="壞_PAV.2013年1月包裝明細_TFR2014年1月包裝明細_TFR2014年3月包裝明細_4" xfId="24533" xr:uid="{00000000-0005-0000-0000-0000BC3F0000}"/>
    <cellStyle name="壞_PAV.2013年1月包裝明細_TFR2014年1月包裝明細_TFR2014年4月包裝明細" xfId="24536" xr:uid="{00000000-0005-0000-0000-0000BD3F0000}"/>
    <cellStyle name="壞_PAV.2013年1月包裝明細_TFR2014年1月包裝明細_包装明细" xfId="21652" xr:uid="{00000000-0005-0000-0000-0000BE3F0000}"/>
    <cellStyle name="壞_PAV.2013年1月包裝明細_TFR2014年3月包裝明細" xfId="8993" xr:uid="{00000000-0005-0000-0000-0000BF3F0000}"/>
    <cellStyle name="壞_PAV.2013年1月包裝明細_TFR2014年3月包裝明細_1" xfId="24537" xr:uid="{00000000-0005-0000-0000-0000C03F0000}"/>
    <cellStyle name="壞_PAV.2013年1月包裝明細_TFR2014年3月包裝明細_2" xfId="24538" xr:uid="{00000000-0005-0000-0000-0000C13F0000}"/>
    <cellStyle name="壞_PAV.2013年1月包裝明細_TFR2014年3月包裝明細_3" xfId="24540" xr:uid="{00000000-0005-0000-0000-0000C23F0000}"/>
    <cellStyle name="壞_PAV.2013年1月包裝明細_TFR2014年3月包裝明細_4" xfId="24542" xr:uid="{00000000-0005-0000-0000-0000C33F0000}"/>
    <cellStyle name="壞_PAV.2013年1月包裝明細_TFR2014年4月包裝明細" xfId="9723" xr:uid="{00000000-0005-0000-0000-0000C43F0000}"/>
    <cellStyle name="壞_PAV.2013年1月包裝明細_TLF 包装明细 7.15" xfId="7833" xr:uid="{00000000-0005-0000-0000-0000C53F0000}"/>
    <cellStyle name="壞_PAV.2013年1月包裝明細_TLF 包装明细1.7" xfId="11732" xr:uid="{00000000-0005-0000-0000-0000C63F0000}"/>
    <cellStyle name="壞_PAV.2013年1月包裝明細_包装明细" xfId="24543" xr:uid="{00000000-0005-0000-0000-0000C73F0000}"/>
    <cellStyle name="壞_PAV.2014年3月包裝明細" xfId="20672" xr:uid="{00000000-0005-0000-0000-0000C83F0000}"/>
    <cellStyle name="壞_PAV.2014年3月包裝明細_1" xfId="24545" xr:uid="{00000000-0005-0000-0000-0000C93F0000}"/>
    <cellStyle name="壞_PAV2011年6月包裝明細" xfId="24548" xr:uid="{00000000-0005-0000-0000-0000CA3F0000}"/>
    <cellStyle name="壞_PAV2011年6月包裝明細_00" xfId="24549" xr:uid="{00000000-0005-0000-0000-0000CB3F0000}"/>
    <cellStyle name="壞_PAV2011年6月包裝明細_1" xfId="8990" xr:uid="{00000000-0005-0000-0000-0000CC3F0000}"/>
    <cellStyle name="壞_PAV2011年6月包裝明細_1123" xfId="19233" xr:uid="{00000000-0005-0000-0000-0000CD3F0000}"/>
    <cellStyle name="壞_PAV2011年6月包裝明細_1136" xfId="24550" xr:uid="{00000000-0005-0000-0000-0000CE3F0000}"/>
    <cellStyle name="壞_PAV2011年6月包裝明細_143" xfId="6147" xr:uid="{00000000-0005-0000-0000-0000CF3F0000}"/>
    <cellStyle name="壞_PAV2011年6月包裝明細_4.15" xfId="19524" xr:uid="{00000000-0005-0000-0000-0000D03F0000}"/>
    <cellStyle name="壞_PAV2011年6月包裝明細_456" xfId="7165" xr:uid="{00000000-0005-0000-0000-0000D13F0000}"/>
    <cellStyle name="壞_PAV2011年6月包裝明細_789" xfId="15582" xr:uid="{00000000-0005-0000-0000-0000D23F0000}"/>
    <cellStyle name="壞_PAV2011年6月包裝明細_DEI 包装明细 10.21" xfId="9395" xr:uid="{00000000-0005-0000-0000-0000D33F0000}"/>
    <cellStyle name="壞_PAV2011年6月包裝明細_DEI 包装明细 11.1" xfId="24551" xr:uid="{00000000-0005-0000-0000-0000D43F0000}"/>
    <cellStyle name="壞_PAV2011年6月包裝明細_EF 包装明细12.13" xfId="632" xr:uid="{00000000-0005-0000-0000-0000D53F0000}"/>
    <cellStyle name="壞_PAV2011年6月包裝明細_PAV 包装明细" xfId="24552" xr:uid="{00000000-0005-0000-0000-0000D63F0000}"/>
    <cellStyle name="壞_PAV2011年6月包裝明細_PAV 包装明细 1.13" xfId="24554" xr:uid="{00000000-0005-0000-0000-0000D73F0000}"/>
    <cellStyle name="壞_PAV2011年6月包裝明細_PAV.2014年3月包裝明細" xfId="24557" xr:uid="{00000000-0005-0000-0000-0000D83F0000}"/>
    <cellStyle name="壞_PAV2011年6月包裝明細_PAV.2014年3月包裝明細_1" xfId="7494" xr:uid="{00000000-0005-0000-0000-0000D93F0000}"/>
    <cellStyle name="壞_PAV2011年6月包裝明細_PL" xfId="24559" xr:uid="{00000000-0005-0000-0000-0000DA3F0000}"/>
    <cellStyle name="壞_PAV2011年6月包裝明細_SEB 591 包装明细 9.5" xfId="18331" xr:uid="{00000000-0005-0000-0000-0000DB3F0000}"/>
    <cellStyle name="壞_PAV2011年6月包裝明細_SEB ASIA 包装明细12.10" xfId="223" xr:uid="{00000000-0005-0000-0000-0000DC3F0000}"/>
    <cellStyle name="壞_PAV2011年6月包裝明細_SEB ASIA 包装明细12.5" xfId="24563" xr:uid="{00000000-0005-0000-0000-0000DD3F0000}"/>
    <cellStyle name="壞_PAV2011年6月包裝明細_SEB ASIA 包装明细2.11-3.4 更正" xfId="16628" xr:uid="{00000000-0005-0000-0000-0000DE3F0000}"/>
    <cellStyle name="壞_PAV2011年6月包裝明細_SEB 包装明细1.9" xfId="24564" xr:uid="{00000000-0005-0000-0000-0000DF3F0000}"/>
    <cellStyle name="壞_PAV2011年6月包裝明細_SEB 包装明细12.31" xfId="24566" xr:uid="{00000000-0005-0000-0000-0000E03F0000}"/>
    <cellStyle name="壞_PAV2011年6月包裝明細_SEB 包装明细2.13 revised" xfId="24567" xr:uid="{00000000-0005-0000-0000-0000E13F0000}"/>
    <cellStyle name="壞_PAV2011年6月包裝明細_TFR" xfId="24570" xr:uid="{00000000-0005-0000-0000-0000E23F0000}"/>
    <cellStyle name="壞_PAV2011年6月包裝明細_TFR 包装明细 5.13" xfId="24571" xr:uid="{00000000-0005-0000-0000-0000E33F0000}"/>
    <cellStyle name="壞_PAV2011年6月包裝明細_TFR 钢圈蛋糕盘包装明细6.5(1)" xfId="24575" xr:uid="{00000000-0005-0000-0000-0000E43F0000}"/>
    <cellStyle name="壞_PAV2011年6月包裝明細_TFR(SEB ASIA) 包装明细3-25" xfId="24576" xr:uid="{00000000-0005-0000-0000-0000E53F0000}"/>
    <cellStyle name="壞_PAV2011年6月包裝明細_TFR(SEB ASIA) 包装明细4.29" xfId="24577" xr:uid="{00000000-0005-0000-0000-0000E63F0000}"/>
    <cellStyle name="壞_PAV2011年6月包裝明細_TFR2014年1月包裝明細" xfId="13175" xr:uid="{00000000-0005-0000-0000-0000E73F0000}"/>
    <cellStyle name="壞_PAV2011年6月包裝明細_TFR2014年1月包裝明細_1" xfId="24578" xr:uid="{00000000-0005-0000-0000-0000E83F0000}"/>
    <cellStyle name="壞_PAV2011年6月包裝明細_TFR2014年1月包裝明細_1123" xfId="24580" xr:uid="{00000000-0005-0000-0000-0000E93F0000}"/>
    <cellStyle name="壞_PAV2011年6月包裝明細_TFR2014年1月包裝明細_1136" xfId="24582" xr:uid="{00000000-0005-0000-0000-0000EA3F0000}"/>
    <cellStyle name="壞_PAV2011年6月包裝明細_TFR2014年1月包裝明細_143" xfId="10228" xr:uid="{00000000-0005-0000-0000-0000EB3F0000}"/>
    <cellStyle name="壞_PAV2011年6月包裝明細_TFR2014年1月包裝明細_4.15" xfId="24583" xr:uid="{00000000-0005-0000-0000-0000EC3F0000}"/>
    <cellStyle name="壞_PAV2011年6月包裝明細_TFR2014年1月包裝明細_PL" xfId="13241" xr:uid="{00000000-0005-0000-0000-0000ED3F0000}"/>
    <cellStyle name="壞_PAV2011年6月包裝明細_TFR2014年1月包裝明細_TFR" xfId="24585" xr:uid="{00000000-0005-0000-0000-0000EE3F0000}"/>
    <cellStyle name="壞_PAV2011年6月包裝明細_TFR2014年1月包裝明細_TFR 包装明细 5.13" xfId="24587" xr:uid="{00000000-0005-0000-0000-0000EF3F0000}"/>
    <cellStyle name="壞_PAV2011年6月包裝明細_TFR2014年1月包裝明細_TFR(SEB ASIA) 包装明细3-25" xfId="20891" xr:uid="{00000000-0005-0000-0000-0000F03F0000}"/>
    <cellStyle name="壞_PAV2011年6月包裝明細_TFR2014年1月包裝明細_TFR(SEB ASIA) 包装明细4.29" xfId="24588" xr:uid="{00000000-0005-0000-0000-0000F13F0000}"/>
    <cellStyle name="壞_PAV2011年6月包裝明細_TFR2014年1月包裝明細_TFR2014年3月包裝明細" xfId="24589" xr:uid="{00000000-0005-0000-0000-0000F23F0000}"/>
    <cellStyle name="壞_PAV2011年6月包裝明細_TFR2014年1月包裝明細_TFR2014年3月包裝明細_1" xfId="17583" xr:uid="{00000000-0005-0000-0000-0000F33F0000}"/>
    <cellStyle name="壞_PAV2011年6月包裝明細_TFR2014年1月包裝明細_TFR2014年3月包裝明細_2" xfId="8964" xr:uid="{00000000-0005-0000-0000-0000F43F0000}"/>
    <cellStyle name="壞_PAV2011年6月包裝明細_TFR2014年1月包裝明細_TFR2014年3月包裝明細_3" xfId="8967" xr:uid="{00000000-0005-0000-0000-0000F53F0000}"/>
    <cellStyle name="壞_PAV2011年6月包裝明細_TFR2014年1月包裝明細_TFR2014年3月包裝明細_4" xfId="4534" xr:uid="{00000000-0005-0000-0000-0000F63F0000}"/>
    <cellStyle name="壞_PAV2011年6月包裝明細_TFR2014年1月包裝明細_TFR2014年4月包裝明細" xfId="24593" xr:uid="{00000000-0005-0000-0000-0000F73F0000}"/>
    <cellStyle name="壞_PAV2011年6月包裝明細_TFR2014年1月包裝明細_包装明细" xfId="24595" xr:uid="{00000000-0005-0000-0000-0000F83F0000}"/>
    <cellStyle name="壞_PAV2011年6月包裝明細_TFR2014年3月包裝明細" xfId="24596" xr:uid="{00000000-0005-0000-0000-0000F93F0000}"/>
    <cellStyle name="壞_PAV2011年6月包裝明細_TFR2014年3月包裝明細_1" xfId="24601" xr:uid="{00000000-0005-0000-0000-0000FA3F0000}"/>
    <cellStyle name="壞_PAV2011年6月包裝明細_TFR2014年3月包裝明細_2" xfId="24604" xr:uid="{00000000-0005-0000-0000-0000FB3F0000}"/>
    <cellStyle name="壞_PAV2011年6月包裝明細_TFR2014年3月包裝明細_3" xfId="24606" xr:uid="{00000000-0005-0000-0000-0000FC3F0000}"/>
    <cellStyle name="壞_PAV2011年6月包裝明細_TFR2014年3月包裝明細_4" xfId="19431" xr:uid="{00000000-0005-0000-0000-0000FD3F0000}"/>
    <cellStyle name="壞_PAV2011年6月包裝明細_TFR2014年4月包裝明細" xfId="24608" xr:uid="{00000000-0005-0000-0000-0000FE3F0000}"/>
    <cellStyle name="壞_PAV2011年6月包裝明細_TLF 包装明细 7.15" xfId="24610" xr:uid="{00000000-0005-0000-0000-0000FF3F0000}"/>
    <cellStyle name="壞_PAV2011年6月包裝明細_TLF 包装明细1.7" xfId="24611" xr:uid="{00000000-0005-0000-0000-000000400000}"/>
    <cellStyle name="壞_PAV2011年6月包裝明細_包装明细" xfId="24612" xr:uid="{00000000-0005-0000-0000-000001400000}"/>
    <cellStyle name="壞_Sheet1" xfId="86" xr:uid="{00000000-0005-0000-0000-000058000000}"/>
    <cellStyle name="壞_Sheet1 2" xfId="87" xr:uid="{00000000-0005-0000-0000-000059000000}"/>
    <cellStyle name="壞_Sheet1 2 2" xfId="38477" xr:uid="{00000000-0005-0000-0000-000028000000}"/>
    <cellStyle name="壞_Sheet1 3" xfId="38478" xr:uid="{00000000-0005-0000-0000-000027000000}"/>
    <cellStyle name="壞_TCB 2012年2月包裝明細" xfId="24613" xr:uid="{00000000-0005-0000-0000-000002400000}"/>
    <cellStyle name="壞_TCB 2012年2月包裝明細_00" xfId="21982" xr:uid="{00000000-0005-0000-0000-000003400000}"/>
    <cellStyle name="壞_TCB 2012年2月包裝明細_1" xfId="24614" xr:uid="{00000000-0005-0000-0000-000004400000}"/>
    <cellStyle name="壞_TCB 2012年2月包裝明細_1123" xfId="24617" xr:uid="{00000000-0005-0000-0000-000005400000}"/>
    <cellStyle name="壞_TCB 2012年2月包裝明細_1136" xfId="24620" xr:uid="{00000000-0005-0000-0000-000006400000}"/>
    <cellStyle name="壞_TCB 2012年2月包裝明細_143" xfId="24623" xr:uid="{00000000-0005-0000-0000-000007400000}"/>
    <cellStyle name="壞_TCB 2012年2月包裝明細_4.15" xfId="14830" xr:uid="{00000000-0005-0000-0000-000008400000}"/>
    <cellStyle name="壞_TCB 2012年2月包裝明細_456" xfId="24624" xr:uid="{00000000-0005-0000-0000-000009400000}"/>
    <cellStyle name="壞_TCB 2012年2月包裝明細_789" xfId="24626" xr:uid="{00000000-0005-0000-0000-00000A400000}"/>
    <cellStyle name="壞_TCB 2012年2月包裝明細_DEI 包装明细 10.21" xfId="24627" xr:uid="{00000000-0005-0000-0000-00000B400000}"/>
    <cellStyle name="壞_TCB 2012年2月包裝明細_DEI 包装明细 11.1" xfId="24628" xr:uid="{00000000-0005-0000-0000-00000C400000}"/>
    <cellStyle name="壞_TCB 2012年2月包裝明細_EF 包装明细12.13" xfId="24630" xr:uid="{00000000-0005-0000-0000-00000D400000}"/>
    <cellStyle name="壞_TCB 2012年2月包裝明細_JB 包装明细 12.23" xfId="24632" xr:uid="{00000000-0005-0000-0000-00000E400000}"/>
    <cellStyle name="壞_TCB 2012年2月包裝明細_JB 包装明细 12.23_涂布2014年3月包装明细" xfId="4962" xr:uid="{00000000-0005-0000-0000-00000F400000}"/>
    <cellStyle name="壞_TCB 2012年2月包裝明細_JB 包装明细2.14" xfId="4221" xr:uid="{00000000-0005-0000-0000-000010400000}"/>
    <cellStyle name="壞_TCB 2012年2月包裝明細_LK 包装明细3.4" xfId="24633" xr:uid="{00000000-0005-0000-0000-000011400000}"/>
    <cellStyle name="壞_TCB 2012年2月包裝明細_PAV 包装明细" xfId="24634" xr:uid="{00000000-0005-0000-0000-000012400000}"/>
    <cellStyle name="壞_TCB 2012年2月包裝明細_PAV 包装明细 1.13" xfId="18877" xr:uid="{00000000-0005-0000-0000-000013400000}"/>
    <cellStyle name="壞_TCB 2012年2月包裝明細_PAV.2014年3月包裝明細" xfId="24635" xr:uid="{00000000-0005-0000-0000-000014400000}"/>
    <cellStyle name="壞_TCB 2012年2月包裝明細_PAV.2014年3月包裝明細_1" xfId="24073" xr:uid="{00000000-0005-0000-0000-000015400000}"/>
    <cellStyle name="壞_TCB 2012年2月包裝明細_PL" xfId="24637" xr:uid="{00000000-0005-0000-0000-000016400000}"/>
    <cellStyle name="壞_TCB 2012年2月包裝明細_SEB 591 包装明细 9.5" xfId="24639" xr:uid="{00000000-0005-0000-0000-000017400000}"/>
    <cellStyle name="壞_TCB 2012年2月包裝明細_SEB ASIA 包装明细12.10" xfId="24115" xr:uid="{00000000-0005-0000-0000-000018400000}"/>
    <cellStyle name="壞_TCB 2012年2月包裝明細_SEB ASIA 包装明细12.5" xfId="19184" xr:uid="{00000000-0005-0000-0000-000019400000}"/>
    <cellStyle name="壞_TCB 2012年2月包裝明細_SEB ASIA 包装明细2.11-3.4 更正" xfId="11358" xr:uid="{00000000-0005-0000-0000-00001A400000}"/>
    <cellStyle name="壞_TCB 2012年2月包裝明細_SEB 包装明细1.9" xfId="19022" xr:uid="{00000000-0005-0000-0000-00001B400000}"/>
    <cellStyle name="壞_TCB 2012年2月包裝明細_SEB 包装明细12.31" xfId="24640" xr:uid="{00000000-0005-0000-0000-00001C400000}"/>
    <cellStyle name="壞_TCB 2012年2月包裝明細_SEB 包装明细2.13 revised" xfId="339" xr:uid="{00000000-0005-0000-0000-00001D400000}"/>
    <cellStyle name="壞_TCB 2012年2月包裝明細_TFR" xfId="19492" xr:uid="{00000000-0005-0000-0000-00001E400000}"/>
    <cellStyle name="壞_TCB 2012年2月包裝明細_TFR 包装明细 5.13" xfId="5794" xr:uid="{00000000-0005-0000-0000-00001F400000}"/>
    <cellStyle name="壞_TCB 2012年2月包裝明細_TFR 钢圈蛋糕盘包装明细6.5(1)" xfId="24642" xr:uid="{00000000-0005-0000-0000-000020400000}"/>
    <cellStyle name="壞_TCB 2012年2月包裝明細_TFR(SEB ASIA) 包装明细3-25" xfId="4424" xr:uid="{00000000-0005-0000-0000-000021400000}"/>
    <cellStyle name="壞_TCB 2012年2月包裝明細_TFR(SEB ASIA) 包装明细4.29" xfId="12724" xr:uid="{00000000-0005-0000-0000-000022400000}"/>
    <cellStyle name="壞_TCB 2012年2月包裝明細_TFR2014年1月包裝明細" xfId="13738" xr:uid="{00000000-0005-0000-0000-000023400000}"/>
    <cellStyle name="壞_TCB 2012年2月包裝明細_TFR2014年1月包裝明細_1" xfId="24644" xr:uid="{00000000-0005-0000-0000-000024400000}"/>
    <cellStyle name="壞_TCB 2012年2月包裝明細_TFR2014年1月包裝明細_1123" xfId="24645" xr:uid="{00000000-0005-0000-0000-000025400000}"/>
    <cellStyle name="壞_TCB 2012年2月包裝明細_TFR2014年1月包裝明細_1136" xfId="24649" xr:uid="{00000000-0005-0000-0000-000026400000}"/>
    <cellStyle name="壞_TCB 2012年2月包裝明細_TFR2014年1月包裝明細_143" xfId="24652" xr:uid="{00000000-0005-0000-0000-000027400000}"/>
    <cellStyle name="壞_TCB 2012年2月包裝明細_TFR2014年1月包裝明細_4.15" xfId="22937" xr:uid="{00000000-0005-0000-0000-000028400000}"/>
    <cellStyle name="壞_TCB 2012年2月包裝明細_TFR2014年1月包裝明細_PL" xfId="24653" xr:uid="{00000000-0005-0000-0000-000029400000}"/>
    <cellStyle name="壞_TCB 2012年2月包裝明細_TFR2014年1月包裝明細_TFR" xfId="24654" xr:uid="{00000000-0005-0000-0000-00002A400000}"/>
    <cellStyle name="壞_TCB 2012年2月包裝明細_TFR2014年1月包裝明細_TFR 包装明细 5.13" xfId="24655" xr:uid="{00000000-0005-0000-0000-00002B400000}"/>
    <cellStyle name="壞_TCB 2012年2月包裝明細_TFR2014年1月包裝明細_TFR(SEB ASIA) 包装明细3-25" xfId="17526" xr:uid="{00000000-0005-0000-0000-00002C400000}"/>
    <cellStyle name="壞_TCB 2012年2月包裝明細_TFR2014年1月包裝明細_TFR(SEB ASIA) 包装明细4.29" xfId="24656" xr:uid="{00000000-0005-0000-0000-00002D400000}"/>
    <cellStyle name="壞_TCB 2012年2月包裝明細_TFR2014年1月包裝明細_TFR2014年3月包裝明細" xfId="9994" xr:uid="{00000000-0005-0000-0000-00002E400000}"/>
    <cellStyle name="壞_TCB 2012年2月包裝明細_TFR2014年1月包裝明細_TFR2014年3月包裝明細_1" xfId="24659" xr:uid="{00000000-0005-0000-0000-00002F400000}"/>
    <cellStyle name="壞_TCB 2012年2月包裝明細_TFR2014年1月包裝明細_TFR2014年3月包裝明細_2" xfId="24661" xr:uid="{00000000-0005-0000-0000-000030400000}"/>
    <cellStyle name="壞_TCB 2012年2月包裝明細_TFR2014年1月包裝明細_TFR2014年3月包裝明細_3" xfId="24662" xr:uid="{00000000-0005-0000-0000-000031400000}"/>
    <cellStyle name="壞_TCB 2012年2月包裝明細_TFR2014年1月包裝明細_TFR2014年3月包裝明細_4" xfId="24663" xr:uid="{00000000-0005-0000-0000-000032400000}"/>
    <cellStyle name="壞_TCB 2012年2月包裝明細_TFR2014年1月包裝明細_TFR2014年4月包裝明細" xfId="24664" xr:uid="{00000000-0005-0000-0000-000033400000}"/>
    <cellStyle name="壞_TCB 2012年2月包裝明細_TFR2014年1月包裝明細_包装明细" xfId="17995" xr:uid="{00000000-0005-0000-0000-000034400000}"/>
    <cellStyle name="壞_TCB 2012年2月包裝明細_TFR2014年3月包裝明細" xfId="24665" xr:uid="{00000000-0005-0000-0000-000035400000}"/>
    <cellStyle name="壞_TCB 2012年2月包裝明細_TFR2014年3月包裝明細_1" xfId="24146" xr:uid="{00000000-0005-0000-0000-000036400000}"/>
    <cellStyle name="壞_TCB 2012年2月包裝明細_TFR2014年3月包裝明細_2" xfId="24148" xr:uid="{00000000-0005-0000-0000-000037400000}"/>
    <cellStyle name="壞_TCB 2012年2月包裝明細_TFR2014年3月包裝明細_3" xfId="17274" xr:uid="{00000000-0005-0000-0000-000038400000}"/>
    <cellStyle name="壞_TCB 2012年2月包裝明細_TFR2014年3月包裝明細_4" xfId="3662" xr:uid="{00000000-0005-0000-0000-000039400000}"/>
    <cellStyle name="壞_TCB 2012年2月包裝明細_TFR2014年3月包裝明細_5" xfId="3671" xr:uid="{00000000-0005-0000-0000-00003A400000}"/>
    <cellStyle name="壞_TCB 2012年2月包裝明細_TFR2014年4月包裝明細" xfId="24666" xr:uid="{00000000-0005-0000-0000-00003B400000}"/>
    <cellStyle name="壞_TCB 2012年2月包裝明細_TLF 包装明细 7.15" xfId="3590" xr:uid="{00000000-0005-0000-0000-00003C400000}"/>
    <cellStyle name="壞_TCB 2012年2月包裝明細_TLF 包装明细1.7" xfId="24667" xr:uid="{00000000-0005-0000-0000-00003D400000}"/>
    <cellStyle name="壞_TCB 2012年2月包裝明細_包装明细" xfId="24669" xr:uid="{00000000-0005-0000-0000-00003E400000}"/>
    <cellStyle name="壞_TCB 2012年2月包裝明細_涂布2014年3月包装明细" xfId="24672" xr:uid="{00000000-0005-0000-0000-00003F400000}"/>
    <cellStyle name="壞_TCB 2012年2月包裝明細_涂布2014年3月包装明细_1" xfId="14261" xr:uid="{00000000-0005-0000-0000-000040400000}"/>
    <cellStyle name="壞_TCB 2012年2月包裝明細_涂布2014年3月包装明细_2" xfId="14270" xr:uid="{00000000-0005-0000-0000-000041400000}"/>
    <cellStyle name="壞_TFR2012年3月包裝明細" xfId="11756" xr:uid="{00000000-0005-0000-0000-000042400000}"/>
    <cellStyle name="壞_TFR2012年3月包裝明細_PAV.2014年3月包裝明細" xfId="18577" xr:uid="{00000000-0005-0000-0000-000043400000}"/>
    <cellStyle name="壞_TFR2012年3月包裝明細_TFR2014年3月包裝明細" xfId="24673" xr:uid="{00000000-0005-0000-0000-000044400000}"/>
    <cellStyle name="壞_TFR2012年3月包裝明細_涂布2014年3月包装明细" xfId="16561" xr:uid="{00000000-0005-0000-0000-000045400000}"/>
    <cellStyle name="壞_TFR2012年5月包裝明細" xfId="24674" xr:uid="{00000000-0005-0000-0000-000046400000}"/>
    <cellStyle name="壞_TFR2012年5月包裝明細_PAV.2014年3月包裝明細" xfId="23378" xr:uid="{00000000-0005-0000-0000-000047400000}"/>
    <cellStyle name="壞_TFR2012年5月包裝明細_TFR2014年3月包裝明細" xfId="24675" xr:uid="{00000000-0005-0000-0000-000048400000}"/>
    <cellStyle name="壞_TFR2012年5月包裝明細_涂布2014年3月包装明细" xfId="24677" xr:uid="{00000000-0005-0000-0000-000049400000}"/>
    <cellStyle name="壞_TFR2012年8月包裝明細" xfId="24678" xr:uid="{00000000-0005-0000-0000-00004A400000}"/>
    <cellStyle name="壞_TFR2012年9月包裝明細" xfId="22995" xr:uid="{00000000-0005-0000-0000-00004B400000}"/>
    <cellStyle name="壞_VN-E1613" xfId="88" xr:uid="{00000000-0005-0000-0000-00005A000000}"/>
    <cellStyle name="壞_VN-E1613 2" xfId="89" xr:uid="{00000000-0005-0000-0000-00005B000000}"/>
    <cellStyle name="壞_VN-E1613 2 2" xfId="38475" xr:uid="{00000000-0005-0000-0000-00002A000000}"/>
    <cellStyle name="壞_VN-E1613 3" xfId="38476" xr:uid="{00000000-0005-0000-0000-000029000000}"/>
    <cellStyle name="壞_VN-E1618" xfId="90" xr:uid="{00000000-0005-0000-0000-00005C000000}"/>
    <cellStyle name="壞_VN-E1618 2" xfId="91" xr:uid="{00000000-0005-0000-0000-00005D000000}"/>
    <cellStyle name="壞_VN-E1618 2 2" xfId="38474" xr:uid="{00000000-0005-0000-0000-00002C000000}"/>
    <cellStyle name="壞_VN-E1619" xfId="92" xr:uid="{00000000-0005-0000-0000-00005E000000}"/>
    <cellStyle name="壞_VN-E1619 2" xfId="93" xr:uid="{00000000-0005-0000-0000-00005F000000}"/>
    <cellStyle name="壞_VN-E1619 2 2" xfId="38473" xr:uid="{00000000-0005-0000-0000-00002E000000}"/>
    <cellStyle name="壞_VN-E1620" xfId="94" xr:uid="{00000000-0005-0000-0000-000060000000}"/>
    <cellStyle name="壞_VN-E1620 2" xfId="95" xr:uid="{00000000-0005-0000-0000-000061000000}"/>
    <cellStyle name="壞_VN-E1620 2 2" xfId="38472" xr:uid="{00000000-0005-0000-0000-000030000000}"/>
    <cellStyle name="壞_VN-E1622" xfId="96" xr:uid="{00000000-0005-0000-0000-000062000000}"/>
    <cellStyle name="壞_VN-E1622 2" xfId="97" xr:uid="{00000000-0005-0000-0000-000063000000}"/>
    <cellStyle name="壞_VN-E1622 2 2" xfId="38471" xr:uid="{00000000-0005-0000-0000-000032000000}"/>
    <cellStyle name="壞_VN-E1623" xfId="98" xr:uid="{00000000-0005-0000-0000-000064000000}"/>
    <cellStyle name="壞_VN-E1623 2" xfId="99" xr:uid="{00000000-0005-0000-0000-000065000000}"/>
    <cellStyle name="壞_VN-E1623 2 2" xfId="38470" xr:uid="{00000000-0005-0000-0000-000034000000}"/>
    <cellStyle name="壞_VN-E1624" xfId="100" xr:uid="{00000000-0005-0000-0000-000066000000}"/>
    <cellStyle name="壞_VN-E1624 (2)" xfId="101" xr:uid="{00000000-0005-0000-0000-000067000000}"/>
    <cellStyle name="壞_VN-E1624 (2) 2" xfId="102" xr:uid="{00000000-0005-0000-0000-000068000000}"/>
    <cellStyle name="壞_VN-E1624 (2) 2 2" xfId="38469" xr:uid="{00000000-0005-0000-0000-000037000000}"/>
    <cellStyle name="壞_VN-E1624 2" xfId="103" xr:uid="{00000000-0005-0000-0000-000069000000}"/>
    <cellStyle name="壞_VN-E1624 2 2" xfId="38468" xr:uid="{00000000-0005-0000-0000-000038000000}"/>
    <cellStyle name="壞_VN-E1624 3" xfId="104" xr:uid="{00000000-0005-0000-0000-00006A000000}"/>
    <cellStyle name="壞_VN-E1624 3 2" xfId="38467" xr:uid="{00000000-0005-0000-0000-000039000000}"/>
    <cellStyle name="壞_VN-E1624 4" xfId="105" xr:uid="{00000000-0005-0000-0000-00006B000000}"/>
    <cellStyle name="壞_VN-E1624 4 2" xfId="38466" xr:uid="{00000000-0005-0000-0000-00003A000000}"/>
    <cellStyle name="壞_VN-E1624 5" xfId="106" xr:uid="{00000000-0005-0000-0000-00006C000000}"/>
    <cellStyle name="壞_VN-E1624 5 2" xfId="38465" xr:uid="{00000000-0005-0000-0000-00003B000000}"/>
    <cellStyle name="壞_VN-E1624 6" xfId="107" xr:uid="{00000000-0005-0000-0000-00006D000000}"/>
    <cellStyle name="壞_VN-E1624 6 2" xfId="38464" xr:uid="{00000000-0005-0000-0000-00003C000000}"/>
    <cellStyle name="壞_VN-E1624 7" xfId="108" xr:uid="{00000000-0005-0000-0000-00006E000000}"/>
    <cellStyle name="壞_VN-E1624 7 2" xfId="38463" xr:uid="{00000000-0005-0000-0000-00003D000000}"/>
    <cellStyle name="壞_VN-E1625" xfId="109" xr:uid="{00000000-0005-0000-0000-00006F000000}"/>
    <cellStyle name="壞_VN-E1625 2" xfId="110" xr:uid="{00000000-0005-0000-0000-000070000000}"/>
    <cellStyle name="壞_VN-E1625 2 2" xfId="38462" xr:uid="{00000000-0005-0000-0000-00003F000000}"/>
    <cellStyle name="壞_VN-E1626" xfId="111" xr:uid="{00000000-0005-0000-0000-000071000000}"/>
    <cellStyle name="壞_VN-E1626 2" xfId="112" xr:uid="{00000000-0005-0000-0000-000072000000}"/>
    <cellStyle name="壞_VN-E1626 2 2" xfId="38461" xr:uid="{00000000-0005-0000-0000-000041000000}"/>
    <cellStyle name="壞_VN-E1627" xfId="113" xr:uid="{00000000-0005-0000-0000-000073000000}"/>
    <cellStyle name="壞_VN-E1627 2" xfId="114" xr:uid="{00000000-0005-0000-0000-000074000000}"/>
    <cellStyle name="壞_VN-E1627 2 2" xfId="38460" xr:uid="{00000000-0005-0000-0000-000043000000}"/>
    <cellStyle name="壞_VN-E1629" xfId="115" xr:uid="{00000000-0005-0000-0000-000075000000}"/>
    <cellStyle name="壞_VN-E1629 2" xfId="116" xr:uid="{00000000-0005-0000-0000-000076000000}"/>
    <cellStyle name="壞_VN-E1629 2 2" xfId="38459" xr:uid="{00000000-0005-0000-0000-000045000000}"/>
    <cellStyle name="壞_VN-E1630" xfId="117" xr:uid="{00000000-0005-0000-0000-000077000000}"/>
    <cellStyle name="壞_VN-E1630 2" xfId="118" xr:uid="{00000000-0005-0000-0000-000078000000}"/>
    <cellStyle name="壞_VN-E1630 2 2" xfId="38458" xr:uid="{00000000-0005-0000-0000-000047000000}"/>
    <cellStyle name="壞_VN-E1631" xfId="119" xr:uid="{00000000-0005-0000-0000-000079000000}"/>
    <cellStyle name="壞_VN-E1631 2" xfId="120" xr:uid="{00000000-0005-0000-0000-00007A000000}"/>
    <cellStyle name="壞_VN-E1631 2 2" xfId="38457" xr:uid="{00000000-0005-0000-0000-000049000000}"/>
    <cellStyle name="壞_VN-E1632" xfId="121" xr:uid="{00000000-0005-0000-0000-00007B000000}"/>
    <cellStyle name="壞_VN-E1632 2" xfId="122" xr:uid="{00000000-0005-0000-0000-00007C000000}"/>
    <cellStyle name="壞_VN-E1632 2 2" xfId="38456" xr:uid="{00000000-0005-0000-0000-00004B000000}"/>
    <cellStyle name="壞_VN-E1633" xfId="123" xr:uid="{00000000-0005-0000-0000-00007D000000}"/>
    <cellStyle name="壞_VN-E1633 2" xfId="124" xr:uid="{00000000-0005-0000-0000-00007E000000}"/>
    <cellStyle name="壞_VN-E1633 2 2" xfId="38455" xr:uid="{00000000-0005-0000-0000-00004D000000}"/>
    <cellStyle name="壞_VN-E1701" xfId="125" xr:uid="{00000000-0005-0000-0000-00007F000000}"/>
    <cellStyle name="壞_VN-E1701 2" xfId="126" xr:uid="{00000000-0005-0000-0000-000080000000}"/>
    <cellStyle name="壞_VN-E1701 2 2" xfId="38454" xr:uid="{00000000-0005-0000-0000-00004F000000}"/>
    <cellStyle name="壞_涂布2014年3月包装明细" xfId="15896" xr:uid="{00000000-0005-0000-0000-00004C400000}"/>
    <cellStyle name="壞_涂布2014年3月包装明细_1" xfId="24679" xr:uid="{00000000-0005-0000-0000-00004D400000}"/>
    <cellStyle name="壞_涂布2014年3月包装明细_2" xfId="24680" xr:uid="{00000000-0005-0000-0000-00004E400000}"/>
    <cellStyle name="壞_第1段" xfId="127" xr:uid="{00000000-0005-0000-0000-000081000000}"/>
    <cellStyle name="壞_第1段 2" xfId="128" xr:uid="{00000000-0005-0000-0000-000082000000}"/>
    <cellStyle name="壞_第1段 2 2" xfId="38452" xr:uid="{00000000-0005-0000-0000-000051000000}"/>
    <cellStyle name="壞_第1段 3" xfId="38453" xr:uid="{00000000-0005-0000-0000-000050000000}"/>
    <cellStyle name="好 10" xfId="24681" xr:uid="{00000000-0005-0000-0000-00004F400000}"/>
    <cellStyle name="好 11" xfId="24684" xr:uid="{00000000-0005-0000-0000-000050400000}"/>
    <cellStyle name="好 12" xfId="24687" xr:uid="{00000000-0005-0000-0000-000051400000}"/>
    <cellStyle name="好 12 10" xfId="23767" xr:uid="{00000000-0005-0000-0000-000052400000}"/>
    <cellStyle name="好 12 11" xfId="23769" xr:uid="{00000000-0005-0000-0000-000053400000}"/>
    <cellStyle name="好 12 12" xfId="24690" xr:uid="{00000000-0005-0000-0000-000054400000}"/>
    <cellStyle name="好 12 13" xfId="24691" xr:uid="{00000000-0005-0000-0000-000055400000}"/>
    <cellStyle name="好 12 14" xfId="24692" xr:uid="{00000000-0005-0000-0000-000056400000}"/>
    <cellStyle name="好 12 2" xfId="24693" xr:uid="{00000000-0005-0000-0000-000057400000}"/>
    <cellStyle name="好 12 3" xfId="24695" xr:uid="{00000000-0005-0000-0000-000058400000}"/>
    <cellStyle name="好 12 4" xfId="24696" xr:uid="{00000000-0005-0000-0000-000059400000}"/>
    <cellStyle name="好 12 5" xfId="24697" xr:uid="{00000000-0005-0000-0000-00005A400000}"/>
    <cellStyle name="好 12 5 10" xfId="24699" xr:uid="{00000000-0005-0000-0000-00005B400000}"/>
    <cellStyle name="好 12 5 11" xfId="24701" xr:uid="{00000000-0005-0000-0000-00005C400000}"/>
    <cellStyle name="好 12 5 2" xfId="24703" xr:uid="{00000000-0005-0000-0000-00005D400000}"/>
    <cellStyle name="好 12 5 2 2" xfId="6346" xr:uid="{00000000-0005-0000-0000-00005E400000}"/>
    <cellStyle name="好 12 5 2 2 2" xfId="22964" xr:uid="{00000000-0005-0000-0000-00005F400000}"/>
    <cellStyle name="好 12 5 2 2 3" xfId="22966" xr:uid="{00000000-0005-0000-0000-000060400000}"/>
    <cellStyle name="好 12 5 2 3" xfId="6350" xr:uid="{00000000-0005-0000-0000-000061400000}"/>
    <cellStyle name="好 12 5 2 4" xfId="6358" xr:uid="{00000000-0005-0000-0000-000062400000}"/>
    <cellStyle name="好 12 5 2 5" xfId="6362" xr:uid="{00000000-0005-0000-0000-000063400000}"/>
    <cellStyle name="好 12 5 2 6" xfId="6364" xr:uid="{00000000-0005-0000-0000-000064400000}"/>
    <cellStyle name="好 12 5 2 7" xfId="7644" xr:uid="{00000000-0005-0000-0000-000065400000}"/>
    <cellStyle name="好 12 5 2 8" xfId="24704" xr:uid="{00000000-0005-0000-0000-000066400000}"/>
    <cellStyle name="好 12 5 3" xfId="24706" xr:uid="{00000000-0005-0000-0000-000067400000}"/>
    <cellStyle name="好 12 5 4" xfId="433" xr:uid="{00000000-0005-0000-0000-000068400000}"/>
    <cellStyle name="好 12 5 5" xfId="24707" xr:uid="{00000000-0005-0000-0000-000069400000}"/>
    <cellStyle name="好 12 5 6" xfId="24708" xr:uid="{00000000-0005-0000-0000-00006A400000}"/>
    <cellStyle name="好 12 5 6 2" xfId="24709" xr:uid="{00000000-0005-0000-0000-00006B400000}"/>
    <cellStyle name="好 12 5 6 3" xfId="24710" xr:uid="{00000000-0005-0000-0000-00006C400000}"/>
    <cellStyle name="好 12 5 7" xfId="24711" xr:uid="{00000000-0005-0000-0000-00006D400000}"/>
    <cellStyle name="好 12 5 8" xfId="24712" xr:uid="{00000000-0005-0000-0000-00006E400000}"/>
    <cellStyle name="好 12 5 9" xfId="2428" xr:uid="{00000000-0005-0000-0000-00006F400000}"/>
    <cellStyle name="好 12 6" xfId="24713" xr:uid="{00000000-0005-0000-0000-000070400000}"/>
    <cellStyle name="好 12 6 2" xfId="18600" xr:uid="{00000000-0005-0000-0000-000071400000}"/>
    <cellStyle name="好 12 6 2 2" xfId="7709" xr:uid="{00000000-0005-0000-0000-000072400000}"/>
    <cellStyle name="好 12 6 2 3" xfId="7713" xr:uid="{00000000-0005-0000-0000-000073400000}"/>
    <cellStyle name="好 12 6 3" xfId="24714" xr:uid="{00000000-0005-0000-0000-000074400000}"/>
    <cellStyle name="好 12 6 4" xfId="24715" xr:uid="{00000000-0005-0000-0000-000075400000}"/>
    <cellStyle name="好 12 6 5" xfId="24716" xr:uid="{00000000-0005-0000-0000-000076400000}"/>
    <cellStyle name="好 12 6 6" xfId="16476" xr:uid="{00000000-0005-0000-0000-000077400000}"/>
    <cellStyle name="好 12 6 7" xfId="16487" xr:uid="{00000000-0005-0000-0000-000078400000}"/>
    <cellStyle name="好 12 6 8" xfId="16496" xr:uid="{00000000-0005-0000-0000-000079400000}"/>
    <cellStyle name="好 12 7" xfId="24717" xr:uid="{00000000-0005-0000-0000-00007A400000}"/>
    <cellStyle name="好 12 8" xfId="24718" xr:uid="{00000000-0005-0000-0000-00007B400000}"/>
    <cellStyle name="好 12 9" xfId="24719" xr:uid="{00000000-0005-0000-0000-00007C400000}"/>
    <cellStyle name="好 12 9 2" xfId="24720" xr:uid="{00000000-0005-0000-0000-00007D400000}"/>
    <cellStyle name="好 12 9 3" xfId="24722" xr:uid="{00000000-0005-0000-0000-00007E400000}"/>
    <cellStyle name="好 13" xfId="24724" xr:uid="{00000000-0005-0000-0000-00007F400000}"/>
    <cellStyle name="好 14" xfId="24725" xr:uid="{00000000-0005-0000-0000-000080400000}"/>
    <cellStyle name="好 15" xfId="24726" xr:uid="{00000000-0005-0000-0000-000081400000}"/>
    <cellStyle name="好 16" xfId="24727" xr:uid="{00000000-0005-0000-0000-000082400000}"/>
    <cellStyle name="好 16 10" xfId="24729" xr:uid="{00000000-0005-0000-0000-000083400000}"/>
    <cellStyle name="好 16 11" xfId="24732" xr:uid="{00000000-0005-0000-0000-000084400000}"/>
    <cellStyle name="好 16 12" xfId="24735" xr:uid="{00000000-0005-0000-0000-000085400000}"/>
    <cellStyle name="好 16 13" xfId="24738" xr:uid="{00000000-0005-0000-0000-000086400000}"/>
    <cellStyle name="好 16 14" xfId="24741" xr:uid="{00000000-0005-0000-0000-000087400000}"/>
    <cellStyle name="好 16 2" xfId="24744" xr:uid="{00000000-0005-0000-0000-000088400000}"/>
    <cellStyle name="好 16 3" xfId="24745" xr:uid="{00000000-0005-0000-0000-000089400000}"/>
    <cellStyle name="好 16 4" xfId="24746" xr:uid="{00000000-0005-0000-0000-00008A400000}"/>
    <cellStyle name="好 16 5" xfId="24747" xr:uid="{00000000-0005-0000-0000-00008B400000}"/>
    <cellStyle name="好 16 5 10" xfId="11050" xr:uid="{00000000-0005-0000-0000-00008C400000}"/>
    <cellStyle name="好 16 5 11" xfId="2003" xr:uid="{00000000-0005-0000-0000-00008D400000}"/>
    <cellStyle name="好 16 5 2" xfId="24748" xr:uid="{00000000-0005-0000-0000-00008E400000}"/>
    <cellStyle name="好 16 5 2 2" xfId="16915" xr:uid="{00000000-0005-0000-0000-00008F400000}"/>
    <cellStyle name="好 16 5 2 2 2" xfId="24749" xr:uid="{00000000-0005-0000-0000-000090400000}"/>
    <cellStyle name="好 16 5 2 2 3" xfId="16001" xr:uid="{00000000-0005-0000-0000-000091400000}"/>
    <cellStyle name="好 16 5 2 3" xfId="16917" xr:uid="{00000000-0005-0000-0000-000092400000}"/>
    <cellStyle name="好 16 5 2 4" xfId="16920" xr:uid="{00000000-0005-0000-0000-000093400000}"/>
    <cellStyle name="好 16 5 2 5" xfId="16923" xr:uid="{00000000-0005-0000-0000-000094400000}"/>
    <cellStyle name="好 16 5 2 6" xfId="16925" xr:uid="{00000000-0005-0000-0000-000095400000}"/>
    <cellStyle name="好 16 5 2 7" xfId="24751" xr:uid="{00000000-0005-0000-0000-000096400000}"/>
    <cellStyle name="好 16 5 2 8" xfId="24752" xr:uid="{00000000-0005-0000-0000-000097400000}"/>
    <cellStyle name="好 16 5 3" xfId="24754" xr:uid="{00000000-0005-0000-0000-000098400000}"/>
    <cellStyle name="好 16 5 4" xfId="24756" xr:uid="{00000000-0005-0000-0000-000099400000}"/>
    <cellStyle name="好 16 5 5" xfId="24758" xr:uid="{00000000-0005-0000-0000-00009A400000}"/>
    <cellStyle name="好 16 5 6" xfId="24761" xr:uid="{00000000-0005-0000-0000-00009B400000}"/>
    <cellStyle name="好 16 5 6 2" xfId="24764" xr:uid="{00000000-0005-0000-0000-00009C400000}"/>
    <cellStyle name="好 16 5 6 3" xfId="24766" xr:uid="{00000000-0005-0000-0000-00009D400000}"/>
    <cellStyle name="好 16 5 7" xfId="21815" xr:uid="{00000000-0005-0000-0000-00009E400000}"/>
    <cellStyle name="好 16 5 8" xfId="18755" xr:uid="{00000000-0005-0000-0000-00009F400000}"/>
    <cellStyle name="好 16 5 9" xfId="24770" xr:uid="{00000000-0005-0000-0000-0000A0400000}"/>
    <cellStyle name="好 16 6" xfId="24771" xr:uid="{00000000-0005-0000-0000-0000A1400000}"/>
    <cellStyle name="好 16 6 2" xfId="24772" xr:uid="{00000000-0005-0000-0000-0000A2400000}"/>
    <cellStyle name="好 16 6 2 2" xfId="5252" xr:uid="{00000000-0005-0000-0000-0000A3400000}"/>
    <cellStyle name="好 16 6 2 3" xfId="5335" xr:uid="{00000000-0005-0000-0000-0000A4400000}"/>
    <cellStyle name="好 16 6 3" xfId="24773" xr:uid="{00000000-0005-0000-0000-0000A5400000}"/>
    <cellStyle name="好 16 6 4" xfId="24774" xr:uid="{00000000-0005-0000-0000-0000A6400000}"/>
    <cellStyle name="好 16 6 5" xfId="24776" xr:uid="{00000000-0005-0000-0000-0000A7400000}"/>
    <cellStyle name="好 16 6 6" xfId="6412" xr:uid="{00000000-0005-0000-0000-0000A8400000}"/>
    <cellStyle name="好 16 6 7" xfId="6421" xr:uid="{00000000-0005-0000-0000-0000A9400000}"/>
    <cellStyle name="好 16 6 8" xfId="6433" xr:uid="{00000000-0005-0000-0000-0000AA400000}"/>
    <cellStyle name="好 16 7" xfId="24778" xr:uid="{00000000-0005-0000-0000-0000AB400000}"/>
    <cellStyle name="好 16 8" xfId="24779" xr:uid="{00000000-0005-0000-0000-0000AC400000}"/>
    <cellStyle name="好 16 9" xfId="24780" xr:uid="{00000000-0005-0000-0000-0000AD400000}"/>
    <cellStyle name="好 16 9 2" xfId="24781" xr:uid="{00000000-0005-0000-0000-0000AE400000}"/>
    <cellStyle name="好 16 9 3" xfId="24784" xr:uid="{00000000-0005-0000-0000-0000AF400000}"/>
    <cellStyle name="好 17" xfId="24785" xr:uid="{00000000-0005-0000-0000-0000B0400000}"/>
    <cellStyle name="好 17 10" xfId="14833" xr:uid="{00000000-0005-0000-0000-0000B1400000}"/>
    <cellStyle name="好 17 11" xfId="14835" xr:uid="{00000000-0005-0000-0000-0000B2400000}"/>
    <cellStyle name="好 17 12" xfId="14869" xr:uid="{00000000-0005-0000-0000-0000B3400000}"/>
    <cellStyle name="好 17 13" xfId="14937" xr:uid="{00000000-0005-0000-0000-0000B4400000}"/>
    <cellStyle name="好 17 14" xfId="15000" xr:uid="{00000000-0005-0000-0000-0000B5400000}"/>
    <cellStyle name="好 17 2" xfId="15179" xr:uid="{00000000-0005-0000-0000-0000B6400000}"/>
    <cellStyle name="好 17 3" xfId="7875" xr:uid="{00000000-0005-0000-0000-0000B7400000}"/>
    <cellStyle name="好 17 4" xfId="7882" xr:uid="{00000000-0005-0000-0000-0000B8400000}"/>
    <cellStyle name="好 17 5" xfId="15628" xr:uid="{00000000-0005-0000-0000-0000B9400000}"/>
    <cellStyle name="好 17 5 10" xfId="11322" xr:uid="{00000000-0005-0000-0000-0000BA400000}"/>
    <cellStyle name="好 17 5 11" xfId="11327" xr:uid="{00000000-0005-0000-0000-0000BB400000}"/>
    <cellStyle name="好 17 5 2" xfId="15633" xr:uid="{00000000-0005-0000-0000-0000BC400000}"/>
    <cellStyle name="好 17 5 2 2" xfId="24787" xr:uid="{00000000-0005-0000-0000-0000BD400000}"/>
    <cellStyle name="好 17 5 2 2 2" xfId="23665" xr:uid="{00000000-0005-0000-0000-0000BE400000}"/>
    <cellStyle name="好 17 5 2 2 3" xfId="23668" xr:uid="{00000000-0005-0000-0000-0000BF400000}"/>
    <cellStyle name="好 17 5 2 3" xfId="24788" xr:uid="{00000000-0005-0000-0000-0000C0400000}"/>
    <cellStyle name="好 17 5 2 4" xfId="24789" xr:uid="{00000000-0005-0000-0000-0000C1400000}"/>
    <cellStyle name="好 17 5 2 5" xfId="20316" xr:uid="{00000000-0005-0000-0000-0000C2400000}"/>
    <cellStyle name="好 17 5 2 6" xfId="20321" xr:uid="{00000000-0005-0000-0000-0000C3400000}"/>
    <cellStyle name="好 17 5 2 7" xfId="20325" xr:uid="{00000000-0005-0000-0000-0000C4400000}"/>
    <cellStyle name="好 17 5 2 8" xfId="20331" xr:uid="{00000000-0005-0000-0000-0000C5400000}"/>
    <cellStyle name="好 17 5 3" xfId="15638" xr:uid="{00000000-0005-0000-0000-0000C6400000}"/>
    <cellStyle name="好 17 5 4" xfId="15643" xr:uid="{00000000-0005-0000-0000-0000C7400000}"/>
    <cellStyle name="好 17 5 5" xfId="15649" xr:uid="{00000000-0005-0000-0000-0000C8400000}"/>
    <cellStyle name="好 17 5 6" xfId="15654" xr:uid="{00000000-0005-0000-0000-0000C9400000}"/>
    <cellStyle name="好 17 5 6 2" xfId="24790" xr:uid="{00000000-0005-0000-0000-0000CA400000}"/>
    <cellStyle name="好 17 5 6 3" xfId="24792" xr:uid="{00000000-0005-0000-0000-0000CB400000}"/>
    <cellStyle name="好 17 5 7" xfId="15660" xr:uid="{00000000-0005-0000-0000-0000CC400000}"/>
    <cellStyle name="好 17 5 8" xfId="10883" xr:uid="{00000000-0005-0000-0000-0000CD400000}"/>
    <cellStyle name="好 17 5 9" xfId="10893" xr:uid="{00000000-0005-0000-0000-0000CE400000}"/>
    <cellStyle name="好 17 6" xfId="15662" xr:uid="{00000000-0005-0000-0000-0000CF400000}"/>
    <cellStyle name="好 17 6 2" xfId="24794" xr:uid="{00000000-0005-0000-0000-0000D0400000}"/>
    <cellStyle name="好 17 6 2 2" xfId="24795" xr:uid="{00000000-0005-0000-0000-0000D1400000}"/>
    <cellStyle name="好 17 6 2 3" xfId="24796" xr:uid="{00000000-0005-0000-0000-0000D2400000}"/>
    <cellStyle name="好 17 6 3" xfId="24797" xr:uid="{00000000-0005-0000-0000-0000D3400000}"/>
    <cellStyle name="好 17 6 4" xfId="24798" xr:uid="{00000000-0005-0000-0000-0000D4400000}"/>
    <cellStyle name="好 17 6 5" xfId="24800" xr:uid="{00000000-0005-0000-0000-0000D5400000}"/>
    <cellStyle name="好 17 6 6" xfId="5359" xr:uid="{00000000-0005-0000-0000-0000D6400000}"/>
    <cellStyle name="好 17 6 7" xfId="5397" xr:uid="{00000000-0005-0000-0000-0000D7400000}"/>
    <cellStyle name="好 17 6 8" xfId="5410" xr:uid="{00000000-0005-0000-0000-0000D8400000}"/>
    <cellStyle name="好 17 7" xfId="15664" xr:uid="{00000000-0005-0000-0000-0000D9400000}"/>
    <cellStyle name="好 17 8" xfId="15669" xr:uid="{00000000-0005-0000-0000-0000DA400000}"/>
    <cellStyle name="好 17 9" xfId="24802" xr:uid="{00000000-0005-0000-0000-0000DB400000}"/>
    <cellStyle name="好 17 9 2" xfId="24803" xr:uid="{00000000-0005-0000-0000-0000DC400000}"/>
    <cellStyle name="好 17 9 3" xfId="24805" xr:uid="{00000000-0005-0000-0000-0000DD400000}"/>
    <cellStyle name="好 18" xfId="24806" xr:uid="{00000000-0005-0000-0000-0000DE400000}"/>
    <cellStyle name="好 18 10" xfId="1290" xr:uid="{00000000-0005-0000-0000-0000DF400000}"/>
    <cellStyle name="好 18 11" xfId="1300" xr:uid="{00000000-0005-0000-0000-0000E0400000}"/>
    <cellStyle name="好 18 12" xfId="1310" xr:uid="{00000000-0005-0000-0000-0000E1400000}"/>
    <cellStyle name="好 18 13" xfId="1882" xr:uid="{00000000-0005-0000-0000-0000E2400000}"/>
    <cellStyle name="好 18 14" xfId="2340" xr:uid="{00000000-0005-0000-0000-0000E3400000}"/>
    <cellStyle name="好 18 2" xfId="16039" xr:uid="{00000000-0005-0000-0000-0000E4400000}"/>
    <cellStyle name="好 18 3" xfId="16267" xr:uid="{00000000-0005-0000-0000-0000E5400000}"/>
    <cellStyle name="好 18 4" xfId="16432" xr:uid="{00000000-0005-0000-0000-0000E6400000}"/>
    <cellStyle name="好 18 5" xfId="16456" xr:uid="{00000000-0005-0000-0000-0000E7400000}"/>
    <cellStyle name="好 18 5 10" xfId="8235" xr:uid="{00000000-0005-0000-0000-0000E8400000}"/>
    <cellStyle name="好 18 5 11" xfId="16458" xr:uid="{00000000-0005-0000-0000-0000E9400000}"/>
    <cellStyle name="好 18 5 2" xfId="7239" xr:uid="{00000000-0005-0000-0000-0000EA400000}"/>
    <cellStyle name="好 18 5 2 2" xfId="18099" xr:uid="{00000000-0005-0000-0000-0000EB400000}"/>
    <cellStyle name="好 18 5 2 2 2" xfId="14628" xr:uid="{00000000-0005-0000-0000-0000EC400000}"/>
    <cellStyle name="好 18 5 2 2 3" xfId="24808" xr:uid="{00000000-0005-0000-0000-0000ED400000}"/>
    <cellStyle name="好 18 5 2 3" xfId="24810" xr:uid="{00000000-0005-0000-0000-0000EE400000}"/>
    <cellStyle name="好 18 5 2 4" xfId="24811" xr:uid="{00000000-0005-0000-0000-0000EF400000}"/>
    <cellStyle name="好 18 5 2 5" xfId="24812" xr:uid="{00000000-0005-0000-0000-0000F0400000}"/>
    <cellStyle name="好 18 5 2 6" xfId="4836" xr:uid="{00000000-0005-0000-0000-0000F1400000}"/>
    <cellStyle name="好 18 5 2 7" xfId="4858" xr:uid="{00000000-0005-0000-0000-0000F2400000}"/>
    <cellStyle name="好 18 5 2 8" xfId="11808" xr:uid="{00000000-0005-0000-0000-0000F3400000}"/>
    <cellStyle name="好 18 5 3" xfId="7250" xr:uid="{00000000-0005-0000-0000-0000F4400000}"/>
    <cellStyle name="好 18 5 4" xfId="15123" xr:uid="{00000000-0005-0000-0000-0000F5400000}"/>
    <cellStyle name="好 18 5 5" xfId="15127" xr:uid="{00000000-0005-0000-0000-0000F6400000}"/>
    <cellStyle name="好 18 5 6" xfId="15131" xr:uid="{00000000-0005-0000-0000-0000F7400000}"/>
    <cellStyle name="好 18 5 6 2" xfId="24813" xr:uid="{00000000-0005-0000-0000-0000F8400000}"/>
    <cellStyle name="好 18 5 6 3" xfId="24815" xr:uid="{00000000-0005-0000-0000-0000F9400000}"/>
    <cellStyle name="好 18 5 7" xfId="2955" xr:uid="{00000000-0005-0000-0000-0000FA400000}"/>
    <cellStyle name="好 18 5 8" xfId="2975" xr:uid="{00000000-0005-0000-0000-0000FB400000}"/>
    <cellStyle name="好 18 5 9" xfId="2994" xr:uid="{00000000-0005-0000-0000-0000FC400000}"/>
    <cellStyle name="好 18 6" xfId="12219" xr:uid="{00000000-0005-0000-0000-0000FD400000}"/>
    <cellStyle name="好 18 6 2" xfId="7273" xr:uid="{00000000-0005-0000-0000-0000FE400000}"/>
    <cellStyle name="好 18 6 2 2" xfId="18162" xr:uid="{00000000-0005-0000-0000-0000FF400000}"/>
    <cellStyle name="好 18 6 2 3" xfId="21741" xr:uid="{00000000-0005-0000-0000-000000410000}"/>
    <cellStyle name="好 18 6 3" xfId="15158" xr:uid="{00000000-0005-0000-0000-000001410000}"/>
    <cellStyle name="好 18 6 4" xfId="15160" xr:uid="{00000000-0005-0000-0000-000002410000}"/>
    <cellStyle name="好 18 6 5" xfId="15163" xr:uid="{00000000-0005-0000-0000-000003410000}"/>
    <cellStyle name="好 18 6 6" xfId="5656" xr:uid="{00000000-0005-0000-0000-000004410000}"/>
    <cellStyle name="好 18 6 7" xfId="5698" xr:uid="{00000000-0005-0000-0000-000005410000}"/>
    <cellStyle name="好 18 6 8" xfId="5706" xr:uid="{00000000-0005-0000-0000-000006410000}"/>
    <cellStyle name="好 18 7" xfId="12222" xr:uid="{00000000-0005-0000-0000-000007410000}"/>
    <cellStyle name="好 18 8" xfId="12225" xr:uid="{00000000-0005-0000-0000-000008410000}"/>
    <cellStyle name="好 18 9" xfId="24816" xr:uid="{00000000-0005-0000-0000-000009410000}"/>
    <cellStyle name="好 18 9 2" xfId="24818" xr:uid="{00000000-0005-0000-0000-00000A410000}"/>
    <cellStyle name="好 18 9 3" xfId="24819" xr:uid="{00000000-0005-0000-0000-00000B410000}"/>
    <cellStyle name="好 19" xfId="24820" xr:uid="{00000000-0005-0000-0000-00000C410000}"/>
    <cellStyle name="好 2" xfId="11088" xr:uid="{00000000-0005-0000-0000-00000D410000}"/>
    <cellStyle name="好 2 10" xfId="15560" xr:uid="{00000000-0005-0000-0000-00000E410000}"/>
    <cellStyle name="好 2 11" xfId="7528" xr:uid="{00000000-0005-0000-0000-00000F410000}"/>
    <cellStyle name="好 2 12" xfId="5662" xr:uid="{00000000-0005-0000-0000-000010410000}"/>
    <cellStyle name="好 2 13" xfId="15569" xr:uid="{00000000-0005-0000-0000-000011410000}"/>
    <cellStyle name="好 2 14" xfId="24821" xr:uid="{00000000-0005-0000-0000-000012410000}"/>
    <cellStyle name="好 2 15" xfId="24822" xr:uid="{00000000-0005-0000-0000-000013410000}"/>
    <cellStyle name="好 2 16" xfId="24824" xr:uid="{00000000-0005-0000-0000-000014410000}"/>
    <cellStyle name="好 2 17" xfId="24825" xr:uid="{00000000-0005-0000-0000-000015410000}"/>
    <cellStyle name="好 2 17 10" xfId="5108" xr:uid="{00000000-0005-0000-0000-000016410000}"/>
    <cellStyle name="好 2 17 11" xfId="5116" xr:uid="{00000000-0005-0000-0000-000017410000}"/>
    <cellStyle name="好 2 17 12" xfId="24827" xr:uid="{00000000-0005-0000-0000-000018410000}"/>
    <cellStyle name="好 2 17 13" xfId="18325" xr:uid="{00000000-0005-0000-0000-000019410000}"/>
    <cellStyle name="好 2 17 14" xfId="18329" xr:uid="{00000000-0005-0000-0000-00001A410000}"/>
    <cellStyle name="好 2 17 2" xfId="24828" xr:uid="{00000000-0005-0000-0000-00001B410000}"/>
    <cellStyle name="好 2 17 3" xfId="24830" xr:uid="{00000000-0005-0000-0000-00001C410000}"/>
    <cellStyle name="好 2 17 4" xfId="24832" xr:uid="{00000000-0005-0000-0000-00001D410000}"/>
    <cellStyle name="好 2 17 5" xfId="9767" xr:uid="{00000000-0005-0000-0000-00001E410000}"/>
    <cellStyle name="好 2 17 5 10" xfId="18332" xr:uid="{00000000-0005-0000-0000-00001F410000}"/>
    <cellStyle name="好 2 17 5 11" xfId="18336" xr:uid="{00000000-0005-0000-0000-000020410000}"/>
    <cellStyle name="好 2 17 5 2" xfId="18342" xr:uid="{00000000-0005-0000-0000-000021410000}"/>
    <cellStyle name="好 2 17 5 2 2" xfId="2754" xr:uid="{00000000-0005-0000-0000-000022410000}"/>
    <cellStyle name="好 2 17 5 2 2 2" xfId="2777" xr:uid="{00000000-0005-0000-0000-000023410000}"/>
    <cellStyle name="好 2 17 5 2 2 3" xfId="2785" xr:uid="{00000000-0005-0000-0000-000024410000}"/>
    <cellStyle name="好 2 17 5 2 3" xfId="7198" xr:uid="{00000000-0005-0000-0000-000025410000}"/>
    <cellStyle name="好 2 17 5 2 4" xfId="18346" xr:uid="{00000000-0005-0000-0000-000026410000}"/>
    <cellStyle name="好 2 17 5 2 5" xfId="18350" xr:uid="{00000000-0005-0000-0000-000027410000}"/>
    <cellStyle name="好 2 17 5 2 6" xfId="24833" xr:uid="{00000000-0005-0000-0000-000028410000}"/>
    <cellStyle name="好 2 17 5 2 7" xfId="24835" xr:uid="{00000000-0005-0000-0000-000029410000}"/>
    <cellStyle name="好 2 17 5 2 8" xfId="341" xr:uid="{00000000-0005-0000-0000-00002A410000}"/>
    <cellStyle name="好 2 17 5 3" xfId="24838" xr:uid="{00000000-0005-0000-0000-00002B410000}"/>
    <cellStyle name="好 2 17 5 4" xfId="24840" xr:uid="{00000000-0005-0000-0000-00002C410000}"/>
    <cellStyle name="好 2 17 5 5" xfId="24842" xr:uid="{00000000-0005-0000-0000-00002D410000}"/>
    <cellStyle name="好 2 17 5 6" xfId="24844" xr:uid="{00000000-0005-0000-0000-00002E410000}"/>
    <cellStyle name="好 2 17 5 6 2" xfId="24846" xr:uid="{00000000-0005-0000-0000-00002F410000}"/>
    <cellStyle name="好 2 17 5 6 3" xfId="24847" xr:uid="{00000000-0005-0000-0000-000030410000}"/>
    <cellStyle name="好 2 17 5 7" xfId="24848" xr:uid="{00000000-0005-0000-0000-000031410000}"/>
    <cellStyle name="好 2 17 5 8" xfId="24849" xr:uid="{00000000-0005-0000-0000-000032410000}"/>
    <cellStyle name="好 2 17 5 9" xfId="24850" xr:uid="{00000000-0005-0000-0000-000033410000}"/>
    <cellStyle name="好 2 17 6" xfId="9771" xr:uid="{00000000-0005-0000-0000-000034410000}"/>
    <cellStyle name="好 2 17 6 2" xfId="4284" xr:uid="{00000000-0005-0000-0000-000035410000}"/>
    <cellStyle name="好 2 17 6 2 2" xfId="16721" xr:uid="{00000000-0005-0000-0000-000036410000}"/>
    <cellStyle name="好 2 17 6 2 3" xfId="16726" xr:uid="{00000000-0005-0000-0000-000037410000}"/>
    <cellStyle name="好 2 17 6 3" xfId="4291" xr:uid="{00000000-0005-0000-0000-000038410000}"/>
    <cellStyle name="好 2 17 6 4" xfId="3949" xr:uid="{00000000-0005-0000-0000-000039410000}"/>
    <cellStyle name="好 2 17 6 5" xfId="3969" xr:uid="{00000000-0005-0000-0000-00003A410000}"/>
    <cellStyle name="好 2 17 6 6" xfId="4906" xr:uid="{00000000-0005-0000-0000-00003B410000}"/>
    <cellStyle name="好 2 17 6 7" xfId="5208" xr:uid="{00000000-0005-0000-0000-00003C410000}"/>
    <cellStyle name="好 2 17 6 8" xfId="24851" xr:uid="{00000000-0005-0000-0000-00003D410000}"/>
    <cellStyle name="好 2 17 7" xfId="306" xr:uid="{00000000-0005-0000-0000-00003E410000}"/>
    <cellStyle name="好 2 17 8" xfId="7078" xr:uid="{00000000-0005-0000-0000-00003F410000}"/>
    <cellStyle name="好 2 17 9" xfId="7086" xr:uid="{00000000-0005-0000-0000-000040410000}"/>
    <cellStyle name="好 2 17 9 2" xfId="24853" xr:uid="{00000000-0005-0000-0000-000041410000}"/>
    <cellStyle name="好 2 17 9 3" xfId="24855" xr:uid="{00000000-0005-0000-0000-000042410000}"/>
    <cellStyle name="好 2 18" xfId="24856" xr:uid="{00000000-0005-0000-0000-000043410000}"/>
    <cellStyle name="好 2 18 10" xfId="24857" xr:uid="{00000000-0005-0000-0000-000044410000}"/>
    <cellStyle name="好 2 18 11" xfId="17942" xr:uid="{00000000-0005-0000-0000-000045410000}"/>
    <cellStyle name="好 2 18 12" xfId="10326" xr:uid="{00000000-0005-0000-0000-000046410000}"/>
    <cellStyle name="好 2 18 13" xfId="10333" xr:uid="{00000000-0005-0000-0000-000047410000}"/>
    <cellStyle name="好 2 18 14" xfId="10338" xr:uid="{00000000-0005-0000-0000-000048410000}"/>
    <cellStyle name="好 2 18 2" xfId="17932" xr:uid="{00000000-0005-0000-0000-000049410000}"/>
    <cellStyle name="好 2 18 3" xfId="24860" xr:uid="{00000000-0005-0000-0000-00004A410000}"/>
    <cellStyle name="好 2 18 4" xfId="24864" xr:uid="{00000000-0005-0000-0000-00004B410000}"/>
    <cellStyle name="好 2 18 5" xfId="9818" xr:uid="{00000000-0005-0000-0000-00004C410000}"/>
    <cellStyle name="好 2 18 5 10" xfId="24865" xr:uid="{00000000-0005-0000-0000-00004D410000}"/>
    <cellStyle name="好 2 18 5 11" xfId="24866" xr:uid="{00000000-0005-0000-0000-00004E410000}"/>
    <cellStyle name="好 2 18 5 2" xfId="9903" xr:uid="{00000000-0005-0000-0000-00004F410000}"/>
    <cellStyle name="好 2 18 5 2 2" xfId="24339" xr:uid="{00000000-0005-0000-0000-000050410000}"/>
    <cellStyle name="好 2 18 5 2 2 2" xfId="24508" xr:uid="{00000000-0005-0000-0000-000051410000}"/>
    <cellStyle name="好 2 18 5 2 2 3" xfId="24867" xr:uid="{00000000-0005-0000-0000-000052410000}"/>
    <cellStyle name="好 2 18 5 2 3" xfId="24342" xr:uid="{00000000-0005-0000-0000-000053410000}"/>
    <cellStyle name="好 2 18 5 2 4" xfId="24344" xr:uid="{00000000-0005-0000-0000-000054410000}"/>
    <cellStyle name="好 2 18 5 2 5" xfId="24346" xr:uid="{00000000-0005-0000-0000-000055410000}"/>
    <cellStyle name="好 2 18 5 2 6" xfId="24868" xr:uid="{00000000-0005-0000-0000-000056410000}"/>
    <cellStyle name="好 2 18 5 2 7" xfId="24869" xr:uid="{00000000-0005-0000-0000-000057410000}"/>
    <cellStyle name="好 2 18 5 2 8" xfId="24870" xr:uid="{00000000-0005-0000-0000-000058410000}"/>
    <cellStyle name="好 2 18 5 3" xfId="24871" xr:uid="{00000000-0005-0000-0000-000059410000}"/>
    <cellStyle name="好 2 18 5 4" xfId="24872" xr:uid="{00000000-0005-0000-0000-00005A410000}"/>
    <cellStyle name="好 2 18 5 5" xfId="24873" xr:uid="{00000000-0005-0000-0000-00005B410000}"/>
    <cellStyle name="好 2 18 5 6" xfId="24874" xr:uid="{00000000-0005-0000-0000-00005C410000}"/>
    <cellStyle name="好 2 18 5 6 2" xfId="24875" xr:uid="{00000000-0005-0000-0000-00005D410000}"/>
    <cellStyle name="好 2 18 5 6 3" xfId="24876" xr:uid="{00000000-0005-0000-0000-00005E410000}"/>
    <cellStyle name="好 2 18 5 7" xfId="24877" xr:uid="{00000000-0005-0000-0000-00005F410000}"/>
    <cellStyle name="好 2 18 5 8" xfId="24878" xr:uid="{00000000-0005-0000-0000-000060410000}"/>
    <cellStyle name="好 2 18 5 9" xfId="24879" xr:uid="{00000000-0005-0000-0000-000061410000}"/>
    <cellStyle name="好 2 18 6" xfId="9826" xr:uid="{00000000-0005-0000-0000-000062410000}"/>
    <cellStyle name="好 2 18 6 2" xfId="24880" xr:uid="{00000000-0005-0000-0000-000063410000}"/>
    <cellStyle name="好 2 18 6 2 2" xfId="10369" xr:uid="{00000000-0005-0000-0000-000064410000}"/>
    <cellStyle name="好 2 18 6 2 3" xfId="10375" xr:uid="{00000000-0005-0000-0000-000065410000}"/>
    <cellStyle name="好 2 18 6 3" xfId="24882" xr:uid="{00000000-0005-0000-0000-000066410000}"/>
    <cellStyle name="好 2 18 6 4" xfId="24884" xr:uid="{00000000-0005-0000-0000-000067410000}"/>
    <cellStyle name="好 2 18 6 5" xfId="24886" xr:uid="{00000000-0005-0000-0000-000068410000}"/>
    <cellStyle name="好 2 18 6 6" xfId="24887" xr:uid="{00000000-0005-0000-0000-000069410000}"/>
    <cellStyle name="好 2 18 6 7" xfId="24888" xr:uid="{00000000-0005-0000-0000-00006A410000}"/>
    <cellStyle name="好 2 18 6 8" xfId="7190" xr:uid="{00000000-0005-0000-0000-00006B410000}"/>
    <cellStyle name="好 2 18 7" xfId="9833" xr:uid="{00000000-0005-0000-0000-00006C410000}"/>
    <cellStyle name="好 2 18 8" xfId="9841" xr:uid="{00000000-0005-0000-0000-00006D410000}"/>
    <cellStyle name="好 2 18 9" xfId="9849" xr:uid="{00000000-0005-0000-0000-00006E410000}"/>
    <cellStyle name="好 2 18 9 2" xfId="10380" xr:uid="{00000000-0005-0000-0000-00006F410000}"/>
    <cellStyle name="好 2 18 9 3" xfId="10384" xr:uid="{00000000-0005-0000-0000-000070410000}"/>
    <cellStyle name="好 2 19" xfId="24889" xr:uid="{00000000-0005-0000-0000-000071410000}"/>
    <cellStyle name="好 2 19 10" xfId="24890" xr:uid="{00000000-0005-0000-0000-000072410000}"/>
    <cellStyle name="好 2 19 11" xfId="24892" xr:uid="{00000000-0005-0000-0000-000073410000}"/>
    <cellStyle name="好 2 19 12" xfId="24894" xr:uid="{00000000-0005-0000-0000-000074410000}"/>
    <cellStyle name="好 2 19 13" xfId="24896" xr:uid="{00000000-0005-0000-0000-000075410000}"/>
    <cellStyle name="好 2 19 14" xfId="9648" xr:uid="{00000000-0005-0000-0000-000076410000}"/>
    <cellStyle name="好 2 19 2" xfId="24898" xr:uid="{00000000-0005-0000-0000-000077410000}"/>
    <cellStyle name="好 2 19 3" xfId="24899" xr:uid="{00000000-0005-0000-0000-000078410000}"/>
    <cellStyle name="好 2 19 4" xfId="24901" xr:uid="{00000000-0005-0000-0000-000079410000}"/>
    <cellStyle name="好 2 19 5" xfId="24903" xr:uid="{00000000-0005-0000-0000-00007A410000}"/>
    <cellStyle name="好 2 19 5 10" xfId="24904" xr:uid="{00000000-0005-0000-0000-00007B410000}"/>
    <cellStyle name="好 2 19 5 11" xfId="24905" xr:uid="{00000000-0005-0000-0000-00007C410000}"/>
    <cellStyle name="好 2 19 5 2" xfId="19330" xr:uid="{00000000-0005-0000-0000-00007D410000}"/>
    <cellStyle name="好 2 19 5 2 2" xfId="20954" xr:uid="{00000000-0005-0000-0000-00007E410000}"/>
    <cellStyle name="好 2 19 5 2 2 2" xfId="24539" xr:uid="{00000000-0005-0000-0000-00007F410000}"/>
    <cellStyle name="好 2 19 5 2 2 3" xfId="24541" xr:uid="{00000000-0005-0000-0000-000080410000}"/>
    <cellStyle name="好 2 19 5 2 3" xfId="20956" xr:uid="{00000000-0005-0000-0000-000081410000}"/>
    <cellStyle name="好 2 19 5 2 4" xfId="20958" xr:uid="{00000000-0005-0000-0000-000082410000}"/>
    <cellStyle name="好 2 19 5 2 5" xfId="20983" xr:uid="{00000000-0005-0000-0000-000083410000}"/>
    <cellStyle name="好 2 19 5 2 6" xfId="20993" xr:uid="{00000000-0005-0000-0000-000084410000}"/>
    <cellStyle name="好 2 19 5 2 7" xfId="20995" xr:uid="{00000000-0005-0000-0000-000085410000}"/>
    <cellStyle name="好 2 19 5 2 8" xfId="20997" xr:uid="{00000000-0005-0000-0000-000086410000}"/>
    <cellStyle name="好 2 19 5 3" xfId="19562" xr:uid="{00000000-0005-0000-0000-000087410000}"/>
    <cellStyle name="好 2 19 5 4" xfId="13319" xr:uid="{00000000-0005-0000-0000-000088410000}"/>
    <cellStyle name="好 2 19 5 5" xfId="13329" xr:uid="{00000000-0005-0000-0000-000089410000}"/>
    <cellStyle name="好 2 19 5 6" xfId="13332" xr:uid="{00000000-0005-0000-0000-00008A410000}"/>
    <cellStyle name="好 2 19 5 6 2" xfId="19649" xr:uid="{00000000-0005-0000-0000-00008B410000}"/>
    <cellStyle name="好 2 19 5 6 3" xfId="20894" xr:uid="{00000000-0005-0000-0000-00008C410000}"/>
    <cellStyle name="好 2 19 5 7" xfId="24906" xr:uid="{00000000-0005-0000-0000-00008D410000}"/>
    <cellStyle name="好 2 19 5 8" xfId="24907" xr:uid="{00000000-0005-0000-0000-00008E410000}"/>
    <cellStyle name="好 2 19 5 9" xfId="24908" xr:uid="{00000000-0005-0000-0000-00008F410000}"/>
    <cellStyle name="好 2 19 6" xfId="16597" xr:uid="{00000000-0005-0000-0000-000090410000}"/>
    <cellStyle name="好 2 19 6 2" xfId="24909" xr:uid="{00000000-0005-0000-0000-000091410000}"/>
    <cellStyle name="好 2 19 6 2 2" xfId="17170" xr:uid="{00000000-0005-0000-0000-000092410000}"/>
    <cellStyle name="好 2 19 6 2 3" xfId="17172" xr:uid="{00000000-0005-0000-0000-000093410000}"/>
    <cellStyle name="好 2 19 6 3" xfId="24910" xr:uid="{00000000-0005-0000-0000-000094410000}"/>
    <cellStyle name="好 2 19 6 4" xfId="24911" xr:uid="{00000000-0005-0000-0000-000095410000}"/>
    <cellStyle name="好 2 19 6 5" xfId="6504" xr:uid="{00000000-0005-0000-0000-000096410000}"/>
    <cellStyle name="好 2 19 6 6" xfId="6513" xr:uid="{00000000-0005-0000-0000-000097410000}"/>
    <cellStyle name="好 2 19 6 7" xfId="285" xr:uid="{00000000-0005-0000-0000-000098410000}"/>
    <cellStyle name="好 2 19 6 8" xfId="6520" xr:uid="{00000000-0005-0000-0000-000099410000}"/>
    <cellStyle name="好 2 19 7" xfId="16600" xr:uid="{00000000-0005-0000-0000-00009A410000}"/>
    <cellStyle name="好 2 19 8" xfId="16607" xr:uid="{00000000-0005-0000-0000-00009B410000}"/>
    <cellStyle name="好 2 19 9" xfId="16613" xr:uid="{00000000-0005-0000-0000-00009C410000}"/>
    <cellStyle name="好 2 19 9 2" xfId="16619" xr:uid="{00000000-0005-0000-0000-00009D410000}"/>
    <cellStyle name="好 2 19 9 3" xfId="16622" xr:uid="{00000000-0005-0000-0000-00009E410000}"/>
    <cellStyle name="好 2 2" xfId="24912" xr:uid="{00000000-0005-0000-0000-00009F410000}"/>
    <cellStyle name="好 2 2 10" xfId="24916" xr:uid="{00000000-0005-0000-0000-0000A0410000}"/>
    <cellStyle name="好 2 2 11" xfId="24918" xr:uid="{00000000-0005-0000-0000-0000A1410000}"/>
    <cellStyle name="好 2 2 12" xfId="24920" xr:uid="{00000000-0005-0000-0000-0000A2410000}"/>
    <cellStyle name="好 2 2 13" xfId="24922" xr:uid="{00000000-0005-0000-0000-0000A3410000}"/>
    <cellStyle name="好 2 2 14" xfId="24924" xr:uid="{00000000-0005-0000-0000-0000A4410000}"/>
    <cellStyle name="好 2 2 2" xfId="24926" xr:uid="{00000000-0005-0000-0000-0000A5410000}"/>
    <cellStyle name="好 2 2 3" xfId="24930" xr:uid="{00000000-0005-0000-0000-0000A6410000}"/>
    <cellStyle name="好 2 2 4" xfId="24934" xr:uid="{00000000-0005-0000-0000-0000A7410000}"/>
    <cellStyle name="好 2 2 5" xfId="24936" xr:uid="{00000000-0005-0000-0000-0000A8410000}"/>
    <cellStyle name="好 2 2 6" xfId="24938" xr:uid="{00000000-0005-0000-0000-0000A9410000}"/>
    <cellStyle name="好 2 2 7" xfId="24940" xr:uid="{00000000-0005-0000-0000-0000AA410000}"/>
    <cellStyle name="好 2 2 8" xfId="24941" xr:uid="{00000000-0005-0000-0000-0000AB410000}"/>
    <cellStyle name="好 2 2 9" xfId="24943" xr:uid="{00000000-0005-0000-0000-0000AC410000}"/>
    <cellStyle name="好 2 20" xfId="24823" xr:uid="{00000000-0005-0000-0000-0000AD410000}"/>
    <cellStyle name="好 2 20 10" xfId="24944" xr:uid="{00000000-0005-0000-0000-0000AE410000}"/>
    <cellStyle name="好 2 20 11" xfId="24945" xr:uid="{00000000-0005-0000-0000-0000AF410000}"/>
    <cellStyle name="好 2 20 12" xfId="24946" xr:uid="{00000000-0005-0000-0000-0000B0410000}"/>
    <cellStyle name="好 2 20 13" xfId="24947" xr:uid="{00000000-0005-0000-0000-0000B1410000}"/>
    <cellStyle name="好 2 20 14" xfId="24949" xr:uid="{00000000-0005-0000-0000-0000B2410000}"/>
    <cellStyle name="好 2 20 2" xfId="4035" xr:uid="{00000000-0005-0000-0000-0000B3410000}"/>
    <cellStyle name="好 2 20 3" xfId="4043" xr:uid="{00000000-0005-0000-0000-0000B4410000}"/>
    <cellStyle name="好 2 20 4" xfId="4049" xr:uid="{00000000-0005-0000-0000-0000B5410000}"/>
    <cellStyle name="好 2 20 5" xfId="4056" xr:uid="{00000000-0005-0000-0000-0000B6410000}"/>
    <cellStyle name="好 2 20 5 10" xfId="24950" xr:uid="{00000000-0005-0000-0000-0000B7410000}"/>
    <cellStyle name="好 2 20 5 11" xfId="24952" xr:uid="{00000000-0005-0000-0000-0000B8410000}"/>
    <cellStyle name="好 2 20 5 2" xfId="19356" xr:uid="{00000000-0005-0000-0000-0000B9410000}"/>
    <cellStyle name="好 2 20 5 2 2" xfId="18835" xr:uid="{00000000-0005-0000-0000-0000BA410000}"/>
    <cellStyle name="好 2 20 5 2 2 2" xfId="24954" xr:uid="{00000000-0005-0000-0000-0000BB410000}"/>
    <cellStyle name="好 2 20 5 2 2 3" xfId="24955" xr:uid="{00000000-0005-0000-0000-0000BC410000}"/>
    <cellStyle name="好 2 20 5 2 3" xfId="18838" xr:uid="{00000000-0005-0000-0000-0000BD410000}"/>
    <cellStyle name="好 2 20 5 2 4" xfId="24958" xr:uid="{00000000-0005-0000-0000-0000BE410000}"/>
    <cellStyle name="好 2 20 5 2 5" xfId="24960" xr:uid="{00000000-0005-0000-0000-0000BF410000}"/>
    <cellStyle name="好 2 20 5 2 6" xfId="24962" xr:uid="{00000000-0005-0000-0000-0000C0410000}"/>
    <cellStyle name="好 2 20 5 2 7" xfId="24964" xr:uid="{00000000-0005-0000-0000-0000C1410000}"/>
    <cellStyle name="好 2 20 5 2 8" xfId="22760" xr:uid="{00000000-0005-0000-0000-0000C2410000}"/>
    <cellStyle name="好 2 20 5 3" xfId="24966" xr:uid="{00000000-0005-0000-0000-0000C3410000}"/>
    <cellStyle name="好 2 20 5 4" xfId="24967" xr:uid="{00000000-0005-0000-0000-0000C4410000}"/>
    <cellStyle name="好 2 20 5 5" xfId="2137" xr:uid="{00000000-0005-0000-0000-0000C5410000}"/>
    <cellStyle name="好 2 20 5 6" xfId="2155" xr:uid="{00000000-0005-0000-0000-0000C6410000}"/>
    <cellStyle name="好 2 20 5 6 2" xfId="1646" xr:uid="{00000000-0005-0000-0000-0000C7410000}"/>
    <cellStyle name="好 2 20 5 6 3" xfId="1661" xr:uid="{00000000-0005-0000-0000-0000C8410000}"/>
    <cellStyle name="好 2 20 5 7" xfId="2167" xr:uid="{00000000-0005-0000-0000-0000C9410000}"/>
    <cellStyle name="好 2 20 5 8" xfId="2183" xr:uid="{00000000-0005-0000-0000-0000CA410000}"/>
    <cellStyle name="好 2 20 5 9" xfId="2191" xr:uid="{00000000-0005-0000-0000-0000CB410000}"/>
    <cellStyle name="好 2 20 6" xfId="4064" xr:uid="{00000000-0005-0000-0000-0000CC410000}"/>
    <cellStyle name="好 2 20 6 2" xfId="5523" xr:uid="{00000000-0005-0000-0000-0000CD410000}"/>
    <cellStyle name="好 2 20 6 2 2" xfId="24968" xr:uid="{00000000-0005-0000-0000-0000CE410000}"/>
    <cellStyle name="好 2 20 6 2 3" xfId="24969" xr:uid="{00000000-0005-0000-0000-0000CF410000}"/>
    <cellStyle name="好 2 20 6 3" xfId="24972" xr:uid="{00000000-0005-0000-0000-0000D0410000}"/>
    <cellStyle name="好 2 20 6 4" xfId="24974" xr:uid="{00000000-0005-0000-0000-0000D1410000}"/>
    <cellStyle name="好 2 20 6 5" xfId="24975" xr:uid="{00000000-0005-0000-0000-0000D2410000}"/>
    <cellStyle name="好 2 20 6 6" xfId="24977" xr:uid="{00000000-0005-0000-0000-0000D3410000}"/>
    <cellStyle name="好 2 20 6 7" xfId="24979" xr:uid="{00000000-0005-0000-0000-0000D4410000}"/>
    <cellStyle name="好 2 20 6 8" xfId="24981" xr:uid="{00000000-0005-0000-0000-0000D5410000}"/>
    <cellStyle name="好 2 20 7" xfId="4072" xr:uid="{00000000-0005-0000-0000-0000D6410000}"/>
    <cellStyle name="好 2 20 8" xfId="24984" xr:uid="{00000000-0005-0000-0000-0000D7410000}"/>
    <cellStyle name="好 2 20 9" xfId="24987" xr:uid="{00000000-0005-0000-0000-0000D8410000}"/>
    <cellStyle name="好 2 20 9 2" xfId="24989" xr:uid="{00000000-0005-0000-0000-0000D9410000}"/>
    <cellStyle name="好 2 20 9 3" xfId="24990" xr:uid="{00000000-0005-0000-0000-0000DA410000}"/>
    <cellStyle name="好 2 3" xfId="24991" xr:uid="{00000000-0005-0000-0000-0000DB410000}"/>
    <cellStyle name="好 2 3 10" xfId="24992" xr:uid="{00000000-0005-0000-0000-0000DC410000}"/>
    <cellStyle name="好 2 3 11" xfId="24993" xr:uid="{00000000-0005-0000-0000-0000DD410000}"/>
    <cellStyle name="好 2 3 12" xfId="24994" xr:uid="{00000000-0005-0000-0000-0000DE410000}"/>
    <cellStyle name="好 2 3 13" xfId="24995" xr:uid="{00000000-0005-0000-0000-0000DF410000}"/>
    <cellStyle name="好 2 3 14" xfId="18559" xr:uid="{00000000-0005-0000-0000-0000E0410000}"/>
    <cellStyle name="好 2 3 2" xfId="12553" xr:uid="{00000000-0005-0000-0000-0000E1410000}"/>
    <cellStyle name="好 2 3 3" xfId="12565" xr:uid="{00000000-0005-0000-0000-0000E2410000}"/>
    <cellStyle name="好 2 3 4" xfId="12570" xr:uid="{00000000-0005-0000-0000-0000E3410000}"/>
    <cellStyle name="好 2 3 5" xfId="12574" xr:uid="{00000000-0005-0000-0000-0000E4410000}"/>
    <cellStyle name="好 2 3 6" xfId="12579" xr:uid="{00000000-0005-0000-0000-0000E5410000}"/>
    <cellStyle name="好 2 3 7" xfId="10873" xr:uid="{00000000-0005-0000-0000-0000E6410000}"/>
    <cellStyle name="好 2 3 8" xfId="11041" xr:uid="{00000000-0005-0000-0000-0000E7410000}"/>
    <cellStyle name="好 2 3 9" xfId="11056" xr:uid="{00000000-0005-0000-0000-0000E8410000}"/>
    <cellStyle name="好 2 4" xfId="24996" xr:uid="{00000000-0005-0000-0000-0000E9410000}"/>
    <cellStyle name="好 2 4 10" xfId="2570" xr:uid="{00000000-0005-0000-0000-0000EA410000}"/>
    <cellStyle name="好 2 4 11" xfId="2581" xr:uid="{00000000-0005-0000-0000-0000EB410000}"/>
    <cellStyle name="好 2 4 12" xfId="24997" xr:uid="{00000000-0005-0000-0000-0000EC410000}"/>
    <cellStyle name="好 2 4 13" xfId="24999" xr:uid="{00000000-0005-0000-0000-0000ED410000}"/>
    <cellStyle name="好 2 4 14" xfId="18857" xr:uid="{00000000-0005-0000-0000-0000EE410000}"/>
    <cellStyle name="好 2 4 2" xfId="25000" xr:uid="{00000000-0005-0000-0000-0000EF410000}"/>
    <cellStyle name="好 2 4 3" xfId="25001" xr:uid="{00000000-0005-0000-0000-0000F0410000}"/>
    <cellStyle name="好 2 4 4" xfId="25002" xr:uid="{00000000-0005-0000-0000-0000F1410000}"/>
    <cellStyle name="好 2 4 5" xfId="25003" xr:uid="{00000000-0005-0000-0000-0000F2410000}"/>
    <cellStyle name="好 2 4 6" xfId="25005" xr:uid="{00000000-0005-0000-0000-0000F3410000}"/>
    <cellStyle name="好 2 4 7" xfId="25007" xr:uid="{00000000-0005-0000-0000-0000F4410000}"/>
    <cellStyle name="好 2 4 8" xfId="25009" xr:uid="{00000000-0005-0000-0000-0000F5410000}"/>
    <cellStyle name="好 2 4 9" xfId="25011" xr:uid="{00000000-0005-0000-0000-0000F6410000}"/>
    <cellStyle name="好 2 5" xfId="25012" xr:uid="{00000000-0005-0000-0000-0000F7410000}"/>
    <cellStyle name="好 2 6" xfId="25013" xr:uid="{00000000-0005-0000-0000-0000F8410000}"/>
    <cellStyle name="好 2 7" xfId="25015" xr:uid="{00000000-0005-0000-0000-0000F9410000}"/>
    <cellStyle name="好 2 8" xfId="25017" xr:uid="{00000000-0005-0000-0000-0000FA410000}"/>
    <cellStyle name="好 2 9" xfId="25020" xr:uid="{00000000-0005-0000-0000-0000FB410000}"/>
    <cellStyle name="好 3" xfId="25022" xr:uid="{00000000-0005-0000-0000-0000FC410000}"/>
    <cellStyle name="好 3 10" xfId="14641" xr:uid="{00000000-0005-0000-0000-0000FD410000}"/>
    <cellStyle name="好 3 11" xfId="10908" xr:uid="{00000000-0005-0000-0000-0000FE410000}"/>
    <cellStyle name="好 3 12" xfId="10912" xr:uid="{00000000-0005-0000-0000-0000FF410000}"/>
    <cellStyle name="好 3 13" xfId="10660" xr:uid="{00000000-0005-0000-0000-000000420000}"/>
    <cellStyle name="好 3 14" xfId="10669" xr:uid="{00000000-0005-0000-0000-000001420000}"/>
    <cellStyle name="好 3 15" xfId="10673" xr:uid="{00000000-0005-0000-0000-000002420000}"/>
    <cellStyle name="好 3 16" xfId="10679" xr:uid="{00000000-0005-0000-0000-000003420000}"/>
    <cellStyle name="好 3 17" xfId="19425" xr:uid="{00000000-0005-0000-0000-000004420000}"/>
    <cellStyle name="好 3 17 10" xfId="1981" xr:uid="{00000000-0005-0000-0000-000005420000}"/>
    <cellStyle name="好 3 17 11" xfId="1989" xr:uid="{00000000-0005-0000-0000-000006420000}"/>
    <cellStyle name="好 3 17 12" xfId="2009" xr:uid="{00000000-0005-0000-0000-000007420000}"/>
    <cellStyle name="好 3 17 13" xfId="2221" xr:uid="{00000000-0005-0000-0000-000008420000}"/>
    <cellStyle name="好 3 17 14" xfId="2300" xr:uid="{00000000-0005-0000-0000-000009420000}"/>
    <cellStyle name="好 3 17 2" xfId="3097" xr:uid="{00000000-0005-0000-0000-00000A420000}"/>
    <cellStyle name="好 3 17 2 2" xfId="25023" xr:uid="{00000000-0005-0000-0000-00000B420000}"/>
    <cellStyle name="好 3 17 3" xfId="6167" xr:uid="{00000000-0005-0000-0000-00000C420000}"/>
    <cellStyle name="好 3 17 4" xfId="25026" xr:uid="{00000000-0005-0000-0000-00000D420000}"/>
    <cellStyle name="好 3 17 5" xfId="25028" xr:uid="{00000000-0005-0000-0000-00000E420000}"/>
    <cellStyle name="好 3 17 5 10" xfId="25029" xr:uid="{00000000-0005-0000-0000-00000F420000}"/>
    <cellStyle name="好 3 17 5 11" xfId="25031" xr:uid="{00000000-0005-0000-0000-000010420000}"/>
    <cellStyle name="好 3 17 5 2" xfId="25033" xr:uid="{00000000-0005-0000-0000-000011420000}"/>
    <cellStyle name="好 3 17 5 2 2" xfId="25034" xr:uid="{00000000-0005-0000-0000-000012420000}"/>
    <cellStyle name="好 3 17 5 2 2 2" xfId="11711" xr:uid="{00000000-0005-0000-0000-000013420000}"/>
    <cellStyle name="好 3 17 5 2 2 3" xfId="11718" xr:uid="{00000000-0005-0000-0000-000014420000}"/>
    <cellStyle name="好 3 17 5 2 3" xfId="19438" xr:uid="{00000000-0005-0000-0000-000015420000}"/>
    <cellStyle name="好 3 17 5 2 4" xfId="25035" xr:uid="{00000000-0005-0000-0000-000016420000}"/>
    <cellStyle name="好 3 17 5 2 5" xfId="25039" xr:uid="{00000000-0005-0000-0000-000017420000}"/>
    <cellStyle name="好 3 17 5 2 6" xfId="25044" xr:uid="{00000000-0005-0000-0000-000018420000}"/>
    <cellStyle name="好 3 17 5 2 7" xfId="17675" xr:uid="{00000000-0005-0000-0000-000019420000}"/>
    <cellStyle name="好 3 17 5 2 8" xfId="7762" xr:uid="{00000000-0005-0000-0000-00001A420000}"/>
    <cellStyle name="好 3 17 5 3" xfId="25045" xr:uid="{00000000-0005-0000-0000-00001B420000}"/>
    <cellStyle name="好 3 17 5 4" xfId="25046" xr:uid="{00000000-0005-0000-0000-00001C420000}"/>
    <cellStyle name="好 3 17 5 5" xfId="25047" xr:uid="{00000000-0005-0000-0000-00001D420000}"/>
    <cellStyle name="好 3 17 5 6" xfId="25048" xr:uid="{00000000-0005-0000-0000-00001E420000}"/>
    <cellStyle name="好 3 17 5 6 2" xfId="25050" xr:uid="{00000000-0005-0000-0000-00001F420000}"/>
    <cellStyle name="好 3 17 5 6 3" xfId="25051" xr:uid="{00000000-0005-0000-0000-000020420000}"/>
    <cellStyle name="好 3 17 5 7" xfId="25052" xr:uid="{00000000-0005-0000-0000-000021420000}"/>
    <cellStyle name="好 3 17 5 8" xfId="25053" xr:uid="{00000000-0005-0000-0000-000022420000}"/>
    <cellStyle name="好 3 17 5 9" xfId="25054" xr:uid="{00000000-0005-0000-0000-000023420000}"/>
    <cellStyle name="好 3 17 6" xfId="25056" xr:uid="{00000000-0005-0000-0000-000024420000}"/>
    <cellStyle name="好 3 17 6 2" xfId="7309" xr:uid="{00000000-0005-0000-0000-000025420000}"/>
    <cellStyle name="好 3 17 6 2 2" xfId="25057" xr:uid="{00000000-0005-0000-0000-000026420000}"/>
    <cellStyle name="好 3 17 6 2 3" xfId="25058" xr:uid="{00000000-0005-0000-0000-000027420000}"/>
    <cellStyle name="好 3 17 6 3" xfId="7323" xr:uid="{00000000-0005-0000-0000-000028420000}"/>
    <cellStyle name="好 3 17 6 4" xfId="7333" xr:uid="{00000000-0005-0000-0000-000029420000}"/>
    <cellStyle name="好 3 17 6 5" xfId="7341" xr:uid="{00000000-0005-0000-0000-00002A420000}"/>
    <cellStyle name="好 3 17 6 6" xfId="7351" xr:uid="{00000000-0005-0000-0000-00002B420000}"/>
    <cellStyle name="好 3 17 6 7" xfId="7358" xr:uid="{00000000-0005-0000-0000-00002C420000}"/>
    <cellStyle name="好 3 17 6 8" xfId="25059" xr:uid="{00000000-0005-0000-0000-00002D420000}"/>
    <cellStyle name="好 3 17 7" xfId="25061" xr:uid="{00000000-0005-0000-0000-00002E420000}"/>
    <cellStyle name="好 3 17 8" xfId="25063" xr:uid="{00000000-0005-0000-0000-00002F420000}"/>
    <cellStyle name="好 3 17 9" xfId="25064" xr:uid="{00000000-0005-0000-0000-000030420000}"/>
    <cellStyle name="好 3 17 9 2" xfId="19467" xr:uid="{00000000-0005-0000-0000-000031420000}"/>
    <cellStyle name="好 3 17 9 3" xfId="25067" xr:uid="{00000000-0005-0000-0000-000032420000}"/>
    <cellStyle name="好 3 18" xfId="19474" xr:uid="{00000000-0005-0000-0000-000033420000}"/>
    <cellStyle name="好 3 18 10" xfId="25068" xr:uid="{00000000-0005-0000-0000-000034420000}"/>
    <cellStyle name="好 3 18 11" xfId="19062" xr:uid="{00000000-0005-0000-0000-000035420000}"/>
    <cellStyle name="好 3 18 12" xfId="11672" xr:uid="{00000000-0005-0000-0000-000036420000}"/>
    <cellStyle name="好 3 18 13" xfId="11678" xr:uid="{00000000-0005-0000-0000-000037420000}"/>
    <cellStyle name="好 3 18 14" xfId="19064" xr:uid="{00000000-0005-0000-0000-000038420000}"/>
    <cellStyle name="好 3 18 2" xfId="25070" xr:uid="{00000000-0005-0000-0000-000039420000}"/>
    <cellStyle name="好 3 18 3" xfId="25072" xr:uid="{00000000-0005-0000-0000-00003A420000}"/>
    <cellStyle name="好 3 18 4" xfId="25075" xr:uid="{00000000-0005-0000-0000-00003B420000}"/>
    <cellStyle name="好 3 18 5" xfId="25078" xr:uid="{00000000-0005-0000-0000-00003C420000}"/>
    <cellStyle name="好 3 18 5 10" xfId="25079" xr:uid="{00000000-0005-0000-0000-00003D420000}"/>
    <cellStyle name="好 3 18 5 11" xfId="25080" xr:uid="{00000000-0005-0000-0000-00003E420000}"/>
    <cellStyle name="好 3 18 5 2" xfId="11368" xr:uid="{00000000-0005-0000-0000-00003F420000}"/>
    <cellStyle name="好 3 18 5 2 2" xfId="10695" xr:uid="{00000000-0005-0000-0000-000040420000}"/>
    <cellStyle name="好 3 18 5 2 2 2" xfId="25082" xr:uid="{00000000-0005-0000-0000-000041420000}"/>
    <cellStyle name="好 3 18 5 2 2 3" xfId="25084" xr:uid="{00000000-0005-0000-0000-000042420000}"/>
    <cellStyle name="好 3 18 5 2 3" xfId="11705" xr:uid="{00000000-0005-0000-0000-000043420000}"/>
    <cellStyle name="好 3 18 5 2 4" xfId="11713" xr:uid="{00000000-0005-0000-0000-000044420000}"/>
    <cellStyle name="好 3 18 5 2 5" xfId="11724" xr:uid="{00000000-0005-0000-0000-000045420000}"/>
    <cellStyle name="好 3 18 5 2 6" xfId="11728" xr:uid="{00000000-0005-0000-0000-000046420000}"/>
    <cellStyle name="好 3 18 5 2 7" xfId="25085" xr:uid="{00000000-0005-0000-0000-000047420000}"/>
    <cellStyle name="好 3 18 5 2 8" xfId="25086" xr:uid="{00000000-0005-0000-0000-000048420000}"/>
    <cellStyle name="好 3 18 5 3" xfId="7102" xr:uid="{00000000-0005-0000-0000-000049420000}"/>
    <cellStyle name="好 3 18 5 4" xfId="25087" xr:uid="{00000000-0005-0000-0000-00004A420000}"/>
    <cellStyle name="好 3 18 5 5" xfId="25088" xr:uid="{00000000-0005-0000-0000-00004B420000}"/>
    <cellStyle name="好 3 18 5 6" xfId="25089" xr:uid="{00000000-0005-0000-0000-00004C420000}"/>
    <cellStyle name="好 3 18 5 6 2" xfId="25090" xr:uid="{00000000-0005-0000-0000-00004D420000}"/>
    <cellStyle name="好 3 18 5 6 3" xfId="25092" xr:uid="{00000000-0005-0000-0000-00004E420000}"/>
    <cellStyle name="好 3 18 5 7" xfId="7135" xr:uid="{00000000-0005-0000-0000-00004F420000}"/>
    <cellStyle name="好 3 18 5 8" xfId="11420" xr:uid="{00000000-0005-0000-0000-000050420000}"/>
    <cellStyle name="好 3 18 5 9" xfId="11745" xr:uid="{00000000-0005-0000-0000-000051420000}"/>
    <cellStyle name="好 3 18 6" xfId="7543" xr:uid="{00000000-0005-0000-0000-000052420000}"/>
    <cellStyle name="好 3 18 6 2" xfId="9607" xr:uid="{00000000-0005-0000-0000-000053420000}"/>
    <cellStyle name="好 3 18 6 2 2" xfId="25095" xr:uid="{00000000-0005-0000-0000-000054420000}"/>
    <cellStyle name="好 3 18 6 2 3" xfId="25097" xr:uid="{00000000-0005-0000-0000-000055420000}"/>
    <cellStyle name="好 3 18 6 3" xfId="25099" xr:uid="{00000000-0005-0000-0000-000056420000}"/>
    <cellStyle name="好 3 18 6 4" xfId="25100" xr:uid="{00000000-0005-0000-0000-000057420000}"/>
    <cellStyle name="好 3 18 6 5" xfId="25101" xr:uid="{00000000-0005-0000-0000-000058420000}"/>
    <cellStyle name="好 3 18 6 6" xfId="25102" xr:uid="{00000000-0005-0000-0000-000059420000}"/>
    <cellStyle name="好 3 18 6 7" xfId="25104" xr:uid="{00000000-0005-0000-0000-00005A420000}"/>
    <cellStyle name="好 3 18 6 8" xfId="25106" xr:uid="{00000000-0005-0000-0000-00005B420000}"/>
    <cellStyle name="好 3 18 7" xfId="11752" xr:uid="{00000000-0005-0000-0000-00005C420000}"/>
    <cellStyle name="好 3 18 8" xfId="11762" xr:uid="{00000000-0005-0000-0000-00005D420000}"/>
    <cellStyle name="好 3 18 9" xfId="11770" xr:uid="{00000000-0005-0000-0000-00005E420000}"/>
    <cellStyle name="好 3 18 9 2" xfId="11773" xr:uid="{00000000-0005-0000-0000-00005F420000}"/>
    <cellStyle name="好 3 18 9 3" xfId="11782" xr:uid="{00000000-0005-0000-0000-000060420000}"/>
    <cellStyle name="好 3 19" xfId="19477" xr:uid="{00000000-0005-0000-0000-000061420000}"/>
    <cellStyle name="好 3 19 10" xfId="25107" xr:uid="{00000000-0005-0000-0000-000062420000}"/>
    <cellStyle name="好 3 19 11" xfId="24574" xr:uid="{00000000-0005-0000-0000-000063420000}"/>
    <cellStyle name="好 3 19 12" xfId="5646" xr:uid="{00000000-0005-0000-0000-000064420000}"/>
    <cellStyle name="好 3 19 13" xfId="5652" xr:uid="{00000000-0005-0000-0000-000065420000}"/>
    <cellStyle name="好 3 19 14" xfId="11227" xr:uid="{00000000-0005-0000-0000-000066420000}"/>
    <cellStyle name="好 3 19 2" xfId="17580" xr:uid="{00000000-0005-0000-0000-000067420000}"/>
    <cellStyle name="好 3 19 3" xfId="25108" xr:uid="{00000000-0005-0000-0000-000068420000}"/>
    <cellStyle name="好 3 19 4" xfId="25110" xr:uid="{00000000-0005-0000-0000-000069420000}"/>
    <cellStyle name="好 3 19 5" xfId="25112" xr:uid="{00000000-0005-0000-0000-00006A420000}"/>
    <cellStyle name="好 3 19 5 10" xfId="25113" xr:uid="{00000000-0005-0000-0000-00006B420000}"/>
    <cellStyle name="好 3 19 5 11" xfId="25114" xr:uid="{00000000-0005-0000-0000-00006C420000}"/>
    <cellStyle name="好 3 19 5 2" xfId="25116" xr:uid="{00000000-0005-0000-0000-00006D420000}"/>
    <cellStyle name="好 3 19 5 2 2" xfId="24799" xr:uid="{00000000-0005-0000-0000-00006E420000}"/>
    <cellStyle name="好 3 19 5 2 2 2" xfId="254" xr:uid="{00000000-0005-0000-0000-00006F420000}"/>
    <cellStyle name="好 3 19 5 2 2 3" xfId="25119" xr:uid="{00000000-0005-0000-0000-000070420000}"/>
    <cellStyle name="好 3 19 5 2 3" xfId="24801" xr:uid="{00000000-0005-0000-0000-000071420000}"/>
    <cellStyle name="好 3 19 5 2 4" xfId="5360" xr:uid="{00000000-0005-0000-0000-000072420000}"/>
    <cellStyle name="好 3 19 5 2 5" xfId="5398" xr:uid="{00000000-0005-0000-0000-000073420000}"/>
    <cellStyle name="好 3 19 5 2 6" xfId="5411" xr:uid="{00000000-0005-0000-0000-000074420000}"/>
    <cellStyle name="好 3 19 5 2 7" xfId="5424" xr:uid="{00000000-0005-0000-0000-000075420000}"/>
    <cellStyle name="好 3 19 5 2 8" xfId="5438" xr:uid="{00000000-0005-0000-0000-000076420000}"/>
    <cellStyle name="好 3 19 5 3" xfId="25120" xr:uid="{00000000-0005-0000-0000-000077420000}"/>
    <cellStyle name="好 3 19 5 4" xfId="25121" xr:uid="{00000000-0005-0000-0000-000078420000}"/>
    <cellStyle name="好 3 19 5 5" xfId="25123" xr:uid="{00000000-0005-0000-0000-000079420000}"/>
    <cellStyle name="好 3 19 5 6" xfId="25125" xr:uid="{00000000-0005-0000-0000-00007A420000}"/>
    <cellStyle name="好 3 19 5 6 2" xfId="25126" xr:uid="{00000000-0005-0000-0000-00007B420000}"/>
    <cellStyle name="好 3 19 5 6 3" xfId="25127" xr:uid="{00000000-0005-0000-0000-00007C420000}"/>
    <cellStyle name="好 3 19 5 7" xfId="25128" xr:uid="{00000000-0005-0000-0000-00007D420000}"/>
    <cellStyle name="好 3 19 5 8" xfId="12458" xr:uid="{00000000-0005-0000-0000-00007E420000}"/>
    <cellStyle name="好 3 19 5 9" xfId="12461" xr:uid="{00000000-0005-0000-0000-00007F420000}"/>
    <cellStyle name="好 3 19 6" xfId="16818" xr:uid="{00000000-0005-0000-0000-000080420000}"/>
    <cellStyle name="好 3 19 6 2" xfId="25129" xr:uid="{00000000-0005-0000-0000-000081420000}"/>
    <cellStyle name="好 3 19 6 2 2" xfId="15161" xr:uid="{00000000-0005-0000-0000-000082420000}"/>
    <cellStyle name="好 3 19 6 2 3" xfId="15164" xr:uid="{00000000-0005-0000-0000-000083420000}"/>
    <cellStyle name="好 3 19 6 3" xfId="25130" xr:uid="{00000000-0005-0000-0000-000084420000}"/>
    <cellStyle name="好 3 19 6 4" xfId="25132" xr:uid="{00000000-0005-0000-0000-000085420000}"/>
    <cellStyle name="好 3 19 6 5" xfId="25134" xr:uid="{00000000-0005-0000-0000-000086420000}"/>
    <cellStyle name="好 3 19 6 6" xfId="25136" xr:uid="{00000000-0005-0000-0000-000087420000}"/>
    <cellStyle name="好 3 19 6 7" xfId="25138" xr:uid="{00000000-0005-0000-0000-000088420000}"/>
    <cellStyle name="好 3 19 6 8" xfId="25140" xr:uid="{00000000-0005-0000-0000-000089420000}"/>
    <cellStyle name="好 3 19 7" xfId="16821" xr:uid="{00000000-0005-0000-0000-00008A420000}"/>
    <cellStyle name="好 3 19 8" xfId="16827" xr:uid="{00000000-0005-0000-0000-00008B420000}"/>
    <cellStyle name="好 3 19 9" xfId="16832" xr:uid="{00000000-0005-0000-0000-00008C420000}"/>
    <cellStyle name="好 3 19 9 2" xfId="16849" xr:uid="{00000000-0005-0000-0000-00008D420000}"/>
    <cellStyle name="好 3 19 9 3" xfId="16853" xr:uid="{00000000-0005-0000-0000-00008E420000}"/>
    <cellStyle name="好 3 2" xfId="25141" xr:uid="{00000000-0005-0000-0000-00008F420000}"/>
    <cellStyle name="好 3 2 10" xfId="1952" xr:uid="{00000000-0005-0000-0000-000090420000}"/>
    <cellStyle name="好 3 2 11" xfId="1839" xr:uid="{00000000-0005-0000-0000-000091420000}"/>
    <cellStyle name="好 3 2 12" xfId="23915" xr:uid="{00000000-0005-0000-0000-000092420000}"/>
    <cellStyle name="好 3 2 13" xfId="25144" xr:uid="{00000000-0005-0000-0000-000093420000}"/>
    <cellStyle name="好 3 2 14" xfId="25146" xr:uid="{00000000-0005-0000-0000-000094420000}"/>
    <cellStyle name="好 3 2 2" xfId="13606" xr:uid="{00000000-0005-0000-0000-000095420000}"/>
    <cellStyle name="好 3 2 3" xfId="13615" xr:uid="{00000000-0005-0000-0000-000096420000}"/>
    <cellStyle name="好 3 2 4" xfId="25149" xr:uid="{00000000-0005-0000-0000-000097420000}"/>
    <cellStyle name="好 3 2 5" xfId="5141" xr:uid="{00000000-0005-0000-0000-000098420000}"/>
    <cellStyle name="好 3 2 6" xfId="17575" xr:uid="{00000000-0005-0000-0000-000099420000}"/>
    <cellStyle name="好 3 2 7" xfId="25152" xr:uid="{00000000-0005-0000-0000-00009A420000}"/>
    <cellStyle name="好 3 2 8" xfId="25155" xr:uid="{00000000-0005-0000-0000-00009B420000}"/>
    <cellStyle name="好 3 2 9" xfId="25157" xr:uid="{00000000-0005-0000-0000-00009C420000}"/>
    <cellStyle name="好 3 20" xfId="10674" xr:uid="{00000000-0005-0000-0000-00009D420000}"/>
    <cellStyle name="好 3 20 10" xfId="25159" xr:uid="{00000000-0005-0000-0000-00009E420000}"/>
    <cellStyle name="好 3 20 11" xfId="25160" xr:uid="{00000000-0005-0000-0000-00009F420000}"/>
    <cellStyle name="好 3 20 12" xfId="25161" xr:uid="{00000000-0005-0000-0000-0000A0420000}"/>
    <cellStyle name="好 3 20 13" xfId="25162" xr:uid="{00000000-0005-0000-0000-0000A1420000}"/>
    <cellStyle name="好 3 20 14" xfId="25165" xr:uid="{00000000-0005-0000-0000-0000A2420000}"/>
    <cellStyle name="好 3 20 2" xfId="25166" xr:uid="{00000000-0005-0000-0000-0000A3420000}"/>
    <cellStyle name="好 3 20 3" xfId="25167" xr:uid="{00000000-0005-0000-0000-0000A4420000}"/>
    <cellStyle name="好 3 20 4" xfId="18146" xr:uid="{00000000-0005-0000-0000-0000A5420000}"/>
    <cellStyle name="好 3 20 5" xfId="18148" xr:uid="{00000000-0005-0000-0000-0000A6420000}"/>
    <cellStyle name="好 3 20 5 10" xfId="20719" xr:uid="{00000000-0005-0000-0000-0000A7420000}"/>
    <cellStyle name="好 3 20 5 11" xfId="20721" xr:uid="{00000000-0005-0000-0000-0000A8420000}"/>
    <cellStyle name="好 3 20 5 2" xfId="25168" xr:uid="{00000000-0005-0000-0000-0000A9420000}"/>
    <cellStyle name="好 3 20 5 2 2" xfId="25169" xr:uid="{00000000-0005-0000-0000-0000AA420000}"/>
    <cellStyle name="好 3 20 5 2 2 2" xfId="25170" xr:uid="{00000000-0005-0000-0000-0000AB420000}"/>
    <cellStyle name="好 3 20 5 2 2 3" xfId="25172" xr:uid="{00000000-0005-0000-0000-0000AC420000}"/>
    <cellStyle name="好 3 20 5 2 3" xfId="25174" xr:uid="{00000000-0005-0000-0000-0000AD420000}"/>
    <cellStyle name="好 3 20 5 2 4" xfId="25176" xr:uid="{00000000-0005-0000-0000-0000AE420000}"/>
    <cellStyle name="好 3 20 5 2 5" xfId="25178" xr:uid="{00000000-0005-0000-0000-0000AF420000}"/>
    <cellStyle name="好 3 20 5 2 6" xfId="25180" xr:uid="{00000000-0005-0000-0000-0000B0420000}"/>
    <cellStyle name="好 3 20 5 2 7" xfId="25182" xr:uid="{00000000-0005-0000-0000-0000B1420000}"/>
    <cellStyle name="好 3 20 5 2 8" xfId="23442" xr:uid="{00000000-0005-0000-0000-0000B2420000}"/>
    <cellStyle name="好 3 20 5 3" xfId="25184" xr:uid="{00000000-0005-0000-0000-0000B3420000}"/>
    <cellStyle name="好 3 20 5 4" xfId="25185" xr:uid="{00000000-0005-0000-0000-0000B4420000}"/>
    <cellStyle name="好 3 20 5 5" xfId="5703" xr:uid="{00000000-0005-0000-0000-0000B5420000}"/>
    <cellStyle name="好 3 20 5 6" xfId="5710" xr:uid="{00000000-0005-0000-0000-0000B6420000}"/>
    <cellStyle name="好 3 20 5 6 2" xfId="12468" xr:uid="{00000000-0005-0000-0000-0000B7420000}"/>
    <cellStyle name="好 3 20 5 6 3" xfId="12471" xr:uid="{00000000-0005-0000-0000-0000B8420000}"/>
    <cellStyle name="好 3 20 5 7" xfId="5722" xr:uid="{00000000-0005-0000-0000-0000B9420000}"/>
    <cellStyle name="好 3 20 5 8" xfId="5742" xr:uid="{00000000-0005-0000-0000-0000BA420000}"/>
    <cellStyle name="好 3 20 5 9" xfId="5755" xr:uid="{00000000-0005-0000-0000-0000BB420000}"/>
    <cellStyle name="好 3 20 6" xfId="25186" xr:uid="{00000000-0005-0000-0000-0000BC420000}"/>
    <cellStyle name="好 3 20 6 2" xfId="25187" xr:uid="{00000000-0005-0000-0000-0000BD420000}"/>
    <cellStyle name="好 3 20 6 2 2" xfId="25189" xr:uid="{00000000-0005-0000-0000-0000BE420000}"/>
    <cellStyle name="好 3 20 6 2 3" xfId="25191" xr:uid="{00000000-0005-0000-0000-0000BF420000}"/>
    <cellStyle name="好 3 20 6 3" xfId="25194" xr:uid="{00000000-0005-0000-0000-0000C0420000}"/>
    <cellStyle name="好 3 20 6 4" xfId="25197" xr:uid="{00000000-0005-0000-0000-0000C1420000}"/>
    <cellStyle name="好 3 20 6 5" xfId="25199" xr:uid="{00000000-0005-0000-0000-0000C2420000}"/>
    <cellStyle name="好 3 20 6 6" xfId="25201" xr:uid="{00000000-0005-0000-0000-0000C3420000}"/>
    <cellStyle name="好 3 20 6 7" xfId="25202" xr:uid="{00000000-0005-0000-0000-0000C4420000}"/>
    <cellStyle name="好 3 20 6 8" xfId="25203" xr:uid="{00000000-0005-0000-0000-0000C5420000}"/>
    <cellStyle name="好 3 20 7" xfId="25205" xr:uid="{00000000-0005-0000-0000-0000C6420000}"/>
    <cellStyle name="好 3 20 8" xfId="25208" xr:uid="{00000000-0005-0000-0000-0000C7420000}"/>
    <cellStyle name="好 3 20 9" xfId="25211" xr:uid="{00000000-0005-0000-0000-0000C8420000}"/>
    <cellStyle name="好 3 20 9 2" xfId="25212" xr:uid="{00000000-0005-0000-0000-0000C9420000}"/>
    <cellStyle name="好 3 20 9 3" xfId="25215" xr:uid="{00000000-0005-0000-0000-0000CA420000}"/>
    <cellStyle name="好 3 3" xfId="25217" xr:uid="{00000000-0005-0000-0000-0000CB420000}"/>
    <cellStyle name="好 3 3 10" xfId="2358" xr:uid="{00000000-0005-0000-0000-0000CC420000}"/>
    <cellStyle name="好 3 3 11" xfId="25220" xr:uid="{00000000-0005-0000-0000-0000CD420000}"/>
    <cellStyle name="好 3 3 12" xfId="25222" xr:uid="{00000000-0005-0000-0000-0000CE420000}"/>
    <cellStyle name="好 3 3 13" xfId="25224" xr:uid="{00000000-0005-0000-0000-0000CF420000}"/>
    <cellStyle name="好 3 3 14" xfId="25226" xr:uid="{00000000-0005-0000-0000-0000D0420000}"/>
    <cellStyle name="好 3 3 2" xfId="12622" xr:uid="{00000000-0005-0000-0000-0000D1420000}"/>
    <cellStyle name="好 3 3 3" xfId="12632" xr:uid="{00000000-0005-0000-0000-0000D2420000}"/>
    <cellStyle name="好 3 3 4" xfId="13655" xr:uid="{00000000-0005-0000-0000-0000D3420000}"/>
    <cellStyle name="好 3 3 5" xfId="25227" xr:uid="{00000000-0005-0000-0000-0000D4420000}"/>
    <cellStyle name="好 3 3 6" xfId="25228" xr:uid="{00000000-0005-0000-0000-0000D5420000}"/>
    <cellStyle name="好 3 3 7" xfId="19855" xr:uid="{00000000-0005-0000-0000-0000D6420000}"/>
    <cellStyle name="好 3 3 8" xfId="19859" xr:uid="{00000000-0005-0000-0000-0000D7420000}"/>
    <cellStyle name="好 3 3 9" xfId="19862" xr:uid="{00000000-0005-0000-0000-0000D8420000}"/>
    <cellStyle name="好 3 4" xfId="25229" xr:uid="{00000000-0005-0000-0000-0000D9420000}"/>
    <cellStyle name="好 3 4 10" xfId="25232" xr:uid="{00000000-0005-0000-0000-0000DA420000}"/>
    <cellStyle name="好 3 4 11" xfId="25233" xr:uid="{00000000-0005-0000-0000-0000DB420000}"/>
    <cellStyle name="好 3 4 12" xfId="25234" xr:uid="{00000000-0005-0000-0000-0000DC420000}"/>
    <cellStyle name="好 3 4 13" xfId="25235" xr:uid="{00000000-0005-0000-0000-0000DD420000}"/>
    <cellStyle name="好 3 4 14" xfId="25236" xr:uid="{00000000-0005-0000-0000-0000DE420000}"/>
    <cellStyle name="好 3 4 2" xfId="20006" xr:uid="{00000000-0005-0000-0000-0000DF420000}"/>
    <cellStyle name="好 3 4 3" xfId="20042" xr:uid="{00000000-0005-0000-0000-0000E0420000}"/>
    <cellStyle name="好 3 4 4" xfId="25237" xr:uid="{00000000-0005-0000-0000-0000E1420000}"/>
    <cellStyle name="好 3 4 5" xfId="25239" xr:uid="{00000000-0005-0000-0000-0000E2420000}"/>
    <cellStyle name="好 3 4 6" xfId="25241" xr:uid="{00000000-0005-0000-0000-0000E3420000}"/>
    <cellStyle name="好 3 4 7" xfId="25243" xr:uid="{00000000-0005-0000-0000-0000E4420000}"/>
    <cellStyle name="好 3 4 8" xfId="25245" xr:uid="{00000000-0005-0000-0000-0000E5420000}"/>
    <cellStyle name="好 3 4 9" xfId="25247" xr:uid="{00000000-0005-0000-0000-0000E6420000}"/>
    <cellStyle name="好 3 5" xfId="25248" xr:uid="{00000000-0005-0000-0000-0000E7420000}"/>
    <cellStyle name="好 3 6" xfId="25249" xr:uid="{00000000-0005-0000-0000-0000E8420000}"/>
    <cellStyle name="好 3 7" xfId="25251" xr:uid="{00000000-0005-0000-0000-0000E9420000}"/>
    <cellStyle name="好 3 8" xfId="25253" xr:uid="{00000000-0005-0000-0000-0000EA420000}"/>
    <cellStyle name="好 3 9" xfId="25255" xr:uid="{00000000-0005-0000-0000-0000EB420000}"/>
    <cellStyle name="好 4" xfId="25256" xr:uid="{00000000-0005-0000-0000-0000EC420000}"/>
    <cellStyle name="好 4 10" xfId="25257" xr:uid="{00000000-0005-0000-0000-0000ED420000}"/>
    <cellStyle name="好 4 11" xfId="25259" xr:uid="{00000000-0005-0000-0000-0000EE420000}"/>
    <cellStyle name="好 4 12" xfId="25260" xr:uid="{00000000-0005-0000-0000-0000EF420000}"/>
    <cellStyle name="好 4 13" xfId="25261" xr:uid="{00000000-0005-0000-0000-0000F0420000}"/>
    <cellStyle name="好 4 14" xfId="25262" xr:uid="{00000000-0005-0000-0000-0000F1420000}"/>
    <cellStyle name="好 4 15" xfId="25263" xr:uid="{00000000-0005-0000-0000-0000F2420000}"/>
    <cellStyle name="好 4 16" xfId="25265" xr:uid="{00000000-0005-0000-0000-0000F3420000}"/>
    <cellStyle name="好 4 17" xfId="25266" xr:uid="{00000000-0005-0000-0000-0000F4420000}"/>
    <cellStyle name="好 4 17 10" xfId="25267" xr:uid="{00000000-0005-0000-0000-0000F5420000}"/>
    <cellStyle name="好 4 17 11" xfId="25268" xr:uid="{00000000-0005-0000-0000-0000F6420000}"/>
    <cellStyle name="好 4 17 12" xfId="25269" xr:uid="{00000000-0005-0000-0000-0000F7420000}"/>
    <cellStyle name="好 4 17 13" xfId="25270" xr:uid="{00000000-0005-0000-0000-0000F8420000}"/>
    <cellStyle name="好 4 17 14" xfId="25271" xr:uid="{00000000-0005-0000-0000-0000F9420000}"/>
    <cellStyle name="好 4 17 2" xfId="22523" xr:uid="{00000000-0005-0000-0000-0000FA420000}"/>
    <cellStyle name="好 4 17 3" xfId="22526" xr:uid="{00000000-0005-0000-0000-0000FB420000}"/>
    <cellStyle name="好 4 17 4" xfId="22642" xr:uid="{00000000-0005-0000-0000-0000FC420000}"/>
    <cellStyle name="好 4 17 5" xfId="22644" xr:uid="{00000000-0005-0000-0000-0000FD420000}"/>
    <cellStyle name="好 4 17 5 10" xfId="25272" xr:uid="{00000000-0005-0000-0000-0000FE420000}"/>
    <cellStyle name="好 4 17 5 11" xfId="25273" xr:uid="{00000000-0005-0000-0000-0000FF420000}"/>
    <cellStyle name="好 4 17 5 2" xfId="25274" xr:uid="{00000000-0005-0000-0000-000000430000}"/>
    <cellStyle name="好 4 17 5 2 2" xfId="25275" xr:uid="{00000000-0005-0000-0000-000001430000}"/>
    <cellStyle name="好 4 17 5 2 2 2" xfId="12483" xr:uid="{00000000-0005-0000-0000-000002430000}"/>
    <cellStyle name="好 4 17 5 2 2 3" xfId="12487" xr:uid="{00000000-0005-0000-0000-000003430000}"/>
    <cellStyle name="好 4 17 5 2 3" xfId="22221" xr:uid="{00000000-0005-0000-0000-000004430000}"/>
    <cellStyle name="好 4 17 5 2 4" xfId="22223" xr:uid="{00000000-0005-0000-0000-000005430000}"/>
    <cellStyle name="好 4 17 5 2 5" xfId="25276" xr:uid="{00000000-0005-0000-0000-000006430000}"/>
    <cellStyle name="好 4 17 5 2 6" xfId="25277" xr:uid="{00000000-0005-0000-0000-000007430000}"/>
    <cellStyle name="好 4 17 5 2 7" xfId="25278" xr:uid="{00000000-0005-0000-0000-000008430000}"/>
    <cellStyle name="好 4 17 5 2 8" xfId="10768" xr:uid="{00000000-0005-0000-0000-000009430000}"/>
    <cellStyle name="好 4 17 5 3" xfId="25279" xr:uid="{00000000-0005-0000-0000-00000A430000}"/>
    <cellStyle name="好 4 17 5 4" xfId="25280" xr:uid="{00000000-0005-0000-0000-00000B430000}"/>
    <cellStyle name="好 4 17 5 5" xfId="25281" xr:uid="{00000000-0005-0000-0000-00000C430000}"/>
    <cellStyle name="好 4 17 5 6" xfId="25282" xr:uid="{00000000-0005-0000-0000-00000D430000}"/>
    <cellStyle name="好 4 17 5 6 2" xfId="25283" xr:uid="{00000000-0005-0000-0000-00000E430000}"/>
    <cellStyle name="好 4 17 5 6 3" xfId="25284" xr:uid="{00000000-0005-0000-0000-00000F430000}"/>
    <cellStyle name="好 4 17 5 7" xfId="25285" xr:uid="{00000000-0005-0000-0000-000010430000}"/>
    <cellStyle name="好 4 17 5 8" xfId="25286" xr:uid="{00000000-0005-0000-0000-000011430000}"/>
    <cellStyle name="好 4 17 5 9" xfId="25288" xr:uid="{00000000-0005-0000-0000-000012430000}"/>
    <cellStyle name="好 4 17 6" xfId="22646" xr:uid="{00000000-0005-0000-0000-000013430000}"/>
    <cellStyle name="好 4 17 6 2" xfId="4324" xr:uid="{00000000-0005-0000-0000-000014430000}"/>
    <cellStyle name="好 4 17 6 2 2" xfId="25289" xr:uid="{00000000-0005-0000-0000-000015430000}"/>
    <cellStyle name="好 4 17 6 2 3" xfId="25290" xr:uid="{00000000-0005-0000-0000-000016430000}"/>
    <cellStyle name="好 4 17 6 3" xfId="4333" xr:uid="{00000000-0005-0000-0000-000017430000}"/>
    <cellStyle name="好 4 17 6 4" xfId="483" xr:uid="{00000000-0005-0000-0000-000018430000}"/>
    <cellStyle name="好 4 17 6 5" xfId="4341" xr:uid="{00000000-0005-0000-0000-000019430000}"/>
    <cellStyle name="好 4 17 6 6" xfId="9961" xr:uid="{00000000-0005-0000-0000-00001A430000}"/>
    <cellStyle name="好 4 17 6 7" xfId="10366" xr:uid="{00000000-0005-0000-0000-00001B430000}"/>
    <cellStyle name="好 4 17 6 8" xfId="25291" xr:uid="{00000000-0005-0000-0000-00001C430000}"/>
    <cellStyle name="好 4 17 7" xfId="25292" xr:uid="{00000000-0005-0000-0000-00001D430000}"/>
    <cellStyle name="好 4 17 8" xfId="25294" xr:uid="{00000000-0005-0000-0000-00001E430000}"/>
    <cellStyle name="好 4 17 9" xfId="19244" xr:uid="{00000000-0005-0000-0000-00001F430000}"/>
    <cellStyle name="好 4 17 9 2" xfId="10954" xr:uid="{00000000-0005-0000-0000-000020430000}"/>
    <cellStyle name="好 4 17 9 3" xfId="19245" xr:uid="{00000000-0005-0000-0000-000021430000}"/>
    <cellStyle name="好 4 18" xfId="25295" xr:uid="{00000000-0005-0000-0000-000022430000}"/>
    <cellStyle name="好 4 18 10" xfId="511" xr:uid="{00000000-0005-0000-0000-000023430000}"/>
    <cellStyle name="好 4 18 11" xfId="552" xr:uid="{00000000-0005-0000-0000-000024430000}"/>
    <cellStyle name="好 4 18 12" xfId="1224" xr:uid="{00000000-0005-0000-0000-000025430000}"/>
    <cellStyle name="好 4 18 13" xfId="1235" xr:uid="{00000000-0005-0000-0000-000026430000}"/>
    <cellStyle name="好 4 18 14" xfId="7771" xr:uid="{00000000-0005-0000-0000-000027430000}"/>
    <cellStyle name="好 4 18 2" xfId="25297" xr:uid="{00000000-0005-0000-0000-000028430000}"/>
    <cellStyle name="好 4 18 3" xfId="25299" xr:uid="{00000000-0005-0000-0000-000029430000}"/>
    <cellStyle name="好 4 18 4" xfId="25301" xr:uid="{00000000-0005-0000-0000-00002A430000}"/>
    <cellStyle name="好 4 18 5" xfId="25303" xr:uid="{00000000-0005-0000-0000-00002B430000}"/>
    <cellStyle name="好 4 18 5 10" xfId="7873" xr:uid="{00000000-0005-0000-0000-00002C430000}"/>
    <cellStyle name="好 4 18 5 11" xfId="7880" xr:uid="{00000000-0005-0000-0000-00002D430000}"/>
    <cellStyle name="好 4 18 5 2" xfId="25304" xr:uid="{00000000-0005-0000-0000-00002E430000}"/>
    <cellStyle name="好 4 18 5 2 2" xfId="8044" xr:uid="{00000000-0005-0000-0000-00002F430000}"/>
    <cellStyle name="好 4 18 5 2 2 2" xfId="18569" xr:uid="{00000000-0005-0000-0000-000030430000}"/>
    <cellStyle name="好 4 18 5 2 2 3" xfId="18573" xr:uid="{00000000-0005-0000-0000-000031430000}"/>
    <cellStyle name="好 4 18 5 2 3" xfId="8055" xr:uid="{00000000-0005-0000-0000-000032430000}"/>
    <cellStyle name="好 4 18 5 2 4" xfId="9882" xr:uid="{00000000-0005-0000-0000-000033430000}"/>
    <cellStyle name="好 4 18 5 2 5" xfId="8777" xr:uid="{00000000-0005-0000-0000-000034430000}"/>
    <cellStyle name="好 4 18 5 2 6" xfId="8786" xr:uid="{00000000-0005-0000-0000-000035430000}"/>
    <cellStyle name="好 4 18 5 2 7" xfId="25307" xr:uid="{00000000-0005-0000-0000-000036430000}"/>
    <cellStyle name="好 4 18 5 2 8" xfId="25308" xr:uid="{00000000-0005-0000-0000-000037430000}"/>
    <cellStyle name="好 4 18 5 3" xfId="25309" xr:uid="{00000000-0005-0000-0000-000038430000}"/>
    <cellStyle name="好 4 18 5 4" xfId="24597" xr:uid="{00000000-0005-0000-0000-000039430000}"/>
    <cellStyle name="好 4 18 5 5" xfId="25311" xr:uid="{00000000-0005-0000-0000-00003A430000}"/>
    <cellStyle name="好 4 18 5 6" xfId="25313" xr:uid="{00000000-0005-0000-0000-00003B430000}"/>
    <cellStyle name="好 4 18 5 6 2" xfId="17431" xr:uid="{00000000-0005-0000-0000-00003C430000}"/>
    <cellStyle name="好 4 18 5 6 3" xfId="17435" xr:uid="{00000000-0005-0000-0000-00003D430000}"/>
    <cellStyle name="好 4 18 5 7" xfId="25315" xr:uid="{00000000-0005-0000-0000-00003E430000}"/>
    <cellStyle name="好 4 18 5 8" xfId="25317" xr:uid="{00000000-0005-0000-0000-00003F430000}"/>
    <cellStyle name="好 4 18 5 9" xfId="25319" xr:uid="{00000000-0005-0000-0000-000040430000}"/>
    <cellStyle name="好 4 18 6" xfId="357" xr:uid="{00000000-0005-0000-0000-000041430000}"/>
    <cellStyle name="好 4 18 6 2" xfId="25320" xr:uid="{00000000-0005-0000-0000-000042430000}"/>
    <cellStyle name="好 4 18 6 2 2" xfId="25323" xr:uid="{00000000-0005-0000-0000-000043430000}"/>
    <cellStyle name="好 4 18 6 2 3" xfId="25326" xr:uid="{00000000-0005-0000-0000-000044430000}"/>
    <cellStyle name="好 4 18 6 3" xfId="25327" xr:uid="{00000000-0005-0000-0000-000045430000}"/>
    <cellStyle name="好 4 18 6 4" xfId="25329" xr:uid="{00000000-0005-0000-0000-000046430000}"/>
    <cellStyle name="好 4 18 6 5" xfId="25331" xr:uid="{00000000-0005-0000-0000-000047430000}"/>
    <cellStyle name="好 4 18 6 6" xfId="24682" xr:uid="{00000000-0005-0000-0000-000048430000}"/>
    <cellStyle name="好 4 18 6 7" xfId="24685" xr:uid="{00000000-0005-0000-0000-000049430000}"/>
    <cellStyle name="好 4 18 6 8" xfId="24688" xr:uid="{00000000-0005-0000-0000-00004A430000}"/>
    <cellStyle name="好 4 18 7" xfId="13341" xr:uid="{00000000-0005-0000-0000-00004B430000}"/>
    <cellStyle name="好 4 18 8" xfId="9208" xr:uid="{00000000-0005-0000-0000-00004C430000}"/>
    <cellStyle name="好 4 18 9" xfId="9216" xr:uid="{00000000-0005-0000-0000-00004D430000}"/>
    <cellStyle name="好 4 18 9 2" xfId="13347" xr:uid="{00000000-0005-0000-0000-00004E430000}"/>
    <cellStyle name="好 4 18 9 3" xfId="13352" xr:uid="{00000000-0005-0000-0000-00004F430000}"/>
    <cellStyle name="好 4 19" xfId="25333" xr:uid="{00000000-0005-0000-0000-000050430000}"/>
    <cellStyle name="好 4 19 10" xfId="25337" xr:uid="{00000000-0005-0000-0000-000051430000}"/>
    <cellStyle name="好 4 19 11" xfId="25339" xr:uid="{00000000-0005-0000-0000-000052430000}"/>
    <cellStyle name="好 4 19 12" xfId="25340" xr:uid="{00000000-0005-0000-0000-000053430000}"/>
    <cellStyle name="好 4 19 13" xfId="22350" xr:uid="{00000000-0005-0000-0000-000054430000}"/>
    <cellStyle name="好 4 19 14" xfId="24483" xr:uid="{00000000-0005-0000-0000-000055430000}"/>
    <cellStyle name="好 4 19 2" xfId="25341" xr:uid="{00000000-0005-0000-0000-000056430000}"/>
    <cellStyle name="好 4 19 3" xfId="25344" xr:uid="{00000000-0005-0000-0000-000057430000}"/>
    <cellStyle name="好 4 19 4" xfId="25345" xr:uid="{00000000-0005-0000-0000-000058430000}"/>
    <cellStyle name="好 4 19 5" xfId="25346" xr:uid="{00000000-0005-0000-0000-000059430000}"/>
    <cellStyle name="好 4 19 5 10" xfId="19084" xr:uid="{00000000-0005-0000-0000-00005A430000}"/>
    <cellStyle name="好 4 19 5 11" xfId="19086" xr:uid="{00000000-0005-0000-0000-00005B430000}"/>
    <cellStyle name="好 4 19 5 2" xfId="25347" xr:uid="{00000000-0005-0000-0000-00005C430000}"/>
    <cellStyle name="好 4 19 5 2 2" xfId="25350" xr:uid="{00000000-0005-0000-0000-00005D430000}"/>
    <cellStyle name="好 4 19 5 2 2 2" xfId="6559" xr:uid="{00000000-0005-0000-0000-00005E430000}"/>
    <cellStyle name="好 4 19 5 2 2 3" xfId="19638" xr:uid="{00000000-0005-0000-0000-00005F430000}"/>
    <cellStyle name="好 4 19 5 2 3" xfId="25351" xr:uid="{00000000-0005-0000-0000-000060430000}"/>
    <cellStyle name="好 4 19 5 2 4" xfId="876" xr:uid="{00000000-0005-0000-0000-000061430000}"/>
    <cellStyle name="好 4 19 5 2 5" xfId="889" xr:uid="{00000000-0005-0000-0000-000062430000}"/>
    <cellStyle name="好 4 19 5 2 6" xfId="25353" xr:uid="{00000000-0005-0000-0000-000063430000}"/>
    <cellStyle name="好 4 19 5 2 7" xfId="25355" xr:uid="{00000000-0005-0000-0000-000064430000}"/>
    <cellStyle name="好 4 19 5 2 8" xfId="25357" xr:uid="{00000000-0005-0000-0000-000065430000}"/>
    <cellStyle name="好 4 19 5 3" xfId="25359" xr:uid="{00000000-0005-0000-0000-000066430000}"/>
    <cellStyle name="好 4 19 5 4" xfId="25362" xr:uid="{00000000-0005-0000-0000-000067430000}"/>
    <cellStyle name="好 4 19 5 5" xfId="25365" xr:uid="{00000000-0005-0000-0000-000068430000}"/>
    <cellStyle name="好 4 19 5 6" xfId="25368" xr:uid="{00000000-0005-0000-0000-000069430000}"/>
    <cellStyle name="好 4 19 5 6 2" xfId="25371" xr:uid="{00000000-0005-0000-0000-00006A430000}"/>
    <cellStyle name="好 4 19 5 6 3" xfId="25372" xr:uid="{00000000-0005-0000-0000-00006B430000}"/>
    <cellStyle name="好 4 19 5 7" xfId="25373" xr:uid="{00000000-0005-0000-0000-00006C430000}"/>
    <cellStyle name="好 4 19 5 8" xfId="25376" xr:uid="{00000000-0005-0000-0000-00006D430000}"/>
    <cellStyle name="好 4 19 5 9" xfId="25378" xr:uid="{00000000-0005-0000-0000-00006E430000}"/>
    <cellStyle name="好 4 19 6" xfId="17062" xr:uid="{00000000-0005-0000-0000-00006F430000}"/>
    <cellStyle name="好 4 19 6 2" xfId="25379" xr:uid="{00000000-0005-0000-0000-000070430000}"/>
    <cellStyle name="好 4 19 6 2 2" xfId="25382" xr:uid="{00000000-0005-0000-0000-000071430000}"/>
    <cellStyle name="好 4 19 6 2 3" xfId="25384" xr:uid="{00000000-0005-0000-0000-000072430000}"/>
    <cellStyle name="好 4 19 6 3" xfId="25385" xr:uid="{00000000-0005-0000-0000-000073430000}"/>
    <cellStyle name="好 4 19 6 4" xfId="25388" xr:uid="{00000000-0005-0000-0000-000074430000}"/>
    <cellStyle name="好 4 19 6 5" xfId="25391" xr:uid="{00000000-0005-0000-0000-000075430000}"/>
    <cellStyle name="好 4 19 6 6" xfId="25394" xr:uid="{00000000-0005-0000-0000-000076430000}"/>
    <cellStyle name="好 4 19 6 7" xfId="25397" xr:uid="{00000000-0005-0000-0000-000077430000}"/>
    <cellStyle name="好 4 19 6 8" xfId="25400" xr:uid="{00000000-0005-0000-0000-000078430000}"/>
    <cellStyle name="好 4 19 7" xfId="17064" xr:uid="{00000000-0005-0000-0000-000079430000}"/>
    <cellStyle name="好 4 19 8" xfId="17069" xr:uid="{00000000-0005-0000-0000-00007A430000}"/>
    <cellStyle name="好 4 19 9" xfId="17074" xr:uid="{00000000-0005-0000-0000-00007B430000}"/>
    <cellStyle name="好 4 19 9 2" xfId="14932" xr:uid="{00000000-0005-0000-0000-00007C430000}"/>
    <cellStyle name="好 4 19 9 3" xfId="17086" xr:uid="{00000000-0005-0000-0000-00007D430000}"/>
    <cellStyle name="好 4 2" xfId="25402" xr:uid="{00000000-0005-0000-0000-00007E430000}"/>
    <cellStyle name="好 4 20" xfId="25264" xr:uid="{00000000-0005-0000-0000-00007F430000}"/>
    <cellStyle name="好 4 20 10" xfId="25404" xr:uid="{00000000-0005-0000-0000-000080430000}"/>
    <cellStyle name="好 4 20 11" xfId="25407" xr:uid="{00000000-0005-0000-0000-000081430000}"/>
    <cellStyle name="好 4 20 12" xfId="25409" xr:uid="{00000000-0005-0000-0000-000082430000}"/>
    <cellStyle name="好 4 20 13" xfId="25411" xr:uid="{00000000-0005-0000-0000-000083430000}"/>
    <cellStyle name="好 4 20 14" xfId="25413" xr:uid="{00000000-0005-0000-0000-000084430000}"/>
    <cellStyle name="好 4 20 2" xfId="25414" xr:uid="{00000000-0005-0000-0000-000085430000}"/>
    <cellStyle name="好 4 20 3" xfId="25415" xr:uid="{00000000-0005-0000-0000-000086430000}"/>
    <cellStyle name="好 4 20 4" xfId="25416" xr:uid="{00000000-0005-0000-0000-000087430000}"/>
    <cellStyle name="好 4 20 5" xfId="25417" xr:uid="{00000000-0005-0000-0000-000088430000}"/>
    <cellStyle name="好 4 20 5 10" xfId="25418" xr:uid="{00000000-0005-0000-0000-000089430000}"/>
    <cellStyle name="好 4 20 5 11" xfId="25420" xr:uid="{00000000-0005-0000-0000-00008A430000}"/>
    <cellStyle name="好 4 20 5 2" xfId="25423" xr:uid="{00000000-0005-0000-0000-00008B430000}"/>
    <cellStyle name="好 4 20 5 2 2" xfId="25425" xr:uid="{00000000-0005-0000-0000-00008C430000}"/>
    <cellStyle name="好 4 20 5 2 2 2" xfId="15826" xr:uid="{00000000-0005-0000-0000-00008D430000}"/>
    <cellStyle name="好 4 20 5 2 2 3" xfId="15831" xr:uid="{00000000-0005-0000-0000-00008E430000}"/>
    <cellStyle name="好 4 20 5 2 3" xfId="25427" xr:uid="{00000000-0005-0000-0000-00008F430000}"/>
    <cellStyle name="好 4 20 5 2 4" xfId="25430" xr:uid="{00000000-0005-0000-0000-000090430000}"/>
    <cellStyle name="好 4 20 5 2 5" xfId="25433" xr:uid="{00000000-0005-0000-0000-000091430000}"/>
    <cellStyle name="好 4 20 5 2 6" xfId="25436" xr:uid="{00000000-0005-0000-0000-000092430000}"/>
    <cellStyle name="好 4 20 5 2 7" xfId="25439" xr:uid="{00000000-0005-0000-0000-000093430000}"/>
    <cellStyle name="好 4 20 5 2 8" xfId="2124" xr:uid="{00000000-0005-0000-0000-000094430000}"/>
    <cellStyle name="好 4 20 5 3" xfId="25441" xr:uid="{00000000-0005-0000-0000-000095430000}"/>
    <cellStyle name="好 4 20 5 4" xfId="25442" xr:uid="{00000000-0005-0000-0000-000096430000}"/>
    <cellStyle name="好 4 20 5 5" xfId="25443" xr:uid="{00000000-0005-0000-0000-000097430000}"/>
    <cellStyle name="好 4 20 5 6" xfId="25444" xr:uid="{00000000-0005-0000-0000-000098430000}"/>
    <cellStyle name="好 4 20 5 6 2" xfId="12984" xr:uid="{00000000-0005-0000-0000-000099430000}"/>
    <cellStyle name="好 4 20 5 6 3" xfId="12989" xr:uid="{00000000-0005-0000-0000-00009A430000}"/>
    <cellStyle name="好 4 20 5 7" xfId="25445" xr:uid="{00000000-0005-0000-0000-00009B430000}"/>
    <cellStyle name="好 4 20 5 8" xfId="25446" xr:uid="{00000000-0005-0000-0000-00009C430000}"/>
    <cellStyle name="好 4 20 5 9" xfId="25447" xr:uid="{00000000-0005-0000-0000-00009D430000}"/>
    <cellStyle name="好 4 20 6" xfId="25448" xr:uid="{00000000-0005-0000-0000-00009E430000}"/>
    <cellStyle name="好 4 20 6 2" xfId="2539" xr:uid="{00000000-0005-0000-0000-00009F430000}"/>
    <cellStyle name="好 4 20 6 2 2" xfId="13199" xr:uid="{00000000-0005-0000-0000-0000A0430000}"/>
    <cellStyle name="好 4 20 6 2 3" xfId="13203" xr:uid="{00000000-0005-0000-0000-0000A1430000}"/>
    <cellStyle name="好 4 20 6 3" xfId="2550" xr:uid="{00000000-0005-0000-0000-0000A2430000}"/>
    <cellStyle name="好 4 20 6 4" xfId="2407" xr:uid="{00000000-0005-0000-0000-0000A3430000}"/>
    <cellStyle name="好 4 20 6 5" xfId="2421" xr:uid="{00000000-0005-0000-0000-0000A4430000}"/>
    <cellStyle name="好 4 20 6 6" xfId="2589" xr:uid="{00000000-0005-0000-0000-0000A5430000}"/>
    <cellStyle name="好 4 20 6 7" xfId="2594" xr:uid="{00000000-0005-0000-0000-0000A6430000}"/>
    <cellStyle name="好 4 20 6 8" xfId="2607" xr:uid="{00000000-0005-0000-0000-0000A7430000}"/>
    <cellStyle name="好 4 20 7" xfId="25449" xr:uid="{00000000-0005-0000-0000-0000A8430000}"/>
    <cellStyle name="好 4 20 8" xfId="9188" xr:uid="{00000000-0005-0000-0000-0000A9430000}"/>
    <cellStyle name="好 4 20 9" xfId="6223" xr:uid="{00000000-0005-0000-0000-0000AA430000}"/>
    <cellStyle name="好 4 20 9 2" xfId="25452" xr:uid="{00000000-0005-0000-0000-0000AB430000}"/>
    <cellStyle name="好 4 20 9 3" xfId="25454" xr:uid="{00000000-0005-0000-0000-0000AC430000}"/>
    <cellStyle name="好 4 3" xfId="25456" xr:uid="{00000000-0005-0000-0000-0000AD430000}"/>
    <cellStyle name="好 4 4" xfId="25457" xr:uid="{00000000-0005-0000-0000-0000AE430000}"/>
    <cellStyle name="好 4 5" xfId="25458" xr:uid="{00000000-0005-0000-0000-0000AF430000}"/>
    <cellStyle name="好 4 6" xfId="25459" xr:uid="{00000000-0005-0000-0000-0000B0430000}"/>
    <cellStyle name="好 4 7" xfId="25462" xr:uid="{00000000-0005-0000-0000-0000B1430000}"/>
    <cellStyle name="好 4 8" xfId="25464" xr:uid="{00000000-0005-0000-0000-0000B2430000}"/>
    <cellStyle name="好 4 9" xfId="25465" xr:uid="{00000000-0005-0000-0000-0000B3430000}"/>
    <cellStyle name="好 5" xfId="25466" xr:uid="{00000000-0005-0000-0000-0000B4430000}"/>
    <cellStyle name="好 5 10" xfId="25468" xr:uid="{00000000-0005-0000-0000-0000B5430000}"/>
    <cellStyle name="好 5 11" xfId="25469" xr:uid="{00000000-0005-0000-0000-0000B6430000}"/>
    <cellStyle name="好 5 12" xfId="25471" xr:uid="{00000000-0005-0000-0000-0000B7430000}"/>
    <cellStyle name="好 5 13" xfId="25473" xr:uid="{00000000-0005-0000-0000-0000B8430000}"/>
    <cellStyle name="好 5 14" xfId="457" xr:uid="{00000000-0005-0000-0000-0000B9430000}"/>
    <cellStyle name="好 5 2" xfId="25475" xr:uid="{00000000-0005-0000-0000-0000BA430000}"/>
    <cellStyle name="好 5 3" xfId="25476" xr:uid="{00000000-0005-0000-0000-0000BB430000}"/>
    <cellStyle name="好 5 4" xfId="25477" xr:uid="{00000000-0005-0000-0000-0000BC430000}"/>
    <cellStyle name="好 5 5" xfId="25478" xr:uid="{00000000-0005-0000-0000-0000BD430000}"/>
    <cellStyle name="好 5 6" xfId="25479" xr:uid="{00000000-0005-0000-0000-0000BE430000}"/>
    <cellStyle name="好 5 7" xfId="25480" xr:uid="{00000000-0005-0000-0000-0000BF430000}"/>
    <cellStyle name="好 5 8" xfId="25481" xr:uid="{00000000-0005-0000-0000-0000C0430000}"/>
    <cellStyle name="好 5 9" xfId="24161" xr:uid="{00000000-0005-0000-0000-0000C1430000}"/>
    <cellStyle name="好 6" xfId="25482" xr:uid="{00000000-0005-0000-0000-0000C2430000}"/>
    <cellStyle name="好 6 10" xfId="25485" xr:uid="{00000000-0005-0000-0000-0000C3430000}"/>
    <cellStyle name="好 6 11" xfId="25487" xr:uid="{00000000-0005-0000-0000-0000C4430000}"/>
    <cellStyle name="好 6 12" xfId="25489" xr:uid="{00000000-0005-0000-0000-0000C5430000}"/>
    <cellStyle name="好 6 13" xfId="25491" xr:uid="{00000000-0005-0000-0000-0000C6430000}"/>
    <cellStyle name="好 6 14" xfId="25493" xr:uid="{00000000-0005-0000-0000-0000C7430000}"/>
    <cellStyle name="好 6 2" xfId="25494" xr:uid="{00000000-0005-0000-0000-0000C8430000}"/>
    <cellStyle name="好 6 3" xfId="25495" xr:uid="{00000000-0005-0000-0000-0000C9430000}"/>
    <cellStyle name="好 6 4" xfId="25496" xr:uid="{00000000-0005-0000-0000-0000CA430000}"/>
    <cellStyle name="好 6 5" xfId="25497" xr:uid="{00000000-0005-0000-0000-0000CB430000}"/>
    <cellStyle name="好 6 6" xfId="22217" xr:uid="{00000000-0005-0000-0000-0000CC430000}"/>
    <cellStyle name="好 6 7" xfId="22227" xr:uid="{00000000-0005-0000-0000-0000CD430000}"/>
    <cellStyle name="好 6 8" xfId="22231" xr:uid="{00000000-0005-0000-0000-0000CE430000}"/>
    <cellStyle name="好 6 9" xfId="22232" xr:uid="{00000000-0005-0000-0000-0000CF430000}"/>
    <cellStyle name="好 7" xfId="25498" xr:uid="{00000000-0005-0000-0000-0000D0430000}"/>
    <cellStyle name="好 8" xfId="25500" xr:uid="{00000000-0005-0000-0000-0000D1430000}"/>
    <cellStyle name="好 9" xfId="25502" xr:uid="{00000000-0005-0000-0000-0000D2430000}"/>
    <cellStyle name="好_PAV 11 月份 包装明细1" xfId="21447" xr:uid="{00000000-0005-0000-0000-0000D3430000}"/>
    <cellStyle name="好_PAV 11 月份 包装明细1_00" xfId="25505" xr:uid="{00000000-0005-0000-0000-0000D4430000}"/>
    <cellStyle name="好_PAV 11 月份 包装明细1_00_TFR2014年3月包裝明細" xfId="25506" xr:uid="{00000000-0005-0000-0000-0000D5430000}"/>
    <cellStyle name="好_PAV 11 月份 包装明细1_00_TFR2014年4月包裝明細" xfId="25507" xr:uid="{00000000-0005-0000-0000-0000D6430000}"/>
    <cellStyle name="好_PAV 11 月份 包装明细1_1" xfId="7324" xr:uid="{00000000-0005-0000-0000-0000D7430000}"/>
    <cellStyle name="好_PAV 11 月份 包装明细1_1_TFR2014年1月包裝明細" xfId="22619" xr:uid="{00000000-0005-0000-0000-0000D8430000}"/>
    <cellStyle name="好_PAV 11 月份 包装明细1_1_TFR2014年1月包裝明細_TFR2014年3月包裝明細" xfId="25508" xr:uid="{00000000-0005-0000-0000-0000D9430000}"/>
    <cellStyle name="好_PAV 11 月份 包装明细1_1_TFR2014年1月包裝明細_TFR2014年4月包裝明細" xfId="25509" xr:uid="{00000000-0005-0000-0000-0000DA430000}"/>
    <cellStyle name="好_PAV 11 月份 包装明细1_1_TFR2014年3月包裝明細" xfId="21572" xr:uid="{00000000-0005-0000-0000-0000DB430000}"/>
    <cellStyle name="好_PAV 11 月份 包装明细1_1_TFR2014年4月包裝明細" xfId="25510" xr:uid="{00000000-0005-0000-0000-0000DC430000}"/>
    <cellStyle name="好_PAV 11 月份 包装明细1_1123" xfId="25511" xr:uid="{00000000-0005-0000-0000-0000DD430000}"/>
    <cellStyle name="好_PAV 11 月份 包装明细1_1136" xfId="25512" xr:uid="{00000000-0005-0000-0000-0000DE430000}"/>
    <cellStyle name="好_PAV 11 月份 包装明细1_143" xfId="25514" xr:uid="{00000000-0005-0000-0000-0000DF430000}"/>
    <cellStyle name="好_PAV 11 月份 包装明细1_4.15" xfId="22157" xr:uid="{00000000-0005-0000-0000-0000E0430000}"/>
    <cellStyle name="好_PAV 11 月份 包装明细1_456" xfId="10574" xr:uid="{00000000-0005-0000-0000-0000E1430000}"/>
    <cellStyle name="好_PAV 11 月份 包装明细1_789" xfId="25516" xr:uid="{00000000-0005-0000-0000-0000E2430000}"/>
    <cellStyle name="好_PAV 11 月份 包装明细1_DEI 包装明细 10.21" xfId="25518" xr:uid="{00000000-0005-0000-0000-0000E3430000}"/>
    <cellStyle name="好_PAV 11 月份 包装明细1_DEI 包装明细 10.21_TFR2014年1月包裝明細" xfId="25519" xr:uid="{00000000-0005-0000-0000-0000E4430000}"/>
    <cellStyle name="好_PAV 11 月份 包装明细1_DEI 包装明细 10.21_TFR2014年1月包裝明細_TFR2014年3月包裝明細" xfId="25522" xr:uid="{00000000-0005-0000-0000-0000E5430000}"/>
    <cellStyle name="好_PAV 11 月份 包装明细1_DEI 包装明细 10.21_TFR2014年1月包裝明細_TFR2014年4月包裝明細" xfId="25524" xr:uid="{00000000-0005-0000-0000-0000E6430000}"/>
    <cellStyle name="好_PAV 11 月份 包装明细1_DEI 包装明细 10.21_TFR2014年3月包裝明細" xfId="19671" xr:uid="{00000000-0005-0000-0000-0000E7430000}"/>
    <cellStyle name="好_PAV 11 月份 包装明细1_DEI 包装明细 10.21_TFR2014年4月包裝明細" xfId="9631" xr:uid="{00000000-0005-0000-0000-0000E8430000}"/>
    <cellStyle name="好_PAV 11 月份 包装明细1_DEI 包装明细 11.1" xfId="25526" xr:uid="{00000000-0005-0000-0000-0000E9430000}"/>
    <cellStyle name="好_PAV 11 月份 包装明细1_DEI 包装明细 11.1_TFR2014年1月包裝明細" xfId="25528" xr:uid="{00000000-0005-0000-0000-0000EA430000}"/>
    <cellStyle name="好_PAV 11 月份 包装明细1_DEI 包装明细 11.1_TFR2014年1月包裝明細_TFR2014年3月包裝明細" xfId="224" xr:uid="{00000000-0005-0000-0000-0000EB430000}"/>
    <cellStyle name="好_PAV 11 月份 包装明细1_DEI 包装明细 11.1_TFR2014年1月包裝明細_TFR2014年4月包裝明細" xfId="10778" xr:uid="{00000000-0005-0000-0000-0000EC430000}"/>
    <cellStyle name="好_PAV 11 月份 包装明细1_DEI 包装明细 11.1_TFR2014年3月包裝明細" xfId="5670" xr:uid="{00000000-0005-0000-0000-0000ED430000}"/>
    <cellStyle name="好_PAV 11 月份 包装明细1_DEI 包装明细 11.1_TFR2014年4月包裝明細" xfId="8705" xr:uid="{00000000-0005-0000-0000-0000EE430000}"/>
    <cellStyle name="好_PAV 11 月份 包装明细1_EF 包装明细12.13" xfId="25531" xr:uid="{00000000-0005-0000-0000-0000EF430000}"/>
    <cellStyle name="好_PAV 11 月份 包装明细1_EF 包装明细12.13_TFR2014年1月包裝明細" xfId="2576" xr:uid="{00000000-0005-0000-0000-0000F0430000}"/>
    <cellStyle name="好_PAV 11 月份 包装明细1_EF 包装明细12.13_TFR2014年1月包裝明細_TFR2014年3月包裝明細" xfId="25533" xr:uid="{00000000-0005-0000-0000-0000F1430000}"/>
    <cellStyle name="好_PAV 11 月份 包装明细1_EF 包装明细12.13_TFR2014年1月包裝明細_TFR2014年4月包裝明細" xfId="25534" xr:uid="{00000000-0005-0000-0000-0000F2430000}"/>
    <cellStyle name="好_PAV 11 月份 包装明细1_EF 包装明细12.13_TFR2014年3月包裝明細" xfId="25535" xr:uid="{00000000-0005-0000-0000-0000F3430000}"/>
    <cellStyle name="好_PAV 11 月份 包装明细1_EF 包装明细12.13_TFR2014年4月包裝明細" xfId="13946" xr:uid="{00000000-0005-0000-0000-0000F4430000}"/>
    <cellStyle name="好_PAV 11 月份 包装明细1_PAV 包装明细" xfId="25536" xr:uid="{00000000-0005-0000-0000-0000F5430000}"/>
    <cellStyle name="好_PAV 11 月份 包装明细1_PAV 包装明细 1.13" xfId="25537" xr:uid="{00000000-0005-0000-0000-0000F6430000}"/>
    <cellStyle name="好_PAV 11 月份 包装明细1_PAV 包装明细 1.13_TFR2014年3月包裝明細" xfId="25538" xr:uid="{00000000-0005-0000-0000-0000F7430000}"/>
    <cellStyle name="好_PAV 11 月份 包装明细1_PAV 包装明细 1.13_TFR2014年4月包裝明細" xfId="25539" xr:uid="{00000000-0005-0000-0000-0000F8430000}"/>
    <cellStyle name="好_PAV 11 月份 包装明细1_PAV 包装明细_TFR2014年3月包裝明細" xfId="17861" xr:uid="{00000000-0005-0000-0000-0000F9430000}"/>
    <cellStyle name="好_PAV 11 月份 包装明细1_PAV 包装明细_TFR2014年4月包裝明細" xfId="25541" xr:uid="{00000000-0005-0000-0000-0000FA430000}"/>
    <cellStyle name="好_PAV 11 月份 包装明细1_PAV.2014年3月包裝明細" xfId="22311" xr:uid="{00000000-0005-0000-0000-0000FB430000}"/>
    <cellStyle name="好_PAV 11 月份 包装明细1_PAV.2014年3月包裝明細_1" xfId="25542" xr:uid="{00000000-0005-0000-0000-0000FC430000}"/>
    <cellStyle name="好_PAV 11 月份 包装明细1_PAV.2014年3月包裝明細_1_TFR2014年3月包裝明細" xfId="8056" xr:uid="{00000000-0005-0000-0000-0000FD430000}"/>
    <cellStyle name="好_PAV 11 月份 包装明细1_PAV.2014年3月包裝明細_1_TFR2014年4月包裝明細" xfId="9844" xr:uid="{00000000-0005-0000-0000-0000FE430000}"/>
    <cellStyle name="好_PAV 11 月份 包装明细1_PAV.2014年3月包裝明細_TFR2014年3月包裝明細" xfId="12854" xr:uid="{00000000-0005-0000-0000-0000FF430000}"/>
    <cellStyle name="好_PAV 11 月份 包装明细1_PAV.2014年3月包裝明細_TFR2014年4月包裝明細" xfId="11576" xr:uid="{00000000-0005-0000-0000-000000440000}"/>
    <cellStyle name="好_PAV 11 月份 包装明细1_PL" xfId="20598" xr:uid="{00000000-0005-0000-0000-000001440000}"/>
    <cellStyle name="好_PAV 11 月份 包装明细1_PL_TFR2014年3月包裝明細" xfId="25543" xr:uid="{00000000-0005-0000-0000-000002440000}"/>
    <cellStyle name="好_PAV 11 月份 包装明细1_PL_TFR2014年4月包裝明細" xfId="25546" xr:uid="{00000000-0005-0000-0000-000003440000}"/>
    <cellStyle name="好_PAV 11 月份 包装明细1_SEB 591 包装明细 9.5" xfId="25547" xr:uid="{00000000-0005-0000-0000-000004440000}"/>
    <cellStyle name="好_PAV 11 月份 包装明细1_SEB 591 包装明细 9.5_TFR2014年1月包裝明細" xfId="2676" xr:uid="{00000000-0005-0000-0000-000005440000}"/>
    <cellStyle name="好_PAV 11 月份 包装明细1_SEB 591 包装明细 9.5_TFR2014年1月包裝明細_TFR2014年3月包裝明細" xfId="25548" xr:uid="{00000000-0005-0000-0000-000006440000}"/>
    <cellStyle name="好_PAV 11 月份 包装明细1_SEB 591 包装明细 9.5_TFR2014年1月包裝明細_TFR2014年4月包裝明細" xfId="25549" xr:uid="{00000000-0005-0000-0000-000007440000}"/>
    <cellStyle name="好_PAV 11 月份 包装明细1_SEB 591 包装明细 9.5_TFR2014年3月包裝明細" xfId="25550" xr:uid="{00000000-0005-0000-0000-000008440000}"/>
    <cellStyle name="好_PAV 11 月份 包装明细1_SEB 591 包装明细 9.5_TFR2014年4月包裝明細" xfId="25551" xr:uid="{00000000-0005-0000-0000-000009440000}"/>
    <cellStyle name="好_PAV 11 月份 包装明细1_SEB 包装明细1.9" xfId="25515" xr:uid="{00000000-0005-0000-0000-00000A440000}"/>
    <cellStyle name="好_PAV 11 月份 包装明细1_SEB 包装明细1.9_TFR2014年3月包裝明細" xfId="25552" xr:uid="{00000000-0005-0000-0000-00000B440000}"/>
    <cellStyle name="好_PAV 11 月份 包装明细1_SEB 包装明细1.9_TFR2014年4月包裝明細" xfId="18991" xr:uid="{00000000-0005-0000-0000-00000C440000}"/>
    <cellStyle name="好_PAV 11 月份 包装明细1_SEB 包装明细12.31" xfId="18801" xr:uid="{00000000-0005-0000-0000-00000D440000}"/>
    <cellStyle name="好_PAV 11 月份 包装明细1_SEB 包装明细12.31_TFR2014年3月包裝明細" xfId="25553" xr:uid="{00000000-0005-0000-0000-00000E440000}"/>
    <cellStyle name="好_PAV 11 月份 包装明细1_SEB 包装明细12.31_TFR2014年4月包裝明細" xfId="25555" xr:uid="{00000000-0005-0000-0000-00000F440000}"/>
    <cellStyle name="好_PAV 11 月份 包装明细1_SEB 包装明细2.13 revised" xfId="25556" xr:uid="{00000000-0005-0000-0000-000010440000}"/>
    <cellStyle name="好_PAV 11 月份 包装明细1_SEB 包装明细2.13 revised_TFR2014年3月包裝明細" xfId="25559" xr:uid="{00000000-0005-0000-0000-000011440000}"/>
    <cellStyle name="好_PAV 11 月份 包装明细1_SEB 包装明细2.13 revised_TFR2014年4月包裝明細" xfId="24988" xr:uid="{00000000-0005-0000-0000-000012440000}"/>
    <cellStyle name="好_PAV 11 月份 包装明细1_TFR" xfId="17323" xr:uid="{00000000-0005-0000-0000-000013440000}"/>
    <cellStyle name="好_PAV 11 月份 包装明细1_TFR 包装明细 5.13" xfId="25560" xr:uid="{00000000-0005-0000-0000-000014440000}"/>
    <cellStyle name="好_PAV 11 月份 包装明细1_TFR(SEB ASIA) 包装明细3-25" xfId="25561" xr:uid="{00000000-0005-0000-0000-000015440000}"/>
    <cellStyle name="好_PAV 11 月份 包装明细1_TFR(SEB ASIA) 包装明细4.29" xfId="25562" xr:uid="{00000000-0005-0000-0000-000016440000}"/>
    <cellStyle name="好_PAV 11 月份 包装明细1_TFR_TFR2014年3月包裝明細" xfId="5284" xr:uid="{00000000-0005-0000-0000-000017440000}"/>
    <cellStyle name="好_PAV 11 月份 包装明细1_TFR_TFR2014年4月包裝明細" xfId="14881" xr:uid="{00000000-0005-0000-0000-000018440000}"/>
    <cellStyle name="好_PAV 11 月份 包装明细1_TFR2014年1月包裝明細" xfId="25563" xr:uid="{00000000-0005-0000-0000-000019440000}"/>
    <cellStyle name="好_PAV 11 月份 包装明细1_TFR2014年1月包裝明細_1" xfId="25564" xr:uid="{00000000-0005-0000-0000-00001A440000}"/>
    <cellStyle name="好_PAV 11 月份 包装明细1_TFR2014年1月包裝明細_1123" xfId="16744" xr:uid="{00000000-0005-0000-0000-00001B440000}"/>
    <cellStyle name="好_PAV 11 月份 包装明细1_TFR2014年1月包裝明細_1136" xfId="25565" xr:uid="{00000000-0005-0000-0000-00001C440000}"/>
    <cellStyle name="好_PAV 11 月份 包装明细1_TFR2014年1月包裝明細_143" xfId="25567" xr:uid="{00000000-0005-0000-0000-00001D440000}"/>
    <cellStyle name="好_PAV 11 月份 包装明细1_TFR2014年1月包裝明細_4.15" xfId="5039" xr:uid="{00000000-0005-0000-0000-00001E440000}"/>
    <cellStyle name="好_PAV 11 月份 包装明细1_TFR2014年1月包裝明細_PL" xfId="21978" xr:uid="{00000000-0005-0000-0000-00001F440000}"/>
    <cellStyle name="好_PAV 11 月份 包装明细1_TFR2014年1月包裝明細_PL_TFR2014年3月包裝明細" xfId="25570" xr:uid="{00000000-0005-0000-0000-000020440000}"/>
    <cellStyle name="好_PAV 11 月份 包装明细1_TFR2014年1月包裝明細_PL_TFR2014年4月包裝明細" xfId="25571" xr:uid="{00000000-0005-0000-0000-000021440000}"/>
    <cellStyle name="好_PAV 11 月份 包装明细1_TFR2014年1月包裝明細_TFR" xfId="24625" xr:uid="{00000000-0005-0000-0000-000022440000}"/>
    <cellStyle name="好_PAV 11 月份 包装明细1_TFR2014年1月包裝明細_TFR 包装明细 5.13" xfId="3729" xr:uid="{00000000-0005-0000-0000-000023440000}"/>
    <cellStyle name="好_PAV 11 月份 包装明细1_TFR2014年1月包裝明細_TFR(SEB ASIA) 包装明细3-25" xfId="11362" xr:uid="{00000000-0005-0000-0000-000024440000}"/>
    <cellStyle name="好_PAV 11 月份 包装明细1_TFR2014年1月包裝明細_TFR(SEB ASIA) 包装明细4.29" xfId="25572" xr:uid="{00000000-0005-0000-0000-000025440000}"/>
    <cellStyle name="好_PAV 11 月份 包装明细1_TFR2014年1月包裝明細_TFR_TFR2014年3月包裝明細" xfId="25574" xr:uid="{00000000-0005-0000-0000-000026440000}"/>
    <cellStyle name="好_PAV 11 月份 包装明细1_TFR2014年1月包裝明細_TFR_TFR2014年4月包裝明細" xfId="25575" xr:uid="{00000000-0005-0000-0000-000027440000}"/>
    <cellStyle name="好_PAV 11 月份 包装明细1_TFR2014年1月包裝明細_TFR2014年3月包裝明細" xfId="9799" xr:uid="{00000000-0005-0000-0000-000028440000}"/>
    <cellStyle name="好_PAV 11 月份 包装明细1_TFR2014年1月包裝明細_TFR2014年3月包裝明細_1" xfId="25577" xr:uid="{00000000-0005-0000-0000-000029440000}"/>
    <cellStyle name="好_PAV 11 月份 包装明细1_TFR2014年1月包裝明細_TFR2014年3月包裝明細_1_TFR2014年3月包裝明細" xfId="25578" xr:uid="{00000000-0005-0000-0000-00002A440000}"/>
    <cellStyle name="好_PAV 11 月份 包装明细1_TFR2014年1月包裝明細_TFR2014年3月包裝明細_1_TFR2014年4月包裝明細" xfId="25579" xr:uid="{00000000-0005-0000-0000-00002B440000}"/>
    <cellStyle name="好_PAV 11 月份 包装明细1_TFR2014年1月包裝明細_TFR2014年3月包裝明細_2" xfId="25581" xr:uid="{00000000-0005-0000-0000-00002C440000}"/>
    <cellStyle name="好_PAV 11 月份 包装明细1_TFR2014年1月包裝明細_TFR2014年3月包裝明細_3" xfId="25582" xr:uid="{00000000-0005-0000-0000-00002D440000}"/>
    <cellStyle name="好_PAV 11 月份 包装明细1_TFR2014年1月包裝明細_TFR2014年3月包裝明細_4" xfId="25583" xr:uid="{00000000-0005-0000-0000-00002E440000}"/>
    <cellStyle name="好_PAV 11 月份 包装明细1_TFR2014年1月包裝明細_TFR2014年3月包裝明細_TFR2014年3月包裝明細" xfId="8276" xr:uid="{00000000-0005-0000-0000-00002F440000}"/>
    <cellStyle name="好_PAV 11 月份 包装明细1_TFR2014年1月包裝明細_TFR2014年3月包裝明細_TFR2014年4月包裝明細" xfId="25585" xr:uid="{00000000-0005-0000-0000-000030440000}"/>
    <cellStyle name="好_PAV 11 月份 包装明细1_TFR2014年1月包裝明細_TFR2014年4月包裝明細" xfId="14271" xr:uid="{00000000-0005-0000-0000-000031440000}"/>
    <cellStyle name="好_PAV 11 月份 包装明细1_TFR2014年1月包裝明細_包装明细" xfId="25586" xr:uid="{00000000-0005-0000-0000-000032440000}"/>
    <cellStyle name="好_PAV 11 月份 包装明细1_TFR2014年3月包裝明細" xfId="25590" xr:uid="{00000000-0005-0000-0000-000033440000}"/>
    <cellStyle name="好_PAV 11 月份 包装明细1_TFR2014年3月包裝明細_1" xfId="25595" xr:uid="{00000000-0005-0000-0000-000034440000}"/>
    <cellStyle name="好_PAV 11 月份 包装明细1_TFR2014年3月包裝明細_1_TFR2014年3月包裝明細" xfId="25596" xr:uid="{00000000-0005-0000-0000-000035440000}"/>
    <cellStyle name="好_PAV 11 月份 包装明细1_TFR2014年3月包裝明細_1_TFR2014年4月包裝明細" xfId="7043" xr:uid="{00000000-0005-0000-0000-000036440000}"/>
    <cellStyle name="好_PAV 11 月份 包装明细1_TFR2014年3月包裝明細_2" xfId="25599" xr:uid="{00000000-0005-0000-0000-000037440000}"/>
    <cellStyle name="好_PAV 11 月份 包装明细1_TFR2014年3月包裝明細_3" xfId="25602" xr:uid="{00000000-0005-0000-0000-000038440000}"/>
    <cellStyle name="好_PAV 11 月份 包装明细1_TFR2014年3月包裝明細_4" xfId="24189" xr:uid="{00000000-0005-0000-0000-000039440000}"/>
    <cellStyle name="好_PAV 11 月份 包装明细1_TFR2014年3月包裝明細_TFR2014年3月包裝明細" xfId="25603" xr:uid="{00000000-0005-0000-0000-00003A440000}"/>
    <cellStyle name="好_PAV 11 月份 包装明细1_TFR2014年3月包裝明細_TFR2014年4月包裝明細" xfId="25604" xr:uid="{00000000-0005-0000-0000-00003B440000}"/>
    <cellStyle name="好_PAV 11 月份 包装明细1_TFR2014年4月包裝明細" xfId="25605" xr:uid="{00000000-0005-0000-0000-00003C440000}"/>
    <cellStyle name="好_PAV 11 月份 包装明细1_TLF 包装明细 7.15" xfId="25606" xr:uid="{00000000-0005-0000-0000-00003D440000}"/>
    <cellStyle name="好_PAV 11 月份 包装明细1_TLF 包装明细 7.15_TFR2014年1月包裝明細" xfId="13910" xr:uid="{00000000-0005-0000-0000-00003E440000}"/>
    <cellStyle name="好_PAV 11 月份 包装明细1_TLF 包装明细 7.15_TFR2014年1月包裝明細_TFR2014年3月包裝明細" xfId="25608" xr:uid="{00000000-0005-0000-0000-00003F440000}"/>
    <cellStyle name="好_PAV 11 月份 包装明细1_TLF 包装明细 7.15_TFR2014年1月包裝明細_TFR2014年4月包裝明細" xfId="25609" xr:uid="{00000000-0005-0000-0000-000040440000}"/>
    <cellStyle name="好_PAV 11 月份 包装明细1_TLF 包装明细 7.15_TFR2014年3月包裝明細" xfId="25611" xr:uid="{00000000-0005-0000-0000-000041440000}"/>
    <cellStyle name="好_PAV 11 月份 包装明细1_TLF 包装明细 7.15_TFR2014年4月包裝明細" xfId="25612" xr:uid="{00000000-0005-0000-0000-000042440000}"/>
    <cellStyle name="好_PAV 11 月份 包装明细1_TLF 包装明细1.7" xfId="25613" xr:uid="{00000000-0005-0000-0000-000043440000}"/>
    <cellStyle name="好_PAV 11 月份 包装明细1_TLF 包装明细1.7_TFR2014年3月包裝明細" xfId="25091" xr:uid="{00000000-0005-0000-0000-000044440000}"/>
    <cellStyle name="好_PAV 11 月份 包装明细1_TLF 包装明细1.7_TFR2014年4月包裝明細" xfId="25615" xr:uid="{00000000-0005-0000-0000-000045440000}"/>
    <cellStyle name="好_PAV 11 月份 包装明细1_包装明细" xfId="25616" xr:uid="{00000000-0005-0000-0000-000046440000}"/>
    <cellStyle name="好_PAV 4月份 包装明细" xfId="20931" xr:uid="{00000000-0005-0000-0000-000047440000}"/>
    <cellStyle name="好_PAV 4月份 包装明细_3-20 PAV packing list" xfId="5145" xr:uid="{00000000-0005-0000-0000-000048440000}"/>
    <cellStyle name="好_PAV 4月份 包装明细_3-20 PAV packing list_PAV.2014年3月包裝明細" xfId="22280" xr:uid="{00000000-0005-0000-0000-000049440000}"/>
    <cellStyle name="好_PAV 4月份 包装明细_3-20 PAV packing list_PAV.2014年3月包裝明細_TFR2014年3月包裝明細" xfId="25617" xr:uid="{00000000-0005-0000-0000-00004A440000}"/>
    <cellStyle name="好_PAV 4月份 包装明细_3-20 PAV packing list_PAV.2014年3月包裝明細_TFR2014年4月包裝明細" xfId="25619" xr:uid="{00000000-0005-0000-0000-00004B440000}"/>
    <cellStyle name="好_PAV 4月份 包装明细_3-20 PAV packing list_TFR2014年1月包裝明細" xfId="25620" xr:uid="{00000000-0005-0000-0000-00004C440000}"/>
    <cellStyle name="好_PAV 4月份 包装明细_3-20 PAV packing list_TFR2014年1月包裝明細_TFR2014年3月包裝明細" xfId="25621" xr:uid="{00000000-0005-0000-0000-00004D440000}"/>
    <cellStyle name="好_PAV 4月份 包装明细_3-20 PAV packing list_TFR2014年1月包裝明細_TFR2014年4月包裝明細" xfId="25623" xr:uid="{00000000-0005-0000-0000-00004E440000}"/>
    <cellStyle name="好_PAV 4月份 包装明细_3-20 PAV packing list_TFR2014年3月包裝明細" xfId="17544" xr:uid="{00000000-0005-0000-0000-00004F440000}"/>
    <cellStyle name="好_PAV 4月份 包装明细_3-20 PAV packing list_TFR2014年3月包裝明細_1" xfId="25625" xr:uid="{00000000-0005-0000-0000-000050440000}"/>
    <cellStyle name="好_PAV 4月份 包装明细_3-20 PAV packing list_TFR2014年3月包裝明細_TFR2014年3月包裝明細" xfId="13027" xr:uid="{00000000-0005-0000-0000-000051440000}"/>
    <cellStyle name="好_PAV 4月份 包装明细_3-20 PAV packing list_TFR2014年3月包裝明細_TFR2014年4月包裝明細" xfId="24083" xr:uid="{00000000-0005-0000-0000-000052440000}"/>
    <cellStyle name="好_PAV 4月份 包装明细_3-20 PAV packing list_TFR2014年4月包裝明細" xfId="11720" xr:uid="{00000000-0005-0000-0000-000053440000}"/>
    <cellStyle name="好_PAV 4月份 包装明细_3-20 PAV packing list_涂布2014年3月包装明细" xfId="25626" xr:uid="{00000000-0005-0000-0000-000054440000}"/>
    <cellStyle name="好_PAV 4月份 包装明细_3-20 PAV packing list_涂布2014年3月包装明细_1" xfId="4715" xr:uid="{00000000-0005-0000-0000-000055440000}"/>
    <cellStyle name="好_PAV 4月份 包装明细_3-20 PAV packing list_涂布2014年3月包装明细_TFR2014年3月包裝明細" xfId="14912" xr:uid="{00000000-0005-0000-0000-000056440000}"/>
    <cellStyle name="好_PAV 4月份 包装明细_3-20 PAV packing list_涂布2014年3月包装明细_TFR2014年4月包裝明細" xfId="11500" xr:uid="{00000000-0005-0000-0000-000057440000}"/>
    <cellStyle name="好_PAV 4月份 包装明细_JB 包装明细 12.23" xfId="25628" xr:uid="{00000000-0005-0000-0000-000058440000}"/>
    <cellStyle name="好_PAV 4月份 包装明细_JB 包装明细 12.23_TFR2014年3月包裝明細" xfId="25629" xr:uid="{00000000-0005-0000-0000-000059440000}"/>
    <cellStyle name="好_PAV 4月份 包装明细_JB 包装明细 12.23_TFR2014年4月包裝明細" xfId="5745" xr:uid="{00000000-0005-0000-0000-00005A440000}"/>
    <cellStyle name="好_PAV 4月份 包装明细_JB 包装明细 12.23_涂布2014年3月包装明细" xfId="25630" xr:uid="{00000000-0005-0000-0000-00005B440000}"/>
    <cellStyle name="好_PAV 4月份 包装明细_JB 包装明细 12.23_涂布2014年3月包装明细_1" xfId="25633" xr:uid="{00000000-0005-0000-0000-00005C440000}"/>
    <cellStyle name="好_PAV 4月份 包装明细_JB 包装明细 12.23_涂布2014年3月包装明细_TFR2014年3月包裝明細" xfId="23418" xr:uid="{00000000-0005-0000-0000-00005D440000}"/>
    <cellStyle name="好_PAV 4月份 包装明细_JB 包装明细 12.23_涂布2014年3月包装明细_TFR2014年4月包裝明細" xfId="25634" xr:uid="{00000000-0005-0000-0000-00005E440000}"/>
    <cellStyle name="好_PAV 4月份 包装明细_JB 包装明细2.14" xfId="17005" xr:uid="{00000000-0005-0000-0000-00005F440000}"/>
    <cellStyle name="好_PAV 4月份 包装明细_JB 包装明细2.14_TFR2014年3月包裝明細" xfId="11723" xr:uid="{00000000-0005-0000-0000-000060440000}"/>
    <cellStyle name="好_PAV 4月份 包装明细_JB 包装明细2.14_TFR2014年4月包裝明細" xfId="25635" xr:uid="{00000000-0005-0000-0000-000061440000}"/>
    <cellStyle name="好_PAV 4月份 包装明细_JB 包装明细2.14_涂布2014年3月包装明细" xfId="8922" xr:uid="{00000000-0005-0000-0000-000062440000}"/>
    <cellStyle name="好_PAV 4月份 包装明细_LCH 2012年1月包裝明細" xfId="25636" xr:uid="{00000000-0005-0000-0000-000063440000}"/>
    <cellStyle name="好_PAV 4月份 包装明细_LCH 2012年1月包裝明細_1" xfId="25637" xr:uid="{00000000-0005-0000-0000-000064440000}"/>
    <cellStyle name="好_PAV 4月份 包装明细_LCH 2012年1月包裝明細_1123" xfId="25639" xr:uid="{00000000-0005-0000-0000-000065440000}"/>
    <cellStyle name="好_PAV 4月份 包装明细_LCH 2012年1月包裝明細_1136" xfId="6495" xr:uid="{00000000-0005-0000-0000-000066440000}"/>
    <cellStyle name="好_PAV 4月份 包装明细_LCH 2012年1月包裝明細_143" xfId="25640" xr:uid="{00000000-0005-0000-0000-000067440000}"/>
    <cellStyle name="好_PAV 4月份 包装明细_LCH 2012年1月包裝明細_4.15" xfId="25641" xr:uid="{00000000-0005-0000-0000-000068440000}"/>
    <cellStyle name="好_PAV 4月份 包装明细_LCH 2012年1月包裝明細_PL" xfId="25642" xr:uid="{00000000-0005-0000-0000-000069440000}"/>
    <cellStyle name="好_PAV 4月份 包装明细_LCH 2012年1月包裝明細_PL_TFR2014年3月包裝明細" xfId="25643" xr:uid="{00000000-0005-0000-0000-00006A440000}"/>
    <cellStyle name="好_PAV 4月份 包装明细_LCH 2012年1月包裝明細_PL_TFR2014年4月包裝明細" xfId="7821" xr:uid="{00000000-0005-0000-0000-00006B440000}"/>
    <cellStyle name="好_PAV 4月份 包装明细_LCH 2012年1月包裝明細_TFR" xfId="25647" xr:uid="{00000000-0005-0000-0000-00006C440000}"/>
    <cellStyle name="好_PAV 4月份 包装明细_LCH 2012年1月包裝明細_TFR 包装明细 5.13" xfId="7121" xr:uid="{00000000-0005-0000-0000-00006D440000}"/>
    <cellStyle name="好_PAV 4月份 包装明细_LCH 2012年1月包裝明細_TFR(SEB ASIA) 包装明细3-25" xfId="25648" xr:uid="{00000000-0005-0000-0000-00006E440000}"/>
    <cellStyle name="好_PAV 4月份 包装明细_LCH 2012年1月包裝明細_TFR(SEB ASIA) 包装明细4.29" xfId="21870" xr:uid="{00000000-0005-0000-0000-00006F440000}"/>
    <cellStyle name="好_PAV 4月份 包装明细_LCH 2012年1月包裝明細_TFR_TFR2014年3月包裝明細" xfId="25650" xr:uid="{00000000-0005-0000-0000-000070440000}"/>
    <cellStyle name="好_PAV 4月份 包装明细_LCH 2012年1月包裝明細_TFR_TFR2014年4月包裝明細" xfId="25651" xr:uid="{00000000-0005-0000-0000-000071440000}"/>
    <cellStyle name="好_PAV 4月份 包装明细_LCH 2012年1月包裝明細_TFR2014年1月包裝明細" xfId="25652" xr:uid="{00000000-0005-0000-0000-000072440000}"/>
    <cellStyle name="好_PAV 4月份 包装明细_LCH 2012年1月包裝明細_TFR2014年1月包裝明細_1" xfId="16695" xr:uid="{00000000-0005-0000-0000-000073440000}"/>
    <cellStyle name="好_PAV 4月份 包装明细_LCH 2012年1月包裝明細_TFR2014年1月包裝明細_1123" xfId="25654" xr:uid="{00000000-0005-0000-0000-000074440000}"/>
    <cellStyle name="好_PAV 4月份 包装明细_LCH 2012年1月包裝明細_TFR2014年1月包裝明細_1136" xfId="25655" xr:uid="{00000000-0005-0000-0000-000075440000}"/>
    <cellStyle name="好_PAV 4月份 包装明细_LCH 2012年1月包裝明細_TFR2014年1月包裝明細_143" xfId="25659" xr:uid="{00000000-0005-0000-0000-000076440000}"/>
    <cellStyle name="好_PAV 4月份 包装明细_LCH 2012年1月包裝明細_TFR2014年1月包裝明細_4.15" xfId="17419" xr:uid="{00000000-0005-0000-0000-000077440000}"/>
    <cellStyle name="好_PAV 4月份 包装明细_LCH 2012年1月包裝明細_TFR2014年1月包裝明細_PL" xfId="2379" xr:uid="{00000000-0005-0000-0000-000078440000}"/>
    <cellStyle name="好_PAV 4月份 包装明细_LCH 2012年1月包裝明細_TFR2014年1月包裝明細_PL_TFR2014年3月包裝明細" xfId="25660" xr:uid="{00000000-0005-0000-0000-000079440000}"/>
    <cellStyle name="好_PAV 4月份 包装明细_LCH 2012年1月包裝明細_TFR2014年1月包裝明細_PL_TFR2014年4月包裝明細" xfId="15136" xr:uid="{00000000-0005-0000-0000-00007A440000}"/>
    <cellStyle name="好_PAV 4月份 包装明细_LCH 2012年1月包裝明細_TFR2014年1月包裝明細_TFR" xfId="25661" xr:uid="{00000000-0005-0000-0000-00007B440000}"/>
    <cellStyle name="好_PAV 4月份 包装明细_LCH 2012年1月包裝明細_TFR2014年1月包裝明細_TFR 包装明细 5.13" xfId="25662" xr:uid="{00000000-0005-0000-0000-00007C440000}"/>
    <cellStyle name="好_PAV 4月份 包装明细_LCH 2012年1月包裝明細_TFR2014年1月包裝明細_TFR(SEB ASIA) 包装明细3-25" xfId="25663" xr:uid="{00000000-0005-0000-0000-00007D440000}"/>
    <cellStyle name="好_PAV 4月份 包装明细_LCH 2012年1月包裝明細_TFR2014年1月包裝明細_TFR(SEB ASIA) 包装明细4.29" xfId="25664" xr:uid="{00000000-0005-0000-0000-00007E440000}"/>
    <cellStyle name="好_PAV 4月份 包装明细_LCH 2012年1月包裝明細_TFR2014年1月包裝明細_TFR_TFR2014年3月包裝明細" xfId="20708" xr:uid="{00000000-0005-0000-0000-00007F440000}"/>
    <cellStyle name="好_PAV 4月份 包装明细_LCH 2012年1月包裝明細_TFR2014年1月包裝明細_TFR_TFR2014年4月包裝明細" xfId="25665" xr:uid="{00000000-0005-0000-0000-000080440000}"/>
    <cellStyle name="好_PAV 4月份 包装明细_LCH 2012年1月包裝明細_TFR2014年1月包裝明細_TFR2014年3月包裝明細" xfId="25670" xr:uid="{00000000-0005-0000-0000-000081440000}"/>
    <cellStyle name="好_PAV 4月份 包装明细_LCH 2012年1月包裝明細_TFR2014年1月包裝明細_TFR2014年3月包裝明細_1" xfId="25671" xr:uid="{00000000-0005-0000-0000-000082440000}"/>
    <cellStyle name="好_PAV 4月份 包装明细_LCH 2012年1月包裝明細_TFR2014年1月包裝明細_TFR2014年3月包裝明細_1_TFR2014年3月包裝明細" xfId="22753" xr:uid="{00000000-0005-0000-0000-000083440000}"/>
    <cellStyle name="好_PAV 4月份 包装明细_LCH 2012年1月包裝明細_TFR2014年1月包裝明細_TFR2014年3月包裝明細_1_TFR2014年4月包裝明細" xfId="25674" xr:uid="{00000000-0005-0000-0000-000084440000}"/>
    <cellStyle name="好_PAV 4月份 包装明细_LCH 2012年1月包裝明細_TFR2014年1月包裝明細_TFR2014年3月包裝明細_2" xfId="25675" xr:uid="{00000000-0005-0000-0000-000085440000}"/>
    <cellStyle name="好_PAV 4月份 包装明细_LCH 2012年1月包裝明細_TFR2014年1月包裝明細_TFR2014年3月包裝明細_3" xfId="25676" xr:uid="{00000000-0005-0000-0000-000086440000}"/>
    <cellStyle name="好_PAV 4月份 包装明细_LCH 2012年1月包裝明細_TFR2014年1月包裝明細_TFR2014年3月包裝明細_4" xfId="25677" xr:uid="{00000000-0005-0000-0000-000087440000}"/>
    <cellStyle name="好_PAV 4月份 包装明细_LCH 2012年1月包裝明細_TFR2014年1月包裝明細_TFR2014年3月包裝明細_TFR2014年3月包裝明細" xfId="25679" xr:uid="{00000000-0005-0000-0000-000088440000}"/>
    <cellStyle name="好_PAV 4月份 包装明细_LCH 2012年1月包裝明細_TFR2014年1月包裝明細_TFR2014年3月包裝明細_TFR2014年4月包裝明細" xfId="25238" xr:uid="{00000000-0005-0000-0000-000089440000}"/>
    <cellStyle name="好_PAV 4月份 包装明细_LCH 2012年1月包裝明細_TFR2014年1月包裝明細_TFR2014年4月包裝明細" xfId="15498" xr:uid="{00000000-0005-0000-0000-00008A440000}"/>
    <cellStyle name="好_PAV 4月份 包装明细_LCH 2012年1月包裝明細_TFR2014年1月包裝明細_包装明细" xfId="25681" xr:uid="{00000000-0005-0000-0000-00008B440000}"/>
    <cellStyle name="好_PAV 4月份 包装明细_LCH 2012年1月包裝明細_TFR2014年3月包裝明細" xfId="25682" xr:uid="{00000000-0005-0000-0000-00008C440000}"/>
    <cellStyle name="好_PAV 4月份 包装明细_LCH 2012年1月包裝明細_TFR2014年3月包裝明細_1" xfId="17149" xr:uid="{00000000-0005-0000-0000-00008D440000}"/>
    <cellStyle name="好_PAV 4月份 包装明细_LCH 2012年1月包裝明細_TFR2014年3月包裝明細_1_TFR2014年3月包裝明細" xfId="25683" xr:uid="{00000000-0005-0000-0000-00008E440000}"/>
    <cellStyle name="好_PAV 4月份 包装明细_LCH 2012年1月包裝明細_TFR2014年3月包裝明細_1_TFR2014年4月包裝明細" xfId="25685" xr:uid="{00000000-0005-0000-0000-00008F440000}"/>
    <cellStyle name="好_PAV 4月份 包装明细_LCH 2012年1月包裝明細_TFR2014年3月包裝明細_2" xfId="17154" xr:uid="{00000000-0005-0000-0000-000090440000}"/>
    <cellStyle name="好_PAV 4月份 包装明细_LCH 2012年1月包裝明細_TFR2014年3月包裝明細_3" xfId="1798" xr:uid="{00000000-0005-0000-0000-000091440000}"/>
    <cellStyle name="好_PAV 4月份 包装明细_LCH 2012年1月包裝明細_TFR2014年3月包裝明細_4" xfId="1818" xr:uid="{00000000-0005-0000-0000-000092440000}"/>
    <cellStyle name="好_PAV 4月份 包装明细_LCH 2012年1月包裝明細_TFR2014年3月包裝明細_TFR2014年3月包裝明細" xfId="25688" xr:uid="{00000000-0005-0000-0000-000093440000}"/>
    <cellStyle name="好_PAV 4月份 包装明细_LCH 2012年1月包裝明細_TFR2014年3月包裝明細_TFR2014年4月包裝明細" xfId="25689" xr:uid="{00000000-0005-0000-0000-000094440000}"/>
    <cellStyle name="好_PAV 4月份 包装明细_LCH 2012年1月包裝明細_TFR2014年4月包裝明細" xfId="25690" xr:uid="{00000000-0005-0000-0000-000095440000}"/>
    <cellStyle name="好_PAV 4月份 包装明细_LCH 2012年1月包裝明細_TLF 包装明细1.7" xfId="20631" xr:uid="{00000000-0005-0000-0000-000096440000}"/>
    <cellStyle name="好_PAV 4月份 包装明细_LCH 2012年1月包裝明細_TLF 包装明细1.7_TFR2014年3月包裝明細" xfId="379" xr:uid="{00000000-0005-0000-0000-000097440000}"/>
    <cellStyle name="好_PAV 4月份 包装明细_LCH 2012年1月包裝明細_TLF 包装明细1.7_TFR2014年4月包裝明細" xfId="25692" xr:uid="{00000000-0005-0000-0000-000098440000}"/>
    <cellStyle name="好_PAV 4月份 包装明细_LCH 2012年1月包裝明細_包装明细" xfId="6741" xr:uid="{00000000-0005-0000-0000-000099440000}"/>
    <cellStyle name="好_PAV 4月份 包装明细_LK 包装明细3.4" xfId="25693" xr:uid="{00000000-0005-0000-0000-00009A440000}"/>
    <cellStyle name="好_PAV 4月份 包装明细_LK 包装明细3.4_TFR2014年3月包裝明細" xfId="25694" xr:uid="{00000000-0005-0000-0000-00009B440000}"/>
    <cellStyle name="好_PAV 4月份 包装明细_LK 包装明细3.4_TFR2014年4月包裝明細" xfId="5519" xr:uid="{00000000-0005-0000-0000-00009C440000}"/>
    <cellStyle name="好_PAV 4月份 包装明细_LK 包装明细3.4_涂布2014年3月包装明细" xfId="25695" xr:uid="{00000000-0005-0000-0000-00009D440000}"/>
    <cellStyle name="好_PAV 4月份 包装明细_PAV 包装明细" xfId="25697" xr:uid="{00000000-0005-0000-0000-00009E440000}"/>
    <cellStyle name="好_PAV 4月份 包装明细_PAV 包装明细 1.13" xfId="25698" xr:uid="{00000000-0005-0000-0000-00009F440000}"/>
    <cellStyle name="好_PAV 4月份 包装明细_PAV 包装明细 1.13_TFR2014年3月包裝明細" xfId="25699" xr:uid="{00000000-0005-0000-0000-0000A0440000}"/>
    <cellStyle name="好_PAV 4月份 包装明细_PAV 包装明细 1.13_TFR2014年4月包裝明細" xfId="25702" xr:uid="{00000000-0005-0000-0000-0000A1440000}"/>
    <cellStyle name="好_PAV 4月份 包装明细_PAV 包装明细_TFR2014年3月包裝明細" xfId="23628" xr:uid="{00000000-0005-0000-0000-0000A2440000}"/>
    <cellStyle name="好_PAV 4月份 包装明细_PAV 包装明细_TFR2014年4月包裝明細" xfId="25230" xr:uid="{00000000-0005-0000-0000-0000A3440000}"/>
    <cellStyle name="好_PAV 4月份 包装明细_PAV.2013年1月包裝明細" xfId="22418" xr:uid="{00000000-0005-0000-0000-0000A4440000}"/>
    <cellStyle name="好_PAV 4月份 包装明细_PAV.2013年1月包裝明細_00" xfId="25324" xr:uid="{00000000-0005-0000-0000-0000A5440000}"/>
    <cellStyle name="好_PAV 4月份 包装明细_PAV.2013年1月包裝明細_00_TFR2014年3月包裝明細" xfId="25704" xr:uid="{00000000-0005-0000-0000-0000A6440000}"/>
    <cellStyle name="好_PAV 4月份 包装明细_PAV.2013年1月包裝明細_00_TFR2014年4月包裝明細" xfId="6841" xr:uid="{00000000-0005-0000-0000-0000A7440000}"/>
    <cellStyle name="好_PAV 4月份 包装明细_PAV.2013年1月包裝明細_1" xfId="25705" xr:uid="{00000000-0005-0000-0000-0000A8440000}"/>
    <cellStyle name="好_PAV 4月份 包装明细_PAV.2013年1月包裝明細_1_TFR2014年1月包裝明細" xfId="25706" xr:uid="{00000000-0005-0000-0000-0000A9440000}"/>
    <cellStyle name="好_PAV 4月份 包装明细_PAV.2013年1月包裝明細_1_TFR2014年1月包裝明細_TFR2014年3月包裝明細" xfId="25708" xr:uid="{00000000-0005-0000-0000-0000AA440000}"/>
    <cellStyle name="好_PAV 4月份 包装明细_PAV.2013年1月包裝明細_1_TFR2014年1月包裝明細_TFR2014年4月包裝明細" xfId="25709" xr:uid="{00000000-0005-0000-0000-0000AB440000}"/>
    <cellStyle name="好_PAV 4月份 包装明细_PAV.2013年1月包裝明細_1_TFR2014年3月包裝明細" xfId="3415" xr:uid="{00000000-0005-0000-0000-0000AC440000}"/>
    <cellStyle name="好_PAV 4月份 包装明细_PAV.2013年1月包裝明細_1_TFR2014年4月包裝明細" xfId="3136" xr:uid="{00000000-0005-0000-0000-0000AD440000}"/>
    <cellStyle name="好_PAV 4月份 包装明细_PAV.2013年1月包裝明細_1123" xfId="25710" xr:uid="{00000000-0005-0000-0000-0000AE440000}"/>
    <cellStyle name="好_PAV 4月份 包装明细_PAV.2013年1月包裝明細_1136" xfId="19016" xr:uid="{00000000-0005-0000-0000-0000AF440000}"/>
    <cellStyle name="好_PAV 4月份 包装明细_PAV.2013年1月包裝明細_143" xfId="25712" xr:uid="{00000000-0005-0000-0000-0000B0440000}"/>
    <cellStyle name="好_PAV 4月份 包装明细_PAV.2013年1月包裝明細_4.15" xfId="25713" xr:uid="{00000000-0005-0000-0000-0000B1440000}"/>
    <cellStyle name="好_PAV 4月份 包装明细_PAV.2013年1月包裝明細_456" xfId="15872" xr:uid="{00000000-0005-0000-0000-0000B2440000}"/>
    <cellStyle name="好_PAV 4月份 包装明细_PAV.2013年1月包裝明細_789" xfId="21859" xr:uid="{00000000-0005-0000-0000-0000B3440000}"/>
    <cellStyle name="好_PAV 4月份 包装明细_PAV.2013年1月包裝明細_DEI 包装明细 10.21" xfId="25715" xr:uid="{00000000-0005-0000-0000-0000B4440000}"/>
    <cellStyle name="好_PAV 4月份 包装明细_PAV.2013年1月包裝明細_DEI 包装明细 10.21_TFR2014年1月包裝明細" xfId="25717" xr:uid="{00000000-0005-0000-0000-0000B5440000}"/>
    <cellStyle name="好_PAV 4月份 包装明细_PAV.2013年1月包裝明細_DEI 包装明细 10.21_TFR2014年1月包裝明細_TFR2014年3月包裝明細" xfId="25258" xr:uid="{00000000-0005-0000-0000-0000B6440000}"/>
    <cellStyle name="好_PAV 4月份 包装明细_PAV.2013年1月包裝明細_DEI 包装明细 10.21_TFR2014年1月包裝明細_TFR2014年4月包裝明細" xfId="25718" xr:uid="{00000000-0005-0000-0000-0000B7440000}"/>
    <cellStyle name="好_PAV 4月份 包装明细_PAV.2013年1月包裝明細_DEI 包装明细 10.21_TFR2014年3月包裝明細" xfId="25720" xr:uid="{00000000-0005-0000-0000-0000B8440000}"/>
    <cellStyle name="好_PAV 4月份 包装明细_PAV.2013年1月包裝明細_DEI 包装明细 10.21_TFR2014年4月包裝明細" xfId="25723" xr:uid="{00000000-0005-0000-0000-0000B9440000}"/>
    <cellStyle name="好_PAV 4月份 包装明细_PAV.2013年1月包裝明細_DEI 包装明细 11.1" xfId="25724" xr:uid="{00000000-0005-0000-0000-0000BA440000}"/>
    <cellStyle name="好_PAV 4月份 包装明细_PAV.2013年1月包裝明細_DEI 包装明细 11.1_TFR2014年1月包裝明細" xfId="25725" xr:uid="{00000000-0005-0000-0000-0000BB440000}"/>
    <cellStyle name="好_PAV 4月份 包装明细_PAV.2013年1月包裝明細_DEI 包装明细 11.1_TFR2014年1月包裝明細_TFR2014年3月包裝明細" xfId="25726" xr:uid="{00000000-0005-0000-0000-0000BC440000}"/>
    <cellStyle name="好_PAV 4月份 包装明细_PAV.2013年1月包裝明細_DEI 包装明细 11.1_TFR2014年1月包裝明細_TFR2014年4月包裝明細" xfId="25727" xr:uid="{00000000-0005-0000-0000-0000BD440000}"/>
    <cellStyle name="好_PAV 4月份 包装明细_PAV.2013年1月包裝明細_DEI 包装明细 11.1_TFR2014年3月包裝明細" xfId="18343" xr:uid="{00000000-0005-0000-0000-0000BE440000}"/>
    <cellStyle name="好_PAV 4月份 包装明细_PAV.2013年1月包裝明細_DEI 包装明细 11.1_TFR2014年4月包裝明細" xfId="2977" xr:uid="{00000000-0005-0000-0000-0000BF440000}"/>
    <cellStyle name="好_PAV 4月份 包装明细_PAV.2013年1月包裝明細_EF 包装明细12.13" xfId="21211" xr:uid="{00000000-0005-0000-0000-0000C0440000}"/>
    <cellStyle name="好_PAV 4月份 包装明细_PAV.2013年1月包裝明細_EF 包装明细12.13_TFR2014年1月包裝明細" xfId="15762" xr:uid="{00000000-0005-0000-0000-0000C1440000}"/>
    <cellStyle name="好_PAV 4月份 包装明细_PAV.2013年1月包裝明細_EF 包装明细12.13_TFR2014年1月包裝明細_TFR2014年3月包裝明細" xfId="19098" xr:uid="{00000000-0005-0000-0000-0000C2440000}"/>
    <cellStyle name="好_PAV 4月份 包装明细_PAV.2013年1月包裝明細_EF 包装明细12.13_TFR2014年1月包裝明細_TFR2014年4月包裝明細" xfId="10235" xr:uid="{00000000-0005-0000-0000-0000C3440000}"/>
    <cellStyle name="好_PAV 4月份 包装明细_PAV.2013年1月包裝明細_EF 包装明细12.13_TFR2014年3月包裝明細" xfId="5953" xr:uid="{00000000-0005-0000-0000-0000C4440000}"/>
    <cellStyle name="好_PAV 4月份 包装明细_PAV.2013年1月包裝明細_EF 包装明细12.13_TFR2014年4月包裝明細" xfId="25728" xr:uid="{00000000-0005-0000-0000-0000C5440000}"/>
    <cellStyle name="好_PAV 4月份 包装明细_PAV.2013年1月包裝明細_PL" xfId="12607" xr:uid="{00000000-0005-0000-0000-0000C6440000}"/>
    <cellStyle name="好_PAV 4月份 包装明细_PAV.2013年1月包裝明細_PL_TFR2014年3月包裝明細" xfId="12083" xr:uid="{00000000-0005-0000-0000-0000C7440000}"/>
    <cellStyle name="好_PAV 4月份 包装明细_PAV.2013年1月包裝明細_PL_TFR2014年4月包裝明細" xfId="25729" xr:uid="{00000000-0005-0000-0000-0000C8440000}"/>
    <cellStyle name="好_PAV 4月份 包装明细_PAV.2013年1月包裝明細_SEB 591 包装明细 9.5" xfId="15763" xr:uid="{00000000-0005-0000-0000-0000C9440000}"/>
    <cellStyle name="好_PAV 4月份 包装明细_PAV.2013年1月包裝明細_SEB 591 包装明细 9.5_TFR2014年1月包裝明細" xfId="25730" xr:uid="{00000000-0005-0000-0000-0000CA440000}"/>
    <cellStyle name="好_PAV 4月份 包装明细_PAV.2013年1月包裝明細_SEB 591 包装明细 9.5_TFR2014年1月包裝明細_TFR2014年3月包裝明細" xfId="25731" xr:uid="{00000000-0005-0000-0000-0000CB440000}"/>
    <cellStyle name="好_PAV 4月份 包装明细_PAV.2013年1月包裝明細_SEB 591 包装明细 9.5_TFR2014年1月包裝明細_TFR2014年4月包裝明細" xfId="22447" xr:uid="{00000000-0005-0000-0000-0000CC440000}"/>
    <cellStyle name="好_PAV 4月份 包装明细_PAV.2013年1月包裝明細_SEB 591 包装明细 9.5_TFR2014年3月包裝明細" xfId="25732" xr:uid="{00000000-0005-0000-0000-0000CD440000}"/>
    <cellStyle name="好_PAV 4月份 包装明细_PAV.2013年1月包裝明細_SEB 591 包装明细 9.5_TFR2014年4月包裝明細" xfId="25733" xr:uid="{00000000-0005-0000-0000-0000CE440000}"/>
    <cellStyle name="好_PAV 4月份 包装明细_PAV.2013年1月包裝明細_SEB 包装明细1.9" xfId="25734" xr:uid="{00000000-0005-0000-0000-0000CF440000}"/>
    <cellStyle name="好_PAV 4月份 包装明细_PAV.2013年1月包裝明細_SEB 包装明细1.9_TFR2014年3月包裝明細" xfId="12625" xr:uid="{00000000-0005-0000-0000-0000D0440000}"/>
    <cellStyle name="好_PAV 4月份 包装明细_PAV.2013年1月包裝明細_SEB 包装明细1.9_TFR2014年4月包裝明細" xfId="25735" xr:uid="{00000000-0005-0000-0000-0000D1440000}"/>
    <cellStyle name="好_PAV 4月份 包装明细_PAV.2013年1月包裝明細_SEB 包装明细12.31" xfId="25737" xr:uid="{00000000-0005-0000-0000-0000D2440000}"/>
    <cellStyle name="好_PAV 4月份 包装明细_PAV.2013年1月包裝明細_SEB 包装明细12.31_TFR2014年3月包裝明細" xfId="25739" xr:uid="{00000000-0005-0000-0000-0000D3440000}"/>
    <cellStyle name="好_PAV 4月份 包装明细_PAV.2013年1月包裝明細_SEB 包装明细12.31_TFR2014年4月包裝明細" xfId="25741" xr:uid="{00000000-0005-0000-0000-0000D4440000}"/>
    <cellStyle name="好_PAV 4月份 包装明细_PAV.2013年1月包裝明細_SEB 包装明细2.13 revised" xfId="25742" xr:uid="{00000000-0005-0000-0000-0000D5440000}"/>
    <cellStyle name="好_PAV 4月份 包装明细_PAV.2013年1月包裝明細_SEB 包装明细2.13 revised_TFR2014年3月包裝明細" xfId="25744" xr:uid="{00000000-0005-0000-0000-0000D6440000}"/>
    <cellStyle name="好_PAV 4月份 包装明细_PAV.2013年1月包裝明細_SEB 包装明细2.13 revised_TFR2014年4月包裝明細" xfId="25745" xr:uid="{00000000-0005-0000-0000-0000D7440000}"/>
    <cellStyle name="好_PAV 4月份 包装明细_PAV.2013年1月包裝明細_TFR" xfId="25747" xr:uid="{00000000-0005-0000-0000-0000D8440000}"/>
    <cellStyle name="好_PAV 4月份 包装明细_PAV.2013年1月包裝明細_TFR 包装明细 5.13" xfId="25749" xr:uid="{00000000-0005-0000-0000-0000D9440000}"/>
    <cellStyle name="好_PAV 4月份 包装明细_PAV.2013年1月包裝明細_TFR(SEB ASIA) 包装明细3-25" xfId="14399" xr:uid="{00000000-0005-0000-0000-0000DA440000}"/>
    <cellStyle name="好_PAV 4月份 包装明细_PAV.2013年1月包裝明細_TFR(SEB ASIA) 包装明细4.29" xfId="4313" xr:uid="{00000000-0005-0000-0000-0000DB440000}"/>
    <cellStyle name="好_PAV 4月份 包装明细_PAV.2013年1月包裝明細_TFR_TFR2014年3月包裝明細" xfId="25750" xr:uid="{00000000-0005-0000-0000-0000DC440000}"/>
    <cellStyle name="好_PAV 4月份 包装明细_PAV.2013年1月包裝明細_TFR_TFR2014年4月包裝明細" xfId="25752" xr:uid="{00000000-0005-0000-0000-0000DD440000}"/>
    <cellStyle name="好_PAV 4月份 包装明细_PAV.2013年1月包裝明細_TFR2014年1月包裝明細" xfId="23737" xr:uid="{00000000-0005-0000-0000-0000DE440000}"/>
    <cellStyle name="好_PAV 4月份 包装明细_PAV.2013年1月包裝明細_TFR2014年1月包裝明細_1" xfId="25753" xr:uid="{00000000-0005-0000-0000-0000DF440000}"/>
    <cellStyle name="好_PAV 4月份 包装明细_PAV.2013年1月包裝明細_TFR2014年1月包裝明細_1123" xfId="25754" xr:uid="{00000000-0005-0000-0000-0000E0440000}"/>
    <cellStyle name="好_PAV 4月份 包装明细_PAV.2013年1月包裝明細_TFR2014年1月包裝明細_1136" xfId="25755" xr:uid="{00000000-0005-0000-0000-0000E1440000}"/>
    <cellStyle name="好_PAV 4月份 包装明细_PAV.2013年1月包裝明細_TFR2014年1月包裝明細_143" xfId="25757" xr:uid="{00000000-0005-0000-0000-0000E2440000}"/>
    <cellStyle name="好_PAV 4月份 包装明细_PAV.2013年1月包裝明細_TFR2014年1月包裝明細_4.15" xfId="17590" xr:uid="{00000000-0005-0000-0000-0000E3440000}"/>
    <cellStyle name="好_PAV 4月份 包装明细_PAV.2013年1月包裝明細_TFR2014年1月包裝明細_PL" xfId="14516" xr:uid="{00000000-0005-0000-0000-0000E4440000}"/>
    <cellStyle name="好_PAV 4月份 包装明细_PAV.2013年1月包裝明細_TFR2014年1月包裝明細_PL_TFR2014年3月包裝明細" xfId="22924" xr:uid="{00000000-0005-0000-0000-0000E5440000}"/>
    <cellStyle name="好_PAV 4月份 包装明细_PAV.2013年1月包裝明細_TFR2014年1月包裝明細_PL_TFR2014年4月包裝明細" xfId="25758" xr:uid="{00000000-0005-0000-0000-0000E6440000}"/>
    <cellStyle name="好_PAV 4月份 包装明细_PAV.2013年1月包裝明細_TFR2014年1月包裝明細_TFR" xfId="25760" xr:uid="{00000000-0005-0000-0000-0000E7440000}"/>
    <cellStyle name="好_PAV 4月份 包装明细_PAV.2013年1月包裝明細_TFR2014年1月包裝明細_TFR 包装明细 5.13" xfId="25762" xr:uid="{00000000-0005-0000-0000-0000E8440000}"/>
    <cellStyle name="好_PAV 4月份 包装明细_PAV.2013年1月包裝明細_TFR2014年1月包裝明細_TFR(SEB ASIA) 包装明细3-25" xfId="25764" xr:uid="{00000000-0005-0000-0000-0000E9440000}"/>
    <cellStyle name="好_PAV 4月份 包装明细_PAV.2013年1月包裝明細_TFR2014年1月包裝明細_TFR(SEB ASIA) 包装明细4.29" xfId="25765" xr:uid="{00000000-0005-0000-0000-0000EA440000}"/>
    <cellStyle name="好_PAV 4月份 包装明细_PAV.2013年1月包裝明細_TFR2014年1月包裝明細_TFR_TFR2014年3月包裝明細" xfId="11595" xr:uid="{00000000-0005-0000-0000-0000EB440000}"/>
    <cellStyle name="好_PAV 4月份 包装明细_PAV.2013年1月包裝明細_TFR2014年1月包裝明細_TFR_TFR2014年4月包裝明細" xfId="3392" xr:uid="{00000000-0005-0000-0000-0000EC440000}"/>
    <cellStyle name="好_PAV 4月份 包装明细_PAV.2013年1月包裝明細_TFR2014年1月包裝明細_TFR2014年3月包裝明細" xfId="25767" xr:uid="{00000000-0005-0000-0000-0000ED440000}"/>
    <cellStyle name="好_PAV 4月份 包装明细_PAV.2013年1月包裝明細_TFR2014年1月包裝明細_TFR2014年3月包裝明細_1" xfId="25769" xr:uid="{00000000-0005-0000-0000-0000EE440000}"/>
    <cellStyle name="好_PAV 4月份 包装明细_PAV.2013年1月包裝明細_TFR2014年1月包裝明細_TFR2014年3月包裝明細_1_TFR2014年3月包裝明細" xfId="25770" xr:uid="{00000000-0005-0000-0000-0000EF440000}"/>
    <cellStyle name="好_PAV 4月份 包装明细_PAV.2013年1月包裝明細_TFR2014年1月包裝明細_TFR2014年3月包裝明細_1_TFR2014年4月包裝明細" xfId="25772" xr:uid="{00000000-0005-0000-0000-0000F0440000}"/>
    <cellStyle name="好_PAV 4月份 包装明细_PAV.2013年1月包裝明細_TFR2014年1月包裝明細_TFR2014年3月包裝明細_2" xfId="6959" xr:uid="{00000000-0005-0000-0000-0000F1440000}"/>
    <cellStyle name="好_PAV 4月份 包装明细_PAV.2013年1月包裝明細_TFR2014年1月包裝明細_TFR2014年3月包裝明細_3" xfId="6968" xr:uid="{00000000-0005-0000-0000-0000F2440000}"/>
    <cellStyle name="好_PAV 4月份 包装明细_PAV.2013年1月包裝明細_TFR2014年1月包裝明細_TFR2014年3月包裝明細_4" xfId="7598" xr:uid="{00000000-0005-0000-0000-0000F3440000}"/>
    <cellStyle name="好_PAV 4月份 包装明细_PAV.2013年1月包裝明細_TFR2014年1月包裝明細_TFR2014年3月包裝明細_TFR2014年3月包裝明細" xfId="25773" xr:uid="{00000000-0005-0000-0000-0000F4440000}"/>
    <cellStyle name="好_PAV 4月份 包装明细_PAV.2013年1月包裝明細_TFR2014年1月包裝明細_TFR2014年3月包裝明細_TFR2014年4月包裝明細" xfId="4081" xr:uid="{00000000-0005-0000-0000-0000F5440000}"/>
    <cellStyle name="好_PAV 4月份 包装明细_PAV.2013年1月包裝明細_TFR2014年1月包裝明細_TFR2014年4月包裝明細" xfId="25774" xr:uid="{00000000-0005-0000-0000-0000F6440000}"/>
    <cellStyle name="好_PAV 4月份 包装明细_PAV.2013年1月包裝明細_TFR2014年1月包裝明細_包装明细" xfId="13617" xr:uid="{00000000-0005-0000-0000-0000F7440000}"/>
    <cellStyle name="好_PAV 4月份 包装明细_PAV.2013年1月包裝明細_TFR2014年3月包裝明細" xfId="25777" xr:uid="{00000000-0005-0000-0000-0000F8440000}"/>
    <cellStyle name="好_PAV 4月份 包装明细_PAV.2013年1月包裝明細_TFR2014年3月包裝明細_1" xfId="25778" xr:uid="{00000000-0005-0000-0000-0000F9440000}"/>
    <cellStyle name="好_PAV 4月份 包装明细_PAV.2013年1月包裝明細_TFR2014年3月包裝明細_1_TFR2014年3月包裝明細" xfId="808" xr:uid="{00000000-0005-0000-0000-0000FA440000}"/>
    <cellStyle name="好_PAV 4月份 包装明细_PAV.2013年1月包裝明細_TFR2014年3月包裝明細_1_TFR2014年4月包裝明細" xfId="25779" xr:uid="{00000000-0005-0000-0000-0000FB440000}"/>
    <cellStyle name="好_PAV 4月份 包装明细_PAV.2013年1月包裝明細_TFR2014年3月包裝明細_2" xfId="25781" xr:uid="{00000000-0005-0000-0000-0000FC440000}"/>
    <cellStyle name="好_PAV 4月份 包装明细_PAV.2013年1月包裝明細_TFR2014年3月包裝明細_3" xfId="25782" xr:uid="{00000000-0005-0000-0000-0000FD440000}"/>
    <cellStyle name="好_PAV 4月份 包装明细_PAV.2013年1月包裝明細_TFR2014年3月包裝明細_4" xfId="25783" xr:uid="{00000000-0005-0000-0000-0000FE440000}"/>
    <cellStyle name="好_PAV 4月份 包装明细_PAV.2013年1月包裝明細_TFR2014年3月包裝明細_TFR2014年3月包裝明細" xfId="13965" xr:uid="{00000000-0005-0000-0000-0000FF440000}"/>
    <cellStyle name="好_PAV 4月份 包装明细_PAV.2013年1月包裝明細_TFR2014年3月包裝明細_TFR2014年4月包裝明細" xfId="25784" xr:uid="{00000000-0005-0000-0000-000000450000}"/>
    <cellStyle name="好_PAV 4月份 包装明细_PAV.2013年1月包裝明細_TFR2014年4月包裝明細" xfId="25785" xr:uid="{00000000-0005-0000-0000-000001450000}"/>
    <cellStyle name="好_PAV 4月份 包装明细_PAV.2013年1月包裝明細_TLF 包装明细 7.15" xfId="25786" xr:uid="{00000000-0005-0000-0000-000002450000}"/>
    <cellStyle name="好_PAV 4月份 包装明细_PAV.2013年1月包裝明細_TLF 包装明细 7.15_TFR2014年1月包裝明細" xfId="25787" xr:uid="{00000000-0005-0000-0000-000003450000}"/>
    <cellStyle name="好_PAV 4月份 包装明细_PAV.2013年1月包裝明細_TLF 包装明细 7.15_TFR2014年1月包裝明細_TFR2014年3月包裝明細" xfId="25788" xr:uid="{00000000-0005-0000-0000-000004450000}"/>
    <cellStyle name="好_PAV 4月份 包装明细_PAV.2013年1月包裝明細_TLF 包装明细 7.15_TFR2014年1月包裝明細_TFR2014年4月包裝明細" xfId="25791" xr:uid="{00000000-0005-0000-0000-000005450000}"/>
    <cellStyle name="好_PAV 4月份 包装明细_PAV.2013年1月包裝明細_TLF 包装明细 7.15_TFR2014年3月包裝明細" xfId="25793" xr:uid="{00000000-0005-0000-0000-000006450000}"/>
    <cellStyle name="好_PAV 4月份 包装明细_PAV.2013年1月包裝明細_TLF 包装明细 7.15_TFR2014年4月包裝明細" xfId="25795" xr:uid="{00000000-0005-0000-0000-000007450000}"/>
    <cellStyle name="好_PAV 4月份 包装明细_PAV.2013年1月包裝明細_TLF 包装明细1.7" xfId="25796" xr:uid="{00000000-0005-0000-0000-000008450000}"/>
    <cellStyle name="好_PAV 4月份 包装明细_PAV.2013年1月包裝明細_TLF 包装明细1.7_TFR2014年3月包裝明細" xfId="25797" xr:uid="{00000000-0005-0000-0000-000009450000}"/>
    <cellStyle name="好_PAV 4月份 包装明细_PAV.2013年1月包裝明細_TLF 包装明细1.7_TFR2014年4月包裝明細" xfId="3647" xr:uid="{00000000-0005-0000-0000-00000A450000}"/>
    <cellStyle name="好_PAV 4月份 包装明细_PAV.2013年1月包裝明細_包装明细" xfId="25802" xr:uid="{00000000-0005-0000-0000-00000B450000}"/>
    <cellStyle name="好_PAV 4月份 包装明细_PAV.2014年3月包裝明細" xfId="25804" xr:uid="{00000000-0005-0000-0000-00000C450000}"/>
    <cellStyle name="好_PAV 4月份 包装明细_PAV.2014年3月包裝明細_1" xfId="14911" xr:uid="{00000000-0005-0000-0000-00000D450000}"/>
    <cellStyle name="好_PAV 4月份 包装明细_PAV.2014年3月包裝明細_1_TFR2014年3月包裝明細" xfId="8244" xr:uid="{00000000-0005-0000-0000-00000E450000}"/>
    <cellStyle name="好_PAV 4月份 包装明细_PAV.2014年3月包裝明細_1_TFR2014年4月包裝明細" xfId="18495" xr:uid="{00000000-0005-0000-0000-00000F450000}"/>
    <cellStyle name="好_PAV 4月份 包装明细_PAV.2014年3月包裝明細_TFR2014年3月包裝明細" xfId="21257" xr:uid="{00000000-0005-0000-0000-000010450000}"/>
    <cellStyle name="好_PAV 4月份 包装明细_PAV.2014年3月包裝明細_TFR2014年4月包裝明細" xfId="7331" xr:uid="{00000000-0005-0000-0000-000011450000}"/>
    <cellStyle name="好_PAV 4月份 包装明细_PAV2011年6月包裝明細" xfId="25805" xr:uid="{00000000-0005-0000-0000-000012450000}"/>
    <cellStyle name="好_PAV 4月份 包装明细_PAV2011年6月包裝明細_00" xfId="10403" xr:uid="{00000000-0005-0000-0000-000013450000}"/>
    <cellStyle name="好_PAV 4月份 包装明细_PAV2011年6月包裝明細_00_TFR2014年3月包裝明細" xfId="25806" xr:uid="{00000000-0005-0000-0000-000014450000}"/>
    <cellStyle name="好_PAV 4月份 包装明细_PAV2011年6月包裝明細_00_TFR2014年4月包裝明細" xfId="25807" xr:uid="{00000000-0005-0000-0000-000015450000}"/>
    <cellStyle name="好_PAV 4月份 包装明细_PAV2011年6月包裝明細_1" xfId="24474" xr:uid="{00000000-0005-0000-0000-000016450000}"/>
    <cellStyle name="好_PAV 4月份 包装明细_PAV2011年6月包裝明細_1_TFR2014年1月包裝明細" xfId="25808" xr:uid="{00000000-0005-0000-0000-000017450000}"/>
    <cellStyle name="好_PAV 4月份 包装明细_PAV2011年6月包裝明細_1_TFR2014年1月包裝明細_TFR2014年3月包裝明細" xfId="25809" xr:uid="{00000000-0005-0000-0000-000018450000}"/>
    <cellStyle name="好_PAV 4月份 包装明细_PAV2011年6月包裝明細_1_TFR2014年1月包裝明細_TFR2014年4月包裝明細" xfId="25810" xr:uid="{00000000-0005-0000-0000-000019450000}"/>
    <cellStyle name="好_PAV 4月份 包装明细_PAV2011年6月包裝明細_1_TFR2014年3月包裝明細" xfId="25812" xr:uid="{00000000-0005-0000-0000-00001A450000}"/>
    <cellStyle name="好_PAV 4月份 包装明细_PAV2011年6月包裝明細_1_TFR2014年4月包裝明細" xfId="17043" xr:uid="{00000000-0005-0000-0000-00001B450000}"/>
    <cellStyle name="好_PAV 4月份 包装明细_PAV2011年6月包裝明細_1123" xfId="25813" xr:uid="{00000000-0005-0000-0000-00001C450000}"/>
    <cellStyle name="好_PAV 4月份 包装明细_PAV2011年6月包裝明細_1136" xfId="25815" xr:uid="{00000000-0005-0000-0000-00001D450000}"/>
    <cellStyle name="好_PAV 4月份 包装明细_PAV2011年6月包裝明細_143" xfId="25817" xr:uid="{00000000-0005-0000-0000-00001E450000}"/>
    <cellStyle name="好_PAV 4月份 包装明细_PAV2011年6月包裝明細_4.15" xfId="25818" xr:uid="{00000000-0005-0000-0000-00001F450000}"/>
    <cellStyle name="好_PAV 4月份 包装明细_PAV2011年6月包裝明細_456" xfId="25823" xr:uid="{00000000-0005-0000-0000-000020450000}"/>
    <cellStyle name="好_PAV 4月份 包装明细_PAV2011年6月包裝明細_789" xfId="25824" xr:uid="{00000000-0005-0000-0000-000021450000}"/>
    <cellStyle name="好_PAV 4月份 包装明细_PAV2011年6月包裝明細_DEI 包装明细 10.21" xfId="25825" xr:uid="{00000000-0005-0000-0000-000022450000}"/>
    <cellStyle name="好_PAV 4月份 包装明细_PAV2011年6月包裝明細_DEI 包装明细 10.21_TFR2014年1月包裝明細" xfId="25826" xr:uid="{00000000-0005-0000-0000-000023450000}"/>
    <cellStyle name="好_PAV 4月份 包装明细_PAV2011年6月包裝明細_DEI 包装明细 10.21_TFR2014年1月包裝明細_TFR2014年3月包裝明細" xfId="25827" xr:uid="{00000000-0005-0000-0000-000024450000}"/>
    <cellStyle name="好_PAV 4月份 包装明细_PAV2011年6月包裝明細_DEI 包装明细 10.21_TFR2014年1月包裝明細_TFR2014年4月包裝明細" xfId="25828" xr:uid="{00000000-0005-0000-0000-000025450000}"/>
    <cellStyle name="好_PAV 4月份 包装明细_PAV2011年6月包裝明細_DEI 包装明细 10.21_TFR2014年3月包裝明細" xfId="4608" xr:uid="{00000000-0005-0000-0000-000026450000}"/>
    <cellStyle name="好_PAV 4月份 包装明细_PAV2011年6月包裝明細_DEI 包装明细 10.21_TFR2014年4月包裝明細" xfId="25830" xr:uid="{00000000-0005-0000-0000-000027450000}"/>
    <cellStyle name="好_PAV 4月份 包装明细_PAV2011年6月包裝明細_DEI 包装明细 11.1" xfId="13105" xr:uid="{00000000-0005-0000-0000-000028450000}"/>
    <cellStyle name="好_PAV 4月份 包装明细_PAV2011年6月包裝明細_DEI 包装明细 11.1_TFR2014年1月包裝明細" xfId="15525" xr:uid="{00000000-0005-0000-0000-000029450000}"/>
    <cellStyle name="好_PAV 4月份 包装明细_PAV2011年6月包裝明細_DEI 包装明细 11.1_TFR2014年1月包裝明細_TFR2014年3月包裝明細" xfId="25831" xr:uid="{00000000-0005-0000-0000-00002A450000}"/>
    <cellStyle name="好_PAV 4月份 包装明细_PAV2011年6月包裝明細_DEI 包装明细 11.1_TFR2014年1月包裝明細_TFR2014年4月包裝明細" xfId="24598" xr:uid="{00000000-0005-0000-0000-00002B450000}"/>
    <cellStyle name="好_PAV 4月份 包装明细_PAV2011年6月包裝明細_DEI 包装明细 11.1_TFR2014年3月包裝明細" xfId="25832" xr:uid="{00000000-0005-0000-0000-00002C450000}"/>
    <cellStyle name="好_PAV 4月份 包装明细_PAV2011年6月包裝明細_DEI 包装明细 11.1_TFR2014年4月包裝明細" xfId="25833" xr:uid="{00000000-0005-0000-0000-00002D450000}"/>
    <cellStyle name="好_PAV 4月份 包装明细_PAV2011年6月包裝明細_EF 包装明细12.13" xfId="2371" xr:uid="{00000000-0005-0000-0000-00002E450000}"/>
    <cellStyle name="好_PAV 4月份 包装明细_PAV2011年6月包裝明細_EF 包装明细12.13_TFR2014年1月包裝明細" xfId="25834" xr:uid="{00000000-0005-0000-0000-00002F450000}"/>
    <cellStyle name="好_PAV 4月份 包装明细_PAV2011年6月包裝明細_EF 包装明细12.13_TFR2014年1月包裝明細_TFR2014年3月包裝明細" xfId="1708" xr:uid="{00000000-0005-0000-0000-000030450000}"/>
    <cellStyle name="好_PAV 4月份 包装明细_PAV2011年6月包裝明細_EF 包装明细12.13_TFR2014年1月包裝明細_TFR2014年4月包裝明細" xfId="25835" xr:uid="{00000000-0005-0000-0000-000031450000}"/>
    <cellStyle name="好_PAV 4月份 包装明细_PAV2011年6月包裝明細_EF 包装明细12.13_TFR2014年3月包裝明細" xfId="25836" xr:uid="{00000000-0005-0000-0000-000032450000}"/>
    <cellStyle name="好_PAV 4月份 包装明细_PAV2011年6月包裝明細_EF 包装明细12.13_TFR2014年4月包裝明細" xfId="25839" xr:uid="{00000000-0005-0000-0000-000033450000}"/>
    <cellStyle name="好_PAV 4月份 包装明细_PAV2011年6月包裝明細_PAV 包装明细" xfId="25843" xr:uid="{00000000-0005-0000-0000-000034450000}"/>
    <cellStyle name="好_PAV 4月份 包装明细_PAV2011年6月包裝明細_PAV 包装明细 1.13" xfId="25117" xr:uid="{00000000-0005-0000-0000-000035450000}"/>
    <cellStyle name="好_PAV 4月份 包装明细_PAV2011年6月包裝明細_PAV 包装明细 1.13_TFR2014年3月包裝明細" xfId="25844" xr:uid="{00000000-0005-0000-0000-000036450000}"/>
    <cellStyle name="好_PAV 4月份 包装明细_PAV2011年6月包裝明細_PAV 包装明细 1.13_TFR2014年4月包裝明細" xfId="25846" xr:uid="{00000000-0005-0000-0000-000037450000}"/>
    <cellStyle name="好_PAV 4月份 包装明细_PAV2011年6月包裝明細_PAV 包装明细_TFR2014年3月包裝明細" xfId="25847" xr:uid="{00000000-0005-0000-0000-000038450000}"/>
    <cellStyle name="好_PAV 4月份 包装明细_PAV2011年6月包裝明細_PAV 包装明细_TFR2014年4月包裝明細" xfId="25849" xr:uid="{00000000-0005-0000-0000-000039450000}"/>
    <cellStyle name="好_PAV 4月份 包装明细_PAV2011年6月包裝明細_PAV.2014年3月包裝明細" xfId="25850" xr:uid="{00000000-0005-0000-0000-00003A450000}"/>
    <cellStyle name="好_PAV 4月份 包装明细_PAV2011年6月包裝明細_PAV.2014年3月包裝明細_1" xfId="25852" xr:uid="{00000000-0005-0000-0000-00003B450000}"/>
    <cellStyle name="好_PAV 4月份 包装明细_PAV2011年6月包裝明細_PAV.2014年3月包裝明細_1_TFR2014年3月包裝明細" xfId="25853" xr:uid="{00000000-0005-0000-0000-00003C450000}"/>
    <cellStyle name="好_PAV 4月份 包装明细_PAV2011年6月包裝明細_PAV.2014年3月包裝明細_1_TFR2014年4月包裝明細" xfId="25855" xr:uid="{00000000-0005-0000-0000-00003D450000}"/>
    <cellStyle name="好_PAV 4月份 包装明细_PAV2011年6月包裝明細_PAV.2014年3月包裝明細_TFR2014年3月包裝明細" xfId="25856" xr:uid="{00000000-0005-0000-0000-00003E450000}"/>
    <cellStyle name="好_PAV 4月份 包装明细_PAV2011年6月包裝明細_PAV.2014年3月包裝明細_TFR2014年4月包裝明細" xfId="25858" xr:uid="{00000000-0005-0000-0000-00003F450000}"/>
    <cellStyle name="好_PAV 4月份 包装明细_PAV2011年6月包裝明細_PL" xfId="25859" xr:uid="{00000000-0005-0000-0000-000040450000}"/>
    <cellStyle name="好_PAV 4月份 包装明细_PAV2011年6月包裝明細_PL_TFR2014年3月包裝明細" xfId="25860" xr:uid="{00000000-0005-0000-0000-000041450000}"/>
    <cellStyle name="好_PAV 4月份 包装明细_PAV2011年6月包裝明細_PL_TFR2014年4月包裝明細" xfId="25862" xr:uid="{00000000-0005-0000-0000-000042450000}"/>
    <cellStyle name="好_PAV 4月份 包装明细_PAV2011年6月包裝明細_SEB 591 包装明细 9.5" xfId="15577" xr:uid="{00000000-0005-0000-0000-000043450000}"/>
    <cellStyle name="好_PAV 4月份 包装明细_PAV2011年6月包裝明細_SEB 591 包装明细 9.5_TFR2014年1月包裝明細" xfId="6600" xr:uid="{00000000-0005-0000-0000-000044450000}"/>
    <cellStyle name="好_PAV 4月份 包装明细_PAV2011年6月包裝明細_SEB 591 包装明细 9.5_TFR2014年1月包裝明細_TFR2014年3月包裝明細" xfId="17554" xr:uid="{00000000-0005-0000-0000-000045450000}"/>
    <cellStyle name="好_PAV 4月份 包装明细_PAV2011年6月包裝明細_SEB 591 包装明细 9.5_TFR2014年1月包裝明細_TFR2014年4月包裝明細" xfId="25863" xr:uid="{00000000-0005-0000-0000-000046450000}"/>
    <cellStyle name="好_PAV 4月份 包装明细_PAV2011年6月包裝明細_SEB 591 包装明细 9.5_TFR2014年3月包裝明細" xfId="7858" xr:uid="{00000000-0005-0000-0000-000047450000}"/>
    <cellStyle name="好_PAV 4月份 包装明细_PAV2011年6月包裝明細_SEB 591 包装明细 9.5_TFR2014年4月包裝明細" xfId="18188" xr:uid="{00000000-0005-0000-0000-000048450000}"/>
    <cellStyle name="好_PAV 4月份 包装明细_PAV2011年6月包裝明細_SEB ASIA 包装明细12.10" xfId="14795" xr:uid="{00000000-0005-0000-0000-000049450000}"/>
    <cellStyle name="好_PAV 4月份 包装明细_PAV2011年6月包裝明細_SEB ASIA 包装明细12.10_TFR2014年3月包裝明細" xfId="25865" xr:uid="{00000000-0005-0000-0000-00004A450000}"/>
    <cellStyle name="好_PAV 4月份 包装明细_PAV2011年6月包裝明細_SEB ASIA 包装明细12.10_TFR2014年4月包裝明細" xfId="25866" xr:uid="{00000000-0005-0000-0000-00004B450000}"/>
    <cellStyle name="好_PAV 4月份 包装明细_PAV2011年6月包裝明細_SEB ASIA 包装明细12.5" xfId="11476" xr:uid="{00000000-0005-0000-0000-00004C450000}"/>
    <cellStyle name="好_PAV 4月份 包装明细_PAV2011年6月包裝明細_SEB ASIA 包装明细12.5_TFR2014年3月包裝明細" xfId="25867" xr:uid="{00000000-0005-0000-0000-00004D450000}"/>
    <cellStyle name="好_PAV 4月份 包装明细_PAV2011年6月包裝明細_SEB ASIA 包装明细12.5_TFR2014年4月包裝明細" xfId="25868" xr:uid="{00000000-0005-0000-0000-00004E450000}"/>
    <cellStyle name="好_PAV 4月份 包装明细_PAV2011年6月包裝明細_SEB ASIA 包装明细2.11-3.4 更正" xfId="937" xr:uid="{00000000-0005-0000-0000-00004F450000}"/>
    <cellStyle name="好_PAV 4月份 包装明细_PAV2011年6月包裝明細_SEB ASIA 包装明细2.11-3.4 更正_TFR2014年3月包裝明細" xfId="14373" xr:uid="{00000000-0005-0000-0000-000050450000}"/>
    <cellStyle name="好_PAV 4月份 包装明细_PAV2011年6月包裝明細_SEB ASIA 包装明细2.11-3.4 更正_TFR2014年4月包裝明細" xfId="25869" xr:uid="{00000000-0005-0000-0000-000051450000}"/>
    <cellStyle name="好_PAV 4月份 包装明细_PAV2011年6月包裝明細_SEB 包装明细1.9" xfId="25870" xr:uid="{00000000-0005-0000-0000-000052450000}"/>
    <cellStyle name="好_PAV 4月份 包装明细_PAV2011年6月包裝明細_SEB 包装明细1.9_TFR2014年3月包裝明細" xfId="25871" xr:uid="{00000000-0005-0000-0000-000053450000}"/>
    <cellStyle name="好_PAV 4月份 包装明细_PAV2011年6月包裝明細_SEB 包装明细1.9_TFR2014年4月包裝明細" xfId="25873" xr:uid="{00000000-0005-0000-0000-000054450000}"/>
    <cellStyle name="好_PAV 4月份 包装明细_PAV2011年6月包裝明細_SEB 包装明细12.31" xfId="25876" xr:uid="{00000000-0005-0000-0000-000055450000}"/>
    <cellStyle name="好_PAV 4月份 包装明细_PAV2011年6月包裝明細_SEB 包装明细12.31_TFR2014年3月包裝明細" xfId="25811" xr:uid="{00000000-0005-0000-0000-000056450000}"/>
    <cellStyle name="好_PAV 4月份 包装明细_PAV2011年6月包裝明細_SEB 包装明细12.31_TFR2014年4月包裝明細" xfId="25877" xr:uid="{00000000-0005-0000-0000-000057450000}"/>
    <cellStyle name="好_PAV 4月份 包装明细_PAV2011年6月包裝明細_SEB 包装明细2.13 revised" xfId="11294" xr:uid="{00000000-0005-0000-0000-000058450000}"/>
    <cellStyle name="好_PAV 4月份 包装明细_PAV2011年6月包裝明細_SEB 包装明细2.13 revised_TFR2014年3月包裝明細" xfId="14018" xr:uid="{00000000-0005-0000-0000-000059450000}"/>
    <cellStyle name="好_PAV 4月份 包装明细_PAV2011年6月包裝明細_SEB 包装明细2.13 revised_TFR2014年4月包裝明細" xfId="16181" xr:uid="{00000000-0005-0000-0000-00005A450000}"/>
    <cellStyle name="好_PAV 4月份 包装明细_PAV2011年6月包裝明細_TFR" xfId="25878" xr:uid="{00000000-0005-0000-0000-00005B450000}"/>
    <cellStyle name="好_PAV 4月份 包装明细_PAV2011年6月包裝明細_TFR 包装明细 5.13" xfId="25879" xr:uid="{00000000-0005-0000-0000-00005C450000}"/>
    <cellStyle name="好_PAV 4月份 包装明细_PAV2011年6月包裝明細_TFR 钢圈蛋糕盘包装明细6.5(1)" xfId="25455" xr:uid="{00000000-0005-0000-0000-00005D450000}"/>
    <cellStyle name="好_PAV 4月份 包装明细_PAV2011年6月包裝明細_TFR 钢圈蛋糕盘包装明细6.5(1)_TFR2014年3月包裝明細" xfId="25880" xr:uid="{00000000-0005-0000-0000-00005E450000}"/>
    <cellStyle name="好_PAV 4月份 包装明细_PAV2011年6月包裝明細_TFR 钢圈蛋糕盘包装明细6.5(1)_TFR2014年4月包裝明細" xfId="8162" xr:uid="{00000000-0005-0000-0000-00005F450000}"/>
    <cellStyle name="好_PAV 4月份 包装明细_PAV2011年6月包裝明細_TFR(SEB ASIA) 包装明细3-25" xfId="972" xr:uid="{00000000-0005-0000-0000-000060450000}"/>
    <cellStyle name="好_PAV 4月份 包装明细_PAV2011年6月包裝明細_TFR(SEB ASIA) 包装明细4.29" xfId="25881" xr:uid="{00000000-0005-0000-0000-000061450000}"/>
    <cellStyle name="好_PAV 4月份 包装明细_PAV2011年6月包裝明細_TFR_TFR2014年3月包裝明細" xfId="25883" xr:uid="{00000000-0005-0000-0000-000062450000}"/>
    <cellStyle name="好_PAV 4月份 包装明细_PAV2011年6月包裝明細_TFR_TFR2014年4月包裝明細" xfId="15513" xr:uid="{00000000-0005-0000-0000-000063450000}"/>
    <cellStyle name="好_PAV 4月份 包装明细_PAV2011年6月包裝明細_TFR2014年1月包裝明細" xfId="10776" xr:uid="{00000000-0005-0000-0000-000064450000}"/>
    <cellStyle name="好_PAV 4月份 包装明细_PAV2011年6月包裝明細_TFR2014年1月包裝明細_1" xfId="2605" xr:uid="{00000000-0005-0000-0000-000065450000}"/>
    <cellStyle name="好_PAV 4月份 包装明细_PAV2011年6月包裝明細_TFR2014年1月包裝明細_1123" xfId="25889" xr:uid="{00000000-0005-0000-0000-000066450000}"/>
    <cellStyle name="好_PAV 4月份 包装明细_PAV2011年6月包裝明細_TFR2014年1月包裝明細_1136" xfId="25890" xr:uid="{00000000-0005-0000-0000-000067450000}"/>
    <cellStyle name="好_PAV 4月份 包装明细_PAV2011年6月包裝明細_TFR2014年1月包裝明細_143" xfId="16661" xr:uid="{00000000-0005-0000-0000-000068450000}"/>
    <cellStyle name="好_PAV 4月份 包装明细_PAV2011年6月包裝明細_TFR2014年1月包裝明細_4.15" xfId="25891" xr:uid="{00000000-0005-0000-0000-000069450000}"/>
    <cellStyle name="好_PAV 4月份 包装明细_PAV2011年6月包裝明細_TFR2014年1月包裝明細_PL" xfId="10266" xr:uid="{00000000-0005-0000-0000-00006A450000}"/>
    <cellStyle name="好_PAV 4月份 包装明细_PAV2011年6月包裝明細_TFR2014年1月包裝明細_PL_TFR2014年3月包裝明細" xfId="25892" xr:uid="{00000000-0005-0000-0000-00006B450000}"/>
    <cellStyle name="好_PAV 4月份 包装明细_PAV2011年6月包裝明細_TFR2014年1月包裝明細_PL_TFR2014年4月包裝明細" xfId="25895" xr:uid="{00000000-0005-0000-0000-00006C450000}"/>
    <cellStyle name="好_PAV 4月份 包装明细_PAV2011年6月包裝明細_TFR2014年1月包裝明細_TFR" xfId="22682" xr:uid="{00000000-0005-0000-0000-00006D450000}"/>
    <cellStyle name="好_PAV 4月份 包装明细_PAV2011年6月包裝明細_TFR2014年1月包裝明細_TFR 包装明细 5.13" xfId="20916" xr:uid="{00000000-0005-0000-0000-00006E450000}"/>
    <cellStyle name="好_PAV 4月份 包装明细_PAV2011年6月包裝明細_TFR2014年1月包裝明細_TFR(SEB ASIA) 包装明细3-25" xfId="25897" xr:uid="{00000000-0005-0000-0000-00006F450000}"/>
    <cellStyle name="好_PAV 4月份 包装明细_PAV2011年6月包裝明細_TFR2014年1月包裝明細_TFR(SEB ASIA) 包装明细4.29" xfId="25899" xr:uid="{00000000-0005-0000-0000-000070450000}"/>
    <cellStyle name="好_PAV 4月份 包装明细_PAV2011年6月包裝明細_TFR2014年1月包裝明細_TFR_TFR2014年3月包裝明細" xfId="25900" xr:uid="{00000000-0005-0000-0000-000071450000}"/>
    <cellStyle name="好_PAV 4月份 包装明细_PAV2011年6月包裝明細_TFR2014年1月包裝明細_TFR_TFR2014年4月包裝明細" xfId="25902" xr:uid="{00000000-0005-0000-0000-000072450000}"/>
    <cellStyle name="好_PAV 4月份 包装明细_PAV2011年6月包裝明細_TFR2014年1月包裝明細_TFR2014年3月包裝明細" xfId="5189" xr:uid="{00000000-0005-0000-0000-000073450000}"/>
    <cellStyle name="好_PAV 4月份 包装明细_PAV2011年6月包裝明細_TFR2014年1月包裝明細_TFR2014年3月包裝明細_1" xfId="25903" xr:uid="{00000000-0005-0000-0000-000074450000}"/>
    <cellStyle name="好_PAV 4月份 包装明细_PAV2011年6月包裝明細_TFR2014年1月包裝明細_TFR2014年3月包裝明細_1_TFR2014年3月包裝明細" xfId="19936" xr:uid="{00000000-0005-0000-0000-000075450000}"/>
    <cellStyle name="好_PAV 4月份 包装明细_PAV2011年6月包裝明細_TFR2014年1月包裝明細_TFR2014年3月包裝明細_1_TFR2014年4月包裝明細" xfId="25904" xr:uid="{00000000-0005-0000-0000-000076450000}"/>
    <cellStyle name="好_PAV 4月份 包装明细_PAV2011年6月包裝明細_TFR2014年1月包裝明細_TFR2014年3月包裝明細_2" xfId="25905" xr:uid="{00000000-0005-0000-0000-000077450000}"/>
    <cellStyle name="好_PAV 4月份 包装明细_PAV2011年6月包裝明細_TFR2014年1月包裝明細_TFR2014年3月包裝明細_3" xfId="25906" xr:uid="{00000000-0005-0000-0000-000078450000}"/>
    <cellStyle name="好_PAV 4月份 包装明细_PAV2011年6月包裝明細_TFR2014年1月包裝明細_TFR2014年3月包裝明細_4" xfId="25907" xr:uid="{00000000-0005-0000-0000-000079450000}"/>
    <cellStyle name="好_PAV 4月份 包装明细_PAV2011年6月包裝明細_TFR2014年1月包裝明細_TFR2014年3月包裝明細_TFR2014年3月包裝明細" xfId="24029" xr:uid="{00000000-0005-0000-0000-00007A450000}"/>
    <cellStyle name="好_PAV 4月份 包装明细_PAV2011年6月包裝明細_TFR2014年1月包裝明細_TFR2014年3月包裝明細_TFR2014年4月包裝明細" xfId="25909" xr:uid="{00000000-0005-0000-0000-00007B450000}"/>
    <cellStyle name="好_PAV 4月份 包装明细_PAV2011年6月包裝明細_TFR2014年1月包裝明細_TFR2014年4月包裝明細" xfId="25911" xr:uid="{00000000-0005-0000-0000-00007C450000}"/>
    <cellStyle name="好_PAV 4月份 包装明细_PAV2011年6月包裝明細_TFR2014年1月包裝明細_包装明细" xfId="25912" xr:uid="{00000000-0005-0000-0000-00007D450000}"/>
    <cellStyle name="好_PAV 4月份 包装明细_PAV2011年6月包裝明細_TFR2014年3月包裝明細" xfId="25913" xr:uid="{00000000-0005-0000-0000-00007E450000}"/>
    <cellStyle name="好_PAV 4月份 包装明细_PAV2011年6月包裝明細_TFR2014年3月包裝明細_1" xfId="5143" xr:uid="{00000000-0005-0000-0000-00007F450000}"/>
    <cellStyle name="好_PAV 4月份 包装明细_PAV2011年6月包裝明細_TFR2014年3月包裝明細_1_TFR2014年3月包裝明細" xfId="25914" xr:uid="{00000000-0005-0000-0000-000080450000}"/>
    <cellStyle name="好_PAV 4月份 包装明细_PAV2011年6月包裝明細_TFR2014年3月包裝明細_1_TFR2014年4月包裝明細" xfId="25915" xr:uid="{00000000-0005-0000-0000-000081450000}"/>
    <cellStyle name="好_PAV 4月份 包装明细_PAV2011年6月包裝明細_TFR2014年3月包裝明細_2" xfId="19598" xr:uid="{00000000-0005-0000-0000-000082450000}"/>
    <cellStyle name="好_PAV 4月份 包装明细_PAV2011年6月包裝明細_TFR2014年3月包裝明細_3" xfId="5159" xr:uid="{00000000-0005-0000-0000-000083450000}"/>
    <cellStyle name="好_PAV 4月份 包装明细_PAV2011年6月包裝明細_TFR2014年3月包裝明細_4" xfId="5163" xr:uid="{00000000-0005-0000-0000-000084450000}"/>
    <cellStyle name="好_PAV 4月份 包装明细_PAV2011年6月包裝明細_TFR2014年3月包裝明細_TFR2014年3月包裝明細" xfId="4753" xr:uid="{00000000-0005-0000-0000-000085450000}"/>
    <cellStyle name="好_PAV 4月份 包装明细_PAV2011年6月包裝明細_TFR2014年3月包裝明細_TFR2014年4月包裝明細" xfId="25917" xr:uid="{00000000-0005-0000-0000-000086450000}"/>
    <cellStyle name="好_PAV 4月份 包装明细_PAV2011年6月包裝明細_TFR2014年4月包裝明細" xfId="25918" xr:uid="{00000000-0005-0000-0000-000087450000}"/>
    <cellStyle name="好_PAV 4月份 包装明细_PAV2011年6月包裝明細_TLF 包装明细 7.15" xfId="4085" xr:uid="{00000000-0005-0000-0000-000088450000}"/>
    <cellStyle name="好_PAV 4月份 包装明细_PAV2011年6月包裝明細_TLF 包装明细 7.15_TFR2014年1月包裝明細" xfId="25919" xr:uid="{00000000-0005-0000-0000-000089450000}"/>
    <cellStyle name="好_PAV 4月份 包装明细_PAV2011年6月包裝明細_TLF 包装明细 7.15_TFR2014年1月包裝明細_TFR2014年3月包裝明細" xfId="25920" xr:uid="{00000000-0005-0000-0000-00008A450000}"/>
    <cellStyle name="好_PAV 4月份 包装明细_PAV2011年6月包裝明細_TLF 包装明细 7.15_TFR2014年1月包裝明細_TFR2014年4月包裝明細" xfId="25921" xr:uid="{00000000-0005-0000-0000-00008B450000}"/>
    <cellStyle name="好_PAV 4月份 包装明细_PAV2011年6月包裝明細_TLF 包装明细 7.15_TFR2014年3月包裝明細" xfId="25923" xr:uid="{00000000-0005-0000-0000-00008C450000}"/>
    <cellStyle name="好_PAV 4月份 包装明细_PAV2011年6月包裝明細_TLF 包装明细 7.15_TFR2014年4月包裝明細" xfId="14933" xr:uid="{00000000-0005-0000-0000-00008D450000}"/>
    <cellStyle name="好_PAV 4月份 包装明细_PAV2011年6月包裝明細_TLF 包装明细1.7" xfId="25926" xr:uid="{00000000-0005-0000-0000-00008E450000}"/>
    <cellStyle name="好_PAV 4月份 包装明细_PAV2011年6月包裝明細_TLF 包装明细1.7_TFR2014年3月包裝明細" xfId="25927" xr:uid="{00000000-0005-0000-0000-00008F450000}"/>
    <cellStyle name="好_PAV 4月份 包装明细_PAV2011年6月包裝明細_TLF 包装明细1.7_TFR2014年4月包裝明細" xfId="7243" xr:uid="{00000000-0005-0000-0000-000090450000}"/>
    <cellStyle name="好_PAV 4月份 包装明细_PAV2011年6月包裝明細_包装明细" xfId="9384" xr:uid="{00000000-0005-0000-0000-000091450000}"/>
    <cellStyle name="好_PAV 4月份 包装明细_TCB 2012年2月包裝明細" xfId="25928" xr:uid="{00000000-0005-0000-0000-000092450000}"/>
    <cellStyle name="好_PAV 4月份 包装明细_TCB 2012年2月包裝明細_00" xfId="15280" xr:uid="{00000000-0005-0000-0000-000093450000}"/>
    <cellStyle name="好_PAV 4月份 包装明细_TCB 2012年2月包裝明細_00_TFR2014年3月包裝明細" xfId="18198" xr:uid="{00000000-0005-0000-0000-000094450000}"/>
    <cellStyle name="好_PAV 4月份 包装明细_TCB 2012年2月包裝明細_00_TFR2014年4月包裝明細" xfId="25930" xr:uid="{00000000-0005-0000-0000-000095450000}"/>
    <cellStyle name="好_PAV 4月份 包装明细_TCB 2012年2月包裝明細_1" xfId="25931" xr:uid="{00000000-0005-0000-0000-000096450000}"/>
    <cellStyle name="好_PAV 4月份 包装明细_TCB 2012年2月包裝明細_1_TFR2014年1月包裝明細" xfId="19444" xr:uid="{00000000-0005-0000-0000-000097450000}"/>
    <cellStyle name="好_PAV 4月份 包装明细_TCB 2012年2月包裝明細_1_TFR2014年1月包裝明細_TFR2014年3月包裝明細" xfId="25932" xr:uid="{00000000-0005-0000-0000-000098450000}"/>
    <cellStyle name="好_PAV 4月份 包装明细_TCB 2012年2月包裝明細_1_TFR2014年1月包裝明細_TFR2014年4月包裝明細" xfId="25933" xr:uid="{00000000-0005-0000-0000-000099450000}"/>
    <cellStyle name="好_PAV 4月份 包装明细_TCB 2012年2月包裝明細_1_TFR2014年3月包裝明細" xfId="21405" xr:uid="{00000000-0005-0000-0000-00009A450000}"/>
    <cellStyle name="好_PAV 4月份 包装明细_TCB 2012年2月包裝明細_1_TFR2014年4月包裝明細" xfId="10978" xr:uid="{00000000-0005-0000-0000-00009B450000}"/>
    <cellStyle name="好_PAV 4月份 包装明细_TCB 2012年2月包裝明細_1123" xfId="25934" xr:uid="{00000000-0005-0000-0000-00009C450000}"/>
    <cellStyle name="好_PAV 4月份 包装明细_TCB 2012年2月包裝明細_1136" xfId="25937" xr:uid="{00000000-0005-0000-0000-00009D450000}"/>
    <cellStyle name="好_PAV 4月份 包装明细_TCB 2012年2月包裝明細_143" xfId="3255" xr:uid="{00000000-0005-0000-0000-00009E450000}"/>
    <cellStyle name="好_PAV 4月份 包装明细_TCB 2012年2月包裝明細_4.15" xfId="25938" xr:uid="{00000000-0005-0000-0000-00009F450000}"/>
    <cellStyle name="好_PAV 4月份 包装明细_TCB 2012年2月包裝明細_456" xfId="25940" xr:uid="{00000000-0005-0000-0000-0000A0450000}"/>
    <cellStyle name="好_PAV 4月份 包装明细_TCB 2012年2月包裝明細_789" xfId="25941" xr:uid="{00000000-0005-0000-0000-0000A1450000}"/>
    <cellStyle name="好_PAV 4月份 包装明细_TCB 2012年2月包裝明細_DEI 包装明细 10.21" xfId="25945" xr:uid="{00000000-0005-0000-0000-0000A2450000}"/>
    <cellStyle name="好_PAV 4月份 包装明细_TCB 2012年2月包裝明細_DEI 包装明细 10.21_TFR2014年1月包裝明細" xfId="25946" xr:uid="{00000000-0005-0000-0000-0000A3450000}"/>
    <cellStyle name="好_PAV 4月份 包装明细_TCB 2012年2月包裝明細_DEI 包装明细 10.21_TFR2014年1月包裝明細_TFR2014年3月包裝明細" xfId="25947" xr:uid="{00000000-0005-0000-0000-0000A4450000}"/>
    <cellStyle name="好_PAV 4月份 包装明细_TCB 2012年2月包裝明細_DEI 包装明细 10.21_TFR2014年1月包裝明細_TFR2014年4月包裝明細" xfId="25948" xr:uid="{00000000-0005-0000-0000-0000A5450000}"/>
    <cellStyle name="好_PAV 4月份 包装明细_TCB 2012年2月包裝明細_DEI 包装明细 10.21_TFR2014年3月包裝明細" xfId="25950" xr:uid="{00000000-0005-0000-0000-0000A6450000}"/>
    <cellStyle name="好_PAV 4月份 包装明细_TCB 2012年2月包裝明細_DEI 包装明细 10.21_TFR2014年4月包裝明細" xfId="25952" xr:uid="{00000000-0005-0000-0000-0000A7450000}"/>
    <cellStyle name="好_PAV 4月份 包装明细_TCB 2012年2月包裝明細_DEI 包装明细 11.1" xfId="25953" xr:uid="{00000000-0005-0000-0000-0000A8450000}"/>
    <cellStyle name="好_PAV 4月份 包装明细_TCB 2012年2月包裝明細_DEI 包装明细 11.1_TFR2014年1月包裝明細" xfId="25955" xr:uid="{00000000-0005-0000-0000-0000A9450000}"/>
    <cellStyle name="好_PAV 4月份 包装明细_TCB 2012年2月包裝明細_DEI 包装明细 11.1_TFR2014年1月包裝明細_TFR2014年3月包裝明細" xfId="17561" xr:uid="{00000000-0005-0000-0000-0000AA450000}"/>
    <cellStyle name="好_PAV 4月份 包装明细_TCB 2012年2月包裝明細_DEI 包装明细 11.1_TFR2014年1月包裝明細_TFR2014年4月包裝明細" xfId="25958" xr:uid="{00000000-0005-0000-0000-0000AB450000}"/>
    <cellStyle name="好_PAV 4月份 包装明细_TCB 2012年2月包裝明細_DEI 包装明细 11.1_TFR2014年3月包裝明細" xfId="25959" xr:uid="{00000000-0005-0000-0000-0000AC450000}"/>
    <cellStyle name="好_PAV 4月份 包装明细_TCB 2012年2月包裝明細_DEI 包装明细 11.1_TFR2014年4月包裝明細" xfId="25960" xr:uid="{00000000-0005-0000-0000-0000AD450000}"/>
    <cellStyle name="好_PAV 4月份 包装明细_TCB 2012年2月包裝明細_EF 包装明细12.13" xfId="25961" xr:uid="{00000000-0005-0000-0000-0000AE450000}"/>
    <cellStyle name="好_PAV 4月份 包装明细_TCB 2012年2月包裝明細_EF 包装明细12.13_TFR2014年1月包裝明細" xfId="19760" xr:uid="{00000000-0005-0000-0000-0000AF450000}"/>
    <cellStyle name="好_PAV 4月份 包装明细_TCB 2012年2月包裝明細_EF 包装明细12.13_TFR2014年1月包裝明細_TFR2014年3月包裝明細" xfId="8077" xr:uid="{00000000-0005-0000-0000-0000B0450000}"/>
    <cellStyle name="好_PAV 4月份 包装明细_TCB 2012年2月包裝明細_EF 包装明细12.13_TFR2014年1月包裝明細_TFR2014年4月包裝明細" xfId="25962" xr:uid="{00000000-0005-0000-0000-0000B1450000}"/>
    <cellStyle name="好_PAV 4月份 包装明细_TCB 2012年2月包裝明細_EF 包装明细12.13_TFR2014年3月包裝明細" xfId="25966" xr:uid="{00000000-0005-0000-0000-0000B2450000}"/>
    <cellStyle name="好_PAV 4月份 包装明细_TCB 2012年2月包裝明細_EF 包装明细12.13_TFR2014年4月包裝明細" xfId="25968" xr:uid="{00000000-0005-0000-0000-0000B3450000}"/>
    <cellStyle name="好_PAV 4月份 包装明细_TCB 2012年2月包裝明細_JB 包装明细 12.23" xfId="24845" xr:uid="{00000000-0005-0000-0000-0000B4450000}"/>
    <cellStyle name="好_PAV 4月份 包装明细_TCB 2012年2月包裝明細_JB 包装明细 12.23_TFR2014年3月包裝明細" xfId="25969" xr:uid="{00000000-0005-0000-0000-0000B5450000}"/>
    <cellStyle name="好_PAV 4月份 包装明细_TCB 2012年2月包裝明細_JB 包装明细 12.23_TFR2014年4月包裝明細" xfId="24572" xr:uid="{00000000-0005-0000-0000-0000B6450000}"/>
    <cellStyle name="好_PAV 4月份 包装明细_TCB 2012年2月包裝明細_JB 包装明细 12.23_涂布2014年3月包装明细" xfId="7760" xr:uid="{00000000-0005-0000-0000-0000B7450000}"/>
    <cellStyle name="好_PAV 4月份 包装明细_TCB 2012年2月包裝明細_JB 包装明细 12.23_涂布2014年3月包装明细_1" xfId="25971" xr:uid="{00000000-0005-0000-0000-0000B8450000}"/>
    <cellStyle name="好_PAV 4月份 包装明细_TCB 2012年2月包裝明細_JB 包装明细 12.23_涂布2014年3月包装明细_TFR2014年3月包裝明細" xfId="14779" xr:uid="{00000000-0005-0000-0000-0000B9450000}"/>
    <cellStyle name="好_PAV 4月份 包装明细_TCB 2012年2月包裝明細_JB 包装明细 12.23_涂布2014年3月包装明细_TFR2014年4月包裝明細" xfId="25972" xr:uid="{00000000-0005-0000-0000-0000BA450000}"/>
    <cellStyle name="好_PAV 4月份 包装明细_TCB 2012年2月包裝明細_JB 包装明细2.14" xfId="6986" xr:uid="{00000000-0005-0000-0000-0000BB450000}"/>
    <cellStyle name="好_PAV 4月份 包装明细_TCB 2012年2月包裝明細_JB 包装明细2.14_TFR2014年3月包裝明細" xfId="25973" xr:uid="{00000000-0005-0000-0000-0000BC450000}"/>
    <cellStyle name="好_PAV 4月份 包装明细_TCB 2012年2月包裝明細_JB 包装明细2.14_TFR2014年4月包裝明細" xfId="10216" xr:uid="{00000000-0005-0000-0000-0000BD450000}"/>
    <cellStyle name="好_PAV 4月份 包装明细_TCB 2012年2月包裝明細_JB 包装明细2.14_涂布2014年3月包装明细" xfId="25974" xr:uid="{00000000-0005-0000-0000-0000BE450000}"/>
    <cellStyle name="好_PAV 4月份 包装明细_TCB 2012年2月包裝明細_LK 包装明细3.4" xfId="22969" xr:uid="{00000000-0005-0000-0000-0000BF450000}"/>
    <cellStyle name="好_PAV 4月份 包装明细_TCB 2012年2月包裝明細_LK 包装明细3.4_TFR2014年3月包裝明細" xfId="20184" xr:uid="{00000000-0005-0000-0000-0000C0450000}"/>
    <cellStyle name="好_PAV 4月份 包装明细_TCB 2012年2月包裝明細_LK 包装明细3.4_TFR2014年4月包裝明細" xfId="25977" xr:uid="{00000000-0005-0000-0000-0000C1450000}"/>
    <cellStyle name="好_PAV 4月份 包装明细_TCB 2012年2月包裝明細_LK 包装明细3.4_涂布2014年3月包装明细" xfId="12012" xr:uid="{00000000-0005-0000-0000-0000C2450000}"/>
    <cellStyle name="好_PAV 4月份 包装明细_TCB 2012年2月包裝明細_PAV 包装明细" xfId="25978" xr:uid="{00000000-0005-0000-0000-0000C3450000}"/>
    <cellStyle name="好_PAV 4月份 包装明细_TCB 2012年2月包裝明細_PAV 包装明细 1.13" xfId="25979" xr:uid="{00000000-0005-0000-0000-0000C4450000}"/>
    <cellStyle name="好_PAV 4月份 包装明细_TCB 2012年2月包裝明細_PAV 包装明细 1.13_TFR2014年3月包裝明細" xfId="25981" xr:uid="{00000000-0005-0000-0000-0000C5450000}"/>
    <cellStyle name="好_PAV 4月份 包装明细_TCB 2012年2月包裝明細_PAV 包装明细 1.13_TFR2014年4月包裝明細" xfId="25982" xr:uid="{00000000-0005-0000-0000-0000C6450000}"/>
    <cellStyle name="好_PAV 4月份 包装明细_TCB 2012年2月包裝明細_PAV 包装明细_TFR2014年3月包裝明細" xfId="25983" xr:uid="{00000000-0005-0000-0000-0000C7450000}"/>
    <cellStyle name="好_PAV 4月份 包装明细_TCB 2012年2月包裝明細_PAV 包装明细_TFR2014年4月包裝明細" xfId="25984" xr:uid="{00000000-0005-0000-0000-0000C8450000}"/>
    <cellStyle name="好_PAV 4月份 包装明细_TCB 2012年2月包裝明細_PAV.2014年3月包裝明細" xfId="25985" xr:uid="{00000000-0005-0000-0000-0000C9450000}"/>
    <cellStyle name="好_PAV 4月份 包装明细_TCB 2012年2月包裝明細_PAV.2014年3月包裝明細_1" xfId="25986" xr:uid="{00000000-0005-0000-0000-0000CA450000}"/>
    <cellStyle name="好_PAV 4月份 包装明细_TCB 2012年2月包裝明細_PAV.2014年3月包裝明細_1_TFR2014年3月包裝明細" xfId="25987" xr:uid="{00000000-0005-0000-0000-0000CB450000}"/>
    <cellStyle name="好_PAV 4月份 包装明细_TCB 2012年2月包裝明細_PAV.2014年3月包裝明細_1_TFR2014年4月包裝明細" xfId="25989" xr:uid="{00000000-0005-0000-0000-0000CC450000}"/>
    <cellStyle name="好_PAV 4月份 包装明细_TCB 2012年2月包裝明細_PAV.2014年3月包裝明細_TFR2014年3月包裝明細" xfId="20075" xr:uid="{00000000-0005-0000-0000-0000CD450000}"/>
    <cellStyle name="好_PAV 4月份 包装明细_TCB 2012年2月包裝明細_PAV.2014年3月包裝明細_TFR2014年4月包裝明細" xfId="25990" xr:uid="{00000000-0005-0000-0000-0000CE450000}"/>
    <cellStyle name="好_PAV 4月份 包装明细_TCB 2012年2月包裝明細_PL" xfId="25991" xr:uid="{00000000-0005-0000-0000-0000CF450000}"/>
    <cellStyle name="好_PAV 4月份 包装明细_TCB 2012年2月包裝明細_PL_TFR2014年3月包裝明細" xfId="25992" xr:uid="{00000000-0005-0000-0000-0000D0450000}"/>
    <cellStyle name="好_PAV 4月份 包装明细_TCB 2012年2月包裝明細_PL_TFR2014年4月包裝明細" xfId="22242" xr:uid="{00000000-0005-0000-0000-0000D1450000}"/>
    <cellStyle name="好_PAV 4月份 包装明细_TCB 2012年2月包裝明細_SEB 591 包装明细 9.5" xfId="4827" xr:uid="{00000000-0005-0000-0000-0000D2450000}"/>
    <cellStyle name="好_PAV 4月份 包装明细_TCB 2012年2月包裝明細_SEB 591 包装明细 9.5_TFR2014年1月包裝明細" xfId="25993" xr:uid="{00000000-0005-0000-0000-0000D3450000}"/>
    <cellStyle name="好_PAV 4月份 包装明细_TCB 2012年2月包裝明細_SEB 591 包装明细 9.5_TFR2014年1月包裝明細_TFR2014年3月包裝明細" xfId="25995" xr:uid="{00000000-0005-0000-0000-0000D4450000}"/>
    <cellStyle name="好_PAV 4月份 包装明细_TCB 2012年2月包裝明細_SEB 591 包装明细 9.5_TFR2014年1月包裝明細_TFR2014年4月包裝明細" xfId="468" xr:uid="{00000000-0005-0000-0000-0000D5450000}"/>
    <cellStyle name="好_PAV 4月份 包装明细_TCB 2012年2月包裝明細_SEB 591 包装明细 9.5_TFR2014年3月包裝明細" xfId="7492" xr:uid="{00000000-0005-0000-0000-0000D6450000}"/>
    <cellStyle name="好_PAV 4月份 包装明细_TCB 2012年2月包裝明細_SEB 591 包装明细 9.5_TFR2014年4月包裝明細" xfId="25998" xr:uid="{00000000-0005-0000-0000-0000D7450000}"/>
    <cellStyle name="好_PAV 4月份 包装明细_TCB 2012年2月包裝明細_SEB ASIA 包装明细12.10" xfId="25999" xr:uid="{00000000-0005-0000-0000-0000D8450000}"/>
    <cellStyle name="好_PAV 4月份 包装明细_TCB 2012年2月包裝明細_SEB ASIA 包装明细12.10_TFR2014年3月包裝明細" xfId="26000" xr:uid="{00000000-0005-0000-0000-0000D9450000}"/>
    <cellStyle name="好_PAV 4月份 包装明细_TCB 2012年2月包裝明細_SEB ASIA 包装明细12.10_TFR2014年4月包裝明細" xfId="6304" xr:uid="{00000000-0005-0000-0000-0000DA450000}"/>
    <cellStyle name="好_PAV 4月份 包装明细_TCB 2012年2月包裝明細_SEB ASIA 包装明细12.5" xfId="26003" xr:uid="{00000000-0005-0000-0000-0000DB450000}"/>
    <cellStyle name="好_PAV 4月份 包装明细_TCB 2012年2月包裝明細_SEB ASIA 包装明细12.5_TFR2014年3月包裝明細" xfId="11604" xr:uid="{00000000-0005-0000-0000-0000DC450000}"/>
    <cellStyle name="好_PAV 4月份 包装明细_TCB 2012年2月包裝明細_SEB ASIA 包装明细12.5_TFR2014年4月包裝明細" xfId="26006" xr:uid="{00000000-0005-0000-0000-0000DD450000}"/>
    <cellStyle name="好_PAV 4月份 包装明细_TCB 2012年2月包裝明細_SEB ASIA 包装明细2.11-3.4 更正" xfId="3033" xr:uid="{00000000-0005-0000-0000-0000DE450000}"/>
    <cellStyle name="好_PAV 4月份 包装明细_TCB 2012年2月包裝明細_SEB ASIA 包装明细2.11-3.4 更正_TFR2014年3月包裝明細" xfId="26007" xr:uid="{00000000-0005-0000-0000-0000DF450000}"/>
    <cellStyle name="好_PAV 4月份 包装明细_TCB 2012年2月包裝明細_SEB ASIA 包装明细2.11-3.4 更正_TFR2014年4月包裝明細" xfId="26008" xr:uid="{00000000-0005-0000-0000-0000E0450000}"/>
    <cellStyle name="好_PAV 4月份 包装明细_TCB 2012年2月包裝明細_SEB 包装明细1.9" xfId="18175" xr:uid="{00000000-0005-0000-0000-0000E1450000}"/>
    <cellStyle name="好_PAV 4月份 包装明细_TCB 2012年2月包裝明細_SEB 包装明细1.9_TFR2014年3月包裝明細" xfId="26010" xr:uid="{00000000-0005-0000-0000-0000E2450000}"/>
    <cellStyle name="好_PAV 4月份 包装明细_TCB 2012年2月包裝明細_SEB 包装明细1.9_TFR2014年4月包裝明細" xfId="14495" xr:uid="{00000000-0005-0000-0000-0000E3450000}"/>
    <cellStyle name="好_PAV 4月份 包装明细_TCB 2012年2月包裝明細_SEB 包装明细12.31" xfId="8846" xr:uid="{00000000-0005-0000-0000-0000E4450000}"/>
    <cellStyle name="好_PAV 4月份 包装明细_TCB 2012年2月包裝明細_SEB 包装明细12.31_TFR2014年3月包裝明細" xfId="24142" xr:uid="{00000000-0005-0000-0000-0000E5450000}"/>
    <cellStyle name="好_PAV 4月份 包装明细_TCB 2012年2月包裝明細_SEB 包装明细12.31_TFR2014年4月包裝明細" xfId="26011" xr:uid="{00000000-0005-0000-0000-0000E6450000}"/>
    <cellStyle name="好_PAV 4月份 包装明细_TCB 2012年2月包裝明細_SEB 包装明细2.13 revised" xfId="16798" xr:uid="{00000000-0005-0000-0000-0000E7450000}"/>
    <cellStyle name="好_PAV 4月份 包装明细_TCB 2012年2月包裝明細_SEB 包装明细2.13 revised_TFR2014年3月包裝明細" xfId="26013" xr:uid="{00000000-0005-0000-0000-0000E8450000}"/>
    <cellStyle name="好_PAV 4月份 包装明细_TCB 2012年2月包裝明細_SEB 包装明细2.13 revised_TFR2014年4月包裝明細" xfId="26014" xr:uid="{00000000-0005-0000-0000-0000E9450000}"/>
    <cellStyle name="好_PAV 4月份 包装明细_TCB 2012年2月包裝明細_TFR" xfId="10865" xr:uid="{00000000-0005-0000-0000-0000EA450000}"/>
    <cellStyle name="好_PAV 4月份 包装明细_TCB 2012年2月包裝明細_TFR 包装明细 5.13" xfId="1906" xr:uid="{00000000-0005-0000-0000-0000EB450000}"/>
    <cellStyle name="好_PAV 4月份 包装明细_TCB 2012年2月包裝明細_TFR 钢圈蛋糕盘包装明细6.5(1)" xfId="6109" xr:uid="{00000000-0005-0000-0000-0000EC450000}"/>
    <cellStyle name="好_PAV 4月份 包装明细_TCB 2012年2月包裝明細_TFR 钢圈蛋糕盘包装明细6.5(1)_TFR2014年3月包裝明細" xfId="26015" xr:uid="{00000000-0005-0000-0000-0000ED450000}"/>
    <cellStyle name="好_PAV 4月份 包装明细_TCB 2012年2月包裝明細_TFR 钢圈蛋糕盘包装明细6.5(1)_TFR2014年4月包裝明細" xfId="26017" xr:uid="{00000000-0005-0000-0000-0000EE450000}"/>
    <cellStyle name="好_PAV 4月份 包装明细_TCB 2012年2月包裝明細_TFR(SEB ASIA) 包装明细3-25" xfId="26018" xr:uid="{00000000-0005-0000-0000-0000EF450000}"/>
    <cellStyle name="好_PAV 4月份 包装明细_TCB 2012年2月包裝明細_TFR(SEB ASIA) 包装明细4.29" xfId="26019" xr:uid="{00000000-0005-0000-0000-0000F0450000}"/>
    <cellStyle name="好_PAV 4月份 包装明细_TCB 2012年2月包裝明細_TFR_TFR2014年3月包裝明細" xfId="26020" xr:uid="{00000000-0005-0000-0000-0000F1450000}"/>
    <cellStyle name="好_PAV 4月份 包装明细_TCB 2012年2月包裝明細_TFR_TFR2014年4月包裝明細" xfId="26021" xr:uid="{00000000-0005-0000-0000-0000F2450000}"/>
    <cellStyle name="好_PAV 4月份 包装明细_TCB 2012年2月包裝明細_TFR2014年1月包裝明細" xfId="16211" xr:uid="{00000000-0005-0000-0000-0000F3450000}"/>
    <cellStyle name="好_PAV 4月份 包装明细_TCB 2012年2月包裝明細_TFR2014年1月包裝明細_1" xfId="26022" xr:uid="{00000000-0005-0000-0000-0000F4450000}"/>
    <cellStyle name="好_PAV 4月份 包装明细_TCB 2012年2月包裝明細_TFR2014年1月包裝明細_1123" xfId="26024" xr:uid="{00000000-0005-0000-0000-0000F5450000}"/>
    <cellStyle name="好_PAV 4月份 包装明细_TCB 2012年2月包裝明細_TFR2014年1月包裝明細_1136" xfId="26025" xr:uid="{00000000-0005-0000-0000-0000F6450000}"/>
    <cellStyle name="好_PAV 4月份 包装明细_TCB 2012年2月包裝明細_TFR2014年1月包裝明細_143" xfId="14776" xr:uid="{00000000-0005-0000-0000-0000F7450000}"/>
    <cellStyle name="好_PAV 4月份 包装明细_TCB 2012年2月包裝明細_TFR2014年1月包裝明細_4.15" xfId="17163" xr:uid="{00000000-0005-0000-0000-0000F8450000}"/>
    <cellStyle name="好_PAV 4月份 包装明细_TCB 2012年2月包裝明細_TFR2014年1月包裝明細_PL" xfId="26026" xr:uid="{00000000-0005-0000-0000-0000F9450000}"/>
    <cellStyle name="好_PAV 4月份 包装明细_TCB 2012年2月包裝明細_TFR2014年1月包裝明細_PL_TFR2014年3月包裝明細" xfId="26027" xr:uid="{00000000-0005-0000-0000-0000FA450000}"/>
    <cellStyle name="好_PAV 4月份 包装明细_TCB 2012年2月包裝明細_TFR2014年1月包裝明細_PL_TFR2014年4月包裝明細" xfId="23516" xr:uid="{00000000-0005-0000-0000-0000FB450000}"/>
    <cellStyle name="好_PAV 4月份 包装明细_TCB 2012年2月包裝明細_TFR2014年1月包裝明細_TFR" xfId="2873" xr:uid="{00000000-0005-0000-0000-0000FC450000}"/>
    <cellStyle name="好_PAV 4月份 包装明细_TCB 2012年2月包裝明細_TFR2014年1月包裝明細_TFR 包装明细 5.13" xfId="1613" xr:uid="{00000000-0005-0000-0000-0000FD450000}"/>
    <cellStyle name="好_PAV 4月份 包装明细_TCB 2012年2月包裝明細_TFR2014年1月包裝明細_TFR(SEB ASIA) 包装明细3-25" xfId="10877" xr:uid="{00000000-0005-0000-0000-0000FE450000}"/>
    <cellStyle name="好_PAV 4月份 包装明细_TCB 2012年2月包裝明細_TFR2014年1月包裝明細_TFR(SEB ASIA) 包装明细4.29" xfId="11509" xr:uid="{00000000-0005-0000-0000-0000FF450000}"/>
    <cellStyle name="好_PAV 4月份 包装明细_TCB 2012年2月包裝明細_TFR2014年1月包裝明細_TFR_TFR2014年3月包裝明細" xfId="6070" xr:uid="{00000000-0005-0000-0000-000000460000}"/>
    <cellStyle name="好_PAV 4月份 包装明细_TCB 2012年2月包裝明細_TFR2014年1月包裝明細_TFR_TFR2014年4月包裝明細" xfId="7472" xr:uid="{00000000-0005-0000-0000-000001460000}"/>
    <cellStyle name="好_PAV 4月份 包装明细_TCB 2012年2月包裝明細_TFR2014年1月包裝明細_TFR2014年3月包裝明細" xfId="26029" xr:uid="{00000000-0005-0000-0000-000002460000}"/>
    <cellStyle name="好_PAV 4月份 包装明细_TCB 2012年2月包裝明細_TFR2014年1月包裝明細_TFR2014年3月包裝明細_1" xfId="9071" xr:uid="{00000000-0005-0000-0000-000003460000}"/>
    <cellStyle name="好_PAV 4月份 包装明细_TCB 2012年2月包裝明細_TFR2014年1月包裝明細_TFR2014年3月包裝明細_1_TFR2014年3月包裝明細" xfId="17030" xr:uid="{00000000-0005-0000-0000-000004460000}"/>
    <cellStyle name="好_PAV 4月份 包装明细_TCB 2012年2月包裝明細_TFR2014年1月包裝明細_TFR2014年3月包裝明細_1_TFR2014年4月包裝明細" xfId="21932" xr:uid="{00000000-0005-0000-0000-000005460000}"/>
    <cellStyle name="好_PAV 4月份 包装明细_TCB 2012年2月包裝明細_TFR2014年1月包裝明細_TFR2014年3月包裝明細_2" xfId="9084" xr:uid="{00000000-0005-0000-0000-000006460000}"/>
    <cellStyle name="好_PAV 4月份 包装明细_TCB 2012年2月包裝明細_TFR2014年1月包裝明細_TFR2014年3月包裝明細_3" xfId="9087" xr:uid="{00000000-0005-0000-0000-000007460000}"/>
    <cellStyle name="好_PAV 4月份 包装明细_TCB 2012年2月包裝明細_TFR2014年1月包裝明細_TFR2014年3月包裝明細_4" xfId="3915" xr:uid="{00000000-0005-0000-0000-000008460000}"/>
    <cellStyle name="好_PAV 4月份 包装明细_TCB 2012年2月包裝明細_TFR2014年1月包裝明細_TFR2014年3月包裝明細_TFR2014年3月包裝明細" xfId="26030" xr:uid="{00000000-0005-0000-0000-000009460000}"/>
    <cellStyle name="好_PAV 4月份 包装明细_TCB 2012年2月包裝明細_TFR2014年1月包裝明細_TFR2014年3月包裝明細_TFR2014年4月包裝明細" xfId="26031" xr:uid="{00000000-0005-0000-0000-00000A460000}"/>
    <cellStyle name="好_PAV 4月份 包装明细_TCB 2012年2月包裝明細_TFR2014年1月包裝明細_TFR2014年4月包裝明細" xfId="26034" xr:uid="{00000000-0005-0000-0000-00000B460000}"/>
    <cellStyle name="好_PAV 4月份 包装明细_TCB 2012年2月包裝明細_TFR2014年1月包裝明細_包装明细" xfId="26035" xr:uid="{00000000-0005-0000-0000-00000C460000}"/>
    <cellStyle name="好_PAV 4月份 包装明细_TCB 2012年2月包裝明細_TFR2014年3月包裝明細" xfId="26037" xr:uid="{00000000-0005-0000-0000-00000D460000}"/>
    <cellStyle name="好_PAV 4月份 包装明细_TCB 2012年2月包裝明細_TFR2014年3月包裝明細_1" xfId="26039" xr:uid="{00000000-0005-0000-0000-00000E460000}"/>
    <cellStyle name="好_PAV 4月份 包装明细_TCB 2012年2月包裝明細_TFR2014年3月包裝明細_1_TFR2014年3月包裝明細" xfId="24439" xr:uid="{00000000-0005-0000-0000-00000F460000}"/>
    <cellStyle name="好_PAV 4月份 包装明细_TCB 2012年2月包裝明細_TFR2014年3月包裝明細_1_TFR2014年4月包裝明細" xfId="26040" xr:uid="{00000000-0005-0000-0000-000010460000}"/>
    <cellStyle name="好_PAV 4月份 包装明细_TCB 2012年2月包裝明細_TFR2014年3月包裝明細_2" xfId="26042" xr:uid="{00000000-0005-0000-0000-000011460000}"/>
    <cellStyle name="好_PAV 4月份 包装明细_TCB 2012年2月包裝明細_TFR2014年3月包裝明細_2_TFR2014年3月包裝明細" xfId="26043" xr:uid="{00000000-0005-0000-0000-000012460000}"/>
    <cellStyle name="好_PAV 4月份 包装明细_TCB 2012年2月包裝明細_TFR2014年3月包裝明細_2_TFR2014年4月包裝明細" xfId="14888" xr:uid="{00000000-0005-0000-0000-000013460000}"/>
    <cellStyle name="好_PAV 4月份 包装明细_TCB 2012年2月包裝明細_TFR2014年3月包裝明細_3" xfId="26045" xr:uid="{00000000-0005-0000-0000-000014460000}"/>
    <cellStyle name="好_PAV 4月份 包装明细_TCB 2012年2月包裝明細_TFR2014年3月包裝明細_4" xfId="26047" xr:uid="{00000000-0005-0000-0000-000015460000}"/>
    <cellStyle name="好_PAV 4月份 包装明细_TCB 2012年2月包裝明細_TFR2014年3月包裝明細_5" xfId="26049" xr:uid="{00000000-0005-0000-0000-000016460000}"/>
    <cellStyle name="好_PAV 4月份 包装明细_TCB 2012年2月包裝明細_TFR2014年3月包裝明細_TFR2014年3月包裝明細" xfId="22741" xr:uid="{00000000-0005-0000-0000-000017460000}"/>
    <cellStyle name="好_PAV 4月份 包装明细_TCB 2012年2月包裝明細_TFR2014年3月包裝明細_TFR2014年4月包裝明細" xfId="22780" xr:uid="{00000000-0005-0000-0000-000018460000}"/>
    <cellStyle name="好_PAV 4月份 包装明细_TCB 2012年2月包裝明細_TFR2014年4月包裝明細" xfId="26050" xr:uid="{00000000-0005-0000-0000-000019460000}"/>
    <cellStyle name="好_PAV 4月份 包装明细_TCB 2012年2月包裝明細_TLF 包装明细 7.15" xfId="26051" xr:uid="{00000000-0005-0000-0000-00001A460000}"/>
    <cellStyle name="好_PAV 4月份 包装明细_TCB 2012年2月包裝明細_TLF 包装明细 7.15_TFR2014年1月包裝明細" xfId="26052" xr:uid="{00000000-0005-0000-0000-00001B460000}"/>
    <cellStyle name="好_PAV 4月份 包装明细_TCB 2012年2月包裝明細_TLF 包装明细 7.15_TFR2014年1月包裝明細_TFR2014年3月包裝明細" xfId="12064" xr:uid="{00000000-0005-0000-0000-00001C460000}"/>
    <cellStyle name="好_PAV 4月份 包装明细_TCB 2012年2月包裝明細_TLF 包装明细 7.15_TFR2014年1月包裝明細_TFR2014年4月包裝明細" xfId="26053" xr:uid="{00000000-0005-0000-0000-00001D460000}"/>
    <cellStyle name="好_PAV 4月份 包装明细_TCB 2012年2月包裝明細_TLF 包装明细 7.15_TFR2014年3月包裝明細" xfId="15879" xr:uid="{00000000-0005-0000-0000-00001E460000}"/>
    <cellStyle name="好_PAV 4月份 包装明细_TCB 2012年2月包裝明細_TLF 包装明细 7.15_TFR2014年4月包裝明細" xfId="13387" xr:uid="{00000000-0005-0000-0000-00001F460000}"/>
    <cellStyle name="好_PAV 4月份 包装明细_TCB 2012年2月包裝明細_TLF 包装明细1.7" xfId="15315" xr:uid="{00000000-0005-0000-0000-000020460000}"/>
    <cellStyle name="好_PAV 4月份 包装明细_TCB 2012年2月包裝明細_TLF 包装明细1.7_TFR2014年3月包裝明細" xfId="26054" xr:uid="{00000000-0005-0000-0000-000021460000}"/>
    <cellStyle name="好_PAV 4月份 包装明细_TCB 2012年2月包裝明細_TLF 包装明细1.7_TFR2014年4月包裝明細" xfId="26055" xr:uid="{00000000-0005-0000-0000-000022460000}"/>
    <cellStyle name="好_PAV 4月份 包装明细_TCB 2012年2月包裝明細_包装明细" xfId="26056" xr:uid="{00000000-0005-0000-0000-000023460000}"/>
    <cellStyle name="好_PAV 4月份 包装明细_TCB 2012年2月包裝明細_涂布2014年3月包装明细" xfId="8020" xr:uid="{00000000-0005-0000-0000-000024460000}"/>
    <cellStyle name="好_PAV 4月份 包装明细_TCB 2012年2月包裝明細_涂布2014年3月包装明细_1" xfId="24829" xr:uid="{00000000-0005-0000-0000-000025460000}"/>
    <cellStyle name="好_PAV 4月份 包装明细_TCB 2012年2月包裝明細_涂布2014年3月包装明细_1_TFR2014年3月包裝明細" xfId="26057" xr:uid="{00000000-0005-0000-0000-000026460000}"/>
    <cellStyle name="好_PAV 4月份 包装明细_TCB 2012年2月包裝明細_涂布2014年3月包装明细_1_TFR2014年4月包裝明細" xfId="24861" xr:uid="{00000000-0005-0000-0000-000027460000}"/>
    <cellStyle name="好_PAV 4月份 包装明细_TCB 2012年2月包裝明細_涂布2014年3月包装明细_2" xfId="24831" xr:uid="{00000000-0005-0000-0000-000028460000}"/>
    <cellStyle name="好_PAV 4月份 包装明细_TCB 2012年2月包裝明細_涂布2014年3月包装明细_TFR2014年3月包裝明細" xfId="11165" xr:uid="{00000000-0005-0000-0000-000029460000}"/>
    <cellStyle name="好_PAV 4月份 包装明细_TCB 2012年2月包裝明細_涂布2014年3月包装明细_TFR2014年4月包裝明細" xfId="26058" xr:uid="{00000000-0005-0000-0000-00002A460000}"/>
    <cellStyle name="好_PAV 4月份 包装明细_TFR2012年3月包裝明細" xfId="26060" xr:uid="{00000000-0005-0000-0000-00002B460000}"/>
    <cellStyle name="好_PAV 4月份 包装明细_TFR2012年3月包裝明細_PAV.2014年3月包裝明細" xfId="26063" xr:uid="{00000000-0005-0000-0000-00002C460000}"/>
    <cellStyle name="好_PAV 4月份 包装明细_TFR2012年3月包裝明細_PAV.2014年3月包裝明細_TFR2014年3月包裝明細" xfId="26064" xr:uid="{00000000-0005-0000-0000-00002D460000}"/>
    <cellStyle name="好_PAV 4月份 包装明细_TFR2012年3月包裝明細_PAV.2014年3月包裝明細_TFR2014年4月包裝明細" xfId="26065" xr:uid="{00000000-0005-0000-0000-00002E460000}"/>
    <cellStyle name="好_PAV 4月份 包装明细_TFR2012年3月包裝明細_TFR2014年1月包裝明細" xfId="23886" xr:uid="{00000000-0005-0000-0000-00002F460000}"/>
    <cellStyle name="好_PAV 4月份 包装明细_TFR2012年3月包裝明細_TFR2014年1月包裝明細_TFR2014年3月包裝明細" xfId="26067" xr:uid="{00000000-0005-0000-0000-000030460000}"/>
    <cellStyle name="好_PAV 4月份 包装明细_TFR2012年3月包裝明細_TFR2014年1月包裝明細_TFR2014年4月包裝明細" xfId="26068" xr:uid="{00000000-0005-0000-0000-000031460000}"/>
    <cellStyle name="好_PAV 4月份 包装明细_TFR2012年3月包裝明細_TFR2014年3月包裝明細" xfId="26069" xr:uid="{00000000-0005-0000-0000-000032460000}"/>
    <cellStyle name="好_PAV 4月份 包装明细_TFR2012年3月包裝明細_TFR2014年3月包裝明細_1" xfId="26070" xr:uid="{00000000-0005-0000-0000-000033460000}"/>
    <cellStyle name="好_PAV 4月份 包装明细_TFR2012年3月包裝明細_TFR2014年3月包裝明細_TFR2014年3月包裝明細" xfId="26072" xr:uid="{00000000-0005-0000-0000-000034460000}"/>
    <cellStyle name="好_PAV 4月份 包装明细_TFR2012年3月包裝明細_TFR2014年3月包裝明細_TFR2014年4月包裝明細" xfId="26074" xr:uid="{00000000-0005-0000-0000-000035460000}"/>
    <cellStyle name="好_PAV 4月份 包装明细_TFR2012年3月包裝明細_TFR2014年4月包裝明細" xfId="5134" xr:uid="{00000000-0005-0000-0000-000036460000}"/>
    <cellStyle name="好_PAV 4月份 包装明细_TFR2012年3月包裝明細_涂布2014年3月包装明细" xfId="26075" xr:uid="{00000000-0005-0000-0000-000037460000}"/>
    <cellStyle name="好_PAV 4月份 包装明细_TFR2012年3月包裝明細_涂布2014年3月包装明细_1" xfId="26077" xr:uid="{00000000-0005-0000-0000-000038460000}"/>
    <cellStyle name="好_PAV 4月份 包装明细_TFR2012年3月包裝明細_涂布2014年3月包装明细_TFR2014年3月包裝明細" xfId="26078" xr:uid="{00000000-0005-0000-0000-000039460000}"/>
    <cellStyle name="好_PAV 4月份 包装明细_TFR2012年3月包裝明細_涂布2014年3月包装明细_TFR2014年4月包裝明細" xfId="26079" xr:uid="{00000000-0005-0000-0000-00003A460000}"/>
    <cellStyle name="好_PAV 4月份 包装明细_TFR2012年5月包裝明細" xfId="26080" xr:uid="{00000000-0005-0000-0000-00003B460000}"/>
    <cellStyle name="好_PAV 4月份 包装明细_TFR2012年5月包裝明細_PAV.2014年3月包裝明細" xfId="26082" xr:uid="{00000000-0005-0000-0000-00003C460000}"/>
    <cellStyle name="好_PAV 4月份 包装明细_TFR2012年5月包裝明細_PAV.2014年3月包裝明細_TFR2014年3月包裝明細" xfId="26083" xr:uid="{00000000-0005-0000-0000-00003D460000}"/>
    <cellStyle name="好_PAV 4月份 包装明细_TFR2012年5月包裝明細_PAV.2014年3月包裝明細_TFR2014年4月包裝明細" xfId="19937" xr:uid="{00000000-0005-0000-0000-00003E460000}"/>
    <cellStyle name="好_PAV 4月份 包装明细_TFR2012年5月包裝明細_TFR2014年1月包裝明細" xfId="24694" xr:uid="{00000000-0005-0000-0000-00003F460000}"/>
    <cellStyle name="好_PAV 4月份 包装明细_TFR2012年5月包裝明細_TFR2014年1月包裝明細_TFR2014年3月包裝明細" xfId="26084" xr:uid="{00000000-0005-0000-0000-000040460000}"/>
    <cellStyle name="好_PAV 4月份 包装明细_TFR2012年5月包裝明細_TFR2014年1月包裝明細_TFR2014年4月包裝明細" xfId="14417" xr:uid="{00000000-0005-0000-0000-000041460000}"/>
    <cellStyle name="好_PAV 4月份 包装明细_TFR2012年5月包裝明細_TFR2014年3月包裝明細" xfId="26087" xr:uid="{00000000-0005-0000-0000-000042460000}"/>
    <cellStyle name="好_PAV 4月份 包装明细_TFR2012年5月包裝明細_TFR2014年3月包裝明細_1" xfId="26088" xr:uid="{00000000-0005-0000-0000-000043460000}"/>
    <cellStyle name="好_PAV 4月份 包装明细_TFR2012年5月包裝明細_TFR2014年3月包裝明細_TFR2014年3月包裝明細" xfId="6185" xr:uid="{00000000-0005-0000-0000-000044460000}"/>
    <cellStyle name="好_PAV 4月份 包装明细_TFR2012年5月包裝明細_TFR2014年3月包裝明細_TFR2014年4月包裝明細" xfId="26091" xr:uid="{00000000-0005-0000-0000-000045460000}"/>
    <cellStyle name="好_PAV 4月份 包装明细_TFR2012年5月包裝明細_TFR2014年4月包裝明細" xfId="26092" xr:uid="{00000000-0005-0000-0000-000046460000}"/>
    <cellStyle name="好_PAV 4月份 包装明细_TFR2012年5月包裝明細_涂布2014年3月包装明细" xfId="23003" xr:uid="{00000000-0005-0000-0000-000047460000}"/>
    <cellStyle name="好_PAV 4月份 包装明细_TFR2012年5月包裝明細_涂布2014年3月包装明细_1" xfId="19905" xr:uid="{00000000-0005-0000-0000-000048460000}"/>
    <cellStyle name="好_PAV 4月份 包装明细_TFR2012年5月包裝明細_涂布2014年3月包装明细_TFR2014年3月包裝明細" xfId="16891" xr:uid="{00000000-0005-0000-0000-000049460000}"/>
    <cellStyle name="好_PAV 4月份 包装明细_TFR2012年5月包裝明細_涂布2014年3月包装明细_TFR2014年4月包裝明細" xfId="19737" xr:uid="{00000000-0005-0000-0000-00004A460000}"/>
    <cellStyle name="好_PAV 4月份 包装明细_TFR2012年8月包裝明細" xfId="26093" xr:uid="{00000000-0005-0000-0000-00004B460000}"/>
    <cellStyle name="好_PAV 4月份 包装明细_TFR2012年8月包裝明細_TFR2014年1月包裝明細" xfId="26094" xr:uid="{00000000-0005-0000-0000-00004C460000}"/>
    <cellStyle name="好_PAV 4月份 包装明细_TFR2012年8月包裝明細_TFR2014年1月包裝明細_TFR2014年3月包裝明細" xfId="26096" xr:uid="{00000000-0005-0000-0000-00004D460000}"/>
    <cellStyle name="好_PAV 4月份 包装明细_TFR2012年8月包裝明細_TFR2014年1月包裝明細_TFR2014年4月包裝明細" xfId="26098" xr:uid="{00000000-0005-0000-0000-00004E460000}"/>
    <cellStyle name="好_PAV 4月份 包装明细_TFR2012年8月包裝明細_TFR2014年3月包裝明細" xfId="11630" xr:uid="{00000000-0005-0000-0000-00004F460000}"/>
    <cellStyle name="好_PAV 4月份 包装明细_TFR2012年8月包裝明細_TFR2014年4月包裝明細" xfId="26099" xr:uid="{00000000-0005-0000-0000-000050460000}"/>
    <cellStyle name="好_PAV 4月份 包装明细_TFR2012年9月包裝明細" xfId="4769" xr:uid="{00000000-0005-0000-0000-000051460000}"/>
    <cellStyle name="好_PAV 4月份 包装明细_TFR2012年9月包裝明細_TFR2014年1月包裝明細" xfId="10456" xr:uid="{00000000-0005-0000-0000-000052460000}"/>
    <cellStyle name="好_PAV 4月份 包装明细_TFR2012年9月包裝明細_TFR2014年1月包裝明細_TFR2014年3月包裝明細" xfId="13549" xr:uid="{00000000-0005-0000-0000-000053460000}"/>
    <cellStyle name="好_PAV 4月份 包装明细_TFR2012年9月包裝明細_TFR2014年1月包裝明細_TFR2014年4月包裝明細" xfId="26101" xr:uid="{00000000-0005-0000-0000-000054460000}"/>
    <cellStyle name="好_PAV 4月份 包装明细_TFR2012年9月包裝明細_TFR2014年3月包裝明細" xfId="16219" xr:uid="{00000000-0005-0000-0000-000055460000}"/>
    <cellStyle name="好_PAV 4月份 包装明细_TFR2012年9月包裝明細_TFR2014年4月包裝明細" xfId="18288" xr:uid="{00000000-0005-0000-0000-000056460000}"/>
    <cellStyle name="好_PAV 4月份 包装明细_TFR2014年1月包裝明細" xfId="26102" xr:uid="{00000000-0005-0000-0000-000057460000}"/>
    <cellStyle name="好_PAV 4月份 包装明细_TFR2014年1月包裝明細_TFR2014年3月包裝明細" xfId="26103" xr:uid="{00000000-0005-0000-0000-000058460000}"/>
    <cellStyle name="好_PAV 4月份 包装明细_TFR2014年1月包裝明細_TFR2014年4月包裝明細" xfId="19928" xr:uid="{00000000-0005-0000-0000-000059460000}"/>
    <cellStyle name="好_PAV 4月份 包装明细_TFR2014年3月包裝明細" xfId="524" xr:uid="{00000000-0005-0000-0000-00005A460000}"/>
    <cellStyle name="好_PAV 4月份 包装明细_TFR2014年4月包裝明細" xfId="8432" xr:uid="{00000000-0005-0000-0000-00005B460000}"/>
    <cellStyle name="好_PAV 4月份 包装明细_涂布2014年3月包装明细" xfId="26104" xr:uid="{00000000-0005-0000-0000-00005C460000}"/>
    <cellStyle name="好_PAV 4月份 包装明细_涂布2014年3月包装明细_1" xfId="26107" xr:uid="{00000000-0005-0000-0000-00005D460000}"/>
    <cellStyle name="好_PAV 4月份 包装明细_涂布2014年3月包装明细_1_TFR2014年3月包裝明細" xfId="26108" xr:uid="{00000000-0005-0000-0000-00005E460000}"/>
    <cellStyle name="好_PAV 4月份 包装明细_涂布2014年3月包装明细_1_TFR2014年4月包裝明細" xfId="26110" xr:uid="{00000000-0005-0000-0000-00005F460000}"/>
    <cellStyle name="好_PAV 4月份 包装明细_涂布2014年3月包装明细_2" xfId="26111" xr:uid="{00000000-0005-0000-0000-000060460000}"/>
    <cellStyle name="好_PAV 4月份 包装明细_涂布2014年3月包装明细_TFR2014年3月包裝明細" xfId="4305" xr:uid="{00000000-0005-0000-0000-000061460000}"/>
    <cellStyle name="好_PAV 4月份 包装明细_涂布2014年3月包装明细_TFR2014年4月包裝明細" xfId="26112" xr:uid="{00000000-0005-0000-0000-000062460000}"/>
    <cellStyle name="好_Sheet1" xfId="129" xr:uid="{00000000-0005-0000-0000-000083000000}"/>
    <cellStyle name="好_Sheet1 2" xfId="130" xr:uid="{00000000-0005-0000-0000-000084000000}"/>
    <cellStyle name="好_Sheet1 2 2" xfId="38450" xr:uid="{00000000-0005-0000-0000-000053000000}"/>
    <cellStyle name="好_Sheet1 3" xfId="38451" xr:uid="{00000000-0005-0000-0000-000052000000}"/>
    <cellStyle name="好_VN-E1613" xfId="131" xr:uid="{00000000-0005-0000-0000-000085000000}"/>
    <cellStyle name="好_VN-E1613 2" xfId="132" xr:uid="{00000000-0005-0000-0000-000086000000}"/>
    <cellStyle name="好_VN-E1613 2 2" xfId="38448" xr:uid="{00000000-0005-0000-0000-000055000000}"/>
    <cellStyle name="好_VN-E1613 3" xfId="38449" xr:uid="{00000000-0005-0000-0000-000054000000}"/>
    <cellStyle name="好_VN-E1618" xfId="133" xr:uid="{00000000-0005-0000-0000-000087000000}"/>
    <cellStyle name="好_VN-E1618 2" xfId="134" xr:uid="{00000000-0005-0000-0000-000088000000}"/>
    <cellStyle name="好_VN-E1618 2 2" xfId="38447" xr:uid="{00000000-0005-0000-0000-000057000000}"/>
    <cellStyle name="好_VN-E1619" xfId="135" xr:uid="{00000000-0005-0000-0000-000089000000}"/>
    <cellStyle name="好_VN-E1619 2" xfId="136" xr:uid="{00000000-0005-0000-0000-00008A000000}"/>
    <cellStyle name="好_VN-E1619 2 2" xfId="38446" xr:uid="{00000000-0005-0000-0000-000059000000}"/>
    <cellStyle name="好_VN-E1620" xfId="137" xr:uid="{00000000-0005-0000-0000-00008B000000}"/>
    <cellStyle name="好_VN-E1620 2" xfId="138" xr:uid="{00000000-0005-0000-0000-00008C000000}"/>
    <cellStyle name="好_VN-E1620 2 2" xfId="38445" xr:uid="{00000000-0005-0000-0000-00005B000000}"/>
    <cellStyle name="好_VN-E1622" xfId="139" xr:uid="{00000000-0005-0000-0000-00008D000000}"/>
    <cellStyle name="好_VN-E1622 2" xfId="140" xr:uid="{00000000-0005-0000-0000-00008E000000}"/>
    <cellStyle name="好_VN-E1622 2 2" xfId="38444" xr:uid="{00000000-0005-0000-0000-00005D000000}"/>
    <cellStyle name="好_VN-E1623" xfId="141" xr:uid="{00000000-0005-0000-0000-00008F000000}"/>
    <cellStyle name="好_VN-E1623 2" xfId="142" xr:uid="{00000000-0005-0000-0000-000090000000}"/>
    <cellStyle name="好_VN-E1623 2 2" xfId="38443" xr:uid="{00000000-0005-0000-0000-00005F000000}"/>
    <cellStyle name="好_VN-E1624" xfId="143" xr:uid="{00000000-0005-0000-0000-000091000000}"/>
    <cellStyle name="好_VN-E1624 (2)" xfId="144" xr:uid="{00000000-0005-0000-0000-000092000000}"/>
    <cellStyle name="好_VN-E1624 (2) 2" xfId="145" xr:uid="{00000000-0005-0000-0000-000093000000}"/>
    <cellStyle name="好_VN-E1624 (2) 2 2" xfId="38442" xr:uid="{00000000-0005-0000-0000-000062000000}"/>
    <cellStyle name="好_VN-E1624 2" xfId="146" xr:uid="{00000000-0005-0000-0000-000094000000}"/>
    <cellStyle name="好_VN-E1624 2 2" xfId="38441" xr:uid="{00000000-0005-0000-0000-000063000000}"/>
    <cellStyle name="好_VN-E1624 3" xfId="147" xr:uid="{00000000-0005-0000-0000-000095000000}"/>
    <cellStyle name="好_VN-E1624 3 2" xfId="38440" xr:uid="{00000000-0005-0000-0000-000064000000}"/>
    <cellStyle name="好_VN-E1624 4" xfId="148" xr:uid="{00000000-0005-0000-0000-000096000000}"/>
    <cellStyle name="好_VN-E1624 4 2" xfId="38439" xr:uid="{00000000-0005-0000-0000-000065000000}"/>
    <cellStyle name="好_VN-E1624 5" xfId="149" xr:uid="{00000000-0005-0000-0000-000097000000}"/>
    <cellStyle name="好_VN-E1624 5 2" xfId="38438" xr:uid="{00000000-0005-0000-0000-000066000000}"/>
    <cellStyle name="好_VN-E1624 6" xfId="150" xr:uid="{00000000-0005-0000-0000-000098000000}"/>
    <cellStyle name="好_VN-E1624 6 2" xfId="38437" xr:uid="{00000000-0005-0000-0000-000067000000}"/>
    <cellStyle name="好_VN-E1624 7" xfId="151" xr:uid="{00000000-0005-0000-0000-000099000000}"/>
    <cellStyle name="好_VN-E1624 7 2" xfId="38436" xr:uid="{00000000-0005-0000-0000-000068000000}"/>
    <cellStyle name="好_VN-E1625" xfId="152" xr:uid="{00000000-0005-0000-0000-00009A000000}"/>
    <cellStyle name="好_VN-E1625 2" xfId="153" xr:uid="{00000000-0005-0000-0000-00009B000000}"/>
    <cellStyle name="好_VN-E1625 2 2" xfId="38435" xr:uid="{00000000-0005-0000-0000-00006A000000}"/>
    <cellStyle name="好_VN-E1626" xfId="154" xr:uid="{00000000-0005-0000-0000-00009C000000}"/>
    <cellStyle name="好_VN-E1626 2" xfId="155" xr:uid="{00000000-0005-0000-0000-00009D000000}"/>
    <cellStyle name="好_VN-E1626 2 2" xfId="38434" xr:uid="{00000000-0005-0000-0000-00006C000000}"/>
    <cellStyle name="好_VN-E1627" xfId="156" xr:uid="{00000000-0005-0000-0000-00009E000000}"/>
    <cellStyle name="好_VN-E1627 2" xfId="157" xr:uid="{00000000-0005-0000-0000-00009F000000}"/>
    <cellStyle name="好_VN-E1627 2 2" xfId="38433" xr:uid="{00000000-0005-0000-0000-00006E000000}"/>
    <cellStyle name="好_VN-E1629" xfId="158" xr:uid="{00000000-0005-0000-0000-0000A0000000}"/>
    <cellStyle name="好_VN-E1629 2" xfId="159" xr:uid="{00000000-0005-0000-0000-0000A1000000}"/>
    <cellStyle name="好_VN-E1629 2 2" xfId="38432" xr:uid="{00000000-0005-0000-0000-000070000000}"/>
    <cellStyle name="好_VN-E1630" xfId="160" xr:uid="{00000000-0005-0000-0000-0000A2000000}"/>
    <cellStyle name="好_VN-E1630 2" xfId="161" xr:uid="{00000000-0005-0000-0000-0000A3000000}"/>
    <cellStyle name="好_VN-E1630 2 2" xfId="38428" xr:uid="{00000000-0005-0000-0000-000072000000}"/>
    <cellStyle name="好_VN-E1631" xfId="162" xr:uid="{00000000-0005-0000-0000-0000A4000000}"/>
    <cellStyle name="好_VN-E1631 2" xfId="163" xr:uid="{00000000-0005-0000-0000-0000A5000000}"/>
    <cellStyle name="好_VN-E1631 2 2" xfId="38501" xr:uid="{00000000-0005-0000-0000-000074000000}"/>
    <cellStyle name="好_VN-E1632" xfId="164" xr:uid="{00000000-0005-0000-0000-0000A6000000}"/>
    <cellStyle name="好_VN-E1632 2" xfId="165" xr:uid="{00000000-0005-0000-0000-0000A7000000}"/>
    <cellStyle name="好_VN-E1632 2 2" xfId="38427" xr:uid="{00000000-0005-0000-0000-000076000000}"/>
    <cellStyle name="好_VN-E1633" xfId="166" xr:uid="{00000000-0005-0000-0000-0000A8000000}"/>
    <cellStyle name="好_VN-E1633 2" xfId="167" xr:uid="{00000000-0005-0000-0000-0000A9000000}"/>
    <cellStyle name="好_VN-E1633 2 2" xfId="38425" xr:uid="{00000000-0005-0000-0000-000078000000}"/>
    <cellStyle name="好_VN-E1701" xfId="168" xr:uid="{00000000-0005-0000-0000-0000AA000000}"/>
    <cellStyle name="好_VN-E1701 2" xfId="169" xr:uid="{00000000-0005-0000-0000-0000AB000000}"/>
    <cellStyle name="好_VN-E1701 2 2" xfId="38422" xr:uid="{00000000-0005-0000-0000-00007A000000}"/>
    <cellStyle name="好_第1段" xfId="170" xr:uid="{00000000-0005-0000-0000-0000AC000000}"/>
    <cellStyle name="好_第1段 2" xfId="171" xr:uid="{00000000-0005-0000-0000-0000AD000000}"/>
    <cellStyle name="好_第1段 2 2" xfId="38420" xr:uid="{00000000-0005-0000-0000-00007C000000}"/>
    <cellStyle name="好_第1段 3" xfId="38421" xr:uid="{00000000-0005-0000-0000-00007B000000}"/>
    <cellStyle name="差 10" xfId="22023" xr:uid="{00000000-0005-0000-0000-000063460000}"/>
    <cellStyle name="差 11" xfId="4140" xr:uid="{00000000-0005-0000-0000-000064460000}"/>
    <cellStyle name="差 12" xfId="4207" xr:uid="{00000000-0005-0000-0000-000065460000}"/>
    <cellStyle name="差 12 10" xfId="26113" xr:uid="{00000000-0005-0000-0000-000066460000}"/>
    <cellStyle name="差 12 11" xfId="26114" xr:uid="{00000000-0005-0000-0000-000067460000}"/>
    <cellStyle name="差 12 12" xfId="26115" xr:uid="{00000000-0005-0000-0000-000068460000}"/>
    <cellStyle name="差 12 13" xfId="17412" xr:uid="{00000000-0005-0000-0000-000069460000}"/>
    <cellStyle name="差 12 14" xfId="17415" xr:uid="{00000000-0005-0000-0000-00006A460000}"/>
    <cellStyle name="差 12 2" xfId="4219" xr:uid="{00000000-0005-0000-0000-00006B460000}"/>
    <cellStyle name="差 12 3" xfId="26116" xr:uid="{00000000-0005-0000-0000-00006C460000}"/>
    <cellStyle name="差 12 4" xfId="26117" xr:uid="{00000000-0005-0000-0000-00006D460000}"/>
    <cellStyle name="差 12 5" xfId="26118" xr:uid="{00000000-0005-0000-0000-00006E460000}"/>
    <cellStyle name="差 12 5 10" xfId="26119" xr:uid="{00000000-0005-0000-0000-00006F460000}"/>
    <cellStyle name="差 12 5 11" xfId="26123" xr:uid="{00000000-0005-0000-0000-000070460000}"/>
    <cellStyle name="差 12 5 2" xfId="24862" xr:uid="{00000000-0005-0000-0000-000071460000}"/>
    <cellStyle name="差 12 5 2 2" xfId="26127" xr:uid="{00000000-0005-0000-0000-000072460000}"/>
    <cellStyle name="差 12 5 2 2 2" xfId="26128" xr:uid="{00000000-0005-0000-0000-000073460000}"/>
    <cellStyle name="差 12 5 2 2 3" xfId="26129" xr:uid="{00000000-0005-0000-0000-000074460000}"/>
    <cellStyle name="差 12 5 2 3" xfId="26130" xr:uid="{00000000-0005-0000-0000-000075460000}"/>
    <cellStyle name="差 12 5 2 4" xfId="26131" xr:uid="{00000000-0005-0000-0000-000076460000}"/>
    <cellStyle name="差 12 5 2 5" xfId="2361" xr:uid="{00000000-0005-0000-0000-000077460000}"/>
    <cellStyle name="差 12 5 2 6" xfId="2364" xr:uid="{00000000-0005-0000-0000-000078460000}"/>
    <cellStyle name="差 12 5 2 7" xfId="2369" xr:uid="{00000000-0005-0000-0000-000079460000}"/>
    <cellStyle name="差 12 5 2 8" xfId="2391" xr:uid="{00000000-0005-0000-0000-00007A460000}"/>
    <cellStyle name="差 12 5 3" xfId="9817" xr:uid="{00000000-0005-0000-0000-00007B460000}"/>
    <cellStyle name="差 12 5 4" xfId="9824" xr:uid="{00000000-0005-0000-0000-00007C460000}"/>
    <cellStyle name="差 12 5 5" xfId="9830" xr:uid="{00000000-0005-0000-0000-00007D460000}"/>
    <cellStyle name="差 12 5 6" xfId="9839" xr:uid="{00000000-0005-0000-0000-00007E460000}"/>
    <cellStyle name="差 12 5 6 2" xfId="22260" xr:uid="{00000000-0005-0000-0000-00007F460000}"/>
    <cellStyle name="差 12 5 6 3" xfId="22262" xr:uid="{00000000-0005-0000-0000-000080460000}"/>
    <cellStyle name="差 12 5 7" xfId="9848" xr:uid="{00000000-0005-0000-0000-000081460000}"/>
    <cellStyle name="差 12 5 8" xfId="9854" xr:uid="{00000000-0005-0000-0000-000082460000}"/>
    <cellStyle name="差 12 5 9" xfId="9477" xr:uid="{00000000-0005-0000-0000-000083460000}"/>
    <cellStyle name="差 12 6" xfId="26132" xr:uid="{00000000-0005-0000-0000-000084460000}"/>
    <cellStyle name="差 12 6 2" xfId="24900" xr:uid="{00000000-0005-0000-0000-000085460000}"/>
    <cellStyle name="差 12 6 2 2" xfId="26134" xr:uid="{00000000-0005-0000-0000-000086460000}"/>
    <cellStyle name="差 12 6 2 3" xfId="26135" xr:uid="{00000000-0005-0000-0000-000087460000}"/>
    <cellStyle name="差 12 6 3" xfId="24902" xr:uid="{00000000-0005-0000-0000-000088460000}"/>
    <cellStyle name="差 12 6 4" xfId="16596" xr:uid="{00000000-0005-0000-0000-000089460000}"/>
    <cellStyle name="差 12 6 5" xfId="16599" xr:uid="{00000000-0005-0000-0000-00008A460000}"/>
    <cellStyle name="差 12 6 6" xfId="16606" xr:uid="{00000000-0005-0000-0000-00008B460000}"/>
    <cellStyle name="差 12 6 7" xfId="16612" xr:uid="{00000000-0005-0000-0000-00008C460000}"/>
    <cellStyle name="差 12 6 8" xfId="16640" xr:uid="{00000000-0005-0000-0000-00008D460000}"/>
    <cellStyle name="差 12 7" xfId="26136" xr:uid="{00000000-0005-0000-0000-00008E460000}"/>
    <cellStyle name="差 12 8" xfId="26137" xr:uid="{00000000-0005-0000-0000-00008F460000}"/>
    <cellStyle name="差 12 9" xfId="26138" xr:uid="{00000000-0005-0000-0000-000090460000}"/>
    <cellStyle name="差 12 9 2" xfId="26140" xr:uid="{00000000-0005-0000-0000-000091460000}"/>
    <cellStyle name="差 12 9 3" xfId="26142" xr:uid="{00000000-0005-0000-0000-000092460000}"/>
    <cellStyle name="差 13" xfId="4267" xr:uid="{00000000-0005-0000-0000-000093460000}"/>
    <cellStyle name="差 14" xfId="4278" xr:uid="{00000000-0005-0000-0000-000094460000}"/>
    <cellStyle name="差 15" xfId="4295" xr:uid="{00000000-0005-0000-0000-000095460000}"/>
    <cellStyle name="差 16" xfId="3953" xr:uid="{00000000-0005-0000-0000-000096460000}"/>
    <cellStyle name="差 16 10" xfId="6011" xr:uid="{00000000-0005-0000-0000-000097460000}"/>
    <cellStyle name="差 16 11" xfId="18114" xr:uid="{00000000-0005-0000-0000-000098460000}"/>
    <cellStyle name="差 16 12" xfId="26143" xr:uid="{00000000-0005-0000-0000-000099460000}"/>
    <cellStyle name="差 16 13" xfId="20828" xr:uid="{00000000-0005-0000-0000-00009A460000}"/>
    <cellStyle name="差 16 14" xfId="22414" xr:uid="{00000000-0005-0000-0000-00009B460000}"/>
    <cellStyle name="差 16 2" xfId="18117" xr:uid="{00000000-0005-0000-0000-00009C460000}"/>
    <cellStyle name="差 16 3" xfId="18124" xr:uid="{00000000-0005-0000-0000-00009D460000}"/>
    <cellStyle name="差 16 4" xfId="18126" xr:uid="{00000000-0005-0000-0000-00009E460000}"/>
    <cellStyle name="差 16 5" xfId="18128" xr:uid="{00000000-0005-0000-0000-00009F460000}"/>
    <cellStyle name="差 16 5 10" xfId="26144" xr:uid="{00000000-0005-0000-0000-0000A0460000}"/>
    <cellStyle name="差 16 5 11" xfId="26146" xr:uid="{00000000-0005-0000-0000-0000A1460000}"/>
    <cellStyle name="差 16 5 2" xfId="21188" xr:uid="{00000000-0005-0000-0000-0000A2460000}"/>
    <cellStyle name="差 16 5 2 2" xfId="26147" xr:uid="{00000000-0005-0000-0000-0000A3460000}"/>
    <cellStyle name="差 16 5 2 2 2" xfId="26148" xr:uid="{00000000-0005-0000-0000-0000A4460000}"/>
    <cellStyle name="差 16 5 2 2 3" xfId="26150" xr:uid="{00000000-0005-0000-0000-0000A5460000}"/>
    <cellStyle name="差 16 5 2 3" xfId="26152" xr:uid="{00000000-0005-0000-0000-0000A6460000}"/>
    <cellStyle name="差 16 5 2 4" xfId="26153" xr:uid="{00000000-0005-0000-0000-0000A7460000}"/>
    <cellStyle name="差 16 5 2 5" xfId="26154" xr:uid="{00000000-0005-0000-0000-0000A8460000}"/>
    <cellStyle name="差 16 5 2 6" xfId="26155" xr:uid="{00000000-0005-0000-0000-0000A9460000}"/>
    <cellStyle name="差 16 5 2 7" xfId="26156" xr:uid="{00000000-0005-0000-0000-0000AA460000}"/>
    <cellStyle name="差 16 5 2 8" xfId="26157" xr:uid="{00000000-0005-0000-0000-0000AB460000}"/>
    <cellStyle name="差 16 5 3" xfId="26158" xr:uid="{00000000-0005-0000-0000-0000AC460000}"/>
    <cellStyle name="差 16 5 4" xfId="26159" xr:uid="{00000000-0005-0000-0000-0000AD460000}"/>
    <cellStyle name="差 16 5 5" xfId="26160" xr:uid="{00000000-0005-0000-0000-0000AE460000}"/>
    <cellStyle name="差 16 5 6" xfId="26162" xr:uid="{00000000-0005-0000-0000-0000AF460000}"/>
    <cellStyle name="差 16 5 6 2" xfId="26165" xr:uid="{00000000-0005-0000-0000-0000B0460000}"/>
    <cellStyle name="差 16 5 6 3" xfId="26167" xr:uid="{00000000-0005-0000-0000-0000B1460000}"/>
    <cellStyle name="差 16 5 7" xfId="4375" xr:uid="{00000000-0005-0000-0000-0000B2460000}"/>
    <cellStyle name="差 16 5 8" xfId="4386" xr:uid="{00000000-0005-0000-0000-0000B3460000}"/>
    <cellStyle name="差 16 5 9" xfId="4400" xr:uid="{00000000-0005-0000-0000-0000B4460000}"/>
    <cellStyle name="差 16 6" xfId="18130" xr:uid="{00000000-0005-0000-0000-0000B5460000}"/>
    <cellStyle name="差 16 6 2" xfId="18133" xr:uid="{00000000-0005-0000-0000-0000B6460000}"/>
    <cellStyle name="差 16 6 2 2" xfId="26168" xr:uid="{00000000-0005-0000-0000-0000B7460000}"/>
    <cellStyle name="差 16 6 2 3" xfId="26169" xr:uid="{00000000-0005-0000-0000-0000B8460000}"/>
    <cellStyle name="差 16 6 3" xfId="18136" xr:uid="{00000000-0005-0000-0000-0000B9460000}"/>
    <cellStyle name="差 16 6 4" xfId="26170" xr:uid="{00000000-0005-0000-0000-0000BA460000}"/>
    <cellStyle name="差 16 6 5" xfId="26171" xr:uid="{00000000-0005-0000-0000-0000BB460000}"/>
    <cellStyle name="差 16 6 6" xfId="26172" xr:uid="{00000000-0005-0000-0000-0000BC460000}"/>
    <cellStyle name="差 16 6 7" xfId="5037" xr:uid="{00000000-0005-0000-0000-0000BD460000}"/>
    <cellStyle name="差 16 6 8" xfId="5045" xr:uid="{00000000-0005-0000-0000-0000BE460000}"/>
    <cellStyle name="差 16 7" xfId="18139" xr:uid="{00000000-0005-0000-0000-0000BF460000}"/>
    <cellStyle name="差 16 8" xfId="18142" xr:uid="{00000000-0005-0000-0000-0000C0460000}"/>
    <cellStyle name="差 16 9" xfId="18145" xr:uid="{00000000-0005-0000-0000-0000C1460000}"/>
    <cellStyle name="差 16 9 2" xfId="26174" xr:uid="{00000000-0005-0000-0000-0000C2460000}"/>
    <cellStyle name="差 16 9 3" xfId="26175" xr:uid="{00000000-0005-0000-0000-0000C3460000}"/>
    <cellStyle name="差 17" xfId="3972" xr:uid="{00000000-0005-0000-0000-0000C4460000}"/>
    <cellStyle name="差 17 10" xfId="26176" xr:uid="{00000000-0005-0000-0000-0000C5460000}"/>
    <cellStyle name="差 17 11" xfId="26177" xr:uid="{00000000-0005-0000-0000-0000C6460000}"/>
    <cellStyle name="差 17 12" xfId="26178" xr:uid="{00000000-0005-0000-0000-0000C7460000}"/>
    <cellStyle name="差 17 13" xfId="26179" xr:uid="{00000000-0005-0000-0000-0000C8460000}"/>
    <cellStyle name="差 17 14" xfId="26180" xr:uid="{00000000-0005-0000-0000-0000C9460000}"/>
    <cellStyle name="差 17 2" xfId="16313" xr:uid="{00000000-0005-0000-0000-0000CA460000}"/>
    <cellStyle name="差 17 3" xfId="16318" xr:uid="{00000000-0005-0000-0000-0000CB460000}"/>
    <cellStyle name="差 17 4" xfId="16323" xr:uid="{00000000-0005-0000-0000-0000CC460000}"/>
    <cellStyle name="差 17 5" xfId="16326" xr:uid="{00000000-0005-0000-0000-0000CD460000}"/>
    <cellStyle name="差 17 5 10" xfId="26181" xr:uid="{00000000-0005-0000-0000-0000CE460000}"/>
    <cellStyle name="差 17 5 11" xfId="26183" xr:uid="{00000000-0005-0000-0000-0000CF460000}"/>
    <cellStyle name="差 17 5 2" xfId="25073" xr:uid="{00000000-0005-0000-0000-0000D0460000}"/>
    <cellStyle name="差 17 5 2 2" xfId="26187" xr:uid="{00000000-0005-0000-0000-0000D1460000}"/>
    <cellStyle name="差 17 5 2 2 2" xfId="26188" xr:uid="{00000000-0005-0000-0000-0000D2460000}"/>
    <cellStyle name="差 17 5 2 2 3" xfId="26189" xr:uid="{00000000-0005-0000-0000-0000D3460000}"/>
    <cellStyle name="差 17 5 2 3" xfId="26192" xr:uid="{00000000-0005-0000-0000-0000D4460000}"/>
    <cellStyle name="差 17 5 2 4" xfId="4434" xr:uid="{00000000-0005-0000-0000-0000D5460000}"/>
    <cellStyle name="差 17 5 2 5" xfId="4450" xr:uid="{00000000-0005-0000-0000-0000D6460000}"/>
    <cellStyle name="差 17 5 2 6" xfId="4466" xr:uid="{00000000-0005-0000-0000-0000D7460000}"/>
    <cellStyle name="差 17 5 2 7" xfId="4479" xr:uid="{00000000-0005-0000-0000-0000D8460000}"/>
    <cellStyle name="差 17 5 2 8" xfId="4492" xr:uid="{00000000-0005-0000-0000-0000D9460000}"/>
    <cellStyle name="差 17 5 3" xfId="25076" xr:uid="{00000000-0005-0000-0000-0000DA460000}"/>
    <cellStyle name="差 17 5 4" xfId="7542" xr:uid="{00000000-0005-0000-0000-0000DB460000}"/>
    <cellStyle name="差 17 5 5" xfId="11750" xr:uid="{00000000-0005-0000-0000-0000DC460000}"/>
    <cellStyle name="差 17 5 6" xfId="11759" xr:uid="{00000000-0005-0000-0000-0000DD460000}"/>
    <cellStyle name="差 17 5 6 2" xfId="20484" xr:uid="{00000000-0005-0000-0000-0000DE460000}"/>
    <cellStyle name="差 17 5 6 3" xfId="20487" xr:uid="{00000000-0005-0000-0000-0000DF460000}"/>
    <cellStyle name="差 17 5 7" xfId="11768" xr:uid="{00000000-0005-0000-0000-0000E0460000}"/>
    <cellStyle name="差 17 5 8" xfId="10922" xr:uid="{00000000-0005-0000-0000-0000E1460000}"/>
    <cellStyle name="差 17 5 9" xfId="10054" xr:uid="{00000000-0005-0000-0000-0000E2460000}"/>
    <cellStyle name="差 17 6" xfId="16329" xr:uid="{00000000-0005-0000-0000-0000E3460000}"/>
    <cellStyle name="差 17 6 2" xfId="25109" xr:uid="{00000000-0005-0000-0000-0000E4460000}"/>
    <cellStyle name="差 17 6 2 2" xfId="20329" xr:uid="{00000000-0005-0000-0000-0000E5460000}"/>
    <cellStyle name="差 17 6 2 3" xfId="20334" xr:uid="{00000000-0005-0000-0000-0000E6460000}"/>
    <cellStyle name="差 17 6 3" xfId="25111" xr:uid="{00000000-0005-0000-0000-0000E7460000}"/>
    <cellStyle name="差 17 6 4" xfId="16817" xr:uid="{00000000-0005-0000-0000-0000E8460000}"/>
    <cellStyle name="差 17 6 5" xfId="16820" xr:uid="{00000000-0005-0000-0000-0000E9460000}"/>
    <cellStyle name="差 17 6 6" xfId="16825" xr:uid="{00000000-0005-0000-0000-0000EA460000}"/>
    <cellStyle name="差 17 6 7" xfId="16830" xr:uid="{00000000-0005-0000-0000-0000EB460000}"/>
    <cellStyle name="差 17 6 8" xfId="16861" xr:uid="{00000000-0005-0000-0000-0000EC460000}"/>
    <cellStyle name="差 17 7" xfId="18152" xr:uid="{00000000-0005-0000-0000-0000ED460000}"/>
    <cellStyle name="差 17 8" xfId="18155" xr:uid="{00000000-0005-0000-0000-0000EE460000}"/>
    <cellStyle name="差 17 9" xfId="26194" xr:uid="{00000000-0005-0000-0000-0000EF460000}"/>
    <cellStyle name="差 17 9 2" xfId="26196" xr:uid="{00000000-0005-0000-0000-0000F0460000}"/>
    <cellStyle name="差 17 9 3" xfId="19528" xr:uid="{00000000-0005-0000-0000-0000F1460000}"/>
    <cellStyle name="差 18" xfId="4900" xr:uid="{00000000-0005-0000-0000-0000F2460000}"/>
    <cellStyle name="差 18 10" xfId="11379" xr:uid="{00000000-0005-0000-0000-0000F3460000}"/>
    <cellStyle name="差 18 11" xfId="26197" xr:uid="{00000000-0005-0000-0000-0000F4460000}"/>
    <cellStyle name="差 18 12" xfId="26199" xr:uid="{00000000-0005-0000-0000-0000F5460000}"/>
    <cellStyle name="差 18 13" xfId="26200" xr:uid="{00000000-0005-0000-0000-0000F6460000}"/>
    <cellStyle name="差 18 14" xfId="26201" xr:uid="{00000000-0005-0000-0000-0000F7460000}"/>
    <cellStyle name="差 18 2" xfId="26203" xr:uid="{00000000-0005-0000-0000-0000F8460000}"/>
    <cellStyle name="差 18 3" xfId="26205" xr:uid="{00000000-0005-0000-0000-0000F9460000}"/>
    <cellStyle name="差 18 4" xfId="26207" xr:uid="{00000000-0005-0000-0000-0000FA460000}"/>
    <cellStyle name="差 18 5" xfId="26208" xr:uid="{00000000-0005-0000-0000-0000FB460000}"/>
    <cellStyle name="差 18 5 10" xfId="20865" xr:uid="{00000000-0005-0000-0000-0000FC460000}"/>
    <cellStyle name="差 18 5 11" xfId="20867" xr:uid="{00000000-0005-0000-0000-0000FD460000}"/>
    <cellStyle name="差 18 5 2" xfId="26209" xr:uid="{00000000-0005-0000-0000-0000FE460000}"/>
    <cellStyle name="差 18 5 2 2" xfId="26212" xr:uid="{00000000-0005-0000-0000-0000FF460000}"/>
    <cellStyle name="差 18 5 2 2 2" xfId="26213" xr:uid="{00000000-0005-0000-0000-000000470000}"/>
    <cellStyle name="差 18 5 2 2 3" xfId="26214" xr:uid="{00000000-0005-0000-0000-000001470000}"/>
    <cellStyle name="差 18 5 2 3" xfId="26216" xr:uid="{00000000-0005-0000-0000-000002470000}"/>
    <cellStyle name="差 18 5 2 4" xfId="26218" xr:uid="{00000000-0005-0000-0000-000003470000}"/>
    <cellStyle name="差 18 5 2 5" xfId="26220" xr:uid="{00000000-0005-0000-0000-000004470000}"/>
    <cellStyle name="差 18 5 2 6" xfId="26222" xr:uid="{00000000-0005-0000-0000-000005470000}"/>
    <cellStyle name="差 18 5 2 7" xfId="26224" xr:uid="{00000000-0005-0000-0000-000006470000}"/>
    <cellStyle name="差 18 5 2 8" xfId="26225" xr:uid="{00000000-0005-0000-0000-000007470000}"/>
    <cellStyle name="差 18 5 3" xfId="26226" xr:uid="{00000000-0005-0000-0000-000008470000}"/>
    <cellStyle name="差 18 5 4" xfId="26228" xr:uid="{00000000-0005-0000-0000-000009470000}"/>
    <cellStyle name="差 18 5 5" xfId="26230" xr:uid="{00000000-0005-0000-0000-00000A470000}"/>
    <cellStyle name="差 18 5 6" xfId="26232" xr:uid="{00000000-0005-0000-0000-00000B470000}"/>
    <cellStyle name="差 18 5 6 2" xfId="26234" xr:uid="{00000000-0005-0000-0000-00000C470000}"/>
    <cellStyle name="差 18 5 6 3" xfId="26235" xr:uid="{00000000-0005-0000-0000-00000D470000}"/>
    <cellStyle name="差 18 5 7" xfId="26236" xr:uid="{00000000-0005-0000-0000-00000E470000}"/>
    <cellStyle name="差 18 5 8" xfId="26237" xr:uid="{00000000-0005-0000-0000-00000F470000}"/>
    <cellStyle name="差 18 5 9" xfId="26238" xr:uid="{00000000-0005-0000-0000-000010470000}"/>
    <cellStyle name="差 18 6" xfId="26239" xr:uid="{00000000-0005-0000-0000-000011470000}"/>
    <cellStyle name="差 18 6 2" xfId="23382" xr:uid="{00000000-0005-0000-0000-000012470000}"/>
    <cellStyle name="差 18 6 2 2" xfId="11810" xr:uid="{00000000-0005-0000-0000-000013470000}"/>
    <cellStyle name="差 18 6 2 3" xfId="11812" xr:uid="{00000000-0005-0000-0000-000014470000}"/>
    <cellStyle name="差 18 6 3" xfId="23384" xr:uid="{00000000-0005-0000-0000-000015470000}"/>
    <cellStyle name="差 18 6 4" xfId="23386" xr:uid="{00000000-0005-0000-0000-000016470000}"/>
    <cellStyle name="差 18 6 5" xfId="23390" xr:uid="{00000000-0005-0000-0000-000017470000}"/>
    <cellStyle name="差 18 6 6" xfId="23404" xr:uid="{00000000-0005-0000-0000-000018470000}"/>
    <cellStyle name="差 18 6 7" xfId="23406" xr:uid="{00000000-0005-0000-0000-000019470000}"/>
    <cellStyle name="差 18 6 8" xfId="23408" xr:uid="{00000000-0005-0000-0000-00001A470000}"/>
    <cellStyle name="差 18 7" xfId="26240" xr:uid="{00000000-0005-0000-0000-00001B470000}"/>
    <cellStyle name="差 18 8" xfId="26241" xr:uid="{00000000-0005-0000-0000-00001C470000}"/>
    <cellStyle name="差 18 9" xfId="26242" xr:uid="{00000000-0005-0000-0000-00001D470000}"/>
    <cellStyle name="差 18 9 2" xfId="26243" xr:uid="{00000000-0005-0000-0000-00001E470000}"/>
    <cellStyle name="差 18 9 3" xfId="26244" xr:uid="{00000000-0005-0000-0000-00001F470000}"/>
    <cellStyle name="差 19" xfId="18157" xr:uid="{00000000-0005-0000-0000-000020470000}"/>
    <cellStyle name="差 2" xfId="26245" xr:uid="{00000000-0005-0000-0000-000021470000}"/>
    <cellStyle name="差 2 10" xfId="26246" xr:uid="{00000000-0005-0000-0000-000022470000}"/>
    <cellStyle name="差 2 11" xfId="26247" xr:uid="{00000000-0005-0000-0000-000023470000}"/>
    <cellStyle name="差 2 12" xfId="26248" xr:uid="{00000000-0005-0000-0000-000024470000}"/>
    <cellStyle name="差 2 13" xfId="26249" xr:uid="{00000000-0005-0000-0000-000025470000}"/>
    <cellStyle name="差 2 14" xfId="26250" xr:uid="{00000000-0005-0000-0000-000026470000}"/>
    <cellStyle name="差 2 15" xfId="26251" xr:uid="{00000000-0005-0000-0000-000027470000}"/>
    <cellStyle name="差 2 16" xfId="26253" xr:uid="{00000000-0005-0000-0000-000028470000}"/>
    <cellStyle name="差 2 17" xfId="26254" xr:uid="{00000000-0005-0000-0000-000029470000}"/>
    <cellStyle name="差 2 17 10" xfId="20439" xr:uid="{00000000-0005-0000-0000-00002A470000}"/>
    <cellStyle name="差 2 17 11" xfId="20444" xr:uid="{00000000-0005-0000-0000-00002B470000}"/>
    <cellStyle name="差 2 17 12" xfId="20450" xr:uid="{00000000-0005-0000-0000-00002C470000}"/>
    <cellStyle name="差 2 17 13" xfId="2352" xr:uid="{00000000-0005-0000-0000-00002D470000}"/>
    <cellStyle name="差 2 17 14" xfId="13297" xr:uid="{00000000-0005-0000-0000-00002E470000}"/>
    <cellStyle name="差 2 17 2" xfId="25566" xr:uid="{00000000-0005-0000-0000-00002F470000}"/>
    <cellStyle name="差 2 17 3" xfId="26255" xr:uid="{00000000-0005-0000-0000-000030470000}"/>
    <cellStyle name="差 2 17 4" xfId="26256" xr:uid="{00000000-0005-0000-0000-000031470000}"/>
    <cellStyle name="差 2 17 5" xfId="26257" xr:uid="{00000000-0005-0000-0000-000032470000}"/>
    <cellStyle name="差 2 17 5 10" xfId="26258" xr:uid="{00000000-0005-0000-0000-000033470000}"/>
    <cellStyle name="差 2 17 5 11" xfId="26259" xr:uid="{00000000-0005-0000-0000-000034470000}"/>
    <cellStyle name="差 2 17 5 2" xfId="2582" xr:uid="{00000000-0005-0000-0000-000035470000}"/>
    <cellStyle name="差 2 17 5 2 2" xfId="6975" xr:uid="{00000000-0005-0000-0000-000036470000}"/>
    <cellStyle name="差 2 17 5 2 2 2" xfId="26260" xr:uid="{00000000-0005-0000-0000-000037470000}"/>
    <cellStyle name="差 2 17 5 2 2 3" xfId="26261" xr:uid="{00000000-0005-0000-0000-000038470000}"/>
    <cellStyle name="差 2 17 5 2 3" xfId="6981" xr:uid="{00000000-0005-0000-0000-000039470000}"/>
    <cellStyle name="差 2 17 5 2 4" xfId="6989" xr:uid="{00000000-0005-0000-0000-00003A470000}"/>
    <cellStyle name="差 2 17 5 2 5" xfId="6996" xr:uid="{00000000-0005-0000-0000-00003B470000}"/>
    <cellStyle name="差 2 17 5 2 6" xfId="7004" xr:uid="{00000000-0005-0000-0000-00003C470000}"/>
    <cellStyle name="差 2 17 5 2 7" xfId="2766" xr:uid="{00000000-0005-0000-0000-00003D470000}"/>
    <cellStyle name="差 2 17 5 2 8" xfId="11071" xr:uid="{00000000-0005-0000-0000-00003E470000}"/>
    <cellStyle name="差 2 17 5 3" xfId="2590" xr:uid="{00000000-0005-0000-0000-00003F470000}"/>
    <cellStyle name="差 2 17 5 4" xfId="2600" xr:uid="{00000000-0005-0000-0000-000040470000}"/>
    <cellStyle name="差 2 17 5 5" xfId="3496" xr:uid="{00000000-0005-0000-0000-000041470000}"/>
    <cellStyle name="差 2 17 5 6" xfId="3507" xr:uid="{00000000-0005-0000-0000-000042470000}"/>
    <cellStyle name="差 2 17 5 6 2" xfId="26262" xr:uid="{00000000-0005-0000-0000-000043470000}"/>
    <cellStyle name="差 2 17 5 6 3" xfId="9246" xr:uid="{00000000-0005-0000-0000-000044470000}"/>
    <cellStyle name="差 2 17 5 7" xfId="3518" xr:uid="{00000000-0005-0000-0000-000045470000}"/>
    <cellStyle name="差 2 17 5 8" xfId="3429" xr:uid="{00000000-0005-0000-0000-000046470000}"/>
    <cellStyle name="差 2 17 5 9" xfId="3451" xr:uid="{00000000-0005-0000-0000-000047470000}"/>
    <cellStyle name="差 2 17 6" xfId="26263" xr:uid="{00000000-0005-0000-0000-000048470000}"/>
    <cellStyle name="差 2 17 6 2" xfId="26264" xr:uid="{00000000-0005-0000-0000-000049470000}"/>
    <cellStyle name="差 2 17 6 2 2" xfId="26265" xr:uid="{00000000-0005-0000-0000-00004A470000}"/>
    <cellStyle name="差 2 17 6 2 3" xfId="8670" xr:uid="{00000000-0005-0000-0000-00004B470000}"/>
    <cellStyle name="差 2 17 6 3" xfId="26267" xr:uid="{00000000-0005-0000-0000-00004C470000}"/>
    <cellStyle name="差 2 17 6 4" xfId="26268" xr:uid="{00000000-0005-0000-0000-00004D470000}"/>
    <cellStyle name="差 2 17 6 5" xfId="26271" xr:uid="{00000000-0005-0000-0000-00004E470000}"/>
    <cellStyle name="差 2 17 6 6" xfId="26273" xr:uid="{00000000-0005-0000-0000-00004F470000}"/>
    <cellStyle name="差 2 17 6 7" xfId="26275" xr:uid="{00000000-0005-0000-0000-000050470000}"/>
    <cellStyle name="差 2 17 6 8" xfId="26277" xr:uid="{00000000-0005-0000-0000-000051470000}"/>
    <cellStyle name="差 2 17 7" xfId="26278" xr:uid="{00000000-0005-0000-0000-000052470000}"/>
    <cellStyle name="差 2 17 8" xfId="26279" xr:uid="{00000000-0005-0000-0000-000053470000}"/>
    <cellStyle name="差 2 17 9" xfId="26280" xr:uid="{00000000-0005-0000-0000-000054470000}"/>
    <cellStyle name="差 2 17 9 2" xfId="26281" xr:uid="{00000000-0005-0000-0000-000055470000}"/>
    <cellStyle name="差 2 17 9 3" xfId="26282" xr:uid="{00000000-0005-0000-0000-000056470000}"/>
    <cellStyle name="差 2 18" xfId="9606" xr:uid="{00000000-0005-0000-0000-000057470000}"/>
    <cellStyle name="差 2 18 10" xfId="26283" xr:uid="{00000000-0005-0000-0000-000058470000}"/>
    <cellStyle name="差 2 18 11" xfId="26284" xr:uid="{00000000-0005-0000-0000-000059470000}"/>
    <cellStyle name="差 2 18 12" xfId="8025" xr:uid="{00000000-0005-0000-0000-00005A470000}"/>
    <cellStyle name="差 2 18 13" xfId="8029" xr:uid="{00000000-0005-0000-0000-00005B470000}"/>
    <cellStyle name="差 2 18 14" xfId="26286" xr:uid="{00000000-0005-0000-0000-00005C470000}"/>
    <cellStyle name="差 2 18 2" xfId="25093" xr:uid="{00000000-0005-0000-0000-00005D470000}"/>
    <cellStyle name="差 2 18 3" xfId="25096" xr:uid="{00000000-0005-0000-0000-00005E470000}"/>
    <cellStyle name="差 2 18 4" xfId="26287" xr:uid="{00000000-0005-0000-0000-00005F470000}"/>
    <cellStyle name="差 2 18 5" xfId="26288" xr:uid="{00000000-0005-0000-0000-000060470000}"/>
    <cellStyle name="差 2 18 5 10" xfId="26289" xr:uid="{00000000-0005-0000-0000-000061470000}"/>
    <cellStyle name="差 2 18 5 11" xfId="26290" xr:uid="{00000000-0005-0000-0000-000062470000}"/>
    <cellStyle name="差 2 18 5 2" xfId="4963" xr:uid="{00000000-0005-0000-0000-000063470000}"/>
    <cellStyle name="差 2 18 5 2 2" xfId="19136" xr:uid="{00000000-0005-0000-0000-000064470000}"/>
    <cellStyle name="差 2 18 5 2 2 2" xfId="18481" xr:uid="{00000000-0005-0000-0000-000065470000}"/>
    <cellStyle name="差 2 18 5 2 2 3" xfId="26291" xr:uid="{00000000-0005-0000-0000-000066470000}"/>
    <cellStyle name="差 2 18 5 2 3" xfId="19138" xr:uid="{00000000-0005-0000-0000-000067470000}"/>
    <cellStyle name="差 2 18 5 2 4" xfId="19140" xr:uid="{00000000-0005-0000-0000-000068470000}"/>
    <cellStyle name="差 2 18 5 2 5" xfId="26292" xr:uid="{00000000-0005-0000-0000-000069470000}"/>
    <cellStyle name="差 2 18 5 2 6" xfId="26293" xr:uid="{00000000-0005-0000-0000-00006A470000}"/>
    <cellStyle name="差 2 18 5 2 7" xfId="26294" xr:uid="{00000000-0005-0000-0000-00006B470000}"/>
    <cellStyle name="差 2 18 5 2 8" xfId="26295" xr:uid="{00000000-0005-0000-0000-00006C470000}"/>
    <cellStyle name="差 2 18 5 3" xfId="4982" xr:uid="{00000000-0005-0000-0000-00006D470000}"/>
    <cellStyle name="差 2 18 5 4" xfId="4991" xr:uid="{00000000-0005-0000-0000-00006E470000}"/>
    <cellStyle name="差 2 18 5 5" xfId="3840" xr:uid="{00000000-0005-0000-0000-00006F470000}"/>
    <cellStyle name="差 2 18 5 6" xfId="3848" xr:uid="{00000000-0005-0000-0000-000070470000}"/>
    <cellStyle name="差 2 18 5 6 2" xfId="26296" xr:uid="{00000000-0005-0000-0000-000071470000}"/>
    <cellStyle name="差 2 18 5 6 3" xfId="26298" xr:uid="{00000000-0005-0000-0000-000072470000}"/>
    <cellStyle name="差 2 18 5 7" xfId="24151" xr:uid="{00000000-0005-0000-0000-000073470000}"/>
    <cellStyle name="差 2 18 5 8" xfId="24154" xr:uid="{00000000-0005-0000-0000-000074470000}"/>
    <cellStyle name="差 2 18 5 9" xfId="26301" xr:uid="{00000000-0005-0000-0000-000075470000}"/>
    <cellStyle name="差 2 18 6" xfId="26303" xr:uid="{00000000-0005-0000-0000-000076470000}"/>
    <cellStyle name="差 2 18 6 2" xfId="18369" xr:uid="{00000000-0005-0000-0000-000077470000}"/>
    <cellStyle name="差 2 18 6 2 2" xfId="26304" xr:uid="{00000000-0005-0000-0000-000078470000}"/>
    <cellStyle name="差 2 18 6 2 3" xfId="26306" xr:uid="{00000000-0005-0000-0000-000079470000}"/>
    <cellStyle name="差 2 18 6 3" xfId="26309" xr:uid="{00000000-0005-0000-0000-00007A470000}"/>
    <cellStyle name="差 2 18 6 4" xfId="26310" xr:uid="{00000000-0005-0000-0000-00007B470000}"/>
    <cellStyle name="差 2 18 6 5" xfId="26312" xr:uid="{00000000-0005-0000-0000-00007C470000}"/>
    <cellStyle name="差 2 18 6 6" xfId="26314" xr:uid="{00000000-0005-0000-0000-00007D470000}"/>
    <cellStyle name="差 2 18 6 7" xfId="26316" xr:uid="{00000000-0005-0000-0000-00007E470000}"/>
    <cellStyle name="差 2 18 6 8" xfId="26318" xr:uid="{00000000-0005-0000-0000-00007F470000}"/>
    <cellStyle name="差 2 18 7" xfId="26320" xr:uid="{00000000-0005-0000-0000-000080470000}"/>
    <cellStyle name="差 2 18 8" xfId="26322" xr:uid="{00000000-0005-0000-0000-000081470000}"/>
    <cellStyle name="差 2 18 9" xfId="26324" xr:uid="{00000000-0005-0000-0000-000082470000}"/>
    <cellStyle name="差 2 18 9 2" xfId="26325" xr:uid="{00000000-0005-0000-0000-000083470000}"/>
    <cellStyle name="差 2 18 9 3" xfId="26326" xr:uid="{00000000-0005-0000-0000-000084470000}"/>
    <cellStyle name="差 2 19" xfId="25098" xr:uid="{00000000-0005-0000-0000-000085470000}"/>
    <cellStyle name="差 2 19 10" xfId="26327" xr:uid="{00000000-0005-0000-0000-000086470000}"/>
    <cellStyle name="差 2 19 11" xfId="26328" xr:uid="{00000000-0005-0000-0000-000087470000}"/>
    <cellStyle name="差 2 19 12" xfId="26329" xr:uid="{00000000-0005-0000-0000-000088470000}"/>
    <cellStyle name="差 2 19 13" xfId="26330" xr:uid="{00000000-0005-0000-0000-000089470000}"/>
    <cellStyle name="差 2 19 14" xfId="8881" xr:uid="{00000000-0005-0000-0000-00008A470000}"/>
    <cellStyle name="差 2 19 2" xfId="26332" xr:uid="{00000000-0005-0000-0000-00008B470000}"/>
    <cellStyle name="差 2 19 3" xfId="26334" xr:uid="{00000000-0005-0000-0000-00008C470000}"/>
    <cellStyle name="差 2 19 4" xfId="26336" xr:uid="{00000000-0005-0000-0000-00008D470000}"/>
    <cellStyle name="差 2 19 5" xfId="26338" xr:uid="{00000000-0005-0000-0000-00008E470000}"/>
    <cellStyle name="差 2 19 5 10" xfId="26340" xr:uid="{00000000-0005-0000-0000-00008F470000}"/>
    <cellStyle name="差 2 19 5 11" xfId="26343" xr:uid="{00000000-0005-0000-0000-000090470000}"/>
    <cellStyle name="差 2 19 5 2" xfId="24316" xr:uid="{00000000-0005-0000-0000-000091470000}"/>
    <cellStyle name="差 2 19 5 2 2" xfId="16201" xr:uid="{00000000-0005-0000-0000-000092470000}"/>
    <cellStyle name="差 2 19 5 2 2 2" xfId="17851" xr:uid="{00000000-0005-0000-0000-000093470000}"/>
    <cellStyle name="差 2 19 5 2 2 3" xfId="17858" xr:uid="{00000000-0005-0000-0000-000094470000}"/>
    <cellStyle name="差 2 19 5 2 3" xfId="16208" xr:uid="{00000000-0005-0000-0000-000095470000}"/>
    <cellStyle name="差 2 19 5 2 4" xfId="6915" xr:uid="{00000000-0005-0000-0000-000096470000}"/>
    <cellStyle name="差 2 19 5 2 5" xfId="6923" xr:uid="{00000000-0005-0000-0000-000097470000}"/>
    <cellStyle name="差 2 19 5 2 6" xfId="6931" xr:uid="{00000000-0005-0000-0000-000098470000}"/>
    <cellStyle name="差 2 19 5 2 7" xfId="26346" xr:uid="{00000000-0005-0000-0000-000099470000}"/>
    <cellStyle name="差 2 19 5 2 8" xfId="26348" xr:uid="{00000000-0005-0000-0000-00009A470000}"/>
    <cellStyle name="差 2 19 5 3" xfId="24320" xr:uid="{00000000-0005-0000-0000-00009B470000}"/>
    <cellStyle name="差 2 19 5 4" xfId="24324" xr:uid="{00000000-0005-0000-0000-00009C470000}"/>
    <cellStyle name="差 2 19 5 5" xfId="17845" xr:uid="{00000000-0005-0000-0000-00009D470000}"/>
    <cellStyle name="差 2 19 5 6" xfId="17855" xr:uid="{00000000-0005-0000-0000-00009E470000}"/>
    <cellStyle name="差 2 19 5 6 2" xfId="26349" xr:uid="{00000000-0005-0000-0000-00009F470000}"/>
    <cellStyle name="差 2 19 5 6 3" xfId="26350" xr:uid="{00000000-0005-0000-0000-0000A0470000}"/>
    <cellStyle name="差 2 19 5 7" xfId="17862" xr:uid="{00000000-0005-0000-0000-0000A1470000}"/>
    <cellStyle name="差 2 19 5 8" xfId="17868" xr:uid="{00000000-0005-0000-0000-0000A2470000}"/>
    <cellStyle name="差 2 19 5 9" xfId="25568" xr:uid="{00000000-0005-0000-0000-0000A3470000}"/>
    <cellStyle name="差 2 19 6" xfId="26352" xr:uid="{00000000-0005-0000-0000-0000A4470000}"/>
    <cellStyle name="差 2 19 6 2" xfId="26353" xr:uid="{00000000-0005-0000-0000-0000A5470000}"/>
    <cellStyle name="差 2 19 6 2 2" xfId="26354" xr:uid="{00000000-0005-0000-0000-0000A6470000}"/>
    <cellStyle name="差 2 19 6 2 3" xfId="26356" xr:uid="{00000000-0005-0000-0000-0000A7470000}"/>
    <cellStyle name="差 2 19 6 3" xfId="26358" xr:uid="{00000000-0005-0000-0000-0000A8470000}"/>
    <cellStyle name="差 2 19 6 4" xfId="26359" xr:uid="{00000000-0005-0000-0000-0000A9470000}"/>
    <cellStyle name="差 2 19 6 5" xfId="26360" xr:uid="{00000000-0005-0000-0000-0000AA470000}"/>
    <cellStyle name="差 2 19 6 6" xfId="26361" xr:uid="{00000000-0005-0000-0000-0000AB470000}"/>
    <cellStyle name="差 2 19 6 7" xfId="22593" xr:uid="{00000000-0005-0000-0000-0000AC470000}"/>
    <cellStyle name="差 2 19 6 8" xfId="22595" xr:uid="{00000000-0005-0000-0000-0000AD470000}"/>
    <cellStyle name="差 2 19 7" xfId="26363" xr:uid="{00000000-0005-0000-0000-0000AE470000}"/>
    <cellStyle name="差 2 19 8" xfId="26365" xr:uid="{00000000-0005-0000-0000-0000AF470000}"/>
    <cellStyle name="差 2 19 9" xfId="26367" xr:uid="{00000000-0005-0000-0000-0000B0470000}"/>
    <cellStyle name="差 2 19 9 2" xfId="26368" xr:uid="{00000000-0005-0000-0000-0000B1470000}"/>
    <cellStyle name="差 2 19 9 3" xfId="26369" xr:uid="{00000000-0005-0000-0000-0000B2470000}"/>
    <cellStyle name="差 2 2" xfId="11217" xr:uid="{00000000-0005-0000-0000-0000B3470000}"/>
    <cellStyle name="差 2 2 10" xfId="12863" xr:uid="{00000000-0005-0000-0000-0000B4470000}"/>
    <cellStyle name="差 2 2 11" xfId="26370" xr:uid="{00000000-0005-0000-0000-0000B5470000}"/>
    <cellStyle name="差 2 2 12" xfId="26371" xr:uid="{00000000-0005-0000-0000-0000B6470000}"/>
    <cellStyle name="差 2 2 13" xfId="26372" xr:uid="{00000000-0005-0000-0000-0000B7470000}"/>
    <cellStyle name="差 2 2 14" xfId="26373" xr:uid="{00000000-0005-0000-0000-0000B8470000}"/>
    <cellStyle name="差 2 2 2" xfId="26374" xr:uid="{00000000-0005-0000-0000-0000B9470000}"/>
    <cellStyle name="差 2 2 3" xfId="26375" xr:uid="{00000000-0005-0000-0000-0000BA470000}"/>
    <cellStyle name="差 2 2 4" xfId="26376" xr:uid="{00000000-0005-0000-0000-0000BB470000}"/>
    <cellStyle name="差 2 2 5" xfId="26377" xr:uid="{00000000-0005-0000-0000-0000BC470000}"/>
    <cellStyle name="差 2 2 6" xfId="26379" xr:uid="{00000000-0005-0000-0000-0000BD470000}"/>
    <cellStyle name="差 2 2 7" xfId="26381" xr:uid="{00000000-0005-0000-0000-0000BE470000}"/>
    <cellStyle name="差 2 2 8" xfId="26383" xr:uid="{00000000-0005-0000-0000-0000BF470000}"/>
    <cellStyle name="差 2 2 9" xfId="26385" xr:uid="{00000000-0005-0000-0000-0000C0470000}"/>
    <cellStyle name="差 2 20" xfId="26252" xr:uid="{00000000-0005-0000-0000-0000C1470000}"/>
    <cellStyle name="差 2 20 10" xfId="1329" xr:uid="{00000000-0005-0000-0000-0000C2470000}"/>
    <cellStyle name="差 2 20 11" xfId="1341" xr:uid="{00000000-0005-0000-0000-0000C3470000}"/>
    <cellStyle name="差 2 20 12" xfId="257" xr:uid="{00000000-0005-0000-0000-0000C4470000}"/>
    <cellStyle name="差 2 20 13" xfId="1360" xr:uid="{00000000-0005-0000-0000-0000C5470000}"/>
    <cellStyle name="差 2 20 14" xfId="13954" xr:uid="{00000000-0005-0000-0000-0000C6470000}"/>
    <cellStyle name="差 2 20 2" xfId="26386" xr:uid="{00000000-0005-0000-0000-0000C7470000}"/>
    <cellStyle name="差 2 20 3" xfId="26387" xr:uid="{00000000-0005-0000-0000-0000C8470000}"/>
    <cellStyle name="差 2 20 4" xfId="26388" xr:uid="{00000000-0005-0000-0000-0000C9470000}"/>
    <cellStyle name="差 2 20 5" xfId="26389" xr:uid="{00000000-0005-0000-0000-0000CA470000}"/>
    <cellStyle name="差 2 20 5 10" xfId="9703" xr:uid="{00000000-0005-0000-0000-0000CB470000}"/>
    <cellStyle name="差 2 20 5 11" xfId="7465" xr:uid="{00000000-0005-0000-0000-0000CC470000}"/>
    <cellStyle name="差 2 20 5 2" xfId="1639" xr:uid="{00000000-0005-0000-0000-0000CD470000}"/>
    <cellStyle name="差 2 20 5 2 2" xfId="16253" xr:uid="{00000000-0005-0000-0000-0000CE470000}"/>
    <cellStyle name="差 2 20 5 2 2 2" xfId="26392" xr:uid="{00000000-0005-0000-0000-0000CF470000}"/>
    <cellStyle name="差 2 20 5 2 2 3" xfId="26394" xr:uid="{00000000-0005-0000-0000-0000D0470000}"/>
    <cellStyle name="差 2 20 5 2 3" xfId="16256" xr:uid="{00000000-0005-0000-0000-0000D1470000}"/>
    <cellStyle name="差 2 20 5 2 4" xfId="16260" xr:uid="{00000000-0005-0000-0000-0000D2470000}"/>
    <cellStyle name="差 2 20 5 2 5" xfId="26397" xr:uid="{00000000-0005-0000-0000-0000D3470000}"/>
    <cellStyle name="差 2 20 5 2 6" xfId="26399" xr:uid="{00000000-0005-0000-0000-0000D4470000}"/>
    <cellStyle name="差 2 20 5 2 7" xfId="26400" xr:uid="{00000000-0005-0000-0000-0000D5470000}"/>
    <cellStyle name="差 2 20 5 2 8" xfId="26401" xr:uid="{00000000-0005-0000-0000-0000D6470000}"/>
    <cellStyle name="差 2 20 5 3" xfId="1655" xr:uid="{00000000-0005-0000-0000-0000D7470000}"/>
    <cellStyle name="差 2 20 5 4" xfId="1670" xr:uid="{00000000-0005-0000-0000-0000D8470000}"/>
    <cellStyle name="差 2 20 5 5" xfId="26402" xr:uid="{00000000-0005-0000-0000-0000D9470000}"/>
    <cellStyle name="差 2 20 5 6" xfId="26403" xr:uid="{00000000-0005-0000-0000-0000DA470000}"/>
    <cellStyle name="差 2 20 5 6 2" xfId="26404" xr:uid="{00000000-0005-0000-0000-0000DB470000}"/>
    <cellStyle name="差 2 20 5 6 3" xfId="26405" xr:uid="{00000000-0005-0000-0000-0000DC470000}"/>
    <cellStyle name="差 2 20 5 7" xfId="26406" xr:uid="{00000000-0005-0000-0000-0000DD470000}"/>
    <cellStyle name="差 2 20 5 8" xfId="26407" xr:uid="{00000000-0005-0000-0000-0000DE470000}"/>
    <cellStyle name="差 2 20 5 9" xfId="26408" xr:uid="{00000000-0005-0000-0000-0000DF470000}"/>
    <cellStyle name="差 2 20 6" xfId="26409" xr:uid="{00000000-0005-0000-0000-0000E0470000}"/>
    <cellStyle name="差 2 20 6 2" xfId="1773" xr:uid="{00000000-0005-0000-0000-0000E1470000}"/>
    <cellStyle name="差 2 20 6 2 2" xfId="26412" xr:uid="{00000000-0005-0000-0000-0000E2470000}"/>
    <cellStyle name="差 2 20 6 2 3" xfId="25820" xr:uid="{00000000-0005-0000-0000-0000E3470000}"/>
    <cellStyle name="差 2 20 6 3" xfId="1779" xr:uid="{00000000-0005-0000-0000-0000E4470000}"/>
    <cellStyle name="差 2 20 6 4" xfId="2175" xr:uid="{00000000-0005-0000-0000-0000E5470000}"/>
    <cellStyle name="差 2 20 6 5" xfId="11520" xr:uid="{00000000-0005-0000-0000-0000E6470000}"/>
    <cellStyle name="差 2 20 6 6" xfId="11523" xr:uid="{00000000-0005-0000-0000-0000E7470000}"/>
    <cellStyle name="差 2 20 6 7" xfId="11526" xr:uid="{00000000-0005-0000-0000-0000E8470000}"/>
    <cellStyle name="差 2 20 6 8" xfId="11529" xr:uid="{00000000-0005-0000-0000-0000E9470000}"/>
    <cellStyle name="差 2 20 7" xfId="26413" xr:uid="{00000000-0005-0000-0000-0000EA470000}"/>
    <cellStyle name="差 2 20 8" xfId="26415" xr:uid="{00000000-0005-0000-0000-0000EB470000}"/>
    <cellStyle name="差 2 20 9" xfId="26417" xr:uid="{00000000-0005-0000-0000-0000EC470000}"/>
    <cellStyle name="差 2 20 9 2" xfId="26419" xr:uid="{00000000-0005-0000-0000-0000ED470000}"/>
    <cellStyle name="差 2 20 9 3" xfId="26421" xr:uid="{00000000-0005-0000-0000-0000EE470000}"/>
    <cellStyle name="差 2 3" xfId="11221" xr:uid="{00000000-0005-0000-0000-0000EF470000}"/>
    <cellStyle name="差 2 3 10" xfId="12958" xr:uid="{00000000-0005-0000-0000-0000F0470000}"/>
    <cellStyle name="差 2 3 11" xfId="26424" xr:uid="{00000000-0005-0000-0000-0000F1470000}"/>
    <cellStyle name="差 2 3 12" xfId="26427" xr:uid="{00000000-0005-0000-0000-0000F2470000}"/>
    <cellStyle name="差 2 3 13" xfId="26429" xr:uid="{00000000-0005-0000-0000-0000F3470000}"/>
    <cellStyle name="差 2 3 14" xfId="26431" xr:uid="{00000000-0005-0000-0000-0000F4470000}"/>
    <cellStyle name="差 2 3 2" xfId="26432" xr:uid="{00000000-0005-0000-0000-0000F5470000}"/>
    <cellStyle name="差 2 3 3" xfId="26433" xr:uid="{00000000-0005-0000-0000-0000F6470000}"/>
    <cellStyle name="差 2 3 4" xfId="26434" xr:uid="{00000000-0005-0000-0000-0000F7470000}"/>
    <cellStyle name="差 2 3 5" xfId="26436" xr:uid="{00000000-0005-0000-0000-0000F8470000}"/>
    <cellStyle name="差 2 3 6" xfId="26438" xr:uid="{00000000-0005-0000-0000-0000F9470000}"/>
    <cellStyle name="差 2 3 7" xfId="26439" xr:uid="{00000000-0005-0000-0000-0000FA470000}"/>
    <cellStyle name="差 2 3 8" xfId="26440" xr:uid="{00000000-0005-0000-0000-0000FB470000}"/>
    <cellStyle name="差 2 3 9" xfId="26441" xr:uid="{00000000-0005-0000-0000-0000FC470000}"/>
    <cellStyle name="差 2 4" xfId="13269" xr:uid="{00000000-0005-0000-0000-0000FD470000}"/>
    <cellStyle name="差 2 4 10" xfId="13052" xr:uid="{00000000-0005-0000-0000-0000FE470000}"/>
    <cellStyle name="差 2 4 11" xfId="26442" xr:uid="{00000000-0005-0000-0000-0000FF470000}"/>
    <cellStyle name="差 2 4 12" xfId="26443" xr:uid="{00000000-0005-0000-0000-000000480000}"/>
    <cellStyle name="差 2 4 13" xfId="26444" xr:uid="{00000000-0005-0000-0000-000001480000}"/>
    <cellStyle name="差 2 4 14" xfId="26445" xr:uid="{00000000-0005-0000-0000-000002480000}"/>
    <cellStyle name="差 2 4 2" xfId="26446" xr:uid="{00000000-0005-0000-0000-000003480000}"/>
    <cellStyle name="差 2 4 3" xfId="26447" xr:uid="{00000000-0005-0000-0000-000004480000}"/>
    <cellStyle name="差 2 4 4" xfId="23024" xr:uid="{00000000-0005-0000-0000-000005480000}"/>
    <cellStyle name="差 2 4 5" xfId="23026" xr:uid="{00000000-0005-0000-0000-000006480000}"/>
    <cellStyle name="差 2 4 6" xfId="23028" xr:uid="{00000000-0005-0000-0000-000007480000}"/>
    <cellStyle name="差 2 4 7" xfId="23030" xr:uid="{00000000-0005-0000-0000-000008480000}"/>
    <cellStyle name="差 2 4 8" xfId="23032" xr:uid="{00000000-0005-0000-0000-000009480000}"/>
    <cellStyle name="差 2 4 9" xfId="23035" xr:uid="{00000000-0005-0000-0000-00000A480000}"/>
    <cellStyle name="差 2 5" xfId="13274" xr:uid="{00000000-0005-0000-0000-00000B480000}"/>
    <cellStyle name="差 2 6" xfId="10452" xr:uid="{00000000-0005-0000-0000-00000C480000}"/>
    <cellStyle name="差 2 7" xfId="18466" xr:uid="{00000000-0005-0000-0000-00000D480000}"/>
    <cellStyle name="差 2 8" xfId="16835" xr:uid="{00000000-0005-0000-0000-00000E480000}"/>
    <cellStyle name="差 2 9" xfId="16845" xr:uid="{00000000-0005-0000-0000-00000F480000}"/>
    <cellStyle name="差 3" xfId="26448" xr:uid="{00000000-0005-0000-0000-000010480000}"/>
    <cellStyle name="差 3 10" xfId="26449" xr:uid="{00000000-0005-0000-0000-000011480000}"/>
    <cellStyle name="差 3 11" xfId="26450" xr:uid="{00000000-0005-0000-0000-000012480000}"/>
    <cellStyle name="差 3 12" xfId="26451" xr:uid="{00000000-0005-0000-0000-000013480000}"/>
    <cellStyle name="差 3 13" xfId="26452" xr:uid="{00000000-0005-0000-0000-000014480000}"/>
    <cellStyle name="差 3 14" xfId="26453" xr:uid="{00000000-0005-0000-0000-000015480000}"/>
    <cellStyle name="差 3 15" xfId="26454" xr:uid="{00000000-0005-0000-0000-000016480000}"/>
    <cellStyle name="差 3 16" xfId="26456" xr:uid="{00000000-0005-0000-0000-000017480000}"/>
    <cellStyle name="差 3 17" xfId="26457" xr:uid="{00000000-0005-0000-0000-000018480000}"/>
    <cellStyle name="差 3 17 10" xfId="26458" xr:uid="{00000000-0005-0000-0000-000019480000}"/>
    <cellStyle name="差 3 17 11" xfId="26459" xr:uid="{00000000-0005-0000-0000-00001A480000}"/>
    <cellStyle name="差 3 17 12" xfId="26460" xr:uid="{00000000-0005-0000-0000-00001B480000}"/>
    <cellStyle name="差 3 17 13" xfId="26461" xr:uid="{00000000-0005-0000-0000-00001C480000}"/>
    <cellStyle name="差 3 17 14" xfId="26462" xr:uid="{00000000-0005-0000-0000-00001D480000}"/>
    <cellStyle name="差 3 17 2" xfId="2925" xr:uid="{00000000-0005-0000-0000-00001E480000}"/>
    <cellStyle name="差 3 17 2 2" xfId="5620" xr:uid="{00000000-0005-0000-0000-00001F480000}"/>
    <cellStyle name="差 3 17 3" xfId="5875" xr:uid="{00000000-0005-0000-0000-000020480000}"/>
    <cellStyle name="差 3 17 4" xfId="26463" xr:uid="{00000000-0005-0000-0000-000021480000}"/>
    <cellStyle name="差 3 17 5" xfId="26464" xr:uid="{00000000-0005-0000-0000-000022480000}"/>
    <cellStyle name="差 3 17 5 10" xfId="26466" xr:uid="{00000000-0005-0000-0000-000023480000}"/>
    <cellStyle name="差 3 17 5 11" xfId="26467" xr:uid="{00000000-0005-0000-0000-000024480000}"/>
    <cellStyle name="差 3 17 5 2" xfId="1501" xr:uid="{00000000-0005-0000-0000-000025480000}"/>
    <cellStyle name="差 3 17 5 2 2" xfId="19378" xr:uid="{00000000-0005-0000-0000-000026480000}"/>
    <cellStyle name="差 3 17 5 2 2 2" xfId="14330" xr:uid="{00000000-0005-0000-0000-000027480000}"/>
    <cellStyle name="差 3 17 5 2 2 3" xfId="14333" xr:uid="{00000000-0005-0000-0000-000028480000}"/>
    <cellStyle name="差 3 17 5 2 3" xfId="19381" xr:uid="{00000000-0005-0000-0000-000029480000}"/>
    <cellStyle name="差 3 17 5 2 4" xfId="19384" xr:uid="{00000000-0005-0000-0000-00002A480000}"/>
    <cellStyle name="差 3 17 5 2 5" xfId="19387" xr:uid="{00000000-0005-0000-0000-00002B480000}"/>
    <cellStyle name="差 3 17 5 2 6" xfId="26469" xr:uid="{00000000-0005-0000-0000-00002C480000}"/>
    <cellStyle name="差 3 17 5 2 7" xfId="26471" xr:uid="{00000000-0005-0000-0000-00002D480000}"/>
    <cellStyle name="差 3 17 5 2 8" xfId="26474" xr:uid="{00000000-0005-0000-0000-00002E480000}"/>
    <cellStyle name="差 3 17 5 3" xfId="1516" xr:uid="{00000000-0005-0000-0000-00002F480000}"/>
    <cellStyle name="差 3 17 5 4" xfId="4421" xr:uid="{00000000-0005-0000-0000-000030480000}"/>
    <cellStyle name="差 3 17 5 5" xfId="4516" xr:uid="{00000000-0005-0000-0000-000031480000}"/>
    <cellStyle name="差 3 17 5 6" xfId="26476" xr:uid="{00000000-0005-0000-0000-000032480000}"/>
    <cellStyle name="差 3 17 5 6 2" xfId="26477" xr:uid="{00000000-0005-0000-0000-000033480000}"/>
    <cellStyle name="差 3 17 5 6 3" xfId="26478" xr:uid="{00000000-0005-0000-0000-000034480000}"/>
    <cellStyle name="差 3 17 5 7" xfId="26479" xr:uid="{00000000-0005-0000-0000-000035480000}"/>
    <cellStyle name="差 3 17 5 8" xfId="26032" xr:uid="{00000000-0005-0000-0000-000036480000}"/>
    <cellStyle name="差 3 17 5 9" xfId="26480" xr:uid="{00000000-0005-0000-0000-000037480000}"/>
    <cellStyle name="差 3 17 6" xfId="26483" xr:uid="{00000000-0005-0000-0000-000038480000}"/>
    <cellStyle name="差 3 17 6 2" xfId="26484" xr:uid="{00000000-0005-0000-0000-000039480000}"/>
    <cellStyle name="差 3 17 6 2 2" xfId="20282" xr:uid="{00000000-0005-0000-0000-00003A480000}"/>
    <cellStyle name="差 3 17 6 2 3" xfId="9783" xr:uid="{00000000-0005-0000-0000-00003B480000}"/>
    <cellStyle name="差 3 17 6 3" xfId="26486" xr:uid="{00000000-0005-0000-0000-00003C480000}"/>
    <cellStyle name="差 3 17 6 4" xfId="26488" xr:uid="{00000000-0005-0000-0000-00003D480000}"/>
    <cellStyle name="差 3 17 6 5" xfId="26489" xr:uid="{00000000-0005-0000-0000-00003E480000}"/>
    <cellStyle name="差 3 17 6 6" xfId="26490" xr:uid="{00000000-0005-0000-0000-00003F480000}"/>
    <cellStyle name="差 3 17 6 7" xfId="26491" xr:uid="{00000000-0005-0000-0000-000040480000}"/>
    <cellStyle name="差 3 17 6 8" xfId="26492" xr:uid="{00000000-0005-0000-0000-000041480000}"/>
    <cellStyle name="差 3 17 7" xfId="26495" xr:uid="{00000000-0005-0000-0000-000042480000}"/>
    <cellStyle name="差 3 17 8" xfId="26496" xr:uid="{00000000-0005-0000-0000-000043480000}"/>
    <cellStyle name="差 3 17 9" xfId="26497" xr:uid="{00000000-0005-0000-0000-000044480000}"/>
    <cellStyle name="差 3 17 9 2" xfId="16996" xr:uid="{00000000-0005-0000-0000-000045480000}"/>
    <cellStyle name="差 3 17 9 3" xfId="26498" xr:uid="{00000000-0005-0000-0000-000046480000}"/>
    <cellStyle name="差 3 18" xfId="26499" xr:uid="{00000000-0005-0000-0000-000047480000}"/>
    <cellStyle name="差 3 18 10" xfId="26500" xr:uid="{00000000-0005-0000-0000-000048480000}"/>
    <cellStyle name="差 3 18 11" xfId="26501" xr:uid="{00000000-0005-0000-0000-000049480000}"/>
    <cellStyle name="差 3 18 12" xfId="26502" xr:uid="{00000000-0005-0000-0000-00004A480000}"/>
    <cellStyle name="差 3 18 13" xfId="26503" xr:uid="{00000000-0005-0000-0000-00004B480000}"/>
    <cellStyle name="差 3 18 14" xfId="26504" xr:uid="{00000000-0005-0000-0000-00004C480000}"/>
    <cellStyle name="差 3 18 2" xfId="26505" xr:uid="{00000000-0005-0000-0000-00004D480000}"/>
    <cellStyle name="差 3 18 3" xfId="26506" xr:uid="{00000000-0005-0000-0000-00004E480000}"/>
    <cellStyle name="差 3 18 4" xfId="26507" xr:uid="{00000000-0005-0000-0000-00004F480000}"/>
    <cellStyle name="差 3 18 5" xfId="26508" xr:uid="{00000000-0005-0000-0000-000050480000}"/>
    <cellStyle name="差 3 18 5 10" xfId="26509" xr:uid="{00000000-0005-0000-0000-000051480000}"/>
    <cellStyle name="差 3 18 5 11" xfId="26510" xr:uid="{00000000-0005-0000-0000-000052480000}"/>
    <cellStyle name="差 3 18 5 2" xfId="10628" xr:uid="{00000000-0005-0000-0000-000053480000}"/>
    <cellStyle name="差 3 18 5 2 2" xfId="26511" xr:uid="{00000000-0005-0000-0000-000054480000}"/>
    <cellStyle name="差 3 18 5 2 2 2" xfId="26513" xr:uid="{00000000-0005-0000-0000-000055480000}"/>
    <cellStyle name="差 3 18 5 2 2 3" xfId="26514" xr:uid="{00000000-0005-0000-0000-000056480000}"/>
    <cellStyle name="差 3 18 5 2 3" xfId="8580" xr:uid="{00000000-0005-0000-0000-000057480000}"/>
    <cellStyle name="差 3 18 5 2 4" xfId="8587" xr:uid="{00000000-0005-0000-0000-000058480000}"/>
    <cellStyle name="差 3 18 5 2 5" xfId="15267" xr:uid="{00000000-0005-0000-0000-000059480000}"/>
    <cellStyle name="差 3 18 5 2 6" xfId="15275" xr:uid="{00000000-0005-0000-0000-00005A480000}"/>
    <cellStyle name="差 3 18 5 2 7" xfId="15281" xr:uid="{00000000-0005-0000-0000-00005B480000}"/>
    <cellStyle name="差 3 18 5 2 8" xfId="15284" xr:uid="{00000000-0005-0000-0000-00005C480000}"/>
    <cellStyle name="差 3 18 5 3" xfId="10632" xr:uid="{00000000-0005-0000-0000-00005D480000}"/>
    <cellStyle name="差 3 18 5 4" xfId="10636" xr:uid="{00000000-0005-0000-0000-00005E480000}"/>
    <cellStyle name="差 3 18 5 5" xfId="10639" xr:uid="{00000000-0005-0000-0000-00005F480000}"/>
    <cellStyle name="差 3 18 5 6" xfId="26515" xr:uid="{00000000-0005-0000-0000-000060480000}"/>
    <cellStyle name="差 3 18 5 6 2" xfId="26517" xr:uid="{00000000-0005-0000-0000-000061480000}"/>
    <cellStyle name="差 3 18 5 6 3" xfId="22790" xr:uid="{00000000-0005-0000-0000-000062480000}"/>
    <cellStyle name="差 3 18 5 7" xfId="26519" xr:uid="{00000000-0005-0000-0000-000063480000}"/>
    <cellStyle name="差 3 18 5 8" xfId="26521" xr:uid="{00000000-0005-0000-0000-000064480000}"/>
    <cellStyle name="差 3 18 5 9" xfId="26522" xr:uid="{00000000-0005-0000-0000-000065480000}"/>
    <cellStyle name="差 3 18 6" xfId="26523" xr:uid="{00000000-0005-0000-0000-000066480000}"/>
    <cellStyle name="差 3 18 6 2" xfId="19456" xr:uid="{00000000-0005-0000-0000-000067480000}"/>
    <cellStyle name="差 3 18 6 2 2" xfId="26524" xr:uid="{00000000-0005-0000-0000-000068480000}"/>
    <cellStyle name="差 3 18 6 2 3" xfId="26525" xr:uid="{00000000-0005-0000-0000-000069480000}"/>
    <cellStyle name="差 3 18 6 3" xfId="26526" xr:uid="{00000000-0005-0000-0000-00006A480000}"/>
    <cellStyle name="差 3 18 6 4" xfId="26528" xr:uid="{00000000-0005-0000-0000-00006B480000}"/>
    <cellStyle name="差 3 18 6 5" xfId="26001" xr:uid="{00000000-0005-0000-0000-00006C480000}"/>
    <cellStyle name="差 3 18 6 6" xfId="26530" xr:uid="{00000000-0005-0000-0000-00006D480000}"/>
    <cellStyle name="差 3 18 6 7" xfId="26532" xr:uid="{00000000-0005-0000-0000-00006E480000}"/>
    <cellStyle name="差 3 18 6 8" xfId="26534" xr:uid="{00000000-0005-0000-0000-00006F480000}"/>
    <cellStyle name="差 3 18 7" xfId="26535" xr:uid="{00000000-0005-0000-0000-000070480000}"/>
    <cellStyle name="差 3 18 8" xfId="26536" xr:uid="{00000000-0005-0000-0000-000071480000}"/>
    <cellStyle name="差 3 18 9" xfId="26537" xr:uid="{00000000-0005-0000-0000-000072480000}"/>
    <cellStyle name="差 3 18 9 2" xfId="26538" xr:uid="{00000000-0005-0000-0000-000073480000}"/>
    <cellStyle name="差 3 18 9 3" xfId="26539" xr:uid="{00000000-0005-0000-0000-000074480000}"/>
    <cellStyle name="差 3 19" xfId="26541" xr:uid="{00000000-0005-0000-0000-000075480000}"/>
    <cellStyle name="差 3 19 10" xfId="26468" xr:uid="{00000000-0005-0000-0000-000076480000}"/>
    <cellStyle name="差 3 19 11" xfId="26542" xr:uid="{00000000-0005-0000-0000-000077480000}"/>
    <cellStyle name="差 3 19 12" xfId="26543" xr:uid="{00000000-0005-0000-0000-000078480000}"/>
    <cellStyle name="差 3 19 13" xfId="26544" xr:uid="{00000000-0005-0000-0000-000079480000}"/>
    <cellStyle name="差 3 19 14" xfId="16358" xr:uid="{00000000-0005-0000-0000-00007A480000}"/>
    <cellStyle name="差 3 19 2" xfId="26545" xr:uid="{00000000-0005-0000-0000-00007B480000}"/>
    <cellStyle name="差 3 19 3" xfId="26549" xr:uid="{00000000-0005-0000-0000-00007C480000}"/>
    <cellStyle name="差 3 19 4" xfId="26553" xr:uid="{00000000-0005-0000-0000-00007D480000}"/>
    <cellStyle name="差 3 19 5" xfId="26556" xr:uid="{00000000-0005-0000-0000-00007E480000}"/>
    <cellStyle name="差 3 19 5 10" xfId="26560" xr:uid="{00000000-0005-0000-0000-00007F480000}"/>
    <cellStyle name="差 3 19 5 11" xfId="26562" xr:uid="{00000000-0005-0000-0000-000080480000}"/>
    <cellStyle name="差 3 19 5 2" xfId="26564" xr:uid="{00000000-0005-0000-0000-000081480000}"/>
    <cellStyle name="差 3 19 5 2 2" xfId="26565" xr:uid="{00000000-0005-0000-0000-000082480000}"/>
    <cellStyle name="差 3 19 5 2 2 2" xfId="18962" xr:uid="{00000000-0005-0000-0000-000083480000}"/>
    <cellStyle name="差 3 19 5 2 2 3" xfId="18967" xr:uid="{00000000-0005-0000-0000-000084480000}"/>
    <cellStyle name="差 3 19 5 2 3" xfId="26571" xr:uid="{00000000-0005-0000-0000-000085480000}"/>
    <cellStyle name="差 3 19 5 2 4" xfId="24591" xr:uid="{00000000-0005-0000-0000-000086480000}"/>
    <cellStyle name="差 3 19 5 2 5" xfId="26573" xr:uid="{00000000-0005-0000-0000-000087480000}"/>
    <cellStyle name="差 3 19 5 2 6" xfId="26574" xr:uid="{00000000-0005-0000-0000-000088480000}"/>
    <cellStyle name="差 3 19 5 2 7" xfId="26575" xr:uid="{00000000-0005-0000-0000-000089480000}"/>
    <cellStyle name="差 3 19 5 2 8" xfId="16780" xr:uid="{00000000-0005-0000-0000-00008A480000}"/>
    <cellStyle name="差 3 19 5 3" xfId="26578" xr:uid="{00000000-0005-0000-0000-00008B480000}"/>
    <cellStyle name="差 3 19 5 4" xfId="26580" xr:uid="{00000000-0005-0000-0000-00008C480000}"/>
    <cellStyle name="差 3 19 5 5" xfId="26582" xr:uid="{00000000-0005-0000-0000-00008D480000}"/>
    <cellStyle name="差 3 19 5 6" xfId="23103" xr:uid="{00000000-0005-0000-0000-00008E480000}"/>
    <cellStyle name="差 3 19 5 6 2" xfId="26584" xr:uid="{00000000-0005-0000-0000-00008F480000}"/>
    <cellStyle name="差 3 19 5 6 3" xfId="26586" xr:uid="{00000000-0005-0000-0000-000090480000}"/>
    <cellStyle name="差 3 19 5 7" xfId="23106" xr:uid="{00000000-0005-0000-0000-000091480000}"/>
    <cellStyle name="差 3 19 5 8" xfId="23109" xr:uid="{00000000-0005-0000-0000-000092480000}"/>
    <cellStyle name="差 3 19 5 9" xfId="23111" xr:uid="{00000000-0005-0000-0000-000093480000}"/>
    <cellStyle name="差 3 19 6" xfId="6368" xr:uid="{00000000-0005-0000-0000-000094480000}"/>
    <cellStyle name="差 3 19 6 2" xfId="21066" xr:uid="{00000000-0005-0000-0000-000095480000}"/>
    <cellStyle name="差 3 19 6 2 2" xfId="26588" xr:uid="{00000000-0005-0000-0000-000096480000}"/>
    <cellStyle name="差 3 19 6 2 3" xfId="26590" xr:uid="{00000000-0005-0000-0000-000097480000}"/>
    <cellStyle name="差 3 19 6 3" xfId="21069" xr:uid="{00000000-0005-0000-0000-000098480000}"/>
    <cellStyle name="差 3 19 6 4" xfId="26592" xr:uid="{00000000-0005-0000-0000-000099480000}"/>
    <cellStyle name="差 3 19 6 5" xfId="26594" xr:uid="{00000000-0005-0000-0000-00009A480000}"/>
    <cellStyle name="差 3 19 6 6" xfId="26596" xr:uid="{00000000-0005-0000-0000-00009B480000}"/>
    <cellStyle name="差 3 19 6 7" xfId="26598" xr:uid="{00000000-0005-0000-0000-00009C480000}"/>
    <cellStyle name="差 3 19 6 8" xfId="26600" xr:uid="{00000000-0005-0000-0000-00009D480000}"/>
    <cellStyle name="差 3 19 7" xfId="6373" xr:uid="{00000000-0005-0000-0000-00009E480000}"/>
    <cellStyle name="差 3 19 8" xfId="17078" xr:uid="{00000000-0005-0000-0000-00009F480000}"/>
    <cellStyle name="差 3 19 9" xfId="21072" xr:uid="{00000000-0005-0000-0000-0000A0480000}"/>
    <cellStyle name="差 3 19 9 2" xfId="14948" xr:uid="{00000000-0005-0000-0000-0000A1480000}"/>
    <cellStyle name="差 3 19 9 3" xfId="16809" xr:uid="{00000000-0005-0000-0000-0000A2480000}"/>
    <cellStyle name="差 3 2" xfId="26601" xr:uid="{00000000-0005-0000-0000-0000A3480000}"/>
    <cellStyle name="差 3 2 10" xfId="26602" xr:uid="{00000000-0005-0000-0000-0000A4480000}"/>
    <cellStyle name="差 3 2 11" xfId="26603" xr:uid="{00000000-0005-0000-0000-0000A5480000}"/>
    <cellStyle name="差 3 2 12" xfId="26604" xr:uid="{00000000-0005-0000-0000-0000A6480000}"/>
    <cellStyle name="差 3 2 13" xfId="26605" xr:uid="{00000000-0005-0000-0000-0000A7480000}"/>
    <cellStyle name="差 3 2 14" xfId="26606" xr:uid="{00000000-0005-0000-0000-0000A8480000}"/>
    <cellStyle name="差 3 2 2" xfId="24565" xr:uid="{00000000-0005-0000-0000-0000A9480000}"/>
    <cellStyle name="差 3 2 3" xfId="8857" xr:uid="{00000000-0005-0000-0000-0000AA480000}"/>
    <cellStyle name="差 3 2 4" xfId="8861" xr:uid="{00000000-0005-0000-0000-0000AB480000}"/>
    <cellStyle name="差 3 2 5" xfId="21816" xr:uid="{00000000-0005-0000-0000-0000AC480000}"/>
    <cellStyle name="差 3 2 6" xfId="21820" xr:uid="{00000000-0005-0000-0000-0000AD480000}"/>
    <cellStyle name="差 3 2 7" xfId="21823" xr:uid="{00000000-0005-0000-0000-0000AE480000}"/>
    <cellStyle name="差 3 2 8" xfId="21826" xr:uid="{00000000-0005-0000-0000-0000AF480000}"/>
    <cellStyle name="差 3 2 9" xfId="21828" xr:uid="{00000000-0005-0000-0000-0000B0480000}"/>
    <cellStyle name="差 3 20" xfId="26455" xr:uid="{00000000-0005-0000-0000-0000B1480000}"/>
    <cellStyle name="差 3 20 10" xfId="3510" xr:uid="{00000000-0005-0000-0000-0000B2480000}"/>
    <cellStyle name="差 3 20 11" xfId="3422" xr:uid="{00000000-0005-0000-0000-0000B3480000}"/>
    <cellStyle name="差 3 20 12" xfId="3443" xr:uid="{00000000-0005-0000-0000-0000B4480000}"/>
    <cellStyle name="差 3 20 13" xfId="3526" xr:uid="{00000000-0005-0000-0000-0000B5480000}"/>
    <cellStyle name="差 3 20 14" xfId="20171" xr:uid="{00000000-0005-0000-0000-0000B6480000}"/>
    <cellStyle name="差 3 20 2" xfId="26608" xr:uid="{00000000-0005-0000-0000-0000B7480000}"/>
    <cellStyle name="差 3 20 3" xfId="26610" xr:uid="{00000000-0005-0000-0000-0000B8480000}"/>
    <cellStyle name="差 3 20 4" xfId="26612" xr:uid="{00000000-0005-0000-0000-0000B9480000}"/>
    <cellStyle name="差 3 20 5" xfId="26613" xr:uid="{00000000-0005-0000-0000-0000BA480000}"/>
    <cellStyle name="差 3 20 5 10" xfId="26616" xr:uid="{00000000-0005-0000-0000-0000BB480000}"/>
    <cellStyle name="差 3 20 5 11" xfId="26617" xr:uid="{00000000-0005-0000-0000-0000BC480000}"/>
    <cellStyle name="差 3 20 5 2" xfId="5454" xr:uid="{00000000-0005-0000-0000-0000BD480000}"/>
    <cellStyle name="差 3 20 5 2 2" xfId="26619" xr:uid="{00000000-0005-0000-0000-0000BE480000}"/>
    <cellStyle name="差 3 20 5 2 2 2" xfId="4811" xr:uid="{00000000-0005-0000-0000-0000BF480000}"/>
    <cellStyle name="差 3 20 5 2 2 3" xfId="8938" xr:uid="{00000000-0005-0000-0000-0000C0480000}"/>
    <cellStyle name="差 3 20 5 2 3" xfId="26622" xr:uid="{00000000-0005-0000-0000-0000C1480000}"/>
    <cellStyle name="差 3 20 5 2 4" xfId="26625" xr:uid="{00000000-0005-0000-0000-0000C2480000}"/>
    <cellStyle name="差 3 20 5 2 5" xfId="26626" xr:uid="{00000000-0005-0000-0000-0000C3480000}"/>
    <cellStyle name="差 3 20 5 2 6" xfId="26627" xr:uid="{00000000-0005-0000-0000-0000C4480000}"/>
    <cellStyle name="差 3 20 5 2 7" xfId="26629" xr:uid="{00000000-0005-0000-0000-0000C5480000}"/>
    <cellStyle name="差 3 20 5 2 8" xfId="16956" xr:uid="{00000000-0005-0000-0000-0000C6480000}"/>
    <cellStyle name="差 3 20 5 3" xfId="5467" xr:uid="{00000000-0005-0000-0000-0000C7480000}"/>
    <cellStyle name="差 3 20 5 4" xfId="5477" xr:uid="{00000000-0005-0000-0000-0000C8480000}"/>
    <cellStyle name="差 3 20 5 5" xfId="26631" xr:uid="{00000000-0005-0000-0000-0000C9480000}"/>
    <cellStyle name="差 3 20 5 6" xfId="26632" xr:uid="{00000000-0005-0000-0000-0000CA480000}"/>
    <cellStyle name="差 3 20 5 6 2" xfId="17781" xr:uid="{00000000-0005-0000-0000-0000CB480000}"/>
    <cellStyle name="差 3 20 5 6 3" xfId="17784" xr:uid="{00000000-0005-0000-0000-0000CC480000}"/>
    <cellStyle name="差 3 20 5 7" xfId="26633" xr:uid="{00000000-0005-0000-0000-0000CD480000}"/>
    <cellStyle name="差 3 20 5 8" xfId="26634" xr:uid="{00000000-0005-0000-0000-0000CE480000}"/>
    <cellStyle name="差 3 20 5 9" xfId="26635" xr:uid="{00000000-0005-0000-0000-0000CF480000}"/>
    <cellStyle name="差 3 20 6" xfId="26636" xr:uid="{00000000-0005-0000-0000-0000D0480000}"/>
    <cellStyle name="差 3 20 6 2" xfId="5549" xr:uid="{00000000-0005-0000-0000-0000D1480000}"/>
    <cellStyle name="差 3 20 6 2 2" xfId="26639" xr:uid="{00000000-0005-0000-0000-0000D2480000}"/>
    <cellStyle name="差 3 20 6 2 3" xfId="26640" xr:uid="{00000000-0005-0000-0000-0000D3480000}"/>
    <cellStyle name="差 3 20 6 3" xfId="5555" xr:uid="{00000000-0005-0000-0000-0000D4480000}"/>
    <cellStyle name="差 3 20 6 4" xfId="26641" xr:uid="{00000000-0005-0000-0000-0000D5480000}"/>
    <cellStyle name="差 3 20 6 5" xfId="26642" xr:uid="{00000000-0005-0000-0000-0000D6480000}"/>
    <cellStyle name="差 3 20 6 6" xfId="26643" xr:uid="{00000000-0005-0000-0000-0000D7480000}"/>
    <cellStyle name="差 3 20 6 7" xfId="26644" xr:uid="{00000000-0005-0000-0000-0000D8480000}"/>
    <cellStyle name="差 3 20 6 8" xfId="26645" xr:uid="{00000000-0005-0000-0000-0000D9480000}"/>
    <cellStyle name="差 3 20 7" xfId="26646" xr:uid="{00000000-0005-0000-0000-0000DA480000}"/>
    <cellStyle name="差 3 20 8" xfId="26649" xr:uid="{00000000-0005-0000-0000-0000DB480000}"/>
    <cellStyle name="差 3 20 9" xfId="26651" xr:uid="{00000000-0005-0000-0000-0000DC480000}"/>
    <cellStyle name="差 3 20 9 2" xfId="26653" xr:uid="{00000000-0005-0000-0000-0000DD480000}"/>
    <cellStyle name="差 3 20 9 3" xfId="1999" xr:uid="{00000000-0005-0000-0000-0000DE480000}"/>
    <cellStyle name="差 3 3" xfId="26655" xr:uid="{00000000-0005-0000-0000-0000DF480000}"/>
    <cellStyle name="差 3 3 10" xfId="15933" xr:uid="{00000000-0005-0000-0000-0000E0480000}"/>
    <cellStyle name="差 3 3 11" xfId="15938" xr:uid="{00000000-0005-0000-0000-0000E1480000}"/>
    <cellStyle name="差 3 3 12" xfId="13870" xr:uid="{00000000-0005-0000-0000-0000E2480000}"/>
    <cellStyle name="差 3 3 13" xfId="13881" xr:uid="{00000000-0005-0000-0000-0000E3480000}"/>
    <cellStyle name="差 3 3 14" xfId="13888" xr:uid="{00000000-0005-0000-0000-0000E4480000}"/>
    <cellStyle name="差 3 3 2" xfId="26656" xr:uid="{00000000-0005-0000-0000-0000E5480000}"/>
    <cellStyle name="差 3 3 3" xfId="26657" xr:uid="{00000000-0005-0000-0000-0000E6480000}"/>
    <cellStyle name="差 3 3 4" xfId="26658" xr:uid="{00000000-0005-0000-0000-0000E7480000}"/>
    <cellStyle name="差 3 3 5" xfId="26659" xr:uid="{00000000-0005-0000-0000-0000E8480000}"/>
    <cellStyle name="差 3 3 6" xfId="26660" xr:uid="{00000000-0005-0000-0000-0000E9480000}"/>
    <cellStyle name="差 3 3 7" xfId="26661" xr:uid="{00000000-0005-0000-0000-0000EA480000}"/>
    <cellStyle name="差 3 3 8" xfId="26662" xr:uid="{00000000-0005-0000-0000-0000EB480000}"/>
    <cellStyle name="差 3 3 9" xfId="26664" xr:uid="{00000000-0005-0000-0000-0000EC480000}"/>
    <cellStyle name="差 3 4" xfId="26666" xr:uid="{00000000-0005-0000-0000-0000ED480000}"/>
    <cellStyle name="差 3 4 10" xfId="13608" xr:uid="{00000000-0005-0000-0000-0000EE480000}"/>
    <cellStyle name="差 3 4 11" xfId="13610" xr:uid="{00000000-0005-0000-0000-0000EF480000}"/>
    <cellStyle name="差 3 4 12" xfId="26667" xr:uid="{00000000-0005-0000-0000-0000F0480000}"/>
    <cellStyle name="差 3 4 13" xfId="26668" xr:uid="{00000000-0005-0000-0000-0000F1480000}"/>
    <cellStyle name="差 3 4 14" xfId="26669" xr:uid="{00000000-0005-0000-0000-0000F2480000}"/>
    <cellStyle name="差 3 4 2" xfId="26670" xr:uid="{00000000-0005-0000-0000-0000F3480000}"/>
    <cellStyle name="差 3 4 3" xfId="3993" xr:uid="{00000000-0005-0000-0000-0000F4480000}"/>
    <cellStyle name="差 3 4 4" xfId="4002" xr:uid="{00000000-0005-0000-0000-0000F5480000}"/>
    <cellStyle name="差 3 4 5" xfId="2070" xr:uid="{00000000-0005-0000-0000-0000F6480000}"/>
    <cellStyle name="差 3 4 6" xfId="3111" xr:uid="{00000000-0005-0000-0000-0000F7480000}"/>
    <cellStyle name="差 3 4 7" xfId="4013" xr:uid="{00000000-0005-0000-0000-0000F8480000}"/>
    <cellStyle name="差 3 4 8" xfId="26671" xr:uid="{00000000-0005-0000-0000-0000F9480000}"/>
    <cellStyle name="差 3 4 9" xfId="26672" xr:uid="{00000000-0005-0000-0000-0000FA480000}"/>
    <cellStyle name="差 3 5" xfId="26674" xr:uid="{00000000-0005-0000-0000-0000FB480000}"/>
    <cellStyle name="差 3 6" xfId="26676" xr:uid="{00000000-0005-0000-0000-0000FC480000}"/>
    <cellStyle name="差 3 7" xfId="26678" xr:uid="{00000000-0005-0000-0000-0000FD480000}"/>
    <cellStyle name="差 3 8" xfId="26680" xr:uid="{00000000-0005-0000-0000-0000FE480000}"/>
    <cellStyle name="差 3 9" xfId="26683" xr:uid="{00000000-0005-0000-0000-0000FF480000}"/>
    <cellStyle name="差 4" xfId="26684" xr:uid="{00000000-0005-0000-0000-000000490000}"/>
    <cellStyle name="差 4 10" xfId="26685" xr:uid="{00000000-0005-0000-0000-000001490000}"/>
    <cellStyle name="差 4 11" xfId="26686" xr:uid="{00000000-0005-0000-0000-000002490000}"/>
    <cellStyle name="差 4 12" xfId="26687" xr:uid="{00000000-0005-0000-0000-000003490000}"/>
    <cellStyle name="差 4 13" xfId="26688" xr:uid="{00000000-0005-0000-0000-000004490000}"/>
    <cellStyle name="差 4 14" xfId="26689" xr:uid="{00000000-0005-0000-0000-000005490000}"/>
    <cellStyle name="差 4 15" xfId="26690" xr:uid="{00000000-0005-0000-0000-000006490000}"/>
    <cellStyle name="差 4 16" xfId="26692" xr:uid="{00000000-0005-0000-0000-000007490000}"/>
    <cellStyle name="差 4 17" xfId="26693" xr:uid="{00000000-0005-0000-0000-000008490000}"/>
    <cellStyle name="差 4 17 10" xfId="26694" xr:uid="{00000000-0005-0000-0000-000009490000}"/>
    <cellStyle name="差 4 17 11" xfId="26695" xr:uid="{00000000-0005-0000-0000-00000A490000}"/>
    <cellStyle name="差 4 17 12" xfId="26696" xr:uid="{00000000-0005-0000-0000-00000B490000}"/>
    <cellStyle name="差 4 17 13" xfId="26697" xr:uid="{00000000-0005-0000-0000-00000C490000}"/>
    <cellStyle name="差 4 17 14" xfId="26698" xr:uid="{00000000-0005-0000-0000-00000D490000}"/>
    <cellStyle name="差 4 17 2" xfId="26700" xr:uid="{00000000-0005-0000-0000-00000E490000}"/>
    <cellStyle name="差 4 17 3" xfId="26702" xr:uid="{00000000-0005-0000-0000-00000F490000}"/>
    <cellStyle name="差 4 17 4" xfId="26704" xr:uid="{00000000-0005-0000-0000-000010490000}"/>
    <cellStyle name="差 4 17 5" xfId="26706" xr:uid="{00000000-0005-0000-0000-000011490000}"/>
    <cellStyle name="差 4 17 5 10" xfId="26708" xr:uid="{00000000-0005-0000-0000-000012490000}"/>
    <cellStyle name="差 4 17 5 11" xfId="26709" xr:uid="{00000000-0005-0000-0000-000013490000}"/>
    <cellStyle name="差 4 17 5 2" xfId="8396" xr:uid="{00000000-0005-0000-0000-000014490000}"/>
    <cellStyle name="差 4 17 5 2 2" xfId="26710" xr:uid="{00000000-0005-0000-0000-000015490000}"/>
    <cellStyle name="差 4 17 5 2 2 2" xfId="12754" xr:uid="{00000000-0005-0000-0000-000016490000}"/>
    <cellStyle name="差 4 17 5 2 2 3" xfId="12761" xr:uid="{00000000-0005-0000-0000-000017490000}"/>
    <cellStyle name="差 4 17 5 2 3" xfId="26712" xr:uid="{00000000-0005-0000-0000-000018490000}"/>
    <cellStyle name="差 4 17 5 2 4" xfId="26714" xr:uid="{00000000-0005-0000-0000-000019490000}"/>
    <cellStyle name="差 4 17 5 2 5" xfId="26716" xr:uid="{00000000-0005-0000-0000-00001A490000}"/>
    <cellStyle name="差 4 17 5 2 6" xfId="26718" xr:uid="{00000000-0005-0000-0000-00001B490000}"/>
    <cellStyle name="差 4 17 5 2 7" xfId="22334" xr:uid="{00000000-0005-0000-0000-00001C490000}"/>
    <cellStyle name="差 4 17 5 2 8" xfId="22337" xr:uid="{00000000-0005-0000-0000-00001D490000}"/>
    <cellStyle name="差 4 17 5 3" xfId="8401" xr:uid="{00000000-0005-0000-0000-00001E490000}"/>
    <cellStyle name="差 4 17 5 4" xfId="5147" xr:uid="{00000000-0005-0000-0000-00001F490000}"/>
    <cellStyle name="差 4 17 5 5" xfId="5151" xr:uid="{00000000-0005-0000-0000-000020490000}"/>
    <cellStyle name="差 4 17 5 6" xfId="26720" xr:uid="{00000000-0005-0000-0000-000021490000}"/>
    <cellStyle name="差 4 17 5 6 2" xfId="26721" xr:uid="{00000000-0005-0000-0000-000022490000}"/>
    <cellStyle name="差 4 17 5 6 3" xfId="22319" xr:uid="{00000000-0005-0000-0000-000023490000}"/>
    <cellStyle name="差 4 17 5 7" xfId="26722" xr:uid="{00000000-0005-0000-0000-000024490000}"/>
    <cellStyle name="差 4 17 5 8" xfId="26723" xr:uid="{00000000-0005-0000-0000-000025490000}"/>
    <cellStyle name="差 4 17 5 9" xfId="26725" xr:uid="{00000000-0005-0000-0000-000026490000}"/>
    <cellStyle name="差 4 17 6" xfId="26727" xr:uid="{00000000-0005-0000-0000-000027490000}"/>
    <cellStyle name="差 4 17 6 2" xfId="26729" xr:uid="{00000000-0005-0000-0000-000028490000}"/>
    <cellStyle name="差 4 17 6 2 2" xfId="26732" xr:uid="{00000000-0005-0000-0000-000029490000}"/>
    <cellStyle name="差 4 17 6 2 3" xfId="12256" xr:uid="{00000000-0005-0000-0000-00002A490000}"/>
    <cellStyle name="差 4 17 6 3" xfId="3842" xr:uid="{00000000-0005-0000-0000-00002B490000}"/>
    <cellStyle name="差 4 17 6 4" xfId="3850" xr:uid="{00000000-0005-0000-0000-00002C490000}"/>
    <cellStyle name="差 4 17 6 5" xfId="26735" xr:uid="{00000000-0005-0000-0000-00002D490000}"/>
    <cellStyle name="差 4 17 6 6" xfId="26737" xr:uid="{00000000-0005-0000-0000-00002E490000}"/>
    <cellStyle name="差 4 17 6 7" xfId="26739" xr:uid="{00000000-0005-0000-0000-00002F490000}"/>
    <cellStyle name="差 4 17 6 8" xfId="26741" xr:uid="{00000000-0005-0000-0000-000030490000}"/>
    <cellStyle name="差 4 17 7" xfId="26743" xr:uid="{00000000-0005-0000-0000-000031490000}"/>
    <cellStyle name="差 4 17 8" xfId="16479" xr:uid="{00000000-0005-0000-0000-000032490000}"/>
    <cellStyle name="差 4 17 9" xfId="16485" xr:uid="{00000000-0005-0000-0000-000033490000}"/>
    <cellStyle name="差 4 17 9 2" xfId="26745" xr:uid="{00000000-0005-0000-0000-000034490000}"/>
    <cellStyle name="差 4 17 9 3" xfId="26747" xr:uid="{00000000-0005-0000-0000-000035490000}"/>
    <cellStyle name="差 4 18" xfId="26748" xr:uid="{00000000-0005-0000-0000-000036490000}"/>
    <cellStyle name="差 4 18 10" xfId="16451" xr:uid="{00000000-0005-0000-0000-000037490000}"/>
    <cellStyle name="差 4 18 11" xfId="3957" xr:uid="{00000000-0005-0000-0000-000038490000}"/>
    <cellStyle name="差 4 18 12" xfId="3982" xr:uid="{00000000-0005-0000-0000-000039490000}"/>
    <cellStyle name="差 4 18 13" xfId="4914" xr:uid="{00000000-0005-0000-0000-00003A490000}"/>
    <cellStyle name="差 4 18 14" xfId="5216" xr:uid="{00000000-0005-0000-0000-00003B490000}"/>
    <cellStyle name="差 4 18 2" xfId="3829" xr:uid="{00000000-0005-0000-0000-00003C490000}"/>
    <cellStyle name="差 4 18 3" xfId="2691" xr:uid="{00000000-0005-0000-0000-00003D490000}"/>
    <cellStyle name="差 4 18 4" xfId="1119" xr:uid="{00000000-0005-0000-0000-00003E490000}"/>
    <cellStyle name="差 4 18 5" xfId="1141" xr:uid="{00000000-0005-0000-0000-00003F490000}"/>
    <cellStyle name="差 4 18 5 10" xfId="26749" xr:uid="{00000000-0005-0000-0000-000040490000}"/>
    <cellStyle name="差 4 18 5 11" xfId="26750" xr:uid="{00000000-0005-0000-0000-000041490000}"/>
    <cellStyle name="差 4 18 5 2" xfId="2727" xr:uid="{00000000-0005-0000-0000-000042490000}"/>
    <cellStyle name="差 4 18 5 2 2" xfId="25470" xr:uid="{00000000-0005-0000-0000-000043490000}"/>
    <cellStyle name="差 4 18 5 2 2 2" xfId="26751" xr:uid="{00000000-0005-0000-0000-000044490000}"/>
    <cellStyle name="差 4 18 5 2 2 3" xfId="22851" xr:uid="{00000000-0005-0000-0000-000045490000}"/>
    <cellStyle name="差 4 18 5 2 3" xfId="25472" xr:uid="{00000000-0005-0000-0000-000046490000}"/>
    <cellStyle name="差 4 18 5 2 4" xfId="25474" xr:uid="{00000000-0005-0000-0000-000047490000}"/>
    <cellStyle name="差 4 18 5 2 5" xfId="458" xr:uid="{00000000-0005-0000-0000-000048490000}"/>
    <cellStyle name="差 4 18 5 2 6" xfId="545" xr:uid="{00000000-0005-0000-0000-000049490000}"/>
    <cellStyle name="差 4 18 5 2 7" xfId="583" xr:uid="{00000000-0005-0000-0000-00004A490000}"/>
    <cellStyle name="差 4 18 5 2 8" xfId="594" xr:uid="{00000000-0005-0000-0000-00004B490000}"/>
    <cellStyle name="差 4 18 5 3" xfId="2746" xr:uid="{00000000-0005-0000-0000-00004C490000}"/>
    <cellStyle name="差 4 18 5 4" xfId="2755" xr:uid="{00000000-0005-0000-0000-00004D490000}"/>
    <cellStyle name="差 4 18 5 5" xfId="7199" xr:uid="{00000000-0005-0000-0000-00004E490000}"/>
    <cellStyle name="差 4 18 5 6" xfId="18347" xr:uid="{00000000-0005-0000-0000-00004F490000}"/>
    <cellStyle name="差 4 18 5 6 2" xfId="26752" xr:uid="{00000000-0005-0000-0000-000050490000}"/>
    <cellStyle name="差 4 18 5 6 3" xfId="26753" xr:uid="{00000000-0005-0000-0000-000051490000}"/>
    <cellStyle name="差 4 18 5 7" xfId="18351" xr:uid="{00000000-0005-0000-0000-000052490000}"/>
    <cellStyle name="差 4 18 5 8" xfId="24834" xr:uid="{00000000-0005-0000-0000-000053490000}"/>
    <cellStyle name="差 4 18 5 9" xfId="24836" xr:uid="{00000000-0005-0000-0000-000054490000}"/>
    <cellStyle name="差 4 18 6" xfId="2707" xr:uid="{00000000-0005-0000-0000-000055490000}"/>
    <cellStyle name="差 4 18 6 2" xfId="26754" xr:uid="{00000000-0005-0000-0000-000056490000}"/>
    <cellStyle name="差 4 18 6 2 2" xfId="2916" xr:uid="{00000000-0005-0000-0000-000057490000}"/>
    <cellStyle name="差 4 18 6 2 3" xfId="2943" xr:uid="{00000000-0005-0000-0000-000058490000}"/>
    <cellStyle name="差 4 18 6 3" xfId="24584" xr:uid="{00000000-0005-0000-0000-000059490000}"/>
    <cellStyle name="差 4 18 6 4" xfId="26755" xr:uid="{00000000-0005-0000-0000-00005A490000}"/>
    <cellStyle name="差 4 18 6 5" xfId="26756" xr:uid="{00000000-0005-0000-0000-00005B490000}"/>
    <cellStyle name="差 4 18 6 6" xfId="26757" xr:uid="{00000000-0005-0000-0000-00005C490000}"/>
    <cellStyle name="差 4 18 6 7" xfId="26758" xr:uid="{00000000-0005-0000-0000-00005D490000}"/>
    <cellStyle name="差 4 18 6 8" xfId="26759" xr:uid="{00000000-0005-0000-0000-00005E490000}"/>
    <cellStyle name="差 4 18 7" xfId="26760" xr:uid="{00000000-0005-0000-0000-00005F490000}"/>
    <cellStyle name="差 4 18 8" xfId="26761" xr:uid="{00000000-0005-0000-0000-000060490000}"/>
    <cellStyle name="差 4 18 9" xfId="26762" xr:uid="{00000000-0005-0000-0000-000061490000}"/>
    <cellStyle name="差 4 18 9 2" xfId="26763" xr:uid="{00000000-0005-0000-0000-000062490000}"/>
    <cellStyle name="差 4 18 9 3" xfId="26764" xr:uid="{00000000-0005-0000-0000-000063490000}"/>
    <cellStyle name="差 4 19" xfId="26765" xr:uid="{00000000-0005-0000-0000-000064490000}"/>
    <cellStyle name="差 4 19 10" xfId="15735" xr:uid="{00000000-0005-0000-0000-000065490000}"/>
    <cellStyle name="差 4 19 11" xfId="15738" xr:uid="{00000000-0005-0000-0000-000066490000}"/>
    <cellStyle name="差 4 19 12" xfId="10479" xr:uid="{00000000-0005-0000-0000-000067490000}"/>
    <cellStyle name="差 4 19 13" xfId="10483" xr:uid="{00000000-0005-0000-0000-000068490000}"/>
    <cellStyle name="差 4 19 14" xfId="14020" xr:uid="{00000000-0005-0000-0000-000069490000}"/>
    <cellStyle name="差 4 19 2" xfId="26768" xr:uid="{00000000-0005-0000-0000-00006A490000}"/>
    <cellStyle name="差 4 19 3" xfId="26771" xr:uid="{00000000-0005-0000-0000-00006B490000}"/>
    <cellStyle name="差 4 19 4" xfId="26774" xr:uid="{00000000-0005-0000-0000-00006C490000}"/>
    <cellStyle name="差 4 19 5" xfId="26776" xr:uid="{00000000-0005-0000-0000-00006D490000}"/>
    <cellStyle name="差 4 19 5 10" xfId="12226" xr:uid="{00000000-0005-0000-0000-00006E490000}"/>
    <cellStyle name="差 4 19 5 11" xfId="24817" xr:uid="{00000000-0005-0000-0000-00006F490000}"/>
    <cellStyle name="差 4 19 5 2" xfId="13309" xr:uid="{00000000-0005-0000-0000-000070490000}"/>
    <cellStyle name="差 4 19 5 2 2" xfId="26779" xr:uid="{00000000-0005-0000-0000-000071490000}"/>
    <cellStyle name="差 4 19 5 2 2 2" xfId="26781" xr:uid="{00000000-0005-0000-0000-000072490000}"/>
    <cellStyle name="差 4 19 5 2 2 3" xfId="19917" xr:uid="{00000000-0005-0000-0000-000073490000}"/>
    <cellStyle name="差 4 19 5 2 3" xfId="26786" xr:uid="{00000000-0005-0000-0000-000074490000}"/>
    <cellStyle name="差 4 19 5 2 4" xfId="26788" xr:uid="{00000000-0005-0000-0000-000075490000}"/>
    <cellStyle name="差 4 19 5 2 5" xfId="26790" xr:uid="{00000000-0005-0000-0000-000076490000}"/>
    <cellStyle name="差 4 19 5 2 6" xfId="26792" xr:uid="{00000000-0005-0000-0000-000077490000}"/>
    <cellStyle name="差 4 19 5 2 7" xfId="26794" xr:uid="{00000000-0005-0000-0000-000078490000}"/>
    <cellStyle name="差 4 19 5 2 8" xfId="26796" xr:uid="{00000000-0005-0000-0000-000079490000}"/>
    <cellStyle name="差 4 19 5 3" xfId="13316" xr:uid="{00000000-0005-0000-0000-00007A490000}"/>
    <cellStyle name="差 4 19 5 4" xfId="16722" xr:uid="{00000000-0005-0000-0000-00007B490000}"/>
    <cellStyle name="差 4 19 5 5" xfId="16727" xr:uid="{00000000-0005-0000-0000-00007C490000}"/>
    <cellStyle name="差 4 19 5 6" xfId="16730" xr:uid="{00000000-0005-0000-0000-00007D490000}"/>
    <cellStyle name="差 4 19 5 6 2" xfId="26638" xr:uid="{00000000-0005-0000-0000-00007E490000}"/>
    <cellStyle name="差 4 19 5 6 3" xfId="26648" xr:uid="{00000000-0005-0000-0000-00007F490000}"/>
    <cellStyle name="差 4 19 5 7" xfId="26798" xr:uid="{00000000-0005-0000-0000-000080490000}"/>
    <cellStyle name="差 4 19 5 8" xfId="26801" xr:uid="{00000000-0005-0000-0000-000081490000}"/>
    <cellStyle name="差 4 19 5 9" xfId="26802" xr:uid="{00000000-0005-0000-0000-000082490000}"/>
    <cellStyle name="差 4 19 6" xfId="26804" xr:uid="{00000000-0005-0000-0000-000083490000}"/>
    <cellStyle name="差 4 19 6 2" xfId="26806" xr:uid="{00000000-0005-0000-0000-000084490000}"/>
    <cellStyle name="差 4 19 6 2 2" xfId="26809" xr:uid="{00000000-0005-0000-0000-000085490000}"/>
    <cellStyle name="差 4 19 6 2 3" xfId="26811" xr:uid="{00000000-0005-0000-0000-000086490000}"/>
    <cellStyle name="差 4 19 6 3" xfId="26813" xr:uid="{00000000-0005-0000-0000-000087490000}"/>
    <cellStyle name="差 4 19 6 4" xfId="26815" xr:uid="{00000000-0005-0000-0000-000088490000}"/>
    <cellStyle name="差 4 19 6 5" xfId="26817" xr:uid="{00000000-0005-0000-0000-000089490000}"/>
    <cellStyle name="差 4 19 6 6" xfId="26819" xr:uid="{00000000-0005-0000-0000-00008A490000}"/>
    <cellStyle name="差 4 19 6 7" xfId="26821" xr:uid="{00000000-0005-0000-0000-00008B490000}"/>
    <cellStyle name="差 4 19 6 8" xfId="26822" xr:uid="{00000000-0005-0000-0000-00008C490000}"/>
    <cellStyle name="差 4 19 7" xfId="26824" xr:uid="{00000000-0005-0000-0000-00008D490000}"/>
    <cellStyle name="差 4 19 8" xfId="26826" xr:uid="{00000000-0005-0000-0000-00008E490000}"/>
    <cellStyle name="差 4 19 9" xfId="26828" xr:uid="{00000000-0005-0000-0000-00008F490000}"/>
    <cellStyle name="差 4 19 9 2" xfId="11907" xr:uid="{00000000-0005-0000-0000-000090490000}"/>
    <cellStyle name="差 4 19 9 3" xfId="26829" xr:uid="{00000000-0005-0000-0000-000091490000}"/>
    <cellStyle name="差 4 2" xfId="26830" xr:uid="{00000000-0005-0000-0000-000092490000}"/>
    <cellStyle name="差 4 20" xfId="26691" xr:uid="{00000000-0005-0000-0000-000093490000}"/>
    <cellStyle name="差 4 20 10" xfId="4006" xr:uid="{00000000-0005-0000-0000-000094490000}"/>
    <cellStyle name="差 4 20 11" xfId="2074" xr:uid="{00000000-0005-0000-0000-000095490000}"/>
    <cellStyle name="差 4 20 12" xfId="3115" xr:uid="{00000000-0005-0000-0000-000096490000}"/>
    <cellStyle name="差 4 20 13" xfId="17402" xr:uid="{00000000-0005-0000-0000-000097490000}"/>
    <cellStyle name="差 4 20 14" xfId="20197" xr:uid="{00000000-0005-0000-0000-000098490000}"/>
    <cellStyle name="差 4 20 2" xfId="26831" xr:uid="{00000000-0005-0000-0000-000099490000}"/>
    <cellStyle name="差 4 20 3" xfId="26832" xr:uid="{00000000-0005-0000-0000-00009A490000}"/>
    <cellStyle name="差 4 20 4" xfId="26833" xr:uid="{00000000-0005-0000-0000-00009B490000}"/>
    <cellStyle name="差 4 20 5" xfId="14202" xr:uid="{00000000-0005-0000-0000-00009C490000}"/>
    <cellStyle name="差 4 20 5 10" xfId="26834" xr:uid="{00000000-0005-0000-0000-00009D490000}"/>
    <cellStyle name="差 4 20 5 11" xfId="26836" xr:uid="{00000000-0005-0000-0000-00009E490000}"/>
    <cellStyle name="差 4 20 5 2" xfId="17424" xr:uid="{00000000-0005-0000-0000-00009F490000}"/>
    <cellStyle name="差 4 20 5 2 2" xfId="26838" xr:uid="{00000000-0005-0000-0000-0000A0490000}"/>
    <cellStyle name="差 4 20 5 2 2 2" xfId="1596" xr:uid="{00000000-0005-0000-0000-0000A1490000}"/>
    <cellStyle name="差 4 20 5 2 2 3" xfId="1611" xr:uid="{00000000-0005-0000-0000-0000A2490000}"/>
    <cellStyle name="差 4 20 5 2 3" xfId="26839" xr:uid="{00000000-0005-0000-0000-0000A3490000}"/>
    <cellStyle name="差 4 20 5 2 4" xfId="26840" xr:uid="{00000000-0005-0000-0000-0000A4490000}"/>
    <cellStyle name="差 4 20 5 2 5" xfId="26841" xr:uid="{00000000-0005-0000-0000-0000A5490000}"/>
    <cellStyle name="差 4 20 5 2 6" xfId="26842" xr:uid="{00000000-0005-0000-0000-0000A6490000}"/>
    <cellStyle name="差 4 20 5 2 7" xfId="26844" xr:uid="{00000000-0005-0000-0000-0000A7490000}"/>
    <cellStyle name="差 4 20 5 2 8" xfId="464" xr:uid="{00000000-0005-0000-0000-0000A8490000}"/>
    <cellStyle name="差 4 20 5 3" xfId="17426" xr:uid="{00000000-0005-0000-0000-0000A9490000}"/>
    <cellStyle name="差 4 20 5 4" xfId="17428" xr:uid="{00000000-0005-0000-0000-0000AA490000}"/>
    <cellStyle name="差 4 20 5 5" xfId="26846" xr:uid="{00000000-0005-0000-0000-0000AB490000}"/>
    <cellStyle name="差 4 20 5 6" xfId="26847" xr:uid="{00000000-0005-0000-0000-0000AC490000}"/>
    <cellStyle name="差 4 20 5 6 2" xfId="26850" xr:uid="{00000000-0005-0000-0000-0000AD490000}"/>
    <cellStyle name="差 4 20 5 6 3" xfId="26852" xr:uid="{00000000-0005-0000-0000-0000AE490000}"/>
    <cellStyle name="差 4 20 5 7" xfId="26853" xr:uid="{00000000-0005-0000-0000-0000AF490000}"/>
    <cellStyle name="差 4 20 5 8" xfId="26856" xr:uid="{00000000-0005-0000-0000-0000B0490000}"/>
    <cellStyle name="差 4 20 5 9" xfId="26858" xr:uid="{00000000-0005-0000-0000-0000B1490000}"/>
    <cellStyle name="差 4 20 6" xfId="14205" xr:uid="{00000000-0005-0000-0000-0000B2490000}"/>
    <cellStyle name="差 4 20 6 2" xfId="2210" xr:uid="{00000000-0005-0000-0000-0000B3490000}"/>
    <cellStyle name="差 4 20 6 2 2" xfId="26859" xr:uid="{00000000-0005-0000-0000-0000B4490000}"/>
    <cellStyle name="差 4 20 6 2 3" xfId="26861" xr:uid="{00000000-0005-0000-0000-0000B5490000}"/>
    <cellStyle name="差 4 20 6 3" xfId="209" xr:uid="{00000000-0005-0000-0000-0000B6490000}"/>
    <cellStyle name="差 4 20 6 4" xfId="26864" xr:uid="{00000000-0005-0000-0000-0000B7490000}"/>
    <cellStyle name="差 4 20 6 5" xfId="1451" xr:uid="{00000000-0005-0000-0000-0000B8490000}"/>
    <cellStyle name="差 4 20 6 6" xfId="22781" xr:uid="{00000000-0005-0000-0000-0000B9490000}"/>
    <cellStyle name="差 4 20 6 7" xfId="26867" xr:uid="{00000000-0005-0000-0000-0000BA490000}"/>
    <cellStyle name="差 4 20 6 8" xfId="26869" xr:uid="{00000000-0005-0000-0000-0000BB490000}"/>
    <cellStyle name="差 4 20 7" xfId="26871" xr:uid="{00000000-0005-0000-0000-0000BC490000}"/>
    <cellStyle name="差 4 20 8" xfId="26873" xr:uid="{00000000-0005-0000-0000-0000BD490000}"/>
    <cellStyle name="差 4 20 9" xfId="26875" xr:uid="{00000000-0005-0000-0000-0000BE490000}"/>
    <cellStyle name="差 4 20 9 2" xfId="26877" xr:uid="{00000000-0005-0000-0000-0000BF490000}"/>
    <cellStyle name="差 4 20 9 3" xfId="26879" xr:uid="{00000000-0005-0000-0000-0000C0490000}"/>
    <cellStyle name="差 4 3" xfId="26881" xr:uid="{00000000-0005-0000-0000-0000C1490000}"/>
    <cellStyle name="差 4 4" xfId="26882" xr:uid="{00000000-0005-0000-0000-0000C2490000}"/>
    <cellStyle name="差 4 5" xfId="26883" xr:uid="{00000000-0005-0000-0000-0000C3490000}"/>
    <cellStyle name="差 4 6" xfId="26884" xr:uid="{00000000-0005-0000-0000-0000C4490000}"/>
    <cellStyle name="差 4 7" xfId="26885" xr:uid="{00000000-0005-0000-0000-0000C5490000}"/>
    <cellStyle name="差 4 8" xfId="26886" xr:uid="{00000000-0005-0000-0000-0000C6490000}"/>
    <cellStyle name="差 4 9" xfId="26887" xr:uid="{00000000-0005-0000-0000-0000C7490000}"/>
    <cellStyle name="差 5" xfId="12476" xr:uid="{00000000-0005-0000-0000-0000C8490000}"/>
    <cellStyle name="差 5 10" xfId="26889" xr:uid="{00000000-0005-0000-0000-0000C9490000}"/>
    <cellStyle name="差 5 11" xfId="26891" xr:uid="{00000000-0005-0000-0000-0000CA490000}"/>
    <cellStyle name="差 5 12" xfId="26893" xr:uid="{00000000-0005-0000-0000-0000CB490000}"/>
    <cellStyle name="差 5 13" xfId="6820" xr:uid="{00000000-0005-0000-0000-0000CC490000}"/>
    <cellStyle name="差 5 14" xfId="6829" xr:uid="{00000000-0005-0000-0000-0000CD490000}"/>
    <cellStyle name="差 5 2" xfId="26894" xr:uid="{00000000-0005-0000-0000-0000CE490000}"/>
    <cellStyle name="差 5 3" xfId="26896" xr:uid="{00000000-0005-0000-0000-0000CF490000}"/>
    <cellStyle name="差 5 4" xfId="26898" xr:uid="{00000000-0005-0000-0000-0000D0490000}"/>
    <cellStyle name="差 5 5" xfId="26900" xr:uid="{00000000-0005-0000-0000-0000D1490000}"/>
    <cellStyle name="差 5 6" xfId="26902" xr:uid="{00000000-0005-0000-0000-0000D2490000}"/>
    <cellStyle name="差 5 7" xfId="298" xr:uid="{00000000-0005-0000-0000-0000D3490000}"/>
    <cellStyle name="差 5 8" xfId="5055" xr:uid="{00000000-0005-0000-0000-0000D4490000}"/>
    <cellStyle name="差 5 9" xfId="26904" xr:uid="{00000000-0005-0000-0000-0000D5490000}"/>
    <cellStyle name="差 6" xfId="12481" xr:uid="{00000000-0005-0000-0000-0000D6490000}"/>
    <cellStyle name="差 6 10" xfId="26905" xr:uid="{00000000-0005-0000-0000-0000D7490000}"/>
    <cellStyle name="差 6 11" xfId="26906" xr:uid="{00000000-0005-0000-0000-0000D8490000}"/>
    <cellStyle name="差 6 12" xfId="23040" xr:uid="{00000000-0005-0000-0000-0000D9490000}"/>
    <cellStyle name="差 6 13" xfId="23044" xr:uid="{00000000-0005-0000-0000-0000DA490000}"/>
    <cellStyle name="差 6 14" xfId="22344" xr:uid="{00000000-0005-0000-0000-0000DB490000}"/>
    <cellStyle name="差 6 2" xfId="26907" xr:uid="{00000000-0005-0000-0000-0000DC490000}"/>
    <cellStyle name="差 6 3" xfId="26908" xr:uid="{00000000-0005-0000-0000-0000DD490000}"/>
    <cellStyle name="差 6 4" xfId="26909" xr:uid="{00000000-0005-0000-0000-0000DE490000}"/>
    <cellStyle name="差 6 5" xfId="26911" xr:uid="{00000000-0005-0000-0000-0000DF490000}"/>
    <cellStyle name="差 6 6" xfId="26913" xr:uid="{00000000-0005-0000-0000-0000E0490000}"/>
    <cellStyle name="差 6 7" xfId="26914" xr:uid="{00000000-0005-0000-0000-0000E1490000}"/>
    <cellStyle name="差 6 8" xfId="26915" xr:uid="{00000000-0005-0000-0000-0000E2490000}"/>
    <cellStyle name="差 6 9" xfId="26916" xr:uid="{00000000-0005-0000-0000-0000E3490000}"/>
    <cellStyle name="差 7" xfId="26917" xr:uid="{00000000-0005-0000-0000-0000E4490000}"/>
    <cellStyle name="差 8" xfId="12491" xr:uid="{00000000-0005-0000-0000-0000E5490000}"/>
    <cellStyle name="差 9" xfId="23738" xr:uid="{00000000-0005-0000-0000-0000E6490000}"/>
    <cellStyle name="常规 10" xfId="26919" xr:uid="{00000000-0005-0000-0000-0000E7490000}"/>
    <cellStyle name="常规 10 2" xfId="17594" xr:uid="{00000000-0005-0000-0000-0000E8490000}"/>
    <cellStyle name="常规 10 3" xfId="26920" xr:uid="{00000000-0005-0000-0000-0000E9490000}"/>
    <cellStyle name="常规 11" xfId="26921" xr:uid="{00000000-0005-0000-0000-0000EA490000}"/>
    <cellStyle name="常规 12" xfId="26923" xr:uid="{00000000-0005-0000-0000-0000EB490000}"/>
    <cellStyle name="常规 13" xfId="26925" xr:uid="{00000000-0005-0000-0000-0000EC490000}"/>
    <cellStyle name="常规 14" xfId="26926" xr:uid="{00000000-0005-0000-0000-0000ED490000}"/>
    <cellStyle name="常规 15" xfId="26927" xr:uid="{00000000-0005-0000-0000-0000EE490000}"/>
    <cellStyle name="常规 16" xfId="26928" xr:uid="{00000000-0005-0000-0000-0000EF490000}"/>
    <cellStyle name="常规 17" xfId="26929" xr:uid="{00000000-0005-0000-0000-0000F0490000}"/>
    <cellStyle name="常规 18" xfId="26930" xr:uid="{00000000-0005-0000-0000-0000F1490000}"/>
    <cellStyle name="常规 2" xfId="26931" xr:uid="{00000000-0005-0000-0000-0000F2490000}"/>
    <cellStyle name="常规 2 10" xfId="38397" xr:uid="{B48B95AD-DE14-41FD-AD70-FC5500C9427F}"/>
    <cellStyle name="常规 2 2" xfId="26934" xr:uid="{00000000-0005-0000-0000-0000F3490000}"/>
    <cellStyle name="常规 2 3" xfId="26937" xr:uid="{00000000-0005-0000-0000-0000F4490000}"/>
    <cellStyle name="常规 2 4" xfId="26939" xr:uid="{00000000-0005-0000-0000-0000F5490000}"/>
    <cellStyle name="常规 2 5" xfId="26941" xr:uid="{00000000-0005-0000-0000-0000F6490000}"/>
    <cellStyle name="常规 2 6" xfId="26942" xr:uid="{00000000-0005-0000-0000-0000F7490000}"/>
    <cellStyle name="常规 2 7" xfId="26943" xr:uid="{00000000-0005-0000-0000-0000F8490000}"/>
    <cellStyle name="常规 2 8" xfId="26944" xr:uid="{00000000-0005-0000-0000-0000F9490000}"/>
    <cellStyle name="常规 2 9" xfId="26945" xr:uid="{00000000-0005-0000-0000-0000FA490000}"/>
    <cellStyle name="常规 3" xfId="26946" xr:uid="{00000000-0005-0000-0000-0000FB490000}"/>
    <cellStyle name="常规 3 10" xfId="26947" xr:uid="{00000000-0005-0000-0000-0000FC490000}"/>
    <cellStyle name="常规 3 10 2" xfId="38759" xr:uid="{00000000-0005-0000-0000-000032000000}"/>
    <cellStyle name="常规 3 11" xfId="26948" xr:uid="{00000000-0005-0000-0000-0000FD490000}"/>
    <cellStyle name="常规 3 12" xfId="26949" xr:uid="{00000000-0005-0000-0000-0000FE490000}"/>
    <cellStyle name="常规 3 13" xfId="26950" xr:uid="{00000000-0005-0000-0000-0000FF490000}"/>
    <cellStyle name="常规 3 14" xfId="26951" xr:uid="{00000000-0005-0000-0000-0000004A0000}"/>
    <cellStyle name="常规 3 15" xfId="26953" xr:uid="{00000000-0005-0000-0000-0000014A0000}"/>
    <cellStyle name="常规 3 16" xfId="26957" xr:uid="{00000000-0005-0000-0000-0000024A0000}"/>
    <cellStyle name="常规 3 17" xfId="26959" xr:uid="{00000000-0005-0000-0000-0000034A0000}"/>
    <cellStyle name="常规 3 17 10" xfId="26961" xr:uid="{00000000-0005-0000-0000-0000044A0000}"/>
    <cellStyle name="常规 3 17 11" xfId="26962" xr:uid="{00000000-0005-0000-0000-0000054A0000}"/>
    <cellStyle name="常规 3 17 12" xfId="26766" xr:uid="{00000000-0005-0000-0000-0000064A0000}"/>
    <cellStyle name="常规 3 17 13" xfId="26769" xr:uid="{00000000-0005-0000-0000-0000074A0000}"/>
    <cellStyle name="常规 3 17 14" xfId="26772" xr:uid="{00000000-0005-0000-0000-0000084A0000}"/>
    <cellStyle name="常规 3 17 2" xfId="26964" xr:uid="{00000000-0005-0000-0000-0000094A0000}"/>
    <cellStyle name="常规 3 17 3" xfId="26965" xr:uid="{00000000-0005-0000-0000-00000A4A0000}"/>
    <cellStyle name="常规 3 17 4" xfId="26967" xr:uid="{00000000-0005-0000-0000-00000B4A0000}"/>
    <cellStyle name="常规 3 17 5" xfId="26969" xr:uid="{00000000-0005-0000-0000-00000C4A0000}"/>
    <cellStyle name="常规 3 17 5 10" xfId="26970" xr:uid="{00000000-0005-0000-0000-00000D4A0000}"/>
    <cellStyle name="常规 3 17 5 11" xfId="26971" xr:uid="{00000000-0005-0000-0000-00000E4A0000}"/>
    <cellStyle name="常规 3 17 5 2" xfId="20770" xr:uid="{00000000-0005-0000-0000-00000F4A0000}"/>
    <cellStyle name="常规 3 17 5 2 2" xfId="26972" xr:uid="{00000000-0005-0000-0000-0000104A0000}"/>
    <cellStyle name="常规 3 17 5 2 2 2" xfId="26973" xr:uid="{00000000-0005-0000-0000-0000114A0000}"/>
    <cellStyle name="常规 3 17 5 2 2 3" xfId="26975" xr:uid="{00000000-0005-0000-0000-0000124A0000}"/>
    <cellStyle name="常规 3 17 5 2 3" xfId="26977" xr:uid="{00000000-0005-0000-0000-0000134A0000}"/>
    <cellStyle name="常规 3 17 5 2 4" xfId="26978" xr:uid="{00000000-0005-0000-0000-0000144A0000}"/>
    <cellStyle name="常规 3 17 5 2 5" xfId="22464" xr:uid="{00000000-0005-0000-0000-0000154A0000}"/>
    <cellStyle name="常规 3 17 5 2 6" xfId="13291" xr:uid="{00000000-0005-0000-0000-0000164A0000}"/>
    <cellStyle name="常规 3 17 5 2 7" xfId="350" xr:uid="{00000000-0005-0000-0000-0000174A0000}"/>
    <cellStyle name="常规 3 17 5 2 8" xfId="309" xr:uid="{00000000-0005-0000-0000-0000184A0000}"/>
    <cellStyle name="常规 3 17 5 3" xfId="20772" xr:uid="{00000000-0005-0000-0000-0000194A0000}"/>
    <cellStyle name="常规 3 17 5 4" xfId="20776" xr:uid="{00000000-0005-0000-0000-00001A4A0000}"/>
    <cellStyle name="常规 3 17 5 5" xfId="20778" xr:uid="{00000000-0005-0000-0000-00001B4A0000}"/>
    <cellStyle name="常规 3 17 5 6" xfId="26979" xr:uid="{00000000-0005-0000-0000-00001C4A0000}"/>
    <cellStyle name="常规 3 17 5 6 2" xfId="26981" xr:uid="{00000000-0005-0000-0000-00001D4A0000}"/>
    <cellStyle name="常规 3 17 5 6 3" xfId="26983" xr:uid="{00000000-0005-0000-0000-00001E4A0000}"/>
    <cellStyle name="常规 3 17 5 7" xfId="26985" xr:uid="{00000000-0005-0000-0000-00001F4A0000}"/>
    <cellStyle name="常规 3 17 5 8" xfId="26987" xr:uid="{00000000-0005-0000-0000-0000204A0000}"/>
    <cellStyle name="常规 3 17 5 9" xfId="25213" xr:uid="{00000000-0005-0000-0000-0000214A0000}"/>
    <cellStyle name="常规 3 17 6" xfId="26989" xr:uid="{00000000-0005-0000-0000-0000224A0000}"/>
    <cellStyle name="常规 3 17 6 2" xfId="26991" xr:uid="{00000000-0005-0000-0000-0000234A0000}"/>
    <cellStyle name="常规 3 17 6 2 2" xfId="18509" xr:uid="{00000000-0005-0000-0000-0000244A0000}"/>
    <cellStyle name="常规 3 17 6 2 3" xfId="26993" xr:uid="{00000000-0005-0000-0000-0000254A0000}"/>
    <cellStyle name="常规 3 17 6 3" xfId="26996" xr:uid="{00000000-0005-0000-0000-0000264A0000}"/>
    <cellStyle name="常规 3 17 6 4" xfId="26999" xr:uid="{00000000-0005-0000-0000-0000274A0000}"/>
    <cellStyle name="常规 3 17 6 5" xfId="27000" xr:uid="{00000000-0005-0000-0000-0000284A0000}"/>
    <cellStyle name="常规 3 17 6 6" xfId="27003" xr:uid="{00000000-0005-0000-0000-0000294A0000}"/>
    <cellStyle name="常规 3 17 6 7" xfId="27006" xr:uid="{00000000-0005-0000-0000-00002A4A0000}"/>
    <cellStyle name="常规 3 17 6 8" xfId="27008" xr:uid="{00000000-0005-0000-0000-00002B4A0000}"/>
    <cellStyle name="常规 3 17 7" xfId="27010" xr:uid="{00000000-0005-0000-0000-00002C4A0000}"/>
    <cellStyle name="常规 3 17 8" xfId="27011" xr:uid="{00000000-0005-0000-0000-00002D4A0000}"/>
    <cellStyle name="常规 3 17 9" xfId="15486" xr:uid="{00000000-0005-0000-0000-00002E4A0000}"/>
    <cellStyle name="常规 3 17 9 2" xfId="27012" xr:uid="{00000000-0005-0000-0000-00002F4A0000}"/>
    <cellStyle name="常规 3 17 9 3" xfId="27014" xr:uid="{00000000-0005-0000-0000-0000304A0000}"/>
    <cellStyle name="常规 3 18" xfId="27015" xr:uid="{00000000-0005-0000-0000-0000314A0000}"/>
    <cellStyle name="常规 3 18 10" xfId="27016" xr:uid="{00000000-0005-0000-0000-0000324A0000}"/>
    <cellStyle name="常规 3 18 11" xfId="27017" xr:uid="{00000000-0005-0000-0000-0000334A0000}"/>
    <cellStyle name="常规 3 18 12" xfId="27019" xr:uid="{00000000-0005-0000-0000-0000344A0000}"/>
    <cellStyle name="常规 3 18 13" xfId="25821" xr:uid="{00000000-0005-0000-0000-0000354A0000}"/>
    <cellStyle name="常规 3 18 14" xfId="27021" xr:uid="{00000000-0005-0000-0000-0000364A0000}"/>
    <cellStyle name="常规 3 18 2" xfId="27023" xr:uid="{00000000-0005-0000-0000-0000374A0000}"/>
    <cellStyle name="常规 3 18 3" xfId="27025" xr:uid="{00000000-0005-0000-0000-0000384A0000}"/>
    <cellStyle name="常规 3 18 4" xfId="27027" xr:uid="{00000000-0005-0000-0000-0000394A0000}"/>
    <cellStyle name="常规 3 18 5" xfId="27029" xr:uid="{00000000-0005-0000-0000-00003A4A0000}"/>
    <cellStyle name="常规 3 18 5 10" xfId="27030" xr:uid="{00000000-0005-0000-0000-00003B4A0000}"/>
    <cellStyle name="常规 3 18 5 11" xfId="27031" xr:uid="{00000000-0005-0000-0000-00003C4A0000}"/>
    <cellStyle name="常规 3 18 5 2" xfId="27032" xr:uid="{00000000-0005-0000-0000-00003D4A0000}"/>
    <cellStyle name="常规 3 18 5 2 2" xfId="3660" xr:uid="{00000000-0005-0000-0000-00003E4A0000}"/>
    <cellStyle name="常规 3 18 5 2 2 2" xfId="27033" xr:uid="{00000000-0005-0000-0000-00003F4A0000}"/>
    <cellStyle name="常规 3 18 5 2 2 3" xfId="13749" xr:uid="{00000000-0005-0000-0000-0000404A0000}"/>
    <cellStyle name="常规 3 18 5 2 3" xfId="3670" xr:uid="{00000000-0005-0000-0000-0000414A0000}"/>
    <cellStyle name="常规 3 18 5 2 4" xfId="17305" xr:uid="{00000000-0005-0000-0000-0000424A0000}"/>
    <cellStyle name="常规 3 18 5 2 5" xfId="17308" xr:uid="{00000000-0005-0000-0000-0000434A0000}"/>
    <cellStyle name="常规 3 18 5 2 6" xfId="17311" xr:uid="{00000000-0005-0000-0000-0000444A0000}"/>
    <cellStyle name="常规 3 18 5 2 7" xfId="17314" xr:uid="{00000000-0005-0000-0000-0000454A0000}"/>
    <cellStyle name="常规 3 18 5 2 8" xfId="17398" xr:uid="{00000000-0005-0000-0000-0000464A0000}"/>
    <cellStyle name="常规 3 18 5 3" xfId="27034" xr:uid="{00000000-0005-0000-0000-0000474A0000}"/>
    <cellStyle name="常规 3 18 5 4" xfId="27035" xr:uid="{00000000-0005-0000-0000-0000484A0000}"/>
    <cellStyle name="常规 3 18 5 5" xfId="27036" xr:uid="{00000000-0005-0000-0000-0000494A0000}"/>
    <cellStyle name="常规 3 18 5 6" xfId="27037" xr:uid="{00000000-0005-0000-0000-00004A4A0000}"/>
    <cellStyle name="常规 3 18 5 6 2" xfId="27039" xr:uid="{00000000-0005-0000-0000-00004B4A0000}"/>
    <cellStyle name="常规 3 18 5 6 3" xfId="27041" xr:uid="{00000000-0005-0000-0000-00004C4A0000}"/>
    <cellStyle name="常规 3 18 5 7" xfId="27042" xr:uid="{00000000-0005-0000-0000-00004D4A0000}"/>
    <cellStyle name="常规 3 18 5 8" xfId="27043" xr:uid="{00000000-0005-0000-0000-00004E4A0000}"/>
    <cellStyle name="常规 3 18 5 9" xfId="16745" xr:uid="{00000000-0005-0000-0000-00004F4A0000}"/>
    <cellStyle name="常规 3 18 6" xfId="27044" xr:uid="{00000000-0005-0000-0000-0000504A0000}"/>
    <cellStyle name="常规 3 18 6 2" xfId="27045" xr:uid="{00000000-0005-0000-0000-0000514A0000}"/>
    <cellStyle name="常规 3 18 6 2 2" xfId="27046" xr:uid="{00000000-0005-0000-0000-0000524A0000}"/>
    <cellStyle name="常规 3 18 6 2 3" xfId="27047" xr:uid="{00000000-0005-0000-0000-0000534A0000}"/>
    <cellStyle name="常规 3 18 6 3" xfId="27048" xr:uid="{00000000-0005-0000-0000-0000544A0000}"/>
    <cellStyle name="常规 3 18 6 4" xfId="27049" xr:uid="{00000000-0005-0000-0000-0000554A0000}"/>
    <cellStyle name="常规 3 18 6 5" xfId="27050" xr:uid="{00000000-0005-0000-0000-0000564A0000}"/>
    <cellStyle name="常规 3 18 6 6" xfId="27051" xr:uid="{00000000-0005-0000-0000-0000574A0000}"/>
    <cellStyle name="常规 3 18 6 7" xfId="11539" xr:uid="{00000000-0005-0000-0000-0000584A0000}"/>
    <cellStyle name="常规 3 18 6 8" xfId="11541" xr:uid="{00000000-0005-0000-0000-0000594A0000}"/>
    <cellStyle name="常规 3 18 7" xfId="27052" xr:uid="{00000000-0005-0000-0000-00005A4A0000}"/>
    <cellStyle name="常规 3 18 8" xfId="27053" xr:uid="{00000000-0005-0000-0000-00005B4A0000}"/>
    <cellStyle name="常规 3 18 9" xfId="12205" xr:uid="{00000000-0005-0000-0000-00005C4A0000}"/>
    <cellStyle name="常规 3 18 9 2" xfId="27054" xr:uid="{00000000-0005-0000-0000-00005D4A0000}"/>
    <cellStyle name="常规 3 18 9 3" xfId="27055" xr:uid="{00000000-0005-0000-0000-00005E4A0000}"/>
    <cellStyle name="常规 3 19" xfId="27056" xr:uid="{00000000-0005-0000-0000-00005F4A0000}"/>
    <cellStyle name="常规 3 19 10" xfId="27057" xr:uid="{00000000-0005-0000-0000-0000604A0000}"/>
    <cellStyle name="常规 3 19 11" xfId="27058" xr:uid="{00000000-0005-0000-0000-0000614A0000}"/>
    <cellStyle name="常规 3 19 12" xfId="27059" xr:uid="{00000000-0005-0000-0000-0000624A0000}"/>
    <cellStyle name="常规 3 19 13" xfId="27060" xr:uid="{00000000-0005-0000-0000-0000634A0000}"/>
    <cellStyle name="常规 3 19 14" xfId="27061" xr:uid="{00000000-0005-0000-0000-0000644A0000}"/>
    <cellStyle name="常规 3 19 2" xfId="9153" xr:uid="{00000000-0005-0000-0000-0000654A0000}"/>
    <cellStyle name="常规 3 19 3" xfId="22795" xr:uid="{00000000-0005-0000-0000-0000664A0000}"/>
    <cellStyle name="常规 3 19 4" xfId="8737" xr:uid="{00000000-0005-0000-0000-0000674A0000}"/>
    <cellStyle name="常规 3 19 5" xfId="8744" xr:uid="{00000000-0005-0000-0000-0000684A0000}"/>
    <cellStyle name="常规 3 19 5 10" xfId="2489" xr:uid="{00000000-0005-0000-0000-0000694A0000}"/>
    <cellStyle name="常规 3 19 5 11" xfId="27062" xr:uid="{00000000-0005-0000-0000-00006A4A0000}"/>
    <cellStyle name="常规 3 19 5 2" xfId="20878" xr:uid="{00000000-0005-0000-0000-00006B4A0000}"/>
    <cellStyle name="常规 3 19 5 2 2" xfId="27063" xr:uid="{00000000-0005-0000-0000-00006C4A0000}"/>
    <cellStyle name="常规 3 19 5 2 2 2" xfId="27065" xr:uid="{00000000-0005-0000-0000-00006D4A0000}"/>
    <cellStyle name="常规 3 19 5 2 2 3" xfId="27067" xr:uid="{00000000-0005-0000-0000-00006E4A0000}"/>
    <cellStyle name="常规 3 19 5 2 3" xfId="27069" xr:uid="{00000000-0005-0000-0000-00006F4A0000}"/>
    <cellStyle name="常规 3 19 5 2 4" xfId="27072" xr:uid="{00000000-0005-0000-0000-0000704A0000}"/>
    <cellStyle name="常规 3 19 5 2 5" xfId="27075" xr:uid="{00000000-0005-0000-0000-0000714A0000}"/>
    <cellStyle name="常规 3 19 5 2 6" xfId="27078" xr:uid="{00000000-0005-0000-0000-0000724A0000}"/>
    <cellStyle name="常规 3 19 5 2 7" xfId="27081" xr:uid="{00000000-0005-0000-0000-0000734A0000}"/>
    <cellStyle name="常规 3 19 5 2 8" xfId="27083" xr:uid="{00000000-0005-0000-0000-0000744A0000}"/>
    <cellStyle name="常规 3 19 5 3" xfId="20440" xr:uid="{00000000-0005-0000-0000-0000754A0000}"/>
    <cellStyle name="常规 3 19 5 4" xfId="20445" xr:uid="{00000000-0005-0000-0000-0000764A0000}"/>
    <cellStyle name="常规 3 19 5 5" xfId="20451" xr:uid="{00000000-0005-0000-0000-0000774A0000}"/>
    <cellStyle name="常规 3 19 5 6" xfId="2353" xr:uid="{00000000-0005-0000-0000-0000784A0000}"/>
    <cellStyle name="常规 3 19 5 6 2" xfId="8445" xr:uid="{00000000-0005-0000-0000-0000794A0000}"/>
    <cellStyle name="常规 3 19 5 6 3" xfId="8452" xr:uid="{00000000-0005-0000-0000-00007A4A0000}"/>
    <cellStyle name="常规 3 19 5 7" xfId="13298" xr:uid="{00000000-0005-0000-0000-00007B4A0000}"/>
    <cellStyle name="常规 3 19 5 8" xfId="13305" xr:uid="{00000000-0005-0000-0000-00007C4A0000}"/>
    <cellStyle name="常规 3 19 5 9" xfId="19468" xr:uid="{00000000-0005-0000-0000-00007D4A0000}"/>
    <cellStyle name="常规 3 19 6" xfId="27085" xr:uid="{00000000-0005-0000-0000-00007E4A0000}"/>
    <cellStyle name="常规 3 19 6 2" xfId="27086" xr:uid="{00000000-0005-0000-0000-00007F4A0000}"/>
    <cellStyle name="常规 3 19 6 2 2" xfId="14796" xr:uid="{00000000-0005-0000-0000-0000804A0000}"/>
    <cellStyle name="常规 3 19 6 2 3" xfId="14799" xr:uid="{00000000-0005-0000-0000-0000814A0000}"/>
    <cellStyle name="常规 3 19 6 3" xfId="27087" xr:uid="{00000000-0005-0000-0000-0000824A0000}"/>
    <cellStyle name="常规 3 19 6 4" xfId="27088" xr:uid="{00000000-0005-0000-0000-0000834A0000}"/>
    <cellStyle name="常规 3 19 6 5" xfId="11544" xr:uid="{00000000-0005-0000-0000-0000844A0000}"/>
    <cellStyle name="常规 3 19 6 6" xfId="11557" xr:uid="{00000000-0005-0000-0000-0000854A0000}"/>
    <cellStyle name="常规 3 19 6 7" xfId="3905" xr:uid="{00000000-0005-0000-0000-0000864A0000}"/>
    <cellStyle name="常规 3 19 6 8" xfId="2625" xr:uid="{00000000-0005-0000-0000-0000874A0000}"/>
    <cellStyle name="常规 3 19 7" xfId="27089" xr:uid="{00000000-0005-0000-0000-0000884A0000}"/>
    <cellStyle name="常规 3 19 8" xfId="27090" xr:uid="{00000000-0005-0000-0000-0000894A0000}"/>
    <cellStyle name="常规 3 19 9" xfId="27091" xr:uid="{00000000-0005-0000-0000-00008A4A0000}"/>
    <cellStyle name="常规 3 19 9 2" xfId="27092" xr:uid="{00000000-0005-0000-0000-00008B4A0000}"/>
    <cellStyle name="常规 3 19 9 3" xfId="27093" xr:uid="{00000000-0005-0000-0000-00008C4A0000}"/>
    <cellStyle name="常规 3 2" xfId="27094" xr:uid="{00000000-0005-0000-0000-00008D4A0000}"/>
    <cellStyle name="常规 3 2 10" xfId="1628" xr:uid="{00000000-0005-0000-0000-00008E4A0000}"/>
    <cellStyle name="常规 3 2 11" xfId="448" xr:uid="{00000000-0005-0000-0000-00008F4A0000}"/>
    <cellStyle name="常规 3 2 12" xfId="13468" xr:uid="{00000000-0005-0000-0000-0000904A0000}"/>
    <cellStyle name="常规 3 2 13" xfId="13474" xr:uid="{00000000-0005-0000-0000-0000914A0000}"/>
    <cellStyle name="常规 3 2 14" xfId="21509" xr:uid="{00000000-0005-0000-0000-0000924A0000}"/>
    <cellStyle name="常规 3 2 2" xfId="9362" xr:uid="{00000000-0005-0000-0000-0000934A0000}"/>
    <cellStyle name="常规 3 2 3" xfId="27096" xr:uid="{00000000-0005-0000-0000-0000944A0000}"/>
    <cellStyle name="常规 3 2 4" xfId="27098" xr:uid="{00000000-0005-0000-0000-0000954A0000}"/>
    <cellStyle name="常规 3 2 5" xfId="27100" xr:uid="{00000000-0005-0000-0000-0000964A0000}"/>
    <cellStyle name="常规 3 2 6" xfId="27102" xr:uid="{00000000-0005-0000-0000-0000974A0000}"/>
    <cellStyle name="常规 3 2 7" xfId="27104" xr:uid="{00000000-0005-0000-0000-0000984A0000}"/>
    <cellStyle name="常规 3 2 8" xfId="27105" xr:uid="{00000000-0005-0000-0000-0000994A0000}"/>
    <cellStyle name="常规 3 2 9" xfId="27106" xr:uid="{00000000-0005-0000-0000-00009A4A0000}"/>
    <cellStyle name="常规 3 20" xfId="26954" xr:uid="{00000000-0005-0000-0000-00009B4A0000}"/>
    <cellStyle name="常规 3 20 10" xfId="27107" xr:uid="{00000000-0005-0000-0000-00009C4A0000}"/>
    <cellStyle name="常规 3 20 11" xfId="27108" xr:uid="{00000000-0005-0000-0000-00009D4A0000}"/>
    <cellStyle name="常规 3 20 12" xfId="26139" xr:uid="{00000000-0005-0000-0000-00009E4A0000}"/>
    <cellStyle name="常规 3 20 13" xfId="26141" xr:uid="{00000000-0005-0000-0000-00009F4A0000}"/>
    <cellStyle name="常规 3 20 14" xfId="18462" xr:uid="{00000000-0005-0000-0000-0000A04A0000}"/>
    <cellStyle name="常规 3 20 2" xfId="27109" xr:uid="{00000000-0005-0000-0000-0000A14A0000}"/>
    <cellStyle name="常规 3 20 3" xfId="27110" xr:uid="{00000000-0005-0000-0000-0000A24A0000}"/>
    <cellStyle name="常规 3 20 4" xfId="27111" xr:uid="{00000000-0005-0000-0000-0000A34A0000}"/>
    <cellStyle name="常规 3 20 5" xfId="26835" xr:uid="{00000000-0005-0000-0000-0000A44A0000}"/>
    <cellStyle name="常规 3 20 5 10" xfId="27112" xr:uid="{00000000-0005-0000-0000-0000A54A0000}"/>
    <cellStyle name="常规 3 20 5 11" xfId="27113" xr:uid="{00000000-0005-0000-0000-0000A64A0000}"/>
    <cellStyle name="常规 3 20 5 2" xfId="27114" xr:uid="{00000000-0005-0000-0000-0000A74A0000}"/>
    <cellStyle name="常规 3 20 5 2 2" xfId="11805" xr:uid="{00000000-0005-0000-0000-0000A84A0000}"/>
    <cellStyle name="常规 3 20 5 2 2 2" xfId="27118" xr:uid="{00000000-0005-0000-0000-0000A94A0000}"/>
    <cellStyle name="常规 3 20 5 2 2 3" xfId="9272" xr:uid="{00000000-0005-0000-0000-0000AA4A0000}"/>
    <cellStyle name="常规 3 20 5 2 3" xfId="22477" xr:uid="{00000000-0005-0000-0000-0000AB4A0000}"/>
    <cellStyle name="常规 3 20 5 2 4" xfId="27120" xr:uid="{00000000-0005-0000-0000-0000AC4A0000}"/>
    <cellStyle name="常规 3 20 5 2 5" xfId="27122" xr:uid="{00000000-0005-0000-0000-0000AD4A0000}"/>
    <cellStyle name="常规 3 20 5 2 6" xfId="27124" xr:uid="{00000000-0005-0000-0000-0000AE4A0000}"/>
    <cellStyle name="常规 3 20 5 2 7" xfId="27127" xr:uid="{00000000-0005-0000-0000-0000AF4A0000}"/>
    <cellStyle name="常规 3 20 5 2 8" xfId="27130" xr:uid="{00000000-0005-0000-0000-0000B04A0000}"/>
    <cellStyle name="常规 3 20 5 3" xfId="20377" xr:uid="{00000000-0005-0000-0000-0000B14A0000}"/>
    <cellStyle name="常规 3 20 5 4" xfId="20381" xr:uid="{00000000-0005-0000-0000-0000B24A0000}"/>
    <cellStyle name="常规 3 20 5 5" xfId="20384" xr:uid="{00000000-0005-0000-0000-0000B34A0000}"/>
    <cellStyle name="常规 3 20 5 6" xfId="20386" xr:uid="{00000000-0005-0000-0000-0000B44A0000}"/>
    <cellStyle name="常规 3 20 5 6 2" xfId="27132" xr:uid="{00000000-0005-0000-0000-0000B54A0000}"/>
    <cellStyle name="常规 3 20 5 6 3" xfId="27138" xr:uid="{00000000-0005-0000-0000-0000B64A0000}"/>
    <cellStyle name="常规 3 20 5 7" xfId="20389" xr:uid="{00000000-0005-0000-0000-0000B74A0000}"/>
    <cellStyle name="常规 3 20 5 8" xfId="20392" xr:uid="{00000000-0005-0000-0000-0000B84A0000}"/>
    <cellStyle name="常规 3 20 5 9" xfId="20395" xr:uid="{00000000-0005-0000-0000-0000B94A0000}"/>
    <cellStyle name="常规 3 20 6" xfId="26837" xr:uid="{00000000-0005-0000-0000-0000BA4A0000}"/>
    <cellStyle name="常规 3 20 6 2" xfId="27142" xr:uid="{00000000-0005-0000-0000-0000BB4A0000}"/>
    <cellStyle name="常规 3 20 6 2 2" xfId="12676" xr:uid="{00000000-0005-0000-0000-0000BC4A0000}"/>
    <cellStyle name="常规 3 20 6 2 3" xfId="12678" xr:uid="{00000000-0005-0000-0000-0000BD4A0000}"/>
    <cellStyle name="常规 3 20 6 3" xfId="27144" xr:uid="{00000000-0005-0000-0000-0000BE4A0000}"/>
    <cellStyle name="常规 3 20 6 4" xfId="27146" xr:uid="{00000000-0005-0000-0000-0000BF4A0000}"/>
    <cellStyle name="常规 3 20 6 5" xfId="27148" xr:uid="{00000000-0005-0000-0000-0000C04A0000}"/>
    <cellStyle name="常规 3 20 6 6" xfId="27149" xr:uid="{00000000-0005-0000-0000-0000C14A0000}"/>
    <cellStyle name="常规 3 20 6 7" xfId="27150" xr:uid="{00000000-0005-0000-0000-0000C24A0000}"/>
    <cellStyle name="常规 3 20 6 8" xfId="27151" xr:uid="{00000000-0005-0000-0000-0000C34A0000}"/>
    <cellStyle name="常规 3 20 7" xfId="27152" xr:uid="{00000000-0005-0000-0000-0000C44A0000}"/>
    <cellStyle name="常规 3 20 8" xfId="27153" xr:uid="{00000000-0005-0000-0000-0000C54A0000}"/>
    <cellStyle name="常规 3 20 9" xfId="1208" xr:uid="{00000000-0005-0000-0000-0000C64A0000}"/>
    <cellStyle name="常规 3 20 9 2" xfId="10506" xr:uid="{00000000-0005-0000-0000-0000C74A0000}"/>
    <cellStyle name="常规 3 20 9 3" xfId="10525" xr:uid="{00000000-0005-0000-0000-0000C84A0000}"/>
    <cellStyle name="常规 3 3" xfId="27154" xr:uid="{00000000-0005-0000-0000-0000C94A0000}"/>
    <cellStyle name="常规 3 3 10" xfId="4687" xr:uid="{00000000-0005-0000-0000-0000CA4A0000}"/>
    <cellStyle name="常规 3 3 11" xfId="4693" xr:uid="{00000000-0005-0000-0000-0000CB4A0000}"/>
    <cellStyle name="常规 3 3 12" xfId="4698" xr:uid="{00000000-0005-0000-0000-0000CC4A0000}"/>
    <cellStyle name="常规 3 3 13" xfId="27156" xr:uid="{00000000-0005-0000-0000-0000CD4A0000}"/>
    <cellStyle name="常规 3 3 14" xfId="27158" xr:uid="{00000000-0005-0000-0000-0000CE4A0000}"/>
    <cellStyle name="常规 3 3 2" xfId="27160" xr:uid="{00000000-0005-0000-0000-0000CF4A0000}"/>
    <cellStyle name="常规 3 3 3" xfId="27162" xr:uid="{00000000-0005-0000-0000-0000D04A0000}"/>
    <cellStyle name="常规 3 3 4" xfId="27164" xr:uid="{00000000-0005-0000-0000-0000D14A0000}"/>
    <cellStyle name="常规 3 3 5" xfId="27166" xr:uid="{00000000-0005-0000-0000-0000D24A0000}"/>
    <cellStyle name="常规 3 3 6" xfId="27168" xr:uid="{00000000-0005-0000-0000-0000D34A0000}"/>
    <cellStyle name="常规 3 3 7" xfId="27170" xr:uid="{00000000-0005-0000-0000-0000D44A0000}"/>
    <cellStyle name="常规 3 3 8" xfId="27171" xr:uid="{00000000-0005-0000-0000-0000D54A0000}"/>
    <cellStyle name="常规 3 3 9" xfId="27172" xr:uid="{00000000-0005-0000-0000-0000D64A0000}"/>
    <cellStyle name="常规 3 4" xfId="27173" xr:uid="{00000000-0005-0000-0000-0000D74A0000}"/>
    <cellStyle name="常规 3 4 10" xfId="27174" xr:uid="{00000000-0005-0000-0000-0000D84A0000}"/>
    <cellStyle name="常规 3 4 11" xfId="27176" xr:uid="{00000000-0005-0000-0000-0000D94A0000}"/>
    <cellStyle name="常规 3 4 12" xfId="27178" xr:uid="{00000000-0005-0000-0000-0000DA4A0000}"/>
    <cellStyle name="常规 3 4 13" xfId="27180" xr:uid="{00000000-0005-0000-0000-0000DB4A0000}"/>
    <cellStyle name="常规 3 4 14" xfId="27182" xr:uid="{00000000-0005-0000-0000-0000DC4A0000}"/>
    <cellStyle name="常规 3 4 2" xfId="27183" xr:uid="{00000000-0005-0000-0000-0000DD4A0000}"/>
    <cellStyle name="常规 3 4 3" xfId="27184" xr:uid="{00000000-0005-0000-0000-0000DE4A0000}"/>
    <cellStyle name="常规 3 4 4" xfId="27185" xr:uid="{00000000-0005-0000-0000-0000DF4A0000}"/>
    <cellStyle name="常规 3 4 5" xfId="27186" xr:uid="{00000000-0005-0000-0000-0000E04A0000}"/>
    <cellStyle name="常规 3 4 6" xfId="27187" xr:uid="{00000000-0005-0000-0000-0000E14A0000}"/>
    <cellStyle name="常规 3 4 7" xfId="14973" xr:uid="{00000000-0005-0000-0000-0000E24A0000}"/>
    <cellStyle name="常规 3 4 8" xfId="1173" xr:uid="{00000000-0005-0000-0000-0000E34A0000}"/>
    <cellStyle name="常规 3 4 9" xfId="1186" xr:uid="{00000000-0005-0000-0000-0000E44A0000}"/>
    <cellStyle name="常规 3 5" xfId="27189" xr:uid="{00000000-0005-0000-0000-0000E54A0000}"/>
    <cellStyle name="常规 3 6" xfId="27191" xr:uid="{00000000-0005-0000-0000-0000E64A0000}"/>
    <cellStyle name="常规 3 7" xfId="27192" xr:uid="{00000000-0005-0000-0000-0000E74A0000}"/>
    <cellStyle name="常规 3 8" xfId="27193" xr:uid="{00000000-0005-0000-0000-0000E84A0000}"/>
    <cellStyle name="常规 3 9" xfId="27194" xr:uid="{00000000-0005-0000-0000-0000E94A0000}"/>
    <cellStyle name="常规 4" xfId="26805" xr:uid="{00000000-0005-0000-0000-0000EA4A0000}"/>
    <cellStyle name="常规 4 10" xfId="27195" xr:uid="{00000000-0005-0000-0000-0000EB4A0000}"/>
    <cellStyle name="常规 4 11" xfId="27196" xr:uid="{00000000-0005-0000-0000-0000EC4A0000}"/>
    <cellStyle name="常规 4 12" xfId="13726" xr:uid="{00000000-0005-0000-0000-0000ED4A0000}"/>
    <cellStyle name="常规 4 13" xfId="13728" xr:uid="{00000000-0005-0000-0000-0000EE4A0000}"/>
    <cellStyle name="常规 4 14" xfId="27197" xr:uid="{00000000-0005-0000-0000-0000EF4A0000}"/>
    <cellStyle name="常规 4 2" xfId="26807" xr:uid="{00000000-0005-0000-0000-0000F04A0000}"/>
    <cellStyle name="常规 4 2 2" xfId="27198" xr:uid="{00000000-0005-0000-0000-0000F14A0000}"/>
    <cellStyle name="常规 4 3" xfId="26810" xr:uid="{00000000-0005-0000-0000-0000F24A0000}"/>
    <cellStyle name="常规 4 4" xfId="27199" xr:uid="{00000000-0005-0000-0000-0000F34A0000}"/>
    <cellStyle name="常规 4 5" xfId="27200" xr:uid="{00000000-0005-0000-0000-0000F44A0000}"/>
    <cellStyle name="常规 4 5 10" xfId="22970" xr:uid="{00000000-0005-0000-0000-0000F54A0000}"/>
    <cellStyle name="常规 4 5 11" xfId="22972" xr:uid="{00000000-0005-0000-0000-0000F64A0000}"/>
    <cellStyle name="常规 4 5 2" xfId="27202" xr:uid="{00000000-0005-0000-0000-0000F74A0000}"/>
    <cellStyle name="常规 4 5 2 2" xfId="27203" xr:uid="{00000000-0005-0000-0000-0000F84A0000}"/>
    <cellStyle name="常规 4 5 2 2 2" xfId="27204" xr:uid="{00000000-0005-0000-0000-0000F94A0000}"/>
    <cellStyle name="常规 4 5 2 2 3" xfId="27205" xr:uid="{00000000-0005-0000-0000-0000FA4A0000}"/>
    <cellStyle name="常规 4 5 2 3" xfId="27207" xr:uid="{00000000-0005-0000-0000-0000FB4A0000}"/>
    <cellStyle name="常规 4 5 2 4" xfId="27208" xr:uid="{00000000-0005-0000-0000-0000FC4A0000}"/>
    <cellStyle name="常规 4 5 2 5" xfId="27209" xr:uid="{00000000-0005-0000-0000-0000FD4A0000}"/>
    <cellStyle name="常规 4 5 2 6" xfId="27210" xr:uid="{00000000-0005-0000-0000-0000FE4A0000}"/>
    <cellStyle name="常规 4 5 2 7" xfId="27211" xr:uid="{00000000-0005-0000-0000-0000FF4A0000}"/>
    <cellStyle name="常规 4 5 2 8" xfId="26133" xr:uid="{00000000-0005-0000-0000-0000004B0000}"/>
    <cellStyle name="常规 4 5 3" xfId="27213" xr:uid="{00000000-0005-0000-0000-0000014B0000}"/>
    <cellStyle name="常规 4 5 4" xfId="432" xr:uid="{00000000-0005-0000-0000-0000024B0000}"/>
    <cellStyle name="常规 4 5 5" xfId="19838" xr:uid="{00000000-0005-0000-0000-0000034B0000}"/>
    <cellStyle name="常规 4 5 6" xfId="19841" xr:uid="{00000000-0005-0000-0000-0000044B0000}"/>
    <cellStyle name="常规 4 5 6 2" xfId="27214" xr:uid="{00000000-0005-0000-0000-0000054B0000}"/>
    <cellStyle name="常规 4 5 6 3" xfId="27215" xr:uid="{00000000-0005-0000-0000-0000064B0000}"/>
    <cellStyle name="常规 4 5 7" xfId="19843" xr:uid="{00000000-0005-0000-0000-0000074B0000}"/>
    <cellStyle name="常规 4 5 8" xfId="19849" xr:uid="{00000000-0005-0000-0000-0000084B0000}"/>
    <cellStyle name="常规 4 5 9" xfId="2423" xr:uid="{00000000-0005-0000-0000-0000094B0000}"/>
    <cellStyle name="常规 4 6" xfId="27216" xr:uid="{00000000-0005-0000-0000-00000A4B0000}"/>
    <cellStyle name="常规 4 6 2" xfId="18601" xr:uid="{00000000-0005-0000-0000-00000B4B0000}"/>
    <cellStyle name="常规 4 6 2 2" xfId="27217" xr:uid="{00000000-0005-0000-0000-00000C4B0000}"/>
    <cellStyle name="常规 4 6 2 3" xfId="27218" xr:uid="{00000000-0005-0000-0000-00000D4B0000}"/>
    <cellStyle name="常规 4 6 3" xfId="18604" xr:uid="{00000000-0005-0000-0000-00000E4B0000}"/>
    <cellStyle name="常规 4 6 4" xfId="18621" xr:uid="{00000000-0005-0000-0000-00000F4B0000}"/>
    <cellStyle name="常规 4 6 5" xfId="18623" xr:uid="{00000000-0005-0000-0000-0000104B0000}"/>
    <cellStyle name="常规 4 6 6" xfId="16474" xr:uid="{00000000-0005-0000-0000-0000114B0000}"/>
    <cellStyle name="常规 4 6 7" xfId="27220" xr:uid="{00000000-0005-0000-0000-0000124B0000}"/>
    <cellStyle name="常规 4 6 8" xfId="16492" xr:uid="{00000000-0005-0000-0000-0000134B0000}"/>
    <cellStyle name="常规 4 7" xfId="27221" xr:uid="{00000000-0005-0000-0000-0000144B0000}"/>
    <cellStyle name="常规 4 8" xfId="27222" xr:uid="{00000000-0005-0000-0000-0000154B0000}"/>
    <cellStyle name="常规 4 9" xfId="27223" xr:uid="{00000000-0005-0000-0000-0000164B0000}"/>
    <cellStyle name="常规 4 9 2" xfId="27225" xr:uid="{00000000-0005-0000-0000-0000174B0000}"/>
    <cellStyle name="常规 4 9 3" xfId="27227" xr:uid="{00000000-0005-0000-0000-0000184B0000}"/>
    <cellStyle name="常规 5" xfId="26812" xr:uid="{00000000-0005-0000-0000-0000194B0000}"/>
    <cellStyle name="常规 5 10" xfId="27229" xr:uid="{00000000-0005-0000-0000-00001A4B0000}"/>
    <cellStyle name="常规 5 11" xfId="27230" xr:uid="{00000000-0005-0000-0000-00001B4B0000}"/>
    <cellStyle name="常规 5 12" xfId="27231" xr:uid="{00000000-0005-0000-0000-00001C4B0000}"/>
    <cellStyle name="常规 5 13" xfId="27232" xr:uid="{00000000-0005-0000-0000-00001D4B0000}"/>
    <cellStyle name="常规 5 14" xfId="17518" xr:uid="{00000000-0005-0000-0000-00001E4B0000}"/>
    <cellStyle name="常规 5 2" xfId="27235" xr:uid="{00000000-0005-0000-0000-00001F4B0000}"/>
    <cellStyle name="常规 5 2 2" xfId="27236" xr:uid="{00000000-0005-0000-0000-0000204B0000}"/>
    <cellStyle name="常规 5 3" xfId="7757" xr:uid="{00000000-0005-0000-0000-0000214B0000}"/>
    <cellStyle name="常规 5 4" xfId="7785" xr:uid="{00000000-0005-0000-0000-0000224B0000}"/>
    <cellStyle name="常规 5 5" xfId="7791" xr:uid="{00000000-0005-0000-0000-0000234B0000}"/>
    <cellStyle name="常规 5 5 10" xfId="27238" xr:uid="{00000000-0005-0000-0000-0000244B0000}"/>
    <cellStyle name="常规 5 5 11" xfId="27239" xr:uid="{00000000-0005-0000-0000-0000254B0000}"/>
    <cellStyle name="常规 5 5 2" xfId="6120" xr:uid="{00000000-0005-0000-0000-0000264B0000}"/>
    <cellStyle name="常规 5 5 2 2" xfId="27240" xr:uid="{00000000-0005-0000-0000-0000274B0000}"/>
    <cellStyle name="常规 5 5 2 2 2" xfId="27241" xr:uid="{00000000-0005-0000-0000-0000284B0000}"/>
    <cellStyle name="常规 5 5 2 2 3" xfId="27242" xr:uid="{00000000-0005-0000-0000-0000294B0000}"/>
    <cellStyle name="常规 5 5 2 3" xfId="27243" xr:uid="{00000000-0005-0000-0000-00002A4B0000}"/>
    <cellStyle name="常规 5 5 2 4" xfId="27245" xr:uid="{00000000-0005-0000-0000-00002B4B0000}"/>
    <cellStyle name="常规 5 5 2 5" xfId="3625" xr:uid="{00000000-0005-0000-0000-00002C4B0000}"/>
    <cellStyle name="常规 5 5 2 6" xfId="316" xr:uid="{00000000-0005-0000-0000-00002D4B0000}"/>
    <cellStyle name="常规 5 5 2 7" xfId="1702" xr:uid="{00000000-0005-0000-0000-00002E4B0000}"/>
    <cellStyle name="常规 5 5 2 8" xfId="1727" xr:uid="{00000000-0005-0000-0000-00002F4B0000}"/>
    <cellStyle name="常规 5 5 3" xfId="6125" xr:uid="{00000000-0005-0000-0000-0000304B0000}"/>
    <cellStyle name="常规 5 5 4" xfId="6130" xr:uid="{00000000-0005-0000-0000-0000314B0000}"/>
    <cellStyle name="常规 5 5 5" xfId="6135" xr:uid="{00000000-0005-0000-0000-0000324B0000}"/>
    <cellStyle name="常规 5 5 6" xfId="20064" xr:uid="{00000000-0005-0000-0000-0000334B0000}"/>
    <cellStyle name="常规 5 5 6 2" xfId="1826" xr:uid="{00000000-0005-0000-0000-0000344B0000}"/>
    <cellStyle name="常规 5 5 6 3" xfId="27246" xr:uid="{00000000-0005-0000-0000-0000354B0000}"/>
    <cellStyle name="常规 5 5 7" xfId="20067" xr:uid="{00000000-0005-0000-0000-0000364B0000}"/>
    <cellStyle name="常规 5 5 8" xfId="20070" xr:uid="{00000000-0005-0000-0000-0000374B0000}"/>
    <cellStyle name="常规 5 5 9" xfId="16203" xr:uid="{00000000-0005-0000-0000-0000384B0000}"/>
    <cellStyle name="常规 5 6" xfId="7796" xr:uid="{00000000-0005-0000-0000-0000394B0000}"/>
    <cellStyle name="常规 5 6 2" xfId="18674" xr:uid="{00000000-0005-0000-0000-00003A4B0000}"/>
    <cellStyle name="常规 5 6 2 2" xfId="27247" xr:uid="{00000000-0005-0000-0000-00003B4B0000}"/>
    <cellStyle name="常规 5 6 2 3" xfId="27248" xr:uid="{00000000-0005-0000-0000-00003C4B0000}"/>
    <cellStyle name="常规 5 6 3" xfId="18678" xr:uid="{00000000-0005-0000-0000-00003D4B0000}"/>
    <cellStyle name="常规 5 6 4" xfId="18682" xr:uid="{00000000-0005-0000-0000-00003E4B0000}"/>
    <cellStyle name="常规 5 6 5" xfId="18685" xr:uid="{00000000-0005-0000-0000-00003F4B0000}"/>
    <cellStyle name="常规 5 6 6" xfId="18688" xr:uid="{00000000-0005-0000-0000-0000404B0000}"/>
    <cellStyle name="常规 5 6 7" xfId="27249" xr:uid="{00000000-0005-0000-0000-0000414B0000}"/>
    <cellStyle name="常规 5 6 8" xfId="27251" xr:uid="{00000000-0005-0000-0000-0000424B0000}"/>
    <cellStyle name="常规 5 7" xfId="7801" xr:uid="{00000000-0005-0000-0000-0000434B0000}"/>
    <cellStyle name="常规 5 8" xfId="7809" xr:uid="{00000000-0005-0000-0000-0000444B0000}"/>
    <cellStyle name="常规 5 9" xfId="7816" xr:uid="{00000000-0005-0000-0000-0000454B0000}"/>
    <cellStyle name="常规 5 9 2" xfId="17058" xr:uid="{00000000-0005-0000-0000-0000464B0000}"/>
    <cellStyle name="常规 5 9 3" xfId="27252" xr:uid="{00000000-0005-0000-0000-0000474B0000}"/>
    <cellStyle name="常规 6" xfId="26814" xr:uid="{00000000-0005-0000-0000-0000484B0000}"/>
    <cellStyle name="常规 6 2" xfId="27254" xr:uid="{00000000-0005-0000-0000-0000494B0000}"/>
    <cellStyle name="常规 7" xfId="26816" xr:uid="{00000000-0005-0000-0000-00004A4B0000}"/>
    <cellStyle name="常规 7 2" xfId="6710" xr:uid="{00000000-0005-0000-0000-00004B4B0000}"/>
    <cellStyle name="常规 7 2 2" xfId="14591" xr:uid="{00000000-0005-0000-0000-00004C4B0000}"/>
    <cellStyle name="常规 7 2 3" xfId="14593" xr:uid="{00000000-0005-0000-0000-00004D4B0000}"/>
    <cellStyle name="常规 8" xfId="26818" xr:uid="{00000000-0005-0000-0000-00004E4B0000}"/>
    <cellStyle name="常规 8 2" xfId="20591" xr:uid="{00000000-0005-0000-0000-00004F4B0000}"/>
    <cellStyle name="常规 9" xfId="26820" xr:uid="{00000000-0005-0000-0000-0000504B0000}"/>
    <cellStyle name="常规 9 2" xfId="15177" xr:uid="{00000000-0005-0000-0000-0000514B0000}"/>
    <cellStyle name="常规_100194PL" xfId="5034" xr:uid="{00000000-0005-0000-0000-0000524B0000}"/>
    <cellStyle name="强调文字颜色 1 10" xfId="27256" xr:uid="{00000000-0005-0000-0000-0000534B0000}"/>
    <cellStyle name="强调文字颜色 1 11" xfId="27257" xr:uid="{00000000-0005-0000-0000-0000544B0000}"/>
    <cellStyle name="强调文字颜色 1 12" xfId="27258" xr:uid="{00000000-0005-0000-0000-0000554B0000}"/>
    <cellStyle name="强调文字颜色 1 12 10" xfId="27259" xr:uid="{00000000-0005-0000-0000-0000564B0000}"/>
    <cellStyle name="强调文字颜色 1 12 11" xfId="27260" xr:uid="{00000000-0005-0000-0000-0000574B0000}"/>
    <cellStyle name="强调文字颜色 1 12 12" xfId="25898" xr:uid="{00000000-0005-0000-0000-0000584B0000}"/>
    <cellStyle name="强调文字颜色 1 12 13" xfId="27261" xr:uid="{00000000-0005-0000-0000-0000594B0000}"/>
    <cellStyle name="强调文字颜色 1 12 14" xfId="27262" xr:uid="{00000000-0005-0000-0000-00005A4B0000}"/>
    <cellStyle name="强调文字颜色 1 12 2" xfId="27264" xr:uid="{00000000-0005-0000-0000-00005B4B0000}"/>
    <cellStyle name="强调文字颜色 1 12 3" xfId="26331" xr:uid="{00000000-0005-0000-0000-00005C4B0000}"/>
    <cellStyle name="强调文字颜色 1 12 4" xfId="26333" xr:uid="{00000000-0005-0000-0000-00005D4B0000}"/>
    <cellStyle name="强调文字颜色 1 12 5" xfId="26335" xr:uid="{00000000-0005-0000-0000-00005E4B0000}"/>
    <cellStyle name="强调文字颜色 1 12 5 10" xfId="27266" xr:uid="{00000000-0005-0000-0000-00005F4B0000}"/>
    <cellStyle name="强调文字颜色 1 12 5 11" xfId="27268" xr:uid="{00000000-0005-0000-0000-0000604B0000}"/>
    <cellStyle name="强调文字颜色 1 12 5 2" xfId="2386" xr:uid="{00000000-0005-0000-0000-0000614B0000}"/>
    <cellStyle name="强调文字颜色 1 12 5 2 2" xfId="2424" xr:uid="{00000000-0005-0000-0000-0000624B0000}"/>
    <cellStyle name="强调文字颜色 1 12 5 2 2 2" xfId="2434" xr:uid="{00000000-0005-0000-0000-0000634B0000}"/>
    <cellStyle name="强调文字颜色 1 12 5 2 2 3" xfId="2456" xr:uid="{00000000-0005-0000-0000-0000644B0000}"/>
    <cellStyle name="强调文字颜色 1 12 5 2 3" xfId="2535" xr:uid="{00000000-0005-0000-0000-0000654B0000}"/>
    <cellStyle name="强调文字颜色 1 12 5 2 4" xfId="2544" xr:uid="{00000000-0005-0000-0000-0000664B0000}"/>
    <cellStyle name="强调文字颜色 1 12 5 2 5" xfId="2403" xr:uid="{00000000-0005-0000-0000-0000674B0000}"/>
    <cellStyle name="强调文字颜色 1 12 5 2 6" xfId="2418" xr:uid="{00000000-0005-0000-0000-0000684B0000}"/>
    <cellStyle name="强调文字颜色 1 12 5 2 7" xfId="2586" xr:uid="{00000000-0005-0000-0000-0000694B0000}"/>
    <cellStyle name="强调文字颜色 1 12 5 2 8" xfId="2599" xr:uid="{00000000-0005-0000-0000-00006A4B0000}"/>
    <cellStyle name="强调文字颜色 1 12 5 3" xfId="2618" xr:uid="{00000000-0005-0000-0000-00006B4B0000}"/>
    <cellStyle name="强调文字颜色 1 12 5 4" xfId="2721" xr:uid="{00000000-0005-0000-0000-00006C4B0000}"/>
    <cellStyle name="强调文字颜色 1 12 5 5" xfId="2741" xr:uid="{00000000-0005-0000-0000-00006D4B0000}"/>
    <cellStyle name="强调文字颜色 1 12 5 6" xfId="2750" xr:uid="{00000000-0005-0000-0000-00006E4B0000}"/>
    <cellStyle name="强调文字颜色 1 12 5 6 2" xfId="2780" xr:uid="{00000000-0005-0000-0000-00006F4B0000}"/>
    <cellStyle name="强调文字颜色 1 12 5 6 3" xfId="27269" xr:uid="{00000000-0005-0000-0000-0000704B0000}"/>
    <cellStyle name="强调文字颜色 1 12 5 7" xfId="20358" xr:uid="{00000000-0005-0000-0000-0000714B0000}"/>
    <cellStyle name="强调文字颜色 1 12 5 8" xfId="20363" xr:uid="{00000000-0005-0000-0000-0000724B0000}"/>
    <cellStyle name="强调文字颜色 1 12 5 9" xfId="27271" xr:uid="{00000000-0005-0000-0000-0000734B0000}"/>
    <cellStyle name="强调文字颜色 1 12 6" xfId="26337" xr:uid="{00000000-0005-0000-0000-0000744B0000}"/>
    <cellStyle name="强调文字颜色 1 12 6 2" xfId="24313" xr:uid="{00000000-0005-0000-0000-0000754B0000}"/>
    <cellStyle name="强调文字颜色 1 12 6 2 2" xfId="16204" xr:uid="{00000000-0005-0000-0000-0000764B0000}"/>
    <cellStyle name="强调文字颜色 1 12 6 2 3" xfId="16205" xr:uid="{00000000-0005-0000-0000-0000774B0000}"/>
    <cellStyle name="强调文字颜色 1 12 6 3" xfId="24317" xr:uid="{00000000-0005-0000-0000-0000784B0000}"/>
    <cellStyle name="强调文字颜色 1 12 6 4" xfId="24321" xr:uid="{00000000-0005-0000-0000-0000794B0000}"/>
    <cellStyle name="强调文字颜色 1 12 6 5" xfId="17842" xr:uid="{00000000-0005-0000-0000-00007A4B0000}"/>
    <cellStyle name="强调文字颜色 1 12 6 6" xfId="17852" xr:uid="{00000000-0005-0000-0000-00007B4B0000}"/>
    <cellStyle name="强调文字颜色 1 12 6 7" xfId="17859" xr:uid="{00000000-0005-0000-0000-00007C4B0000}"/>
    <cellStyle name="强调文字颜色 1 12 6 8" xfId="17866" xr:uid="{00000000-0005-0000-0000-00007D4B0000}"/>
    <cellStyle name="强调文字颜色 1 12 7" xfId="26351" xr:uid="{00000000-0005-0000-0000-00007E4B0000}"/>
    <cellStyle name="强调文字颜色 1 12 8" xfId="26362" xr:uid="{00000000-0005-0000-0000-00007F4B0000}"/>
    <cellStyle name="强调文字颜色 1 12 9" xfId="26364" xr:uid="{00000000-0005-0000-0000-0000804B0000}"/>
    <cellStyle name="强调文字颜色 1 12 9 2" xfId="11676" xr:uid="{00000000-0005-0000-0000-0000814B0000}"/>
    <cellStyle name="强调文字颜色 1 12 9 3" xfId="11682" xr:uid="{00000000-0005-0000-0000-0000824B0000}"/>
    <cellStyle name="强调文字颜色 1 13" xfId="27272" xr:uid="{00000000-0005-0000-0000-0000834B0000}"/>
    <cellStyle name="强调文字颜色 1 14" xfId="27273" xr:uid="{00000000-0005-0000-0000-0000844B0000}"/>
    <cellStyle name="强调文字颜色 1 15" xfId="27274" xr:uid="{00000000-0005-0000-0000-0000854B0000}"/>
    <cellStyle name="强调文字颜色 1 16" xfId="24641" xr:uid="{00000000-0005-0000-0000-0000864B0000}"/>
    <cellStyle name="强调文字颜色 1 16 10" xfId="12764" xr:uid="{00000000-0005-0000-0000-0000874B0000}"/>
    <cellStyle name="强调文字颜色 1 16 11" xfId="12769" xr:uid="{00000000-0005-0000-0000-0000884B0000}"/>
    <cellStyle name="强调文字颜色 1 16 12" xfId="25672" xr:uid="{00000000-0005-0000-0000-0000894B0000}"/>
    <cellStyle name="强调文字颜色 1 16 13" xfId="27275" xr:uid="{00000000-0005-0000-0000-00008A4B0000}"/>
    <cellStyle name="强调文字颜色 1 16 14" xfId="27276" xr:uid="{00000000-0005-0000-0000-00008B4B0000}"/>
    <cellStyle name="强调文字颜色 1 16 2" xfId="27277" xr:uid="{00000000-0005-0000-0000-00008C4B0000}"/>
    <cellStyle name="强调文字颜色 1 16 3" xfId="27278" xr:uid="{00000000-0005-0000-0000-00008D4B0000}"/>
    <cellStyle name="强调文字颜色 1 16 4" xfId="27279" xr:uid="{00000000-0005-0000-0000-00008E4B0000}"/>
    <cellStyle name="强调文字颜色 1 16 5" xfId="27280" xr:uid="{00000000-0005-0000-0000-00008F4B0000}"/>
    <cellStyle name="强调文字颜色 1 16 5 10" xfId="27281" xr:uid="{00000000-0005-0000-0000-0000904B0000}"/>
    <cellStyle name="强调文字颜色 1 16 5 11" xfId="27283" xr:uid="{00000000-0005-0000-0000-0000914B0000}"/>
    <cellStyle name="强调文字颜色 1 16 5 2" xfId="27285" xr:uid="{00000000-0005-0000-0000-0000924B0000}"/>
    <cellStyle name="强调文字颜色 1 16 5 2 2" xfId="27286" xr:uid="{00000000-0005-0000-0000-0000934B0000}"/>
    <cellStyle name="强调文字颜色 1 16 5 2 2 2" xfId="27287" xr:uid="{00000000-0005-0000-0000-0000944B0000}"/>
    <cellStyle name="强调文字颜色 1 16 5 2 2 3" xfId="27290" xr:uid="{00000000-0005-0000-0000-0000954B0000}"/>
    <cellStyle name="强调文字颜色 1 16 5 2 3" xfId="27291" xr:uid="{00000000-0005-0000-0000-0000964B0000}"/>
    <cellStyle name="强调文字颜色 1 16 5 2 4" xfId="27292" xr:uid="{00000000-0005-0000-0000-0000974B0000}"/>
    <cellStyle name="强调文字颜色 1 16 5 2 5" xfId="27293" xr:uid="{00000000-0005-0000-0000-0000984B0000}"/>
    <cellStyle name="强调文字颜色 1 16 5 2 6" xfId="27294" xr:uid="{00000000-0005-0000-0000-0000994B0000}"/>
    <cellStyle name="强调文字颜色 1 16 5 2 7" xfId="27295" xr:uid="{00000000-0005-0000-0000-00009A4B0000}"/>
    <cellStyle name="强调文字颜色 1 16 5 2 8" xfId="27296" xr:uid="{00000000-0005-0000-0000-00009B4B0000}"/>
    <cellStyle name="强调文字颜色 1 16 5 3" xfId="2910" xr:uid="{00000000-0005-0000-0000-00009C4B0000}"/>
    <cellStyle name="强调文字颜色 1 16 5 4" xfId="4349" xr:uid="{00000000-0005-0000-0000-00009D4B0000}"/>
    <cellStyle name="强调文字颜色 1 16 5 5" xfId="4351" xr:uid="{00000000-0005-0000-0000-00009E4B0000}"/>
    <cellStyle name="强调文字颜色 1 16 5 6" xfId="4353" xr:uid="{00000000-0005-0000-0000-00009F4B0000}"/>
    <cellStyle name="强调文字颜色 1 16 5 6 2" xfId="27299" xr:uid="{00000000-0005-0000-0000-0000A04B0000}"/>
    <cellStyle name="强调文字颜色 1 16 5 6 3" xfId="27301" xr:uid="{00000000-0005-0000-0000-0000A14B0000}"/>
    <cellStyle name="强调文字颜色 1 16 5 7" xfId="4355" xr:uid="{00000000-0005-0000-0000-0000A24B0000}"/>
    <cellStyle name="强调文字颜色 1 16 5 8" xfId="4358" xr:uid="{00000000-0005-0000-0000-0000A34B0000}"/>
    <cellStyle name="强调文字颜色 1 16 5 9" xfId="4363" xr:uid="{00000000-0005-0000-0000-0000A44B0000}"/>
    <cellStyle name="强调文字颜色 1 16 6" xfId="27302" xr:uid="{00000000-0005-0000-0000-0000A54B0000}"/>
    <cellStyle name="强调文字颜色 1 16 6 2" xfId="5233" xr:uid="{00000000-0005-0000-0000-0000A64B0000}"/>
    <cellStyle name="强调文字颜色 1 16 6 2 2" xfId="27303" xr:uid="{00000000-0005-0000-0000-0000A74B0000}"/>
    <cellStyle name="强调文字颜色 1 16 6 2 3" xfId="27304" xr:uid="{00000000-0005-0000-0000-0000A84B0000}"/>
    <cellStyle name="强调文字颜色 1 16 6 3" xfId="4664" xr:uid="{00000000-0005-0000-0000-0000A94B0000}"/>
    <cellStyle name="强调文字颜色 1 16 6 4" xfId="4669" xr:uid="{00000000-0005-0000-0000-0000AA4B0000}"/>
    <cellStyle name="强调文字颜色 1 16 6 5" xfId="4672" xr:uid="{00000000-0005-0000-0000-0000AB4B0000}"/>
    <cellStyle name="强调文字颜色 1 16 6 6" xfId="4676" xr:uid="{00000000-0005-0000-0000-0000AC4B0000}"/>
    <cellStyle name="强调文字颜色 1 16 6 7" xfId="4680" xr:uid="{00000000-0005-0000-0000-0000AD4B0000}"/>
    <cellStyle name="强调文字颜色 1 16 6 8" xfId="4686" xr:uid="{00000000-0005-0000-0000-0000AE4B0000}"/>
    <cellStyle name="强调文字颜色 1 16 7" xfId="27305" xr:uid="{00000000-0005-0000-0000-0000AF4B0000}"/>
    <cellStyle name="强调文字颜色 1 16 8" xfId="27306" xr:uid="{00000000-0005-0000-0000-0000B04B0000}"/>
    <cellStyle name="强调文字颜色 1 16 9" xfId="27307" xr:uid="{00000000-0005-0000-0000-0000B14B0000}"/>
    <cellStyle name="强调文字颜色 1 16 9 2" xfId="27308" xr:uid="{00000000-0005-0000-0000-0000B24B0000}"/>
    <cellStyle name="强调文字颜色 1 16 9 3" xfId="27309" xr:uid="{00000000-0005-0000-0000-0000B34B0000}"/>
    <cellStyle name="强调文字颜色 1 17" xfId="27310" xr:uid="{00000000-0005-0000-0000-0000B44B0000}"/>
    <cellStyle name="强调文字颜色 1 17 10" xfId="1084" xr:uid="{00000000-0005-0000-0000-0000B54B0000}"/>
    <cellStyle name="强调文字颜色 1 17 11" xfId="4897" xr:uid="{00000000-0005-0000-0000-0000B64B0000}"/>
    <cellStyle name="强调文字颜色 1 17 12" xfId="27312" xr:uid="{00000000-0005-0000-0000-0000B74B0000}"/>
    <cellStyle name="强调文字颜色 1 17 13" xfId="22033" xr:uid="{00000000-0005-0000-0000-0000B84B0000}"/>
    <cellStyle name="强调文字颜色 1 17 14" xfId="22036" xr:uid="{00000000-0005-0000-0000-0000B94B0000}"/>
    <cellStyle name="强调文字颜色 1 17 2" xfId="27314" xr:uid="{00000000-0005-0000-0000-0000BA4B0000}"/>
    <cellStyle name="强调文字颜色 1 17 3" xfId="27316" xr:uid="{00000000-0005-0000-0000-0000BB4B0000}"/>
    <cellStyle name="强调文字颜色 1 17 4" xfId="27318" xr:uid="{00000000-0005-0000-0000-0000BC4B0000}"/>
    <cellStyle name="强调文字颜色 1 17 5" xfId="27319" xr:uid="{00000000-0005-0000-0000-0000BD4B0000}"/>
    <cellStyle name="强调文字颜色 1 17 5 10" xfId="23247" xr:uid="{00000000-0005-0000-0000-0000BE4B0000}"/>
    <cellStyle name="强调文字颜色 1 17 5 11" xfId="27320" xr:uid="{00000000-0005-0000-0000-0000BF4B0000}"/>
    <cellStyle name="强调文字颜色 1 17 5 2" xfId="271" xr:uid="{00000000-0005-0000-0000-0000C04B0000}"/>
    <cellStyle name="强调文字颜色 1 17 5 2 2" xfId="3594" xr:uid="{00000000-0005-0000-0000-0000C14B0000}"/>
    <cellStyle name="强调文字颜色 1 17 5 2 2 2" xfId="27323" xr:uid="{00000000-0005-0000-0000-0000C24B0000}"/>
    <cellStyle name="强调文字颜色 1 17 5 2 2 3" xfId="27324" xr:uid="{00000000-0005-0000-0000-0000C34B0000}"/>
    <cellStyle name="强调文字颜色 1 17 5 2 3" xfId="3606" xr:uid="{00000000-0005-0000-0000-0000C44B0000}"/>
    <cellStyle name="强调文字颜色 1 17 5 2 4" xfId="5937" xr:uid="{00000000-0005-0000-0000-0000C54B0000}"/>
    <cellStyle name="强调文字颜色 1 17 5 2 5" xfId="5949" xr:uid="{00000000-0005-0000-0000-0000C64B0000}"/>
    <cellStyle name="强调文字颜色 1 17 5 2 6" xfId="5958" xr:uid="{00000000-0005-0000-0000-0000C74B0000}"/>
    <cellStyle name="强调文字颜色 1 17 5 2 7" xfId="1500" xr:uid="{00000000-0005-0000-0000-0000C84B0000}"/>
    <cellStyle name="强调文字颜色 1 17 5 2 8" xfId="1515" xr:uid="{00000000-0005-0000-0000-0000C94B0000}"/>
    <cellStyle name="强调文字颜色 1 17 5 3" xfId="5882" xr:uid="{00000000-0005-0000-0000-0000CA4B0000}"/>
    <cellStyle name="强调文字颜色 1 17 5 4" xfId="5888" xr:uid="{00000000-0005-0000-0000-0000CB4B0000}"/>
    <cellStyle name="强调文字颜色 1 17 5 5" xfId="5891" xr:uid="{00000000-0005-0000-0000-0000CC4B0000}"/>
    <cellStyle name="强调文字颜色 1 17 5 6" xfId="5897" xr:uid="{00000000-0005-0000-0000-0000CD4B0000}"/>
    <cellStyle name="强调文字颜色 1 17 5 6 2" xfId="27325" xr:uid="{00000000-0005-0000-0000-0000CE4B0000}"/>
    <cellStyle name="强调文字颜色 1 17 5 6 3" xfId="27326" xr:uid="{00000000-0005-0000-0000-0000CF4B0000}"/>
    <cellStyle name="强调文字颜色 1 17 5 7" xfId="18872" xr:uid="{00000000-0005-0000-0000-0000D04B0000}"/>
    <cellStyle name="强调文字颜色 1 17 5 8" xfId="18875" xr:uid="{00000000-0005-0000-0000-0000D14B0000}"/>
    <cellStyle name="强调文字颜色 1 17 5 9" xfId="18878" xr:uid="{00000000-0005-0000-0000-0000D24B0000}"/>
    <cellStyle name="强调文字颜色 1 17 6" xfId="27327" xr:uid="{00000000-0005-0000-0000-0000D34B0000}"/>
    <cellStyle name="强调文字颜色 1 17 6 2" xfId="7989" xr:uid="{00000000-0005-0000-0000-0000D44B0000}"/>
    <cellStyle name="强调文字颜色 1 17 6 2 2" xfId="16963" xr:uid="{00000000-0005-0000-0000-0000D54B0000}"/>
    <cellStyle name="强调文字颜色 1 17 6 2 3" xfId="16964" xr:uid="{00000000-0005-0000-0000-0000D64B0000}"/>
    <cellStyle name="强调文字颜色 1 17 6 3" xfId="10564" xr:uid="{00000000-0005-0000-0000-0000D74B0000}"/>
    <cellStyle name="强调文字颜色 1 17 6 4" xfId="13434" xr:uid="{00000000-0005-0000-0000-0000D84B0000}"/>
    <cellStyle name="强调文字颜色 1 17 6 5" xfId="27328" xr:uid="{00000000-0005-0000-0000-0000D94B0000}"/>
    <cellStyle name="强调文字颜色 1 17 6 6" xfId="27329" xr:uid="{00000000-0005-0000-0000-0000DA4B0000}"/>
    <cellStyle name="强调文字颜色 1 17 6 7" xfId="25540" xr:uid="{00000000-0005-0000-0000-0000DB4B0000}"/>
    <cellStyle name="强调文字颜色 1 17 6 8" xfId="27330" xr:uid="{00000000-0005-0000-0000-0000DC4B0000}"/>
    <cellStyle name="强调文字颜色 1 17 7" xfId="27331" xr:uid="{00000000-0005-0000-0000-0000DD4B0000}"/>
    <cellStyle name="强调文字颜色 1 17 8" xfId="27332" xr:uid="{00000000-0005-0000-0000-0000DE4B0000}"/>
    <cellStyle name="强调文字颜色 1 17 9" xfId="27333" xr:uid="{00000000-0005-0000-0000-0000DF4B0000}"/>
    <cellStyle name="强调文字颜色 1 17 9 2" xfId="27335" xr:uid="{00000000-0005-0000-0000-0000E04B0000}"/>
    <cellStyle name="强调文字颜色 1 17 9 3" xfId="27337" xr:uid="{00000000-0005-0000-0000-0000E14B0000}"/>
    <cellStyle name="强调文字颜色 1 18" xfId="27338" xr:uid="{00000000-0005-0000-0000-0000E24B0000}"/>
    <cellStyle name="强调文字颜色 1 18 10" xfId="21778" xr:uid="{00000000-0005-0000-0000-0000E34B0000}"/>
    <cellStyle name="强调文字颜色 1 18 11" xfId="21810" xr:uid="{00000000-0005-0000-0000-0000E44B0000}"/>
    <cellStyle name="强调文字颜色 1 18 12" xfId="15850" xr:uid="{00000000-0005-0000-0000-0000E54B0000}"/>
    <cellStyle name="强调文字颜色 1 18 13" xfId="15868" xr:uid="{00000000-0005-0000-0000-0000E64B0000}"/>
    <cellStyle name="强调文字颜色 1 18 14" xfId="13573" xr:uid="{00000000-0005-0000-0000-0000E74B0000}"/>
    <cellStyle name="强调文字颜色 1 18 2" xfId="27341" xr:uid="{00000000-0005-0000-0000-0000E84B0000}"/>
    <cellStyle name="强调文字颜色 1 18 3" xfId="27343" xr:uid="{00000000-0005-0000-0000-0000E94B0000}"/>
    <cellStyle name="强调文字颜色 1 18 4" xfId="27344" xr:uid="{00000000-0005-0000-0000-0000EA4B0000}"/>
    <cellStyle name="强调文字颜色 1 18 5" xfId="27345" xr:uid="{00000000-0005-0000-0000-0000EB4B0000}"/>
    <cellStyle name="强调文字颜色 1 18 5 10" xfId="27347" xr:uid="{00000000-0005-0000-0000-0000EC4B0000}"/>
    <cellStyle name="强调文字颜色 1 18 5 11" xfId="21908" xr:uid="{00000000-0005-0000-0000-0000ED4B0000}"/>
    <cellStyle name="强调文字颜色 1 18 5 2" xfId="10260" xr:uid="{00000000-0005-0000-0000-0000EE4B0000}"/>
    <cellStyle name="强调文字颜色 1 18 5 2 2" xfId="13469" xr:uid="{00000000-0005-0000-0000-0000EF4B0000}"/>
    <cellStyle name="强调文字颜色 1 18 5 2 2 2" xfId="27350" xr:uid="{00000000-0005-0000-0000-0000F04B0000}"/>
    <cellStyle name="强调文字颜色 1 18 5 2 2 3" xfId="27351" xr:uid="{00000000-0005-0000-0000-0000F14B0000}"/>
    <cellStyle name="强调文字颜色 1 18 5 2 3" xfId="13475" xr:uid="{00000000-0005-0000-0000-0000F24B0000}"/>
    <cellStyle name="强调文字颜色 1 18 5 2 4" xfId="25751" xr:uid="{00000000-0005-0000-0000-0000F34B0000}"/>
    <cellStyle name="强调文字颜色 1 18 5 2 5" xfId="27352" xr:uid="{00000000-0005-0000-0000-0000F44B0000}"/>
    <cellStyle name="强调文字颜色 1 18 5 2 6" xfId="27353" xr:uid="{00000000-0005-0000-0000-0000F54B0000}"/>
    <cellStyle name="强调文字颜色 1 18 5 2 7" xfId="27354" xr:uid="{00000000-0005-0000-0000-0000F64B0000}"/>
    <cellStyle name="强调文字颜色 1 18 5 2 8" xfId="27355" xr:uid="{00000000-0005-0000-0000-0000F74B0000}"/>
    <cellStyle name="强调文字颜色 1 18 5 3" xfId="13478" xr:uid="{00000000-0005-0000-0000-0000F84B0000}"/>
    <cellStyle name="强调文字颜色 1 18 5 4" xfId="6454" xr:uid="{00000000-0005-0000-0000-0000F94B0000}"/>
    <cellStyle name="强调文字颜色 1 18 5 5" xfId="6458" xr:uid="{00000000-0005-0000-0000-0000FA4B0000}"/>
    <cellStyle name="强调文字颜色 1 18 5 6" xfId="6462" xr:uid="{00000000-0005-0000-0000-0000FB4B0000}"/>
    <cellStyle name="强调文字颜色 1 18 5 6 2" xfId="4367" xr:uid="{00000000-0005-0000-0000-0000FC4B0000}"/>
    <cellStyle name="强调文字颜色 1 18 5 6 3" xfId="7221" xr:uid="{00000000-0005-0000-0000-0000FD4B0000}"/>
    <cellStyle name="强调文字颜色 1 18 5 7" xfId="6467" xr:uid="{00000000-0005-0000-0000-0000FE4B0000}"/>
    <cellStyle name="强调文字颜色 1 18 5 8" xfId="6477" xr:uid="{00000000-0005-0000-0000-0000FF4B0000}"/>
    <cellStyle name="强调文字颜色 1 18 5 9" xfId="27356" xr:uid="{00000000-0005-0000-0000-0000004C0000}"/>
    <cellStyle name="强调文字颜色 1 18 6" xfId="27360" xr:uid="{00000000-0005-0000-0000-0000014C0000}"/>
    <cellStyle name="强调文字颜色 1 18 6 2" xfId="10313" xr:uid="{00000000-0005-0000-0000-0000024C0000}"/>
    <cellStyle name="强调文字颜色 1 18 6 2 2" xfId="27361" xr:uid="{00000000-0005-0000-0000-0000034C0000}"/>
    <cellStyle name="强调文字颜色 1 18 6 2 3" xfId="27363" xr:uid="{00000000-0005-0000-0000-0000044C0000}"/>
    <cellStyle name="强调文字颜色 1 18 6 3" xfId="10600" xr:uid="{00000000-0005-0000-0000-0000054C0000}"/>
    <cellStyle name="强调文字颜色 1 18 6 4" xfId="13492" xr:uid="{00000000-0005-0000-0000-0000064C0000}"/>
    <cellStyle name="强调文字颜色 1 18 6 5" xfId="27365" xr:uid="{00000000-0005-0000-0000-0000074C0000}"/>
    <cellStyle name="强调文字颜色 1 18 6 6" xfId="27366" xr:uid="{00000000-0005-0000-0000-0000084C0000}"/>
    <cellStyle name="强调文字颜色 1 18 6 7" xfId="27367" xr:uid="{00000000-0005-0000-0000-0000094C0000}"/>
    <cellStyle name="强调文字颜色 1 18 6 8" xfId="27368" xr:uid="{00000000-0005-0000-0000-00000A4C0000}"/>
    <cellStyle name="强调文字颜色 1 18 7" xfId="5166" xr:uid="{00000000-0005-0000-0000-00000B4C0000}"/>
    <cellStyle name="强调文字颜色 1 18 8" xfId="5172" xr:uid="{00000000-0005-0000-0000-00000C4C0000}"/>
    <cellStyle name="强调文字颜色 1 18 9" xfId="27369" xr:uid="{00000000-0005-0000-0000-00000D4C0000}"/>
    <cellStyle name="强调文字颜色 1 18 9 2" xfId="15144" xr:uid="{00000000-0005-0000-0000-00000E4C0000}"/>
    <cellStyle name="强调文字颜色 1 18 9 3" xfId="15146" xr:uid="{00000000-0005-0000-0000-00000F4C0000}"/>
    <cellStyle name="强调文字颜色 1 19" xfId="27370" xr:uid="{00000000-0005-0000-0000-0000104C0000}"/>
    <cellStyle name="强调文字颜色 1 2" xfId="27372" xr:uid="{00000000-0005-0000-0000-0000114C0000}"/>
    <cellStyle name="强调文字颜色 1 2 10" xfId="27373" xr:uid="{00000000-0005-0000-0000-0000124C0000}"/>
    <cellStyle name="强调文字颜色 1 2 11" xfId="27374" xr:uid="{00000000-0005-0000-0000-0000134C0000}"/>
    <cellStyle name="强调文字颜色 1 2 12" xfId="27375" xr:uid="{00000000-0005-0000-0000-0000144C0000}"/>
    <cellStyle name="强调文字颜色 1 2 13" xfId="16222" xr:uid="{00000000-0005-0000-0000-0000154C0000}"/>
    <cellStyle name="强调文字颜色 1 2 14" xfId="16229" xr:uid="{00000000-0005-0000-0000-0000164C0000}"/>
    <cellStyle name="强调文字颜色 1 2 15" xfId="27378" xr:uid="{00000000-0005-0000-0000-0000174C0000}"/>
    <cellStyle name="强调文字颜色 1 2 16" xfId="27381" xr:uid="{00000000-0005-0000-0000-0000184C0000}"/>
    <cellStyle name="强调文字颜色 1 2 17" xfId="27383" xr:uid="{00000000-0005-0000-0000-0000194C0000}"/>
    <cellStyle name="强调文字颜色 1 2 17 10" xfId="11853" xr:uid="{00000000-0005-0000-0000-00001A4C0000}"/>
    <cellStyle name="强调文字颜色 1 2 17 11" xfId="9141" xr:uid="{00000000-0005-0000-0000-00001B4C0000}"/>
    <cellStyle name="强调文字颜色 1 2 17 12" xfId="9151" xr:uid="{00000000-0005-0000-0000-00001C4C0000}"/>
    <cellStyle name="强调文字颜色 1 2 17 13" xfId="11426" xr:uid="{00000000-0005-0000-0000-00001D4C0000}"/>
    <cellStyle name="强调文字颜色 1 2 17 14" xfId="8733" xr:uid="{00000000-0005-0000-0000-00001E4C0000}"/>
    <cellStyle name="强调文字颜色 1 2 17 2" xfId="2112" xr:uid="{00000000-0005-0000-0000-00001F4C0000}"/>
    <cellStyle name="强调文字颜色 1 2 17 3" xfId="2130" xr:uid="{00000000-0005-0000-0000-0000204C0000}"/>
    <cellStyle name="强调文字颜色 1 2 17 4" xfId="2148" xr:uid="{00000000-0005-0000-0000-0000214C0000}"/>
    <cellStyle name="强调文字颜色 1 2 17 5" xfId="17448" xr:uid="{00000000-0005-0000-0000-0000224C0000}"/>
    <cellStyle name="强调文字颜色 1 2 17 5 10" xfId="27384" xr:uid="{00000000-0005-0000-0000-0000234C0000}"/>
    <cellStyle name="强调文字颜色 1 2 17 5 11" xfId="453" xr:uid="{00000000-0005-0000-0000-0000244C0000}"/>
    <cellStyle name="强调文字颜色 1 2 17 5 2" xfId="1783" xr:uid="{00000000-0005-0000-0000-0000254C0000}"/>
    <cellStyle name="强调文字颜色 1 2 17 5 2 2" xfId="27385" xr:uid="{00000000-0005-0000-0000-0000264C0000}"/>
    <cellStyle name="强调文字颜色 1 2 17 5 2 2 2" xfId="8864" xr:uid="{00000000-0005-0000-0000-0000274C0000}"/>
    <cellStyle name="强调文字颜色 1 2 17 5 2 2 3" xfId="21819" xr:uid="{00000000-0005-0000-0000-0000284C0000}"/>
    <cellStyle name="强调文字颜色 1 2 17 5 2 3" xfId="27387" xr:uid="{00000000-0005-0000-0000-0000294C0000}"/>
    <cellStyle name="强调文字颜色 1 2 17 5 2 4" xfId="23192" xr:uid="{00000000-0005-0000-0000-00002A4C0000}"/>
    <cellStyle name="强调文字颜色 1 2 17 5 2 5" xfId="23209" xr:uid="{00000000-0005-0000-0000-00002B4C0000}"/>
    <cellStyle name="强调文字颜色 1 2 17 5 2 6" xfId="23212" xr:uid="{00000000-0005-0000-0000-00002C4C0000}"/>
    <cellStyle name="强调文字颜色 1 2 17 5 2 7" xfId="23215" xr:uid="{00000000-0005-0000-0000-00002D4C0000}"/>
    <cellStyle name="强调文字颜色 1 2 17 5 2 8" xfId="23218" xr:uid="{00000000-0005-0000-0000-00002E4C0000}"/>
    <cellStyle name="强调文字颜色 1 2 17 5 3" xfId="27389" xr:uid="{00000000-0005-0000-0000-00002F4C0000}"/>
    <cellStyle name="强调文字颜色 1 2 17 5 4" xfId="27390" xr:uid="{00000000-0005-0000-0000-0000304C0000}"/>
    <cellStyle name="强调文字颜色 1 2 17 5 5" xfId="27391" xr:uid="{00000000-0005-0000-0000-0000314C0000}"/>
    <cellStyle name="强调文字颜色 1 2 17 5 6" xfId="27392" xr:uid="{00000000-0005-0000-0000-0000324C0000}"/>
    <cellStyle name="强调文字颜色 1 2 17 5 6 2" xfId="23241" xr:uid="{00000000-0005-0000-0000-0000334C0000}"/>
    <cellStyle name="强调文字颜色 1 2 17 5 6 3" xfId="18893" xr:uid="{00000000-0005-0000-0000-0000344C0000}"/>
    <cellStyle name="强调文字颜色 1 2 17 5 7" xfId="27393" xr:uid="{00000000-0005-0000-0000-0000354C0000}"/>
    <cellStyle name="强调文字颜色 1 2 17 5 8" xfId="27394" xr:uid="{00000000-0005-0000-0000-0000364C0000}"/>
    <cellStyle name="强调文字颜色 1 2 17 5 9" xfId="27395" xr:uid="{00000000-0005-0000-0000-0000374C0000}"/>
    <cellStyle name="强调文字颜色 1 2 17 6" xfId="23145" xr:uid="{00000000-0005-0000-0000-0000384C0000}"/>
    <cellStyle name="强调文字颜色 1 2 17 6 2" xfId="27397" xr:uid="{00000000-0005-0000-0000-0000394C0000}"/>
    <cellStyle name="强调文字颜色 1 2 17 6 2 2" xfId="27398" xr:uid="{00000000-0005-0000-0000-00003A4C0000}"/>
    <cellStyle name="强调文字颜色 1 2 17 6 2 3" xfId="27400" xr:uid="{00000000-0005-0000-0000-00003B4C0000}"/>
    <cellStyle name="强调文字颜色 1 2 17 6 3" xfId="27403" xr:uid="{00000000-0005-0000-0000-00003C4C0000}"/>
    <cellStyle name="强调文字颜色 1 2 17 6 4" xfId="27405" xr:uid="{00000000-0005-0000-0000-00003D4C0000}"/>
    <cellStyle name="强调文字颜色 1 2 17 6 5" xfId="27406" xr:uid="{00000000-0005-0000-0000-00003E4C0000}"/>
    <cellStyle name="强调文字颜色 1 2 17 6 6" xfId="27407" xr:uid="{00000000-0005-0000-0000-00003F4C0000}"/>
    <cellStyle name="强调文字颜色 1 2 17 6 7" xfId="27408" xr:uid="{00000000-0005-0000-0000-0000404C0000}"/>
    <cellStyle name="强调文字颜色 1 2 17 6 8" xfId="27409" xr:uid="{00000000-0005-0000-0000-0000414C0000}"/>
    <cellStyle name="强调文字颜色 1 2 17 7" xfId="23147" xr:uid="{00000000-0005-0000-0000-0000424C0000}"/>
    <cellStyle name="强调文字颜色 1 2 17 8" xfId="23149" xr:uid="{00000000-0005-0000-0000-0000434C0000}"/>
    <cellStyle name="强调文字颜色 1 2 17 9" xfId="20468" xr:uid="{00000000-0005-0000-0000-0000444C0000}"/>
    <cellStyle name="强调文字颜色 1 2 17 9 2" xfId="27411" xr:uid="{00000000-0005-0000-0000-0000454C0000}"/>
    <cellStyle name="强调文字颜色 1 2 17 9 3" xfId="17833" xr:uid="{00000000-0005-0000-0000-0000464C0000}"/>
    <cellStyle name="强调文字颜色 1 2 18" xfId="27413" xr:uid="{00000000-0005-0000-0000-0000474C0000}"/>
    <cellStyle name="强调文字颜色 1 2 18 10" xfId="27414" xr:uid="{00000000-0005-0000-0000-0000484C0000}"/>
    <cellStyle name="强调文字颜色 1 2 18 11" xfId="27416" xr:uid="{00000000-0005-0000-0000-0000494C0000}"/>
    <cellStyle name="强调文字颜色 1 2 18 12" xfId="27417" xr:uid="{00000000-0005-0000-0000-00004A4C0000}"/>
    <cellStyle name="强调文字颜色 1 2 18 13" xfId="27419" xr:uid="{00000000-0005-0000-0000-00004B4C0000}"/>
    <cellStyle name="强调文字颜色 1 2 18 14" xfId="27421" xr:uid="{00000000-0005-0000-0000-00004C4C0000}"/>
    <cellStyle name="强调文字颜色 1 2 18 2" xfId="27422" xr:uid="{00000000-0005-0000-0000-00004D4C0000}"/>
    <cellStyle name="强调文字颜色 1 2 18 3" xfId="27423" xr:uid="{00000000-0005-0000-0000-00004E4C0000}"/>
    <cellStyle name="强调文字颜色 1 2 18 4" xfId="27424" xr:uid="{00000000-0005-0000-0000-00004F4C0000}"/>
    <cellStyle name="强调文字颜色 1 2 18 5" xfId="27425" xr:uid="{00000000-0005-0000-0000-0000504C0000}"/>
    <cellStyle name="强调文字颜色 1 2 18 5 10" xfId="27427" xr:uid="{00000000-0005-0000-0000-0000514C0000}"/>
    <cellStyle name="强调文字颜色 1 2 18 5 11" xfId="5262" xr:uid="{00000000-0005-0000-0000-0000524C0000}"/>
    <cellStyle name="强调文字颜色 1 2 18 5 2" xfId="849" xr:uid="{00000000-0005-0000-0000-0000534C0000}"/>
    <cellStyle name="强调文字颜色 1 2 18 5 2 2" xfId="27429" xr:uid="{00000000-0005-0000-0000-0000544C0000}"/>
    <cellStyle name="强调文字颜色 1 2 18 5 2 2 2" xfId="27432" xr:uid="{00000000-0005-0000-0000-0000554C0000}"/>
    <cellStyle name="强调文字颜色 1 2 18 5 2 2 3" xfId="27433" xr:uid="{00000000-0005-0000-0000-0000564C0000}"/>
    <cellStyle name="强调文字颜色 1 2 18 5 2 3" xfId="27434" xr:uid="{00000000-0005-0000-0000-0000574C0000}"/>
    <cellStyle name="强调文字颜色 1 2 18 5 2 4" xfId="27437" xr:uid="{00000000-0005-0000-0000-0000584C0000}"/>
    <cellStyle name="强调文字颜色 1 2 18 5 2 5" xfId="27440" xr:uid="{00000000-0005-0000-0000-0000594C0000}"/>
    <cellStyle name="强调文字颜色 1 2 18 5 2 6" xfId="27443" xr:uid="{00000000-0005-0000-0000-00005A4C0000}"/>
    <cellStyle name="强调文字颜色 1 2 18 5 2 7" xfId="27445" xr:uid="{00000000-0005-0000-0000-00005B4C0000}"/>
    <cellStyle name="强调文字颜色 1 2 18 5 2 8" xfId="27447" xr:uid="{00000000-0005-0000-0000-00005C4C0000}"/>
    <cellStyle name="强调文字颜色 1 2 18 5 3" xfId="14674" xr:uid="{00000000-0005-0000-0000-00005D4C0000}"/>
    <cellStyle name="强调文字颜色 1 2 18 5 4" xfId="14676" xr:uid="{00000000-0005-0000-0000-00005E4C0000}"/>
    <cellStyle name="强调文字颜色 1 2 18 5 5" xfId="14678" xr:uid="{00000000-0005-0000-0000-00005F4C0000}"/>
    <cellStyle name="强调文字颜色 1 2 18 5 6" xfId="14680" xr:uid="{00000000-0005-0000-0000-0000604C0000}"/>
    <cellStyle name="强调文字颜色 1 2 18 5 6 2" xfId="3666" xr:uid="{00000000-0005-0000-0000-0000614C0000}"/>
    <cellStyle name="强调文字颜色 1 2 18 5 6 3" xfId="3675" xr:uid="{00000000-0005-0000-0000-0000624C0000}"/>
    <cellStyle name="强调文字颜色 1 2 18 5 7" xfId="27449" xr:uid="{00000000-0005-0000-0000-0000634C0000}"/>
    <cellStyle name="强调文字颜色 1 2 18 5 8" xfId="27450" xr:uid="{00000000-0005-0000-0000-0000644C0000}"/>
    <cellStyle name="强调文字颜色 1 2 18 5 9" xfId="27451" xr:uid="{00000000-0005-0000-0000-0000654C0000}"/>
    <cellStyle name="强调文字颜色 1 2 18 6" xfId="27452" xr:uid="{00000000-0005-0000-0000-0000664C0000}"/>
    <cellStyle name="强调文字颜色 1 2 18 6 2" xfId="5250" xr:uid="{00000000-0005-0000-0000-0000674C0000}"/>
    <cellStyle name="强调文字颜色 1 2 18 6 2 2" xfId="27453" xr:uid="{00000000-0005-0000-0000-0000684C0000}"/>
    <cellStyle name="强调文字颜色 1 2 18 6 2 3" xfId="4819" xr:uid="{00000000-0005-0000-0000-0000694C0000}"/>
    <cellStyle name="强调文字颜色 1 2 18 6 3" xfId="5257" xr:uid="{00000000-0005-0000-0000-00006A4C0000}"/>
    <cellStyle name="强调文字颜色 1 2 18 6 4" xfId="5339" xr:uid="{00000000-0005-0000-0000-00006B4C0000}"/>
    <cellStyle name="强调文字颜色 1 2 18 6 5" xfId="5352" xr:uid="{00000000-0005-0000-0000-00006C4C0000}"/>
    <cellStyle name="强调文字颜色 1 2 18 6 6" xfId="3225" xr:uid="{00000000-0005-0000-0000-00006D4C0000}"/>
    <cellStyle name="强调文字颜色 1 2 18 6 7" xfId="3244" xr:uid="{00000000-0005-0000-0000-00006E4C0000}"/>
    <cellStyle name="强调文字颜色 1 2 18 6 8" xfId="2930" xr:uid="{00000000-0005-0000-0000-00006F4C0000}"/>
    <cellStyle name="强调文字颜色 1 2 18 7" xfId="27455" xr:uid="{00000000-0005-0000-0000-0000704C0000}"/>
    <cellStyle name="强调文字颜色 1 2 18 8" xfId="27456" xr:uid="{00000000-0005-0000-0000-0000714C0000}"/>
    <cellStyle name="强调文字颜色 1 2 18 9" xfId="27457" xr:uid="{00000000-0005-0000-0000-0000724C0000}"/>
    <cellStyle name="强调文字颜色 1 2 18 9 2" xfId="27458" xr:uid="{00000000-0005-0000-0000-0000734C0000}"/>
    <cellStyle name="强调文字颜色 1 2 18 9 3" xfId="27459" xr:uid="{00000000-0005-0000-0000-0000744C0000}"/>
    <cellStyle name="强调文字颜色 1 2 19" xfId="27461" xr:uid="{00000000-0005-0000-0000-0000754C0000}"/>
    <cellStyle name="强调文字颜色 1 2 19 10" xfId="27462" xr:uid="{00000000-0005-0000-0000-0000764C0000}"/>
    <cellStyle name="强调文字颜色 1 2 19 11" xfId="27463" xr:uid="{00000000-0005-0000-0000-0000774C0000}"/>
    <cellStyle name="强调文字颜色 1 2 19 12" xfId="27464" xr:uid="{00000000-0005-0000-0000-0000784C0000}"/>
    <cellStyle name="强调文字颜色 1 2 19 13" xfId="27465" xr:uid="{00000000-0005-0000-0000-0000794C0000}"/>
    <cellStyle name="强调文字颜色 1 2 19 14" xfId="19577" xr:uid="{00000000-0005-0000-0000-00007A4C0000}"/>
    <cellStyle name="强调文字颜色 1 2 19 2" xfId="27466" xr:uid="{00000000-0005-0000-0000-00007B4C0000}"/>
    <cellStyle name="强调文字颜色 1 2 19 3" xfId="27468" xr:uid="{00000000-0005-0000-0000-00007C4C0000}"/>
    <cellStyle name="强调文字颜色 1 2 19 4" xfId="27470" xr:uid="{00000000-0005-0000-0000-00007D4C0000}"/>
    <cellStyle name="强调文字颜色 1 2 19 5" xfId="25789" xr:uid="{00000000-0005-0000-0000-00007E4C0000}"/>
    <cellStyle name="强调文字颜色 1 2 19 5 10" xfId="27471" xr:uid="{00000000-0005-0000-0000-00007F4C0000}"/>
    <cellStyle name="强调文字颜色 1 2 19 5 11" xfId="1801" xr:uid="{00000000-0005-0000-0000-0000804C0000}"/>
    <cellStyle name="强调文字颜色 1 2 19 5 2" xfId="2713" xr:uid="{00000000-0005-0000-0000-0000814C0000}"/>
    <cellStyle name="强调文字颜色 1 2 19 5 2 2" xfId="27473" xr:uid="{00000000-0005-0000-0000-0000824C0000}"/>
    <cellStyle name="强调文字颜色 1 2 19 5 2 2 2" xfId="4091" xr:uid="{00000000-0005-0000-0000-0000834C0000}"/>
    <cellStyle name="强调文字颜色 1 2 19 5 2 2 3" xfId="27475" xr:uid="{00000000-0005-0000-0000-0000844C0000}"/>
    <cellStyle name="强调文字颜色 1 2 19 5 2 3" xfId="27477" xr:uid="{00000000-0005-0000-0000-0000854C0000}"/>
    <cellStyle name="强调文字颜色 1 2 19 5 2 4" xfId="27479" xr:uid="{00000000-0005-0000-0000-0000864C0000}"/>
    <cellStyle name="强调文字颜色 1 2 19 5 2 5" xfId="20230" xr:uid="{00000000-0005-0000-0000-0000874C0000}"/>
    <cellStyle name="强调文字颜色 1 2 19 5 2 6" xfId="20251" xr:uid="{00000000-0005-0000-0000-0000884C0000}"/>
    <cellStyle name="强调文字颜色 1 2 19 5 2 7" xfId="9011" xr:uid="{00000000-0005-0000-0000-0000894C0000}"/>
    <cellStyle name="强调文字颜色 1 2 19 5 2 8" xfId="9018" xr:uid="{00000000-0005-0000-0000-00008A4C0000}"/>
    <cellStyle name="强调文字颜色 1 2 19 5 3" xfId="27480" xr:uid="{00000000-0005-0000-0000-00008B4C0000}"/>
    <cellStyle name="强调文字颜色 1 2 19 5 4" xfId="24484" xr:uid="{00000000-0005-0000-0000-00008C4C0000}"/>
    <cellStyle name="强调文字颜色 1 2 19 5 5" xfId="27481" xr:uid="{00000000-0005-0000-0000-00008D4C0000}"/>
    <cellStyle name="强调文字颜色 1 2 19 5 6" xfId="27482" xr:uid="{00000000-0005-0000-0000-00008E4C0000}"/>
    <cellStyle name="强调文字颜色 1 2 19 5 6 2" xfId="6103" xr:uid="{00000000-0005-0000-0000-00008F4C0000}"/>
    <cellStyle name="强调文字颜色 1 2 19 5 6 3" xfId="6146" xr:uid="{00000000-0005-0000-0000-0000904C0000}"/>
    <cellStyle name="强调文字颜色 1 2 19 5 7" xfId="27483" xr:uid="{00000000-0005-0000-0000-0000914C0000}"/>
    <cellStyle name="强调文字颜色 1 2 19 5 8" xfId="27484" xr:uid="{00000000-0005-0000-0000-0000924C0000}"/>
    <cellStyle name="强调文字颜色 1 2 19 5 9" xfId="27485" xr:uid="{00000000-0005-0000-0000-0000934C0000}"/>
    <cellStyle name="强调文字颜色 1 2 19 6" xfId="27486" xr:uid="{00000000-0005-0000-0000-0000944C0000}"/>
    <cellStyle name="强调文字颜色 1 2 19 6 2" xfId="27487" xr:uid="{00000000-0005-0000-0000-0000954C0000}"/>
    <cellStyle name="强调文字颜色 1 2 19 6 2 2" xfId="27488" xr:uid="{00000000-0005-0000-0000-0000964C0000}"/>
    <cellStyle name="强调文字颜色 1 2 19 6 2 3" xfId="27489" xr:uid="{00000000-0005-0000-0000-0000974C0000}"/>
    <cellStyle name="强调文字颜色 1 2 19 6 3" xfId="27490" xr:uid="{00000000-0005-0000-0000-0000984C0000}"/>
    <cellStyle name="强调文字颜色 1 2 19 6 4" xfId="27491" xr:uid="{00000000-0005-0000-0000-0000994C0000}"/>
    <cellStyle name="强调文字颜色 1 2 19 6 5" xfId="27492" xr:uid="{00000000-0005-0000-0000-00009A4C0000}"/>
    <cellStyle name="强调文字颜色 1 2 19 6 6" xfId="27494" xr:uid="{00000000-0005-0000-0000-00009B4C0000}"/>
    <cellStyle name="强调文字颜色 1 2 19 6 7" xfId="27496" xr:uid="{00000000-0005-0000-0000-00009C4C0000}"/>
    <cellStyle name="强调文字颜色 1 2 19 6 8" xfId="27498" xr:uid="{00000000-0005-0000-0000-00009D4C0000}"/>
    <cellStyle name="强调文字颜色 1 2 19 7" xfId="27499" xr:uid="{00000000-0005-0000-0000-00009E4C0000}"/>
    <cellStyle name="强调文字颜色 1 2 19 8" xfId="27500" xr:uid="{00000000-0005-0000-0000-00009F4C0000}"/>
    <cellStyle name="强调文字颜色 1 2 19 9" xfId="5332" xr:uid="{00000000-0005-0000-0000-0000A04C0000}"/>
    <cellStyle name="强调文字颜色 1 2 19 9 2" xfId="27501" xr:uid="{00000000-0005-0000-0000-0000A14C0000}"/>
    <cellStyle name="强调文字颜色 1 2 19 9 3" xfId="27502" xr:uid="{00000000-0005-0000-0000-0000A24C0000}"/>
    <cellStyle name="强调文字颜色 1 2 2" xfId="27503" xr:uid="{00000000-0005-0000-0000-0000A34C0000}"/>
    <cellStyle name="强调文字颜色 1 2 2 10" xfId="21118" xr:uid="{00000000-0005-0000-0000-0000A44C0000}"/>
    <cellStyle name="强调文字颜色 1 2 2 11" xfId="21120" xr:uid="{00000000-0005-0000-0000-0000A54C0000}"/>
    <cellStyle name="强调文字颜色 1 2 2 12" xfId="27504" xr:uid="{00000000-0005-0000-0000-0000A64C0000}"/>
    <cellStyle name="强调文字颜色 1 2 2 13" xfId="27506" xr:uid="{00000000-0005-0000-0000-0000A74C0000}"/>
    <cellStyle name="强调文字颜色 1 2 2 14" xfId="27508" xr:uid="{00000000-0005-0000-0000-0000A84C0000}"/>
    <cellStyle name="强调文字颜色 1 2 2 2" xfId="27510" xr:uid="{00000000-0005-0000-0000-0000A94C0000}"/>
    <cellStyle name="强调文字颜色 1 2 2 3" xfId="27513" xr:uid="{00000000-0005-0000-0000-0000AA4C0000}"/>
    <cellStyle name="强调文字颜色 1 2 2 4" xfId="27516" xr:uid="{00000000-0005-0000-0000-0000AB4C0000}"/>
    <cellStyle name="强调文字颜色 1 2 2 5" xfId="27520" xr:uid="{00000000-0005-0000-0000-0000AC4C0000}"/>
    <cellStyle name="强调文字颜色 1 2 2 6" xfId="27524" xr:uid="{00000000-0005-0000-0000-0000AD4C0000}"/>
    <cellStyle name="强调文字颜色 1 2 2 7" xfId="27527" xr:uid="{00000000-0005-0000-0000-0000AE4C0000}"/>
    <cellStyle name="强调文字颜色 1 2 2 8" xfId="27528" xr:uid="{00000000-0005-0000-0000-0000AF4C0000}"/>
    <cellStyle name="强调文字颜色 1 2 2 9" xfId="27529" xr:uid="{00000000-0005-0000-0000-0000B04C0000}"/>
    <cellStyle name="强调文字颜色 1 2 20" xfId="27379" xr:uid="{00000000-0005-0000-0000-0000B14C0000}"/>
    <cellStyle name="强调文字颜色 1 2 20 10" xfId="27530" xr:uid="{00000000-0005-0000-0000-0000B24C0000}"/>
    <cellStyle name="强调文字颜色 1 2 20 11" xfId="27532" xr:uid="{00000000-0005-0000-0000-0000B34C0000}"/>
    <cellStyle name="强调文字颜色 1 2 20 12" xfId="27534" xr:uid="{00000000-0005-0000-0000-0000B44C0000}"/>
    <cellStyle name="强调文字颜色 1 2 20 13" xfId="27536" xr:uid="{00000000-0005-0000-0000-0000B54C0000}"/>
    <cellStyle name="强调文字颜色 1 2 20 14" xfId="27538" xr:uid="{00000000-0005-0000-0000-0000B64C0000}"/>
    <cellStyle name="强调文字颜色 1 2 20 2" xfId="27540" xr:uid="{00000000-0005-0000-0000-0000B74C0000}"/>
    <cellStyle name="强调文字颜色 1 2 20 3" xfId="27542" xr:uid="{00000000-0005-0000-0000-0000B84C0000}"/>
    <cellStyle name="强调文字颜色 1 2 20 4" xfId="27543" xr:uid="{00000000-0005-0000-0000-0000B94C0000}"/>
    <cellStyle name="强调文字颜色 1 2 20 5" xfId="27544" xr:uid="{00000000-0005-0000-0000-0000BA4C0000}"/>
    <cellStyle name="强调文字颜色 1 2 20 5 10" xfId="15109" xr:uid="{00000000-0005-0000-0000-0000BB4C0000}"/>
    <cellStyle name="强调文字颜色 1 2 20 5 11" xfId="15153" xr:uid="{00000000-0005-0000-0000-0000BC4C0000}"/>
    <cellStyle name="强调文字颜色 1 2 20 5 2" xfId="27545" xr:uid="{00000000-0005-0000-0000-0000BD4C0000}"/>
    <cellStyle name="强调文字颜色 1 2 20 5 2 2" xfId="24615" xr:uid="{00000000-0005-0000-0000-0000BE4C0000}"/>
    <cellStyle name="强调文字颜色 1 2 20 5 2 2 2" xfId="23495" xr:uid="{00000000-0005-0000-0000-0000BF4C0000}"/>
    <cellStyle name="强调文字颜色 1 2 20 5 2 2 3" xfId="27547" xr:uid="{00000000-0005-0000-0000-0000C04C0000}"/>
    <cellStyle name="强调文字颜色 1 2 20 5 2 3" xfId="27548" xr:uid="{00000000-0005-0000-0000-0000C14C0000}"/>
    <cellStyle name="强调文字颜色 1 2 20 5 2 4" xfId="27550" xr:uid="{00000000-0005-0000-0000-0000C24C0000}"/>
    <cellStyle name="强调文字颜色 1 2 20 5 2 5" xfId="27552" xr:uid="{00000000-0005-0000-0000-0000C34C0000}"/>
    <cellStyle name="强调文字颜色 1 2 20 5 2 6" xfId="27554" xr:uid="{00000000-0005-0000-0000-0000C44C0000}"/>
    <cellStyle name="强调文字颜色 1 2 20 5 2 7" xfId="27556" xr:uid="{00000000-0005-0000-0000-0000C54C0000}"/>
    <cellStyle name="强调文字颜色 1 2 20 5 2 8" xfId="27558" xr:uid="{00000000-0005-0000-0000-0000C64C0000}"/>
    <cellStyle name="强调文字颜色 1 2 20 5 3" xfId="4760" xr:uid="{00000000-0005-0000-0000-0000C74C0000}"/>
    <cellStyle name="强调文字颜色 1 2 20 5 4" xfId="4770" xr:uid="{00000000-0005-0000-0000-0000C84C0000}"/>
    <cellStyle name="强调文字颜色 1 2 20 5 5" xfId="27560" xr:uid="{00000000-0005-0000-0000-0000C94C0000}"/>
    <cellStyle name="强调文字颜色 1 2 20 5 6" xfId="27564" xr:uid="{00000000-0005-0000-0000-0000CA4C0000}"/>
    <cellStyle name="强调文字颜色 1 2 20 5 6 2" xfId="27565" xr:uid="{00000000-0005-0000-0000-0000CB4C0000}"/>
    <cellStyle name="强调文字颜色 1 2 20 5 6 3" xfId="27566" xr:uid="{00000000-0005-0000-0000-0000CC4C0000}"/>
    <cellStyle name="强调文字颜色 1 2 20 5 7" xfId="27567" xr:uid="{00000000-0005-0000-0000-0000CD4C0000}"/>
    <cellStyle name="强调文字颜色 1 2 20 5 8" xfId="27568" xr:uid="{00000000-0005-0000-0000-0000CE4C0000}"/>
    <cellStyle name="强调文字颜色 1 2 20 5 9" xfId="27569" xr:uid="{00000000-0005-0000-0000-0000CF4C0000}"/>
    <cellStyle name="强调文字颜色 1 2 20 6" xfId="27570" xr:uid="{00000000-0005-0000-0000-0000D04C0000}"/>
    <cellStyle name="强调文字颜色 1 2 20 6 2" xfId="20945" xr:uid="{00000000-0005-0000-0000-0000D14C0000}"/>
    <cellStyle name="强调文字颜色 1 2 20 6 2 2" xfId="27571" xr:uid="{00000000-0005-0000-0000-0000D24C0000}"/>
    <cellStyle name="强调文字颜色 1 2 20 6 2 3" xfId="27573" xr:uid="{00000000-0005-0000-0000-0000D34C0000}"/>
    <cellStyle name="强调文字颜色 1 2 20 6 3" xfId="20949" xr:uid="{00000000-0005-0000-0000-0000D44C0000}"/>
    <cellStyle name="强调文字颜色 1 2 20 6 4" xfId="20952" xr:uid="{00000000-0005-0000-0000-0000D54C0000}"/>
    <cellStyle name="强调文字颜色 1 2 20 6 5" xfId="27576" xr:uid="{00000000-0005-0000-0000-0000D64C0000}"/>
    <cellStyle name="强调文字颜色 1 2 20 6 6" xfId="27578" xr:uid="{00000000-0005-0000-0000-0000D74C0000}"/>
    <cellStyle name="强调文字颜色 1 2 20 6 7" xfId="27580" xr:uid="{00000000-0005-0000-0000-0000D84C0000}"/>
    <cellStyle name="强调文字颜色 1 2 20 6 8" xfId="27582" xr:uid="{00000000-0005-0000-0000-0000D94C0000}"/>
    <cellStyle name="强调文字颜色 1 2 20 7" xfId="27583" xr:uid="{00000000-0005-0000-0000-0000DA4C0000}"/>
    <cellStyle name="强调文字颜色 1 2 20 8" xfId="27584" xr:uid="{00000000-0005-0000-0000-0000DB4C0000}"/>
    <cellStyle name="强调文字颜色 1 2 20 9" xfId="27585" xr:uid="{00000000-0005-0000-0000-0000DC4C0000}"/>
    <cellStyle name="强调文字颜色 1 2 20 9 2" xfId="18897" xr:uid="{00000000-0005-0000-0000-0000DD4C0000}"/>
    <cellStyle name="强调文字颜色 1 2 20 9 3" xfId="5718" xr:uid="{00000000-0005-0000-0000-0000DE4C0000}"/>
    <cellStyle name="强调文字颜色 1 2 3" xfId="9165" xr:uid="{00000000-0005-0000-0000-0000DF4C0000}"/>
    <cellStyle name="强调文字颜色 1 2 3 10" xfId="17152" xr:uid="{00000000-0005-0000-0000-0000E04C0000}"/>
    <cellStyle name="强调文字颜色 1 2 3 11" xfId="1795" xr:uid="{00000000-0005-0000-0000-0000E14C0000}"/>
    <cellStyle name="强调文字颜色 1 2 3 12" xfId="27586" xr:uid="{00000000-0005-0000-0000-0000E24C0000}"/>
    <cellStyle name="强调文字颜色 1 2 3 13" xfId="27588" xr:uid="{00000000-0005-0000-0000-0000E34C0000}"/>
    <cellStyle name="强调文字颜色 1 2 3 14" xfId="27591" xr:uid="{00000000-0005-0000-0000-0000E44C0000}"/>
    <cellStyle name="强调文字颜色 1 2 3 2" xfId="27593" xr:uid="{00000000-0005-0000-0000-0000E54C0000}"/>
    <cellStyle name="强调文字颜色 1 2 3 3" xfId="27595" xr:uid="{00000000-0005-0000-0000-0000E64C0000}"/>
    <cellStyle name="强调文字颜色 1 2 3 4" xfId="27597" xr:uid="{00000000-0005-0000-0000-0000E74C0000}"/>
    <cellStyle name="强调文字颜色 1 2 3 5" xfId="18226" xr:uid="{00000000-0005-0000-0000-0000E84C0000}"/>
    <cellStyle name="强调文字颜色 1 2 3 6" xfId="18231" xr:uid="{00000000-0005-0000-0000-0000E94C0000}"/>
    <cellStyle name="强调文字颜色 1 2 3 7" xfId="18234" xr:uid="{00000000-0005-0000-0000-0000EA4C0000}"/>
    <cellStyle name="强调文字颜色 1 2 3 8" xfId="3381" xr:uid="{00000000-0005-0000-0000-0000EB4C0000}"/>
    <cellStyle name="强调文字颜色 1 2 3 9" xfId="3389" xr:uid="{00000000-0005-0000-0000-0000EC4C0000}"/>
    <cellStyle name="强调文字颜色 1 2 4" xfId="5239" xr:uid="{00000000-0005-0000-0000-0000ED4C0000}"/>
    <cellStyle name="强调文字颜色 1 2 4 10" xfId="27599" xr:uid="{00000000-0005-0000-0000-0000EE4C0000}"/>
    <cellStyle name="强调文字颜色 1 2 4 11" xfId="27601" xr:uid="{00000000-0005-0000-0000-0000EF4C0000}"/>
    <cellStyle name="强调文字颜色 1 2 4 12" xfId="27602" xr:uid="{00000000-0005-0000-0000-0000F04C0000}"/>
    <cellStyle name="强调文字颜色 1 2 4 13" xfId="22784" xr:uid="{00000000-0005-0000-0000-0000F14C0000}"/>
    <cellStyle name="强调文字颜色 1 2 4 14" xfId="22798" xr:uid="{00000000-0005-0000-0000-0000F24C0000}"/>
    <cellStyle name="强调文字颜色 1 2 4 2" xfId="27605" xr:uid="{00000000-0005-0000-0000-0000F34C0000}"/>
    <cellStyle name="强调文字颜色 1 2 4 3" xfId="27606" xr:uid="{00000000-0005-0000-0000-0000F44C0000}"/>
    <cellStyle name="强调文字颜色 1 2 4 4" xfId="27607" xr:uid="{00000000-0005-0000-0000-0000F54C0000}"/>
    <cellStyle name="强调文字颜色 1 2 4 5" xfId="18240" xr:uid="{00000000-0005-0000-0000-0000F64C0000}"/>
    <cellStyle name="强调文字颜色 1 2 4 6" xfId="18243" xr:uid="{00000000-0005-0000-0000-0000F74C0000}"/>
    <cellStyle name="强调文字颜色 1 2 4 7" xfId="18246" xr:uid="{00000000-0005-0000-0000-0000F84C0000}"/>
    <cellStyle name="强调文字颜色 1 2 4 8" xfId="18248" xr:uid="{00000000-0005-0000-0000-0000F94C0000}"/>
    <cellStyle name="强调文字颜色 1 2 4 9" xfId="18250" xr:uid="{00000000-0005-0000-0000-0000FA4C0000}"/>
    <cellStyle name="强调文字颜色 1 2 5" xfId="27608" xr:uid="{00000000-0005-0000-0000-0000FB4C0000}"/>
    <cellStyle name="强调文字颜色 1 2 6" xfId="27609" xr:uid="{00000000-0005-0000-0000-0000FC4C0000}"/>
    <cellStyle name="强调文字颜色 1 2 7" xfId="27610" xr:uid="{00000000-0005-0000-0000-0000FD4C0000}"/>
    <cellStyle name="强调文字颜色 1 2 8" xfId="27611" xr:uid="{00000000-0005-0000-0000-0000FE4C0000}"/>
    <cellStyle name="强调文字颜色 1 2 9" xfId="27612" xr:uid="{00000000-0005-0000-0000-0000FF4C0000}"/>
    <cellStyle name="强调文字颜色 1 3" xfId="27613" xr:uid="{00000000-0005-0000-0000-0000004D0000}"/>
    <cellStyle name="强调文字颜色 1 3 10" xfId="27615" xr:uid="{00000000-0005-0000-0000-0000014D0000}"/>
    <cellStyle name="强调文字颜色 1 3 11" xfId="27617" xr:uid="{00000000-0005-0000-0000-0000024D0000}"/>
    <cellStyle name="强调文字颜色 1 3 12" xfId="27619" xr:uid="{00000000-0005-0000-0000-0000034D0000}"/>
    <cellStyle name="强调文字颜色 1 3 13" xfId="27621" xr:uid="{00000000-0005-0000-0000-0000044D0000}"/>
    <cellStyle name="强调文字颜色 1 3 14" xfId="27622" xr:uid="{00000000-0005-0000-0000-0000054D0000}"/>
    <cellStyle name="强调文字颜色 1 3 15" xfId="27623" xr:uid="{00000000-0005-0000-0000-0000064D0000}"/>
    <cellStyle name="强调文字颜色 1 3 16" xfId="27625" xr:uid="{00000000-0005-0000-0000-0000074D0000}"/>
    <cellStyle name="强调文字颜色 1 3 17" xfId="27626" xr:uid="{00000000-0005-0000-0000-0000084D0000}"/>
    <cellStyle name="强调文字颜色 1 3 17 10" xfId="27627" xr:uid="{00000000-0005-0000-0000-0000094D0000}"/>
    <cellStyle name="强调文字颜色 1 3 17 11" xfId="13872" xr:uid="{00000000-0005-0000-0000-00000A4D0000}"/>
    <cellStyle name="强调文字颜色 1 3 17 12" xfId="13883" xr:uid="{00000000-0005-0000-0000-00000B4D0000}"/>
    <cellStyle name="强调文字颜色 1 3 17 13" xfId="13890" xr:uid="{00000000-0005-0000-0000-00000C4D0000}"/>
    <cellStyle name="强调文字颜色 1 3 17 14" xfId="13895" xr:uid="{00000000-0005-0000-0000-00000D4D0000}"/>
    <cellStyle name="强调文字颜色 1 3 17 2" xfId="19077" xr:uid="{00000000-0005-0000-0000-00000E4D0000}"/>
    <cellStyle name="强调文字颜色 1 3 17 2 2" xfId="22392" xr:uid="{00000000-0005-0000-0000-00000F4D0000}"/>
    <cellStyle name="强调文字颜色 1 3 17 3" xfId="19079" xr:uid="{00000000-0005-0000-0000-0000104D0000}"/>
    <cellStyle name="强调文字颜色 1 3 17 4" xfId="27629" xr:uid="{00000000-0005-0000-0000-0000114D0000}"/>
    <cellStyle name="强调文字颜色 1 3 17 5" xfId="27631" xr:uid="{00000000-0005-0000-0000-0000124D0000}"/>
    <cellStyle name="强调文字颜色 1 3 17 5 10" xfId="27633" xr:uid="{00000000-0005-0000-0000-0000134D0000}"/>
    <cellStyle name="强调文字颜色 1 3 17 5 11" xfId="27634" xr:uid="{00000000-0005-0000-0000-0000144D0000}"/>
    <cellStyle name="强调文字颜色 1 3 17 5 2" xfId="5558" xr:uid="{00000000-0005-0000-0000-0000154D0000}"/>
    <cellStyle name="强调文字颜色 1 3 17 5 2 2" xfId="27635" xr:uid="{00000000-0005-0000-0000-0000164D0000}"/>
    <cellStyle name="强调文字颜色 1 3 17 5 2 2 2" xfId="10858" xr:uid="{00000000-0005-0000-0000-0000174D0000}"/>
    <cellStyle name="强调文字颜色 1 3 17 5 2 2 3" xfId="22539" xr:uid="{00000000-0005-0000-0000-0000184D0000}"/>
    <cellStyle name="强调文字颜色 1 3 17 5 2 3" xfId="27636" xr:uid="{00000000-0005-0000-0000-0000194D0000}"/>
    <cellStyle name="强调文字颜色 1 3 17 5 2 4" xfId="27639" xr:uid="{00000000-0005-0000-0000-00001A4D0000}"/>
    <cellStyle name="强调文字颜色 1 3 17 5 2 5" xfId="27642" xr:uid="{00000000-0005-0000-0000-00001B4D0000}"/>
    <cellStyle name="强调文字颜色 1 3 17 5 2 6" xfId="27643" xr:uid="{00000000-0005-0000-0000-00001C4D0000}"/>
    <cellStyle name="强调文字颜色 1 3 17 5 2 7" xfId="23253" xr:uid="{00000000-0005-0000-0000-00001D4D0000}"/>
    <cellStyle name="强调文字颜色 1 3 17 5 2 8" xfId="23255" xr:uid="{00000000-0005-0000-0000-00001E4D0000}"/>
    <cellStyle name="强调文字颜色 1 3 17 5 3" xfId="27644" xr:uid="{00000000-0005-0000-0000-00001F4D0000}"/>
    <cellStyle name="强调文字颜色 1 3 17 5 4" xfId="27645" xr:uid="{00000000-0005-0000-0000-0000204D0000}"/>
    <cellStyle name="强调文字颜色 1 3 17 5 5" xfId="27646" xr:uid="{00000000-0005-0000-0000-0000214D0000}"/>
    <cellStyle name="强调文字颜色 1 3 17 5 6" xfId="27647" xr:uid="{00000000-0005-0000-0000-0000224D0000}"/>
    <cellStyle name="强调文字颜色 1 3 17 5 6 2" xfId="21016" xr:uid="{00000000-0005-0000-0000-0000234D0000}"/>
    <cellStyle name="强调文字颜色 1 3 17 5 6 3" xfId="19879" xr:uid="{00000000-0005-0000-0000-0000244D0000}"/>
    <cellStyle name="强调文字颜色 1 3 17 5 7" xfId="27648" xr:uid="{00000000-0005-0000-0000-0000254D0000}"/>
    <cellStyle name="强调文字颜色 1 3 17 5 8" xfId="27649" xr:uid="{00000000-0005-0000-0000-0000264D0000}"/>
    <cellStyle name="强调文字颜色 1 3 17 5 9" xfId="27650" xr:uid="{00000000-0005-0000-0000-0000274D0000}"/>
    <cellStyle name="强调文字颜色 1 3 17 6" xfId="27651" xr:uid="{00000000-0005-0000-0000-0000284D0000}"/>
    <cellStyle name="强调文字颜色 1 3 17 6 2" xfId="27653" xr:uid="{00000000-0005-0000-0000-0000294D0000}"/>
    <cellStyle name="强调文字颜色 1 3 17 6 2 2" xfId="27654" xr:uid="{00000000-0005-0000-0000-00002A4D0000}"/>
    <cellStyle name="强调文字颜色 1 3 17 6 2 3" xfId="27656" xr:uid="{00000000-0005-0000-0000-00002B4D0000}"/>
    <cellStyle name="强调文字颜色 1 3 17 6 3" xfId="27658" xr:uid="{00000000-0005-0000-0000-00002C4D0000}"/>
    <cellStyle name="强调文字颜色 1 3 17 6 4" xfId="27660" xr:uid="{00000000-0005-0000-0000-00002D4D0000}"/>
    <cellStyle name="强调文字颜色 1 3 17 6 5" xfId="26100" xr:uid="{00000000-0005-0000-0000-00002E4D0000}"/>
    <cellStyle name="强调文字颜色 1 3 17 6 6" xfId="27662" xr:uid="{00000000-0005-0000-0000-00002F4D0000}"/>
    <cellStyle name="强调文字颜色 1 3 17 6 7" xfId="25716" xr:uid="{00000000-0005-0000-0000-0000304D0000}"/>
    <cellStyle name="强调文字颜色 1 3 17 6 8" xfId="27664" xr:uid="{00000000-0005-0000-0000-0000314D0000}"/>
    <cellStyle name="强调文字颜色 1 3 17 7" xfId="27665" xr:uid="{00000000-0005-0000-0000-0000324D0000}"/>
    <cellStyle name="强调文字颜色 1 3 17 8" xfId="27667" xr:uid="{00000000-0005-0000-0000-0000334D0000}"/>
    <cellStyle name="强调文字颜色 1 3 17 9" xfId="27669" xr:uid="{00000000-0005-0000-0000-0000344D0000}"/>
    <cellStyle name="强调文字颜色 1 3 17 9 2" xfId="27671" xr:uid="{00000000-0005-0000-0000-0000354D0000}"/>
    <cellStyle name="强调文字颜色 1 3 17 9 3" xfId="27672" xr:uid="{00000000-0005-0000-0000-0000364D0000}"/>
    <cellStyle name="强调文字颜色 1 3 18" xfId="27673" xr:uid="{00000000-0005-0000-0000-0000374D0000}"/>
    <cellStyle name="强调文字颜色 1 3 18 10" xfId="27674" xr:uid="{00000000-0005-0000-0000-0000384D0000}"/>
    <cellStyle name="强调文字颜色 1 3 18 11" xfId="27676" xr:uid="{00000000-0005-0000-0000-0000394D0000}"/>
    <cellStyle name="强调文字颜色 1 3 18 12" xfId="27677" xr:uid="{00000000-0005-0000-0000-00003A4D0000}"/>
    <cellStyle name="强调文字颜色 1 3 18 13" xfId="27679" xr:uid="{00000000-0005-0000-0000-00003B4D0000}"/>
    <cellStyle name="强调文字颜色 1 3 18 14" xfId="27681" xr:uid="{00000000-0005-0000-0000-00003C4D0000}"/>
    <cellStyle name="强调文字颜色 1 3 18 2" xfId="27682" xr:uid="{00000000-0005-0000-0000-00003D4D0000}"/>
    <cellStyle name="强调文字颜色 1 3 18 3" xfId="27683" xr:uid="{00000000-0005-0000-0000-00003E4D0000}"/>
    <cellStyle name="强调文字颜色 1 3 18 4" xfId="27684" xr:uid="{00000000-0005-0000-0000-00003F4D0000}"/>
    <cellStyle name="强调文字颜色 1 3 18 5" xfId="25996" xr:uid="{00000000-0005-0000-0000-0000404D0000}"/>
    <cellStyle name="强调文字颜色 1 3 18 5 10" xfId="17877" xr:uid="{00000000-0005-0000-0000-0000414D0000}"/>
    <cellStyle name="强调文字颜色 1 3 18 5 11" xfId="15207" xr:uid="{00000000-0005-0000-0000-0000424D0000}"/>
    <cellStyle name="强调文字颜色 1 3 18 5 2" xfId="5844" xr:uid="{00000000-0005-0000-0000-0000434D0000}"/>
    <cellStyle name="强调文字颜色 1 3 18 5 2 2" xfId="27686" xr:uid="{00000000-0005-0000-0000-0000444D0000}"/>
    <cellStyle name="强调文字颜色 1 3 18 5 2 2 2" xfId="27687" xr:uid="{00000000-0005-0000-0000-0000454D0000}"/>
    <cellStyle name="强调文字颜色 1 3 18 5 2 2 3" xfId="18939" xr:uid="{00000000-0005-0000-0000-0000464D0000}"/>
    <cellStyle name="强调文字颜色 1 3 18 5 2 3" xfId="27688" xr:uid="{00000000-0005-0000-0000-0000474D0000}"/>
    <cellStyle name="强调文字颜色 1 3 18 5 2 4" xfId="27689" xr:uid="{00000000-0005-0000-0000-0000484D0000}"/>
    <cellStyle name="强调文字颜色 1 3 18 5 2 5" xfId="27690" xr:uid="{00000000-0005-0000-0000-0000494D0000}"/>
    <cellStyle name="强调文字颜色 1 3 18 5 2 6" xfId="27691" xr:uid="{00000000-0005-0000-0000-00004A4D0000}"/>
    <cellStyle name="强调文字颜色 1 3 18 5 2 7" xfId="27692" xr:uid="{00000000-0005-0000-0000-00004B4D0000}"/>
    <cellStyle name="强调文字颜色 1 3 18 5 2 8" xfId="15216" xr:uid="{00000000-0005-0000-0000-00004C4D0000}"/>
    <cellStyle name="强调文字颜色 1 3 18 5 3" xfId="27693" xr:uid="{00000000-0005-0000-0000-00004D4D0000}"/>
    <cellStyle name="强调文字颜色 1 3 18 5 4" xfId="27694" xr:uid="{00000000-0005-0000-0000-00004E4D0000}"/>
    <cellStyle name="强调文字颜色 1 3 18 5 5" xfId="27695" xr:uid="{00000000-0005-0000-0000-00004F4D0000}"/>
    <cellStyle name="强调文字颜色 1 3 18 5 6" xfId="27696" xr:uid="{00000000-0005-0000-0000-0000504D0000}"/>
    <cellStyle name="强调文字颜色 1 3 18 5 6 2" xfId="27697" xr:uid="{00000000-0005-0000-0000-0000514D0000}"/>
    <cellStyle name="强调文字颜色 1 3 18 5 6 3" xfId="27698" xr:uid="{00000000-0005-0000-0000-0000524D0000}"/>
    <cellStyle name="强调文字颜色 1 3 18 5 7" xfId="27699" xr:uid="{00000000-0005-0000-0000-0000534D0000}"/>
    <cellStyle name="强调文字颜色 1 3 18 5 8" xfId="27701" xr:uid="{00000000-0005-0000-0000-0000544D0000}"/>
    <cellStyle name="强调文字颜色 1 3 18 5 9" xfId="27703" xr:uid="{00000000-0005-0000-0000-0000554D0000}"/>
    <cellStyle name="强调文字颜色 1 3 18 6" xfId="27704" xr:uid="{00000000-0005-0000-0000-0000564D0000}"/>
    <cellStyle name="强调文字颜色 1 3 18 6 2" xfId="27706" xr:uid="{00000000-0005-0000-0000-0000574D0000}"/>
    <cellStyle name="强调文字颜色 1 3 18 6 2 2" xfId="27707" xr:uid="{00000000-0005-0000-0000-0000584D0000}"/>
    <cellStyle name="强调文字颜色 1 3 18 6 2 3" xfId="27708" xr:uid="{00000000-0005-0000-0000-0000594D0000}"/>
    <cellStyle name="强调文字颜色 1 3 18 6 3" xfId="27709" xr:uid="{00000000-0005-0000-0000-00005A4D0000}"/>
    <cellStyle name="强调文字颜色 1 3 18 6 4" xfId="27710" xr:uid="{00000000-0005-0000-0000-00005B4D0000}"/>
    <cellStyle name="强调文字颜色 1 3 18 6 5" xfId="27711" xr:uid="{00000000-0005-0000-0000-00005C4D0000}"/>
    <cellStyle name="强调文字颜色 1 3 18 6 6" xfId="27713" xr:uid="{00000000-0005-0000-0000-00005D4D0000}"/>
    <cellStyle name="强调文字颜色 1 3 18 6 7" xfId="27716" xr:uid="{00000000-0005-0000-0000-00005E4D0000}"/>
    <cellStyle name="强调文字颜色 1 3 18 6 8" xfId="27719" xr:uid="{00000000-0005-0000-0000-00005F4D0000}"/>
    <cellStyle name="强调文字颜色 1 3 18 7" xfId="27720" xr:uid="{00000000-0005-0000-0000-0000604D0000}"/>
    <cellStyle name="强调文字颜色 1 3 18 8" xfId="27722" xr:uid="{00000000-0005-0000-0000-0000614D0000}"/>
    <cellStyle name="强调文字颜色 1 3 18 9" xfId="27724" xr:uid="{00000000-0005-0000-0000-0000624D0000}"/>
    <cellStyle name="强调文字颜色 1 3 18 9 2" xfId="27726" xr:uid="{00000000-0005-0000-0000-0000634D0000}"/>
    <cellStyle name="强调文字颜色 1 3 18 9 3" xfId="10700" xr:uid="{00000000-0005-0000-0000-0000644D0000}"/>
    <cellStyle name="强调文字颜色 1 3 19" xfId="27727" xr:uid="{00000000-0005-0000-0000-0000654D0000}"/>
    <cellStyle name="强调文字颜色 1 3 19 10" xfId="27728" xr:uid="{00000000-0005-0000-0000-0000664D0000}"/>
    <cellStyle name="强调文字颜色 1 3 19 11" xfId="27730" xr:uid="{00000000-0005-0000-0000-0000674D0000}"/>
    <cellStyle name="强调文字颜色 1 3 19 12" xfId="27732" xr:uid="{00000000-0005-0000-0000-0000684D0000}"/>
    <cellStyle name="强调文字颜色 1 3 19 13" xfId="27734" xr:uid="{00000000-0005-0000-0000-0000694D0000}"/>
    <cellStyle name="强调文字颜色 1 3 19 14" xfId="27736" xr:uid="{00000000-0005-0000-0000-00006A4D0000}"/>
    <cellStyle name="强调文字颜色 1 3 19 2" xfId="17586" xr:uid="{00000000-0005-0000-0000-00006B4D0000}"/>
    <cellStyle name="强调文字颜色 1 3 19 3" xfId="27739" xr:uid="{00000000-0005-0000-0000-00006C4D0000}"/>
    <cellStyle name="强调文字颜色 1 3 19 4" xfId="27741" xr:uid="{00000000-0005-0000-0000-00006D4D0000}"/>
    <cellStyle name="强调文字颜色 1 3 19 5" xfId="25792" xr:uid="{00000000-0005-0000-0000-00006E4D0000}"/>
    <cellStyle name="强调文字颜色 1 3 19 5 10" xfId="27742" xr:uid="{00000000-0005-0000-0000-00006F4D0000}"/>
    <cellStyle name="强调文字颜色 1 3 19 5 11" xfId="27743" xr:uid="{00000000-0005-0000-0000-0000704D0000}"/>
    <cellStyle name="强调文字颜色 1 3 19 5 2" xfId="6009" xr:uid="{00000000-0005-0000-0000-0000714D0000}"/>
    <cellStyle name="强调文字颜色 1 3 19 5 2 2" xfId="27745" xr:uid="{00000000-0005-0000-0000-0000724D0000}"/>
    <cellStyle name="强调文字颜色 1 3 19 5 2 2 2" xfId="27747" xr:uid="{00000000-0005-0000-0000-0000734D0000}"/>
    <cellStyle name="强调文字颜色 1 3 19 5 2 2 3" xfId="27749" xr:uid="{00000000-0005-0000-0000-0000744D0000}"/>
    <cellStyle name="强调文字颜色 1 3 19 5 2 3" xfId="10983" xr:uid="{00000000-0005-0000-0000-0000754D0000}"/>
    <cellStyle name="强调文字颜色 1 3 19 5 2 4" xfId="10993" xr:uid="{00000000-0005-0000-0000-0000764D0000}"/>
    <cellStyle name="强调文字颜色 1 3 19 5 2 5" xfId="11003" xr:uid="{00000000-0005-0000-0000-0000774D0000}"/>
    <cellStyle name="强调文字颜色 1 3 19 5 2 6" xfId="11011" xr:uid="{00000000-0005-0000-0000-0000784D0000}"/>
    <cellStyle name="强调文字颜色 1 3 19 5 2 7" xfId="11020" xr:uid="{00000000-0005-0000-0000-0000794D0000}"/>
    <cellStyle name="强调文字颜色 1 3 19 5 2 8" xfId="9445" xr:uid="{00000000-0005-0000-0000-00007A4D0000}"/>
    <cellStyle name="强调文字颜色 1 3 19 5 3" xfId="18111" xr:uid="{00000000-0005-0000-0000-00007B4D0000}"/>
    <cellStyle name="强调文字颜色 1 3 19 5 4" xfId="20826" xr:uid="{00000000-0005-0000-0000-00007C4D0000}"/>
    <cellStyle name="强调文字颜色 1 3 19 5 5" xfId="20830" xr:uid="{00000000-0005-0000-0000-00007D4D0000}"/>
    <cellStyle name="强调文字颜色 1 3 19 5 6" xfId="24594" xr:uid="{00000000-0005-0000-0000-00007E4D0000}"/>
    <cellStyle name="强调文字颜色 1 3 19 5 6 2" xfId="22043" xr:uid="{00000000-0005-0000-0000-00007F4D0000}"/>
    <cellStyle name="强调文字颜色 1 3 19 5 6 3" xfId="22045" xr:uid="{00000000-0005-0000-0000-0000804D0000}"/>
    <cellStyle name="强调文字颜色 1 3 19 5 7" xfId="27750" xr:uid="{00000000-0005-0000-0000-0000814D0000}"/>
    <cellStyle name="强调文字颜色 1 3 19 5 8" xfId="27752" xr:uid="{00000000-0005-0000-0000-0000824D0000}"/>
    <cellStyle name="强调文字颜色 1 3 19 5 9" xfId="27754" xr:uid="{00000000-0005-0000-0000-0000834D0000}"/>
    <cellStyle name="强调文字颜色 1 3 19 6" xfId="27756" xr:uid="{00000000-0005-0000-0000-0000844D0000}"/>
    <cellStyle name="强调文字颜色 1 3 19 6 2" xfId="22742" xr:uid="{00000000-0005-0000-0000-0000854D0000}"/>
    <cellStyle name="强调文字颜色 1 3 19 6 2 2" xfId="27757" xr:uid="{00000000-0005-0000-0000-0000864D0000}"/>
    <cellStyle name="强调文字颜色 1 3 19 6 2 3" xfId="14747" xr:uid="{00000000-0005-0000-0000-0000874D0000}"/>
    <cellStyle name="强调文字颜色 1 3 19 6 3" xfId="27758" xr:uid="{00000000-0005-0000-0000-0000884D0000}"/>
    <cellStyle name="强调文字颜色 1 3 19 6 4" xfId="27759" xr:uid="{00000000-0005-0000-0000-0000894D0000}"/>
    <cellStyle name="强调文字颜色 1 3 19 6 5" xfId="27760" xr:uid="{00000000-0005-0000-0000-00008A4D0000}"/>
    <cellStyle name="强调文字颜色 1 3 19 6 6" xfId="27761" xr:uid="{00000000-0005-0000-0000-00008B4D0000}"/>
    <cellStyle name="强调文字颜色 1 3 19 6 7" xfId="27762" xr:uid="{00000000-0005-0000-0000-00008C4D0000}"/>
    <cellStyle name="强调文字颜色 1 3 19 6 8" xfId="27763" xr:uid="{00000000-0005-0000-0000-00008D4D0000}"/>
    <cellStyle name="强调文字颜色 1 3 19 7" xfId="27764" xr:uid="{00000000-0005-0000-0000-00008E4D0000}"/>
    <cellStyle name="强调文字颜色 1 3 19 8" xfId="27765" xr:uid="{00000000-0005-0000-0000-00008F4D0000}"/>
    <cellStyle name="强调文字颜色 1 3 19 9" xfId="27766" xr:uid="{00000000-0005-0000-0000-0000904D0000}"/>
    <cellStyle name="强调文字颜色 1 3 19 9 2" xfId="27767" xr:uid="{00000000-0005-0000-0000-0000914D0000}"/>
    <cellStyle name="强调文字颜色 1 3 19 9 3" xfId="11747" xr:uid="{00000000-0005-0000-0000-0000924D0000}"/>
    <cellStyle name="强调文字颜色 1 3 2" xfId="4712" xr:uid="{00000000-0005-0000-0000-0000934D0000}"/>
    <cellStyle name="强调文字颜色 1 3 2 10" xfId="21860" xr:uid="{00000000-0005-0000-0000-0000944D0000}"/>
    <cellStyle name="强调文字颜色 1 3 2 11" xfId="21862" xr:uid="{00000000-0005-0000-0000-0000954D0000}"/>
    <cellStyle name="强调文字颜色 1 3 2 12" xfId="27768" xr:uid="{00000000-0005-0000-0000-0000964D0000}"/>
    <cellStyle name="强调文字颜色 1 3 2 13" xfId="27770" xr:uid="{00000000-0005-0000-0000-0000974D0000}"/>
    <cellStyle name="强调文字颜色 1 3 2 14" xfId="27772" xr:uid="{00000000-0005-0000-0000-0000984D0000}"/>
    <cellStyle name="强调文字颜色 1 3 2 2" xfId="27773" xr:uid="{00000000-0005-0000-0000-0000994D0000}"/>
    <cellStyle name="强调文字颜色 1 3 2 3" xfId="27774" xr:uid="{00000000-0005-0000-0000-00009A4D0000}"/>
    <cellStyle name="强调文字颜色 1 3 2 4" xfId="27776" xr:uid="{00000000-0005-0000-0000-00009B4D0000}"/>
    <cellStyle name="强调文字颜色 1 3 2 5" xfId="3853" xr:uid="{00000000-0005-0000-0000-00009C4D0000}"/>
    <cellStyle name="强调文字颜色 1 3 2 6" xfId="3895" xr:uid="{00000000-0005-0000-0000-00009D4D0000}"/>
    <cellStyle name="强调文字颜色 1 3 2 7" xfId="27778" xr:uid="{00000000-0005-0000-0000-00009E4D0000}"/>
    <cellStyle name="强调文字颜色 1 3 2 8" xfId="27780" xr:uid="{00000000-0005-0000-0000-00009F4D0000}"/>
    <cellStyle name="强调文字颜色 1 3 2 9" xfId="27782" xr:uid="{00000000-0005-0000-0000-0000A04D0000}"/>
    <cellStyle name="强调文字颜色 1 3 20" xfId="27624" xr:uid="{00000000-0005-0000-0000-0000A14D0000}"/>
    <cellStyle name="强调文字颜色 1 3 20 10" xfId="27783" xr:uid="{00000000-0005-0000-0000-0000A24D0000}"/>
    <cellStyle name="强调文字颜色 1 3 20 11" xfId="27784" xr:uid="{00000000-0005-0000-0000-0000A34D0000}"/>
    <cellStyle name="强调文字颜色 1 3 20 12" xfId="27785" xr:uid="{00000000-0005-0000-0000-0000A44D0000}"/>
    <cellStyle name="强调文字颜色 1 3 20 13" xfId="27786" xr:uid="{00000000-0005-0000-0000-0000A54D0000}"/>
    <cellStyle name="强调文字颜色 1 3 20 14" xfId="24643" xr:uid="{00000000-0005-0000-0000-0000A64D0000}"/>
    <cellStyle name="强调文字颜色 1 3 20 2" xfId="27787" xr:uid="{00000000-0005-0000-0000-0000A74D0000}"/>
    <cellStyle name="强调文字颜色 1 3 20 3" xfId="27788" xr:uid="{00000000-0005-0000-0000-0000A84D0000}"/>
    <cellStyle name="强调文字颜色 1 3 20 4" xfId="27789" xr:uid="{00000000-0005-0000-0000-0000A94D0000}"/>
    <cellStyle name="强调文字颜色 1 3 20 5" xfId="27791" xr:uid="{00000000-0005-0000-0000-0000AA4D0000}"/>
    <cellStyle name="强调文字颜色 1 3 20 5 10" xfId="10709" xr:uid="{00000000-0005-0000-0000-0000AB4D0000}"/>
    <cellStyle name="强调文字颜色 1 3 20 5 11" xfId="10714" xr:uid="{00000000-0005-0000-0000-0000AC4D0000}"/>
    <cellStyle name="强调文字颜色 1 3 20 5 2" xfId="27794" xr:uid="{00000000-0005-0000-0000-0000AD4D0000}"/>
    <cellStyle name="强调文字颜色 1 3 20 5 2 2" xfId="27796" xr:uid="{00000000-0005-0000-0000-0000AE4D0000}"/>
    <cellStyle name="强调文字颜色 1 3 20 5 2 2 2" xfId="24107" xr:uid="{00000000-0005-0000-0000-0000AF4D0000}"/>
    <cellStyle name="强调文字颜色 1 3 20 5 2 2 3" xfId="27798" xr:uid="{00000000-0005-0000-0000-0000B04D0000}"/>
    <cellStyle name="强调文字颜色 1 3 20 5 2 3" xfId="27799" xr:uid="{00000000-0005-0000-0000-0000B14D0000}"/>
    <cellStyle name="强调文字颜色 1 3 20 5 2 4" xfId="27801" xr:uid="{00000000-0005-0000-0000-0000B24D0000}"/>
    <cellStyle name="强调文字颜色 1 3 20 5 2 5" xfId="27803" xr:uid="{00000000-0005-0000-0000-0000B34D0000}"/>
    <cellStyle name="强调文字颜色 1 3 20 5 2 6" xfId="27806" xr:uid="{00000000-0005-0000-0000-0000B44D0000}"/>
    <cellStyle name="强调文字颜色 1 3 20 5 2 7" xfId="27809" xr:uid="{00000000-0005-0000-0000-0000B54D0000}"/>
    <cellStyle name="强调文字颜色 1 3 20 5 2 8" xfId="27811" xr:uid="{00000000-0005-0000-0000-0000B64D0000}"/>
    <cellStyle name="强调文字颜色 1 3 20 5 3" xfId="27815" xr:uid="{00000000-0005-0000-0000-0000B74D0000}"/>
    <cellStyle name="强调文字颜色 1 3 20 5 4" xfId="27817" xr:uid="{00000000-0005-0000-0000-0000B84D0000}"/>
    <cellStyle name="强调文字颜色 1 3 20 5 5" xfId="27821" xr:uid="{00000000-0005-0000-0000-0000B94D0000}"/>
    <cellStyle name="强调文字颜色 1 3 20 5 6" xfId="27133" xr:uid="{00000000-0005-0000-0000-0000BA4D0000}"/>
    <cellStyle name="强调文字颜色 1 3 20 5 6 2" xfId="27824" xr:uid="{00000000-0005-0000-0000-0000BB4D0000}"/>
    <cellStyle name="强调文字颜色 1 3 20 5 6 3" xfId="27825" xr:uid="{00000000-0005-0000-0000-0000BC4D0000}"/>
    <cellStyle name="强调文字颜色 1 3 20 5 7" xfId="27139" xr:uid="{00000000-0005-0000-0000-0000BD4D0000}"/>
    <cellStyle name="强调文字颜色 1 3 20 5 8" xfId="27828" xr:uid="{00000000-0005-0000-0000-0000BE4D0000}"/>
    <cellStyle name="强调文字颜色 1 3 20 5 9" xfId="27832" xr:uid="{00000000-0005-0000-0000-0000BF4D0000}"/>
    <cellStyle name="强调文字颜色 1 3 20 6" xfId="27835" xr:uid="{00000000-0005-0000-0000-0000C04D0000}"/>
    <cellStyle name="强调文字颜色 1 3 20 6 2" xfId="27837" xr:uid="{00000000-0005-0000-0000-0000C14D0000}"/>
    <cellStyle name="强调文字颜色 1 3 20 6 2 2" xfId="15070" xr:uid="{00000000-0005-0000-0000-0000C24D0000}"/>
    <cellStyle name="强调文字颜色 1 3 20 6 2 3" xfId="15078" xr:uid="{00000000-0005-0000-0000-0000C34D0000}"/>
    <cellStyle name="强调文字颜色 1 3 20 6 3" xfId="27839" xr:uid="{00000000-0005-0000-0000-0000C44D0000}"/>
    <cellStyle name="强调文字颜色 1 3 20 6 4" xfId="27841" xr:uid="{00000000-0005-0000-0000-0000C54D0000}"/>
    <cellStyle name="强调文字颜色 1 3 20 6 5" xfId="27843" xr:uid="{00000000-0005-0000-0000-0000C64D0000}"/>
    <cellStyle name="强调文字颜色 1 3 20 6 6" xfId="27845" xr:uid="{00000000-0005-0000-0000-0000C74D0000}"/>
    <cellStyle name="强调文字颜色 1 3 20 6 7" xfId="27847" xr:uid="{00000000-0005-0000-0000-0000C84D0000}"/>
    <cellStyle name="强调文字颜色 1 3 20 6 8" xfId="27849" xr:uid="{00000000-0005-0000-0000-0000C94D0000}"/>
    <cellStyle name="强调文字颜色 1 3 20 7" xfId="27852" xr:uid="{00000000-0005-0000-0000-0000CA4D0000}"/>
    <cellStyle name="强调文字颜色 1 3 20 8" xfId="27855" xr:uid="{00000000-0005-0000-0000-0000CB4D0000}"/>
    <cellStyle name="强调文字颜色 1 3 20 9" xfId="27858" xr:uid="{00000000-0005-0000-0000-0000CC4D0000}"/>
    <cellStyle name="强调文字颜色 1 3 20 9 2" xfId="27860" xr:uid="{00000000-0005-0000-0000-0000CD4D0000}"/>
    <cellStyle name="强调文字颜色 1 3 20 9 3" xfId="27862" xr:uid="{00000000-0005-0000-0000-0000CE4D0000}"/>
    <cellStyle name="强调文字颜色 1 3 3" xfId="12321" xr:uid="{00000000-0005-0000-0000-0000CF4D0000}"/>
    <cellStyle name="强调文字颜色 1 3 3 10" xfId="21881" xr:uid="{00000000-0005-0000-0000-0000D04D0000}"/>
    <cellStyle name="强调文字颜色 1 3 3 11" xfId="21884" xr:uid="{00000000-0005-0000-0000-0000D14D0000}"/>
    <cellStyle name="强调文字颜色 1 3 3 12" xfId="27864" xr:uid="{00000000-0005-0000-0000-0000D24D0000}"/>
    <cellStyle name="强调文字颜色 1 3 3 13" xfId="27866" xr:uid="{00000000-0005-0000-0000-0000D34D0000}"/>
    <cellStyle name="强调文字颜色 1 3 3 14" xfId="27868" xr:uid="{00000000-0005-0000-0000-0000D44D0000}"/>
    <cellStyle name="强调文字颜色 1 3 3 2" xfId="27869" xr:uid="{00000000-0005-0000-0000-0000D54D0000}"/>
    <cellStyle name="强调文字颜色 1 3 3 3" xfId="27870" xr:uid="{00000000-0005-0000-0000-0000D64D0000}"/>
    <cellStyle name="强调文字颜色 1 3 3 4" xfId="27871" xr:uid="{00000000-0005-0000-0000-0000D74D0000}"/>
    <cellStyle name="强调文字颜色 1 3 3 5" xfId="27873" xr:uid="{00000000-0005-0000-0000-0000D84D0000}"/>
    <cellStyle name="强调文字颜色 1 3 3 6" xfId="27875" xr:uid="{00000000-0005-0000-0000-0000D94D0000}"/>
    <cellStyle name="强调文字颜色 1 3 3 7" xfId="27877" xr:uid="{00000000-0005-0000-0000-0000DA4D0000}"/>
    <cellStyle name="强调文字颜色 1 3 3 8" xfId="27879" xr:uid="{00000000-0005-0000-0000-0000DB4D0000}"/>
    <cellStyle name="强调文字颜色 1 3 3 9" xfId="27881" xr:uid="{00000000-0005-0000-0000-0000DC4D0000}"/>
    <cellStyle name="强调文字颜色 1 3 4" xfId="12325" xr:uid="{00000000-0005-0000-0000-0000DD4D0000}"/>
    <cellStyle name="强调文字颜色 1 3 4 10" xfId="27882" xr:uid="{00000000-0005-0000-0000-0000DE4D0000}"/>
    <cellStyle name="强调文字颜色 1 3 4 11" xfId="27884" xr:uid="{00000000-0005-0000-0000-0000DF4D0000}"/>
    <cellStyle name="强调文字颜色 1 3 4 12" xfId="20254" xr:uid="{00000000-0005-0000-0000-0000E04D0000}"/>
    <cellStyle name="强调文字颜色 1 3 4 13" xfId="20257" xr:uid="{00000000-0005-0000-0000-0000E14D0000}"/>
    <cellStyle name="强调文字颜色 1 3 4 14" xfId="27886" xr:uid="{00000000-0005-0000-0000-0000E24D0000}"/>
    <cellStyle name="强调文字颜色 1 3 4 2" xfId="27887" xr:uid="{00000000-0005-0000-0000-0000E34D0000}"/>
    <cellStyle name="强调文字颜色 1 3 4 3" xfId="27888" xr:uid="{00000000-0005-0000-0000-0000E44D0000}"/>
    <cellStyle name="强调文字颜色 1 3 4 4" xfId="27889" xr:uid="{00000000-0005-0000-0000-0000E54D0000}"/>
    <cellStyle name="强调文字颜色 1 3 4 5" xfId="27890" xr:uid="{00000000-0005-0000-0000-0000E64D0000}"/>
    <cellStyle name="强调文字颜色 1 3 4 6" xfId="27891" xr:uid="{00000000-0005-0000-0000-0000E74D0000}"/>
    <cellStyle name="强调文字颜色 1 3 4 7" xfId="27892" xr:uid="{00000000-0005-0000-0000-0000E84D0000}"/>
    <cellStyle name="强调文字颜色 1 3 4 8" xfId="27893" xr:uid="{00000000-0005-0000-0000-0000E94D0000}"/>
    <cellStyle name="强调文字颜色 1 3 4 9" xfId="27894" xr:uid="{00000000-0005-0000-0000-0000EA4D0000}"/>
    <cellStyle name="强调文字颜色 1 3 5" xfId="12328" xr:uid="{00000000-0005-0000-0000-0000EB4D0000}"/>
    <cellStyle name="强调文字颜色 1 3 6" xfId="12330" xr:uid="{00000000-0005-0000-0000-0000EC4D0000}"/>
    <cellStyle name="强调文字颜色 1 3 7" xfId="12332" xr:uid="{00000000-0005-0000-0000-0000ED4D0000}"/>
    <cellStyle name="强调文字颜色 1 3 8" xfId="27895" xr:uid="{00000000-0005-0000-0000-0000EE4D0000}"/>
    <cellStyle name="强调文字颜色 1 3 9" xfId="27896" xr:uid="{00000000-0005-0000-0000-0000EF4D0000}"/>
    <cellStyle name="强调文字颜色 1 4" xfId="27897" xr:uid="{00000000-0005-0000-0000-0000F04D0000}"/>
    <cellStyle name="强调文字颜色 1 4 10" xfId="26366" xr:uid="{00000000-0005-0000-0000-0000F14D0000}"/>
    <cellStyle name="强调文字颜色 1 4 11" xfId="13123" xr:uid="{00000000-0005-0000-0000-0000F24D0000}"/>
    <cellStyle name="强调文字颜色 1 4 12" xfId="13132" xr:uid="{00000000-0005-0000-0000-0000F34D0000}"/>
    <cellStyle name="强调文字颜色 1 4 13" xfId="13137" xr:uid="{00000000-0005-0000-0000-0000F44D0000}"/>
    <cellStyle name="强调文字颜色 1 4 14" xfId="13142" xr:uid="{00000000-0005-0000-0000-0000F54D0000}"/>
    <cellStyle name="强调文字颜色 1 4 15" xfId="13147" xr:uid="{00000000-0005-0000-0000-0000F64D0000}"/>
    <cellStyle name="强调文字颜色 1 4 16" xfId="13150" xr:uid="{00000000-0005-0000-0000-0000F74D0000}"/>
    <cellStyle name="强调文字颜色 1 4 17" xfId="13152" xr:uid="{00000000-0005-0000-0000-0000F84D0000}"/>
    <cellStyle name="强调文字颜色 1 4 17 10" xfId="2485" xr:uid="{00000000-0005-0000-0000-0000F94D0000}"/>
    <cellStyle name="强调文字颜色 1 4 17 11" xfId="2499" xr:uid="{00000000-0005-0000-0000-0000FA4D0000}"/>
    <cellStyle name="强调文字颜色 1 4 17 12" xfId="2507" xr:uid="{00000000-0005-0000-0000-0000FB4D0000}"/>
    <cellStyle name="强调文字颜色 1 4 17 13" xfId="2516" xr:uid="{00000000-0005-0000-0000-0000FC4D0000}"/>
    <cellStyle name="强调文字颜色 1 4 17 14" xfId="3265" xr:uid="{00000000-0005-0000-0000-0000FD4D0000}"/>
    <cellStyle name="强调文字颜色 1 4 17 2" xfId="4489" xr:uid="{00000000-0005-0000-0000-0000FE4D0000}"/>
    <cellStyle name="强调文字颜色 1 4 17 3" xfId="4503" xr:uid="{00000000-0005-0000-0000-0000FF4D0000}"/>
    <cellStyle name="强调文字颜色 1 4 17 4" xfId="4513" xr:uid="{00000000-0005-0000-0000-0000004E0000}"/>
    <cellStyle name="强调文字颜色 1 4 17 5" xfId="27898" xr:uid="{00000000-0005-0000-0000-0000014E0000}"/>
    <cellStyle name="强调文字颜色 1 4 17 5 10" xfId="27901" xr:uid="{00000000-0005-0000-0000-0000024E0000}"/>
    <cellStyle name="强调文字颜色 1 4 17 5 11" xfId="27902" xr:uid="{00000000-0005-0000-0000-0000034E0000}"/>
    <cellStyle name="强调文字颜色 1 4 17 5 2" xfId="206" xr:uid="{00000000-0005-0000-0000-0000044E0000}"/>
    <cellStyle name="强调文字颜色 1 4 17 5 2 2" xfId="7162" xr:uid="{00000000-0005-0000-0000-0000054E0000}"/>
    <cellStyle name="强调文字颜色 1 4 17 5 2 2 2" xfId="10522" xr:uid="{00000000-0005-0000-0000-0000064E0000}"/>
    <cellStyle name="强调文字颜色 1 4 17 5 2 2 3" xfId="18485" xr:uid="{00000000-0005-0000-0000-0000074E0000}"/>
    <cellStyle name="强调文字颜色 1 4 17 5 2 3" xfId="7167" xr:uid="{00000000-0005-0000-0000-0000084E0000}"/>
    <cellStyle name="强调文字颜色 1 4 17 5 2 4" xfId="7172" xr:uid="{00000000-0005-0000-0000-0000094E0000}"/>
    <cellStyle name="强调文字颜色 1 4 17 5 2 5" xfId="16558" xr:uid="{00000000-0005-0000-0000-00000A4E0000}"/>
    <cellStyle name="强调文字颜色 1 4 17 5 2 6" xfId="15963" xr:uid="{00000000-0005-0000-0000-00000B4E0000}"/>
    <cellStyle name="强调文字颜色 1 4 17 5 2 7" xfId="27903" xr:uid="{00000000-0005-0000-0000-00000C4E0000}"/>
    <cellStyle name="强调文字颜色 1 4 17 5 2 8" xfId="27904" xr:uid="{00000000-0005-0000-0000-00000D4E0000}"/>
    <cellStyle name="强调文字颜色 1 4 17 5 3" xfId="27905" xr:uid="{00000000-0005-0000-0000-00000E4E0000}"/>
    <cellStyle name="强调文字颜色 1 4 17 5 4" xfId="27906" xr:uid="{00000000-0005-0000-0000-00000F4E0000}"/>
    <cellStyle name="强调文字颜色 1 4 17 5 5" xfId="27907" xr:uid="{00000000-0005-0000-0000-0000104E0000}"/>
    <cellStyle name="强调文字颜色 1 4 17 5 6" xfId="26607" xr:uid="{00000000-0005-0000-0000-0000114E0000}"/>
    <cellStyle name="强调文字颜色 1 4 17 5 6 2" xfId="27908" xr:uid="{00000000-0005-0000-0000-0000124E0000}"/>
    <cellStyle name="强调文字颜色 1 4 17 5 6 3" xfId="27909" xr:uid="{00000000-0005-0000-0000-0000134E0000}"/>
    <cellStyle name="强调文字颜色 1 4 17 5 7" xfId="26609" xr:uid="{00000000-0005-0000-0000-0000144E0000}"/>
    <cellStyle name="强调文字颜色 1 4 17 5 8" xfId="26611" xr:uid="{00000000-0005-0000-0000-0000154E0000}"/>
    <cellStyle name="强调文字颜色 1 4 17 5 9" xfId="26615" xr:uid="{00000000-0005-0000-0000-0000164E0000}"/>
    <cellStyle name="强调文字颜色 1 4 17 6" xfId="27911" xr:uid="{00000000-0005-0000-0000-0000174E0000}"/>
    <cellStyle name="强调文字颜色 1 4 17 6 2" xfId="27914" xr:uid="{00000000-0005-0000-0000-0000184E0000}"/>
    <cellStyle name="强调文字颜色 1 4 17 6 2 2" xfId="27915" xr:uid="{00000000-0005-0000-0000-0000194E0000}"/>
    <cellStyle name="强调文字颜色 1 4 17 6 2 3" xfId="27916" xr:uid="{00000000-0005-0000-0000-00001A4E0000}"/>
    <cellStyle name="强调文字颜色 1 4 17 6 3" xfId="27918" xr:uid="{00000000-0005-0000-0000-00001B4E0000}"/>
    <cellStyle name="强调文字颜色 1 4 17 6 4" xfId="27920" xr:uid="{00000000-0005-0000-0000-00001C4E0000}"/>
    <cellStyle name="强调文字颜色 1 4 17 6 5" xfId="27922" xr:uid="{00000000-0005-0000-0000-00001D4E0000}"/>
    <cellStyle name="强调文字颜色 1 4 17 6 6" xfId="27924" xr:uid="{00000000-0005-0000-0000-00001E4E0000}"/>
    <cellStyle name="强调文字颜色 1 4 17 6 7" xfId="27926" xr:uid="{00000000-0005-0000-0000-00001F4E0000}"/>
    <cellStyle name="强调文字颜色 1 4 17 6 8" xfId="27927" xr:uid="{00000000-0005-0000-0000-0000204E0000}"/>
    <cellStyle name="强调文字颜色 1 4 17 7" xfId="10407" xr:uid="{00000000-0005-0000-0000-0000214E0000}"/>
    <cellStyle name="强调文字颜色 1 4 17 8" xfId="10419" xr:uid="{00000000-0005-0000-0000-0000224E0000}"/>
    <cellStyle name="强调文字颜色 1 4 17 9" xfId="27929" xr:uid="{00000000-0005-0000-0000-0000234E0000}"/>
    <cellStyle name="强调文字颜色 1 4 17 9 2" xfId="27932" xr:uid="{00000000-0005-0000-0000-0000244E0000}"/>
    <cellStyle name="强调文字颜色 1 4 17 9 3" xfId="27934" xr:uid="{00000000-0005-0000-0000-0000254E0000}"/>
    <cellStyle name="强调文字颜色 1 4 18" xfId="27935" xr:uid="{00000000-0005-0000-0000-0000264E0000}"/>
    <cellStyle name="强调文字颜色 1 4 18 10" xfId="27936" xr:uid="{00000000-0005-0000-0000-0000274E0000}"/>
    <cellStyle name="强调文字颜色 1 4 18 11" xfId="20574" xr:uid="{00000000-0005-0000-0000-0000284E0000}"/>
    <cellStyle name="强调文字颜色 1 4 18 12" xfId="20576" xr:uid="{00000000-0005-0000-0000-0000294E0000}"/>
    <cellStyle name="强调文字颜色 1 4 18 13" xfId="20578" xr:uid="{00000000-0005-0000-0000-00002A4E0000}"/>
    <cellStyle name="强调文字颜色 1 4 18 14" xfId="20580" xr:uid="{00000000-0005-0000-0000-00002B4E0000}"/>
    <cellStyle name="强调文字颜色 1 4 18 2" xfId="27937" xr:uid="{00000000-0005-0000-0000-00002C4E0000}"/>
    <cellStyle name="强调文字颜色 1 4 18 3" xfId="27938" xr:uid="{00000000-0005-0000-0000-00002D4E0000}"/>
    <cellStyle name="强调文字颜色 1 4 18 4" xfId="27939" xr:uid="{00000000-0005-0000-0000-00002E4E0000}"/>
    <cellStyle name="强调文字颜色 1 4 18 5" xfId="469" xr:uid="{00000000-0005-0000-0000-00002F4E0000}"/>
    <cellStyle name="强调文字颜色 1 4 18 5 10" xfId="5083" xr:uid="{00000000-0005-0000-0000-0000304E0000}"/>
    <cellStyle name="强调文字颜色 1 4 18 5 11" xfId="5087" xr:uid="{00000000-0005-0000-0000-0000314E0000}"/>
    <cellStyle name="强调文字颜色 1 4 18 5 2" xfId="3494" xr:uid="{00000000-0005-0000-0000-0000324E0000}"/>
    <cellStyle name="强调文字颜色 1 4 18 5 2 2" xfId="3769" xr:uid="{00000000-0005-0000-0000-0000334E0000}"/>
    <cellStyle name="强调文字颜色 1 4 18 5 2 2 2" xfId="27940" xr:uid="{00000000-0005-0000-0000-0000344E0000}"/>
    <cellStyle name="强调文字颜色 1 4 18 5 2 2 3" xfId="27941" xr:uid="{00000000-0005-0000-0000-0000354E0000}"/>
    <cellStyle name="强调文字颜色 1 4 18 5 2 3" xfId="3777" xr:uid="{00000000-0005-0000-0000-0000364E0000}"/>
    <cellStyle name="强调文字颜色 1 4 18 5 2 4" xfId="9123" xr:uid="{00000000-0005-0000-0000-0000374E0000}"/>
    <cellStyle name="强调文字颜色 1 4 18 5 2 5" xfId="3316" xr:uid="{00000000-0005-0000-0000-0000384E0000}"/>
    <cellStyle name="强调文字颜色 1 4 18 5 2 6" xfId="3326" xr:uid="{00000000-0005-0000-0000-0000394E0000}"/>
    <cellStyle name="强调文字颜色 1 4 18 5 2 7" xfId="3338" xr:uid="{00000000-0005-0000-0000-00003A4E0000}"/>
    <cellStyle name="强调文字颜色 1 4 18 5 2 8" xfId="3350" xr:uid="{00000000-0005-0000-0000-00003B4E0000}"/>
    <cellStyle name="强调文字颜色 1 4 18 5 3" xfId="3505" xr:uid="{00000000-0005-0000-0000-00003C4E0000}"/>
    <cellStyle name="强调文字颜色 1 4 18 5 4" xfId="3516" xr:uid="{00000000-0005-0000-0000-00003D4E0000}"/>
    <cellStyle name="强调文字颜色 1 4 18 5 5" xfId="3427" xr:uid="{00000000-0005-0000-0000-00003E4E0000}"/>
    <cellStyle name="强调文字颜色 1 4 18 5 6" xfId="3449" xr:uid="{00000000-0005-0000-0000-00003F4E0000}"/>
    <cellStyle name="强调文字颜色 1 4 18 5 6 2" xfId="27942" xr:uid="{00000000-0005-0000-0000-0000404E0000}"/>
    <cellStyle name="强调文字颜色 1 4 18 5 6 3" xfId="27943" xr:uid="{00000000-0005-0000-0000-0000414E0000}"/>
    <cellStyle name="强调文字颜色 1 4 18 5 7" xfId="3533" xr:uid="{00000000-0005-0000-0000-0000424E0000}"/>
    <cellStyle name="强调文字颜色 1 4 18 5 8" xfId="3539" xr:uid="{00000000-0005-0000-0000-0000434E0000}"/>
    <cellStyle name="强调文字颜色 1 4 18 5 9" xfId="20590" xr:uid="{00000000-0005-0000-0000-0000444E0000}"/>
    <cellStyle name="强调文字颜色 1 4 18 6" xfId="197" xr:uid="{00000000-0005-0000-0000-0000454E0000}"/>
    <cellStyle name="强调文字颜色 1 4 18 6 2" xfId="26270" xr:uid="{00000000-0005-0000-0000-0000464E0000}"/>
    <cellStyle name="强调文字颜色 1 4 18 6 2 2" xfId="6536" xr:uid="{00000000-0005-0000-0000-0000474E0000}"/>
    <cellStyle name="强调文字颜色 1 4 18 6 2 3" xfId="6594" xr:uid="{00000000-0005-0000-0000-0000484E0000}"/>
    <cellStyle name="强调文字颜色 1 4 18 6 3" xfId="26272" xr:uid="{00000000-0005-0000-0000-0000494E0000}"/>
    <cellStyle name="强调文字颜色 1 4 18 6 4" xfId="26274" xr:uid="{00000000-0005-0000-0000-00004A4E0000}"/>
    <cellStyle name="强调文字颜色 1 4 18 6 5" xfId="26276" xr:uid="{00000000-0005-0000-0000-00004B4E0000}"/>
    <cellStyle name="强调文字颜色 1 4 18 6 6" xfId="25799" xr:uid="{00000000-0005-0000-0000-00004C4E0000}"/>
    <cellStyle name="强调文字颜色 1 4 18 6 7" xfId="20605" xr:uid="{00000000-0005-0000-0000-00004D4E0000}"/>
    <cellStyle name="强调文字颜色 1 4 18 6 8" xfId="20608" xr:uid="{00000000-0005-0000-0000-00004E4E0000}"/>
    <cellStyle name="强调文字颜色 1 4 18 7" xfId="3784" xr:uid="{00000000-0005-0000-0000-00004F4E0000}"/>
    <cellStyle name="强调文字颜色 1 4 18 8" xfId="3794" xr:uid="{00000000-0005-0000-0000-0000504E0000}"/>
    <cellStyle name="强调文字颜色 1 4 18 9" xfId="3808" xr:uid="{00000000-0005-0000-0000-0000514E0000}"/>
    <cellStyle name="强调文字颜色 1 4 18 9 2" xfId="3566" xr:uid="{00000000-0005-0000-0000-0000524E0000}"/>
    <cellStyle name="强调文字颜色 1 4 18 9 3" xfId="3816" xr:uid="{00000000-0005-0000-0000-0000534E0000}"/>
    <cellStyle name="强调文字颜色 1 4 19" xfId="27944" xr:uid="{00000000-0005-0000-0000-0000544E0000}"/>
    <cellStyle name="强调文字颜色 1 4 19 10" xfId="14770" xr:uid="{00000000-0005-0000-0000-0000554E0000}"/>
    <cellStyle name="强调文字颜色 1 4 19 11" xfId="14774" xr:uid="{00000000-0005-0000-0000-0000564E0000}"/>
    <cellStyle name="强调文字颜色 1 4 19 12" xfId="20621" xr:uid="{00000000-0005-0000-0000-0000574E0000}"/>
    <cellStyle name="强调文字颜色 1 4 19 13" xfId="20624" xr:uid="{00000000-0005-0000-0000-0000584E0000}"/>
    <cellStyle name="强调文字颜色 1 4 19 14" xfId="20627" xr:uid="{00000000-0005-0000-0000-0000594E0000}"/>
    <cellStyle name="强调文字颜色 1 4 19 2" xfId="27945" xr:uid="{00000000-0005-0000-0000-00005A4E0000}"/>
    <cellStyle name="强调文字颜色 1 4 19 3" xfId="27946" xr:uid="{00000000-0005-0000-0000-00005B4E0000}"/>
    <cellStyle name="强调文字颜色 1 4 19 4" xfId="27947" xr:uid="{00000000-0005-0000-0000-00005C4E0000}"/>
    <cellStyle name="强调文字颜色 1 4 19 5" xfId="3296" xr:uid="{00000000-0005-0000-0000-00005D4E0000}"/>
    <cellStyle name="强调文字颜色 1 4 19 5 10" xfId="27948" xr:uid="{00000000-0005-0000-0000-00005E4E0000}"/>
    <cellStyle name="强调文字颜色 1 4 19 5 11" xfId="27949" xr:uid="{00000000-0005-0000-0000-00005F4E0000}"/>
    <cellStyle name="强调文字颜色 1 4 19 5 2" xfId="3837" xr:uid="{00000000-0005-0000-0000-0000604E0000}"/>
    <cellStyle name="强调文字颜色 1 4 19 5 2 2" xfId="11241" xr:uid="{00000000-0005-0000-0000-0000614E0000}"/>
    <cellStyle name="强调文字颜色 1 4 19 5 2 2 2" xfId="4771" xr:uid="{00000000-0005-0000-0000-0000624E0000}"/>
    <cellStyle name="强调文字颜色 1 4 19 5 2 2 3" xfId="27561" xr:uid="{00000000-0005-0000-0000-0000634E0000}"/>
    <cellStyle name="强调文字颜色 1 4 19 5 2 3" xfId="11246" xr:uid="{00000000-0005-0000-0000-0000644E0000}"/>
    <cellStyle name="强调文字颜色 1 4 19 5 2 4" xfId="9276" xr:uid="{00000000-0005-0000-0000-0000654E0000}"/>
    <cellStyle name="强调文字颜色 1 4 19 5 2 5" xfId="9285" xr:uid="{00000000-0005-0000-0000-0000664E0000}"/>
    <cellStyle name="强调文字颜色 1 4 19 5 2 6" xfId="12292" xr:uid="{00000000-0005-0000-0000-0000674E0000}"/>
    <cellStyle name="强调文字颜色 1 4 19 5 2 7" xfId="12301" xr:uid="{00000000-0005-0000-0000-0000684E0000}"/>
    <cellStyle name="强调文字颜色 1 4 19 5 2 8" xfId="27950" xr:uid="{00000000-0005-0000-0000-0000694E0000}"/>
    <cellStyle name="强调文字颜色 1 4 19 5 3" xfId="3845" xr:uid="{00000000-0005-0000-0000-00006A4E0000}"/>
    <cellStyle name="强调文字颜色 1 4 19 5 4" xfId="24149" xr:uid="{00000000-0005-0000-0000-00006B4E0000}"/>
    <cellStyle name="强调文字颜色 1 4 19 5 5" xfId="24152" xr:uid="{00000000-0005-0000-0000-00006C4E0000}"/>
    <cellStyle name="强调文字颜色 1 4 19 5 6" xfId="26300" xr:uid="{00000000-0005-0000-0000-00006D4E0000}"/>
    <cellStyle name="强调文字颜色 1 4 19 5 6 2" xfId="198" xr:uid="{00000000-0005-0000-0000-00006E4E0000}"/>
    <cellStyle name="强调文字颜色 1 4 19 5 6 3" xfId="27951" xr:uid="{00000000-0005-0000-0000-00006F4E0000}"/>
    <cellStyle name="强调文字颜色 1 4 19 5 7" xfId="20639" xr:uid="{00000000-0005-0000-0000-0000704E0000}"/>
    <cellStyle name="强调文字颜色 1 4 19 5 8" xfId="20652" xr:uid="{00000000-0005-0000-0000-0000714E0000}"/>
    <cellStyle name="强调文字颜色 1 4 19 5 9" xfId="20654" xr:uid="{00000000-0005-0000-0000-0000724E0000}"/>
    <cellStyle name="强调文字颜色 1 4 19 6" xfId="3307" xr:uid="{00000000-0005-0000-0000-0000734E0000}"/>
    <cellStyle name="强调文字颜色 1 4 19 6 2" xfId="26311" xr:uid="{00000000-0005-0000-0000-0000744E0000}"/>
    <cellStyle name="强调文字颜色 1 4 19 6 2 2" xfId="27952" xr:uid="{00000000-0005-0000-0000-0000754E0000}"/>
    <cellStyle name="强调文字颜色 1 4 19 6 2 3" xfId="27954" xr:uid="{00000000-0005-0000-0000-0000764E0000}"/>
    <cellStyle name="强调文字颜色 1 4 19 6 3" xfId="26313" xr:uid="{00000000-0005-0000-0000-0000774E0000}"/>
    <cellStyle name="强调文字颜色 1 4 19 6 4" xfId="26315" xr:uid="{00000000-0005-0000-0000-0000784E0000}"/>
    <cellStyle name="强调文字颜色 1 4 19 6 5" xfId="26317" xr:uid="{00000000-0005-0000-0000-0000794E0000}"/>
    <cellStyle name="强调文字颜色 1 4 19 6 6" xfId="27956" xr:uid="{00000000-0005-0000-0000-00007A4E0000}"/>
    <cellStyle name="强调文字颜色 1 4 19 6 7" xfId="20660" xr:uid="{00000000-0005-0000-0000-00007B4E0000}"/>
    <cellStyle name="强调文字颜色 1 4 19 6 8" xfId="20669" xr:uid="{00000000-0005-0000-0000-00007C4E0000}"/>
    <cellStyle name="强调文字颜色 1 4 19 7" xfId="3862" xr:uid="{00000000-0005-0000-0000-00007D4E0000}"/>
    <cellStyle name="强调文字颜色 1 4 19 8" xfId="3865" xr:uid="{00000000-0005-0000-0000-00007E4E0000}"/>
    <cellStyle name="强调文字颜色 1 4 19 9" xfId="3868" xr:uid="{00000000-0005-0000-0000-00007F4E0000}"/>
    <cellStyle name="强调文字颜色 1 4 19 9 2" xfId="21293" xr:uid="{00000000-0005-0000-0000-0000804E0000}"/>
    <cellStyle name="强调文字颜色 1 4 19 9 3" xfId="11930" xr:uid="{00000000-0005-0000-0000-0000814E0000}"/>
    <cellStyle name="强调文字颜色 1 4 2" xfId="27957" xr:uid="{00000000-0005-0000-0000-0000824E0000}"/>
    <cellStyle name="强调文字颜色 1 4 20" xfId="13148" xr:uid="{00000000-0005-0000-0000-0000834E0000}"/>
    <cellStyle name="强调文字颜色 1 4 20 10" xfId="27959" xr:uid="{00000000-0005-0000-0000-0000844E0000}"/>
    <cellStyle name="强调文字颜色 1 4 20 11" xfId="27961" xr:uid="{00000000-0005-0000-0000-0000854E0000}"/>
    <cellStyle name="强调文字颜色 1 4 20 12" xfId="27963" xr:uid="{00000000-0005-0000-0000-0000864E0000}"/>
    <cellStyle name="强调文字颜色 1 4 20 13" xfId="20509" xr:uid="{00000000-0005-0000-0000-0000874E0000}"/>
    <cellStyle name="强调文字颜色 1 4 20 14" xfId="20511" xr:uid="{00000000-0005-0000-0000-0000884E0000}"/>
    <cellStyle name="强调文字颜色 1 4 20 2" xfId="27964" xr:uid="{00000000-0005-0000-0000-0000894E0000}"/>
    <cellStyle name="强调文字颜色 1 4 20 3" xfId="27965" xr:uid="{00000000-0005-0000-0000-00008A4E0000}"/>
    <cellStyle name="强调文字颜色 1 4 20 4" xfId="27966" xr:uid="{00000000-0005-0000-0000-00008B4E0000}"/>
    <cellStyle name="强调文字颜色 1 4 20 5" xfId="3214" xr:uid="{00000000-0005-0000-0000-00008C4E0000}"/>
    <cellStyle name="强调文字颜色 1 4 20 5 10" xfId="17609" xr:uid="{00000000-0005-0000-0000-00008D4E0000}"/>
    <cellStyle name="强调文字颜色 1 4 20 5 11" xfId="17640" xr:uid="{00000000-0005-0000-0000-00008E4E0000}"/>
    <cellStyle name="强调文字颜色 1 4 20 5 2" xfId="27967" xr:uid="{00000000-0005-0000-0000-00008F4E0000}"/>
    <cellStyle name="强调文字颜色 1 4 20 5 2 2" xfId="16740" xr:uid="{00000000-0005-0000-0000-0000904E0000}"/>
    <cellStyle name="强调文字颜色 1 4 20 5 2 2 2" xfId="27968" xr:uid="{00000000-0005-0000-0000-0000914E0000}"/>
    <cellStyle name="强调文字颜色 1 4 20 5 2 2 3" xfId="27969" xr:uid="{00000000-0005-0000-0000-0000924E0000}"/>
    <cellStyle name="强调文字颜色 1 4 20 5 2 3" xfId="16742" xr:uid="{00000000-0005-0000-0000-0000934E0000}"/>
    <cellStyle name="强调文字颜色 1 4 20 5 2 4" xfId="6015" xr:uid="{00000000-0005-0000-0000-0000944E0000}"/>
    <cellStyle name="强调文字颜色 1 4 20 5 2 5" xfId="6019" xr:uid="{00000000-0005-0000-0000-0000954E0000}"/>
    <cellStyle name="强调文字颜色 1 4 20 5 2 6" xfId="16747" xr:uid="{00000000-0005-0000-0000-0000964E0000}"/>
    <cellStyle name="强调文字颜色 1 4 20 5 2 7" xfId="27970" xr:uid="{00000000-0005-0000-0000-0000974E0000}"/>
    <cellStyle name="强调文字颜色 1 4 20 5 2 8" xfId="16993" xr:uid="{00000000-0005-0000-0000-0000984E0000}"/>
    <cellStyle name="强调文字颜色 1 4 20 5 3" xfId="27971" xr:uid="{00000000-0005-0000-0000-0000994E0000}"/>
    <cellStyle name="强调文字颜色 1 4 20 5 4" xfId="27972" xr:uid="{00000000-0005-0000-0000-00009A4E0000}"/>
    <cellStyle name="强调文字颜色 1 4 20 5 5" xfId="27973" xr:uid="{00000000-0005-0000-0000-00009B4E0000}"/>
    <cellStyle name="强调文字颜色 1 4 20 5 6" xfId="27974" xr:uid="{00000000-0005-0000-0000-00009C4E0000}"/>
    <cellStyle name="强调文字颜色 1 4 20 5 6 2" xfId="27975" xr:uid="{00000000-0005-0000-0000-00009D4E0000}"/>
    <cellStyle name="强调文字颜色 1 4 20 5 6 3" xfId="27976" xr:uid="{00000000-0005-0000-0000-00009E4E0000}"/>
    <cellStyle name="强调文字颜色 1 4 20 5 7" xfId="27977" xr:uid="{00000000-0005-0000-0000-00009F4E0000}"/>
    <cellStyle name="强调文字颜色 1 4 20 5 8" xfId="27978" xr:uid="{00000000-0005-0000-0000-0000A04E0000}"/>
    <cellStyle name="强调文字颜色 1 4 20 5 9" xfId="27979" xr:uid="{00000000-0005-0000-0000-0000A14E0000}"/>
    <cellStyle name="强调文字颜色 1 4 20 6" xfId="27980" xr:uid="{00000000-0005-0000-0000-0000A24E0000}"/>
    <cellStyle name="强调文字颜色 1 4 20 6 2" xfId="2377" xr:uid="{00000000-0005-0000-0000-0000A34E0000}"/>
    <cellStyle name="强调文字颜色 1 4 20 6 2 2" xfId="13303" xr:uid="{00000000-0005-0000-0000-0000A44E0000}"/>
    <cellStyle name="强调文字颜色 1 4 20 6 2 3" xfId="19464" xr:uid="{00000000-0005-0000-0000-0000A54E0000}"/>
    <cellStyle name="强调文字颜色 1 4 20 6 3" xfId="27981" xr:uid="{00000000-0005-0000-0000-0000A64E0000}"/>
    <cellStyle name="强调文字颜色 1 4 20 6 4" xfId="21875" xr:uid="{00000000-0005-0000-0000-0000A74E0000}"/>
    <cellStyle name="强调文字颜色 1 4 20 6 5" xfId="21877" xr:uid="{00000000-0005-0000-0000-0000A84E0000}"/>
    <cellStyle name="强调文字颜色 1 4 20 6 6" xfId="21879" xr:uid="{00000000-0005-0000-0000-0000A94E0000}"/>
    <cellStyle name="强调文字颜色 1 4 20 6 7" xfId="21882" xr:uid="{00000000-0005-0000-0000-0000AA4E0000}"/>
    <cellStyle name="强调文字颜色 1 4 20 6 8" xfId="21885" xr:uid="{00000000-0005-0000-0000-0000AB4E0000}"/>
    <cellStyle name="强调文字颜色 1 4 20 7" xfId="27982" xr:uid="{00000000-0005-0000-0000-0000AC4E0000}"/>
    <cellStyle name="强调文字颜色 1 4 20 8" xfId="27983" xr:uid="{00000000-0005-0000-0000-0000AD4E0000}"/>
    <cellStyle name="强调文字颜色 1 4 20 9" xfId="27984" xr:uid="{00000000-0005-0000-0000-0000AE4E0000}"/>
    <cellStyle name="强调文字颜色 1 4 20 9 2" xfId="27986" xr:uid="{00000000-0005-0000-0000-0000AF4E0000}"/>
    <cellStyle name="强调文字颜色 1 4 20 9 3" xfId="27988" xr:uid="{00000000-0005-0000-0000-0000B04E0000}"/>
    <cellStyle name="强调文字颜色 1 4 3" xfId="27989" xr:uid="{00000000-0005-0000-0000-0000B14E0000}"/>
    <cellStyle name="强调文字颜色 1 4 4" xfId="27990" xr:uid="{00000000-0005-0000-0000-0000B24E0000}"/>
    <cellStyle name="强调文字颜色 1 4 5" xfId="27991" xr:uid="{00000000-0005-0000-0000-0000B34E0000}"/>
    <cellStyle name="强调文字颜色 1 4 6" xfId="27992" xr:uid="{00000000-0005-0000-0000-0000B44E0000}"/>
    <cellStyle name="强调文字颜色 1 4 7" xfId="27993" xr:uid="{00000000-0005-0000-0000-0000B54E0000}"/>
    <cellStyle name="强调文字颜色 1 4 8" xfId="27994" xr:uid="{00000000-0005-0000-0000-0000B64E0000}"/>
    <cellStyle name="强调文字颜色 1 4 9" xfId="27995" xr:uid="{00000000-0005-0000-0000-0000B74E0000}"/>
    <cellStyle name="强调文字颜色 1 5" xfId="27996" xr:uid="{00000000-0005-0000-0000-0000B84E0000}"/>
    <cellStyle name="强调文字颜色 1 5 10" xfId="27997" xr:uid="{00000000-0005-0000-0000-0000B94E0000}"/>
    <cellStyle name="强调文字颜色 1 5 11" xfId="27998" xr:uid="{00000000-0005-0000-0000-0000BA4E0000}"/>
    <cellStyle name="强调文字颜色 1 5 12" xfId="27999" xr:uid="{00000000-0005-0000-0000-0000BB4E0000}"/>
    <cellStyle name="强调文字颜色 1 5 13" xfId="28000" xr:uid="{00000000-0005-0000-0000-0000BC4E0000}"/>
    <cellStyle name="强调文字颜色 1 5 14" xfId="28001" xr:uid="{00000000-0005-0000-0000-0000BD4E0000}"/>
    <cellStyle name="强调文字颜色 1 5 2" xfId="28002" xr:uid="{00000000-0005-0000-0000-0000BE4E0000}"/>
    <cellStyle name="强调文字颜色 1 5 3" xfId="28003" xr:uid="{00000000-0005-0000-0000-0000BF4E0000}"/>
    <cellStyle name="强调文字颜色 1 5 4" xfId="24602" xr:uid="{00000000-0005-0000-0000-0000C04E0000}"/>
    <cellStyle name="强调文字颜色 1 5 5" xfId="24605" xr:uid="{00000000-0005-0000-0000-0000C14E0000}"/>
    <cellStyle name="强调文字颜色 1 5 6" xfId="24607" xr:uid="{00000000-0005-0000-0000-0000C24E0000}"/>
    <cellStyle name="强调文字颜色 1 5 7" xfId="19432" xr:uid="{00000000-0005-0000-0000-0000C34E0000}"/>
    <cellStyle name="强调文字颜色 1 5 8" xfId="19434" xr:uid="{00000000-0005-0000-0000-0000C44E0000}"/>
    <cellStyle name="强调文字颜色 1 5 9" xfId="28004" xr:uid="{00000000-0005-0000-0000-0000C54E0000}"/>
    <cellStyle name="强调文字颜色 1 6" xfId="28005" xr:uid="{00000000-0005-0000-0000-0000C64E0000}"/>
    <cellStyle name="强调文字颜色 1 6 10" xfId="28006" xr:uid="{00000000-0005-0000-0000-0000C74E0000}"/>
    <cellStyle name="强调文字颜色 1 6 11" xfId="28007" xr:uid="{00000000-0005-0000-0000-0000C84E0000}"/>
    <cellStyle name="强调文字颜色 1 6 12" xfId="26512" xr:uid="{00000000-0005-0000-0000-0000C94E0000}"/>
    <cellStyle name="强调文字颜色 1 6 13" xfId="8581" xr:uid="{00000000-0005-0000-0000-0000CA4E0000}"/>
    <cellStyle name="强调文字颜色 1 6 14" xfId="8588" xr:uid="{00000000-0005-0000-0000-0000CB4E0000}"/>
    <cellStyle name="强调文字颜色 1 6 2" xfId="28008" xr:uid="{00000000-0005-0000-0000-0000CC4E0000}"/>
    <cellStyle name="强调文字颜色 1 6 3" xfId="28010" xr:uid="{00000000-0005-0000-0000-0000CD4E0000}"/>
    <cellStyle name="强调文字颜色 1 6 4" xfId="28012" xr:uid="{00000000-0005-0000-0000-0000CE4E0000}"/>
    <cellStyle name="强调文字颜色 1 6 5" xfId="28014" xr:uid="{00000000-0005-0000-0000-0000CF4E0000}"/>
    <cellStyle name="强调文字颜色 1 6 6" xfId="28016" xr:uid="{00000000-0005-0000-0000-0000D04E0000}"/>
    <cellStyle name="强调文字颜色 1 6 7" xfId="28018" xr:uid="{00000000-0005-0000-0000-0000D14E0000}"/>
    <cellStyle name="强调文字颜色 1 6 8" xfId="28019" xr:uid="{00000000-0005-0000-0000-0000D24E0000}"/>
    <cellStyle name="强调文字颜色 1 6 9" xfId="28020" xr:uid="{00000000-0005-0000-0000-0000D34E0000}"/>
    <cellStyle name="强调文字颜色 1 7" xfId="28021" xr:uid="{00000000-0005-0000-0000-0000D44E0000}"/>
    <cellStyle name="强调文字颜色 1 8" xfId="28022" xr:uid="{00000000-0005-0000-0000-0000D54E0000}"/>
    <cellStyle name="强调文字颜色 1 9" xfId="28023" xr:uid="{00000000-0005-0000-0000-0000D64E0000}"/>
    <cellStyle name="强调文字颜色 2 10" xfId="28024" xr:uid="{00000000-0005-0000-0000-0000D74E0000}"/>
    <cellStyle name="强调文字颜色 2 11" xfId="28025" xr:uid="{00000000-0005-0000-0000-0000D84E0000}"/>
    <cellStyle name="强调文字颜色 2 12" xfId="28026" xr:uid="{00000000-0005-0000-0000-0000D94E0000}"/>
    <cellStyle name="强调文字颜色 2 12 10" xfId="28027" xr:uid="{00000000-0005-0000-0000-0000DA4E0000}"/>
    <cellStyle name="强调文字颜色 2 12 11" xfId="28028" xr:uid="{00000000-0005-0000-0000-0000DB4E0000}"/>
    <cellStyle name="强调文字颜色 2 12 12" xfId="28029" xr:uid="{00000000-0005-0000-0000-0000DC4E0000}"/>
    <cellStyle name="强调文字颜色 2 12 13" xfId="28030" xr:uid="{00000000-0005-0000-0000-0000DD4E0000}"/>
    <cellStyle name="强调文字颜色 2 12 14" xfId="26465" xr:uid="{00000000-0005-0000-0000-0000DE4E0000}"/>
    <cellStyle name="强调文字颜色 2 12 2" xfId="28032" xr:uid="{00000000-0005-0000-0000-0000DF4E0000}"/>
    <cellStyle name="强调文字颜色 2 12 3" xfId="26547" xr:uid="{00000000-0005-0000-0000-0000E04E0000}"/>
    <cellStyle name="强调文字颜色 2 12 4" xfId="26551" xr:uid="{00000000-0005-0000-0000-0000E14E0000}"/>
    <cellStyle name="强调文字颜色 2 12 5" xfId="26555" xr:uid="{00000000-0005-0000-0000-0000E24E0000}"/>
    <cellStyle name="强调文字颜色 2 12 5 10" xfId="28033" xr:uid="{00000000-0005-0000-0000-0000E34E0000}"/>
    <cellStyle name="强调文字颜色 2 12 5 11" xfId="28035" xr:uid="{00000000-0005-0000-0000-0000E44E0000}"/>
    <cellStyle name="强调文字颜色 2 12 5 2" xfId="4494" xr:uid="{00000000-0005-0000-0000-0000E54E0000}"/>
    <cellStyle name="强调文字颜色 2 12 5 2 2" xfId="28037" xr:uid="{00000000-0005-0000-0000-0000E64E0000}"/>
    <cellStyle name="强调文字颜色 2 12 5 2 2 2" xfId="28039" xr:uid="{00000000-0005-0000-0000-0000E74E0000}"/>
    <cellStyle name="强调文字颜色 2 12 5 2 2 3" xfId="5720" xr:uid="{00000000-0005-0000-0000-0000E84E0000}"/>
    <cellStyle name="强调文字颜色 2 12 5 2 3" xfId="28040" xr:uid="{00000000-0005-0000-0000-0000E94E0000}"/>
    <cellStyle name="强调文字颜色 2 12 5 2 4" xfId="26391" xr:uid="{00000000-0005-0000-0000-0000EA4E0000}"/>
    <cellStyle name="强调文字颜色 2 12 5 2 5" xfId="26393" xr:uid="{00000000-0005-0000-0000-0000EB4E0000}"/>
    <cellStyle name="强调文字颜色 2 12 5 2 6" xfId="28041" xr:uid="{00000000-0005-0000-0000-0000EC4E0000}"/>
    <cellStyle name="强调文字颜色 2 12 5 2 7" xfId="28042" xr:uid="{00000000-0005-0000-0000-0000ED4E0000}"/>
    <cellStyle name="强调文字颜色 2 12 5 2 8" xfId="28045" xr:uid="{00000000-0005-0000-0000-0000EE4E0000}"/>
    <cellStyle name="强调文字颜色 2 12 5 3" xfId="28047" xr:uid="{00000000-0005-0000-0000-0000EF4E0000}"/>
    <cellStyle name="强调文字颜色 2 12 5 4" xfId="28048" xr:uid="{00000000-0005-0000-0000-0000F04E0000}"/>
    <cellStyle name="强调文字颜色 2 12 5 5" xfId="28050" xr:uid="{00000000-0005-0000-0000-0000F14E0000}"/>
    <cellStyle name="强调文字颜色 2 12 5 6" xfId="10413" xr:uid="{00000000-0005-0000-0000-0000F24E0000}"/>
    <cellStyle name="强调文字颜色 2 12 5 6 2" xfId="5329" xr:uid="{00000000-0005-0000-0000-0000F34E0000}"/>
    <cellStyle name="强调文字颜色 2 12 5 6 3" xfId="5344" xr:uid="{00000000-0005-0000-0000-0000F44E0000}"/>
    <cellStyle name="强调文字颜色 2 12 5 7" xfId="10426" xr:uid="{00000000-0005-0000-0000-0000F54E0000}"/>
    <cellStyle name="强调文字颜色 2 12 5 8" xfId="10432" xr:uid="{00000000-0005-0000-0000-0000F64E0000}"/>
    <cellStyle name="强调文字颜色 2 12 5 9" xfId="10439" xr:uid="{00000000-0005-0000-0000-0000F74E0000}"/>
    <cellStyle name="强调文字颜色 2 12 6" xfId="26558" xr:uid="{00000000-0005-0000-0000-0000F84E0000}"/>
    <cellStyle name="强调文字颜色 2 12 6 2" xfId="26563" xr:uid="{00000000-0005-0000-0000-0000F94E0000}"/>
    <cellStyle name="强调文字颜色 2 12 6 2 2" xfId="26568" xr:uid="{00000000-0005-0000-0000-0000FA4E0000}"/>
    <cellStyle name="强调文字颜色 2 12 6 2 3" xfId="26569" xr:uid="{00000000-0005-0000-0000-0000FB4E0000}"/>
    <cellStyle name="强调文字颜色 2 12 6 3" xfId="26577" xr:uid="{00000000-0005-0000-0000-0000FC4E0000}"/>
    <cellStyle name="强调文字颜色 2 12 6 4" xfId="26579" xr:uid="{00000000-0005-0000-0000-0000FD4E0000}"/>
    <cellStyle name="强调文字颜色 2 12 6 5" xfId="26581" xr:uid="{00000000-0005-0000-0000-0000FE4E0000}"/>
    <cellStyle name="强调文字颜色 2 12 6 6" xfId="23101" xr:uid="{00000000-0005-0000-0000-0000FF4E0000}"/>
    <cellStyle name="强调文字颜色 2 12 6 7" xfId="23104" xr:uid="{00000000-0005-0000-0000-0000004F0000}"/>
    <cellStyle name="强调文字颜色 2 12 6 8" xfId="23107" xr:uid="{00000000-0005-0000-0000-0000014F0000}"/>
    <cellStyle name="强调文字颜色 2 12 7" xfId="6366" xr:uid="{00000000-0005-0000-0000-0000024F0000}"/>
    <cellStyle name="强调文字颜色 2 12 8" xfId="6371" xr:uid="{00000000-0005-0000-0000-0000034F0000}"/>
    <cellStyle name="强调文字颜色 2 12 9" xfId="17076" xr:uid="{00000000-0005-0000-0000-0000044F0000}"/>
    <cellStyle name="强调文字颜色 2 12 9 2" xfId="28053" xr:uid="{00000000-0005-0000-0000-0000054F0000}"/>
    <cellStyle name="强调文字颜色 2 12 9 3" xfId="28056" xr:uid="{00000000-0005-0000-0000-0000064F0000}"/>
    <cellStyle name="强调文字颜色 2 13" xfId="28057" xr:uid="{00000000-0005-0000-0000-0000074F0000}"/>
    <cellStyle name="强调文字颜色 2 14" xfId="28059" xr:uid="{00000000-0005-0000-0000-0000084F0000}"/>
    <cellStyle name="强调文字颜色 2 15" xfId="28061" xr:uid="{00000000-0005-0000-0000-0000094F0000}"/>
    <cellStyle name="强调文字颜色 2 16" xfId="28063" xr:uid="{00000000-0005-0000-0000-00000A4F0000}"/>
    <cellStyle name="强调文字颜色 2 16 10" xfId="28065" xr:uid="{00000000-0005-0000-0000-00000B4F0000}"/>
    <cellStyle name="强调文字颜色 2 16 11" xfId="28066" xr:uid="{00000000-0005-0000-0000-00000C4F0000}"/>
    <cellStyle name="强调文字颜色 2 16 12" xfId="28067" xr:uid="{00000000-0005-0000-0000-00000D4F0000}"/>
    <cellStyle name="强调文字颜色 2 16 13" xfId="28069" xr:uid="{00000000-0005-0000-0000-00000E4F0000}"/>
    <cellStyle name="强调文字颜色 2 16 14" xfId="28071" xr:uid="{00000000-0005-0000-0000-00000F4F0000}"/>
    <cellStyle name="强调文字颜色 2 16 2" xfId="28073" xr:uid="{00000000-0005-0000-0000-0000104F0000}"/>
    <cellStyle name="强调文字颜色 2 16 3" xfId="28075" xr:uid="{00000000-0005-0000-0000-0000114F0000}"/>
    <cellStyle name="强调文字颜色 2 16 4" xfId="28077" xr:uid="{00000000-0005-0000-0000-0000124F0000}"/>
    <cellStyle name="强调文字颜色 2 16 5" xfId="28079" xr:uid="{00000000-0005-0000-0000-0000134F0000}"/>
    <cellStyle name="强调文字颜色 2 16 5 10" xfId="28081" xr:uid="{00000000-0005-0000-0000-0000144F0000}"/>
    <cellStyle name="强调文字颜色 2 16 5 11" xfId="28082" xr:uid="{00000000-0005-0000-0000-0000154F0000}"/>
    <cellStyle name="强调文字颜色 2 16 5 2" xfId="28084" xr:uid="{00000000-0005-0000-0000-0000164F0000}"/>
    <cellStyle name="强调文字颜色 2 16 5 2 2" xfId="28085" xr:uid="{00000000-0005-0000-0000-0000174F0000}"/>
    <cellStyle name="强调文字颜色 2 16 5 2 2 2" xfId="28086" xr:uid="{00000000-0005-0000-0000-0000184F0000}"/>
    <cellStyle name="强调文字颜色 2 16 5 2 2 3" xfId="28087" xr:uid="{00000000-0005-0000-0000-0000194F0000}"/>
    <cellStyle name="强调文字颜色 2 16 5 2 3" xfId="28088" xr:uid="{00000000-0005-0000-0000-00001A4F0000}"/>
    <cellStyle name="强调文字颜色 2 16 5 2 4" xfId="28089" xr:uid="{00000000-0005-0000-0000-00001B4F0000}"/>
    <cellStyle name="强调文字颜色 2 16 5 2 5" xfId="28090" xr:uid="{00000000-0005-0000-0000-00001C4F0000}"/>
    <cellStyle name="强调文字颜色 2 16 5 2 6" xfId="28091" xr:uid="{00000000-0005-0000-0000-00001D4F0000}"/>
    <cellStyle name="强调文字颜色 2 16 5 2 7" xfId="28092" xr:uid="{00000000-0005-0000-0000-00001E4F0000}"/>
    <cellStyle name="强调文字颜色 2 16 5 2 8" xfId="28093" xr:uid="{00000000-0005-0000-0000-00001F4F0000}"/>
    <cellStyle name="强调文字颜色 2 16 5 3" xfId="13366" xr:uid="{00000000-0005-0000-0000-0000204F0000}"/>
    <cellStyle name="强调文字颜色 2 16 5 4" xfId="13452" xr:uid="{00000000-0005-0000-0000-0000214F0000}"/>
    <cellStyle name="强调文字颜色 2 16 5 5" xfId="13504" xr:uid="{00000000-0005-0000-0000-0000224F0000}"/>
    <cellStyle name="强调文字颜色 2 16 5 6" xfId="13539" xr:uid="{00000000-0005-0000-0000-0000234F0000}"/>
    <cellStyle name="强调文字颜色 2 16 5 6 2" xfId="28096" xr:uid="{00000000-0005-0000-0000-0000244F0000}"/>
    <cellStyle name="强调文字颜色 2 16 5 6 3" xfId="28098" xr:uid="{00000000-0005-0000-0000-0000254F0000}"/>
    <cellStyle name="强调文字颜色 2 16 5 7" xfId="14321" xr:uid="{00000000-0005-0000-0000-0000264F0000}"/>
    <cellStyle name="强调文字颜色 2 16 5 8" xfId="14323" xr:uid="{00000000-0005-0000-0000-0000274F0000}"/>
    <cellStyle name="强调文字颜色 2 16 5 9" xfId="7759" xr:uid="{00000000-0005-0000-0000-0000284F0000}"/>
    <cellStyle name="强调文字颜色 2 16 6" xfId="28099" xr:uid="{00000000-0005-0000-0000-0000294F0000}"/>
    <cellStyle name="强调文字颜色 2 16 6 2" xfId="19548" xr:uid="{00000000-0005-0000-0000-00002A4F0000}"/>
    <cellStyle name="强调文字颜色 2 16 6 2 2" xfId="28100" xr:uid="{00000000-0005-0000-0000-00002B4F0000}"/>
    <cellStyle name="强调文字颜色 2 16 6 2 3" xfId="16143" xr:uid="{00000000-0005-0000-0000-00002C4F0000}"/>
    <cellStyle name="强调文字颜色 2 16 6 3" xfId="11857" xr:uid="{00000000-0005-0000-0000-00002D4F0000}"/>
    <cellStyle name="强调文字颜色 2 16 6 4" xfId="14426" xr:uid="{00000000-0005-0000-0000-00002E4F0000}"/>
    <cellStyle name="强调文字颜色 2 16 6 5" xfId="14429" xr:uid="{00000000-0005-0000-0000-00002F4F0000}"/>
    <cellStyle name="强调文字颜色 2 16 6 6" xfId="14432" xr:uid="{00000000-0005-0000-0000-0000304F0000}"/>
    <cellStyle name="强调文字颜色 2 16 6 7" xfId="14435" xr:uid="{00000000-0005-0000-0000-0000314F0000}"/>
    <cellStyle name="强调文字颜色 2 16 6 8" xfId="14437" xr:uid="{00000000-0005-0000-0000-0000324F0000}"/>
    <cellStyle name="强调文字颜色 2 16 7" xfId="21077" xr:uid="{00000000-0005-0000-0000-0000334F0000}"/>
    <cellStyle name="强调文字颜色 2 16 8" xfId="21080" xr:uid="{00000000-0005-0000-0000-0000344F0000}"/>
    <cellStyle name="强调文字颜色 2 16 9" xfId="28101" xr:uid="{00000000-0005-0000-0000-0000354F0000}"/>
    <cellStyle name="强调文字颜色 2 16 9 2" xfId="28102" xr:uid="{00000000-0005-0000-0000-0000364F0000}"/>
    <cellStyle name="强调文字颜色 2 16 9 3" xfId="28103" xr:uid="{00000000-0005-0000-0000-0000374F0000}"/>
    <cellStyle name="强调文字颜色 2 17" xfId="28104" xr:uid="{00000000-0005-0000-0000-0000384F0000}"/>
    <cellStyle name="强调文字颜色 2 17 10" xfId="28106" xr:uid="{00000000-0005-0000-0000-0000394F0000}"/>
    <cellStyle name="强调文字颜色 2 17 11" xfId="28107" xr:uid="{00000000-0005-0000-0000-00003A4F0000}"/>
    <cellStyle name="强调文字颜色 2 17 12" xfId="28108" xr:uid="{00000000-0005-0000-0000-00003B4F0000}"/>
    <cellStyle name="强调文字颜色 2 17 13" xfId="28109" xr:uid="{00000000-0005-0000-0000-00003C4F0000}"/>
    <cellStyle name="强调文字颜色 2 17 14" xfId="28110" xr:uid="{00000000-0005-0000-0000-00003D4F0000}"/>
    <cellStyle name="强调文字颜色 2 17 2" xfId="28111" xr:uid="{00000000-0005-0000-0000-00003E4F0000}"/>
    <cellStyle name="强调文字颜色 2 17 3" xfId="28113" xr:uid="{00000000-0005-0000-0000-00003F4F0000}"/>
    <cellStyle name="强调文字颜色 2 17 4" xfId="28116" xr:uid="{00000000-0005-0000-0000-0000404F0000}"/>
    <cellStyle name="强调文字颜色 2 17 5" xfId="28118" xr:uid="{00000000-0005-0000-0000-0000414F0000}"/>
    <cellStyle name="强调文字颜色 2 17 5 10" xfId="28119" xr:uid="{00000000-0005-0000-0000-0000424F0000}"/>
    <cellStyle name="强调文字颜色 2 17 5 11" xfId="28121" xr:uid="{00000000-0005-0000-0000-0000434F0000}"/>
    <cellStyle name="强调文字颜色 2 17 5 2" xfId="28123" xr:uid="{00000000-0005-0000-0000-0000444F0000}"/>
    <cellStyle name="强调文字颜色 2 17 5 2 2" xfId="28124" xr:uid="{00000000-0005-0000-0000-0000454F0000}"/>
    <cellStyle name="强调文字颜色 2 17 5 2 2 2" xfId="16275" xr:uid="{00000000-0005-0000-0000-0000464F0000}"/>
    <cellStyle name="强调文字颜色 2 17 5 2 2 3" xfId="16281" xr:uid="{00000000-0005-0000-0000-0000474F0000}"/>
    <cellStyle name="强调文字颜色 2 17 5 2 3" xfId="28125" xr:uid="{00000000-0005-0000-0000-0000484F0000}"/>
    <cellStyle name="强调文字颜色 2 17 5 2 4" xfId="28126" xr:uid="{00000000-0005-0000-0000-0000494F0000}"/>
    <cellStyle name="强调文字颜色 2 17 5 2 5" xfId="28127" xr:uid="{00000000-0005-0000-0000-00004A4F0000}"/>
    <cellStyle name="强调文字颜色 2 17 5 2 6" xfId="28128" xr:uid="{00000000-0005-0000-0000-00004B4F0000}"/>
    <cellStyle name="强调文字颜色 2 17 5 2 7" xfId="28129" xr:uid="{00000000-0005-0000-0000-00004C4F0000}"/>
    <cellStyle name="强调文字颜色 2 17 5 2 8" xfId="28130" xr:uid="{00000000-0005-0000-0000-00004D4F0000}"/>
    <cellStyle name="强调文字颜色 2 17 5 3" xfId="25607" xr:uid="{00000000-0005-0000-0000-00004E4F0000}"/>
    <cellStyle name="强调文字颜色 2 17 5 4" xfId="28131" xr:uid="{00000000-0005-0000-0000-00004F4F0000}"/>
    <cellStyle name="强调文字颜色 2 17 5 5" xfId="28133" xr:uid="{00000000-0005-0000-0000-0000504F0000}"/>
    <cellStyle name="强调文字颜色 2 17 5 6" xfId="28135" xr:uid="{00000000-0005-0000-0000-0000514F0000}"/>
    <cellStyle name="强调文字颜色 2 17 5 6 2" xfId="28136" xr:uid="{00000000-0005-0000-0000-0000524F0000}"/>
    <cellStyle name="强调文字颜色 2 17 5 6 3" xfId="28138" xr:uid="{00000000-0005-0000-0000-0000534F0000}"/>
    <cellStyle name="强调文字颜色 2 17 5 7" xfId="28141" xr:uid="{00000000-0005-0000-0000-0000544F0000}"/>
    <cellStyle name="强调文字颜色 2 17 5 8" xfId="22105" xr:uid="{00000000-0005-0000-0000-0000554F0000}"/>
    <cellStyle name="强调文字颜色 2 17 5 9" xfId="22110" xr:uid="{00000000-0005-0000-0000-0000564F0000}"/>
    <cellStyle name="强调文字颜色 2 17 6" xfId="28142" xr:uid="{00000000-0005-0000-0000-0000574F0000}"/>
    <cellStyle name="强调文字颜色 2 17 6 2" xfId="19587" xr:uid="{00000000-0005-0000-0000-0000584F0000}"/>
    <cellStyle name="强调文字颜色 2 17 6 2 2" xfId="28145" xr:uid="{00000000-0005-0000-0000-0000594F0000}"/>
    <cellStyle name="强调文字颜色 2 17 6 2 3" xfId="28146" xr:uid="{00000000-0005-0000-0000-00005A4F0000}"/>
    <cellStyle name="强调文字颜色 2 17 6 3" xfId="19591" xr:uid="{00000000-0005-0000-0000-00005B4F0000}"/>
    <cellStyle name="强调文字颜色 2 17 6 4" xfId="28147" xr:uid="{00000000-0005-0000-0000-00005C4F0000}"/>
    <cellStyle name="强调文字颜色 2 17 6 5" xfId="28148" xr:uid="{00000000-0005-0000-0000-00005D4F0000}"/>
    <cellStyle name="强调文字颜色 2 17 6 6" xfId="28149" xr:uid="{00000000-0005-0000-0000-00005E4F0000}"/>
    <cellStyle name="强调文字颜色 2 17 6 7" xfId="28150" xr:uid="{00000000-0005-0000-0000-00005F4F0000}"/>
    <cellStyle name="强调文字颜色 2 17 6 8" xfId="28151" xr:uid="{00000000-0005-0000-0000-0000604F0000}"/>
    <cellStyle name="强调文字颜色 2 17 7" xfId="28152" xr:uid="{00000000-0005-0000-0000-0000614F0000}"/>
    <cellStyle name="强调文字颜色 2 17 8" xfId="28155" xr:uid="{00000000-0005-0000-0000-0000624F0000}"/>
    <cellStyle name="强调文字颜色 2 17 9" xfId="28158" xr:uid="{00000000-0005-0000-0000-0000634F0000}"/>
    <cellStyle name="强调文字颜色 2 17 9 2" xfId="28160" xr:uid="{00000000-0005-0000-0000-0000644F0000}"/>
    <cellStyle name="强调文字颜色 2 17 9 3" xfId="28161" xr:uid="{00000000-0005-0000-0000-0000654F0000}"/>
    <cellStyle name="强调文字颜色 2 18" xfId="28162" xr:uid="{00000000-0005-0000-0000-0000664F0000}"/>
    <cellStyle name="强调文字颜色 2 18 10" xfId="9965" xr:uid="{00000000-0005-0000-0000-0000674F0000}"/>
    <cellStyle name="强调文字颜色 2 18 11" xfId="20180" xr:uid="{00000000-0005-0000-0000-0000684F0000}"/>
    <cellStyle name="强调文字颜色 2 18 12" xfId="20182" xr:uid="{00000000-0005-0000-0000-0000694F0000}"/>
    <cellStyle name="强调文字颜色 2 18 13" xfId="28164" xr:uid="{00000000-0005-0000-0000-00006A4F0000}"/>
    <cellStyle name="强调文字颜色 2 18 14" xfId="28165" xr:uid="{00000000-0005-0000-0000-00006B4F0000}"/>
    <cellStyle name="强调文字颜色 2 18 2" xfId="28166" xr:uid="{00000000-0005-0000-0000-00006C4F0000}"/>
    <cellStyle name="强调文字颜色 2 18 3" xfId="28167" xr:uid="{00000000-0005-0000-0000-00006D4F0000}"/>
    <cellStyle name="强调文字颜色 2 18 4" xfId="25504" xr:uid="{00000000-0005-0000-0000-00006E4F0000}"/>
    <cellStyle name="强调文字颜色 2 18 5" xfId="28168" xr:uid="{00000000-0005-0000-0000-00006F4F0000}"/>
    <cellStyle name="强调文字颜色 2 18 5 10" xfId="28169" xr:uid="{00000000-0005-0000-0000-0000704F0000}"/>
    <cellStyle name="强调文字颜色 2 18 5 11" xfId="28170" xr:uid="{00000000-0005-0000-0000-0000714F0000}"/>
    <cellStyle name="强调文字颜色 2 18 5 2" xfId="28173" xr:uid="{00000000-0005-0000-0000-0000724F0000}"/>
    <cellStyle name="强调文字颜色 2 18 5 2 2" xfId="28174" xr:uid="{00000000-0005-0000-0000-0000734F0000}"/>
    <cellStyle name="强调文字颜色 2 18 5 2 2 2" xfId="27339" xr:uid="{00000000-0005-0000-0000-0000744F0000}"/>
    <cellStyle name="强调文字颜色 2 18 5 2 2 3" xfId="27371" xr:uid="{00000000-0005-0000-0000-0000754F0000}"/>
    <cellStyle name="强调文字颜色 2 18 5 2 3" xfId="28175" xr:uid="{00000000-0005-0000-0000-0000764F0000}"/>
    <cellStyle name="强调文字颜色 2 18 5 2 4" xfId="28176" xr:uid="{00000000-0005-0000-0000-0000774F0000}"/>
    <cellStyle name="强调文字颜色 2 18 5 2 5" xfId="28177" xr:uid="{00000000-0005-0000-0000-0000784F0000}"/>
    <cellStyle name="强调文字颜色 2 18 5 2 6" xfId="28178" xr:uid="{00000000-0005-0000-0000-0000794F0000}"/>
    <cellStyle name="强调文字颜色 2 18 5 2 7" xfId="28179" xr:uid="{00000000-0005-0000-0000-00007A4F0000}"/>
    <cellStyle name="强调文字颜色 2 18 5 2 8" xfId="27410" xr:uid="{00000000-0005-0000-0000-00007B4F0000}"/>
    <cellStyle name="强调文字颜色 2 18 5 3" xfId="28181" xr:uid="{00000000-0005-0000-0000-00007C4F0000}"/>
    <cellStyle name="强调文字颜色 2 18 5 4" xfId="28182" xr:uid="{00000000-0005-0000-0000-00007D4F0000}"/>
    <cellStyle name="强调文字颜色 2 18 5 5" xfId="28183" xr:uid="{00000000-0005-0000-0000-00007E4F0000}"/>
    <cellStyle name="强调文字颜色 2 18 5 6" xfId="28184" xr:uid="{00000000-0005-0000-0000-00007F4F0000}"/>
    <cellStyle name="强调文字颜色 2 18 5 6 2" xfId="9707" xr:uid="{00000000-0005-0000-0000-0000804F0000}"/>
    <cellStyle name="强调文字颜色 2 18 5 6 3" xfId="9713" xr:uid="{00000000-0005-0000-0000-0000814F0000}"/>
    <cellStyle name="强调文字颜色 2 18 5 7" xfId="28185" xr:uid="{00000000-0005-0000-0000-0000824F0000}"/>
    <cellStyle name="强调文字颜色 2 18 5 8" xfId="28186" xr:uid="{00000000-0005-0000-0000-0000834F0000}"/>
    <cellStyle name="强调文字颜色 2 18 5 9" xfId="28187" xr:uid="{00000000-0005-0000-0000-0000844F0000}"/>
    <cellStyle name="强调文字颜色 2 18 6" xfId="28189" xr:uid="{00000000-0005-0000-0000-0000854F0000}"/>
    <cellStyle name="强调文字颜色 2 18 6 2" xfId="3232" xr:uid="{00000000-0005-0000-0000-0000864F0000}"/>
    <cellStyle name="强调文字颜色 2 18 6 2 2" xfId="28190" xr:uid="{00000000-0005-0000-0000-0000874F0000}"/>
    <cellStyle name="强调文字颜色 2 18 6 2 3" xfId="28192" xr:uid="{00000000-0005-0000-0000-0000884F0000}"/>
    <cellStyle name="强调文字颜色 2 18 6 3" xfId="425" xr:uid="{00000000-0005-0000-0000-0000894F0000}"/>
    <cellStyle name="强调文字颜色 2 18 6 4" xfId="293" xr:uid="{00000000-0005-0000-0000-00008A4F0000}"/>
    <cellStyle name="强调文字颜色 2 18 6 5" xfId="5051" xr:uid="{00000000-0005-0000-0000-00008B4F0000}"/>
    <cellStyle name="强调文字颜色 2 18 6 6" xfId="5202" xr:uid="{00000000-0005-0000-0000-00008C4F0000}"/>
    <cellStyle name="强调文字颜色 2 18 6 7" xfId="28194" xr:uid="{00000000-0005-0000-0000-00008D4F0000}"/>
    <cellStyle name="强调文字颜色 2 18 6 8" xfId="28195" xr:uid="{00000000-0005-0000-0000-00008E4F0000}"/>
    <cellStyle name="强调文字颜色 2 18 7" xfId="28196" xr:uid="{00000000-0005-0000-0000-00008F4F0000}"/>
    <cellStyle name="强调文字颜色 2 18 8" xfId="28197" xr:uid="{00000000-0005-0000-0000-0000904F0000}"/>
    <cellStyle name="强调文字颜色 2 18 9" xfId="28198" xr:uid="{00000000-0005-0000-0000-0000914F0000}"/>
    <cellStyle name="强调文字颜色 2 18 9 2" xfId="28199" xr:uid="{00000000-0005-0000-0000-0000924F0000}"/>
    <cellStyle name="强调文字颜色 2 18 9 3" xfId="28200" xr:uid="{00000000-0005-0000-0000-0000934F0000}"/>
    <cellStyle name="强调文字颜色 2 19" xfId="28201" xr:uid="{00000000-0005-0000-0000-0000944F0000}"/>
    <cellStyle name="强调文字颜色 2 2" xfId="5999" xr:uid="{00000000-0005-0000-0000-0000954F0000}"/>
    <cellStyle name="强调文字颜色 2 2 10" xfId="28203" xr:uid="{00000000-0005-0000-0000-0000964F0000}"/>
    <cellStyle name="强调文字颜色 2 2 11" xfId="28204" xr:uid="{00000000-0005-0000-0000-0000974F0000}"/>
    <cellStyle name="强调文字颜色 2 2 12" xfId="28205" xr:uid="{00000000-0005-0000-0000-0000984F0000}"/>
    <cellStyle name="强调文字颜色 2 2 13" xfId="28206" xr:uid="{00000000-0005-0000-0000-0000994F0000}"/>
    <cellStyle name="强调文字颜色 2 2 14" xfId="28207" xr:uid="{00000000-0005-0000-0000-00009A4F0000}"/>
    <cellStyle name="强调文字颜色 2 2 15" xfId="28208" xr:uid="{00000000-0005-0000-0000-00009B4F0000}"/>
    <cellStyle name="强调文字颜色 2 2 16" xfId="28210" xr:uid="{00000000-0005-0000-0000-00009C4F0000}"/>
    <cellStyle name="强调文字颜色 2 2 17" xfId="28211" xr:uid="{00000000-0005-0000-0000-00009D4F0000}"/>
    <cellStyle name="强调文字颜色 2 2 17 10" xfId="28212" xr:uid="{00000000-0005-0000-0000-00009E4F0000}"/>
    <cellStyle name="强调文字颜色 2 2 17 11" xfId="28214" xr:uid="{00000000-0005-0000-0000-00009F4F0000}"/>
    <cellStyle name="强调文字颜色 2 2 17 12" xfId="28216" xr:uid="{00000000-0005-0000-0000-0000A04F0000}"/>
    <cellStyle name="强调文字颜色 2 2 17 13" xfId="28218" xr:uid="{00000000-0005-0000-0000-0000A14F0000}"/>
    <cellStyle name="强调文字颜色 2 2 17 14" xfId="28222" xr:uid="{00000000-0005-0000-0000-0000A24F0000}"/>
    <cellStyle name="强调文字颜色 2 2 17 2" xfId="28226" xr:uid="{00000000-0005-0000-0000-0000A34F0000}"/>
    <cellStyle name="强调文字颜色 2 2 17 3" xfId="28227" xr:uid="{00000000-0005-0000-0000-0000A44F0000}"/>
    <cellStyle name="强调文字颜色 2 2 17 4" xfId="28228" xr:uid="{00000000-0005-0000-0000-0000A54F0000}"/>
    <cellStyle name="强调文字颜色 2 2 17 5" xfId="5735" xr:uid="{00000000-0005-0000-0000-0000A64F0000}"/>
    <cellStyle name="强调文字颜色 2 2 17 5 10" xfId="27125" xr:uid="{00000000-0005-0000-0000-0000A74F0000}"/>
    <cellStyle name="强调文字颜色 2 2 17 5 11" xfId="27128" xr:uid="{00000000-0005-0000-0000-0000A84F0000}"/>
    <cellStyle name="强调文字颜色 2 2 17 5 2" xfId="28231" xr:uid="{00000000-0005-0000-0000-0000A94F0000}"/>
    <cellStyle name="强调文字颜色 2 2 17 5 2 2" xfId="28232" xr:uid="{00000000-0005-0000-0000-0000AA4F0000}"/>
    <cellStyle name="强调文字颜色 2 2 17 5 2 2 2" xfId="28233" xr:uid="{00000000-0005-0000-0000-0000AB4F0000}"/>
    <cellStyle name="强调文字颜色 2 2 17 5 2 2 3" xfId="28234" xr:uid="{00000000-0005-0000-0000-0000AC4F0000}"/>
    <cellStyle name="强调文字颜色 2 2 17 5 2 3" xfId="28235" xr:uid="{00000000-0005-0000-0000-0000AD4F0000}"/>
    <cellStyle name="强调文字颜色 2 2 17 5 2 4" xfId="28236" xr:uid="{00000000-0005-0000-0000-0000AE4F0000}"/>
    <cellStyle name="强调文字颜色 2 2 17 5 2 5" xfId="28238" xr:uid="{00000000-0005-0000-0000-0000AF4F0000}"/>
    <cellStyle name="强调文字颜色 2 2 17 5 2 6" xfId="28240" xr:uid="{00000000-0005-0000-0000-0000B04F0000}"/>
    <cellStyle name="强调文字颜色 2 2 17 5 2 7" xfId="22216" xr:uid="{00000000-0005-0000-0000-0000B14F0000}"/>
    <cellStyle name="强调文字颜色 2 2 17 5 2 8" xfId="13282" xr:uid="{00000000-0005-0000-0000-0000B24F0000}"/>
    <cellStyle name="强调文字颜色 2 2 17 5 3" xfId="28241" xr:uid="{00000000-0005-0000-0000-0000B34F0000}"/>
    <cellStyle name="强调文字颜色 2 2 17 5 4" xfId="24891" xr:uid="{00000000-0005-0000-0000-0000B44F0000}"/>
    <cellStyle name="强调文字颜色 2 2 17 5 5" xfId="24893" xr:uid="{00000000-0005-0000-0000-0000B54F0000}"/>
    <cellStyle name="强调文字颜色 2 2 17 5 6" xfId="24895" xr:uid="{00000000-0005-0000-0000-0000B64F0000}"/>
    <cellStyle name="强调文字颜色 2 2 17 5 6 2" xfId="16495" xr:uid="{00000000-0005-0000-0000-0000B74F0000}"/>
    <cellStyle name="强调文字颜色 2 2 17 5 6 3" xfId="2641" xr:uid="{00000000-0005-0000-0000-0000B84F0000}"/>
    <cellStyle name="强调文字颜色 2 2 17 5 7" xfId="24897" xr:uid="{00000000-0005-0000-0000-0000B94F0000}"/>
    <cellStyle name="强调文字颜色 2 2 17 5 8" xfId="9649" xr:uid="{00000000-0005-0000-0000-0000BA4F0000}"/>
    <cellStyle name="强调文字颜色 2 2 17 5 9" xfId="9656" xr:uid="{00000000-0005-0000-0000-0000BB4F0000}"/>
    <cellStyle name="强调文字颜色 2 2 17 6" xfId="5754" xr:uid="{00000000-0005-0000-0000-0000BC4F0000}"/>
    <cellStyle name="强调文字颜色 2 2 17 6 2" xfId="16592" xr:uid="{00000000-0005-0000-0000-0000BD4F0000}"/>
    <cellStyle name="强调文字颜色 2 2 17 6 2 2" xfId="28242" xr:uid="{00000000-0005-0000-0000-0000BE4F0000}"/>
    <cellStyle name="强调文字颜色 2 2 17 6 2 3" xfId="28243" xr:uid="{00000000-0005-0000-0000-0000BF4F0000}"/>
    <cellStyle name="强调文字颜色 2 2 17 6 3" xfId="299" xr:uid="{00000000-0005-0000-0000-0000C04F0000}"/>
    <cellStyle name="强调文字颜色 2 2 17 6 4" xfId="5056" xr:uid="{00000000-0005-0000-0000-0000C14F0000}"/>
    <cellStyle name="强调文字颜色 2 2 17 6 5" xfId="28244" xr:uid="{00000000-0005-0000-0000-0000C24F0000}"/>
    <cellStyle name="强调文字颜色 2 2 17 6 6" xfId="28245" xr:uid="{00000000-0005-0000-0000-0000C34F0000}"/>
    <cellStyle name="强调文字颜色 2 2 17 6 7" xfId="303" xr:uid="{00000000-0005-0000-0000-0000C44F0000}"/>
    <cellStyle name="强调文字颜色 2 2 17 6 8" xfId="28247" xr:uid="{00000000-0005-0000-0000-0000C54F0000}"/>
    <cellStyle name="强调文字颜色 2 2 17 7" xfId="5765" xr:uid="{00000000-0005-0000-0000-0000C64F0000}"/>
    <cellStyle name="强调文字颜色 2 2 17 8" xfId="5776" xr:uid="{00000000-0005-0000-0000-0000C74F0000}"/>
    <cellStyle name="强调文字颜色 2 2 17 9" xfId="10390" xr:uid="{00000000-0005-0000-0000-0000C84F0000}"/>
    <cellStyle name="强调文字颜色 2 2 17 9 2" xfId="28248" xr:uid="{00000000-0005-0000-0000-0000C94F0000}"/>
    <cellStyle name="强调文字颜色 2 2 17 9 3" xfId="28252" xr:uid="{00000000-0005-0000-0000-0000CA4F0000}"/>
    <cellStyle name="强调文字颜色 2 2 18" xfId="28254" xr:uid="{00000000-0005-0000-0000-0000CB4F0000}"/>
    <cellStyle name="强调文字颜色 2 2 18 10" xfId="28255" xr:uid="{00000000-0005-0000-0000-0000CC4F0000}"/>
    <cellStyle name="强调文字颜色 2 2 18 11" xfId="28256" xr:uid="{00000000-0005-0000-0000-0000CD4F0000}"/>
    <cellStyle name="强调文字颜色 2 2 18 12" xfId="28257" xr:uid="{00000000-0005-0000-0000-0000CE4F0000}"/>
    <cellStyle name="强调文字颜色 2 2 18 13" xfId="28258" xr:uid="{00000000-0005-0000-0000-0000CF4F0000}"/>
    <cellStyle name="强调文字颜色 2 2 18 14" xfId="28259" xr:uid="{00000000-0005-0000-0000-0000D04F0000}"/>
    <cellStyle name="强调文字颜色 2 2 18 2" xfId="28260" xr:uid="{00000000-0005-0000-0000-0000D14F0000}"/>
    <cellStyle name="强调文字颜色 2 2 18 3" xfId="28262" xr:uid="{00000000-0005-0000-0000-0000D24F0000}"/>
    <cellStyle name="强调文字颜色 2 2 18 4" xfId="28264" xr:uid="{00000000-0005-0000-0000-0000D34F0000}"/>
    <cellStyle name="强调文字颜色 2 2 18 5" xfId="28267" xr:uid="{00000000-0005-0000-0000-0000D44F0000}"/>
    <cellStyle name="强调文字颜色 2 2 18 5 10" xfId="21903" xr:uid="{00000000-0005-0000-0000-0000D54F0000}"/>
    <cellStyle name="强调文字颜色 2 2 18 5 11" xfId="28272" xr:uid="{00000000-0005-0000-0000-0000D64F0000}"/>
    <cellStyle name="强调文字颜色 2 2 18 5 2" xfId="28273" xr:uid="{00000000-0005-0000-0000-0000D74F0000}"/>
    <cellStyle name="强调文字颜色 2 2 18 5 2 2" xfId="28275" xr:uid="{00000000-0005-0000-0000-0000D84F0000}"/>
    <cellStyle name="强调文字颜色 2 2 18 5 2 2 2" xfId="20478" xr:uid="{00000000-0005-0000-0000-0000D94F0000}"/>
    <cellStyle name="强调文字颜色 2 2 18 5 2 2 3" xfId="20482" xr:uid="{00000000-0005-0000-0000-0000DA4F0000}"/>
    <cellStyle name="强调文字颜色 2 2 18 5 2 3" xfId="28276" xr:uid="{00000000-0005-0000-0000-0000DB4F0000}"/>
    <cellStyle name="强调文字颜色 2 2 18 5 2 4" xfId="28277" xr:uid="{00000000-0005-0000-0000-0000DC4F0000}"/>
    <cellStyle name="强调文字颜色 2 2 18 5 2 5" xfId="28278" xr:uid="{00000000-0005-0000-0000-0000DD4F0000}"/>
    <cellStyle name="强调文字颜色 2 2 18 5 2 6" xfId="28279" xr:uid="{00000000-0005-0000-0000-0000DE4F0000}"/>
    <cellStyle name="强调文字颜色 2 2 18 5 2 7" xfId="28280" xr:uid="{00000000-0005-0000-0000-0000DF4F0000}"/>
    <cellStyle name="强调文字颜色 2 2 18 5 2 8" xfId="28281" xr:uid="{00000000-0005-0000-0000-0000E04F0000}"/>
    <cellStyle name="强调文字颜色 2 2 18 5 3" xfId="28282" xr:uid="{00000000-0005-0000-0000-0000E14F0000}"/>
    <cellStyle name="强调文字颜色 2 2 18 5 4" xfId="28283" xr:uid="{00000000-0005-0000-0000-0000E24F0000}"/>
    <cellStyle name="强调文字颜色 2 2 18 5 5" xfId="28284" xr:uid="{00000000-0005-0000-0000-0000E34F0000}"/>
    <cellStyle name="强调文字颜色 2 2 18 5 6" xfId="25857" xr:uid="{00000000-0005-0000-0000-0000E44F0000}"/>
    <cellStyle name="强调文字颜色 2 2 18 5 6 2" xfId="8312" xr:uid="{00000000-0005-0000-0000-0000E54F0000}"/>
    <cellStyle name="强调文字颜色 2 2 18 5 6 3" xfId="8316" xr:uid="{00000000-0005-0000-0000-0000E64F0000}"/>
    <cellStyle name="强调文字颜色 2 2 18 5 7" xfId="6478" xr:uid="{00000000-0005-0000-0000-0000E74F0000}"/>
    <cellStyle name="强调文字颜色 2 2 18 5 8" xfId="6484" xr:uid="{00000000-0005-0000-0000-0000E84F0000}"/>
    <cellStyle name="强调文字颜色 2 2 18 5 9" xfId="6491" xr:uid="{00000000-0005-0000-0000-0000E94F0000}"/>
    <cellStyle name="强调文字颜色 2 2 18 6" xfId="28285" xr:uid="{00000000-0005-0000-0000-0000EA4F0000}"/>
    <cellStyle name="强调文字颜色 2 2 18 6 2" xfId="9935" xr:uid="{00000000-0005-0000-0000-0000EB4F0000}"/>
    <cellStyle name="强调文字颜色 2 2 18 6 2 2" xfId="20859" xr:uid="{00000000-0005-0000-0000-0000EC4F0000}"/>
    <cellStyle name="强调文字颜色 2 2 18 6 2 3" xfId="14491" xr:uid="{00000000-0005-0000-0000-0000ED4F0000}"/>
    <cellStyle name="强调文字颜色 2 2 18 6 3" xfId="9939" xr:uid="{00000000-0005-0000-0000-0000EE4F0000}"/>
    <cellStyle name="强调文字颜色 2 2 18 6 4" xfId="28287" xr:uid="{00000000-0005-0000-0000-0000EF4F0000}"/>
    <cellStyle name="强调文字颜色 2 2 18 6 5" xfId="21970" xr:uid="{00000000-0005-0000-0000-0000F04F0000}"/>
    <cellStyle name="强调文字颜色 2 2 18 6 6" xfId="21974" xr:uid="{00000000-0005-0000-0000-0000F14F0000}"/>
    <cellStyle name="强调文字颜色 2 2 18 6 7" xfId="28290" xr:uid="{00000000-0005-0000-0000-0000F24F0000}"/>
    <cellStyle name="强调文字颜色 2 2 18 6 8" xfId="18578" xr:uid="{00000000-0005-0000-0000-0000F34F0000}"/>
    <cellStyle name="强调文字颜色 2 2 18 7" xfId="25893" xr:uid="{00000000-0005-0000-0000-0000F44F0000}"/>
    <cellStyle name="强调文字颜色 2 2 18 8" xfId="28293" xr:uid="{00000000-0005-0000-0000-0000F54F0000}"/>
    <cellStyle name="强调文字颜色 2 2 18 9" xfId="28295" xr:uid="{00000000-0005-0000-0000-0000F64F0000}"/>
    <cellStyle name="强调文字颜色 2 2 18 9 2" xfId="28296" xr:uid="{00000000-0005-0000-0000-0000F74F0000}"/>
    <cellStyle name="强调文字颜色 2 2 18 9 3" xfId="28297" xr:uid="{00000000-0005-0000-0000-0000F84F0000}"/>
    <cellStyle name="强调文字颜色 2 2 19" xfId="28298" xr:uid="{00000000-0005-0000-0000-0000F94F0000}"/>
    <cellStyle name="强调文字颜色 2 2 19 10" xfId="28299" xr:uid="{00000000-0005-0000-0000-0000FA4F0000}"/>
    <cellStyle name="强调文字颜色 2 2 19 11" xfId="8986" xr:uid="{00000000-0005-0000-0000-0000FB4F0000}"/>
    <cellStyle name="强调文字颜色 2 2 19 12" xfId="8988" xr:uid="{00000000-0005-0000-0000-0000FC4F0000}"/>
    <cellStyle name="强调文字颜色 2 2 19 13" xfId="28300" xr:uid="{00000000-0005-0000-0000-0000FD4F0000}"/>
    <cellStyle name="强调文字颜色 2 2 19 14" xfId="28301" xr:uid="{00000000-0005-0000-0000-0000FE4F0000}"/>
    <cellStyle name="强调文字颜色 2 2 19 2" xfId="28302" xr:uid="{00000000-0005-0000-0000-0000FF4F0000}"/>
    <cellStyle name="强调文字颜色 2 2 19 3" xfId="28303" xr:uid="{00000000-0005-0000-0000-000000500000}"/>
    <cellStyle name="强调文字颜色 2 2 19 4" xfId="248" xr:uid="{00000000-0005-0000-0000-000001500000}"/>
    <cellStyle name="强调文字颜色 2 2 19 5" xfId="28304" xr:uid="{00000000-0005-0000-0000-000002500000}"/>
    <cellStyle name="强调文字颜色 2 2 19 5 10" xfId="28306" xr:uid="{00000000-0005-0000-0000-000003500000}"/>
    <cellStyle name="强调文字颜色 2 2 19 5 11" xfId="28308" xr:uid="{00000000-0005-0000-0000-000004500000}"/>
    <cellStyle name="强调文字颜色 2 2 19 5 2" xfId="28310" xr:uid="{00000000-0005-0000-0000-000005500000}"/>
    <cellStyle name="强调文字颜色 2 2 19 5 2 2" xfId="28311" xr:uid="{00000000-0005-0000-0000-000006500000}"/>
    <cellStyle name="强调文字颜色 2 2 19 5 2 2 2" xfId="23975" xr:uid="{00000000-0005-0000-0000-000007500000}"/>
    <cellStyle name="强调文字颜色 2 2 19 5 2 2 3" xfId="23980" xr:uid="{00000000-0005-0000-0000-000008500000}"/>
    <cellStyle name="强调文字颜色 2 2 19 5 2 3" xfId="28312" xr:uid="{00000000-0005-0000-0000-000009500000}"/>
    <cellStyle name="强调文字颜色 2 2 19 5 2 4" xfId="28313" xr:uid="{00000000-0005-0000-0000-00000A500000}"/>
    <cellStyle name="强调文字颜色 2 2 19 5 2 5" xfId="28314" xr:uid="{00000000-0005-0000-0000-00000B500000}"/>
    <cellStyle name="强调文字颜色 2 2 19 5 2 6" xfId="28315" xr:uid="{00000000-0005-0000-0000-00000C500000}"/>
    <cellStyle name="强调文字颜色 2 2 19 5 2 7" xfId="28316" xr:uid="{00000000-0005-0000-0000-00000D500000}"/>
    <cellStyle name="强调文字颜色 2 2 19 5 2 8" xfId="28317" xr:uid="{00000000-0005-0000-0000-00000E500000}"/>
    <cellStyle name="强调文字颜色 2 2 19 5 3" xfId="28318" xr:uid="{00000000-0005-0000-0000-00000F500000}"/>
    <cellStyle name="强调文字颜色 2 2 19 5 4" xfId="28319" xr:uid="{00000000-0005-0000-0000-000010500000}"/>
    <cellStyle name="强调文字颜色 2 2 19 5 5" xfId="28321" xr:uid="{00000000-0005-0000-0000-000011500000}"/>
    <cellStyle name="强调文字颜色 2 2 19 5 6" xfId="28323" xr:uid="{00000000-0005-0000-0000-000012500000}"/>
    <cellStyle name="强调文字颜色 2 2 19 5 6 2" xfId="28324" xr:uid="{00000000-0005-0000-0000-000013500000}"/>
    <cellStyle name="强调文字颜色 2 2 19 5 6 3" xfId="17946" xr:uid="{00000000-0005-0000-0000-000014500000}"/>
    <cellStyle name="强调文字颜色 2 2 19 5 7" xfId="28326" xr:uid="{00000000-0005-0000-0000-000015500000}"/>
    <cellStyle name="强调文字颜色 2 2 19 5 8" xfId="28327" xr:uid="{00000000-0005-0000-0000-000016500000}"/>
    <cellStyle name="强调文字颜色 2 2 19 5 9" xfId="28328" xr:uid="{00000000-0005-0000-0000-000017500000}"/>
    <cellStyle name="强调文字颜色 2 2 19 6" xfId="28329" xr:uid="{00000000-0005-0000-0000-000018500000}"/>
    <cellStyle name="强调文字颜色 2 2 19 6 2" xfId="28330" xr:uid="{00000000-0005-0000-0000-000019500000}"/>
    <cellStyle name="强调文字颜色 2 2 19 6 2 2" xfId="28331" xr:uid="{00000000-0005-0000-0000-00001A500000}"/>
    <cellStyle name="强调文字颜色 2 2 19 6 2 3" xfId="28332" xr:uid="{00000000-0005-0000-0000-00001B500000}"/>
    <cellStyle name="强调文字颜色 2 2 19 6 3" xfId="28333" xr:uid="{00000000-0005-0000-0000-00001C500000}"/>
    <cellStyle name="强调文字颜色 2 2 19 6 4" xfId="28334" xr:uid="{00000000-0005-0000-0000-00001D500000}"/>
    <cellStyle name="强调文字颜色 2 2 19 6 5" xfId="28335" xr:uid="{00000000-0005-0000-0000-00001E500000}"/>
    <cellStyle name="强调文字颜色 2 2 19 6 6" xfId="28336" xr:uid="{00000000-0005-0000-0000-00001F500000}"/>
    <cellStyle name="强调文字颜色 2 2 19 6 7" xfId="28337" xr:uid="{00000000-0005-0000-0000-000020500000}"/>
    <cellStyle name="强调文字颜色 2 2 19 6 8" xfId="28339" xr:uid="{00000000-0005-0000-0000-000021500000}"/>
    <cellStyle name="强调文字颜色 2 2 19 7" xfId="28340" xr:uid="{00000000-0005-0000-0000-000022500000}"/>
    <cellStyle name="强调文字颜色 2 2 19 8" xfId="28341" xr:uid="{00000000-0005-0000-0000-000023500000}"/>
    <cellStyle name="强调文字颜色 2 2 19 9" xfId="28342" xr:uid="{00000000-0005-0000-0000-000024500000}"/>
    <cellStyle name="强调文字颜色 2 2 19 9 2" xfId="28343" xr:uid="{00000000-0005-0000-0000-000025500000}"/>
    <cellStyle name="强调文字颜色 2 2 19 9 3" xfId="28344" xr:uid="{00000000-0005-0000-0000-000026500000}"/>
    <cellStyle name="强调文字颜色 2 2 2" xfId="459" xr:uid="{00000000-0005-0000-0000-000027500000}"/>
    <cellStyle name="强调文字颜色 2 2 2 10" xfId="1302" xr:uid="{00000000-0005-0000-0000-000028500000}"/>
    <cellStyle name="强调文字颜色 2 2 2 11" xfId="1313" xr:uid="{00000000-0005-0000-0000-000029500000}"/>
    <cellStyle name="强调文字颜色 2 2 2 12" xfId="1886" xr:uid="{00000000-0005-0000-0000-00002A500000}"/>
    <cellStyle name="强调文字颜色 2 2 2 13" xfId="2343" xr:uid="{00000000-0005-0000-0000-00002B500000}"/>
    <cellStyle name="强调文字颜色 2 2 2 14" xfId="2793" xr:uid="{00000000-0005-0000-0000-00002C500000}"/>
    <cellStyle name="强调文字颜色 2 2 2 2" xfId="784" xr:uid="{00000000-0005-0000-0000-00002D500000}"/>
    <cellStyle name="强调文字颜色 2 2 2 3" xfId="791" xr:uid="{00000000-0005-0000-0000-00002E500000}"/>
    <cellStyle name="强调文字颜色 2 2 2 4" xfId="3944" xr:uid="{00000000-0005-0000-0000-00002F500000}"/>
    <cellStyle name="强调文字颜色 2 2 2 5" xfId="3997" xr:uid="{00000000-0005-0000-0000-000030500000}"/>
    <cellStyle name="强调文字颜色 2 2 2 6" xfId="4007" xr:uid="{00000000-0005-0000-0000-000031500000}"/>
    <cellStyle name="强调文字颜色 2 2 2 7" xfId="2075" xr:uid="{00000000-0005-0000-0000-000032500000}"/>
    <cellStyle name="强调文字颜色 2 2 2 8" xfId="3116" xr:uid="{00000000-0005-0000-0000-000033500000}"/>
    <cellStyle name="强调文字颜色 2 2 2 9" xfId="28345" xr:uid="{00000000-0005-0000-0000-000034500000}"/>
    <cellStyle name="强调文字颜色 2 2 20" xfId="28209" xr:uid="{00000000-0005-0000-0000-000035500000}"/>
    <cellStyle name="强调文字颜色 2 2 20 10" xfId="19728" xr:uid="{00000000-0005-0000-0000-000036500000}"/>
    <cellStyle name="强调文字颜色 2 2 20 11" xfId="28346" xr:uid="{00000000-0005-0000-0000-000037500000}"/>
    <cellStyle name="强调文字颜色 2 2 20 12" xfId="28348" xr:uid="{00000000-0005-0000-0000-000038500000}"/>
    <cellStyle name="强调文字颜色 2 2 20 13" xfId="28350" xr:uid="{00000000-0005-0000-0000-000039500000}"/>
    <cellStyle name="强调文字颜色 2 2 20 14" xfId="28352" xr:uid="{00000000-0005-0000-0000-00003A500000}"/>
    <cellStyle name="强调文字颜色 2 2 20 2" xfId="28354" xr:uid="{00000000-0005-0000-0000-00003B500000}"/>
    <cellStyle name="强调文字颜色 2 2 20 3" xfId="28355" xr:uid="{00000000-0005-0000-0000-00003C500000}"/>
    <cellStyle name="强调文字颜色 2 2 20 4" xfId="28356" xr:uid="{00000000-0005-0000-0000-00003D500000}"/>
    <cellStyle name="强调文字颜色 2 2 20 5" xfId="28357" xr:uid="{00000000-0005-0000-0000-00003E500000}"/>
    <cellStyle name="强调文字颜色 2 2 20 5 10" xfId="5768" xr:uid="{00000000-0005-0000-0000-00003F500000}"/>
    <cellStyle name="强调文字颜色 2 2 20 5 11" xfId="10388" xr:uid="{00000000-0005-0000-0000-000040500000}"/>
    <cellStyle name="强调文字颜色 2 2 20 5 2" xfId="28359" xr:uid="{00000000-0005-0000-0000-000041500000}"/>
    <cellStyle name="强调文字颜色 2 2 20 5 2 2" xfId="28360" xr:uid="{00000000-0005-0000-0000-000042500000}"/>
    <cellStyle name="强调文字颜色 2 2 20 5 2 2 2" xfId="20203" xr:uid="{00000000-0005-0000-0000-000043500000}"/>
    <cellStyle name="强调文字颜色 2 2 20 5 2 2 3" xfId="20205" xr:uid="{00000000-0005-0000-0000-000044500000}"/>
    <cellStyle name="强调文字颜色 2 2 20 5 2 3" xfId="25759" xr:uid="{00000000-0005-0000-0000-000045500000}"/>
    <cellStyle name="强调文字颜色 2 2 20 5 2 4" xfId="28361" xr:uid="{00000000-0005-0000-0000-000046500000}"/>
    <cellStyle name="强调文字颜色 2 2 20 5 2 5" xfId="28362" xr:uid="{00000000-0005-0000-0000-000047500000}"/>
    <cellStyle name="强调文字颜色 2 2 20 5 2 6" xfId="28363" xr:uid="{00000000-0005-0000-0000-000048500000}"/>
    <cellStyle name="强调文字颜色 2 2 20 5 2 7" xfId="25576" xr:uid="{00000000-0005-0000-0000-000049500000}"/>
    <cellStyle name="强调文字颜色 2 2 20 5 2 8" xfId="28364" xr:uid="{00000000-0005-0000-0000-00004A500000}"/>
    <cellStyle name="强调文字颜色 2 2 20 5 3" xfId="28366" xr:uid="{00000000-0005-0000-0000-00004B500000}"/>
    <cellStyle name="强调文字颜色 2 2 20 5 4" xfId="3697" xr:uid="{00000000-0005-0000-0000-00004C500000}"/>
    <cellStyle name="强调文字颜色 2 2 20 5 5" xfId="3701" xr:uid="{00000000-0005-0000-0000-00004D500000}"/>
    <cellStyle name="强调文字颜色 2 2 20 5 6" xfId="28367" xr:uid="{00000000-0005-0000-0000-00004E500000}"/>
    <cellStyle name="强调文字颜色 2 2 20 5 6 2" xfId="28368" xr:uid="{00000000-0005-0000-0000-00004F500000}"/>
    <cellStyle name="强调文字颜色 2 2 20 5 6 3" xfId="28369" xr:uid="{00000000-0005-0000-0000-000050500000}"/>
    <cellStyle name="强调文字颜色 2 2 20 5 7" xfId="28371" xr:uid="{00000000-0005-0000-0000-000051500000}"/>
    <cellStyle name="强调文字颜色 2 2 20 5 8" xfId="3722" xr:uid="{00000000-0005-0000-0000-000052500000}"/>
    <cellStyle name="强调文字颜色 2 2 20 5 9" xfId="3737" xr:uid="{00000000-0005-0000-0000-000053500000}"/>
    <cellStyle name="强调文字颜色 2 2 20 6" xfId="2847" xr:uid="{00000000-0005-0000-0000-000054500000}"/>
    <cellStyle name="强调文字颜色 2 2 20 6 2" xfId="24282" xr:uid="{00000000-0005-0000-0000-000055500000}"/>
    <cellStyle name="强调文字颜色 2 2 20 6 2 2" xfId="28372" xr:uid="{00000000-0005-0000-0000-000056500000}"/>
    <cellStyle name="强调文字颜色 2 2 20 6 2 3" xfId="28374" xr:uid="{00000000-0005-0000-0000-000057500000}"/>
    <cellStyle name="强调文字颜色 2 2 20 6 3" xfId="20758" xr:uid="{00000000-0005-0000-0000-000058500000}"/>
    <cellStyle name="强调文字颜色 2 2 20 6 4" xfId="20762" xr:uid="{00000000-0005-0000-0000-000059500000}"/>
    <cellStyle name="强调文字颜色 2 2 20 6 5" xfId="28376" xr:uid="{00000000-0005-0000-0000-00005A500000}"/>
    <cellStyle name="强调文字颜色 2 2 20 6 6" xfId="28377" xr:uid="{00000000-0005-0000-0000-00005B500000}"/>
    <cellStyle name="强调文字颜色 2 2 20 6 7" xfId="28378" xr:uid="{00000000-0005-0000-0000-00005C500000}"/>
    <cellStyle name="强调文字颜色 2 2 20 6 8" xfId="28380" xr:uid="{00000000-0005-0000-0000-00005D500000}"/>
    <cellStyle name="强调文字颜色 2 2 20 7" xfId="2870" xr:uid="{00000000-0005-0000-0000-00005E500000}"/>
    <cellStyle name="强调文字颜色 2 2 20 8" xfId="2888" xr:uid="{00000000-0005-0000-0000-00005F500000}"/>
    <cellStyle name="强调文字颜色 2 2 20 9" xfId="2900" xr:uid="{00000000-0005-0000-0000-000060500000}"/>
    <cellStyle name="强调文字颜色 2 2 20 9 2" xfId="16270" xr:uid="{00000000-0005-0000-0000-000061500000}"/>
    <cellStyle name="强调文字颜色 2 2 20 9 3" xfId="16277" xr:uid="{00000000-0005-0000-0000-000062500000}"/>
    <cellStyle name="强调文字颜色 2 2 3" xfId="546" xr:uid="{00000000-0005-0000-0000-000063500000}"/>
    <cellStyle name="强调文字颜色 2 2 3 10" xfId="3223" xr:uid="{00000000-0005-0000-0000-000064500000}"/>
    <cellStyle name="强调文字颜色 2 2 3 11" xfId="3242" xr:uid="{00000000-0005-0000-0000-000065500000}"/>
    <cellStyle name="强调文字颜色 2 2 3 12" xfId="2928" xr:uid="{00000000-0005-0000-0000-000066500000}"/>
    <cellStyle name="强调文字颜色 2 2 3 13" xfId="5876" xr:uid="{00000000-0005-0000-0000-000067500000}"/>
    <cellStyle name="强调文字颜色 2 2 3 14" xfId="6023" xr:uid="{00000000-0005-0000-0000-000068500000}"/>
    <cellStyle name="强调文字颜色 2 2 3 2" xfId="6695" xr:uid="{00000000-0005-0000-0000-000069500000}"/>
    <cellStyle name="强调文字颜色 2 2 3 3" xfId="7440" xr:uid="{00000000-0005-0000-0000-00006A500000}"/>
    <cellStyle name="强调文字颜色 2 2 3 4" xfId="7902" xr:uid="{00000000-0005-0000-0000-00006B500000}"/>
    <cellStyle name="强调文字颜色 2 2 3 5" xfId="7930" xr:uid="{00000000-0005-0000-0000-00006C500000}"/>
    <cellStyle name="强调文字颜色 2 2 3 6" xfId="7992" xr:uid="{00000000-0005-0000-0000-00006D500000}"/>
    <cellStyle name="强调文字颜色 2 2 3 7" xfId="7995" xr:uid="{00000000-0005-0000-0000-00006E500000}"/>
    <cellStyle name="强调文字颜色 2 2 3 8" xfId="7998" xr:uid="{00000000-0005-0000-0000-00006F500000}"/>
    <cellStyle name="强调文字颜色 2 2 3 9" xfId="28381" xr:uid="{00000000-0005-0000-0000-000070500000}"/>
    <cellStyle name="强调文字颜色 2 2 4" xfId="584" xr:uid="{00000000-0005-0000-0000-000071500000}"/>
    <cellStyle name="强调文字颜色 2 2 4 10" xfId="8064" xr:uid="{00000000-0005-0000-0000-000072500000}"/>
    <cellStyle name="强调文字颜色 2 2 4 11" xfId="8071" xr:uid="{00000000-0005-0000-0000-000073500000}"/>
    <cellStyle name="强调文字颜色 2 2 4 12" xfId="8224" xr:uid="{00000000-0005-0000-0000-000074500000}"/>
    <cellStyle name="强调文字颜色 2 2 4 13" xfId="8329" xr:uid="{00000000-0005-0000-0000-000075500000}"/>
    <cellStyle name="强调文字颜色 2 2 4 14" xfId="8412" xr:uid="{00000000-0005-0000-0000-000076500000}"/>
    <cellStyle name="强调文字颜色 2 2 4 2" xfId="9100" xr:uid="{00000000-0005-0000-0000-000077500000}"/>
    <cellStyle name="强调文字颜色 2 2 4 3" xfId="9877" xr:uid="{00000000-0005-0000-0000-000078500000}"/>
    <cellStyle name="强调文字颜色 2 2 4 4" xfId="10217" xr:uid="{00000000-0005-0000-0000-000079500000}"/>
    <cellStyle name="强调文字颜色 2 2 4 5" xfId="10187" xr:uid="{00000000-0005-0000-0000-00007A500000}"/>
    <cellStyle name="强调文字颜色 2 2 4 6" xfId="10196" xr:uid="{00000000-0005-0000-0000-00007B500000}"/>
    <cellStyle name="强调文字颜色 2 2 4 7" xfId="10203" xr:uid="{00000000-0005-0000-0000-00007C500000}"/>
    <cellStyle name="强调文字颜色 2 2 4 8" xfId="10207" xr:uid="{00000000-0005-0000-0000-00007D500000}"/>
    <cellStyle name="强调文字颜色 2 2 4 9" xfId="28382" xr:uid="{00000000-0005-0000-0000-00007E500000}"/>
    <cellStyle name="强调文字颜色 2 2 5" xfId="595" xr:uid="{00000000-0005-0000-0000-00007F500000}"/>
    <cellStyle name="强调文字颜色 2 2 6" xfId="516" xr:uid="{00000000-0005-0000-0000-000080500000}"/>
    <cellStyle name="强调文字颜色 2 2 7" xfId="559" xr:uid="{00000000-0005-0000-0000-000081500000}"/>
    <cellStyle name="强调文字颜色 2 2 8" xfId="22491" xr:uid="{00000000-0005-0000-0000-000082500000}"/>
    <cellStyle name="强调文字颜色 2 2 9" xfId="28383" xr:uid="{00000000-0005-0000-0000-000083500000}"/>
    <cellStyle name="强调文字颜色 2 3" xfId="10822" xr:uid="{00000000-0005-0000-0000-000084500000}"/>
    <cellStyle name="强调文字颜色 2 3 10" xfId="28386" xr:uid="{00000000-0005-0000-0000-000085500000}"/>
    <cellStyle name="强调文字颜色 2 3 11" xfId="28390" xr:uid="{00000000-0005-0000-0000-000086500000}"/>
    <cellStyle name="强调文字颜色 2 3 12" xfId="28392" xr:uid="{00000000-0005-0000-0000-000087500000}"/>
    <cellStyle name="强调文字颜色 2 3 13" xfId="28394" xr:uid="{00000000-0005-0000-0000-000088500000}"/>
    <cellStyle name="强调文字颜色 2 3 14" xfId="28395" xr:uid="{00000000-0005-0000-0000-000089500000}"/>
    <cellStyle name="强调文字颜色 2 3 15" xfId="28396" xr:uid="{00000000-0005-0000-0000-00008A500000}"/>
    <cellStyle name="强调文字颜色 2 3 16" xfId="2051" xr:uid="{00000000-0005-0000-0000-00008B500000}"/>
    <cellStyle name="强调文字颜色 2 3 17" xfId="2116" xr:uid="{00000000-0005-0000-0000-00008C500000}"/>
    <cellStyle name="强调文字颜色 2 3 17 10" xfId="5092" xr:uid="{00000000-0005-0000-0000-00008D500000}"/>
    <cellStyle name="强调文字颜色 2 3 17 11" xfId="5094" xr:uid="{00000000-0005-0000-0000-00008E500000}"/>
    <cellStyle name="强调文字颜色 2 3 17 12" xfId="5100" xr:uid="{00000000-0005-0000-0000-00008F500000}"/>
    <cellStyle name="强调文字颜色 2 3 17 13" xfId="25544" xr:uid="{00000000-0005-0000-0000-000090500000}"/>
    <cellStyle name="强调文字颜色 2 3 17 14" xfId="28398" xr:uid="{00000000-0005-0000-0000-000091500000}"/>
    <cellStyle name="强调文字颜色 2 3 17 2" xfId="28400" xr:uid="{00000000-0005-0000-0000-000092500000}"/>
    <cellStyle name="强调文字颜色 2 3 17 2 2" xfId="22942" xr:uid="{00000000-0005-0000-0000-000093500000}"/>
    <cellStyle name="强调文字颜色 2 3 17 3" xfId="28401" xr:uid="{00000000-0005-0000-0000-000094500000}"/>
    <cellStyle name="强调文字颜色 2 3 17 4" xfId="28402" xr:uid="{00000000-0005-0000-0000-000095500000}"/>
    <cellStyle name="强调文字颜色 2 3 17 5" xfId="25622" xr:uid="{00000000-0005-0000-0000-000096500000}"/>
    <cellStyle name="强调文字颜色 2 3 17 5 10" xfId="18283" xr:uid="{00000000-0005-0000-0000-000097500000}"/>
    <cellStyle name="强调文字颜色 2 3 17 5 11" xfId="18289" xr:uid="{00000000-0005-0000-0000-000098500000}"/>
    <cellStyle name="强调文字颜色 2 3 17 5 2" xfId="28403" xr:uid="{00000000-0005-0000-0000-000099500000}"/>
    <cellStyle name="强调文字颜色 2 3 17 5 2 2" xfId="28404" xr:uid="{00000000-0005-0000-0000-00009A500000}"/>
    <cellStyle name="强调文字颜色 2 3 17 5 2 2 2" xfId="21700" xr:uid="{00000000-0005-0000-0000-00009B500000}"/>
    <cellStyle name="强调文字颜色 2 3 17 5 2 2 3" xfId="21702" xr:uid="{00000000-0005-0000-0000-00009C500000}"/>
    <cellStyle name="强调文字颜色 2 3 17 5 2 3" xfId="28405" xr:uid="{00000000-0005-0000-0000-00009D500000}"/>
    <cellStyle name="强调文字颜色 2 3 17 5 2 4" xfId="27598" xr:uid="{00000000-0005-0000-0000-00009E500000}"/>
    <cellStyle name="强调文字颜色 2 3 17 5 2 5" xfId="27600" xr:uid="{00000000-0005-0000-0000-00009F500000}"/>
    <cellStyle name="强调文字颜色 2 3 17 5 2 6" xfId="27604" xr:uid="{00000000-0005-0000-0000-0000A0500000}"/>
    <cellStyle name="强调文字颜色 2 3 17 5 2 7" xfId="22787" xr:uid="{00000000-0005-0000-0000-0000A1500000}"/>
    <cellStyle name="强调文字颜色 2 3 17 5 2 8" xfId="22801" xr:uid="{00000000-0005-0000-0000-0000A2500000}"/>
    <cellStyle name="强调文字颜色 2 3 17 5 3" xfId="28406" xr:uid="{00000000-0005-0000-0000-0000A3500000}"/>
    <cellStyle name="强调文字颜色 2 3 17 5 4" xfId="28407" xr:uid="{00000000-0005-0000-0000-0000A4500000}"/>
    <cellStyle name="强调文字颜色 2 3 17 5 5" xfId="28408" xr:uid="{00000000-0005-0000-0000-0000A5500000}"/>
    <cellStyle name="强调文字颜色 2 3 17 5 6" xfId="28409" xr:uid="{00000000-0005-0000-0000-0000A6500000}"/>
    <cellStyle name="强调文字颜色 2 3 17 5 6 2" xfId="28410" xr:uid="{00000000-0005-0000-0000-0000A7500000}"/>
    <cellStyle name="强调文字颜色 2 3 17 5 6 3" xfId="28411" xr:uid="{00000000-0005-0000-0000-0000A8500000}"/>
    <cellStyle name="强调文字颜色 2 3 17 5 7" xfId="28412" xr:uid="{00000000-0005-0000-0000-0000A9500000}"/>
    <cellStyle name="强调文字颜色 2 3 17 5 8" xfId="28413" xr:uid="{00000000-0005-0000-0000-0000AA500000}"/>
    <cellStyle name="强调文字颜色 2 3 17 5 9" xfId="28414" xr:uid="{00000000-0005-0000-0000-0000AB500000}"/>
    <cellStyle name="强调文字颜色 2 3 17 6" xfId="28415" xr:uid="{00000000-0005-0000-0000-0000AC500000}"/>
    <cellStyle name="强调文字颜色 2 3 17 6 2" xfId="28416" xr:uid="{00000000-0005-0000-0000-0000AD500000}"/>
    <cellStyle name="强调文字颜色 2 3 17 6 2 2" xfId="14043" xr:uid="{00000000-0005-0000-0000-0000AE500000}"/>
    <cellStyle name="强调文字颜色 2 3 17 6 2 3" xfId="14045" xr:uid="{00000000-0005-0000-0000-0000AF500000}"/>
    <cellStyle name="强调文字颜色 2 3 17 6 3" xfId="28417" xr:uid="{00000000-0005-0000-0000-0000B0500000}"/>
    <cellStyle name="强调文字颜色 2 3 17 6 4" xfId="28419" xr:uid="{00000000-0005-0000-0000-0000B1500000}"/>
    <cellStyle name="强调文字颜色 2 3 17 6 5" xfId="28421" xr:uid="{00000000-0005-0000-0000-0000B2500000}"/>
    <cellStyle name="强调文字颜色 2 3 17 6 6" xfId="28422" xr:uid="{00000000-0005-0000-0000-0000B3500000}"/>
    <cellStyle name="强调文字颜色 2 3 17 6 7" xfId="28424" xr:uid="{00000000-0005-0000-0000-0000B4500000}"/>
    <cellStyle name="强调文字颜色 2 3 17 6 8" xfId="28426" xr:uid="{00000000-0005-0000-0000-0000B5500000}"/>
    <cellStyle name="强调文字颜色 2 3 17 7" xfId="28427" xr:uid="{00000000-0005-0000-0000-0000B6500000}"/>
    <cellStyle name="强调文字颜色 2 3 17 8" xfId="28428" xr:uid="{00000000-0005-0000-0000-0000B7500000}"/>
    <cellStyle name="强调文字颜色 2 3 17 9" xfId="28429" xr:uid="{00000000-0005-0000-0000-0000B8500000}"/>
    <cellStyle name="强调文字颜色 2 3 17 9 2" xfId="28430" xr:uid="{00000000-0005-0000-0000-0000B9500000}"/>
    <cellStyle name="强调文字颜色 2 3 17 9 3" xfId="28431" xr:uid="{00000000-0005-0000-0000-0000BA500000}"/>
    <cellStyle name="强调文字颜色 2 3 18" xfId="2140" xr:uid="{00000000-0005-0000-0000-0000BB500000}"/>
    <cellStyle name="强调文字颜色 2 3 18 10" xfId="13432" xr:uid="{00000000-0005-0000-0000-0000BC500000}"/>
    <cellStyle name="强调文字颜色 2 3 18 11" xfId="9618" xr:uid="{00000000-0005-0000-0000-0000BD500000}"/>
    <cellStyle name="强调文字颜色 2 3 18 12" xfId="28432" xr:uid="{00000000-0005-0000-0000-0000BE500000}"/>
    <cellStyle name="强调文字颜色 2 3 18 13" xfId="28433" xr:uid="{00000000-0005-0000-0000-0000BF500000}"/>
    <cellStyle name="强调文字颜色 2 3 18 14" xfId="28435" xr:uid="{00000000-0005-0000-0000-0000C0500000}"/>
    <cellStyle name="强调文字颜色 2 3 18 2" xfId="8193" xr:uid="{00000000-0005-0000-0000-0000C1500000}"/>
    <cellStyle name="强调文字颜色 2 3 18 3" xfId="8203" xr:uid="{00000000-0005-0000-0000-0000C2500000}"/>
    <cellStyle name="强调文字颜色 2 3 18 4" xfId="28437" xr:uid="{00000000-0005-0000-0000-0000C3500000}"/>
    <cellStyle name="强调文字颜色 2 3 18 5" xfId="28438" xr:uid="{00000000-0005-0000-0000-0000C4500000}"/>
    <cellStyle name="强调文字颜色 2 3 18 5 10" xfId="19395" xr:uid="{00000000-0005-0000-0000-0000C5500000}"/>
    <cellStyle name="强调文字颜色 2 3 18 5 11" xfId="6607" xr:uid="{00000000-0005-0000-0000-0000C6500000}"/>
    <cellStyle name="强调文字颜色 2 3 18 5 2" xfId="28439" xr:uid="{00000000-0005-0000-0000-0000C7500000}"/>
    <cellStyle name="强调文字颜色 2 3 18 5 2 2" xfId="24782" xr:uid="{00000000-0005-0000-0000-0000C8500000}"/>
    <cellStyle name="强调文字颜色 2 3 18 5 2 2 2" xfId="11686" xr:uid="{00000000-0005-0000-0000-0000C9500000}"/>
    <cellStyle name="强调文字颜色 2 3 18 5 2 2 3" xfId="28440" xr:uid="{00000000-0005-0000-0000-0000CA500000}"/>
    <cellStyle name="强调文字颜色 2 3 18 5 2 3" xfId="28443" xr:uid="{00000000-0005-0000-0000-0000CB500000}"/>
    <cellStyle name="强调文字颜色 2 3 18 5 2 4" xfId="28446" xr:uid="{00000000-0005-0000-0000-0000CC500000}"/>
    <cellStyle name="强调文字颜色 2 3 18 5 2 5" xfId="28449" xr:uid="{00000000-0005-0000-0000-0000CD500000}"/>
    <cellStyle name="强调文字颜色 2 3 18 5 2 6" xfId="24547" xr:uid="{00000000-0005-0000-0000-0000CE500000}"/>
    <cellStyle name="强调文字颜色 2 3 18 5 2 7" xfId="28452" xr:uid="{00000000-0005-0000-0000-0000CF500000}"/>
    <cellStyle name="强调文字颜色 2 3 18 5 2 8" xfId="28455" xr:uid="{00000000-0005-0000-0000-0000D0500000}"/>
    <cellStyle name="强调文字颜色 2 3 18 5 3" xfId="28456" xr:uid="{00000000-0005-0000-0000-0000D1500000}"/>
    <cellStyle name="强调文字颜色 2 3 18 5 4" xfId="28457" xr:uid="{00000000-0005-0000-0000-0000D2500000}"/>
    <cellStyle name="强调文字颜色 2 3 18 5 5" xfId="4802" xr:uid="{00000000-0005-0000-0000-0000D3500000}"/>
    <cellStyle name="强调文字颜色 2 3 18 5 6" xfId="4814" xr:uid="{00000000-0005-0000-0000-0000D4500000}"/>
    <cellStyle name="强调文字颜色 2 3 18 5 6 2" xfId="28458" xr:uid="{00000000-0005-0000-0000-0000D5500000}"/>
    <cellStyle name="强调文字颜色 2 3 18 5 6 3" xfId="28459" xr:uid="{00000000-0005-0000-0000-0000D6500000}"/>
    <cellStyle name="强调文字颜色 2 3 18 5 7" xfId="8932" xr:uid="{00000000-0005-0000-0000-0000D7500000}"/>
    <cellStyle name="强调文字颜色 2 3 18 5 8" xfId="8943" xr:uid="{00000000-0005-0000-0000-0000D8500000}"/>
    <cellStyle name="强调文字颜色 2 3 18 5 9" xfId="8949" xr:uid="{00000000-0005-0000-0000-0000D9500000}"/>
    <cellStyle name="强调文字颜色 2 3 18 6" xfId="28460" xr:uid="{00000000-0005-0000-0000-0000DA500000}"/>
    <cellStyle name="强调文字颜色 2 3 18 6 2" xfId="28461" xr:uid="{00000000-0005-0000-0000-0000DB500000}"/>
    <cellStyle name="强调文字颜色 2 3 18 6 2 2" xfId="24804" xr:uid="{00000000-0005-0000-0000-0000DC500000}"/>
    <cellStyle name="强调文字颜色 2 3 18 6 2 3" xfId="28462" xr:uid="{00000000-0005-0000-0000-0000DD500000}"/>
    <cellStyle name="强调文字颜色 2 3 18 6 3" xfId="28463" xr:uid="{00000000-0005-0000-0000-0000DE500000}"/>
    <cellStyle name="强调文字颜色 2 3 18 6 4" xfId="28464" xr:uid="{00000000-0005-0000-0000-0000DF500000}"/>
    <cellStyle name="强调文字颜色 2 3 18 6 5" xfId="28465" xr:uid="{00000000-0005-0000-0000-0000E0500000}"/>
    <cellStyle name="强调文字颜色 2 3 18 6 6" xfId="28466" xr:uid="{00000000-0005-0000-0000-0000E1500000}"/>
    <cellStyle name="强调文字颜色 2 3 18 6 7" xfId="28468" xr:uid="{00000000-0005-0000-0000-0000E2500000}"/>
    <cellStyle name="强调文字颜色 2 3 18 6 8" xfId="19643" xr:uid="{00000000-0005-0000-0000-0000E3500000}"/>
    <cellStyle name="强调文字颜色 2 3 18 7" xfId="25896" xr:uid="{00000000-0005-0000-0000-0000E4500000}"/>
    <cellStyle name="强调文字颜色 2 3 18 8" xfId="28469" xr:uid="{00000000-0005-0000-0000-0000E5500000}"/>
    <cellStyle name="强调文字颜色 2 3 18 9" xfId="25638" xr:uid="{00000000-0005-0000-0000-0000E6500000}"/>
    <cellStyle name="强调文字颜色 2 3 18 9 2" xfId="28470" xr:uid="{00000000-0005-0000-0000-0000E7500000}"/>
    <cellStyle name="强调文字颜色 2 3 18 9 3" xfId="8051" xr:uid="{00000000-0005-0000-0000-0000E8500000}"/>
    <cellStyle name="强调文字颜色 2 3 19" xfId="2158" xr:uid="{00000000-0005-0000-0000-0000E9500000}"/>
    <cellStyle name="强调文字颜色 2 3 19 10" xfId="28471" xr:uid="{00000000-0005-0000-0000-0000EA500000}"/>
    <cellStyle name="强调文字颜色 2 3 19 11" xfId="28472" xr:uid="{00000000-0005-0000-0000-0000EB500000}"/>
    <cellStyle name="强调文字颜色 2 3 19 12" xfId="28473" xr:uid="{00000000-0005-0000-0000-0000EC500000}"/>
    <cellStyle name="强调文字颜色 2 3 19 13" xfId="28474" xr:uid="{00000000-0005-0000-0000-0000ED500000}"/>
    <cellStyle name="强调文字颜色 2 3 19 14" xfId="28475" xr:uid="{00000000-0005-0000-0000-0000EE500000}"/>
    <cellStyle name="强调文字颜色 2 3 19 2" xfId="1648" xr:uid="{00000000-0005-0000-0000-0000EF500000}"/>
    <cellStyle name="强调文字颜色 2 3 19 3" xfId="1663" xr:uid="{00000000-0005-0000-0000-0000F0500000}"/>
    <cellStyle name="强调文字颜色 2 3 19 4" xfId="12051" xr:uid="{00000000-0005-0000-0000-0000F1500000}"/>
    <cellStyle name="强调文字颜色 2 3 19 5" xfId="28476" xr:uid="{00000000-0005-0000-0000-0000F2500000}"/>
    <cellStyle name="强调文字颜色 2 3 19 5 10" xfId="20284" xr:uid="{00000000-0005-0000-0000-0000F3500000}"/>
    <cellStyle name="强调文字颜色 2 3 19 5 11" xfId="10567" xr:uid="{00000000-0005-0000-0000-0000F4500000}"/>
    <cellStyle name="强调文字颜色 2 3 19 5 2" xfId="4681" xr:uid="{00000000-0005-0000-0000-0000F5500000}"/>
    <cellStyle name="强调文字颜色 2 3 19 5 2 2" xfId="28478" xr:uid="{00000000-0005-0000-0000-0000F6500000}"/>
    <cellStyle name="强调文字颜色 2 3 19 5 2 2 2" xfId="28479" xr:uid="{00000000-0005-0000-0000-0000F7500000}"/>
    <cellStyle name="强调文字颜色 2 3 19 5 2 2 3" xfId="28480" xr:uid="{00000000-0005-0000-0000-0000F8500000}"/>
    <cellStyle name="强调文字颜色 2 3 19 5 2 3" xfId="28482" xr:uid="{00000000-0005-0000-0000-0000F9500000}"/>
    <cellStyle name="强调文字颜色 2 3 19 5 2 4" xfId="28484" xr:uid="{00000000-0005-0000-0000-0000FA500000}"/>
    <cellStyle name="强调文字颜色 2 3 19 5 2 5" xfId="28486" xr:uid="{00000000-0005-0000-0000-0000FB500000}"/>
    <cellStyle name="强调文字颜色 2 3 19 5 2 6" xfId="28489" xr:uid="{00000000-0005-0000-0000-0000FC500000}"/>
    <cellStyle name="强调文字颜色 2 3 19 5 2 7" xfId="28490" xr:uid="{00000000-0005-0000-0000-0000FD500000}"/>
    <cellStyle name="强调文字颜色 2 3 19 5 2 8" xfId="28491" xr:uid="{00000000-0005-0000-0000-0000FE500000}"/>
    <cellStyle name="强调文字颜色 2 3 19 5 3" xfId="4688" xr:uid="{00000000-0005-0000-0000-0000FF500000}"/>
    <cellStyle name="强调文字颜色 2 3 19 5 4" xfId="23476" xr:uid="{00000000-0005-0000-0000-000000510000}"/>
    <cellStyle name="强调文字颜色 2 3 19 5 5" xfId="7259" xr:uid="{00000000-0005-0000-0000-000001510000}"/>
    <cellStyle name="强调文字颜色 2 3 19 5 6" xfId="7263" xr:uid="{00000000-0005-0000-0000-000002510000}"/>
    <cellStyle name="强调文字颜色 2 3 19 5 6 2" xfId="28493" xr:uid="{00000000-0005-0000-0000-000003510000}"/>
    <cellStyle name="强调文字颜色 2 3 19 5 6 3" xfId="28495" xr:uid="{00000000-0005-0000-0000-000004510000}"/>
    <cellStyle name="强调文字颜色 2 3 19 5 7" xfId="15307" xr:uid="{00000000-0005-0000-0000-000005510000}"/>
    <cellStyle name="强调文字颜色 2 3 19 5 8" xfId="28497" xr:uid="{00000000-0005-0000-0000-000006510000}"/>
    <cellStyle name="强调文字颜色 2 3 19 5 9" xfId="28499" xr:uid="{00000000-0005-0000-0000-000007510000}"/>
    <cellStyle name="强调文字颜色 2 3 19 6" xfId="28501" xr:uid="{00000000-0005-0000-0000-000008510000}"/>
    <cellStyle name="强调文字颜色 2 3 19 6 2" xfId="28502" xr:uid="{00000000-0005-0000-0000-000009510000}"/>
    <cellStyle name="强调文字颜色 2 3 19 6 2 2" xfId="28503" xr:uid="{00000000-0005-0000-0000-00000A510000}"/>
    <cellStyle name="强调文字颜色 2 3 19 6 2 3" xfId="28504" xr:uid="{00000000-0005-0000-0000-00000B510000}"/>
    <cellStyle name="强调文字颜色 2 3 19 6 3" xfId="28505" xr:uid="{00000000-0005-0000-0000-00000C510000}"/>
    <cellStyle name="强调文字颜色 2 3 19 6 4" xfId="28506" xr:uid="{00000000-0005-0000-0000-00000D510000}"/>
    <cellStyle name="强调文字颜色 2 3 19 6 5" xfId="28507" xr:uid="{00000000-0005-0000-0000-00000E510000}"/>
    <cellStyle name="强调文字颜色 2 3 19 6 6" xfId="28508" xr:uid="{00000000-0005-0000-0000-00000F510000}"/>
    <cellStyle name="强调文字颜色 2 3 19 6 7" xfId="28509" xr:uid="{00000000-0005-0000-0000-000010510000}"/>
    <cellStyle name="强调文字颜色 2 3 19 6 8" xfId="28510" xr:uid="{00000000-0005-0000-0000-000011510000}"/>
    <cellStyle name="强调文字颜色 2 3 19 7" xfId="28512" xr:uid="{00000000-0005-0000-0000-000012510000}"/>
    <cellStyle name="强调文字颜色 2 3 19 8" xfId="28513" xr:uid="{00000000-0005-0000-0000-000013510000}"/>
    <cellStyle name="强调文字颜色 2 3 19 9" xfId="28515" xr:uid="{00000000-0005-0000-0000-000014510000}"/>
    <cellStyle name="强调文字颜色 2 3 19 9 2" xfId="28517" xr:uid="{00000000-0005-0000-0000-000015510000}"/>
    <cellStyle name="强调文字颜色 2 3 19 9 3" xfId="13325" xr:uid="{00000000-0005-0000-0000-000016510000}"/>
    <cellStyle name="强调文字颜色 2 3 2" xfId="28518" xr:uid="{00000000-0005-0000-0000-000017510000}"/>
    <cellStyle name="强调文字颜色 2 3 2 10" xfId="28519" xr:uid="{00000000-0005-0000-0000-000018510000}"/>
    <cellStyle name="强调文字颜色 2 3 2 11" xfId="28520" xr:uid="{00000000-0005-0000-0000-000019510000}"/>
    <cellStyle name="强调文字颜色 2 3 2 12" xfId="28521" xr:uid="{00000000-0005-0000-0000-00001A510000}"/>
    <cellStyle name="强调文字颜色 2 3 2 13" xfId="28523" xr:uid="{00000000-0005-0000-0000-00001B510000}"/>
    <cellStyle name="强调文字颜色 2 3 2 14" xfId="28525" xr:uid="{00000000-0005-0000-0000-00001C510000}"/>
    <cellStyle name="强调文字颜色 2 3 2 2" xfId="28527" xr:uid="{00000000-0005-0000-0000-00001D510000}"/>
    <cellStyle name="强调文字颜色 2 3 2 3" xfId="28528" xr:uid="{00000000-0005-0000-0000-00001E510000}"/>
    <cellStyle name="强调文字颜色 2 3 2 4" xfId="28529" xr:uid="{00000000-0005-0000-0000-00001F510000}"/>
    <cellStyle name="强调文字颜色 2 3 2 5" xfId="28530" xr:uid="{00000000-0005-0000-0000-000020510000}"/>
    <cellStyle name="强调文字颜色 2 3 2 6" xfId="28531" xr:uid="{00000000-0005-0000-0000-000021510000}"/>
    <cellStyle name="强调文字颜色 2 3 2 7" xfId="28532" xr:uid="{00000000-0005-0000-0000-000022510000}"/>
    <cellStyle name="强调文字颜色 2 3 2 8" xfId="28533" xr:uid="{00000000-0005-0000-0000-000023510000}"/>
    <cellStyle name="强调文字颜色 2 3 2 9" xfId="28534" xr:uid="{00000000-0005-0000-0000-000024510000}"/>
    <cellStyle name="强调文字颜色 2 3 20" xfId="28397" xr:uid="{00000000-0005-0000-0000-000025510000}"/>
    <cellStyle name="强调文字颜色 2 3 20 10" xfId="28535" xr:uid="{00000000-0005-0000-0000-000026510000}"/>
    <cellStyle name="强调文字颜色 2 3 20 11" xfId="28536" xr:uid="{00000000-0005-0000-0000-000027510000}"/>
    <cellStyle name="强调文字颜色 2 3 20 12" xfId="28538" xr:uid="{00000000-0005-0000-0000-000028510000}"/>
    <cellStyle name="强调文字颜色 2 3 20 13" xfId="28540" xr:uid="{00000000-0005-0000-0000-000029510000}"/>
    <cellStyle name="强调文字颜色 2 3 20 14" xfId="28541" xr:uid="{00000000-0005-0000-0000-00002A510000}"/>
    <cellStyle name="强调文字颜色 2 3 20 2" xfId="28543" xr:uid="{00000000-0005-0000-0000-00002B510000}"/>
    <cellStyle name="强调文字颜色 2 3 20 3" xfId="28545" xr:uid="{00000000-0005-0000-0000-00002C510000}"/>
    <cellStyle name="强调文字颜色 2 3 20 4" xfId="28547" xr:uid="{00000000-0005-0000-0000-00002D510000}"/>
    <cellStyle name="强调文字颜色 2 3 20 5" xfId="28549" xr:uid="{00000000-0005-0000-0000-00002E510000}"/>
    <cellStyle name="强调文字颜色 2 3 20 5 10" xfId="16441" xr:uid="{00000000-0005-0000-0000-00002F510000}"/>
    <cellStyle name="强调文字颜色 2 3 20 5 11" xfId="16442" xr:uid="{00000000-0005-0000-0000-000030510000}"/>
    <cellStyle name="强调文字颜色 2 3 20 5 2" xfId="3058" xr:uid="{00000000-0005-0000-0000-000031510000}"/>
    <cellStyle name="强调文字颜色 2 3 20 5 2 2" xfId="28551" xr:uid="{00000000-0005-0000-0000-000032510000}"/>
    <cellStyle name="强调文字颜色 2 3 20 5 2 2 2" xfId="28552" xr:uid="{00000000-0005-0000-0000-000033510000}"/>
    <cellStyle name="强调文字颜色 2 3 20 5 2 2 3" xfId="28553" xr:uid="{00000000-0005-0000-0000-000034510000}"/>
    <cellStyle name="强调文字颜色 2 3 20 5 2 3" xfId="28554" xr:uid="{00000000-0005-0000-0000-000035510000}"/>
    <cellStyle name="强调文字颜色 2 3 20 5 2 4" xfId="28555" xr:uid="{00000000-0005-0000-0000-000036510000}"/>
    <cellStyle name="强调文字颜色 2 3 20 5 2 5" xfId="28556" xr:uid="{00000000-0005-0000-0000-000037510000}"/>
    <cellStyle name="强调文字颜色 2 3 20 5 2 6" xfId="28557" xr:uid="{00000000-0005-0000-0000-000038510000}"/>
    <cellStyle name="强调文字颜色 2 3 20 5 2 7" xfId="28558" xr:uid="{00000000-0005-0000-0000-000039510000}"/>
    <cellStyle name="强调文字颜色 2 3 20 5 2 8" xfId="28559" xr:uid="{00000000-0005-0000-0000-00003A510000}"/>
    <cellStyle name="强调文字颜色 2 3 20 5 3" xfId="3088" xr:uid="{00000000-0005-0000-0000-00003B510000}"/>
    <cellStyle name="强调文字颜色 2 3 20 5 4" xfId="3092" xr:uid="{00000000-0005-0000-0000-00003C510000}"/>
    <cellStyle name="强调文字颜色 2 3 20 5 5" xfId="3096" xr:uid="{00000000-0005-0000-0000-00003D510000}"/>
    <cellStyle name="强调文字颜色 2 3 20 5 6" xfId="6166" xr:uid="{00000000-0005-0000-0000-00003E510000}"/>
    <cellStyle name="强调文字颜色 2 3 20 5 6 2" xfId="28561" xr:uid="{00000000-0005-0000-0000-00003F510000}"/>
    <cellStyle name="强调文字颜色 2 3 20 5 6 3" xfId="28562" xr:uid="{00000000-0005-0000-0000-000040510000}"/>
    <cellStyle name="强调文字颜色 2 3 20 5 7" xfId="25025" xr:uid="{00000000-0005-0000-0000-000041510000}"/>
    <cellStyle name="强调文字颜色 2 3 20 5 8" xfId="25027" xr:uid="{00000000-0005-0000-0000-000042510000}"/>
    <cellStyle name="强调文字颜色 2 3 20 5 9" xfId="25055" xr:uid="{00000000-0005-0000-0000-000043510000}"/>
    <cellStyle name="强调文字颜色 2 3 20 6" xfId="28565" xr:uid="{00000000-0005-0000-0000-000044510000}"/>
    <cellStyle name="强调文字颜色 2 3 20 6 2" xfId="28567" xr:uid="{00000000-0005-0000-0000-000045510000}"/>
    <cellStyle name="强调文字颜色 2 3 20 6 2 2" xfId="24937" xr:uid="{00000000-0005-0000-0000-000046510000}"/>
    <cellStyle name="强调文字颜色 2 3 20 6 2 3" xfId="24939" xr:uid="{00000000-0005-0000-0000-000047510000}"/>
    <cellStyle name="强调文字颜色 2 3 20 6 3" xfId="28569" xr:uid="{00000000-0005-0000-0000-000048510000}"/>
    <cellStyle name="强调文字颜色 2 3 20 6 4" xfId="28570" xr:uid="{00000000-0005-0000-0000-000049510000}"/>
    <cellStyle name="强调文字颜色 2 3 20 6 5" xfId="25069" xr:uid="{00000000-0005-0000-0000-00004A510000}"/>
    <cellStyle name="强调文字颜色 2 3 20 6 6" xfId="25071" xr:uid="{00000000-0005-0000-0000-00004B510000}"/>
    <cellStyle name="强调文字颜色 2 3 20 6 7" xfId="25074" xr:uid="{00000000-0005-0000-0000-00004C510000}"/>
    <cellStyle name="强调文字颜色 2 3 20 6 8" xfId="25077" xr:uid="{00000000-0005-0000-0000-00004D510000}"/>
    <cellStyle name="强调文字颜色 2 3 20 7" xfId="28572" xr:uid="{00000000-0005-0000-0000-00004E510000}"/>
    <cellStyle name="强调文字颜色 2 3 20 8" xfId="28573" xr:uid="{00000000-0005-0000-0000-00004F510000}"/>
    <cellStyle name="强调文字颜色 2 3 20 9" xfId="28576" xr:uid="{00000000-0005-0000-0000-000050510000}"/>
    <cellStyle name="强调文字颜色 2 3 20 9 2" xfId="28579" xr:uid="{00000000-0005-0000-0000-000051510000}"/>
    <cellStyle name="强调文字颜色 2 3 20 9 3" xfId="28580" xr:uid="{00000000-0005-0000-0000-000052510000}"/>
    <cellStyle name="强调文字颜色 2 3 3" xfId="28581" xr:uid="{00000000-0005-0000-0000-000053510000}"/>
    <cellStyle name="强调文字颜色 2 3 3 10" xfId="28582" xr:uid="{00000000-0005-0000-0000-000054510000}"/>
    <cellStyle name="强调文字颜色 2 3 3 11" xfId="28583" xr:uid="{00000000-0005-0000-0000-000055510000}"/>
    <cellStyle name="强调文字颜色 2 3 3 12" xfId="28584" xr:uid="{00000000-0005-0000-0000-000056510000}"/>
    <cellStyle name="强调文字颜色 2 3 3 13" xfId="28585" xr:uid="{00000000-0005-0000-0000-000057510000}"/>
    <cellStyle name="强调文字颜色 2 3 3 14" xfId="28586" xr:uid="{00000000-0005-0000-0000-000058510000}"/>
    <cellStyle name="强调文字颜色 2 3 3 2" xfId="24494" xr:uid="{00000000-0005-0000-0000-000059510000}"/>
    <cellStyle name="强调文字颜色 2 3 3 3" xfId="28587" xr:uid="{00000000-0005-0000-0000-00005A510000}"/>
    <cellStyle name="强调文字颜色 2 3 3 4" xfId="28588" xr:uid="{00000000-0005-0000-0000-00005B510000}"/>
    <cellStyle name="强调文字颜色 2 3 3 5" xfId="28590" xr:uid="{00000000-0005-0000-0000-00005C510000}"/>
    <cellStyle name="强调文字颜色 2 3 3 6" xfId="28592" xr:uid="{00000000-0005-0000-0000-00005D510000}"/>
    <cellStyle name="强调文字颜色 2 3 3 7" xfId="28594" xr:uid="{00000000-0005-0000-0000-00005E510000}"/>
    <cellStyle name="强调文字颜色 2 3 3 8" xfId="28596" xr:uid="{00000000-0005-0000-0000-00005F510000}"/>
    <cellStyle name="强调文字颜色 2 3 3 9" xfId="28598" xr:uid="{00000000-0005-0000-0000-000060510000}"/>
    <cellStyle name="强调文字颜色 2 3 4" xfId="13544" xr:uid="{00000000-0005-0000-0000-000061510000}"/>
    <cellStyle name="强调文字颜色 2 3 4 10" xfId="11995" xr:uid="{00000000-0005-0000-0000-000062510000}"/>
    <cellStyle name="强调文字颜色 2 3 4 11" xfId="4167" xr:uid="{00000000-0005-0000-0000-000063510000}"/>
    <cellStyle name="强调文字颜色 2 3 4 12" xfId="4177" xr:uid="{00000000-0005-0000-0000-000064510000}"/>
    <cellStyle name="强调文字颜色 2 3 4 13" xfId="12011" xr:uid="{00000000-0005-0000-0000-000065510000}"/>
    <cellStyle name="强调文字颜色 2 3 4 14" xfId="12016" xr:uid="{00000000-0005-0000-0000-000066510000}"/>
    <cellStyle name="强调文字颜色 2 3 4 2" xfId="28599" xr:uid="{00000000-0005-0000-0000-000067510000}"/>
    <cellStyle name="强调文字颜色 2 3 4 3" xfId="28600" xr:uid="{00000000-0005-0000-0000-000068510000}"/>
    <cellStyle name="强调文字颜色 2 3 4 4" xfId="28601" xr:uid="{00000000-0005-0000-0000-000069510000}"/>
    <cellStyle name="强调文字颜色 2 3 4 5" xfId="8547" xr:uid="{00000000-0005-0000-0000-00006A510000}"/>
    <cellStyle name="强调文字颜色 2 3 4 6" xfId="8550" xr:uid="{00000000-0005-0000-0000-00006B510000}"/>
    <cellStyle name="强调文字颜色 2 3 4 7" xfId="28602" xr:uid="{00000000-0005-0000-0000-00006C510000}"/>
    <cellStyle name="强调文字颜色 2 3 4 8" xfId="28604" xr:uid="{00000000-0005-0000-0000-00006D510000}"/>
    <cellStyle name="强调文字颜色 2 3 4 9" xfId="28606" xr:uid="{00000000-0005-0000-0000-00006E510000}"/>
    <cellStyle name="强调文字颜色 2 3 5" xfId="13548" xr:uid="{00000000-0005-0000-0000-00006F510000}"/>
    <cellStyle name="强调文字颜色 2 3 6" xfId="28608" xr:uid="{00000000-0005-0000-0000-000070510000}"/>
    <cellStyle name="强调文字颜色 2 3 7" xfId="28609" xr:uid="{00000000-0005-0000-0000-000071510000}"/>
    <cellStyle name="强调文字颜色 2 3 8" xfId="28610" xr:uid="{00000000-0005-0000-0000-000072510000}"/>
    <cellStyle name="强调文字颜色 2 3 9" xfId="28611" xr:uid="{00000000-0005-0000-0000-000073510000}"/>
    <cellStyle name="强调文字颜色 2 4" xfId="10829" xr:uid="{00000000-0005-0000-0000-000074510000}"/>
    <cellStyle name="强调文字颜色 2 4 10" xfId="21070" xr:uid="{00000000-0005-0000-0000-000075510000}"/>
    <cellStyle name="强调文字颜色 2 4 11" xfId="21073" xr:uid="{00000000-0005-0000-0000-000076510000}"/>
    <cellStyle name="强调文字颜色 2 4 12" xfId="11547" xr:uid="{00000000-0005-0000-0000-000077510000}"/>
    <cellStyle name="强调文字颜色 2 4 13" xfId="11554" xr:uid="{00000000-0005-0000-0000-000078510000}"/>
    <cellStyle name="强调文字颜色 2 4 14" xfId="22629" xr:uid="{00000000-0005-0000-0000-000079510000}"/>
    <cellStyle name="强调文字颜色 2 4 15" xfId="28612" xr:uid="{00000000-0005-0000-0000-00007A510000}"/>
    <cellStyle name="强调文字颜色 2 4 16" xfId="28614" xr:uid="{00000000-0005-0000-0000-00007B510000}"/>
    <cellStyle name="强调文字颜色 2 4 17" xfId="28615" xr:uid="{00000000-0005-0000-0000-00007C510000}"/>
    <cellStyle name="强调文字颜色 2 4 17 10" xfId="28617" xr:uid="{00000000-0005-0000-0000-00007D510000}"/>
    <cellStyle name="强调文字颜色 2 4 17 11" xfId="28620" xr:uid="{00000000-0005-0000-0000-00007E510000}"/>
    <cellStyle name="强调文字颜色 2 4 17 12" xfId="28623" xr:uid="{00000000-0005-0000-0000-00007F510000}"/>
    <cellStyle name="强调文字颜色 2 4 17 13" xfId="28625" xr:uid="{00000000-0005-0000-0000-000080510000}"/>
    <cellStyle name="强调文字颜色 2 4 17 14" xfId="28627" xr:uid="{00000000-0005-0000-0000-000081510000}"/>
    <cellStyle name="强调文字颜色 2 4 17 2" xfId="28629" xr:uid="{00000000-0005-0000-0000-000082510000}"/>
    <cellStyle name="强调文字颜色 2 4 17 3" xfId="28631" xr:uid="{00000000-0005-0000-0000-000083510000}"/>
    <cellStyle name="强调文字颜色 2 4 17 4" xfId="28633" xr:uid="{00000000-0005-0000-0000-000084510000}"/>
    <cellStyle name="强调文字颜色 2 4 17 5" xfId="25624" xr:uid="{00000000-0005-0000-0000-000085510000}"/>
    <cellStyle name="强调文字颜色 2 4 17 5 10" xfId="28635" xr:uid="{00000000-0005-0000-0000-000086510000}"/>
    <cellStyle name="强调文字颜色 2 4 17 5 11" xfId="28636" xr:uid="{00000000-0005-0000-0000-000087510000}"/>
    <cellStyle name="强调文字颜色 2 4 17 5 2" xfId="28637" xr:uid="{00000000-0005-0000-0000-000088510000}"/>
    <cellStyle name="强调文字颜色 2 4 17 5 2 2" xfId="4171" xr:uid="{00000000-0005-0000-0000-000089510000}"/>
    <cellStyle name="强调文字颜色 2 4 17 5 2 2 2" xfId="28638" xr:uid="{00000000-0005-0000-0000-00008A510000}"/>
    <cellStyle name="强调文字颜色 2 4 17 5 2 2 3" xfId="28639" xr:uid="{00000000-0005-0000-0000-00008B510000}"/>
    <cellStyle name="强调文字颜色 2 4 17 5 2 3" xfId="4181" xr:uid="{00000000-0005-0000-0000-00008C510000}"/>
    <cellStyle name="强调文字颜色 2 4 17 5 2 4" xfId="15297" xr:uid="{00000000-0005-0000-0000-00008D510000}"/>
    <cellStyle name="强调文字颜色 2 4 17 5 2 5" xfId="17502" xr:uid="{00000000-0005-0000-0000-00008E510000}"/>
    <cellStyle name="强调文字颜色 2 4 17 5 2 6" xfId="17507" xr:uid="{00000000-0005-0000-0000-00008F510000}"/>
    <cellStyle name="强调文字颜色 2 4 17 5 2 7" xfId="23470" xr:uid="{00000000-0005-0000-0000-000090510000}"/>
    <cellStyle name="强调文字颜色 2 4 17 5 2 8" xfId="23479" xr:uid="{00000000-0005-0000-0000-000091510000}"/>
    <cellStyle name="强调文字颜色 2 4 17 5 3" xfId="28640" xr:uid="{00000000-0005-0000-0000-000092510000}"/>
    <cellStyle name="强调文字颜色 2 4 17 5 4" xfId="28641" xr:uid="{00000000-0005-0000-0000-000093510000}"/>
    <cellStyle name="强调文字颜色 2 4 17 5 5" xfId="28642" xr:uid="{00000000-0005-0000-0000-000094510000}"/>
    <cellStyle name="强调文字颜色 2 4 17 5 6" xfId="28643" xr:uid="{00000000-0005-0000-0000-000095510000}"/>
    <cellStyle name="强调文字颜色 2 4 17 5 6 2" xfId="7748" xr:uid="{00000000-0005-0000-0000-000096510000}"/>
    <cellStyle name="强调文字颜色 2 4 17 5 6 3" xfId="28644" xr:uid="{00000000-0005-0000-0000-000097510000}"/>
    <cellStyle name="强调文字颜色 2 4 17 5 7" xfId="28645" xr:uid="{00000000-0005-0000-0000-000098510000}"/>
    <cellStyle name="强调文字颜色 2 4 17 5 8" xfId="28646" xr:uid="{00000000-0005-0000-0000-000099510000}"/>
    <cellStyle name="强调文字颜色 2 4 17 5 9" xfId="28648" xr:uid="{00000000-0005-0000-0000-00009A510000}"/>
    <cellStyle name="强调文字颜色 2 4 17 6" xfId="28649" xr:uid="{00000000-0005-0000-0000-00009B510000}"/>
    <cellStyle name="强调文字颜色 2 4 17 6 2" xfId="4242" xr:uid="{00000000-0005-0000-0000-00009C510000}"/>
    <cellStyle name="强调文字颜色 2 4 17 6 2 2" xfId="17378" xr:uid="{00000000-0005-0000-0000-00009D510000}"/>
    <cellStyle name="强调文字颜色 2 4 17 6 2 3" xfId="17381" xr:uid="{00000000-0005-0000-0000-00009E510000}"/>
    <cellStyle name="强调文字颜色 2 4 17 6 3" xfId="4252" xr:uid="{00000000-0005-0000-0000-00009F510000}"/>
    <cellStyle name="强调文字颜色 2 4 17 6 4" xfId="4260" xr:uid="{00000000-0005-0000-0000-0000A0510000}"/>
    <cellStyle name="强调文字颜色 2 4 17 6 5" xfId="6483" xr:uid="{00000000-0005-0000-0000-0000A1510000}"/>
    <cellStyle name="强调文字颜色 2 4 17 6 6" xfId="6490" xr:uid="{00000000-0005-0000-0000-0000A2510000}"/>
    <cellStyle name="强调文字颜色 2 4 17 6 7" xfId="28651" xr:uid="{00000000-0005-0000-0000-0000A3510000}"/>
    <cellStyle name="强调文字颜色 2 4 17 6 8" xfId="28652" xr:uid="{00000000-0005-0000-0000-0000A4510000}"/>
    <cellStyle name="强调文字颜色 2 4 17 7" xfId="12776" xr:uid="{00000000-0005-0000-0000-0000A5510000}"/>
    <cellStyle name="强调文字颜色 2 4 17 8" xfId="12778" xr:uid="{00000000-0005-0000-0000-0000A6510000}"/>
    <cellStyle name="强调文字颜色 2 4 17 9" xfId="28653" xr:uid="{00000000-0005-0000-0000-0000A7510000}"/>
    <cellStyle name="强调文字颜色 2 4 17 9 2" xfId="22315" xr:uid="{00000000-0005-0000-0000-0000A8510000}"/>
    <cellStyle name="强调文字颜色 2 4 17 9 3" xfId="22317" xr:uid="{00000000-0005-0000-0000-0000A9510000}"/>
    <cellStyle name="强调文字颜色 2 4 18" xfId="28654" xr:uid="{00000000-0005-0000-0000-0000AA510000}"/>
    <cellStyle name="强调文字颜色 2 4 18 10" xfId="13485" xr:uid="{00000000-0005-0000-0000-0000AB510000}"/>
    <cellStyle name="强调文字颜色 2 4 18 11" xfId="13489" xr:uid="{00000000-0005-0000-0000-0000AC510000}"/>
    <cellStyle name="强调文字颜色 2 4 18 12" xfId="21318" xr:uid="{00000000-0005-0000-0000-0000AD510000}"/>
    <cellStyle name="强调文字颜色 2 4 18 13" xfId="21322" xr:uid="{00000000-0005-0000-0000-0000AE510000}"/>
    <cellStyle name="强调文字颜色 2 4 18 14" xfId="14341" xr:uid="{00000000-0005-0000-0000-0000AF510000}"/>
    <cellStyle name="强调文字颜色 2 4 18 2" xfId="28656" xr:uid="{00000000-0005-0000-0000-0000B0510000}"/>
    <cellStyle name="强调文字颜色 2 4 18 3" xfId="28658" xr:uid="{00000000-0005-0000-0000-0000B1510000}"/>
    <cellStyle name="强调文字颜色 2 4 18 4" xfId="28660" xr:uid="{00000000-0005-0000-0000-0000B2510000}"/>
    <cellStyle name="强调文字颜色 2 4 18 5" xfId="2795" xr:uid="{00000000-0005-0000-0000-0000B3510000}"/>
    <cellStyle name="强调文字颜色 2 4 18 5 10" xfId="14631" xr:uid="{00000000-0005-0000-0000-0000B4510000}"/>
    <cellStyle name="强调文字颜色 2 4 18 5 11" xfId="14634" xr:uid="{00000000-0005-0000-0000-0000B5510000}"/>
    <cellStyle name="强调文字颜色 2 4 18 5 2" xfId="4824" xr:uid="{00000000-0005-0000-0000-0000B6510000}"/>
    <cellStyle name="强调文字颜色 2 4 18 5 2 2" xfId="4838" xr:uid="{00000000-0005-0000-0000-0000B7510000}"/>
    <cellStyle name="强调文字颜色 2 4 18 5 2 2 2" xfId="19005" xr:uid="{00000000-0005-0000-0000-0000B8510000}"/>
    <cellStyle name="强调文字颜色 2 4 18 5 2 2 3" xfId="19007" xr:uid="{00000000-0005-0000-0000-0000B9510000}"/>
    <cellStyle name="强调文字颜色 2 4 18 5 2 3" xfId="4843" xr:uid="{00000000-0005-0000-0000-0000BA510000}"/>
    <cellStyle name="强调文字颜色 2 4 18 5 2 4" xfId="15499" xr:uid="{00000000-0005-0000-0000-0000BB510000}"/>
    <cellStyle name="强调文字颜色 2 4 18 5 2 5" xfId="17562" xr:uid="{00000000-0005-0000-0000-0000BC510000}"/>
    <cellStyle name="强调文字颜色 2 4 18 5 2 6" xfId="17564" xr:uid="{00000000-0005-0000-0000-0000BD510000}"/>
    <cellStyle name="强调文字颜色 2 4 18 5 2 7" xfId="28661" xr:uid="{00000000-0005-0000-0000-0000BE510000}"/>
    <cellStyle name="强调文字颜色 2 4 18 5 2 8" xfId="28662" xr:uid="{00000000-0005-0000-0000-0000BF510000}"/>
    <cellStyle name="强调文字颜色 2 4 18 5 3" xfId="4846" xr:uid="{00000000-0005-0000-0000-0000C0510000}"/>
    <cellStyle name="强调文字颜色 2 4 18 5 4" xfId="4859" xr:uid="{00000000-0005-0000-0000-0000C1510000}"/>
    <cellStyle name="强调文字颜色 2 4 18 5 5" xfId="4865" xr:uid="{00000000-0005-0000-0000-0000C2510000}"/>
    <cellStyle name="强调文字颜色 2 4 18 5 6" xfId="4870" xr:uid="{00000000-0005-0000-0000-0000C3510000}"/>
    <cellStyle name="强调文字颜色 2 4 18 5 6 2" xfId="25150" xr:uid="{00000000-0005-0000-0000-0000C4510000}"/>
    <cellStyle name="强调文字颜色 2 4 18 5 6 3" xfId="25153" xr:uid="{00000000-0005-0000-0000-0000C5510000}"/>
    <cellStyle name="强调文字颜色 2 4 18 5 7" xfId="4875" xr:uid="{00000000-0005-0000-0000-0000C6510000}"/>
    <cellStyle name="强调文字颜色 2 4 18 5 8" xfId="1101" xr:uid="{00000000-0005-0000-0000-0000C7510000}"/>
    <cellStyle name="强调文字颜色 2 4 18 5 9" xfId="10916" xr:uid="{00000000-0005-0000-0000-0000C8510000}"/>
    <cellStyle name="强调文字颜色 2 4 18 6" xfId="2802" xr:uid="{00000000-0005-0000-0000-0000C9510000}"/>
    <cellStyle name="强调文字颜色 2 4 18 6 2" xfId="25529" xr:uid="{00000000-0005-0000-0000-0000CA510000}"/>
    <cellStyle name="强调文字颜色 2 4 18 6 2 2" xfId="27738" xr:uid="{00000000-0005-0000-0000-0000CB510000}"/>
    <cellStyle name="强调文字颜色 2 4 18 6 2 3" xfId="27740" xr:uid="{00000000-0005-0000-0000-0000CC510000}"/>
    <cellStyle name="强调文字颜色 2 4 18 6 3" xfId="28663" xr:uid="{00000000-0005-0000-0000-0000CD510000}"/>
    <cellStyle name="强调文字颜色 2 4 18 6 4" xfId="6575" xr:uid="{00000000-0005-0000-0000-0000CE510000}"/>
    <cellStyle name="强调文字颜色 2 4 18 6 5" xfId="6580" xr:uid="{00000000-0005-0000-0000-0000CF510000}"/>
    <cellStyle name="强调文字颜色 2 4 18 6 6" xfId="28664" xr:uid="{00000000-0005-0000-0000-0000D0510000}"/>
    <cellStyle name="强调文字颜色 2 4 18 6 7" xfId="6591" xr:uid="{00000000-0005-0000-0000-0000D1510000}"/>
    <cellStyle name="强调文字颜色 2 4 18 6 8" xfId="7738" xr:uid="{00000000-0005-0000-0000-0000D2510000}"/>
    <cellStyle name="强调文字颜色 2 4 18 7" xfId="2808" xr:uid="{00000000-0005-0000-0000-0000D3510000}"/>
    <cellStyle name="强调文字颜色 2 4 18 8" xfId="2815" xr:uid="{00000000-0005-0000-0000-0000D4510000}"/>
    <cellStyle name="强调文字颜色 2 4 18 9" xfId="2823" xr:uid="{00000000-0005-0000-0000-0000D5510000}"/>
    <cellStyle name="强调文字颜色 2 4 18 9 2" xfId="233" xr:uid="{00000000-0005-0000-0000-0000D6510000}"/>
    <cellStyle name="强调文字颜色 2 4 18 9 3" xfId="1529" xr:uid="{00000000-0005-0000-0000-0000D7510000}"/>
    <cellStyle name="强调文字颜色 2 4 19" xfId="28665" xr:uid="{00000000-0005-0000-0000-0000D8510000}"/>
    <cellStyle name="强调文字颜色 2 4 19 10" xfId="28666" xr:uid="{00000000-0005-0000-0000-0000D9510000}"/>
    <cellStyle name="强调文字颜色 2 4 19 11" xfId="8558" xr:uid="{00000000-0005-0000-0000-0000DA510000}"/>
    <cellStyle name="强调文字颜色 2 4 19 12" xfId="8565" xr:uid="{00000000-0005-0000-0000-0000DB510000}"/>
    <cellStyle name="强调文字颜色 2 4 19 13" xfId="21365" xr:uid="{00000000-0005-0000-0000-0000DC510000}"/>
    <cellStyle name="强调文字颜色 2 4 19 14" xfId="21371" xr:uid="{00000000-0005-0000-0000-0000DD510000}"/>
    <cellStyle name="强调文字颜色 2 4 19 2" xfId="28667" xr:uid="{00000000-0005-0000-0000-0000DE510000}"/>
    <cellStyle name="强调文字颜色 2 4 19 3" xfId="28671" xr:uid="{00000000-0005-0000-0000-0000DF510000}"/>
    <cellStyle name="强调文字颜色 2 4 19 4" xfId="28673" xr:uid="{00000000-0005-0000-0000-0000E0510000}"/>
    <cellStyle name="强调文字颜色 2 4 19 5" xfId="950" xr:uid="{00000000-0005-0000-0000-0000E1510000}"/>
    <cellStyle name="强调文字颜色 2 4 19 5 10" xfId="21668" xr:uid="{00000000-0005-0000-0000-0000E2510000}"/>
    <cellStyle name="强调文字颜色 2 4 19 5 11" xfId="16337" xr:uid="{00000000-0005-0000-0000-0000E3510000}"/>
    <cellStyle name="强调文字颜色 2 4 19 5 2" xfId="4883" xr:uid="{00000000-0005-0000-0000-0000E4510000}"/>
    <cellStyle name="强调文字颜色 2 4 19 5 2 2" xfId="17625" xr:uid="{00000000-0005-0000-0000-0000E5510000}"/>
    <cellStyle name="强调文字颜色 2 4 19 5 2 2 2" xfId="28674" xr:uid="{00000000-0005-0000-0000-0000E6510000}"/>
    <cellStyle name="强调文字颜色 2 4 19 5 2 2 3" xfId="14891" xr:uid="{00000000-0005-0000-0000-0000E7510000}"/>
    <cellStyle name="强调文字颜色 2 4 19 5 2 3" xfId="17630" xr:uid="{00000000-0005-0000-0000-0000E8510000}"/>
    <cellStyle name="强调文字颜色 2 4 19 5 2 4" xfId="17634" xr:uid="{00000000-0005-0000-0000-0000E9510000}"/>
    <cellStyle name="强调文字颜色 2 4 19 5 2 5" xfId="17637" xr:uid="{00000000-0005-0000-0000-0000EA510000}"/>
    <cellStyle name="强调文字颜色 2 4 19 5 2 6" xfId="12348" xr:uid="{00000000-0005-0000-0000-0000EB510000}"/>
    <cellStyle name="强调文字颜色 2 4 19 5 2 7" xfId="28675" xr:uid="{00000000-0005-0000-0000-0000EC510000}"/>
    <cellStyle name="强调文字颜色 2 4 19 5 2 8" xfId="28676" xr:uid="{00000000-0005-0000-0000-0000ED510000}"/>
    <cellStyle name="强调文字颜色 2 4 19 5 3" xfId="4888" xr:uid="{00000000-0005-0000-0000-0000EE510000}"/>
    <cellStyle name="强调文字颜色 2 4 19 5 4" xfId="28677" xr:uid="{00000000-0005-0000-0000-0000EF510000}"/>
    <cellStyle name="强调文字颜色 2 4 19 5 5" xfId="28678" xr:uid="{00000000-0005-0000-0000-0000F0510000}"/>
    <cellStyle name="强调文字颜色 2 4 19 5 6" xfId="28679" xr:uid="{00000000-0005-0000-0000-0000F1510000}"/>
    <cellStyle name="强调文字颜色 2 4 19 5 6 2" xfId="28680" xr:uid="{00000000-0005-0000-0000-0000F2510000}"/>
    <cellStyle name="强调文字颜色 2 4 19 5 6 3" xfId="28681" xr:uid="{00000000-0005-0000-0000-0000F3510000}"/>
    <cellStyle name="强调文字颜色 2 4 19 5 7" xfId="21386" xr:uid="{00000000-0005-0000-0000-0000F4510000}"/>
    <cellStyle name="强调文字颜色 2 4 19 5 8" xfId="21388" xr:uid="{00000000-0005-0000-0000-0000F5510000}"/>
    <cellStyle name="强调文字颜色 2 4 19 5 9" xfId="21390" xr:uid="{00000000-0005-0000-0000-0000F6510000}"/>
    <cellStyle name="强调文字颜色 2 4 19 6" xfId="986" xr:uid="{00000000-0005-0000-0000-0000F7510000}"/>
    <cellStyle name="强调文字颜色 2 4 19 6 2" xfId="6715" xr:uid="{00000000-0005-0000-0000-0000F8510000}"/>
    <cellStyle name="强调文字颜色 2 4 19 6 2 2" xfId="28682" xr:uid="{00000000-0005-0000-0000-0000F9510000}"/>
    <cellStyle name="强调文字颜色 2 4 19 6 2 3" xfId="28683" xr:uid="{00000000-0005-0000-0000-0000FA510000}"/>
    <cellStyle name="强调文字颜色 2 4 19 6 3" xfId="6719" xr:uid="{00000000-0005-0000-0000-0000FB510000}"/>
    <cellStyle name="强调文字颜色 2 4 19 6 4" xfId="6721" xr:uid="{00000000-0005-0000-0000-0000FC510000}"/>
    <cellStyle name="强调文字颜色 2 4 19 6 5" xfId="6724" xr:uid="{00000000-0005-0000-0000-0000FD510000}"/>
    <cellStyle name="强调文字颜色 2 4 19 6 6" xfId="435" xr:uid="{00000000-0005-0000-0000-0000FE510000}"/>
    <cellStyle name="强调文字颜色 2 4 19 6 7" xfId="6727" xr:uid="{00000000-0005-0000-0000-0000FF510000}"/>
    <cellStyle name="强调文字颜色 2 4 19 6 8" xfId="6801" xr:uid="{00000000-0005-0000-0000-000000520000}"/>
    <cellStyle name="强调文字颜色 2 4 19 7" xfId="1008" xr:uid="{00000000-0005-0000-0000-000001520000}"/>
    <cellStyle name="强调文字颜色 2 4 19 8" xfId="1041" xr:uid="{00000000-0005-0000-0000-000002520000}"/>
    <cellStyle name="强调文字颜色 2 4 19 9" xfId="1061" xr:uid="{00000000-0005-0000-0000-000003520000}"/>
    <cellStyle name="强调文字颜色 2 4 19 9 2" xfId="1738" xr:uid="{00000000-0005-0000-0000-000004520000}"/>
    <cellStyle name="强调文字颜色 2 4 19 9 3" xfId="13484" xr:uid="{00000000-0005-0000-0000-000005520000}"/>
    <cellStyle name="强调文字颜色 2 4 2" xfId="16751" xr:uid="{00000000-0005-0000-0000-000006520000}"/>
    <cellStyle name="强调文字颜色 2 4 20" xfId="28613" xr:uid="{00000000-0005-0000-0000-000007520000}"/>
    <cellStyle name="强调文字颜色 2 4 20 10" xfId="28684" xr:uid="{00000000-0005-0000-0000-000008520000}"/>
    <cellStyle name="强调文字颜色 2 4 20 11" xfId="28685" xr:uid="{00000000-0005-0000-0000-000009520000}"/>
    <cellStyle name="强调文字颜色 2 4 20 12" xfId="28686" xr:uid="{00000000-0005-0000-0000-00000A520000}"/>
    <cellStyle name="强调文字颜色 2 4 20 13" xfId="28687" xr:uid="{00000000-0005-0000-0000-00000B520000}"/>
    <cellStyle name="强调文字颜色 2 4 20 14" xfId="28689" xr:uid="{00000000-0005-0000-0000-00000C520000}"/>
    <cellStyle name="强调文字颜色 2 4 20 2" xfId="28691" xr:uid="{00000000-0005-0000-0000-00000D520000}"/>
    <cellStyle name="强调文字颜色 2 4 20 3" xfId="19122" xr:uid="{00000000-0005-0000-0000-00000E520000}"/>
    <cellStyle name="强调文字颜色 2 4 20 4" xfId="20351" xr:uid="{00000000-0005-0000-0000-00000F520000}"/>
    <cellStyle name="强调文字颜色 2 4 20 5" xfId="28693" xr:uid="{00000000-0005-0000-0000-000010520000}"/>
    <cellStyle name="强调文字颜色 2 4 20 5 10" xfId="23844" xr:uid="{00000000-0005-0000-0000-000011520000}"/>
    <cellStyle name="强调文字颜色 2 4 20 5 11" xfId="23848" xr:uid="{00000000-0005-0000-0000-000012520000}"/>
    <cellStyle name="强调文字颜色 2 4 20 5 2" xfId="28695" xr:uid="{00000000-0005-0000-0000-000013520000}"/>
    <cellStyle name="强调文字颜色 2 4 20 5 2 2" xfId="3567" xr:uid="{00000000-0005-0000-0000-000014520000}"/>
    <cellStyle name="强调文字颜色 2 4 20 5 2 2 2" xfId="28696" xr:uid="{00000000-0005-0000-0000-000015520000}"/>
    <cellStyle name="强调文字颜色 2 4 20 5 2 2 3" xfId="19726" xr:uid="{00000000-0005-0000-0000-000016520000}"/>
    <cellStyle name="强调文字颜色 2 4 20 5 2 3" xfId="3817" xr:uid="{00000000-0005-0000-0000-000017520000}"/>
    <cellStyle name="强调文字颜色 2 4 20 5 2 4" xfId="5274" xr:uid="{00000000-0005-0000-0000-000018520000}"/>
    <cellStyle name="强调文字颜色 2 4 20 5 2 5" xfId="5294" xr:uid="{00000000-0005-0000-0000-000019520000}"/>
    <cellStyle name="强调文字颜色 2 4 20 5 2 6" xfId="5305" xr:uid="{00000000-0005-0000-0000-00001A520000}"/>
    <cellStyle name="强调文字颜色 2 4 20 5 2 7" xfId="5318" xr:uid="{00000000-0005-0000-0000-00001B520000}"/>
    <cellStyle name="强调文字颜色 2 4 20 5 2 8" xfId="25746" xr:uid="{00000000-0005-0000-0000-00001C520000}"/>
    <cellStyle name="强调文字颜色 2 4 20 5 3" xfId="28697" xr:uid="{00000000-0005-0000-0000-00001D520000}"/>
    <cellStyle name="强调文字颜色 2 4 20 5 4" xfId="28698" xr:uid="{00000000-0005-0000-0000-00001E520000}"/>
    <cellStyle name="强调文字颜色 2 4 20 5 5" xfId="28699" xr:uid="{00000000-0005-0000-0000-00001F520000}"/>
    <cellStyle name="强调文字颜色 2 4 20 5 6" xfId="28700" xr:uid="{00000000-0005-0000-0000-000020520000}"/>
    <cellStyle name="强调文字颜色 2 4 20 5 6 2" xfId="28701" xr:uid="{00000000-0005-0000-0000-000021520000}"/>
    <cellStyle name="强调文字颜色 2 4 20 5 6 3" xfId="28702" xr:uid="{00000000-0005-0000-0000-000022520000}"/>
    <cellStyle name="强调文字颜色 2 4 20 5 7" xfId="28703" xr:uid="{00000000-0005-0000-0000-000023520000}"/>
    <cellStyle name="强调文字颜色 2 4 20 5 8" xfId="28704" xr:uid="{00000000-0005-0000-0000-000024520000}"/>
    <cellStyle name="强调文字颜色 2 4 20 5 9" xfId="28705" xr:uid="{00000000-0005-0000-0000-000025520000}"/>
    <cellStyle name="强调文字颜色 2 4 20 6" xfId="28707" xr:uid="{00000000-0005-0000-0000-000026520000}"/>
    <cellStyle name="强调文字颜色 2 4 20 6 2" xfId="28709" xr:uid="{00000000-0005-0000-0000-000027520000}"/>
    <cellStyle name="强调文字颜色 2 4 20 6 2 2" xfId="28710" xr:uid="{00000000-0005-0000-0000-000028520000}"/>
    <cellStyle name="强调文字颜色 2 4 20 6 2 3" xfId="28712" xr:uid="{00000000-0005-0000-0000-000029520000}"/>
    <cellStyle name="强调文字颜色 2 4 20 6 3" xfId="28714" xr:uid="{00000000-0005-0000-0000-00002A520000}"/>
    <cellStyle name="强调文字颜色 2 4 20 6 4" xfId="28715" xr:uid="{00000000-0005-0000-0000-00002B520000}"/>
    <cellStyle name="强调文字颜色 2 4 20 6 5" xfId="28716" xr:uid="{00000000-0005-0000-0000-00002C520000}"/>
    <cellStyle name="强调文字颜色 2 4 20 6 6" xfId="28717" xr:uid="{00000000-0005-0000-0000-00002D520000}"/>
    <cellStyle name="强调文字颜色 2 4 20 6 7" xfId="28718" xr:uid="{00000000-0005-0000-0000-00002E520000}"/>
    <cellStyle name="强调文字颜色 2 4 20 6 8" xfId="28719" xr:uid="{00000000-0005-0000-0000-00002F520000}"/>
    <cellStyle name="强调文字颜色 2 4 20 7" xfId="28721" xr:uid="{00000000-0005-0000-0000-000030520000}"/>
    <cellStyle name="强调文字颜色 2 4 20 8" xfId="28723" xr:uid="{00000000-0005-0000-0000-000031520000}"/>
    <cellStyle name="强调文字颜色 2 4 20 9" xfId="28725" xr:uid="{00000000-0005-0000-0000-000032520000}"/>
    <cellStyle name="强调文字颜色 2 4 20 9 2" xfId="28726" xr:uid="{00000000-0005-0000-0000-000033520000}"/>
    <cellStyle name="强调文字颜色 2 4 20 9 3" xfId="28727" xr:uid="{00000000-0005-0000-0000-000034520000}"/>
    <cellStyle name="强调文字颜色 2 4 3" xfId="16755" xr:uid="{00000000-0005-0000-0000-000035520000}"/>
    <cellStyle name="强调文字颜色 2 4 4" xfId="16757" xr:uid="{00000000-0005-0000-0000-000036520000}"/>
    <cellStyle name="强调文字颜色 2 4 5" xfId="16759" xr:uid="{00000000-0005-0000-0000-000037520000}"/>
    <cellStyle name="强调文字颜色 2 4 6" xfId="17677" xr:uid="{00000000-0005-0000-0000-000038520000}"/>
    <cellStyle name="强调文字颜色 2 4 7" xfId="3568" xr:uid="{00000000-0005-0000-0000-000039520000}"/>
    <cellStyle name="强调文字颜色 2 4 8" xfId="3818" xr:uid="{00000000-0005-0000-0000-00003A520000}"/>
    <cellStyle name="强调文字颜色 2 4 9" xfId="5275" xr:uid="{00000000-0005-0000-0000-00003B520000}"/>
    <cellStyle name="强调文字颜色 2 5" xfId="10832" xr:uid="{00000000-0005-0000-0000-00003C520000}"/>
    <cellStyle name="强调文字颜色 2 5 10" xfId="28728" xr:uid="{00000000-0005-0000-0000-00003D520000}"/>
    <cellStyle name="强调文字颜色 2 5 11" xfId="28730" xr:uid="{00000000-0005-0000-0000-00003E520000}"/>
    <cellStyle name="强调文字颜色 2 5 12" xfId="28731" xr:uid="{00000000-0005-0000-0000-00003F520000}"/>
    <cellStyle name="强调文字颜色 2 5 13" xfId="28732" xr:uid="{00000000-0005-0000-0000-000040520000}"/>
    <cellStyle name="强调文字颜色 2 5 14" xfId="4214" xr:uid="{00000000-0005-0000-0000-000041520000}"/>
    <cellStyle name="强调文字颜色 2 5 2" xfId="16763" xr:uid="{00000000-0005-0000-0000-000042520000}"/>
    <cellStyle name="强调文字颜色 2 5 3" xfId="16768" xr:uid="{00000000-0005-0000-0000-000043520000}"/>
    <cellStyle name="强调文字颜色 2 5 4" xfId="16771" xr:uid="{00000000-0005-0000-0000-000044520000}"/>
    <cellStyle name="强调文字颜色 2 5 5" xfId="28733" xr:uid="{00000000-0005-0000-0000-000045520000}"/>
    <cellStyle name="强调文字颜色 2 5 6" xfId="28734" xr:uid="{00000000-0005-0000-0000-000046520000}"/>
    <cellStyle name="强调文字颜色 2 5 7" xfId="24498" xr:uid="{00000000-0005-0000-0000-000047520000}"/>
    <cellStyle name="强调文字颜色 2 5 8" xfId="28735" xr:uid="{00000000-0005-0000-0000-000048520000}"/>
    <cellStyle name="强调文字颜色 2 5 9" xfId="28736" xr:uid="{00000000-0005-0000-0000-000049520000}"/>
    <cellStyle name="强调文字颜色 2 6" xfId="28737" xr:uid="{00000000-0005-0000-0000-00004A520000}"/>
    <cellStyle name="强调文字颜色 2 6 10" xfId="28738" xr:uid="{00000000-0005-0000-0000-00004B520000}"/>
    <cellStyle name="强调文字颜色 2 6 11" xfId="28740" xr:uid="{00000000-0005-0000-0000-00004C520000}"/>
    <cellStyle name="强调文字颜色 2 6 12" xfId="28741" xr:uid="{00000000-0005-0000-0000-00004D520000}"/>
    <cellStyle name="强调文字颜色 2 6 13" xfId="7567" xr:uid="{00000000-0005-0000-0000-00004E520000}"/>
    <cellStyle name="强调文字颜色 2 6 14" xfId="12110" xr:uid="{00000000-0005-0000-0000-00004F520000}"/>
    <cellStyle name="强调文字颜色 2 6 2" xfId="28743" xr:uid="{00000000-0005-0000-0000-000050520000}"/>
    <cellStyle name="强调文字颜色 2 6 3" xfId="28745" xr:uid="{00000000-0005-0000-0000-000051520000}"/>
    <cellStyle name="强调文字颜色 2 6 4" xfId="28747" xr:uid="{00000000-0005-0000-0000-000052520000}"/>
    <cellStyle name="强调文字颜色 2 6 5" xfId="28749" xr:uid="{00000000-0005-0000-0000-000053520000}"/>
    <cellStyle name="强调文字颜色 2 6 6" xfId="28750" xr:uid="{00000000-0005-0000-0000-000054520000}"/>
    <cellStyle name="强调文字颜色 2 6 7" xfId="28751" xr:uid="{00000000-0005-0000-0000-000055520000}"/>
    <cellStyle name="强调文字颜色 2 6 8" xfId="28752" xr:uid="{00000000-0005-0000-0000-000056520000}"/>
    <cellStyle name="强调文字颜色 2 6 9" xfId="28753" xr:uid="{00000000-0005-0000-0000-000057520000}"/>
    <cellStyle name="强调文字颜色 2 7" xfId="27883" xr:uid="{00000000-0005-0000-0000-000058520000}"/>
    <cellStyle name="强调文字颜色 2 8" xfId="27885" xr:uid="{00000000-0005-0000-0000-000059520000}"/>
    <cellStyle name="强调文字颜色 2 9" xfId="20255" xr:uid="{00000000-0005-0000-0000-00005A520000}"/>
    <cellStyle name="强调文字颜色 3 10" xfId="28754" xr:uid="{00000000-0005-0000-0000-00005B520000}"/>
    <cellStyle name="强调文字颜色 3 11" xfId="28755" xr:uid="{00000000-0005-0000-0000-00005C520000}"/>
    <cellStyle name="强调文字颜色 3 12" xfId="28756" xr:uid="{00000000-0005-0000-0000-00005D520000}"/>
    <cellStyle name="强调文字颜色 3 12 10" xfId="7563" xr:uid="{00000000-0005-0000-0000-00005E520000}"/>
    <cellStyle name="强调文字颜色 3 12 11" xfId="7573" xr:uid="{00000000-0005-0000-0000-00005F520000}"/>
    <cellStyle name="强调文字颜色 3 12 12" xfId="15725" xr:uid="{00000000-0005-0000-0000-000060520000}"/>
    <cellStyle name="强调文字颜色 3 12 13" xfId="15728" xr:uid="{00000000-0005-0000-0000-000061520000}"/>
    <cellStyle name="强调文字颜色 3 12 14" xfId="15731" xr:uid="{00000000-0005-0000-0000-000062520000}"/>
    <cellStyle name="强调文字颜色 3 12 2" xfId="26963" xr:uid="{00000000-0005-0000-0000-000063520000}"/>
    <cellStyle name="强调文字颜色 3 12 3" xfId="26767" xr:uid="{00000000-0005-0000-0000-000064520000}"/>
    <cellStyle name="强调文字颜色 3 12 4" xfId="26770" xr:uid="{00000000-0005-0000-0000-000065520000}"/>
    <cellStyle name="强调文字颜色 3 12 5" xfId="26773" xr:uid="{00000000-0005-0000-0000-000066520000}"/>
    <cellStyle name="强调文字颜色 3 12 5 10" xfId="28757" xr:uid="{00000000-0005-0000-0000-000067520000}"/>
    <cellStyle name="强调文字颜色 3 12 5 11" xfId="28758" xr:uid="{00000000-0005-0000-0000-000068520000}"/>
    <cellStyle name="强调文字颜色 3 12 5 2" xfId="19522" xr:uid="{00000000-0005-0000-0000-000069520000}"/>
    <cellStyle name="强调文字颜色 3 12 5 2 2" xfId="28760" xr:uid="{00000000-0005-0000-0000-00006A520000}"/>
    <cellStyle name="强调文字颜色 3 12 5 2 2 2" xfId="28762" xr:uid="{00000000-0005-0000-0000-00006B520000}"/>
    <cellStyle name="强调文字颜色 3 12 5 2 2 3" xfId="10096" xr:uid="{00000000-0005-0000-0000-00006C520000}"/>
    <cellStyle name="强调文字颜色 3 12 5 2 3" xfId="28764" xr:uid="{00000000-0005-0000-0000-00006D520000}"/>
    <cellStyle name="强调文字颜色 3 12 5 2 4" xfId="28766" xr:uid="{00000000-0005-0000-0000-00006E520000}"/>
    <cellStyle name="强调文字颜色 3 12 5 2 5" xfId="28768" xr:uid="{00000000-0005-0000-0000-00006F520000}"/>
    <cellStyle name="强调文字颜色 3 12 5 2 6" xfId="28770" xr:uid="{00000000-0005-0000-0000-000070520000}"/>
    <cellStyle name="强调文字颜色 3 12 5 2 7" xfId="28771" xr:uid="{00000000-0005-0000-0000-000071520000}"/>
    <cellStyle name="强调文字颜色 3 12 5 2 8" xfId="28772" xr:uid="{00000000-0005-0000-0000-000072520000}"/>
    <cellStyle name="强调文字颜色 3 12 5 3" xfId="28774" xr:uid="{00000000-0005-0000-0000-000073520000}"/>
    <cellStyle name="强调文字颜色 3 12 5 4" xfId="28776" xr:uid="{00000000-0005-0000-0000-000074520000}"/>
    <cellStyle name="强调文字颜色 3 12 5 5" xfId="28477" xr:uid="{00000000-0005-0000-0000-000075520000}"/>
    <cellStyle name="强调文字颜色 3 12 5 6" xfId="28481" xr:uid="{00000000-0005-0000-0000-000076520000}"/>
    <cellStyle name="强调文字颜色 3 12 5 6 2" xfId="20783" xr:uid="{00000000-0005-0000-0000-000077520000}"/>
    <cellStyle name="强调文字颜色 3 12 5 6 3" xfId="20785" xr:uid="{00000000-0005-0000-0000-000078520000}"/>
    <cellStyle name="强调文字颜色 3 12 5 7" xfId="28483" xr:uid="{00000000-0005-0000-0000-000079520000}"/>
    <cellStyle name="强调文字颜色 3 12 5 8" xfId="28485" xr:uid="{00000000-0005-0000-0000-00007A520000}"/>
    <cellStyle name="强调文字颜色 3 12 5 9" xfId="28488" xr:uid="{00000000-0005-0000-0000-00007B520000}"/>
    <cellStyle name="强调文字颜色 3 12 6" xfId="26775" xr:uid="{00000000-0005-0000-0000-00007C520000}"/>
    <cellStyle name="强调文字颜色 3 12 6 2" xfId="13307" xr:uid="{00000000-0005-0000-0000-00007D520000}"/>
    <cellStyle name="强调文字颜色 3 12 6 2 2" xfId="26777" xr:uid="{00000000-0005-0000-0000-00007E520000}"/>
    <cellStyle name="强调文字颜色 3 12 6 2 3" xfId="26784" xr:uid="{00000000-0005-0000-0000-00007F520000}"/>
    <cellStyle name="强调文字颜色 3 12 6 3" xfId="13314" xr:uid="{00000000-0005-0000-0000-000080520000}"/>
    <cellStyle name="强调文字颜色 3 12 6 4" xfId="16719" xr:uid="{00000000-0005-0000-0000-000081520000}"/>
    <cellStyle name="强调文字颜色 3 12 6 5" xfId="16724" xr:uid="{00000000-0005-0000-0000-000082520000}"/>
    <cellStyle name="强调文字颜色 3 12 6 6" xfId="16728" xr:uid="{00000000-0005-0000-0000-000083520000}"/>
    <cellStyle name="强调文字颜色 3 12 6 7" xfId="26797" xr:uid="{00000000-0005-0000-0000-000084520000}"/>
    <cellStyle name="强调文字颜色 3 12 6 8" xfId="26800" xr:uid="{00000000-0005-0000-0000-000085520000}"/>
    <cellStyle name="强调文字颜色 3 12 7" xfId="26803" xr:uid="{00000000-0005-0000-0000-000086520000}"/>
    <cellStyle name="强调文字颜色 3 12 8" xfId="26823" xr:uid="{00000000-0005-0000-0000-000087520000}"/>
    <cellStyle name="强调文字颜色 3 12 9" xfId="26825" xr:uid="{00000000-0005-0000-0000-000088520000}"/>
    <cellStyle name="强调文字颜色 3 12 9 2" xfId="28777" xr:uid="{00000000-0005-0000-0000-000089520000}"/>
    <cellStyle name="强调文字颜色 3 12 9 3" xfId="28779" xr:uid="{00000000-0005-0000-0000-00008A520000}"/>
    <cellStyle name="强调文字颜色 3 13" xfId="28781" xr:uid="{00000000-0005-0000-0000-00008B520000}"/>
    <cellStyle name="强调文字颜色 3 14" xfId="25691" xr:uid="{00000000-0005-0000-0000-00008C520000}"/>
    <cellStyle name="强调文字颜色 3 15" xfId="28782" xr:uid="{00000000-0005-0000-0000-00008D520000}"/>
    <cellStyle name="强调文字颜色 3 16" xfId="28783" xr:uid="{00000000-0005-0000-0000-00008E520000}"/>
    <cellStyle name="强调文字颜色 3 16 10" xfId="28784" xr:uid="{00000000-0005-0000-0000-00008F520000}"/>
    <cellStyle name="强调文字颜色 3 16 11" xfId="28786" xr:uid="{00000000-0005-0000-0000-000090520000}"/>
    <cellStyle name="强调文字颜色 3 16 12" xfId="28788" xr:uid="{00000000-0005-0000-0000-000091520000}"/>
    <cellStyle name="强调文字颜色 3 16 13" xfId="17252" xr:uid="{00000000-0005-0000-0000-000092520000}"/>
    <cellStyle name="强调文字颜色 3 16 14" xfId="17257" xr:uid="{00000000-0005-0000-0000-000093520000}"/>
    <cellStyle name="强调文字颜色 3 16 2" xfId="11623" xr:uid="{00000000-0005-0000-0000-000094520000}"/>
    <cellStyle name="强调文字颜色 3 16 3" xfId="10490" xr:uid="{00000000-0005-0000-0000-000095520000}"/>
    <cellStyle name="强调文字颜色 3 16 4" xfId="10498" xr:uid="{00000000-0005-0000-0000-000096520000}"/>
    <cellStyle name="强调文字颜色 3 16 5" xfId="10510" xr:uid="{00000000-0005-0000-0000-000097520000}"/>
    <cellStyle name="强调文字颜色 3 16 5 10" xfId="28790" xr:uid="{00000000-0005-0000-0000-000098520000}"/>
    <cellStyle name="强调文字颜色 3 16 5 11" xfId="28792" xr:uid="{00000000-0005-0000-0000-000099520000}"/>
    <cellStyle name="强调文字颜色 3 16 5 2" xfId="28794" xr:uid="{00000000-0005-0000-0000-00009A520000}"/>
    <cellStyle name="强调文字颜色 3 16 5 2 2" xfId="15706" xr:uid="{00000000-0005-0000-0000-00009B520000}"/>
    <cellStyle name="强调文字颜色 3 16 5 2 2 2" xfId="17480" xr:uid="{00000000-0005-0000-0000-00009C520000}"/>
    <cellStyle name="强调文字颜色 3 16 5 2 2 3" xfId="17486" xr:uid="{00000000-0005-0000-0000-00009D520000}"/>
    <cellStyle name="强调文字颜色 3 16 5 2 3" xfId="15710" xr:uid="{00000000-0005-0000-0000-00009E520000}"/>
    <cellStyle name="强调文字颜色 3 16 5 2 4" xfId="15714" xr:uid="{00000000-0005-0000-0000-00009F520000}"/>
    <cellStyle name="强调文字颜色 3 16 5 2 5" xfId="23286" xr:uid="{00000000-0005-0000-0000-0000A0520000}"/>
    <cellStyle name="强调文字颜色 3 16 5 2 6" xfId="23586" xr:uid="{00000000-0005-0000-0000-0000A1520000}"/>
    <cellStyle name="强调文字颜色 3 16 5 2 7" xfId="23588" xr:uid="{00000000-0005-0000-0000-0000A2520000}"/>
    <cellStyle name="强调文字颜色 3 16 5 2 8" xfId="23590" xr:uid="{00000000-0005-0000-0000-0000A3520000}"/>
    <cellStyle name="强调文字颜色 3 16 5 3" xfId="28795" xr:uid="{00000000-0005-0000-0000-0000A4520000}"/>
    <cellStyle name="强调文字颜色 3 16 5 4" xfId="28796" xr:uid="{00000000-0005-0000-0000-0000A5520000}"/>
    <cellStyle name="强调文字颜色 3 16 5 5" xfId="28797" xr:uid="{00000000-0005-0000-0000-0000A6520000}"/>
    <cellStyle name="强调文字颜色 3 16 5 6" xfId="28798" xr:uid="{00000000-0005-0000-0000-0000A7520000}"/>
    <cellStyle name="强调文字颜色 3 16 5 6 2" xfId="28799" xr:uid="{00000000-0005-0000-0000-0000A8520000}"/>
    <cellStyle name="强调文字颜色 3 16 5 6 3" xfId="28801" xr:uid="{00000000-0005-0000-0000-0000A9520000}"/>
    <cellStyle name="强调文字颜色 3 16 5 7" xfId="28803" xr:uid="{00000000-0005-0000-0000-0000AA520000}"/>
    <cellStyle name="强调文字颜色 3 16 5 8" xfId="28804" xr:uid="{00000000-0005-0000-0000-0000AB520000}"/>
    <cellStyle name="强调文字颜色 3 16 5 9" xfId="28805" xr:uid="{00000000-0005-0000-0000-0000AC520000}"/>
    <cellStyle name="强调文字颜色 3 16 6" xfId="10517" xr:uid="{00000000-0005-0000-0000-0000AD520000}"/>
    <cellStyle name="强调文字颜色 3 16 6 2" xfId="28807" xr:uid="{00000000-0005-0000-0000-0000AE520000}"/>
    <cellStyle name="强调文字颜色 3 16 6 2 2" xfId="28809" xr:uid="{00000000-0005-0000-0000-0000AF520000}"/>
    <cellStyle name="强调文字颜色 3 16 6 2 3" xfId="1070" xr:uid="{00000000-0005-0000-0000-0000B0520000}"/>
    <cellStyle name="强调文字颜色 3 16 6 3" xfId="28810" xr:uid="{00000000-0005-0000-0000-0000B1520000}"/>
    <cellStyle name="强调文字颜色 3 16 6 4" xfId="28812" xr:uid="{00000000-0005-0000-0000-0000B2520000}"/>
    <cellStyle name="强调文字颜色 3 16 6 5" xfId="28815" xr:uid="{00000000-0005-0000-0000-0000B3520000}"/>
    <cellStyle name="强调文字颜色 3 16 6 6" xfId="28818" xr:uid="{00000000-0005-0000-0000-0000B4520000}"/>
    <cellStyle name="强调文字颜色 3 16 6 7" xfId="28820" xr:uid="{00000000-0005-0000-0000-0000B5520000}"/>
    <cellStyle name="强调文字颜色 3 16 6 8" xfId="28822" xr:uid="{00000000-0005-0000-0000-0000B6520000}"/>
    <cellStyle name="强调文字颜色 3 16 7" xfId="10530" xr:uid="{00000000-0005-0000-0000-0000B7520000}"/>
    <cellStyle name="强调文字颜色 3 16 8" xfId="28824" xr:uid="{00000000-0005-0000-0000-0000B8520000}"/>
    <cellStyle name="强调文字颜色 3 16 9" xfId="28826" xr:uid="{00000000-0005-0000-0000-0000B9520000}"/>
    <cellStyle name="强调文字颜色 3 16 9 2" xfId="28828" xr:uid="{00000000-0005-0000-0000-0000BA520000}"/>
    <cellStyle name="强调文字颜色 3 16 9 3" xfId="28830" xr:uid="{00000000-0005-0000-0000-0000BB520000}"/>
    <cellStyle name="强调文字颜色 3 17" xfId="28832" xr:uid="{00000000-0005-0000-0000-0000BC520000}"/>
    <cellStyle name="强调文字颜色 3 17 10" xfId="28833" xr:uid="{00000000-0005-0000-0000-0000BD520000}"/>
    <cellStyle name="强调文字颜色 3 17 11" xfId="28834" xr:uid="{00000000-0005-0000-0000-0000BE520000}"/>
    <cellStyle name="强调文字颜色 3 17 12" xfId="28835" xr:uid="{00000000-0005-0000-0000-0000BF520000}"/>
    <cellStyle name="强调文字颜色 3 17 13" xfId="26023" xr:uid="{00000000-0005-0000-0000-0000C0520000}"/>
    <cellStyle name="强调文字颜色 3 17 14" xfId="28836" xr:uid="{00000000-0005-0000-0000-0000C1520000}"/>
    <cellStyle name="强调文字颜色 3 17 2" xfId="27018" xr:uid="{00000000-0005-0000-0000-0000C2520000}"/>
    <cellStyle name="强调文字颜色 3 17 3" xfId="27020" xr:uid="{00000000-0005-0000-0000-0000C3520000}"/>
    <cellStyle name="强调文字颜色 3 17 4" xfId="25822" xr:uid="{00000000-0005-0000-0000-0000C4520000}"/>
    <cellStyle name="强调文字颜色 3 17 5" xfId="27022" xr:uid="{00000000-0005-0000-0000-0000C5520000}"/>
    <cellStyle name="强调文字颜色 3 17 5 10" xfId="14999" xr:uid="{00000000-0005-0000-0000-0000C6520000}"/>
    <cellStyle name="强调文字颜色 3 17 5 11" xfId="348" xr:uid="{00000000-0005-0000-0000-0000C7520000}"/>
    <cellStyle name="强调文字颜色 3 17 5 2" xfId="28837" xr:uid="{00000000-0005-0000-0000-0000C8520000}"/>
    <cellStyle name="强调文字颜色 3 17 5 2 2" xfId="28840" xr:uid="{00000000-0005-0000-0000-0000C9520000}"/>
    <cellStyle name="强调文字颜色 3 17 5 2 2 2" xfId="26221" xr:uid="{00000000-0005-0000-0000-0000CA520000}"/>
    <cellStyle name="强调文字颜色 3 17 5 2 2 3" xfId="26223" xr:uid="{00000000-0005-0000-0000-0000CB520000}"/>
    <cellStyle name="强调文字颜色 3 17 5 2 3" xfId="28841" xr:uid="{00000000-0005-0000-0000-0000CC520000}"/>
    <cellStyle name="强调文字颜色 3 17 5 2 4" xfId="23810" xr:uid="{00000000-0005-0000-0000-0000CD520000}"/>
    <cellStyle name="强调文字颜色 3 17 5 2 5" xfId="23812" xr:uid="{00000000-0005-0000-0000-0000CE520000}"/>
    <cellStyle name="强调文字颜色 3 17 5 2 6" xfId="23814" xr:uid="{00000000-0005-0000-0000-0000CF520000}"/>
    <cellStyle name="强调文字颜色 3 17 5 2 7" xfId="15549" xr:uid="{00000000-0005-0000-0000-0000D0520000}"/>
    <cellStyle name="强调文字颜色 3 17 5 2 8" xfId="15574" xr:uid="{00000000-0005-0000-0000-0000D1520000}"/>
    <cellStyle name="强调文字颜色 3 17 5 3" xfId="28842" xr:uid="{00000000-0005-0000-0000-0000D2520000}"/>
    <cellStyle name="强调文字颜色 3 17 5 4" xfId="28844" xr:uid="{00000000-0005-0000-0000-0000D3520000}"/>
    <cellStyle name="强调文字颜色 3 17 5 5" xfId="28846" xr:uid="{00000000-0005-0000-0000-0000D4520000}"/>
    <cellStyle name="强调文字颜色 3 17 5 6" xfId="24750" xr:uid="{00000000-0005-0000-0000-0000D5520000}"/>
    <cellStyle name="强调文字颜色 3 17 5 6 2" xfId="20976" xr:uid="{00000000-0005-0000-0000-0000D6520000}"/>
    <cellStyle name="强调文字颜色 3 17 5 6 3" xfId="20978" xr:uid="{00000000-0005-0000-0000-0000D7520000}"/>
    <cellStyle name="强调文字颜色 3 17 5 7" xfId="16002" xr:uid="{00000000-0005-0000-0000-0000D8520000}"/>
    <cellStyle name="强调文字颜色 3 17 5 8" xfId="15842" xr:uid="{00000000-0005-0000-0000-0000D9520000}"/>
    <cellStyle name="强调文字颜色 3 17 5 9" xfId="20126" xr:uid="{00000000-0005-0000-0000-0000DA520000}"/>
    <cellStyle name="强调文字颜色 3 17 6" xfId="28847" xr:uid="{00000000-0005-0000-0000-0000DB520000}"/>
    <cellStyle name="强调文字颜色 3 17 6 2" xfId="28848" xr:uid="{00000000-0005-0000-0000-0000DC520000}"/>
    <cellStyle name="强调文字颜色 3 17 6 2 2" xfId="28850" xr:uid="{00000000-0005-0000-0000-0000DD520000}"/>
    <cellStyle name="强调文字颜色 3 17 6 2 3" xfId="16209" xr:uid="{00000000-0005-0000-0000-0000DE520000}"/>
    <cellStyle name="强调文字颜色 3 17 6 3" xfId="28851" xr:uid="{00000000-0005-0000-0000-0000DF520000}"/>
    <cellStyle name="强调文字颜色 3 17 6 4" xfId="28853" xr:uid="{00000000-0005-0000-0000-0000E0520000}"/>
    <cellStyle name="强调文字颜色 3 17 6 5" xfId="28855" xr:uid="{00000000-0005-0000-0000-0000E1520000}"/>
    <cellStyle name="强调文字颜色 3 17 6 6" xfId="6469" xr:uid="{00000000-0005-0000-0000-0000E2520000}"/>
    <cellStyle name="强调文字颜色 3 17 6 7" xfId="6282" xr:uid="{00000000-0005-0000-0000-0000E3520000}"/>
    <cellStyle name="强调文字颜色 3 17 6 8" xfId="28856" xr:uid="{00000000-0005-0000-0000-0000E4520000}"/>
    <cellStyle name="强调文字颜色 3 17 7" xfId="28857" xr:uid="{00000000-0005-0000-0000-0000E5520000}"/>
    <cellStyle name="强调文字颜色 3 17 8" xfId="28858" xr:uid="{00000000-0005-0000-0000-0000E6520000}"/>
    <cellStyle name="强调文字颜色 3 17 9" xfId="28859" xr:uid="{00000000-0005-0000-0000-0000E7520000}"/>
    <cellStyle name="强调文字颜色 3 17 9 2" xfId="28860" xr:uid="{00000000-0005-0000-0000-0000E8520000}"/>
    <cellStyle name="强调文字颜色 3 17 9 3" xfId="28861" xr:uid="{00000000-0005-0000-0000-0000E9520000}"/>
    <cellStyle name="强调文字颜色 3 18" xfId="25916" xr:uid="{00000000-0005-0000-0000-0000EA520000}"/>
    <cellStyle name="强调文字颜色 3 18 10" xfId="28862" xr:uid="{00000000-0005-0000-0000-0000EB520000}"/>
    <cellStyle name="强调文字颜色 3 18 11" xfId="28863" xr:uid="{00000000-0005-0000-0000-0000EC520000}"/>
    <cellStyle name="强调文字颜色 3 18 12" xfId="28864" xr:uid="{00000000-0005-0000-0000-0000ED520000}"/>
    <cellStyle name="强调文字颜色 3 18 13" xfId="28865" xr:uid="{00000000-0005-0000-0000-0000EE520000}"/>
    <cellStyle name="强调文字颜色 3 18 14" xfId="17022" xr:uid="{00000000-0005-0000-0000-0000EF520000}"/>
    <cellStyle name="强调文字颜色 3 18 2" xfId="28866" xr:uid="{00000000-0005-0000-0000-0000F0520000}"/>
    <cellStyle name="强调文字颜色 3 18 3" xfId="28867" xr:uid="{00000000-0005-0000-0000-0000F1520000}"/>
    <cellStyle name="强调文字颜色 3 18 4" xfId="28868" xr:uid="{00000000-0005-0000-0000-0000F2520000}"/>
    <cellStyle name="强调文字颜色 3 18 5" xfId="28869" xr:uid="{00000000-0005-0000-0000-0000F3520000}"/>
    <cellStyle name="强调文字颜色 3 18 5 10" xfId="28870" xr:uid="{00000000-0005-0000-0000-0000F4520000}"/>
    <cellStyle name="强调文字颜色 3 18 5 11" xfId="16672" xr:uid="{00000000-0005-0000-0000-0000F5520000}"/>
    <cellStyle name="强调文字颜色 3 18 5 2" xfId="24814" xr:uid="{00000000-0005-0000-0000-0000F6520000}"/>
    <cellStyle name="强调文字颜色 3 18 5 2 2" xfId="28872" xr:uid="{00000000-0005-0000-0000-0000F7520000}"/>
    <cellStyle name="强调文字颜色 3 18 5 2 2 2" xfId="9587" xr:uid="{00000000-0005-0000-0000-0000F8520000}"/>
    <cellStyle name="强调文字颜色 3 18 5 2 2 3" xfId="9594" xr:uid="{00000000-0005-0000-0000-0000F9520000}"/>
    <cellStyle name="强调文字颜色 3 18 5 2 3" xfId="28875" xr:uid="{00000000-0005-0000-0000-0000FA520000}"/>
    <cellStyle name="强调文字颜色 3 18 5 2 4" xfId="28878" xr:uid="{00000000-0005-0000-0000-0000FB520000}"/>
    <cellStyle name="强调文字颜色 3 18 5 2 5" xfId="28881" xr:uid="{00000000-0005-0000-0000-0000FC520000}"/>
    <cellStyle name="强调文字颜色 3 18 5 2 6" xfId="28883" xr:uid="{00000000-0005-0000-0000-0000FD520000}"/>
    <cellStyle name="强调文字颜色 3 18 5 2 7" xfId="28885" xr:uid="{00000000-0005-0000-0000-0000FE520000}"/>
    <cellStyle name="强调文字颜色 3 18 5 2 8" xfId="28251" xr:uid="{00000000-0005-0000-0000-0000FF520000}"/>
    <cellStyle name="强调文字颜色 3 18 5 3" xfId="28886" xr:uid="{00000000-0005-0000-0000-000000530000}"/>
    <cellStyle name="强调文字颜色 3 18 5 4" xfId="28887" xr:uid="{00000000-0005-0000-0000-000001530000}"/>
    <cellStyle name="强调文字颜色 3 18 5 5" xfId="28888" xr:uid="{00000000-0005-0000-0000-000002530000}"/>
    <cellStyle name="强调文字颜色 3 18 5 6" xfId="28889" xr:uid="{00000000-0005-0000-0000-000003530000}"/>
    <cellStyle name="强调文字颜色 3 18 5 6 2" xfId="6666" xr:uid="{00000000-0005-0000-0000-000004530000}"/>
    <cellStyle name="强调文字颜色 3 18 5 6 3" xfId="11274" xr:uid="{00000000-0005-0000-0000-000005530000}"/>
    <cellStyle name="强调文字颜色 3 18 5 7" xfId="28890" xr:uid="{00000000-0005-0000-0000-000006530000}"/>
    <cellStyle name="强调文字颜色 3 18 5 8" xfId="1541" xr:uid="{00000000-0005-0000-0000-000007530000}"/>
    <cellStyle name="强调文字颜色 3 18 5 9" xfId="1551" xr:uid="{00000000-0005-0000-0000-000008530000}"/>
    <cellStyle name="强调文字颜色 3 18 6" xfId="28891" xr:uid="{00000000-0005-0000-0000-000009530000}"/>
    <cellStyle name="强调文字颜色 3 18 6 2" xfId="28892" xr:uid="{00000000-0005-0000-0000-00000A530000}"/>
    <cellStyle name="强调文字颜色 3 18 6 2 2" xfId="28893" xr:uid="{00000000-0005-0000-0000-00000B530000}"/>
    <cellStyle name="强调文字颜色 3 18 6 2 3" xfId="16369" xr:uid="{00000000-0005-0000-0000-00000C530000}"/>
    <cellStyle name="强调文字颜色 3 18 6 3" xfId="28894" xr:uid="{00000000-0005-0000-0000-00000D530000}"/>
    <cellStyle name="强调文字颜色 3 18 6 4" xfId="28895" xr:uid="{00000000-0005-0000-0000-00000E530000}"/>
    <cellStyle name="强调文字颜色 3 18 6 5" xfId="28896" xr:uid="{00000000-0005-0000-0000-00000F530000}"/>
    <cellStyle name="强调文字颜色 3 18 6 6" xfId="28897" xr:uid="{00000000-0005-0000-0000-000010530000}"/>
    <cellStyle name="强调文字颜色 3 18 6 7" xfId="28898" xr:uid="{00000000-0005-0000-0000-000011530000}"/>
    <cellStyle name="强调文字颜色 3 18 6 8" xfId="28899" xr:uid="{00000000-0005-0000-0000-000012530000}"/>
    <cellStyle name="强调文字颜色 3 18 7" xfId="8653" xr:uid="{00000000-0005-0000-0000-000013530000}"/>
    <cellStyle name="强调文字颜色 3 18 8" xfId="8657" xr:uid="{00000000-0005-0000-0000-000014530000}"/>
    <cellStyle name="强调文字颜色 3 18 9" xfId="8662" xr:uid="{00000000-0005-0000-0000-000015530000}"/>
    <cellStyle name="强调文字颜色 3 18 9 2" xfId="28900" xr:uid="{00000000-0005-0000-0000-000016530000}"/>
    <cellStyle name="强调文字颜色 3 18 9 3" xfId="28901" xr:uid="{00000000-0005-0000-0000-000017530000}"/>
    <cellStyle name="强调文字颜色 3 19" xfId="28902" xr:uid="{00000000-0005-0000-0000-000018530000}"/>
    <cellStyle name="强调文字颜色 3 2" xfId="28903" xr:uid="{00000000-0005-0000-0000-000019530000}"/>
    <cellStyle name="强调文字颜色 3 2 10" xfId="28904" xr:uid="{00000000-0005-0000-0000-00001A530000}"/>
    <cellStyle name="强调文字颜色 3 2 11" xfId="28905" xr:uid="{00000000-0005-0000-0000-00001B530000}"/>
    <cellStyle name="强调文字颜色 3 2 12" xfId="28906" xr:uid="{00000000-0005-0000-0000-00001C530000}"/>
    <cellStyle name="强调文字颜色 3 2 13" xfId="6611" xr:uid="{00000000-0005-0000-0000-00001D530000}"/>
    <cellStyle name="强调文字颜色 3 2 14" xfId="6614" xr:uid="{00000000-0005-0000-0000-00001E530000}"/>
    <cellStyle name="强调文字颜色 3 2 15" xfId="5962" xr:uid="{00000000-0005-0000-0000-00001F530000}"/>
    <cellStyle name="强调文字颜色 3 2 16" xfId="28907" xr:uid="{00000000-0005-0000-0000-000020530000}"/>
    <cellStyle name="强调文字颜色 3 2 17" xfId="28908" xr:uid="{00000000-0005-0000-0000-000021530000}"/>
    <cellStyle name="强调文字颜色 3 2 17 10" xfId="17345" xr:uid="{00000000-0005-0000-0000-000022530000}"/>
    <cellStyle name="强调文字颜色 3 2 17 11" xfId="17350" xr:uid="{00000000-0005-0000-0000-000023530000}"/>
    <cellStyle name="强调文字颜色 3 2 17 12" xfId="17355" xr:uid="{00000000-0005-0000-0000-000024530000}"/>
    <cellStyle name="强调文字颜色 3 2 17 13" xfId="28910" xr:uid="{00000000-0005-0000-0000-000025530000}"/>
    <cellStyle name="强调文字颜色 3 2 17 14" xfId="28911" xr:uid="{00000000-0005-0000-0000-000026530000}"/>
    <cellStyle name="强调文字颜色 3 2 17 2" xfId="20146" xr:uid="{00000000-0005-0000-0000-000027530000}"/>
    <cellStyle name="强调文字颜色 3 2 17 3" xfId="28912" xr:uid="{00000000-0005-0000-0000-000028530000}"/>
    <cellStyle name="强调文字颜色 3 2 17 4" xfId="28913" xr:uid="{00000000-0005-0000-0000-000029530000}"/>
    <cellStyle name="强调文字颜色 3 2 17 5" xfId="28914" xr:uid="{00000000-0005-0000-0000-00002A530000}"/>
    <cellStyle name="强调文字颜色 3 2 17 5 10" xfId="23259" xr:uid="{00000000-0005-0000-0000-00002B530000}"/>
    <cellStyle name="强调文字颜色 3 2 17 5 11" xfId="16065" xr:uid="{00000000-0005-0000-0000-00002C530000}"/>
    <cellStyle name="强调文字颜色 3 2 17 5 2" xfId="28915" xr:uid="{00000000-0005-0000-0000-00002D530000}"/>
    <cellStyle name="强调文字颜色 3 2 17 5 2 2" xfId="28917" xr:uid="{00000000-0005-0000-0000-00002E530000}"/>
    <cellStyle name="强调文字颜色 3 2 17 5 2 2 2" xfId="12268" xr:uid="{00000000-0005-0000-0000-00002F530000}"/>
    <cellStyle name="强调文字颜色 3 2 17 5 2 2 3" xfId="28918" xr:uid="{00000000-0005-0000-0000-000030530000}"/>
    <cellStyle name="强调文字颜色 3 2 17 5 2 3" xfId="28920" xr:uid="{00000000-0005-0000-0000-000031530000}"/>
    <cellStyle name="强调文字颜色 3 2 17 5 2 4" xfId="28922" xr:uid="{00000000-0005-0000-0000-000032530000}"/>
    <cellStyle name="强调文字颜色 3 2 17 5 2 5" xfId="28924" xr:uid="{00000000-0005-0000-0000-000033530000}"/>
    <cellStyle name="强调文字颜色 3 2 17 5 2 6" xfId="28926" xr:uid="{00000000-0005-0000-0000-000034530000}"/>
    <cellStyle name="强调文字颜色 3 2 17 5 2 7" xfId="28927" xr:uid="{00000000-0005-0000-0000-000035530000}"/>
    <cellStyle name="强调文字颜色 3 2 17 5 2 8" xfId="28928" xr:uid="{00000000-0005-0000-0000-000036530000}"/>
    <cellStyle name="强调文字颜色 3 2 17 5 3" xfId="28929" xr:uid="{00000000-0005-0000-0000-000037530000}"/>
    <cellStyle name="强调文字颜色 3 2 17 5 4" xfId="28930" xr:uid="{00000000-0005-0000-0000-000038530000}"/>
    <cellStyle name="强调文字颜色 3 2 17 5 5" xfId="28931" xr:uid="{00000000-0005-0000-0000-000039530000}"/>
    <cellStyle name="强调文字颜色 3 2 17 5 6" xfId="28932" xr:uid="{00000000-0005-0000-0000-00003A530000}"/>
    <cellStyle name="强调文字颜色 3 2 17 5 6 2" xfId="28933" xr:uid="{00000000-0005-0000-0000-00003B530000}"/>
    <cellStyle name="强调文字颜色 3 2 17 5 6 3" xfId="28934" xr:uid="{00000000-0005-0000-0000-00003C530000}"/>
    <cellStyle name="强调文字颜色 3 2 17 5 7" xfId="28935" xr:uid="{00000000-0005-0000-0000-00003D530000}"/>
    <cellStyle name="强调文字颜色 3 2 17 5 8" xfId="13260" xr:uid="{00000000-0005-0000-0000-00003E530000}"/>
    <cellStyle name="强调文字颜色 3 2 17 5 9" xfId="11369" xr:uid="{00000000-0005-0000-0000-00003F530000}"/>
    <cellStyle name="强调文字颜色 3 2 17 6" xfId="28936" xr:uid="{00000000-0005-0000-0000-000040530000}"/>
    <cellStyle name="强调文字颜色 3 2 17 6 2" xfId="20912" xr:uid="{00000000-0005-0000-0000-000041530000}"/>
    <cellStyle name="强调文字颜色 3 2 17 6 2 2" xfId="20914" xr:uid="{00000000-0005-0000-0000-000042530000}"/>
    <cellStyle name="强调文字颜色 3 2 17 6 2 3" xfId="20917" xr:uid="{00000000-0005-0000-0000-000043530000}"/>
    <cellStyle name="强调文字颜色 3 2 17 6 3" xfId="20919" xr:uid="{00000000-0005-0000-0000-000044530000}"/>
    <cellStyle name="强调文字颜色 3 2 17 6 4" xfId="20921" xr:uid="{00000000-0005-0000-0000-000045530000}"/>
    <cellStyle name="强调文字颜色 3 2 17 6 5" xfId="20923" xr:uid="{00000000-0005-0000-0000-000046530000}"/>
    <cellStyle name="强调文字颜色 3 2 17 6 6" xfId="28937" xr:uid="{00000000-0005-0000-0000-000047530000}"/>
    <cellStyle name="强调文字颜色 3 2 17 6 7" xfId="28938" xr:uid="{00000000-0005-0000-0000-000048530000}"/>
    <cellStyle name="强调文字颜色 3 2 17 6 8" xfId="28940" xr:uid="{00000000-0005-0000-0000-000049530000}"/>
    <cellStyle name="强调文字颜色 3 2 17 7" xfId="28941" xr:uid="{00000000-0005-0000-0000-00004A530000}"/>
    <cellStyle name="强调文字颜色 3 2 17 8" xfId="28943" xr:uid="{00000000-0005-0000-0000-00004B530000}"/>
    <cellStyle name="强调文字颜色 3 2 17 9" xfId="28945" xr:uid="{00000000-0005-0000-0000-00004C530000}"/>
    <cellStyle name="强调文字颜色 3 2 17 9 2" xfId="28947" xr:uid="{00000000-0005-0000-0000-00004D530000}"/>
    <cellStyle name="强调文字颜色 3 2 17 9 3" xfId="28948" xr:uid="{00000000-0005-0000-0000-00004E530000}"/>
    <cellStyle name="强调文字颜色 3 2 18" xfId="28949" xr:uid="{00000000-0005-0000-0000-00004F530000}"/>
    <cellStyle name="强调文字颜色 3 2 18 10" xfId="28950" xr:uid="{00000000-0005-0000-0000-000050530000}"/>
    <cellStyle name="强调文字颜色 3 2 18 11" xfId="28952" xr:uid="{00000000-0005-0000-0000-000051530000}"/>
    <cellStyle name="强调文字颜色 3 2 18 12" xfId="28953" xr:uid="{00000000-0005-0000-0000-000052530000}"/>
    <cellStyle name="强调文字颜色 3 2 18 13" xfId="28954" xr:uid="{00000000-0005-0000-0000-000053530000}"/>
    <cellStyle name="强调文字颜色 3 2 18 14" xfId="28955" xr:uid="{00000000-0005-0000-0000-000054530000}"/>
    <cellStyle name="强调文字颜色 3 2 18 2" xfId="28956" xr:uid="{00000000-0005-0000-0000-000055530000}"/>
    <cellStyle name="强调文字颜色 3 2 18 3" xfId="28957" xr:uid="{00000000-0005-0000-0000-000056530000}"/>
    <cellStyle name="强调文字颜色 3 2 18 4" xfId="28958" xr:uid="{00000000-0005-0000-0000-000057530000}"/>
    <cellStyle name="强调文字颜色 3 2 18 5" xfId="28959" xr:uid="{00000000-0005-0000-0000-000058530000}"/>
    <cellStyle name="强调文字颜色 3 2 18 5 10" xfId="22014" xr:uid="{00000000-0005-0000-0000-000059530000}"/>
    <cellStyle name="强调文字颜色 3 2 18 5 11" xfId="4757" xr:uid="{00000000-0005-0000-0000-00005A530000}"/>
    <cellStyle name="强调文字颜色 3 2 18 5 2" xfId="28960" xr:uid="{00000000-0005-0000-0000-00005B530000}"/>
    <cellStyle name="强调文字颜色 3 2 18 5 2 2" xfId="14209" xr:uid="{00000000-0005-0000-0000-00005C530000}"/>
    <cellStyle name="强调文字颜色 3 2 18 5 2 2 2" xfId="28961" xr:uid="{00000000-0005-0000-0000-00005D530000}"/>
    <cellStyle name="强调文字颜色 3 2 18 5 2 2 3" xfId="28962" xr:uid="{00000000-0005-0000-0000-00005E530000}"/>
    <cellStyle name="强调文字颜色 3 2 18 5 2 3" xfId="14216" xr:uid="{00000000-0005-0000-0000-00005F530000}"/>
    <cellStyle name="强调文字颜色 3 2 18 5 2 4" xfId="3743" xr:uid="{00000000-0005-0000-0000-000060530000}"/>
    <cellStyle name="强调文字颜色 3 2 18 5 2 5" xfId="7143" xr:uid="{00000000-0005-0000-0000-000061530000}"/>
    <cellStyle name="强调文字颜色 3 2 18 5 2 6" xfId="20399" xr:uid="{00000000-0005-0000-0000-000062530000}"/>
    <cellStyle name="强调文字颜色 3 2 18 5 2 7" xfId="7151" xr:uid="{00000000-0005-0000-0000-000063530000}"/>
    <cellStyle name="强调文字颜色 3 2 18 5 2 8" xfId="7157" xr:uid="{00000000-0005-0000-0000-000064530000}"/>
    <cellStyle name="强调文字颜色 3 2 18 5 3" xfId="28963" xr:uid="{00000000-0005-0000-0000-000065530000}"/>
    <cellStyle name="强调文字颜色 3 2 18 5 4" xfId="28964" xr:uid="{00000000-0005-0000-0000-000066530000}"/>
    <cellStyle name="强调文字颜色 3 2 18 5 5" xfId="28966" xr:uid="{00000000-0005-0000-0000-000067530000}"/>
    <cellStyle name="强调文字颜色 3 2 18 5 6" xfId="28968" xr:uid="{00000000-0005-0000-0000-000068530000}"/>
    <cellStyle name="强调文字颜色 3 2 18 5 6 2" xfId="15578" xr:uid="{00000000-0005-0000-0000-000069530000}"/>
    <cellStyle name="强调文字颜色 3 2 18 5 6 3" xfId="15583" xr:uid="{00000000-0005-0000-0000-00006A530000}"/>
    <cellStyle name="强调文字颜色 3 2 18 5 7" xfId="28970" xr:uid="{00000000-0005-0000-0000-00006B530000}"/>
    <cellStyle name="强调文字颜色 3 2 18 5 8" xfId="14957" xr:uid="{00000000-0005-0000-0000-00006C530000}"/>
    <cellStyle name="强调文字颜色 3 2 18 5 9" xfId="14963" xr:uid="{00000000-0005-0000-0000-00006D530000}"/>
    <cellStyle name="强调文字颜色 3 2 18 6" xfId="2609" xr:uid="{00000000-0005-0000-0000-00006E530000}"/>
    <cellStyle name="强调文字颜色 3 2 18 6 2" xfId="2878" xr:uid="{00000000-0005-0000-0000-00006F530000}"/>
    <cellStyle name="强调文字颜色 3 2 18 6 2 2" xfId="3435" xr:uid="{00000000-0005-0000-0000-000070530000}"/>
    <cellStyle name="强调文字颜色 3 2 18 6 2 3" xfId="3453" xr:uid="{00000000-0005-0000-0000-000071530000}"/>
    <cellStyle name="强调文字颜色 3 2 18 6 3" xfId="2895" xr:uid="{00000000-0005-0000-0000-000072530000}"/>
    <cellStyle name="强调文字颜色 3 2 18 6 4" xfId="2907" xr:uid="{00000000-0005-0000-0000-000073530000}"/>
    <cellStyle name="强调文字颜色 3 2 18 6 5" xfId="3467" xr:uid="{00000000-0005-0000-0000-000074530000}"/>
    <cellStyle name="强调文字颜色 3 2 18 6 6" xfId="3476" xr:uid="{00000000-0005-0000-0000-000075530000}"/>
    <cellStyle name="强调文字颜色 3 2 18 6 7" xfId="3482" xr:uid="{00000000-0005-0000-0000-000076530000}"/>
    <cellStyle name="强调文字颜色 3 2 18 6 8" xfId="3486" xr:uid="{00000000-0005-0000-0000-000077530000}"/>
    <cellStyle name="强调文字颜色 3 2 18 7" xfId="3492" xr:uid="{00000000-0005-0000-0000-000078530000}"/>
    <cellStyle name="强调文字颜色 3 2 18 8" xfId="3504" xr:uid="{00000000-0005-0000-0000-000079530000}"/>
    <cellStyle name="强调文字颜色 3 2 18 9" xfId="3515" xr:uid="{00000000-0005-0000-0000-00007A530000}"/>
    <cellStyle name="强调文字颜色 3 2 18 9 2" xfId="28971" xr:uid="{00000000-0005-0000-0000-00007B530000}"/>
    <cellStyle name="强调文字颜色 3 2 18 9 3" xfId="28973" xr:uid="{00000000-0005-0000-0000-00007C530000}"/>
    <cellStyle name="强调文字颜色 3 2 19" xfId="28974" xr:uid="{00000000-0005-0000-0000-00007D530000}"/>
    <cellStyle name="强调文字颜色 3 2 19 10" xfId="28975" xr:uid="{00000000-0005-0000-0000-00007E530000}"/>
    <cellStyle name="强调文字颜色 3 2 19 11" xfId="28976" xr:uid="{00000000-0005-0000-0000-00007F530000}"/>
    <cellStyle name="强调文字颜色 3 2 19 12" xfId="21933" xr:uid="{00000000-0005-0000-0000-000080530000}"/>
    <cellStyle name="强调文字颜色 3 2 19 13" xfId="21940" xr:uid="{00000000-0005-0000-0000-000081530000}"/>
    <cellStyle name="强调文字颜色 3 2 19 14" xfId="21943" xr:uid="{00000000-0005-0000-0000-000082530000}"/>
    <cellStyle name="强调文字颜色 3 2 19 2" xfId="24631" xr:uid="{00000000-0005-0000-0000-000083530000}"/>
    <cellStyle name="强调文字颜色 3 2 19 3" xfId="28977" xr:uid="{00000000-0005-0000-0000-000084530000}"/>
    <cellStyle name="强调文字颜色 3 2 19 4" xfId="28978" xr:uid="{00000000-0005-0000-0000-000085530000}"/>
    <cellStyle name="强调文字颜色 3 2 19 5" xfId="28979" xr:uid="{00000000-0005-0000-0000-000086530000}"/>
    <cellStyle name="强调文字颜色 3 2 19 5 10" xfId="28980" xr:uid="{00000000-0005-0000-0000-000087530000}"/>
    <cellStyle name="强调文字颜色 3 2 19 5 11" xfId="28981" xr:uid="{00000000-0005-0000-0000-000088530000}"/>
    <cellStyle name="强调文字颜色 3 2 19 5 2" xfId="28982" xr:uid="{00000000-0005-0000-0000-000089530000}"/>
    <cellStyle name="强调文字颜色 3 2 19 5 2 2" xfId="23929" xr:uid="{00000000-0005-0000-0000-00008A530000}"/>
    <cellStyle name="强调文字颜色 3 2 19 5 2 2 2" xfId="19767" xr:uid="{00000000-0005-0000-0000-00008B530000}"/>
    <cellStyle name="强调文字颜色 3 2 19 5 2 2 3" xfId="19769" xr:uid="{00000000-0005-0000-0000-00008C530000}"/>
    <cellStyle name="强调文字颜色 3 2 19 5 2 3" xfId="23932" xr:uid="{00000000-0005-0000-0000-00008D530000}"/>
    <cellStyle name="强调文字颜色 3 2 19 5 2 4" xfId="23935" xr:uid="{00000000-0005-0000-0000-00008E530000}"/>
    <cellStyle name="强调文字颜色 3 2 19 5 2 5" xfId="23941" xr:uid="{00000000-0005-0000-0000-00008F530000}"/>
    <cellStyle name="强调文字颜色 3 2 19 5 2 6" xfId="23946" xr:uid="{00000000-0005-0000-0000-000090530000}"/>
    <cellStyle name="强调文字颜色 3 2 19 5 2 7" xfId="9646" xr:uid="{00000000-0005-0000-0000-000091530000}"/>
    <cellStyle name="强调文字颜色 3 2 19 5 2 8" xfId="9654" xr:uid="{00000000-0005-0000-0000-000092530000}"/>
    <cellStyle name="强调文字颜色 3 2 19 5 3" xfId="28983" xr:uid="{00000000-0005-0000-0000-000093530000}"/>
    <cellStyle name="强调文字颜色 3 2 19 5 4" xfId="28984" xr:uid="{00000000-0005-0000-0000-000094530000}"/>
    <cellStyle name="强调文字颜色 3 2 19 5 5" xfId="28986" xr:uid="{00000000-0005-0000-0000-000095530000}"/>
    <cellStyle name="强调文字颜色 3 2 19 5 6" xfId="28988" xr:uid="{00000000-0005-0000-0000-000096530000}"/>
    <cellStyle name="强调文字颜色 3 2 19 5 6 2" xfId="23949" xr:uid="{00000000-0005-0000-0000-000097530000}"/>
    <cellStyle name="强调文字颜色 3 2 19 5 6 3" xfId="23951" xr:uid="{00000000-0005-0000-0000-000098530000}"/>
    <cellStyle name="强调文字颜色 3 2 19 5 7" xfId="28990" xr:uid="{00000000-0005-0000-0000-000099530000}"/>
    <cellStyle name="强调文字颜色 3 2 19 5 8" xfId="28992" xr:uid="{00000000-0005-0000-0000-00009A530000}"/>
    <cellStyle name="强调文字颜色 3 2 19 5 9" xfId="28994" xr:uid="{00000000-0005-0000-0000-00009B530000}"/>
    <cellStyle name="强调文字颜色 3 2 19 6" xfId="3099" xr:uid="{00000000-0005-0000-0000-00009C530000}"/>
    <cellStyle name="强调文字颜色 3 2 19 6 2" xfId="1338" xr:uid="{00000000-0005-0000-0000-00009D530000}"/>
    <cellStyle name="强调文字颜色 3 2 19 6 2 2" xfId="28995" xr:uid="{00000000-0005-0000-0000-00009E530000}"/>
    <cellStyle name="强调文字颜色 3 2 19 6 2 3" xfId="28996" xr:uid="{00000000-0005-0000-0000-00009F530000}"/>
    <cellStyle name="强调文字颜色 3 2 19 6 3" xfId="253" xr:uid="{00000000-0005-0000-0000-0000A0530000}"/>
    <cellStyle name="强调文字颜色 3 2 19 6 4" xfId="25118" xr:uid="{00000000-0005-0000-0000-0000A1530000}"/>
    <cellStyle name="强调文字颜色 3 2 19 6 5" xfId="28997" xr:uid="{00000000-0005-0000-0000-0000A2530000}"/>
    <cellStyle name="强调文字颜色 3 2 19 6 6" xfId="28999" xr:uid="{00000000-0005-0000-0000-0000A3530000}"/>
    <cellStyle name="强调文字颜色 3 2 19 6 7" xfId="23324" xr:uid="{00000000-0005-0000-0000-0000A4530000}"/>
    <cellStyle name="强调文字颜色 3 2 19 6 8" xfId="23334" xr:uid="{00000000-0005-0000-0000-0000A5530000}"/>
    <cellStyle name="强调文字颜色 3 2 19 7" xfId="3131" xr:uid="{00000000-0005-0000-0000-0000A6530000}"/>
    <cellStyle name="强调文字颜色 3 2 19 8" xfId="3148" xr:uid="{00000000-0005-0000-0000-0000A7530000}"/>
    <cellStyle name="强调文字颜色 3 2 19 9" xfId="3160" xr:uid="{00000000-0005-0000-0000-0000A8530000}"/>
    <cellStyle name="强调文字颜色 3 2 19 9 2" xfId="27071" xr:uid="{00000000-0005-0000-0000-0000A9530000}"/>
    <cellStyle name="强调文字颜色 3 2 19 9 3" xfId="27074" xr:uid="{00000000-0005-0000-0000-0000AA530000}"/>
    <cellStyle name="强调文字颜色 3 2 2" xfId="2982" xr:uid="{00000000-0005-0000-0000-0000AB530000}"/>
    <cellStyle name="强调文字颜色 3 2 2 10" xfId="22426" xr:uid="{00000000-0005-0000-0000-0000AC530000}"/>
    <cellStyle name="强调文字颜色 3 2 2 11" xfId="22428" xr:uid="{00000000-0005-0000-0000-0000AD530000}"/>
    <cellStyle name="强调文字颜色 3 2 2 12" xfId="29000" xr:uid="{00000000-0005-0000-0000-0000AE530000}"/>
    <cellStyle name="强调文字颜色 3 2 2 13" xfId="29001" xr:uid="{00000000-0005-0000-0000-0000AF530000}"/>
    <cellStyle name="强调文字颜色 3 2 2 14" xfId="29002" xr:uid="{00000000-0005-0000-0000-0000B0530000}"/>
    <cellStyle name="强调文字颜色 3 2 2 2" xfId="29003" xr:uid="{00000000-0005-0000-0000-0000B1530000}"/>
    <cellStyle name="强调文字颜色 3 2 2 3" xfId="29004" xr:uid="{00000000-0005-0000-0000-0000B2530000}"/>
    <cellStyle name="强调文字颜色 3 2 2 4" xfId="29005" xr:uid="{00000000-0005-0000-0000-0000B3530000}"/>
    <cellStyle name="强调文字颜色 3 2 2 5" xfId="29006" xr:uid="{00000000-0005-0000-0000-0000B4530000}"/>
    <cellStyle name="强调文字颜色 3 2 2 6" xfId="29007" xr:uid="{00000000-0005-0000-0000-0000B5530000}"/>
    <cellStyle name="强调文字颜色 3 2 2 7" xfId="29008" xr:uid="{00000000-0005-0000-0000-0000B6530000}"/>
    <cellStyle name="强调文字颜色 3 2 2 8" xfId="18431" xr:uid="{00000000-0005-0000-0000-0000B7530000}"/>
    <cellStyle name="强调文字颜色 3 2 2 9" xfId="18434" xr:uid="{00000000-0005-0000-0000-0000B8530000}"/>
    <cellStyle name="强调文字颜色 3 2 20" xfId="5963" xr:uid="{00000000-0005-0000-0000-0000B9530000}"/>
    <cellStyle name="强调文字颜色 3 2 20 10" xfId="10515" xr:uid="{00000000-0005-0000-0000-0000BA530000}"/>
    <cellStyle name="强调文字颜色 3 2 20 11" xfId="10528" xr:uid="{00000000-0005-0000-0000-0000BB530000}"/>
    <cellStyle name="强调文字颜色 3 2 20 12" xfId="23121" xr:uid="{00000000-0005-0000-0000-0000BC530000}"/>
    <cellStyle name="强调文字颜色 3 2 20 13" xfId="29009" xr:uid="{00000000-0005-0000-0000-0000BD530000}"/>
    <cellStyle name="强调文字颜色 3 2 20 14" xfId="29011" xr:uid="{00000000-0005-0000-0000-0000BE530000}"/>
    <cellStyle name="强调文字颜色 3 2 20 2" xfId="29013" xr:uid="{00000000-0005-0000-0000-0000BF530000}"/>
    <cellStyle name="强调文字颜色 3 2 20 3" xfId="29014" xr:uid="{00000000-0005-0000-0000-0000C0530000}"/>
    <cellStyle name="强调文字颜色 3 2 20 4" xfId="29015" xr:uid="{00000000-0005-0000-0000-0000C1530000}"/>
    <cellStyle name="强调文字颜色 3 2 20 5" xfId="29016" xr:uid="{00000000-0005-0000-0000-0000C2530000}"/>
    <cellStyle name="强调文字颜色 3 2 20 5 10" xfId="29018" xr:uid="{00000000-0005-0000-0000-0000C3530000}"/>
    <cellStyle name="强调文字颜色 3 2 20 5 11" xfId="25558" xr:uid="{00000000-0005-0000-0000-0000C4530000}"/>
    <cellStyle name="强调文字颜色 3 2 20 5 2" xfId="29019" xr:uid="{00000000-0005-0000-0000-0000C5530000}"/>
    <cellStyle name="强调文字颜色 3 2 20 5 2 2" xfId="29021" xr:uid="{00000000-0005-0000-0000-0000C6530000}"/>
    <cellStyle name="强调文字颜色 3 2 20 5 2 2 2" xfId="24998" xr:uid="{00000000-0005-0000-0000-0000C7530000}"/>
    <cellStyle name="强调文字颜色 3 2 20 5 2 2 3" xfId="18855" xr:uid="{00000000-0005-0000-0000-0000C8530000}"/>
    <cellStyle name="强调文字颜色 3 2 20 5 2 3" xfId="29022" xr:uid="{00000000-0005-0000-0000-0000C9530000}"/>
    <cellStyle name="强调文字颜色 3 2 20 5 2 4" xfId="29023" xr:uid="{00000000-0005-0000-0000-0000CA530000}"/>
    <cellStyle name="强调文字颜色 3 2 20 5 2 5" xfId="29024" xr:uid="{00000000-0005-0000-0000-0000CB530000}"/>
    <cellStyle name="强调文字颜色 3 2 20 5 2 6" xfId="29025" xr:uid="{00000000-0005-0000-0000-0000CC530000}"/>
    <cellStyle name="强调文字颜色 3 2 20 5 2 7" xfId="21455" xr:uid="{00000000-0005-0000-0000-0000CD530000}"/>
    <cellStyle name="强调文字颜色 3 2 20 5 2 8" xfId="21457" xr:uid="{00000000-0005-0000-0000-0000CE530000}"/>
    <cellStyle name="强调文字颜色 3 2 20 5 3" xfId="15392" xr:uid="{00000000-0005-0000-0000-0000CF530000}"/>
    <cellStyle name="强调文字颜色 3 2 20 5 4" xfId="15395" xr:uid="{00000000-0005-0000-0000-0000D0530000}"/>
    <cellStyle name="强调文字颜色 3 2 20 5 5" xfId="15398" xr:uid="{00000000-0005-0000-0000-0000D1530000}"/>
    <cellStyle name="强调文字颜色 3 2 20 5 6" xfId="15400" xr:uid="{00000000-0005-0000-0000-0000D2530000}"/>
    <cellStyle name="强调文字颜色 3 2 20 5 6 2" xfId="4327" xr:uid="{00000000-0005-0000-0000-0000D3530000}"/>
    <cellStyle name="强调文字颜色 3 2 20 5 6 3" xfId="4336" xr:uid="{00000000-0005-0000-0000-0000D4530000}"/>
    <cellStyle name="强调文字颜色 3 2 20 5 7" xfId="15402" xr:uid="{00000000-0005-0000-0000-0000D5530000}"/>
    <cellStyle name="强调文字颜色 3 2 20 5 8" xfId="15405" xr:uid="{00000000-0005-0000-0000-0000D6530000}"/>
    <cellStyle name="强调文字颜色 3 2 20 5 9" xfId="15408" xr:uid="{00000000-0005-0000-0000-0000D7530000}"/>
    <cellStyle name="强调文字颜色 3 2 20 6" xfId="18189" xr:uid="{00000000-0005-0000-0000-0000D8530000}"/>
    <cellStyle name="强调文字颜色 3 2 20 6 2" xfId="20850" xr:uid="{00000000-0005-0000-0000-0000D9530000}"/>
    <cellStyle name="强调文字颜色 3 2 20 6 2 2" xfId="20852" xr:uid="{00000000-0005-0000-0000-0000DA530000}"/>
    <cellStyle name="强调文字颜色 3 2 20 6 2 3" xfId="20854" xr:uid="{00000000-0005-0000-0000-0000DB530000}"/>
    <cellStyle name="强调文字颜色 3 2 20 6 3" xfId="15413" xr:uid="{00000000-0005-0000-0000-0000DC530000}"/>
    <cellStyle name="强调文字颜色 3 2 20 6 4" xfId="13213" xr:uid="{00000000-0005-0000-0000-0000DD530000}"/>
    <cellStyle name="强调文字颜色 3 2 20 6 5" xfId="13222" xr:uid="{00000000-0005-0000-0000-0000DE530000}"/>
    <cellStyle name="强调文字颜色 3 2 20 6 6" xfId="15416" xr:uid="{00000000-0005-0000-0000-0000DF530000}"/>
    <cellStyle name="强调文字颜色 3 2 20 6 7" xfId="15423" xr:uid="{00000000-0005-0000-0000-0000E0530000}"/>
    <cellStyle name="强调文字颜色 3 2 20 6 8" xfId="15347" xr:uid="{00000000-0005-0000-0000-0000E1530000}"/>
    <cellStyle name="强调文字颜色 3 2 20 7" xfId="18191" xr:uid="{00000000-0005-0000-0000-0000E2530000}"/>
    <cellStyle name="强调文字颜色 3 2 20 8" xfId="29026" xr:uid="{00000000-0005-0000-0000-0000E3530000}"/>
    <cellStyle name="强调文字颜色 3 2 20 9" xfId="29027" xr:uid="{00000000-0005-0000-0000-0000E4530000}"/>
    <cellStyle name="强调文字颜色 3 2 20 9 2" xfId="29028" xr:uid="{00000000-0005-0000-0000-0000E5530000}"/>
    <cellStyle name="强调文字颜色 3 2 20 9 3" xfId="29030" xr:uid="{00000000-0005-0000-0000-0000E6530000}"/>
    <cellStyle name="强调文字颜色 3 2 3" xfId="19614" xr:uid="{00000000-0005-0000-0000-0000E7530000}"/>
    <cellStyle name="强调文字颜色 3 2 3 10" xfId="27712" xr:uid="{00000000-0005-0000-0000-0000E8530000}"/>
    <cellStyle name="强调文字颜色 3 2 3 11" xfId="27714" xr:uid="{00000000-0005-0000-0000-0000E9530000}"/>
    <cellStyle name="强调文字颜色 3 2 3 12" xfId="27717" xr:uid="{00000000-0005-0000-0000-0000EA530000}"/>
    <cellStyle name="强调文字颜色 3 2 3 13" xfId="29032" xr:uid="{00000000-0005-0000-0000-0000EB530000}"/>
    <cellStyle name="强调文字颜色 3 2 3 14" xfId="29033" xr:uid="{00000000-0005-0000-0000-0000EC530000}"/>
    <cellStyle name="强调文字颜色 3 2 3 2" xfId="29034" xr:uid="{00000000-0005-0000-0000-0000ED530000}"/>
    <cellStyle name="强调文字颜色 3 2 3 3" xfId="29035" xr:uid="{00000000-0005-0000-0000-0000EE530000}"/>
    <cellStyle name="强调文字颜色 3 2 3 4" xfId="29036" xr:uid="{00000000-0005-0000-0000-0000EF530000}"/>
    <cellStyle name="强调文字颜色 3 2 3 5" xfId="29037" xr:uid="{00000000-0005-0000-0000-0000F0530000}"/>
    <cellStyle name="强调文字颜色 3 2 3 6" xfId="29038" xr:uid="{00000000-0005-0000-0000-0000F1530000}"/>
    <cellStyle name="强调文字颜色 3 2 3 7" xfId="27115" xr:uid="{00000000-0005-0000-0000-0000F2530000}"/>
    <cellStyle name="强调文字颜色 3 2 3 8" xfId="20378" xr:uid="{00000000-0005-0000-0000-0000F3530000}"/>
    <cellStyle name="强调文字颜色 3 2 3 9" xfId="20382" xr:uid="{00000000-0005-0000-0000-0000F4530000}"/>
    <cellStyle name="强调文字颜色 3 2 4" xfId="19616" xr:uid="{00000000-0005-0000-0000-0000F5530000}"/>
    <cellStyle name="强调文字颜色 3 2 4 10" xfId="29039" xr:uid="{00000000-0005-0000-0000-0000F6530000}"/>
    <cellStyle name="强调文字颜色 3 2 4 11" xfId="29040" xr:uid="{00000000-0005-0000-0000-0000F7530000}"/>
    <cellStyle name="强调文字颜色 3 2 4 12" xfId="29041" xr:uid="{00000000-0005-0000-0000-0000F8530000}"/>
    <cellStyle name="强调文字颜色 3 2 4 13" xfId="1204" xr:uid="{00000000-0005-0000-0000-0000F9530000}"/>
    <cellStyle name="强调文字颜色 3 2 4 14" xfId="527" xr:uid="{00000000-0005-0000-0000-0000FA530000}"/>
    <cellStyle name="强调文字颜色 3 2 4 2" xfId="11699" xr:uid="{00000000-0005-0000-0000-0000FB530000}"/>
    <cellStyle name="强调文字颜色 3 2 4 3" xfId="29042" xr:uid="{00000000-0005-0000-0000-0000FC530000}"/>
    <cellStyle name="强调文字颜色 3 2 4 4" xfId="29043" xr:uid="{00000000-0005-0000-0000-0000FD530000}"/>
    <cellStyle name="强调文字颜色 3 2 4 5" xfId="29044" xr:uid="{00000000-0005-0000-0000-0000FE530000}"/>
    <cellStyle name="强调文字颜色 3 2 4 6" xfId="29045" xr:uid="{00000000-0005-0000-0000-0000FF530000}"/>
    <cellStyle name="强调文字颜色 3 2 4 7" xfId="27143" xr:uid="{00000000-0005-0000-0000-000000540000}"/>
    <cellStyle name="强调文字颜色 3 2 4 8" xfId="27145" xr:uid="{00000000-0005-0000-0000-000001540000}"/>
    <cellStyle name="强调文字颜色 3 2 4 9" xfId="27147" xr:uid="{00000000-0005-0000-0000-000002540000}"/>
    <cellStyle name="强调文字颜色 3 2 5" xfId="29046" xr:uid="{00000000-0005-0000-0000-000003540000}"/>
    <cellStyle name="强调文字颜色 3 2 6" xfId="29047" xr:uid="{00000000-0005-0000-0000-000004540000}"/>
    <cellStyle name="强调文字颜色 3 2 7" xfId="29048" xr:uid="{00000000-0005-0000-0000-000005540000}"/>
    <cellStyle name="强调文字颜色 3 2 8" xfId="29049" xr:uid="{00000000-0005-0000-0000-000006540000}"/>
    <cellStyle name="强调文字颜色 3 2 9" xfId="29050" xr:uid="{00000000-0005-0000-0000-000007540000}"/>
    <cellStyle name="强调文字颜色 3 3" xfId="29051" xr:uid="{00000000-0005-0000-0000-000008540000}"/>
    <cellStyle name="强调文字颜色 3 3 10" xfId="18616" xr:uid="{00000000-0005-0000-0000-000009540000}"/>
    <cellStyle name="强调文字颜色 3 3 11" xfId="19415" xr:uid="{00000000-0005-0000-0000-00000A540000}"/>
    <cellStyle name="强调文字颜色 3 3 12" xfId="17617" xr:uid="{00000000-0005-0000-0000-00000B540000}"/>
    <cellStyle name="强调文字颜色 3 3 13" xfId="17622" xr:uid="{00000000-0005-0000-0000-00000C540000}"/>
    <cellStyle name="强调文字颜色 3 3 14" xfId="29053" xr:uid="{00000000-0005-0000-0000-00000D540000}"/>
    <cellStyle name="强调文字颜色 3 3 15" xfId="29055" xr:uid="{00000000-0005-0000-0000-00000E540000}"/>
    <cellStyle name="强调文字颜色 3 3 16" xfId="29058" xr:uid="{00000000-0005-0000-0000-00000F540000}"/>
    <cellStyle name="强调文字颜色 3 3 17" xfId="29060" xr:uid="{00000000-0005-0000-0000-000010540000}"/>
    <cellStyle name="强调文字颜色 3 3 17 10" xfId="8127" xr:uid="{00000000-0005-0000-0000-000011540000}"/>
    <cellStyle name="强调文字颜色 3 3 17 11" xfId="8133" xr:uid="{00000000-0005-0000-0000-000012540000}"/>
    <cellStyle name="强调文字颜色 3 3 17 12" xfId="1813" xr:uid="{00000000-0005-0000-0000-000013540000}"/>
    <cellStyle name="强调文字颜色 3 3 17 13" xfId="4082" xr:uid="{00000000-0005-0000-0000-000014540000}"/>
    <cellStyle name="强调文字颜色 3 3 17 14" xfId="4087" xr:uid="{00000000-0005-0000-0000-000015540000}"/>
    <cellStyle name="强调文字颜色 3 3 17 2" xfId="29061" xr:uid="{00000000-0005-0000-0000-000016540000}"/>
    <cellStyle name="强调文字颜色 3 3 17 2 2" xfId="23634" xr:uid="{00000000-0005-0000-0000-000017540000}"/>
    <cellStyle name="强调文字颜色 3 3 17 3" xfId="29062" xr:uid="{00000000-0005-0000-0000-000018540000}"/>
    <cellStyle name="强调文字颜色 3 3 17 4" xfId="29063" xr:uid="{00000000-0005-0000-0000-000019540000}"/>
    <cellStyle name="强调文字颜色 3 3 17 5" xfId="29064" xr:uid="{00000000-0005-0000-0000-00001A540000}"/>
    <cellStyle name="强调文字颜色 3 3 17 5 10" xfId="29065" xr:uid="{00000000-0005-0000-0000-00001B540000}"/>
    <cellStyle name="强调文字颜色 3 3 17 5 11" xfId="29066" xr:uid="{00000000-0005-0000-0000-00001C540000}"/>
    <cellStyle name="强调文字颜色 3 3 17 5 2" xfId="29067" xr:uid="{00000000-0005-0000-0000-00001D540000}"/>
    <cellStyle name="强调文字颜色 3 3 17 5 2 2" xfId="29070" xr:uid="{00000000-0005-0000-0000-00001E540000}"/>
    <cellStyle name="强调文字颜色 3 3 17 5 2 2 2" xfId="13952" xr:uid="{00000000-0005-0000-0000-00001F540000}"/>
    <cellStyle name="强调文字颜色 3 3 17 5 2 2 3" xfId="12842" xr:uid="{00000000-0005-0000-0000-000020540000}"/>
    <cellStyle name="强调文字颜色 3 3 17 5 2 3" xfId="29073" xr:uid="{00000000-0005-0000-0000-000021540000}"/>
    <cellStyle name="强调文字颜色 3 3 17 5 2 4" xfId="29076" xr:uid="{00000000-0005-0000-0000-000022540000}"/>
    <cellStyle name="强调文字颜色 3 3 17 5 2 5" xfId="29079" xr:uid="{00000000-0005-0000-0000-000023540000}"/>
    <cellStyle name="强调文字颜色 3 3 17 5 2 6" xfId="29081" xr:uid="{00000000-0005-0000-0000-000024540000}"/>
    <cellStyle name="强调文字颜色 3 3 17 5 2 7" xfId="29083" xr:uid="{00000000-0005-0000-0000-000025540000}"/>
    <cellStyle name="强调文字颜色 3 3 17 5 2 8" xfId="29084" xr:uid="{00000000-0005-0000-0000-000026540000}"/>
    <cellStyle name="强调文字颜色 3 3 17 5 3" xfId="29085" xr:uid="{00000000-0005-0000-0000-000027540000}"/>
    <cellStyle name="强调文字颜色 3 3 17 5 4" xfId="29086" xr:uid="{00000000-0005-0000-0000-000028540000}"/>
    <cellStyle name="强调文字颜色 3 3 17 5 5" xfId="29087" xr:uid="{00000000-0005-0000-0000-000029540000}"/>
    <cellStyle name="强调文字颜色 3 3 17 5 6" xfId="29088" xr:uid="{00000000-0005-0000-0000-00002A540000}"/>
    <cellStyle name="强调文字颜色 3 3 17 5 6 2" xfId="29089" xr:uid="{00000000-0005-0000-0000-00002B540000}"/>
    <cellStyle name="强调文字颜色 3 3 17 5 6 3" xfId="29090" xr:uid="{00000000-0005-0000-0000-00002C540000}"/>
    <cellStyle name="强调文字颜色 3 3 17 5 7" xfId="29091" xr:uid="{00000000-0005-0000-0000-00002D540000}"/>
    <cellStyle name="强调文字颜色 3 3 17 5 8" xfId="29092" xr:uid="{00000000-0005-0000-0000-00002E540000}"/>
    <cellStyle name="强调文字颜色 3 3 17 5 9" xfId="29093" xr:uid="{00000000-0005-0000-0000-00002F540000}"/>
    <cellStyle name="强调文字颜色 3 3 17 6" xfId="29094" xr:uid="{00000000-0005-0000-0000-000030540000}"/>
    <cellStyle name="强调文字颜色 3 3 17 6 2" xfId="6389" xr:uid="{00000000-0005-0000-0000-000031540000}"/>
    <cellStyle name="强调文字颜色 3 3 17 6 2 2" xfId="21076" xr:uid="{00000000-0005-0000-0000-000032540000}"/>
    <cellStyle name="强调文字颜色 3 3 17 6 2 3" xfId="21079" xr:uid="{00000000-0005-0000-0000-000033540000}"/>
    <cellStyle name="强调文字颜色 3 3 17 6 3" xfId="6395" xr:uid="{00000000-0005-0000-0000-000034540000}"/>
    <cellStyle name="强调文字颜色 3 3 17 6 4" xfId="6402" xr:uid="{00000000-0005-0000-0000-000035540000}"/>
    <cellStyle name="强调文字颜色 3 3 17 6 5" xfId="20902" xr:uid="{00000000-0005-0000-0000-000036540000}"/>
    <cellStyle name="强调文字颜色 3 3 17 6 6" xfId="29095" xr:uid="{00000000-0005-0000-0000-000037540000}"/>
    <cellStyle name="强调文字颜色 3 3 17 6 7" xfId="29096" xr:uid="{00000000-0005-0000-0000-000038540000}"/>
    <cellStyle name="强调文字颜色 3 3 17 6 8" xfId="29097" xr:uid="{00000000-0005-0000-0000-000039540000}"/>
    <cellStyle name="强调文字颜色 3 3 17 7" xfId="29098" xr:uid="{00000000-0005-0000-0000-00003A540000}"/>
    <cellStyle name="强调文字颜色 3 3 17 8" xfId="29099" xr:uid="{00000000-0005-0000-0000-00003B540000}"/>
    <cellStyle name="强调文字颜色 3 3 17 9" xfId="29101" xr:uid="{00000000-0005-0000-0000-00003C540000}"/>
    <cellStyle name="强调文字颜色 3 3 17 9 2" xfId="29103" xr:uid="{00000000-0005-0000-0000-00003D540000}"/>
    <cellStyle name="强调文字颜色 3 3 17 9 3" xfId="6814" xr:uid="{00000000-0005-0000-0000-00003E540000}"/>
    <cellStyle name="强调文字颜色 3 3 18" xfId="29104" xr:uid="{00000000-0005-0000-0000-00003F540000}"/>
    <cellStyle name="强调文字颜色 3 3 18 10" xfId="26843" xr:uid="{00000000-0005-0000-0000-000040540000}"/>
    <cellStyle name="强调文字颜色 3 3 18 11" xfId="26845" xr:uid="{00000000-0005-0000-0000-000041540000}"/>
    <cellStyle name="强调文字颜色 3 3 18 12" xfId="465" xr:uid="{00000000-0005-0000-0000-000042540000}"/>
    <cellStyle name="强调文字颜色 3 3 18 13" xfId="29105" xr:uid="{00000000-0005-0000-0000-000043540000}"/>
    <cellStyle name="强调文字颜色 3 3 18 14" xfId="29106" xr:uid="{00000000-0005-0000-0000-000044540000}"/>
    <cellStyle name="强调文字颜色 3 3 18 2" xfId="29107" xr:uid="{00000000-0005-0000-0000-000045540000}"/>
    <cellStyle name="强调文字颜色 3 3 18 3" xfId="29108" xr:uid="{00000000-0005-0000-0000-000046540000}"/>
    <cellStyle name="强调文字颜色 3 3 18 4" xfId="29109" xr:uid="{00000000-0005-0000-0000-000047540000}"/>
    <cellStyle name="强调文字颜色 3 3 18 5" xfId="29110" xr:uid="{00000000-0005-0000-0000-000048540000}"/>
    <cellStyle name="强调文字颜色 3 3 18 5 10" xfId="29111" xr:uid="{00000000-0005-0000-0000-000049540000}"/>
    <cellStyle name="强调文字颜色 3 3 18 5 11" xfId="29112" xr:uid="{00000000-0005-0000-0000-00004A540000}"/>
    <cellStyle name="强调文字颜色 3 3 18 5 2" xfId="29114" xr:uid="{00000000-0005-0000-0000-00004B540000}"/>
    <cellStyle name="强调文字颜色 3 3 18 5 2 2" xfId="29116" xr:uid="{00000000-0005-0000-0000-00004C540000}"/>
    <cellStyle name="强调文字颜色 3 3 18 5 2 2 2" xfId="15792" xr:uid="{00000000-0005-0000-0000-00004D540000}"/>
    <cellStyle name="强调文字颜色 3 3 18 5 2 2 3" xfId="15795" xr:uid="{00000000-0005-0000-0000-00004E540000}"/>
    <cellStyle name="强调文字颜色 3 3 18 5 2 3" xfId="29118" xr:uid="{00000000-0005-0000-0000-00004F540000}"/>
    <cellStyle name="强调文字颜色 3 3 18 5 2 4" xfId="29120" xr:uid="{00000000-0005-0000-0000-000050540000}"/>
    <cellStyle name="强调文字颜色 3 3 18 5 2 5" xfId="29122" xr:uid="{00000000-0005-0000-0000-000051540000}"/>
    <cellStyle name="强调文字颜色 3 3 18 5 2 6" xfId="24513" xr:uid="{00000000-0005-0000-0000-000052540000}"/>
    <cellStyle name="强调文字颜色 3 3 18 5 2 7" xfId="29123" xr:uid="{00000000-0005-0000-0000-000053540000}"/>
    <cellStyle name="强调文字颜色 3 3 18 5 2 8" xfId="29124" xr:uid="{00000000-0005-0000-0000-000054540000}"/>
    <cellStyle name="强调文字颜色 3 3 18 5 3" xfId="29126" xr:uid="{00000000-0005-0000-0000-000055540000}"/>
    <cellStyle name="强调文字颜色 3 3 18 5 4" xfId="29128" xr:uid="{00000000-0005-0000-0000-000056540000}"/>
    <cellStyle name="强调文字颜色 3 3 18 5 5" xfId="2245" xr:uid="{00000000-0005-0000-0000-000057540000}"/>
    <cellStyle name="强调文字颜色 3 3 18 5 6" xfId="2267" xr:uid="{00000000-0005-0000-0000-000058540000}"/>
    <cellStyle name="强调文字颜色 3 3 18 5 6 2" xfId="29129" xr:uid="{00000000-0005-0000-0000-000059540000}"/>
    <cellStyle name="强调文字颜色 3 3 18 5 6 3" xfId="29130" xr:uid="{00000000-0005-0000-0000-00005A540000}"/>
    <cellStyle name="强调文字颜色 3 3 18 5 7" xfId="2281" xr:uid="{00000000-0005-0000-0000-00005B540000}"/>
    <cellStyle name="强调文字颜色 3 3 18 5 8" xfId="2293" xr:uid="{00000000-0005-0000-0000-00005C540000}"/>
    <cellStyle name="强调文字颜色 3 3 18 5 9" xfId="829" xr:uid="{00000000-0005-0000-0000-00005D540000}"/>
    <cellStyle name="强调文字颜色 3 3 18 6" xfId="15901" xr:uid="{00000000-0005-0000-0000-00005E540000}"/>
    <cellStyle name="强调文字颜色 3 3 18 6 2" xfId="29131" xr:uid="{00000000-0005-0000-0000-00005F540000}"/>
    <cellStyle name="强调文字颜色 3 3 18 6 2 2" xfId="29133" xr:uid="{00000000-0005-0000-0000-000060540000}"/>
    <cellStyle name="强调文字颜色 3 3 18 6 2 3" xfId="29134" xr:uid="{00000000-0005-0000-0000-000061540000}"/>
    <cellStyle name="强调文字颜色 3 3 18 6 3" xfId="29135" xr:uid="{00000000-0005-0000-0000-000062540000}"/>
    <cellStyle name="强调文字颜色 3 3 18 6 4" xfId="29137" xr:uid="{00000000-0005-0000-0000-000063540000}"/>
    <cellStyle name="强调文字颜色 3 3 18 6 5" xfId="29139" xr:uid="{00000000-0005-0000-0000-000064540000}"/>
    <cellStyle name="强调文字颜色 3 3 18 6 6" xfId="29141" xr:uid="{00000000-0005-0000-0000-000065540000}"/>
    <cellStyle name="强调文字颜色 3 3 18 6 7" xfId="18749" xr:uid="{00000000-0005-0000-0000-000066540000}"/>
    <cellStyle name="强调文字颜色 3 3 18 6 8" xfId="18756" xr:uid="{00000000-0005-0000-0000-000067540000}"/>
    <cellStyle name="强调文字颜色 3 3 18 7" xfId="15903" xr:uid="{00000000-0005-0000-0000-000068540000}"/>
    <cellStyle name="强调文字颜色 3 3 18 8" xfId="29143" xr:uid="{00000000-0005-0000-0000-000069540000}"/>
    <cellStyle name="强调文字颜色 3 3 18 9" xfId="3620" xr:uid="{00000000-0005-0000-0000-00006A540000}"/>
    <cellStyle name="强调文字颜色 3 3 18 9 2" xfId="29144" xr:uid="{00000000-0005-0000-0000-00006B540000}"/>
    <cellStyle name="强调文字颜色 3 3 18 9 3" xfId="29145" xr:uid="{00000000-0005-0000-0000-00006C540000}"/>
    <cellStyle name="强调文字颜色 3 3 19" xfId="29146" xr:uid="{00000000-0005-0000-0000-00006D540000}"/>
    <cellStyle name="强调文字颜色 3 3 19 10" xfId="29147" xr:uid="{00000000-0005-0000-0000-00006E540000}"/>
    <cellStyle name="强调文字颜色 3 3 19 11" xfId="29148" xr:uid="{00000000-0005-0000-0000-00006F540000}"/>
    <cellStyle name="强调文字颜色 3 3 19 12" xfId="29150" xr:uid="{00000000-0005-0000-0000-000070540000}"/>
    <cellStyle name="强调文字颜色 3 3 19 13" xfId="29152" xr:uid="{00000000-0005-0000-0000-000071540000}"/>
    <cellStyle name="强调文字颜色 3 3 19 14" xfId="29154" xr:uid="{00000000-0005-0000-0000-000072540000}"/>
    <cellStyle name="强调文字颜色 3 3 19 2" xfId="20402" xr:uid="{00000000-0005-0000-0000-000073540000}"/>
    <cellStyle name="强调文字颜色 3 3 19 3" xfId="20404" xr:uid="{00000000-0005-0000-0000-000074540000}"/>
    <cellStyle name="强调文字颜色 3 3 19 4" xfId="20406" xr:uid="{00000000-0005-0000-0000-000075540000}"/>
    <cellStyle name="强调文字颜色 3 3 19 5" xfId="20457" xr:uid="{00000000-0005-0000-0000-000076540000}"/>
    <cellStyle name="强调文字颜色 3 3 19 5 10" xfId="18467" xr:uid="{00000000-0005-0000-0000-000077540000}"/>
    <cellStyle name="强调文字颜色 3 3 19 5 11" xfId="16836" xr:uid="{00000000-0005-0000-0000-000078540000}"/>
    <cellStyle name="强调文字颜色 3 3 19 5 2" xfId="15606" xr:uid="{00000000-0005-0000-0000-000079540000}"/>
    <cellStyle name="强调文字颜色 3 3 19 5 2 2" xfId="29155" xr:uid="{00000000-0005-0000-0000-00007A540000}"/>
    <cellStyle name="强调文字颜色 3 3 19 5 2 2 2" xfId="5228" xr:uid="{00000000-0005-0000-0000-00007B540000}"/>
    <cellStyle name="强调文字颜色 3 3 19 5 2 2 3" xfId="5236" xr:uid="{00000000-0005-0000-0000-00007C540000}"/>
    <cellStyle name="强调文字颜色 3 3 19 5 2 3" xfId="29156" xr:uid="{00000000-0005-0000-0000-00007D540000}"/>
    <cellStyle name="强调文字颜色 3 3 19 5 2 4" xfId="29157" xr:uid="{00000000-0005-0000-0000-00007E540000}"/>
    <cellStyle name="强调文字颜色 3 3 19 5 2 5" xfId="3431" xr:uid="{00000000-0005-0000-0000-00007F540000}"/>
    <cellStyle name="强调文字颜色 3 3 19 5 2 6" xfId="13257" xr:uid="{00000000-0005-0000-0000-000080540000}"/>
    <cellStyle name="强调文字颜色 3 3 19 5 2 7" xfId="13259" xr:uid="{00000000-0005-0000-0000-000081540000}"/>
    <cellStyle name="强调文字颜色 3 3 19 5 2 8" xfId="11367" xr:uid="{00000000-0005-0000-0000-000082540000}"/>
    <cellStyle name="强调文字颜色 3 3 19 5 3" xfId="15610" xr:uid="{00000000-0005-0000-0000-000083540000}"/>
    <cellStyle name="强调文字颜色 3 3 19 5 4" xfId="15615" xr:uid="{00000000-0005-0000-0000-000084540000}"/>
    <cellStyle name="强调文字颜色 3 3 19 5 5" xfId="2632" xr:uid="{00000000-0005-0000-0000-000085540000}"/>
    <cellStyle name="强调文字颜色 3 3 19 5 6" xfId="9727" xr:uid="{00000000-0005-0000-0000-000086540000}"/>
    <cellStyle name="强调文字颜色 3 3 19 5 6 2" xfId="20490" xr:uid="{00000000-0005-0000-0000-000087540000}"/>
    <cellStyle name="强调文字颜色 3 3 19 5 6 3" xfId="20497" xr:uid="{00000000-0005-0000-0000-000088540000}"/>
    <cellStyle name="强调文字颜色 3 3 19 5 7" xfId="15621" xr:uid="{00000000-0005-0000-0000-000089540000}"/>
    <cellStyle name="强调文字颜色 3 3 19 5 8" xfId="15625" xr:uid="{00000000-0005-0000-0000-00008A540000}"/>
    <cellStyle name="强调文字颜色 3 3 19 5 9" xfId="20505" xr:uid="{00000000-0005-0000-0000-00008B540000}"/>
    <cellStyle name="强调文字颜色 3 3 19 6" xfId="20507" xr:uid="{00000000-0005-0000-0000-00008C540000}"/>
    <cellStyle name="强调文字颜色 3 3 19 6 2" xfId="15636" xr:uid="{00000000-0005-0000-0000-00008D540000}"/>
    <cellStyle name="强调文字颜色 3 3 19 6 2 2" xfId="29158" xr:uid="{00000000-0005-0000-0000-00008E540000}"/>
    <cellStyle name="强调文字颜色 3 3 19 6 2 3" xfId="29159" xr:uid="{00000000-0005-0000-0000-00008F540000}"/>
    <cellStyle name="强调文字颜色 3 3 19 6 3" xfId="15641" xr:uid="{00000000-0005-0000-0000-000090540000}"/>
    <cellStyle name="强调文字颜色 3 3 19 6 4" xfId="15646" xr:uid="{00000000-0005-0000-0000-000091540000}"/>
    <cellStyle name="强调文字颜色 3 3 19 6 5" xfId="15652" xr:uid="{00000000-0005-0000-0000-000092540000}"/>
    <cellStyle name="强调文字颜色 3 3 19 6 6" xfId="15657" xr:uid="{00000000-0005-0000-0000-000093540000}"/>
    <cellStyle name="强调文字颜色 3 3 19 6 7" xfId="10879" xr:uid="{00000000-0005-0000-0000-000094540000}"/>
    <cellStyle name="强调文字颜色 3 3 19 6 8" xfId="10889" xr:uid="{00000000-0005-0000-0000-000095540000}"/>
    <cellStyle name="强调文字颜色 3 3 19 7" xfId="20550" xr:uid="{00000000-0005-0000-0000-000096540000}"/>
    <cellStyle name="强调文字颜色 3 3 19 8" xfId="29160" xr:uid="{00000000-0005-0000-0000-000097540000}"/>
    <cellStyle name="强调文字颜色 3 3 19 9" xfId="29162" xr:uid="{00000000-0005-0000-0000-000098540000}"/>
    <cellStyle name="强调文字颜色 3 3 19 9 2" xfId="29164" xr:uid="{00000000-0005-0000-0000-000099540000}"/>
    <cellStyle name="强调文字颜色 3 3 19 9 3" xfId="29166" xr:uid="{00000000-0005-0000-0000-00009A540000}"/>
    <cellStyle name="强调文字颜色 3 3 2" xfId="29167" xr:uid="{00000000-0005-0000-0000-00009B540000}"/>
    <cellStyle name="强调文字颜色 3 3 2 10" xfId="29169" xr:uid="{00000000-0005-0000-0000-00009C540000}"/>
    <cellStyle name="强调文字颜色 3 3 2 11" xfId="29172" xr:uid="{00000000-0005-0000-0000-00009D540000}"/>
    <cellStyle name="强调文字颜色 3 3 2 12" xfId="29175" xr:uid="{00000000-0005-0000-0000-00009E540000}"/>
    <cellStyle name="强调文字颜色 3 3 2 13" xfId="29178" xr:uid="{00000000-0005-0000-0000-00009F540000}"/>
    <cellStyle name="强调文字颜色 3 3 2 14" xfId="29181" xr:uid="{00000000-0005-0000-0000-0000A0540000}"/>
    <cellStyle name="强调文字颜色 3 3 2 2" xfId="29183" xr:uid="{00000000-0005-0000-0000-0000A1540000}"/>
    <cellStyle name="强调文字颜色 3 3 2 3" xfId="29186" xr:uid="{00000000-0005-0000-0000-0000A2540000}"/>
    <cellStyle name="强调文字颜色 3 3 2 4" xfId="29189" xr:uid="{00000000-0005-0000-0000-0000A3540000}"/>
    <cellStyle name="强调文字颜色 3 3 2 5" xfId="29192" xr:uid="{00000000-0005-0000-0000-0000A4540000}"/>
    <cellStyle name="强调文字颜色 3 3 2 6" xfId="29195" xr:uid="{00000000-0005-0000-0000-0000A5540000}"/>
    <cellStyle name="强调文字颜色 3 3 2 7" xfId="29197" xr:uid="{00000000-0005-0000-0000-0000A6540000}"/>
    <cellStyle name="强调文字颜色 3 3 2 8" xfId="29199" xr:uid="{00000000-0005-0000-0000-0000A7540000}"/>
    <cellStyle name="强调文字颜色 3 3 2 9" xfId="29201" xr:uid="{00000000-0005-0000-0000-0000A8540000}"/>
    <cellStyle name="强调文字颜色 3 3 20" xfId="29056" xr:uid="{00000000-0005-0000-0000-0000A9540000}"/>
    <cellStyle name="强调文字颜色 3 3 20 10" xfId="11904" xr:uid="{00000000-0005-0000-0000-0000AA540000}"/>
    <cellStyle name="强调文字颜色 3 3 20 11" xfId="11911" xr:uid="{00000000-0005-0000-0000-0000AB540000}"/>
    <cellStyle name="强调文字颜色 3 3 20 12" xfId="29203" xr:uid="{00000000-0005-0000-0000-0000AC540000}"/>
    <cellStyle name="强调文字颜色 3 3 20 13" xfId="29205" xr:uid="{00000000-0005-0000-0000-0000AD540000}"/>
    <cellStyle name="强调文字颜色 3 3 20 14" xfId="29206" xr:uid="{00000000-0005-0000-0000-0000AE540000}"/>
    <cellStyle name="强调文字颜色 3 3 20 2" xfId="29207" xr:uid="{00000000-0005-0000-0000-0000AF540000}"/>
    <cellStyle name="强调文字颜色 3 3 20 3" xfId="29208" xr:uid="{00000000-0005-0000-0000-0000B0540000}"/>
    <cellStyle name="强调文字颜色 3 3 20 4" xfId="29209" xr:uid="{00000000-0005-0000-0000-0000B1540000}"/>
    <cellStyle name="强调文字颜色 3 3 20 5" xfId="29210" xr:uid="{00000000-0005-0000-0000-0000B2540000}"/>
    <cellStyle name="强调文字颜色 3 3 20 5 10" xfId="21274" xr:uid="{00000000-0005-0000-0000-0000B3540000}"/>
    <cellStyle name="强调文字颜色 3 3 20 5 11" xfId="21277" xr:uid="{00000000-0005-0000-0000-0000B4540000}"/>
    <cellStyle name="强调文字颜色 3 3 20 5 2" xfId="29211" xr:uid="{00000000-0005-0000-0000-0000B5540000}"/>
    <cellStyle name="强调文字颜色 3 3 20 5 2 2" xfId="29212" xr:uid="{00000000-0005-0000-0000-0000B6540000}"/>
    <cellStyle name="强调文字颜色 3 3 20 5 2 2 2" xfId="29213" xr:uid="{00000000-0005-0000-0000-0000B7540000}"/>
    <cellStyle name="强调文字颜色 3 3 20 5 2 2 3" xfId="29214" xr:uid="{00000000-0005-0000-0000-0000B8540000}"/>
    <cellStyle name="强调文字颜色 3 3 20 5 2 3" xfId="29215" xr:uid="{00000000-0005-0000-0000-0000B9540000}"/>
    <cellStyle name="强调文字颜色 3 3 20 5 2 4" xfId="29216" xr:uid="{00000000-0005-0000-0000-0000BA540000}"/>
    <cellStyle name="强调文字颜色 3 3 20 5 2 5" xfId="29217" xr:uid="{00000000-0005-0000-0000-0000BB540000}"/>
    <cellStyle name="强调文字颜色 3 3 20 5 2 6" xfId="29218" xr:uid="{00000000-0005-0000-0000-0000BC540000}"/>
    <cellStyle name="强调文字颜色 3 3 20 5 2 7" xfId="29219" xr:uid="{00000000-0005-0000-0000-0000BD540000}"/>
    <cellStyle name="强调文字颜色 3 3 20 5 2 8" xfId="29220" xr:uid="{00000000-0005-0000-0000-0000BE540000}"/>
    <cellStyle name="强调文字颜色 3 3 20 5 3" xfId="2643" xr:uid="{00000000-0005-0000-0000-0000BF540000}"/>
    <cellStyle name="强调文字颜色 3 3 20 5 4" xfId="2663" xr:uid="{00000000-0005-0000-0000-0000C0540000}"/>
    <cellStyle name="强调文字颜色 3 3 20 5 5" xfId="3282" xr:uid="{00000000-0005-0000-0000-0000C1540000}"/>
    <cellStyle name="强调文字颜色 3 3 20 5 6" xfId="20045" xr:uid="{00000000-0005-0000-0000-0000C2540000}"/>
    <cellStyle name="强调文字颜色 3 3 20 5 6 2" xfId="19579" xr:uid="{00000000-0005-0000-0000-0000C3540000}"/>
    <cellStyle name="强调文字颜色 3 3 20 5 6 3" xfId="19583" xr:uid="{00000000-0005-0000-0000-0000C4540000}"/>
    <cellStyle name="强调文字颜色 3 3 20 5 7" xfId="20048" xr:uid="{00000000-0005-0000-0000-0000C5540000}"/>
    <cellStyle name="强调文字颜色 3 3 20 5 8" xfId="20051" xr:uid="{00000000-0005-0000-0000-0000C6540000}"/>
    <cellStyle name="强调文字颜色 3 3 20 5 9" xfId="20054" xr:uid="{00000000-0005-0000-0000-0000C7540000}"/>
    <cellStyle name="强调文字颜色 3 3 20 6" xfId="29221" xr:uid="{00000000-0005-0000-0000-0000C8540000}"/>
    <cellStyle name="强调文字颜色 3 3 20 6 2" xfId="6124" xr:uid="{00000000-0005-0000-0000-0000C9540000}"/>
    <cellStyle name="强调文字颜色 3 3 20 6 2 2" xfId="21045" xr:uid="{00000000-0005-0000-0000-0000CA540000}"/>
    <cellStyle name="强调文字颜色 3 3 20 6 2 3" xfId="21047" xr:uid="{00000000-0005-0000-0000-0000CB540000}"/>
    <cellStyle name="强调文字颜色 3 3 20 6 3" xfId="6129" xr:uid="{00000000-0005-0000-0000-0000CC540000}"/>
    <cellStyle name="强调文字颜色 3 3 20 6 4" xfId="6134" xr:uid="{00000000-0005-0000-0000-0000CD540000}"/>
    <cellStyle name="强调文字颜色 3 3 20 6 5" xfId="20063" xr:uid="{00000000-0005-0000-0000-0000CE540000}"/>
    <cellStyle name="强调文字颜色 3 3 20 6 6" xfId="20066" xr:uid="{00000000-0005-0000-0000-0000CF540000}"/>
    <cellStyle name="强调文字颜色 3 3 20 6 7" xfId="20069" xr:uid="{00000000-0005-0000-0000-0000D0540000}"/>
    <cellStyle name="强调文字颜色 3 3 20 6 8" xfId="16202" xr:uid="{00000000-0005-0000-0000-0000D1540000}"/>
    <cellStyle name="强调文字颜色 3 3 20 7" xfId="29222" xr:uid="{00000000-0005-0000-0000-0000D2540000}"/>
    <cellStyle name="强调文字颜色 3 3 20 8" xfId="29223" xr:uid="{00000000-0005-0000-0000-0000D3540000}"/>
    <cellStyle name="强调文字颜色 3 3 20 9" xfId="29224" xr:uid="{00000000-0005-0000-0000-0000D4540000}"/>
    <cellStyle name="强调文字颜色 3 3 20 9 2" xfId="25335" xr:uid="{00000000-0005-0000-0000-0000D5540000}"/>
    <cellStyle name="强调文字颜色 3 3 20 9 3" xfId="25338" xr:uid="{00000000-0005-0000-0000-0000D6540000}"/>
    <cellStyle name="强调文字颜色 3 3 3" xfId="29225" xr:uid="{00000000-0005-0000-0000-0000D7540000}"/>
    <cellStyle name="强调文字颜色 3 3 3 10" xfId="18780" xr:uid="{00000000-0005-0000-0000-0000D8540000}"/>
    <cellStyle name="强调文字颜色 3 3 3 11" xfId="18784" xr:uid="{00000000-0005-0000-0000-0000D9540000}"/>
    <cellStyle name="强调文字颜色 3 3 3 12" xfId="9313" xr:uid="{00000000-0005-0000-0000-0000DA540000}"/>
    <cellStyle name="强调文字颜色 3 3 3 13" xfId="9317" xr:uid="{00000000-0005-0000-0000-0000DB540000}"/>
    <cellStyle name="强调文字颜色 3 3 3 14" xfId="18786" xr:uid="{00000000-0005-0000-0000-0000DC540000}"/>
    <cellStyle name="强调文字颜色 3 3 3 2" xfId="27589" xr:uid="{00000000-0005-0000-0000-0000DD540000}"/>
    <cellStyle name="强调文字颜色 3 3 3 3" xfId="29226" xr:uid="{00000000-0005-0000-0000-0000DE540000}"/>
    <cellStyle name="强调文字颜色 3 3 3 4" xfId="29228" xr:uid="{00000000-0005-0000-0000-0000DF540000}"/>
    <cellStyle name="强调文字颜色 3 3 3 5" xfId="29231" xr:uid="{00000000-0005-0000-0000-0000E0540000}"/>
    <cellStyle name="强调文字颜色 3 3 3 6" xfId="29234" xr:uid="{00000000-0005-0000-0000-0000E1540000}"/>
    <cellStyle name="强调文字颜色 3 3 3 7" xfId="29237" xr:uid="{00000000-0005-0000-0000-0000E2540000}"/>
    <cellStyle name="强调文字颜色 3 3 3 8" xfId="29241" xr:uid="{00000000-0005-0000-0000-0000E3540000}"/>
    <cellStyle name="强调文字颜色 3 3 3 9" xfId="29245" xr:uid="{00000000-0005-0000-0000-0000E4540000}"/>
    <cellStyle name="强调文字颜色 3 3 4" xfId="29247" xr:uid="{00000000-0005-0000-0000-0000E5540000}"/>
    <cellStyle name="强调文字颜色 3 3 4 10" xfId="12402" xr:uid="{00000000-0005-0000-0000-0000E6540000}"/>
    <cellStyle name="强调文字颜色 3 3 4 11" xfId="12425" xr:uid="{00000000-0005-0000-0000-0000E7540000}"/>
    <cellStyle name="强调文字颜色 3 3 4 12" xfId="12429" xr:uid="{00000000-0005-0000-0000-0000E8540000}"/>
    <cellStyle name="强调文字颜色 3 3 4 13" xfId="8419" xr:uid="{00000000-0005-0000-0000-0000E9540000}"/>
    <cellStyle name="强调文字颜色 3 3 4 14" xfId="8429" xr:uid="{00000000-0005-0000-0000-0000EA540000}"/>
    <cellStyle name="强调文字颜色 3 3 4 2" xfId="29248" xr:uid="{00000000-0005-0000-0000-0000EB540000}"/>
    <cellStyle name="强调文字颜色 3 3 4 3" xfId="29250" xr:uid="{00000000-0005-0000-0000-0000EC540000}"/>
    <cellStyle name="强调文字颜色 3 3 4 4" xfId="29252" xr:uid="{00000000-0005-0000-0000-0000ED540000}"/>
    <cellStyle name="强调文字颜色 3 3 4 5" xfId="29254" xr:uid="{00000000-0005-0000-0000-0000EE540000}"/>
    <cellStyle name="强调文字颜色 3 3 4 6" xfId="29256" xr:uid="{00000000-0005-0000-0000-0000EF540000}"/>
    <cellStyle name="强调文字颜色 3 3 4 7" xfId="29258" xr:uid="{00000000-0005-0000-0000-0000F0540000}"/>
    <cellStyle name="强调文字颜色 3 3 4 8" xfId="29261" xr:uid="{00000000-0005-0000-0000-0000F1540000}"/>
    <cellStyle name="强调文字颜色 3 3 4 9" xfId="29264" xr:uid="{00000000-0005-0000-0000-0000F2540000}"/>
    <cellStyle name="强调文字颜色 3 3 5" xfId="29265" xr:uid="{00000000-0005-0000-0000-0000F3540000}"/>
    <cellStyle name="强调文字颜色 3 3 6" xfId="29266" xr:uid="{00000000-0005-0000-0000-0000F4540000}"/>
    <cellStyle name="强调文字颜色 3 3 7" xfId="29267" xr:uid="{00000000-0005-0000-0000-0000F5540000}"/>
    <cellStyle name="强调文字颜色 3 3 8" xfId="29268" xr:uid="{00000000-0005-0000-0000-0000F6540000}"/>
    <cellStyle name="强调文字颜色 3 3 9" xfId="29269" xr:uid="{00000000-0005-0000-0000-0000F7540000}"/>
    <cellStyle name="强调文字颜色 3 4" xfId="29270" xr:uid="{00000000-0005-0000-0000-0000F8540000}"/>
    <cellStyle name="强调文字颜色 3 4 10" xfId="26827" xr:uid="{00000000-0005-0000-0000-0000F9540000}"/>
    <cellStyle name="强调文字颜色 3 4 11" xfId="29271" xr:uid="{00000000-0005-0000-0000-0000FA540000}"/>
    <cellStyle name="强调文字颜色 3 4 12" xfId="29272" xr:uid="{00000000-0005-0000-0000-0000FB540000}"/>
    <cellStyle name="强调文字颜色 3 4 13" xfId="22686" xr:uid="{00000000-0005-0000-0000-0000FC540000}"/>
    <cellStyle name="强调文字颜色 3 4 14" xfId="22689" xr:uid="{00000000-0005-0000-0000-0000FD540000}"/>
    <cellStyle name="强调文字颜色 3 4 15" xfId="29274" xr:uid="{00000000-0005-0000-0000-0000FE540000}"/>
    <cellStyle name="强调文字颜色 3 4 16" xfId="29277" xr:uid="{00000000-0005-0000-0000-0000FF540000}"/>
    <cellStyle name="强调文字颜色 3 4 17" xfId="29279" xr:uid="{00000000-0005-0000-0000-000000550000}"/>
    <cellStyle name="强调文字颜色 3 4 17 10" xfId="17471" xr:uid="{00000000-0005-0000-0000-000001550000}"/>
    <cellStyle name="强调文字颜色 3 4 17 11" xfId="17474" xr:uid="{00000000-0005-0000-0000-000002550000}"/>
    <cellStyle name="强调文字颜色 3 4 17 12" xfId="2250" xr:uid="{00000000-0005-0000-0000-000003550000}"/>
    <cellStyle name="强调文字颜色 3 4 17 13" xfId="16585" xr:uid="{00000000-0005-0000-0000-000004550000}"/>
    <cellStyle name="强调文字颜色 3 4 17 14" xfId="29281" xr:uid="{00000000-0005-0000-0000-000005550000}"/>
    <cellStyle name="强调文字颜色 3 4 17 2" xfId="29282" xr:uid="{00000000-0005-0000-0000-000006550000}"/>
    <cellStyle name="强调文字颜色 3 4 17 3" xfId="22722" xr:uid="{00000000-0005-0000-0000-000007550000}"/>
    <cellStyle name="强调文字颜色 3 4 17 4" xfId="22726" xr:uid="{00000000-0005-0000-0000-000008550000}"/>
    <cellStyle name="强调文字颜色 3 4 17 5" xfId="22729" xr:uid="{00000000-0005-0000-0000-000009550000}"/>
    <cellStyle name="强调文字颜色 3 4 17 5 10" xfId="29285" xr:uid="{00000000-0005-0000-0000-00000A550000}"/>
    <cellStyle name="强调文字颜色 3 4 17 5 11" xfId="24030" xr:uid="{00000000-0005-0000-0000-00000B550000}"/>
    <cellStyle name="强调文字颜色 3 4 17 5 2" xfId="29286" xr:uid="{00000000-0005-0000-0000-00000C550000}"/>
    <cellStyle name="强调文字颜色 3 4 17 5 2 2" xfId="918" xr:uid="{00000000-0005-0000-0000-00000D550000}"/>
    <cellStyle name="强调文字颜色 3 4 17 5 2 2 2" xfId="28537" xr:uid="{00000000-0005-0000-0000-00000E550000}"/>
    <cellStyle name="强调文字颜色 3 4 17 5 2 2 3" xfId="28539" xr:uid="{00000000-0005-0000-0000-00000F550000}"/>
    <cellStyle name="强调文字颜色 3 4 17 5 2 3" xfId="957" xr:uid="{00000000-0005-0000-0000-000010550000}"/>
    <cellStyle name="强调文字颜色 3 4 17 5 2 4" xfId="993" xr:uid="{00000000-0005-0000-0000-000011550000}"/>
    <cellStyle name="强调文字颜色 3 4 17 5 2 5" xfId="1015" xr:uid="{00000000-0005-0000-0000-000012550000}"/>
    <cellStyle name="强调文字颜色 3 4 17 5 2 6" xfId="1047" xr:uid="{00000000-0005-0000-0000-000013550000}"/>
    <cellStyle name="强调文字颜色 3 4 17 5 2 7" xfId="1067" xr:uid="{00000000-0005-0000-0000-000014550000}"/>
    <cellStyle name="强调文字颜色 3 4 17 5 2 8" xfId="1090" xr:uid="{00000000-0005-0000-0000-000015550000}"/>
    <cellStyle name="强调文字颜色 3 4 17 5 3" xfId="29287" xr:uid="{00000000-0005-0000-0000-000016550000}"/>
    <cellStyle name="强调文字颜色 3 4 17 5 4" xfId="29288" xr:uid="{00000000-0005-0000-0000-000017550000}"/>
    <cellStyle name="强调文字颜色 3 4 17 5 5" xfId="2772" xr:uid="{00000000-0005-0000-0000-000018550000}"/>
    <cellStyle name="强调文字颜色 3 4 17 5 6" xfId="14873" xr:uid="{00000000-0005-0000-0000-000019550000}"/>
    <cellStyle name="强调文字颜色 3 4 17 5 6 2" xfId="19417" xr:uid="{00000000-0005-0000-0000-00001A550000}"/>
    <cellStyle name="强调文字颜色 3 4 17 5 6 3" xfId="17612" xr:uid="{00000000-0005-0000-0000-00001B550000}"/>
    <cellStyle name="强调文字颜色 3 4 17 5 7" xfId="14876" xr:uid="{00000000-0005-0000-0000-00001C550000}"/>
    <cellStyle name="强调文字颜色 3 4 17 5 8" xfId="14879" xr:uid="{00000000-0005-0000-0000-00001D550000}"/>
    <cellStyle name="强调文字颜色 3 4 17 5 9" xfId="13264" xr:uid="{00000000-0005-0000-0000-00001E550000}"/>
    <cellStyle name="强调文字颜色 3 4 17 6" xfId="22731" xr:uid="{00000000-0005-0000-0000-00001F550000}"/>
    <cellStyle name="强调文字颜色 3 4 17 6 2" xfId="29290" xr:uid="{00000000-0005-0000-0000-000020550000}"/>
    <cellStyle name="强调文字颜色 3 4 17 6 2 2" xfId="29292" xr:uid="{00000000-0005-0000-0000-000021550000}"/>
    <cellStyle name="强调文字颜色 3 4 17 6 2 3" xfId="29294" xr:uid="{00000000-0005-0000-0000-000022550000}"/>
    <cellStyle name="强调文字颜色 3 4 17 6 3" xfId="29296" xr:uid="{00000000-0005-0000-0000-000023550000}"/>
    <cellStyle name="强调文字颜色 3 4 17 6 4" xfId="29298" xr:uid="{00000000-0005-0000-0000-000024550000}"/>
    <cellStyle name="强调文字颜色 3 4 17 6 5" xfId="14955" xr:uid="{00000000-0005-0000-0000-000025550000}"/>
    <cellStyle name="强调文字颜色 3 4 17 6 6" xfId="14961" xr:uid="{00000000-0005-0000-0000-000026550000}"/>
    <cellStyle name="强调文字颜色 3 4 17 6 7" xfId="14967" xr:uid="{00000000-0005-0000-0000-000027550000}"/>
    <cellStyle name="强调文字颜色 3 4 17 6 8" xfId="14969" xr:uid="{00000000-0005-0000-0000-000028550000}"/>
    <cellStyle name="强调文字颜色 3 4 17 7" xfId="13246" xr:uid="{00000000-0005-0000-0000-000029550000}"/>
    <cellStyle name="强调文字颜色 3 4 17 8" xfId="13249" xr:uid="{00000000-0005-0000-0000-00002A550000}"/>
    <cellStyle name="强调文字颜色 3 4 17 9" xfId="18014" xr:uid="{00000000-0005-0000-0000-00002B550000}"/>
    <cellStyle name="强调文字颜色 3 4 17 9 2" xfId="29299" xr:uid="{00000000-0005-0000-0000-00002C550000}"/>
    <cellStyle name="强调文字颜色 3 4 17 9 3" xfId="29300" xr:uid="{00000000-0005-0000-0000-00002D550000}"/>
    <cellStyle name="强调文字颜色 3 4 18" xfId="16692" xr:uid="{00000000-0005-0000-0000-00002E550000}"/>
    <cellStyle name="强调文字颜色 3 4 18 10" xfId="29301" xr:uid="{00000000-0005-0000-0000-00002F550000}"/>
    <cellStyle name="强调文字颜色 3 4 18 11" xfId="4639" xr:uid="{00000000-0005-0000-0000-000030550000}"/>
    <cellStyle name="强调文字颜色 3 4 18 12" xfId="4642" xr:uid="{00000000-0005-0000-0000-000031550000}"/>
    <cellStyle name="强调文字颜色 3 4 18 13" xfId="22082" xr:uid="{00000000-0005-0000-0000-000032550000}"/>
    <cellStyle name="强调文字颜色 3 4 18 14" xfId="22084" xr:uid="{00000000-0005-0000-0000-000033550000}"/>
    <cellStyle name="强调文字颜色 3 4 18 2" xfId="29302" xr:uid="{00000000-0005-0000-0000-000034550000}"/>
    <cellStyle name="强调文字颜色 3 4 18 3" xfId="29303" xr:uid="{00000000-0005-0000-0000-000035550000}"/>
    <cellStyle name="强调文字颜色 3 4 18 4" xfId="29304" xr:uid="{00000000-0005-0000-0000-000036550000}"/>
    <cellStyle name="强调文字颜色 3 4 18 5" xfId="29305" xr:uid="{00000000-0005-0000-0000-000037550000}"/>
    <cellStyle name="强调文字颜色 3 4 18 5 10" xfId="29306" xr:uid="{00000000-0005-0000-0000-000038550000}"/>
    <cellStyle name="强调文字颜色 3 4 18 5 11" xfId="25910" xr:uid="{00000000-0005-0000-0000-000039550000}"/>
    <cellStyle name="强调文字颜色 3 4 18 5 2" xfId="29307" xr:uid="{00000000-0005-0000-0000-00003A550000}"/>
    <cellStyle name="强调文字颜色 3 4 18 5 2 2" xfId="9674" xr:uid="{00000000-0005-0000-0000-00003B550000}"/>
    <cellStyle name="强调文字颜色 3 4 18 5 2 2 2" xfId="29202" xr:uid="{00000000-0005-0000-0000-00003C550000}"/>
    <cellStyle name="强调文字颜色 3 4 18 5 2 2 3" xfId="29204" xr:uid="{00000000-0005-0000-0000-00003D550000}"/>
    <cellStyle name="强调文字颜色 3 4 18 5 2 3" xfId="17886" xr:uid="{00000000-0005-0000-0000-00003E550000}"/>
    <cellStyle name="强调文字颜色 3 4 18 5 2 4" xfId="9066" xr:uid="{00000000-0005-0000-0000-00003F550000}"/>
    <cellStyle name="强调文字颜色 3 4 18 5 2 5" xfId="9074" xr:uid="{00000000-0005-0000-0000-000040550000}"/>
    <cellStyle name="强调文字颜色 3 4 18 5 2 6" xfId="9080" xr:uid="{00000000-0005-0000-0000-000041550000}"/>
    <cellStyle name="强调文字颜色 3 4 18 5 2 7" xfId="9086" xr:uid="{00000000-0005-0000-0000-000042550000}"/>
    <cellStyle name="强调文字颜色 3 4 18 5 2 8" xfId="3914" xr:uid="{00000000-0005-0000-0000-000043550000}"/>
    <cellStyle name="强调文字颜色 3 4 18 5 3" xfId="29308" xr:uid="{00000000-0005-0000-0000-000044550000}"/>
    <cellStyle name="强调文字颜色 3 4 18 5 4" xfId="29309" xr:uid="{00000000-0005-0000-0000-000045550000}"/>
    <cellStyle name="强调文字颜色 3 4 18 5 5" xfId="29311" xr:uid="{00000000-0005-0000-0000-000046550000}"/>
    <cellStyle name="强调文字颜色 3 4 18 5 6" xfId="29313" xr:uid="{00000000-0005-0000-0000-000047550000}"/>
    <cellStyle name="强调文字颜色 3 4 18 5 6 2" xfId="29314" xr:uid="{00000000-0005-0000-0000-000048550000}"/>
    <cellStyle name="强调文字颜色 3 4 18 5 6 3" xfId="29315" xr:uid="{00000000-0005-0000-0000-000049550000}"/>
    <cellStyle name="强调文字颜色 3 4 18 5 7" xfId="22114" xr:uid="{00000000-0005-0000-0000-00004A550000}"/>
    <cellStyle name="强调文字颜色 3 4 18 5 8" xfId="22139" xr:uid="{00000000-0005-0000-0000-00004B550000}"/>
    <cellStyle name="强调文字颜色 3 4 18 5 9" xfId="14753" xr:uid="{00000000-0005-0000-0000-00004C550000}"/>
    <cellStyle name="强调文字颜色 3 4 18 6" xfId="29316" xr:uid="{00000000-0005-0000-0000-00004D550000}"/>
    <cellStyle name="强调文字颜色 3 4 18 6 2" xfId="29318" xr:uid="{00000000-0005-0000-0000-00004E550000}"/>
    <cellStyle name="强调文字颜色 3 4 18 6 2 2" xfId="24859" xr:uid="{00000000-0005-0000-0000-00004F550000}"/>
    <cellStyle name="强调文字颜色 3 4 18 6 2 3" xfId="24863" xr:uid="{00000000-0005-0000-0000-000050550000}"/>
    <cellStyle name="强调文字颜色 3 4 18 6 3" xfId="29319" xr:uid="{00000000-0005-0000-0000-000051550000}"/>
    <cellStyle name="强调文字颜色 3 4 18 6 4" xfId="29320" xr:uid="{00000000-0005-0000-0000-000052550000}"/>
    <cellStyle name="强调文字颜色 3 4 18 6 5" xfId="29321" xr:uid="{00000000-0005-0000-0000-000053550000}"/>
    <cellStyle name="强调文字颜色 3 4 18 6 6" xfId="29322" xr:uid="{00000000-0005-0000-0000-000054550000}"/>
    <cellStyle name="强调文字颜色 3 4 18 6 7" xfId="19752" xr:uid="{00000000-0005-0000-0000-000055550000}"/>
    <cellStyle name="强调文字颜色 3 4 18 6 8" xfId="19755" xr:uid="{00000000-0005-0000-0000-000056550000}"/>
    <cellStyle name="强调文字颜色 3 4 18 7" xfId="29323" xr:uid="{00000000-0005-0000-0000-000057550000}"/>
    <cellStyle name="强调文字颜色 3 4 18 8" xfId="29324" xr:uid="{00000000-0005-0000-0000-000058550000}"/>
    <cellStyle name="强调文字颜色 3 4 18 9" xfId="29325" xr:uid="{00000000-0005-0000-0000-000059550000}"/>
    <cellStyle name="强调文字颜色 3 4 18 9 2" xfId="5391" xr:uid="{00000000-0005-0000-0000-00005A550000}"/>
    <cellStyle name="强调文字颜色 3 4 18 9 3" xfId="1691" xr:uid="{00000000-0005-0000-0000-00005B550000}"/>
    <cellStyle name="强调文字颜色 3 4 19" xfId="16698" xr:uid="{00000000-0005-0000-0000-00005C550000}"/>
    <cellStyle name="强调文字颜色 3 4 19 10" xfId="29327" xr:uid="{00000000-0005-0000-0000-00005D550000}"/>
    <cellStyle name="强调文字颜色 3 4 19 11" xfId="22160" xr:uid="{00000000-0005-0000-0000-00005E550000}"/>
    <cellStyle name="强调文字颜色 3 4 19 12" xfId="22163" xr:uid="{00000000-0005-0000-0000-00005F550000}"/>
    <cellStyle name="强调文字颜色 3 4 19 13" xfId="22165" xr:uid="{00000000-0005-0000-0000-000060550000}"/>
    <cellStyle name="强调文字颜色 3 4 19 14" xfId="22167" xr:uid="{00000000-0005-0000-0000-000061550000}"/>
    <cellStyle name="强调文字颜色 3 4 19 2" xfId="29328" xr:uid="{00000000-0005-0000-0000-000062550000}"/>
    <cellStyle name="强调文字颜色 3 4 19 3" xfId="29330" xr:uid="{00000000-0005-0000-0000-000063550000}"/>
    <cellStyle name="强调文字颜色 3 4 19 4" xfId="29332" xr:uid="{00000000-0005-0000-0000-000064550000}"/>
    <cellStyle name="强调文字颜色 3 4 19 5" xfId="25886" xr:uid="{00000000-0005-0000-0000-000065550000}"/>
    <cellStyle name="强调文字颜色 3 4 19 5 10" xfId="29334" xr:uid="{00000000-0005-0000-0000-000066550000}"/>
    <cellStyle name="强调文字颜色 3 4 19 5 11" xfId="29338" xr:uid="{00000000-0005-0000-0000-000067550000}"/>
    <cellStyle name="强调文字颜色 3 4 19 5 2" xfId="29340" xr:uid="{00000000-0005-0000-0000-000068550000}"/>
    <cellStyle name="强调文字颜色 3 4 19 5 2 2" xfId="9399" xr:uid="{00000000-0005-0000-0000-000069550000}"/>
    <cellStyle name="强调文字颜色 3 4 19 5 2 2 2" xfId="29342" xr:uid="{00000000-0005-0000-0000-00006A550000}"/>
    <cellStyle name="强调文字颜色 3 4 19 5 2 2 3" xfId="29345" xr:uid="{00000000-0005-0000-0000-00006B550000}"/>
    <cellStyle name="强调文字颜色 3 4 19 5 2 3" xfId="18723" xr:uid="{00000000-0005-0000-0000-00006C550000}"/>
    <cellStyle name="强调文字颜色 3 4 19 5 2 4" xfId="221" xr:uid="{00000000-0005-0000-0000-00006D550000}"/>
    <cellStyle name="强调文字颜色 3 4 19 5 2 5" xfId="9416" xr:uid="{00000000-0005-0000-0000-00006E550000}"/>
    <cellStyle name="强调文字颜色 3 4 19 5 2 6" xfId="10237" xr:uid="{00000000-0005-0000-0000-00006F550000}"/>
    <cellStyle name="强调文字颜色 3 4 19 5 2 7" xfId="10243" xr:uid="{00000000-0005-0000-0000-000070550000}"/>
    <cellStyle name="强调文字颜色 3 4 19 5 2 8" xfId="10249" xr:uid="{00000000-0005-0000-0000-000071550000}"/>
    <cellStyle name="强调文字颜色 3 4 19 5 3" xfId="29348" xr:uid="{00000000-0005-0000-0000-000072550000}"/>
    <cellStyle name="强调文字颜色 3 4 19 5 4" xfId="29350" xr:uid="{00000000-0005-0000-0000-000073550000}"/>
    <cellStyle name="强调文字颜色 3 4 19 5 5" xfId="29353" xr:uid="{00000000-0005-0000-0000-000074550000}"/>
    <cellStyle name="强调文字颜色 3 4 19 5 6" xfId="27348" xr:uid="{00000000-0005-0000-0000-000075550000}"/>
    <cellStyle name="强调文字颜色 3 4 19 5 6 2" xfId="242" xr:uid="{00000000-0005-0000-0000-000076550000}"/>
    <cellStyle name="强调文字颜色 3 4 19 5 6 3" xfId="5920" xr:uid="{00000000-0005-0000-0000-000077550000}"/>
    <cellStyle name="强调文字颜色 3 4 19 5 7" xfId="21909" xr:uid="{00000000-0005-0000-0000-000078550000}"/>
    <cellStyle name="强调文字颜色 3 4 19 5 8" xfId="697" xr:uid="{00000000-0005-0000-0000-000079550000}"/>
    <cellStyle name="强调文字颜色 3 4 19 5 9" xfId="731" xr:uid="{00000000-0005-0000-0000-00007A550000}"/>
    <cellStyle name="强调文字颜色 3 4 19 6" xfId="29355" xr:uid="{00000000-0005-0000-0000-00007B550000}"/>
    <cellStyle name="强调文字颜色 3 4 19 6 2" xfId="27678" xr:uid="{00000000-0005-0000-0000-00007C550000}"/>
    <cellStyle name="强调文字颜色 3 4 19 6 2 2" xfId="29357" xr:uid="{00000000-0005-0000-0000-00007D550000}"/>
    <cellStyle name="强调文字颜色 3 4 19 6 2 3" xfId="29358" xr:uid="{00000000-0005-0000-0000-00007E550000}"/>
    <cellStyle name="强调文字颜色 3 4 19 6 3" xfId="27680" xr:uid="{00000000-0005-0000-0000-00007F550000}"/>
    <cellStyle name="强调文字颜色 3 4 19 6 4" xfId="29359" xr:uid="{00000000-0005-0000-0000-000080550000}"/>
    <cellStyle name="强调文字颜色 3 4 19 6 5" xfId="29360" xr:uid="{00000000-0005-0000-0000-000081550000}"/>
    <cellStyle name="强调文字颜色 3 4 19 6 6" xfId="29362" xr:uid="{00000000-0005-0000-0000-000082550000}"/>
    <cellStyle name="强调文字颜色 3 4 19 6 7" xfId="22189" xr:uid="{00000000-0005-0000-0000-000083550000}"/>
    <cellStyle name="强调文字颜色 3 4 19 6 8" xfId="22192" xr:uid="{00000000-0005-0000-0000-000084550000}"/>
    <cellStyle name="强调文字颜色 3 4 19 7" xfId="29363" xr:uid="{00000000-0005-0000-0000-000085550000}"/>
    <cellStyle name="强调文字颜色 3 4 19 8" xfId="29365" xr:uid="{00000000-0005-0000-0000-000086550000}"/>
    <cellStyle name="强调文字颜色 3 4 19 9" xfId="4066" xr:uid="{00000000-0005-0000-0000-000087550000}"/>
    <cellStyle name="强调文字颜色 3 4 19 9 2" xfId="5524" xr:uid="{00000000-0005-0000-0000-000088550000}"/>
    <cellStyle name="强调文字颜色 3 4 19 9 3" xfId="2235" xr:uid="{00000000-0005-0000-0000-000089550000}"/>
    <cellStyle name="强调文字颜色 3 4 2" xfId="29367" xr:uid="{00000000-0005-0000-0000-00008A550000}"/>
    <cellStyle name="强调文字颜色 3 4 20" xfId="29275" xr:uid="{00000000-0005-0000-0000-00008B550000}"/>
    <cellStyle name="强调文字颜色 3 4 20 10" xfId="7526" xr:uid="{00000000-0005-0000-0000-00008C550000}"/>
    <cellStyle name="强调文字颜色 3 4 20 11" xfId="7514" xr:uid="{00000000-0005-0000-0000-00008D550000}"/>
    <cellStyle name="强调文字颜色 3 4 20 12" xfId="29368" xr:uid="{00000000-0005-0000-0000-00008E550000}"/>
    <cellStyle name="强调文字颜色 3 4 20 13" xfId="29369" xr:uid="{00000000-0005-0000-0000-00008F550000}"/>
    <cellStyle name="强调文字颜色 3 4 20 14" xfId="29370" xr:uid="{00000000-0005-0000-0000-000090550000}"/>
    <cellStyle name="强调文字颜色 3 4 20 2" xfId="29371" xr:uid="{00000000-0005-0000-0000-000091550000}"/>
    <cellStyle name="强调文字颜色 3 4 20 3" xfId="29372" xr:uid="{00000000-0005-0000-0000-000092550000}"/>
    <cellStyle name="强调文字颜色 3 4 20 4" xfId="29373" xr:uid="{00000000-0005-0000-0000-000093550000}"/>
    <cellStyle name="强调文字颜色 3 4 20 5" xfId="29374" xr:uid="{00000000-0005-0000-0000-000094550000}"/>
    <cellStyle name="强调文字颜色 3 4 20 5 10" xfId="29375" xr:uid="{00000000-0005-0000-0000-000095550000}"/>
    <cellStyle name="强调文字颜色 3 4 20 5 11" xfId="29376" xr:uid="{00000000-0005-0000-0000-000096550000}"/>
    <cellStyle name="强调文字颜色 3 4 20 5 2" xfId="1898" xr:uid="{00000000-0005-0000-0000-000097550000}"/>
    <cellStyle name="强调文字颜色 3 4 20 5 2 2" xfId="679" xr:uid="{00000000-0005-0000-0000-000098550000}"/>
    <cellStyle name="强调文字颜色 3 4 20 5 2 2 2" xfId="29377" xr:uid="{00000000-0005-0000-0000-000099550000}"/>
    <cellStyle name="强调文字颜色 3 4 20 5 2 2 3" xfId="29378" xr:uid="{00000000-0005-0000-0000-00009A550000}"/>
    <cellStyle name="强调文字颜色 3 4 20 5 2 3" xfId="710" xr:uid="{00000000-0005-0000-0000-00009B550000}"/>
    <cellStyle name="强调文字颜色 3 4 20 5 2 4" xfId="12994" xr:uid="{00000000-0005-0000-0000-00009C550000}"/>
    <cellStyle name="强调文字颜色 3 4 20 5 2 5" xfId="13003" xr:uid="{00000000-0005-0000-0000-00009D550000}"/>
    <cellStyle name="强调文字颜色 3 4 20 5 2 6" xfId="13017" xr:uid="{00000000-0005-0000-0000-00009E550000}"/>
    <cellStyle name="强调文字颜色 3 4 20 5 2 7" xfId="21442" xr:uid="{00000000-0005-0000-0000-00009F550000}"/>
    <cellStyle name="强调文字颜色 3 4 20 5 2 8" xfId="29381" xr:uid="{00000000-0005-0000-0000-0000A0550000}"/>
    <cellStyle name="强调文字颜色 3 4 20 5 3" xfId="1924" xr:uid="{00000000-0005-0000-0000-0000A1550000}"/>
    <cellStyle name="强调文字颜色 3 4 20 5 4" xfId="1949" xr:uid="{00000000-0005-0000-0000-0000A2550000}"/>
    <cellStyle name="强调文字颜色 3 4 20 5 5" xfId="1837" xr:uid="{00000000-0005-0000-0000-0000A3550000}"/>
    <cellStyle name="强调文字颜色 3 4 20 5 6" xfId="23913" xr:uid="{00000000-0005-0000-0000-0000A4550000}"/>
    <cellStyle name="强调文字颜色 3 4 20 5 6 2" xfId="29382" xr:uid="{00000000-0005-0000-0000-0000A5550000}"/>
    <cellStyle name="强调文字颜色 3 4 20 5 6 3" xfId="842" xr:uid="{00000000-0005-0000-0000-0000A6550000}"/>
    <cellStyle name="强调文字颜色 3 4 20 5 7" xfId="25143" xr:uid="{00000000-0005-0000-0000-0000A7550000}"/>
    <cellStyle name="强调文字颜色 3 4 20 5 8" xfId="25145" xr:uid="{00000000-0005-0000-0000-0000A8550000}"/>
    <cellStyle name="强调文字颜色 3 4 20 5 9" xfId="29383" xr:uid="{00000000-0005-0000-0000-0000A9550000}"/>
    <cellStyle name="强调文字颜色 3 4 20 6" xfId="29384" xr:uid="{00000000-0005-0000-0000-0000AA550000}"/>
    <cellStyle name="强调文字颜色 3 4 20 6 2" xfId="29385" xr:uid="{00000000-0005-0000-0000-0000AB550000}"/>
    <cellStyle name="强调文字颜色 3 4 20 6 2 2" xfId="29386" xr:uid="{00000000-0005-0000-0000-0000AC550000}"/>
    <cellStyle name="强调文字颜色 3 4 20 6 2 3" xfId="29387" xr:uid="{00000000-0005-0000-0000-0000AD550000}"/>
    <cellStyle name="强调文字颜色 3 4 20 6 3" xfId="29388" xr:uid="{00000000-0005-0000-0000-0000AE550000}"/>
    <cellStyle name="强调文字颜色 3 4 20 6 4" xfId="29389" xr:uid="{00000000-0005-0000-0000-0000AF550000}"/>
    <cellStyle name="强调文字颜色 3 4 20 6 5" xfId="29390" xr:uid="{00000000-0005-0000-0000-0000B0550000}"/>
    <cellStyle name="强调文字颜色 3 4 20 6 6" xfId="29391" xr:uid="{00000000-0005-0000-0000-0000B1550000}"/>
    <cellStyle name="强调文字颜色 3 4 20 6 7" xfId="29392" xr:uid="{00000000-0005-0000-0000-0000B2550000}"/>
    <cellStyle name="强调文字颜色 3 4 20 6 8" xfId="16962" xr:uid="{00000000-0005-0000-0000-0000B3550000}"/>
    <cellStyle name="强调文字颜色 3 4 20 7" xfId="24858" xr:uid="{00000000-0005-0000-0000-0000B4550000}"/>
    <cellStyle name="强调文字颜色 3 4 20 8" xfId="17943" xr:uid="{00000000-0005-0000-0000-0000B5550000}"/>
    <cellStyle name="强调文字颜色 3 4 20 9" xfId="10327" xr:uid="{00000000-0005-0000-0000-0000B6550000}"/>
    <cellStyle name="强调文字颜色 3 4 20 9 2" xfId="12125" xr:uid="{00000000-0005-0000-0000-0000B7550000}"/>
    <cellStyle name="强调文字颜色 3 4 20 9 3" xfId="12127" xr:uid="{00000000-0005-0000-0000-0000B8550000}"/>
    <cellStyle name="强调文字颜色 3 4 3" xfId="29393" xr:uid="{00000000-0005-0000-0000-0000B9550000}"/>
    <cellStyle name="强调文字颜色 3 4 4" xfId="29394" xr:uid="{00000000-0005-0000-0000-0000BA550000}"/>
    <cellStyle name="强调文字颜色 3 4 5" xfId="17697" xr:uid="{00000000-0005-0000-0000-0000BB550000}"/>
    <cellStyle name="强调文字颜色 3 4 6" xfId="17700" xr:uid="{00000000-0005-0000-0000-0000BC550000}"/>
    <cellStyle name="强调文字颜色 3 4 7" xfId="28711" xr:uid="{00000000-0005-0000-0000-0000BD550000}"/>
    <cellStyle name="强调文字颜色 3 4 8" xfId="28713" xr:uid="{00000000-0005-0000-0000-0000BE550000}"/>
    <cellStyle name="强调文字颜色 3 4 9" xfId="29395" xr:uid="{00000000-0005-0000-0000-0000BF550000}"/>
    <cellStyle name="强调文字颜色 3 5" xfId="29396" xr:uid="{00000000-0005-0000-0000-0000C0550000}"/>
    <cellStyle name="强调文字颜色 3 5 10" xfId="29397" xr:uid="{00000000-0005-0000-0000-0000C1550000}"/>
    <cellStyle name="强调文字颜色 3 5 11" xfId="29399" xr:uid="{00000000-0005-0000-0000-0000C2550000}"/>
    <cellStyle name="强调文字颜色 3 5 12" xfId="29401" xr:uid="{00000000-0005-0000-0000-0000C3550000}"/>
    <cellStyle name="强调文字颜色 3 5 13" xfId="23090" xr:uid="{00000000-0005-0000-0000-0000C4550000}"/>
    <cellStyle name="强调文字颜色 3 5 14" xfId="23094" xr:uid="{00000000-0005-0000-0000-0000C5550000}"/>
    <cellStyle name="强调文字颜色 3 5 2" xfId="29402" xr:uid="{00000000-0005-0000-0000-0000C6550000}"/>
    <cellStyle name="强调文字颜色 3 5 3" xfId="29403" xr:uid="{00000000-0005-0000-0000-0000C7550000}"/>
    <cellStyle name="强调文字颜色 3 5 4" xfId="29404" xr:uid="{00000000-0005-0000-0000-0000C8550000}"/>
    <cellStyle name="强调文字颜色 3 5 5" xfId="29405" xr:uid="{00000000-0005-0000-0000-0000C9550000}"/>
    <cellStyle name="强调文字颜色 3 5 6" xfId="29406" xr:uid="{00000000-0005-0000-0000-0000CA550000}"/>
    <cellStyle name="强调文字颜色 3 5 7" xfId="13084" xr:uid="{00000000-0005-0000-0000-0000CB550000}"/>
    <cellStyle name="强调文字颜色 3 5 8" xfId="13088" xr:uid="{00000000-0005-0000-0000-0000CC550000}"/>
    <cellStyle name="强调文字颜色 3 5 9" xfId="13092" xr:uid="{00000000-0005-0000-0000-0000CD550000}"/>
    <cellStyle name="强调文字颜色 3 6" xfId="16801" xr:uid="{00000000-0005-0000-0000-0000CE550000}"/>
    <cellStyle name="强调文字颜色 3 6 10" xfId="5367" xr:uid="{00000000-0005-0000-0000-0000CF550000}"/>
    <cellStyle name="强调文字颜色 3 6 11" xfId="5385" xr:uid="{00000000-0005-0000-0000-0000D0550000}"/>
    <cellStyle name="强调文字颜色 3 6 12" xfId="12518" xr:uid="{00000000-0005-0000-0000-0000D1550000}"/>
    <cellStyle name="强调文字颜色 3 6 13" xfId="12528" xr:uid="{00000000-0005-0000-0000-0000D2550000}"/>
    <cellStyle name="强调文字颜色 3 6 14" xfId="12538" xr:uid="{00000000-0005-0000-0000-0000D3550000}"/>
    <cellStyle name="强调文字颜色 3 6 2" xfId="29408" xr:uid="{00000000-0005-0000-0000-0000D4550000}"/>
    <cellStyle name="强调文字颜色 3 6 3" xfId="29410" xr:uid="{00000000-0005-0000-0000-0000D5550000}"/>
    <cellStyle name="强调文字颜色 3 6 4" xfId="25743" xr:uid="{00000000-0005-0000-0000-0000D6550000}"/>
    <cellStyle name="强调文字颜色 3 6 5" xfId="29411" xr:uid="{00000000-0005-0000-0000-0000D7550000}"/>
    <cellStyle name="强调文字颜色 3 6 6" xfId="29412" xr:uid="{00000000-0005-0000-0000-0000D8550000}"/>
    <cellStyle name="强调文字颜色 3 6 7" xfId="29413" xr:uid="{00000000-0005-0000-0000-0000D9550000}"/>
    <cellStyle name="强调文字颜色 3 6 8" xfId="29414" xr:uid="{00000000-0005-0000-0000-0000DA550000}"/>
    <cellStyle name="强调文字颜色 3 6 9" xfId="29415" xr:uid="{00000000-0005-0000-0000-0000DB550000}"/>
    <cellStyle name="强调文字颜色 3 7" xfId="16806" xr:uid="{00000000-0005-0000-0000-0000DC550000}"/>
    <cellStyle name="强调文字颜色 3 8" xfId="29416" xr:uid="{00000000-0005-0000-0000-0000DD550000}"/>
    <cellStyle name="强调文字颜色 3 9" xfId="29417" xr:uid="{00000000-0005-0000-0000-0000DE550000}"/>
    <cellStyle name="强调文字颜色 4 10" xfId="29418" xr:uid="{00000000-0005-0000-0000-0000DF550000}"/>
    <cellStyle name="强调文字颜色 4 11" xfId="29419" xr:uid="{00000000-0005-0000-0000-0000E0550000}"/>
    <cellStyle name="强调文字颜色 4 12" xfId="29421" xr:uid="{00000000-0005-0000-0000-0000E1550000}"/>
    <cellStyle name="强调文字颜色 4 12 10" xfId="29422" xr:uid="{00000000-0005-0000-0000-0000E2550000}"/>
    <cellStyle name="强调文字颜色 4 12 11" xfId="29423" xr:uid="{00000000-0005-0000-0000-0000E3550000}"/>
    <cellStyle name="强调文字颜色 4 12 12" xfId="29424" xr:uid="{00000000-0005-0000-0000-0000E4550000}"/>
    <cellStyle name="强调文字颜色 4 12 13" xfId="29425" xr:uid="{00000000-0005-0000-0000-0000E5550000}"/>
    <cellStyle name="强调文字颜色 4 12 14" xfId="29426" xr:uid="{00000000-0005-0000-0000-0000E6550000}"/>
    <cellStyle name="强调文字颜色 4 12 2" xfId="29427" xr:uid="{00000000-0005-0000-0000-0000E7550000}"/>
    <cellStyle name="强调文字颜色 4 12 3" xfId="29428" xr:uid="{00000000-0005-0000-0000-0000E8550000}"/>
    <cellStyle name="强调文字颜色 4 12 4" xfId="29429" xr:uid="{00000000-0005-0000-0000-0000E9550000}"/>
    <cellStyle name="强调文字颜色 4 12 5" xfId="29430" xr:uid="{00000000-0005-0000-0000-0000EA550000}"/>
    <cellStyle name="强调文字颜色 4 12 5 10" xfId="19143" xr:uid="{00000000-0005-0000-0000-0000EB550000}"/>
    <cellStyle name="强调文字颜色 4 12 5 11" xfId="19145" xr:uid="{00000000-0005-0000-0000-0000EC550000}"/>
    <cellStyle name="强调文字颜色 4 12 5 2" xfId="9459" xr:uid="{00000000-0005-0000-0000-0000ED550000}"/>
    <cellStyle name="强调文字颜色 4 12 5 2 2" xfId="29431" xr:uid="{00000000-0005-0000-0000-0000EE550000}"/>
    <cellStyle name="强调文字颜色 4 12 5 2 2 2" xfId="26285" xr:uid="{00000000-0005-0000-0000-0000EF550000}"/>
    <cellStyle name="强调文字颜色 4 12 5 2 2 3" xfId="8026" xr:uid="{00000000-0005-0000-0000-0000F0550000}"/>
    <cellStyle name="强调文字颜色 4 12 5 2 3" xfId="29432" xr:uid="{00000000-0005-0000-0000-0000F1550000}"/>
    <cellStyle name="强调文字颜色 4 12 5 2 4" xfId="29433" xr:uid="{00000000-0005-0000-0000-0000F2550000}"/>
    <cellStyle name="强调文字颜色 4 12 5 2 5" xfId="29434" xr:uid="{00000000-0005-0000-0000-0000F3550000}"/>
    <cellStyle name="强调文字颜色 4 12 5 2 6" xfId="18335" xr:uid="{00000000-0005-0000-0000-0000F4550000}"/>
    <cellStyle name="强调文字颜色 4 12 5 2 7" xfId="18339" xr:uid="{00000000-0005-0000-0000-0000F5550000}"/>
    <cellStyle name="强调文字颜色 4 12 5 2 8" xfId="29435" xr:uid="{00000000-0005-0000-0000-0000F6550000}"/>
    <cellStyle name="强调文字颜色 4 12 5 3" xfId="13255" xr:uid="{00000000-0005-0000-0000-0000F7550000}"/>
    <cellStyle name="强调文字颜色 4 12 5 4" xfId="15258" xr:uid="{00000000-0005-0000-0000-0000F8550000}"/>
    <cellStyle name="强调文字颜色 4 12 5 5" xfId="15261" xr:uid="{00000000-0005-0000-0000-0000F9550000}"/>
    <cellStyle name="强调文字颜色 4 12 5 6" xfId="15263" xr:uid="{00000000-0005-0000-0000-0000FA550000}"/>
    <cellStyle name="强调文字颜色 4 12 5 6 2" xfId="21466" xr:uid="{00000000-0005-0000-0000-0000FB550000}"/>
    <cellStyle name="强调文字颜色 4 12 5 6 3" xfId="21469" xr:uid="{00000000-0005-0000-0000-0000FC550000}"/>
    <cellStyle name="强调文字颜色 4 12 5 7" xfId="29436" xr:uid="{00000000-0005-0000-0000-0000FD550000}"/>
    <cellStyle name="强调文字颜色 4 12 5 8" xfId="29437" xr:uid="{00000000-0005-0000-0000-0000FE550000}"/>
    <cellStyle name="强调文字颜色 4 12 5 9" xfId="29439" xr:uid="{00000000-0005-0000-0000-0000FF550000}"/>
    <cellStyle name="强调文字颜色 4 12 6" xfId="29440" xr:uid="{00000000-0005-0000-0000-000000560000}"/>
    <cellStyle name="强调文字颜色 4 12 6 2" xfId="13271" xr:uid="{00000000-0005-0000-0000-000001560000}"/>
    <cellStyle name="强调文字颜色 4 12 6 2 2" xfId="29442" xr:uid="{00000000-0005-0000-0000-000002560000}"/>
    <cellStyle name="强调文字颜色 4 12 6 2 3" xfId="29443" xr:uid="{00000000-0005-0000-0000-000003560000}"/>
    <cellStyle name="强调文字颜色 4 12 6 3" xfId="13276" xr:uid="{00000000-0005-0000-0000-000004560000}"/>
    <cellStyle name="强调文字颜色 4 12 6 4" xfId="10455" xr:uid="{00000000-0005-0000-0000-000005560000}"/>
    <cellStyle name="强调文字颜色 4 12 6 5" xfId="29444" xr:uid="{00000000-0005-0000-0000-000006560000}"/>
    <cellStyle name="强调文字颜色 4 12 6 6" xfId="16838" xr:uid="{00000000-0005-0000-0000-000007560000}"/>
    <cellStyle name="强调文字颜色 4 12 6 7" xfId="16841" xr:uid="{00000000-0005-0000-0000-000008560000}"/>
    <cellStyle name="强调文字颜色 4 12 6 8" xfId="20459" xr:uid="{00000000-0005-0000-0000-000009560000}"/>
    <cellStyle name="强调文字颜色 4 12 7" xfId="29445" xr:uid="{00000000-0005-0000-0000-00000A560000}"/>
    <cellStyle name="强调文字颜色 4 12 8" xfId="29446" xr:uid="{00000000-0005-0000-0000-00000B560000}"/>
    <cellStyle name="强调文字颜色 4 12 9" xfId="29447" xr:uid="{00000000-0005-0000-0000-00000C560000}"/>
    <cellStyle name="强调文字颜色 4 12 9 2" xfId="29448" xr:uid="{00000000-0005-0000-0000-00000D560000}"/>
    <cellStyle name="强调文字颜色 4 12 9 3" xfId="29450" xr:uid="{00000000-0005-0000-0000-00000E560000}"/>
    <cellStyle name="强调文字颜色 4 13" xfId="29452" xr:uid="{00000000-0005-0000-0000-00000F560000}"/>
    <cellStyle name="强调文字颜色 4 14" xfId="29453" xr:uid="{00000000-0005-0000-0000-000010560000}"/>
    <cellStyle name="强调文字颜色 4 15" xfId="29454" xr:uid="{00000000-0005-0000-0000-000011560000}"/>
    <cellStyle name="强调文字颜色 4 16" xfId="29455" xr:uid="{00000000-0005-0000-0000-000012560000}"/>
    <cellStyle name="强调文字颜色 4 16 10" xfId="29456" xr:uid="{00000000-0005-0000-0000-000013560000}"/>
    <cellStyle name="强调文字颜色 4 16 11" xfId="29457" xr:uid="{00000000-0005-0000-0000-000014560000}"/>
    <cellStyle name="强调文字颜色 4 16 12" xfId="29458" xr:uid="{00000000-0005-0000-0000-000015560000}"/>
    <cellStyle name="强调文字颜色 4 16 13" xfId="23342" xr:uid="{00000000-0005-0000-0000-000016560000}"/>
    <cellStyle name="强调文字颜色 4 16 14" xfId="23344" xr:uid="{00000000-0005-0000-0000-000017560000}"/>
    <cellStyle name="强调文字颜色 4 16 2" xfId="29459" xr:uid="{00000000-0005-0000-0000-000018560000}"/>
    <cellStyle name="强调文字颜色 4 16 3" xfId="24618" xr:uid="{00000000-0005-0000-0000-000019560000}"/>
    <cellStyle name="强调文字颜色 4 16 4" xfId="29460" xr:uid="{00000000-0005-0000-0000-00001A560000}"/>
    <cellStyle name="强调文字颜色 4 16 5" xfId="29461" xr:uid="{00000000-0005-0000-0000-00001B560000}"/>
    <cellStyle name="强调文字颜色 4 16 5 10" xfId="15026" xr:uid="{00000000-0005-0000-0000-00001C560000}"/>
    <cellStyle name="强调文字颜色 4 16 5 11" xfId="15030" xr:uid="{00000000-0005-0000-0000-00001D560000}"/>
    <cellStyle name="强调文字颜色 4 16 5 2" xfId="24568" xr:uid="{00000000-0005-0000-0000-00001E560000}"/>
    <cellStyle name="强调文字颜色 4 16 5 2 2" xfId="29462" xr:uid="{00000000-0005-0000-0000-00001F560000}"/>
    <cellStyle name="强调文字颜色 4 16 5 2 2 2" xfId="29463" xr:uid="{00000000-0005-0000-0000-000020560000}"/>
    <cellStyle name="强调文字颜色 4 16 5 2 2 3" xfId="29464" xr:uid="{00000000-0005-0000-0000-000021560000}"/>
    <cellStyle name="强调文字颜色 4 16 5 2 3" xfId="29465" xr:uid="{00000000-0005-0000-0000-000022560000}"/>
    <cellStyle name="强调文字颜色 4 16 5 2 4" xfId="29466" xr:uid="{00000000-0005-0000-0000-000023560000}"/>
    <cellStyle name="强调文字颜色 4 16 5 2 5" xfId="29467" xr:uid="{00000000-0005-0000-0000-000024560000}"/>
    <cellStyle name="强调文字颜色 4 16 5 2 6" xfId="29468" xr:uid="{00000000-0005-0000-0000-000025560000}"/>
    <cellStyle name="强调文字颜色 4 16 5 2 7" xfId="29469" xr:uid="{00000000-0005-0000-0000-000026560000}"/>
    <cellStyle name="强调文字颜色 4 16 5 2 8" xfId="29470" xr:uid="{00000000-0005-0000-0000-000027560000}"/>
    <cellStyle name="强调文字颜色 4 16 5 3" xfId="29472" xr:uid="{00000000-0005-0000-0000-000028560000}"/>
    <cellStyle name="强调文字颜色 4 16 5 4" xfId="29473" xr:uid="{00000000-0005-0000-0000-000029560000}"/>
    <cellStyle name="强调文字颜色 4 16 5 5" xfId="29474" xr:uid="{00000000-0005-0000-0000-00002A560000}"/>
    <cellStyle name="强调文字颜色 4 16 5 6" xfId="29475" xr:uid="{00000000-0005-0000-0000-00002B560000}"/>
    <cellStyle name="强调文字颜色 4 16 5 6 2" xfId="29476" xr:uid="{00000000-0005-0000-0000-00002C560000}"/>
    <cellStyle name="强调文字颜色 4 16 5 6 3" xfId="29477" xr:uid="{00000000-0005-0000-0000-00002D560000}"/>
    <cellStyle name="强调文字颜色 4 16 5 7" xfId="19988" xr:uid="{00000000-0005-0000-0000-00002E560000}"/>
    <cellStyle name="强调文字颜色 4 16 5 8" xfId="19990" xr:uid="{00000000-0005-0000-0000-00002F560000}"/>
    <cellStyle name="强调文字颜色 4 16 5 9" xfId="29478" xr:uid="{00000000-0005-0000-0000-000030560000}"/>
    <cellStyle name="强调文字颜色 4 16 6" xfId="29479" xr:uid="{00000000-0005-0000-0000-000031560000}"/>
    <cellStyle name="强调文字颜色 4 16 6 2" xfId="29480" xr:uid="{00000000-0005-0000-0000-000032560000}"/>
    <cellStyle name="强调文字颜色 4 16 6 2 2" xfId="29481" xr:uid="{00000000-0005-0000-0000-000033560000}"/>
    <cellStyle name="强调文字颜色 4 16 6 2 3" xfId="29482" xr:uid="{00000000-0005-0000-0000-000034560000}"/>
    <cellStyle name="强调文字颜色 4 16 6 3" xfId="29483" xr:uid="{00000000-0005-0000-0000-000035560000}"/>
    <cellStyle name="强调文字颜色 4 16 6 4" xfId="29485" xr:uid="{00000000-0005-0000-0000-000036560000}"/>
    <cellStyle name="强调文字颜色 4 16 6 5" xfId="29487" xr:uid="{00000000-0005-0000-0000-000037560000}"/>
    <cellStyle name="强调文字颜色 4 16 6 6" xfId="29488" xr:uid="{00000000-0005-0000-0000-000038560000}"/>
    <cellStyle name="强调文字颜色 4 16 6 7" xfId="29489" xr:uid="{00000000-0005-0000-0000-000039560000}"/>
    <cellStyle name="强调文字颜色 4 16 6 8" xfId="29490" xr:uid="{00000000-0005-0000-0000-00003A560000}"/>
    <cellStyle name="强调文字颜色 4 16 7" xfId="29491" xr:uid="{00000000-0005-0000-0000-00003B560000}"/>
    <cellStyle name="强调文字颜色 4 16 8" xfId="29492" xr:uid="{00000000-0005-0000-0000-00003C560000}"/>
    <cellStyle name="强调文字颜色 4 16 9" xfId="29493" xr:uid="{00000000-0005-0000-0000-00003D560000}"/>
    <cellStyle name="强调文字颜色 4 16 9 2" xfId="29494" xr:uid="{00000000-0005-0000-0000-00003E560000}"/>
    <cellStyle name="强调文字颜色 4 16 9 3" xfId="29495" xr:uid="{00000000-0005-0000-0000-00003F560000}"/>
    <cellStyle name="强调文字颜色 4 17" xfId="23352" xr:uid="{00000000-0005-0000-0000-000040560000}"/>
    <cellStyle name="强调文字颜色 4 17 10" xfId="29497" xr:uid="{00000000-0005-0000-0000-000041560000}"/>
    <cellStyle name="强调文字颜色 4 17 11" xfId="29499" xr:uid="{00000000-0005-0000-0000-000042560000}"/>
    <cellStyle name="强调文字颜色 4 17 12" xfId="24492" xr:uid="{00000000-0005-0000-0000-000043560000}"/>
    <cellStyle name="强调文字颜色 4 17 13" xfId="29501" xr:uid="{00000000-0005-0000-0000-000044560000}"/>
    <cellStyle name="强调文字颜色 4 17 14" xfId="29503" xr:uid="{00000000-0005-0000-0000-000045560000}"/>
    <cellStyle name="强调文字颜色 4 17 2" xfId="29504" xr:uid="{00000000-0005-0000-0000-000046560000}"/>
    <cellStyle name="强调文字颜色 4 17 3" xfId="29505" xr:uid="{00000000-0005-0000-0000-000047560000}"/>
    <cellStyle name="强调文字颜色 4 17 4" xfId="29506" xr:uid="{00000000-0005-0000-0000-000048560000}"/>
    <cellStyle name="强调文字颜色 4 17 5" xfId="29507" xr:uid="{00000000-0005-0000-0000-000049560000}"/>
    <cellStyle name="强调文字颜色 4 17 5 10" xfId="15200" xr:uid="{00000000-0005-0000-0000-00004A560000}"/>
    <cellStyle name="强调文字颜色 4 17 5 11" xfId="15204" xr:uid="{00000000-0005-0000-0000-00004B560000}"/>
    <cellStyle name="强调文字颜色 4 17 5 2" xfId="26028" xr:uid="{00000000-0005-0000-0000-00004C560000}"/>
    <cellStyle name="强调文字颜色 4 17 5 2 2" xfId="29508" xr:uid="{00000000-0005-0000-0000-00004D560000}"/>
    <cellStyle name="强调文字颜色 4 17 5 2 2 2" xfId="29510" xr:uid="{00000000-0005-0000-0000-00004E560000}"/>
    <cellStyle name="强调文字颜色 4 17 5 2 2 3" xfId="29512" xr:uid="{00000000-0005-0000-0000-00004F560000}"/>
    <cellStyle name="强调文字颜色 4 17 5 2 3" xfId="29514" xr:uid="{00000000-0005-0000-0000-000050560000}"/>
    <cellStyle name="强调文字颜色 4 17 5 2 4" xfId="29516" xr:uid="{00000000-0005-0000-0000-000051560000}"/>
    <cellStyle name="强调文字颜色 4 17 5 2 5" xfId="29518" xr:uid="{00000000-0005-0000-0000-000052560000}"/>
    <cellStyle name="强调文字颜色 4 17 5 2 6" xfId="29520" xr:uid="{00000000-0005-0000-0000-000053560000}"/>
    <cellStyle name="强调文字颜色 4 17 5 2 7" xfId="29521" xr:uid="{00000000-0005-0000-0000-000054560000}"/>
    <cellStyle name="强调文字颜色 4 17 5 2 8" xfId="29523" xr:uid="{00000000-0005-0000-0000-000055560000}"/>
    <cellStyle name="强调文字颜色 4 17 5 3" xfId="29526" xr:uid="{00000000-0005-0000-0000-000056560000}"/>
    <cellStyle name="强调文字颜色 4 17 5 4" xfId="29527" xr:uid="{00000000-0005-0000-0000-000057560000}"/>
    <cellStyle name="强调文字颜色 4 17 5 5" xfId="29528" xr:uid="{00000000-0005-0000-0000-000058560000}"/>
    <cellStyle name="强调文字颜色 4 17 5 6" xfId="29529" xr:uid="{00000000-0005-0000-0000-000059560000}"/>
    <cellStyle name="强调文字颜色 4 17 5 6 2" xfId="21673" xr:uid="{00000000-0005-0000-0000-00005A560000}"/>
    <cellStyle name="强调文字颜色 4 17 5 6 3" xfId="21675" xr:uid="{00000000-0005-0000-0000-00005B560000}"/>
    <cellStyle name="强调文字颜色 4 17 5 7" xfId="16236" xr:uid="{00000000-0005-0000-0000-00005C560000}"/>
    <cellStyle name="强调文字颜色 4 17 5 8" xfId="2851" xr:uid="{00000000-0005-0000-0000-00005D560000}"/>
    <cellStyle name="强调文字颜色 4 17 5 9" xfId="29530" xr:uid="{00000000-0005-0000-0000-00005E560000}"/>
    <cellStyle name="强调文字颜色 4 17 6" xfId="29531" xr:uid="{00000000-0005-0000-0000-00005F560000}"/>
    <cellStyle name="强调文字颜色 4 17 6 2" xfId="16438" xr:uid="{00000000-0005-0000-0000-000060560000}"/>
    <cellStyle name="强调文字颜色 4 17 6 2 2" xfId="29533" xr:uid="{00000000-0005-0000-0000-000061560000}"/>
    <cellStyle name="强调文字颜色 4 17 6 2 3" xfId="29534" xr:uid="{00000000-0005-0000-0000-000062560000}"/>
    <cellStyle name="强调文字颜色 4 17 6 3" xfId="16440" xr:uid="{00000000-0005-0000-0000-000063560000}"/>
    <cellStyle name="强调文字颜色 4 17 6 4" xfId="16445" xr:uid="{00000000-0005-0000-0000-000064560000}"/>
    <cellStyle name="强调文字颜色 4 17 6 5" xfId="29536" xr:uid="{00000000-0005-0000-0000-000065560000}"/>
    <cellStyle name="强调文字颜色 4 17 6 6" xfId="16905" xr:uid="{00000000-0005-0000-0000-000066560000}"/>
    <cellStyle name="强调文字颜色 4 17 6 7" xfId="7479" xr:uid="{00000000-0005-0000-0000-000067560000}"/>
    <cellStyle name="强调文字颜色 4 17 6 8" xfId="29537" xr:uid="{00000000-0005-0000-0000-000068560000}"/>
    <cellStyle name="强调文字颜色 4 17 7" xfId="29538" xr:uid="{00000000-0005-0000-0000-000069560000}"/>
    <cellStyle name="强调文字颜色 4 17 8" xfId="29539" xr:uid="{00000000-0005-0000-0000-00006A560000}"/>
    <cellStyle name="强调文字颜色 4 17 9" xfId="29540" xr:uid="{00000000-0005-0000-0000-00006B560000}"/>
    <cellStyle name="强调文字颜色 4 17 9 2" xfId="29541" xr:uid="{00000000-0005-0000-0000-00006C560000}"/>
    <cellStyle name="强调文字颜色 4 17 9 3" xfId="29542" xr:uid="{00000000-0005-0000-0000-00006D560000}"/>
    <cellStyle name="强调文字颜色 4 18" xfId="23354" xr:uid="{00000000-0005-0000-0000-00006E560000}"/>
    <cellStyle name="强调文字颜色 4 18 10" xfId="29543" xr:uid="{00000000-0005-0000-0000-00006F560000}"/>
    <cellStyle name="强调文字颜色 4 18 11" xfId="29544" xr:uid="{00000000-0005-0000-0000-000070560000}"/>
    <cellStyle name="强调文字颜色 4 18 12" xfId="29545" xr:uid="{00000000-0005-0000-0000-000071560000}"/>
    <cellStyle name="强调文字颜色 4 18 13" xfId="29546" xr:uid="{00000000-0005-0000-0000-000072560000}"/>
    <cellStyle name="强调文字颜色 4 18 14" xfId="29547" xr:uid="{00000000-0005-0000-0000-000073560000}"/>
    <cellStyle name="强调文字颜色 4 18 2" xfId="12406" xr:uid="{00000000-0005-0000-0000-000074560000}"/>
    <cellStyle name="强调文字颜色 4 18 3" xfId="29548" xr:uid="{00000000-0005-0000-0000-000075560000}"/>
    <cellStyle name="强调文字颜色 4 18 4" xfId="29549" xr:uid="{00000000-0005-0000-0000-000076560000}"/>
    <cellStyle name="强调文字颜色 4 18 5" xfId="29550" xr:uid="{00000000-0005-0000-0000-000077560000}"/>
    <cellStyle name="强调文字颜色 4 18 5 10" xfId="6744" xr:uid="{00000000-0005-0000-0000-000078560000}"/>
    <cellStyle name="强调文字颜色 4 18 5 11" xfId="6754" xr:uid="{00000000-0005-0000-0000-000079560000}"/>
    <cellStyle name="强调文字颜色 4 18 5 2" xfId="29551" xr:uid="{00000000-0005-0000-0000-00007A560000}"/>
    <cellStyle name="强调文字颜色 4 18 5 2 2" xfId="29552" xr:uid="{00000000-0005-0000-0000-00007B560000}"/>
    <cellStyle name="强调文字颜色 4 18 5 2 2 2" xfId="29553" xr:uid="{00000000-0005-0000-0000-00007C560000}"/>
    <cellStyle name="强调文字颜色 4 18 5 2 2 3" xfId="29555" xr:uid="{00000000-0005-0000-0000-00007D560000}"/>
    <cellStyle name="强调文字颜色 4 18 5 2 3" xfId="29557" xr:uid="{00000000-0005-0000-0000-00007E560000}"/>
    <cellStyle name="强调文字颜色 4 18 5 2 4" xfId="29558" xr:uid="{00000000-0005-0000-0000-00007F560000}"/>
    <cellStyle name="强调文字颜色 4 18 5 2 5" xfId="29559" xr:uid="{00000000-0005-0000-0000-000080560000}"/>
    <cellStyle name="强调文字颜色 4 18 5 2 6" xfId="29560" xr:uid="{00000000-0005-0000-0000-000081560000}"/>
    <cellStyle name="强调文字颜色 4 18 5 2 7" xfId="29561" xr:uid="{00000000-0005-0000-0000-000082560000}"/>
    <cellStyle name="强调文字颜色 4 18 5 2 8" xfId="28946" xr:uid="{00000000-0005-0000-0000-000083560000}"/>
    <cellStyle name="强调文字颜色 4 18 5 3" xfId="29562" xr:uid="{00000000-0005-0000-0000-000084560000}"/>
    <cellStyle name="强调文字颜色 4 18 5 4" xfId="29563" xr:uid="{00000000-0005-0000-0000-000085560000}"/>
    <cellStyle name="强调文字颜色 4 18 5 5" xfId="29564" xr:uid="{00000000-0005-0000-0000-000086560000}"/>
    <cellStyle name="强调文字颜色 4 18 5 6" xfId="29565" xr:uid="{00000000-0005-0000-0000-000087560000}"/>
    <cellStyle name="强调文字颜色 4 18 5 6 2" xfId="12712" xr:uid="{00000000-0005-0000-0000-000088560000}"/>
    <cellStyle name="强调文字颜色 4 18 5 6 3" xfId="12716" xr:uid="{00000000-0005-0000-0000-000089560000}"/>
    <cellStyle name="强调文字颜色 4 18 5 7" xfId="29566" xr:uid="{00000000-0005-0000-0000-00008A560000}"/>
    <cellStyle name="强调文字颜色 4 18 5 8" xfId="29567" xr:uid="{00000000-0005-0000-0000-00008B560000}"/>
    <cellStyle name="强调文字颜色 4 18 5 9" xfId="29568" xr:uid="{00000000-0005-0000-0000-00008C560000}"/>
    <cellStyle name="强调文字颜色 4 18 6" xfId="29569" xr:uid="{00000000-0005-0000-0000-00008D560000}"/>
    <cellStyle name="强调文字颜色 4 18 6 2" xfId="29570" xr:uid="{00000000-0005-0000-0000-00008E560000}"/>
    <cellStyle name="强调文字颜色 4 18 6 2 2" xfId="29571" xr:uid="{00000000-0005-0000-0000-00008F560000}"/>
    <cellStyle name="强调文字颜色 4 18 6 2 3" xfId="29572" xr:uid="{00000000-0005-0000-0000-000090560000}"/>
    <cellStyle name="强调文字颜色 4 18 6 3" xfId="4235" xr:uid="{00000000-0005-0000-0000-000091560000}"/>
    <cellStyle name="强调文字颜色 4 18 6 4" xfId="4245" xr:uid="{00000000-0005-0000-0000-000092560000}"/>
    <cellStyle name="强调文字颜色 4 18 6 5" xfId="29573" xr:uid="{00000000-0005-0000-0000-000093560000}"/>
    <cellStyle name="强调文字颜色 4 18 6 6" xfId="29574" xr:uid="{00000000-0005-0000-0000-000094560000}"/>
    <cellStyle name="强调文字颜色 4 18 6 7" xfId="29576" xr:uid="{00000000-0005-0000-0000-000095560000}"/>
    <cellStyle name="强调文字颜色 4 18 6 8" xfId="29578" xr:uid="{00000000-0005-0000-0000-000096560000}"/>
    <cellStyle name="强调文字颜色 4 18 7" xfId="29579" xr:uid="{00000000-0005-0000-0000-000097560000}"/>
    <cellStyle name="强调文字颜色 4 18 8" xfId="29580" xr:uid="{00000000-0005-0000-0000-000098560000}"/>
    <cellStyle name="强调文字颜色 4 18 9" xfId="29581" xr:uid="{00000000-0005-0000-0000-000099560000}"/>
    <cellStyle name="强调文字颜色 4 18 9 2" xfId="24786" xr:uid="{00000000-0005-0000-0000-00009A560000}"/>
    <cellStyle name="强调文字颜色 4 18 9 3" xfId="24807" xr:uid="{00000000-0005-0000-0000-00009B560000}"/>
    <cellStyle name="强调文字颜色 4 19" xfId="23356" xr:uid="{00000000-0005-0000-0000-00009C560000}"/>
    <cellStyle name="强调文字颜色 4 2" xfId="29582" xr:uid="{00000000-0005-0000-0000-00009D560000}"/>
    <cellStyle name="强调文字颜色 4 2 10" xfId="29583" xr:uid="{00000000-0005-0000-0000-00009E560000}"/>
    <cellStyle name="强调文字颜色 4 2 11" xfId="29584" xr:uid="{00000000-0005-0000-0000-00009F560000}"/>
    <cellStyle name="强调文字颜色 4 2 12" xfId="29585" xr:uid="{00000000-0005-0000-0000-0000A0560000}"/>
    <cellStyle name="强调文字颜色 4 2 13" xfId="10572" xr:uid="{00000000-0005-0000-0000-0000A1560000}"/>
    <cellStyle name="强调文字颜色 4 2 14" xfId="10580" xr:uid="{00000000-0005-0000-0000-0000A2560000}"/>
    <cellStyle name="强调文字颜色 4 2 15" xfId="21237" xr:uid="{00000000-0005-0000-0000-0000A3560000}"/>
    <cellStyle name="强调文字颜色 4 2 16" xfId="21239" xr:uid="{00000000-0005-0000-0000-0000A4560000}"/>
    <cellStyle name="强调文字颜色 4 2 17" xfId="21241" xr:uid="{00000000-0005-0000-0000-0000A5560000}"/>
    <cellStyle name="强调文字颜色 4 2 17 10" xfId="22395" xr:uid="{00000000-0005-0000-0000-0000A6560000}"/>
    <cellStyle name="强调文字颜色 4 2 17 11" xfId="29587" xr:uid="{00000000-0005-0000-0000-0000A7560000}"/>
    <cellStyle name="强调文字颜色 4 2 17 12" xfId="29589" xr:uid="{00000000-0005-0000-0000-0000A8560000}"/>
    <cellStyle name="强调文字颜色 4 2 17 13" xfId="29590" xr:uid="{00000000-0005-0000-0000-0000A9560000}"/>
    <cellStyle name="强调文字颜色 4 2 17 14" xfId="29591" xr:uid="{00000000-0005-0000-0000-0000AA560000}"/>
    <cellStyle name="强调文字颜色 4 2 17 2" xfId="21600" xr:uid="{00000000-0005-0000-0000-0000AB560000}"/>
    <cellStyle name="强调文字颜色 4 2 17 3" xfId="29592" xr:uid="{00000000-0005-0000-0000-0000AC560000}"/>
    <cellStyle name="强调文字颜色 4 2 17 4" xfId="29593" xr:uid="{00000000-0005-0000-0000-0000AD560000}"/>
    <cellStyle name="强调文字颜色 4 2 17 5" xfId="29594" xr:uid="{00000000-0005-0000-0000-0000AE560000}"/>
    <cellStyle name="强调文字颜色 4 2 17 5 10" xfId="26061" xr:uid="{00000000-0005-0000-0000-0000AF560000}"/>
    <cellStyle name="强调文字颜色 4 2 17 5 11" xfId="23154" xr:uid="{00000000-0005-0000-0000-0000B0560000}"/>
    <cellStyle name="强调文字颜色 4 2 17 5 2" xfId="9382" xr:uid="{00000000-0005-0000-0000-0000B1560000}"/>
    <cellStyle name="强调文字颜色 4 2 17 5 2 2" xfId="4848" xr:uid="{00000000-0005-0000-0000-0000B2560000}"/>
    <cellStyle name="强调文字颜色 4 2 17 5 2 2 2" xfId="29595" xr:uid="{00000000-0005-0000-0000-0000B3560000}"/>
    <cellStyle name="强调文字颜色 4 2 17 5 2 2 3" xfId="11883" xr:uid="{00000000-0005-0000-0000-0000B4560000}"/>
    <cellStyle name="强调文字颜色 4 2 17 5 2 3" xfId="4861" xr:uid="{00000000-0005-0000-0000-0000B5560000}"/>
    <cellStyle name="强调文字颜色 4 2 17 5 2 4" xfId="29596" xr:uid="{00000000-0005-0000-0000-0000B6560000}"/>
    <cellStyle name="强调文字颜色 4 2 17 5 2 5" xfId="29597" xr:uid="{00000000-0005-0000-0000-0000B7560000}"/>
    <cellStyle name="强调文字颜色 4 2 17 5 2 6" xfId="29598" xr:uid="{00000000-0005-0000-0000-0000B8560000}"/>
    <cellStyle name="强调文字颜色 4 2 17 5 2 7" xfId="29599" xr:uid="{00000000-0005-0000-0000-0000B9560000}"/>
    <cellStyle name="强调文字颜色 4 2 17 5 2 8" xfId="29600" xr:uid="{00000000-0005-0000-0000-0000BA560000}"/>
    <cellStyle name="强调文字颜色 4 2 17 5 3" xfId="9398" xr:uid="{00000000-0005-0000-0000-0000BB560000}"/>
    <cellStyle name="强调文字颜色 4 2 17 5 4" xfId="18722" xr:uid="{00000000-0005-0000-0000-0000BC560000}"/>
    <cellStyle name="强调文字颜色 4 2 17 5 5" xfId="219" xr:uid="{00000000-0005-0000-0000-0000BD560000}"/>
    <cellStyle name="强调文字颜色 4 2 17 5 6" xfId="9414" xr:uid="{00000000-0005-0000-0000-0000BE560000}"/>
    <cellStyle name="强调文字颜色 4 2 17 5 6 2" xfId="29601" xr:uid="{00000000-0005-0000-0000-0000BF560000}"/>
    <cellStyle name="强调文字颜色 4 2 17 5 6 3" xfId="29602" xr:uid="{00000000-0005-0000-0000-0000C0560000}"/>
    <cellStyle name="强调文字颜色 4 2 17 5 7" xfId="10234" xr:uid="{00000000-0005-0000-0000-0000C1560000}"/>
    <cellStyle name="强调文字颜色 4 2 17 5 8" xfId="10244" xr:uid="{00000000-0005-0000-0000-0000C2560000}"/>
    <cellStyle name="强调文字颜色 4 2 17 5 9" xfId="10250" xr:uid="{00000000-0005-0000-0000-0000C3560000}"/>
    <cellStyle name="强调文字颜色 4 2 17 6" xfId="26076" xr:uid="{00000000-0005-0000-0000-0000C4560000}"/>
    <cellStyle name="强调文字颜色 4 2 17 6 2" xfId="7826" xr:uid="{00000000-0005-0000-0000-0000C5560000}"/>
    <cellStyle name="强调文字颜色 4 2 17 6 2 2" xfId="4892" xr:uid="{00000000-0005-0000-0000-0000C6560000}"/>
    <cellStyle name="强调文字颜色 4 2 17 6 2 3" xfId="7830" xr:uid="{00000000-0005-0000-0000-0000C7560000}"/>
    <cellStyle name="强调文字颜色 4 2 17 6 3" xfId="7843" xr:uid="{00000000-0005-0000-0000-0000C8560000}"/>
    <cellStyle name="强调文字颜色 4 2 17 6 4" xfId="7857" xr:uid="{00000000-0005-0000-0000-0000C9560000}"/>
    <cellStyle name="强调文字颜色 4 2 17 6 5" xfId="7870" xr:uid="{00000000-0005-0000-0000-0000CA560000}"/>
    <cellStyle name="强调文字颜色 4 2 17 6 6" xfId="29603" xr:uid="{00000000-0005-0000-0000-0000CB560000}"/>
    <cellStyle name="强调文字颜色 4 2 17 6 7" xfId="29604" xr:uid="{00000000-0005-0000-0000-0000CC560000}"/>
    <cellStyle name="强调文字颜色 4 2 17 6 8" xfId="29606" xr:uid="{00000000-0005-0000-0000-0000CD560000}"/>
    <cellStyle name="强调文字颜色 4 2 17 7" xfId="29607" xr:uid="{00000000-0005-0000-0000-0000CE560000}"/>
    <cellStyle name="强调文字颜色 4 2 17 8" xfId="29608" xr:uid="{00000000-0005-0000-0000-0000CF560000}"/>
    <cellStyle name="强调文字颜色 4 2 17 9" xfId="29609" xr:uid="{00000000-0005-0000-0000-0000D0560000}"/>
    <cellStyle name="强调文字颜色 4 2 17 9 2" xfId="7418" xr:uid="{00000000-0005-0000-0000-0000D1560000}"/>
    <cellStyle name="强调文字颜色 4 2 17 9 3" xfId="240" xr:uid="{00000000-0005-0000-0000-0000D2560000}"/>
    <cellStyle name="强调文字颜色 4 2 18" xfId="21243" xr:uid="{00000000-0005-0000-0000-0000D3560000}"/>
    <cellStyle name="强调文字颜色 4 2 18 10" xfId="29610" xr:uid="{00000000-0005-0000-0000-0000D4560000}"/>
    <cellStyle name="强调文字颜色 4 2 18 11" xfId="29611" xr:uid="{00000000-0005-0000-0000-0000D5560000}"/>
    <cellStyle name="强调文字颜色 4 2 18 12" xfId="29612" xr:uid="{00000000-0005-0000-0000-0000D6560000}"/>
    <cellStyle name="强调文字颜色 4 2 18 13" xfId="29613" xr:uid="{00000000-0005-0000-0000-0000D7560000}"/>
    <cellStyle name="强调文字颜色 4 2 18 14" xfId="29614" xr:uid="{00000000-0005-0000-0000-0000D8560000}"/>
    <cellStyle name="强调文字颜色 4 2 18 2" xfId="5943" xr:uid="{00000000-0005-0000-0000-0000D9560000}"/>
    <cellStyle name="强调文字颜色 4 2 18 3" xfId="29615" xr:uid="{00000000-0005-0000-0000-0000DA560000}"/>
    <cellStyle name="强调文字颜色 4 2 18 4" xfId="1509" xr:uid="{00000000-0005-0000-0000-0000DB560000}"/>
    <cellStyle name="强调文字颜色 4 2 18 5" xfId="1522" xr:uid="{00000000-0005-0000-0000-0000DC560000}"/>
    <cellStyle name="强调文字颜色 4 2 18 5 10" xfId="29617" xr:uid="{00000000-0005-0000-0000-0000DD560000}"/>
    <cellStyle name="强调文字颜色 4 2 18 5 11" xfId="29619" xr:uid="{00000000-0005-0000-0000-0000DE560000}"/>
    <cellStyle name="强调文字颜色 4 2 18 5 2" xfId="4716" xr:uid="{00000000-0005-0000-0000-0000DF560000}"/>
    <cellStyle name="强调文字颜色 4 2 18 5 2 2" xfId="29620" xr:uid="{00000000-0005-0000-0000-0000E0560000}"/>
    <cellStyle name="强调文字颜色 4 2 18 5 2 2 2" xfId="26848" xr:uid="{00000000-0005-0000-0000-0000E1560000}"/>
    <cellStyle name="强调文字颜色 4 2 18 5 2 2 3" xfId="26854" xr:uid="{00000000-0005-0000-0000-0000E2560000}"/>
    <cellStyle name="强调文字颜色 4 2 18 5 2 3" xfId="29621" xr:uid="{00000000-0005-0000-0000-0000E3560000}"/>
    <cellStyle name="强调文字颜色 4 2 18 5 2 4" xfId="29622" xr:uid="{00000000-0005-0000-0000-0000E4560000}"/>
    <cellStyle name="强调文字颜色 4 2 18 5 2 5" xfId="29623" xr:uid="{00000000-0005-0000-0000-0000E5560000}"/>
    <cellStyle name="强调文字颜色 4 2 18 5 2 6" xfId="29624" xr:uid="{00000000-0005-0000-0000-0000E6560000}"/>
    <cellStyle name="强调文字颜色 4 2 18 5 2 7" xfId="29625" xr:uid="{00000000-0005-0000-0000-0000E7560000}"/>
    <cellStyle name="强调文字颜色 4 2 18 5 2 8" xfId="29626" xr:uid="{00000000-0005-0000-0000-0000E8560000}"/>
    <cellStyle name="强调文字颜色 4 2 18 5 3" xfId="4722" xr:uid="{00000000-0005-0000-0000-0000E9560000}"/>
    <cellStyle name="强调文字颜色 4 2 18 5 4" xfId="4729" xr:uid="{00000000-0005-0000-0000-0000EA560000}"/>
    <cellStyle name="强调文字颜色 4 2 18 5 5" xfId="4738" xr:uid="{00000000-0005-0000-0000-0000EB560000}"/>
    <cellStyle name="强调文字颜色 4 2 18 5 6" xfId="29628" xr:uid="{00000000-0005-0000-0000-0000EC560000}"/>
    <cellStyle name="强调文字颜色 4 2 18 5 6 2" xfId="29629" xr:uid="{00000000-0005-0000-0000-0000ED560000}"/>
    <cellStyle name="强调文字颜色 4 2 18 5 6 3" xfId="29630" xr:uid="{00000000-0005-0000-0000-0000EE560000}"/>
    <cellStyle name="强调文字颜色 4 2 18 5 7" xfId="29632" xr:uid="{00000000-0005-0000-0000-0000EF560000}"/>
    <cellStyle name="强调文字颜色 4 2 18 5 8" xfId="11346" xr:uid="{00000000-0005-0000-0000-0000F0560000}"/>
    <cellStyle name="强调文字颜色 4 2 18 5 9" xfId="11353" xr:uid="{00000000-0005-0000-0000-0000F1560000}"/>
    <cellStyle name="强调文字颜色 4 2 18 6" xfId="4426" xr:uid="{00000000-0005-0000-0000-0000F2560000}"/>
    <cellStyle name="强调文字颜色 4 2 18 6 2" xfId="4428" xr:uid="{00000000-0005-0000-0000-0000F3560000}"/>
    <cellStyle name="强调文字颜色 4 2 18 6 2 2" xfId="4431" xr:uid="{00000000-0005-0000-0000-0000F4560000}"/>
    <cellStyle name="强调文字颜色 4 2 18 6 2 3" xfId="2914" xr:uid="{00000000-0005-0000-0000-0000F5560000}"/>
    <cellStyle name="强调文字颜色 4 2 18 6 3" xfId="4445" xr:uid="{00000000-0005-0000-0000-0000F6560000}"/>
    <cellStyle name="强调文字颜色 4 2 18 6 4" xfId="4462" xr:uid="{00000000-0005-0000-0000-0000F7560000}"/>
    <cellStyle name="强调文字颜色 4 2 18 6 5" xfId="4477" xr:uid="{00000000-0005-0000-0000-0000F8560000}"/>
    <cellStyle name="强调文字颜色 4 2 18 6 6" xfId="4490" xr:uid="{00000000-0005-0000-0000-0000F9560000}"/>
    <cellStyle name="强调文字颜色 4 2 18 6 7" xfId="4504" xr:uid="{00000000-0005-0000-0000-0000FA560000}"/>
    <cellStyle name="强调文字颜色 4 2 18 6 8" xfId="4514" xr:uid="{00000000-0005-0000-0000-0000FB560000}"/>
    <cellStyle name="强调文字颜色 4 2 18 7" xfId="4520" xr:uid="{00000000-0005-0000-0000-0000FC560000}"/>
    <cellStyle name="强调文字颜色 4 2 18 8" xfId="4522" xr:uid="{00000000-0005-0000-0000-0000FD560000}"/>
    <cellStyle name="强调文字颜色 4 2 18 9" xfId="4537" xr:uid="{00000000-0005-0000-0000-0000FE560000}"/>
    <cellStyle name="强调文字颜色 4 2 18 9 2" xfId="29633" xr:uid="{00000000-0005-0000-0000-0000FF560000}"/>
    <cellStyle name="强调文字颜色 4 2 18 9 3" xfId="29634" xr:uid="{00000000-0005-0000-0000-000000570000}"/>
    <cellStyle name="强调文字颜色 4 2 19" xfId="17595" xr:uid="{00000000-0005-0000-0000-000001570000}"/>
    <cellStyle name="强调文字颜色 4 2 19 10" xfId="18341" xr:uid="{00000000-0005-0000-0000-000002570000}"/>
    <cellStyle name="强调文字颜色 4 2 19 11" xfId="24837" xr:uid="{00000000-0005-0000-0000-000003570000}"/>
    <cellStyle name="强调文字颜色 4 2 19 12" xfId="24839" xr:uid="{00000000-0005-0000-0000-000004570000}"/>
    <cellStyle name="强调文字颜色 4 2 19 13" xfId="24841" xr:uid="{00000000-0005-0000-0000-000005570000}"/>
    <cellStyle name="强调文字颜色 4 2 19 14" xfId="24843" xr:uid="{00000000-0005-0000-0000-000006570000}"/>
    <cellStyle name="强调文字颜色 4 2 19 2" xfId="14469" xr:uid="{00000000-0005-0000-0000-000007570000}"/>
    <cellStyle name="强调文字颜色 4 2 19 3" xfId="14471" xr:uid="{00000000-0005-0000-0000-000008570000}"/>
    <cellStyle name="强调文字颜色 4 2 19 4" xfId="14473" xr:uid="{00000000-0005-0000-0000-000009570000}"/>
    <cellStyle name="强调文字颜色 4 2 19 5" xfId="14476" xr:uid="{00000000-0005-0000-0000-00000A570000}"/>
    <cellStyle name="强调文字颜色 4 2 19 5 10" xfId="26081" xr:uid="{00000000-0005-0000-0000-00000B570000}"/>
    <cellStyle name="强调文字颜色 4 2 19 5 11" xfId="29635" xr:uid="{00000000-0005-0000-0000-00000C570000}"/>
    <cellStyle name="强调文字颜色 4 2 19 5 2" xfId="18945" xr:uid="{00000000-0005-0000-0000-00000D570000}"/>
    <cellStyle name="强调文字颜色 4 2 19 5 2 2" xfId="1921" xr:uid="{00000000-0005-0000-0000-00000E570000}"/>
    <cellStyle name="强调文字颜色 4 2 19 5 2 2 2" xfId="21900" xr:uid="{00000000-0005-0000-0000-00000F570000}"/>
    <cellStyle name="强调文字颜色 4 2 19 5 2 2 3" xfId="28269" xr:uid="{00000000-0005-0000-0000-000010570000}"/>
    <cellStyle name="强调文字颜色 4 2 19 5 2 3" xfId="1945" xr:uid="{00000000-0005-0000-0000-000011570000}"/>
    <cellStyle name="强调文字颜色 4 2 19 5 2 4" xfId="1833" xr:uid="{00000000-0005-0000-0000-000012570000}"/>
    <cellStyle name="强调文字颜色 4 2 19 5 2 5" xfId="1865" xr:uid="{00000000-0005-0000-0000-000013570000}"/>
    <cellStyle name="强调文字颜色 4 2 19 5 2 6" xfId="5065" xr:uid="{00000000-0005-0000-0000-000014570000}"/>
    <cellStyle name="强调文字颜色 4 2 19 5 2 7" xfId="5076" xr:uid="{00000000-0005-0000-0000-000015570000}"/>
    <cellStyle name="强调文字颜色 4 2 19 5 2 8" xfId="29637" xr:uid="{00000000-0005-0000-0000-000016570000}"/>
    <cellStyle name="强调文字颜色 4 2 19 5 3" xfId="19013" xr:uid="{00000000-0005-0000-0000-000017570000}"/>
    <cellStyle name="强调文字颜色 4 2 19 5 4" xfId="22892" xr:uid="{00000000-0005-0000-0000-000018570000}"/>
    <cellStyle name="强调文字颜色 4 2 19 5 5" xfId="22894" xr:uid="{00000000-0005-0000-0000-000019570000}"/>
    <cellStyle name="强调文字颜色 4 2 19 5 6" xfId="29639" xr:uid="{00000000-0005-0000-0000-00001A570000}"/>
    <cellStyle name="强调文字颜色 4 2 19 5 6 2" xfId="29640" xr:uid="{00000000-0005-0000-0000-00001B570000}"/>
    <cellStyle name="强调文字颜色 4 2 19 5 6 3" xfId="29641" xr:uid="{00000000-0005-0000-0000-00001C570000}"/>
    <cellStyle name="强调文字颜色 4 2 19 5 7" xfId="29643" xr:uid="{00000000-0005-0000-0000-00001D570000}"/>
    <cellStyle name="强调文字颜色 4 2 19 5 8" xfId="29645" xr:uid="{00000000-0005-0000-0000-00001E570000}"/>
    <cellStyle name="强调文字颜色 4 2 19 5 9" xfId="29647" xr:uid="{00000000-0005-0000-0000-00001F570000}"/>
    <cellStyle name="强调文字颜色 4 2 19 6" xfId="1285" xr:uid="{00000000-0005-0000-0000-000020570000}"/>
    <cellStyle name="强调文字颜色 4 2 19 6 2" xfId="4614" xr:uid="{00000000-0005-0000-0000-000021570000}"/>
    <cellStyle name="强调文字颜色 4 2 19 6 2 2" xfId="29648" xr:uid="{00000000-0005-0000-0000-000022570000}"/>
    <cellStyle name="强调文字颜色 4 2 19 6 2 3" xfId="29649" xr:uid="{00000000-0005-0000-0000-000023570000}"/>
    <cellStyle name="强调文字颜色 4 2 19 6 3" xfId="4622" xr:uid="{00000000-0005-0000-0000-000024570000}"/>
    <cellStyle name="强调文字颜色 4 2 19 6 4" xfId="11194" xr:uid="{00000000-0005-0000-0000-000025570000}"/>
    <cellStyle name="强调文字颜色 4 2 19 6 5" xfId="14486" xr:uid="{00000000-0005-0000-0000-000026570000}"/>
    <cellStyle name="强调文字颜色 4 2 19 6 6" xfId="12963" xr:uid="{00000000-0005-0000-0000-000027570000}"/>
    <cellStyle name="强调文字颜色 4 2 19 6 7" xfId="12966" xr:uid="{00000000-0005-0000-0000-000028570000}"/>
    <cellStyle name="强调文字颜色 4 2 19 6 8" xfId="14522" xr:uid="{00000000-0005-0000-0000-000029570000}"/>
    <cellStyle name="强调文字颜色 4 2 19 7" xfId="1296" xr:uid="{00000000-0005-0000-0000-00002A570000}"/>
    <cellStyle name="强调文字颜色 4 2 19 8" xfId="1307" xr:uid="{00000000-0005-0000-0000-00002B570000}"/>
    <cellStyle name="强调文字颜色 4 2 19 9" xfId="1879" xr:uid="{00000000-0005-0000-0000-00002C570000}"/>
    <cellStyle name="强调文字颜色 4 2 19 9 2" xfId="29650" xr:uid="{00000000-0005-0000-0000-00002D570000}"/>
    <cellStyle name="强调文字颜色 4 2 19 9 3" xfId="29651" xr:uid="{00000000-0005-0000-0000-00002E570000}"/>
    <cellStyle name="强调文字颜色 4 2 2" xfId="29654" xr:uid="{00000000-0005-0000-0000-00002F570000}"/>
    <cellStyle name="强调文字颜色 4 2 2 10" xfId="10792" xr:uid="{00000000-0005-0000-0000-000030570000}"/>
    <cellStyle name="强调文字颜色 4 2 2 11" xfId="22520" xr:uid="{00000000-0005-0000-0000-000031570000}"/>
    <cellStyle name="强调文字颜色 4 2 2 12" xfId="29655" xr:uid="{00000000-0005-0000-0000-000032570000}"/>
    <cellStyle name="强调文字颜色 4 2 2 13" xfId="29656" xr:uid="{00000000-0005-0000-0000-000033570000}"/>
    <cellStyle name="强调文字颜色 4 2 2 14" xfId="26808" xr:uid="{00000000-0005-0000-0000-000034570000}"/>
    <cellStyle name="强调文字颜色 4 2 2 2" xfId="29657" xr:uid="{00000000-0005-0000-0000-000035570000}"/>
    <cellStyle name="强调文字颜色 4 2 2 3" xfId="29658" xr:uid="{00000000-0005-0000-0000-000036570000}"/>
    <cellStyle name="强调文字颜色 4 2 2 4" xfId="29659" xr:uid="{00000000-0005-0000-0000-000037570000}"/>
    <cellStyle name="强调文字颜色 4 2 2 5" xfId="29660" xr:uid="{00000000-0005-0000-0000-000038570000}"/>
    <cellStyle name="强调文字颜色 4 2 2 6" xfId="19510" xr:uid="{00000000-0005-0000-0000-000039570000}"/>
    <cellStyle name="强调文字颜色 4 2 2 7" xfId="19513" xr:uid="{00000000-0005-0000-0000-00003A570000}"/>
    <cellStyle name="强调文字颜色 4 2 2 8" xfId="19516" xr:uid="{00000000-0005-0000-0000-00003B570000}"/>
    <cellStyle name="强调文字颜色 4 2 2 9" xfId="19519" xr:uid="{00000000-0005-0000-0000-00003C570000}"/>
    <cellStyle name="强调文字颜色 4 2 20" xfId="21238" xr:uid="{00000000-0005-0000-0000-00003D570000}"/>
    <cellStyle name="强调文字颜色 4 2 20 10" xfId="12341" xr:uid="{00000000-0005-0000-0000-00003E570000}"/>
    <cellStyle name="强调文字颜色 4 2 20 11" xfId="7206" xr:uid="{00000000-0005-0000-0000-00003F570000}"/>
    <cellStyle name="强调文字颜色 4 2 20 12" xfId="7212" xr:uid="{00000000-0005-0000-0000-000040570000}"/>
    <cellStyle name="强调文字颜色 4 2 20 13" xfId="7178" xr:uid="{00000000-0005-0000-0000-000041570000}"/>
    <cellStyle name="强调文字颜色 4 2 20 14" xfId="16764" xr:uid="{00000000-0005-0000-0000-000042570000}"/>
    <cellStyle name="强调文字颜色 4 2 20 2" xfId="29661" xr:uid="{00000000-0005-0000-0000-000043570000}"/>
    <cellStyle name="强调文字颜色 4 2 20 3" xfId="29662" xr:uid="{00000000-0005-0000-0000-000044570000}"/>
    <cellStyle name="强调文字颜色 4 2 20 4" xfId="29663" xr:uid="{00000000-0005-0000-0000-000045570000}"/>
    <cellStyle name="强调文字颜色 4 2 20 5" xfId="29664" xr:uid="{00000000-0005-0000-0000-000046570000}"/>
    <cellStyle name="强调文字颜色 4 2 20 5 10" xfId="2013" xr:uid="{00000000-0005-0000-0000-000047570000}"/>
    <cellStyle name="强调文字颜色 4 2 20 5 11" xfId="29665" xr:uid="{00000000-0005-0000-0000-000048570000}"/>
    <cellStyle name="强调文字颜色 4 2 20 5 2" xfId="4299" xr:uid="{00000000-0005-0000-0000-000049570000}"/>
    <cellStyle name="强调文字颜色 4 2 20 5 2 2" xfId="934" xr:uid="{00000000-0005-0000-0000-00004A570000}"/>
    <cellStyle name="强调文字颜色 4 2 20 5 2 2 2" xfId="29667" xr:uid="{00000000-0005-0000-0000-00004B570000}"/>
    <cellStyle name="强调文字颜色 4 2 20 5 2 2 3" xfId="29669" xr:uid="{00000000-0005-0000-0000-00004C570000}"/>
    <cellStyle name="强调文字颜色 4 2 20 5 2 3" xfId="973" xr:uid="{00000000-0005-0000-0000-00004D570000}"/>
    <cellStyle name="强调文字颜色 4 2 20 5 2 4" xfId="29672" xr:uid="{00000000-0005-0000-0000-00004E570000}"/>
    <cellStyle name="强调文字颜色 4 2 20 5 2 5" xfId="29674" xr:uid="{00000000-0005-0000-0000-00004F570000}"/>
    <cellStyle name="强调文字颜色 4 2 20 5 2 6" xfId="29676" xr:uid="{00000000-0005-0000-0000-000050570000}"/>
    <cellStyle name="强调文字颜色 4 2 20 5 2 7" xfId="21666" xr:uid="{00000000-0005-0000-0000-000051570000}"/>
    <cellStyle name="强调文字颜色 4 2 20 5 2 8" xfId="21249" xr:uid="{00000000-0005-0000-0000-000052570000}"/>
    <cellStyle name="强调文字颜色 4 2 20 5 3" xfId="3965" xr:uid="{00000000-0005-0000-0000-000053570000}"/>
    <cellStyle name="强调文字颜色 4 2 20 5 4" xfId="3990" xr:uid="{00000000-0005-0000-0000-000054570000}"/>
    <cellStyle name="强调文字颜色 4 2 20 5 5" xfId="4923" xr:uid="{00000000-0005-0000-0000-000055570000}"/>
    <cellStyle name="强调文字颜色 4 2 20 5 6" xfId="5225" xr:uid="{00000000-0005-0000-0000-000056570000}"/>
    <cellStyle name="强调文字颜色 4 2 20 5 6 2" xfId="3689" xr:uid="{00000000-0005-0000-0000-000057570000}"/>
    <cellStyle name="强调文字颜色 4 2 20 5 6 3" xfId="3693" xr:uid="{00000000-0005-0000-0000-000058570000}"/>
    <cellStyle name="强调文字颜色 4 2 20 5 7" xfId="2846" xr:uid="{00000000-0005-0000-0000-000059570000}"/>
    <cellStyle name="强调文字颜色 4 2 20 5 8" xfId="2868" xr:uid="{00000000-0005-0000-0000-00005A570000}"/>
    <cellStyle name="强调文字颜色 4 2 20 5 9" xfId="2886" xr:uid="{00000000-0005-0000-0000-00005B570000}"/>
    <cellStyle name="强调文字颜色 4 2 20 6" xfId="29677" xr:uid="{00000000-0005-0000-0000-00005C570000}"/>
    <cellStyle name="强调文字颜色 4 2 20 6 2" xfId="12315" xr:uid="{00000000-0005-0000-0000-00005D570000}"/>
    <cellStyle name="强调文字颜色 4 2 20 6 2 2" xfId="2932" xr:uid="{00000000-0005-0000-0000-00005E570000}"/>
    <cellStyle name="强调文字颜色 4 2 20 6 2 3" xfId="11332" xr:uid="{00000000-0005-0000-0000-00005F570000}"/>
    <cellStyle name="强调文字颜色 4 2 20 6 3" xfId="2952" xr:uid="{00000000-0005-0000-0000-000060570000}"/>
    <cellStyle name="强调文字颜色 4 2 20 6 4" xfId="2967" xr:uid="{00000000-0005-0000-0000-000061570000}"/>
    <cellStyle name="强调文字颜色 4 2 20 6 5" xfId="21582" xr:uid="{00000000-0005-0000-0000-000062570000}"/>
    <cellStyle name="强调文字颜色 4 2 20 6 6" xfId="27038" xr:uid="{00000000-0005-0000-0000-000063570000}"/>
    <cellStyle name="强调文字颜色 4 2 20 6 7" xfId="27040" xr:uid="{00000000-0005-0000-0000-000064570000}"/>
    <cellStyle name="强调文字颜色 4 2 20 6 8" xfId="29678" xr:uid="{00000000-0005-0000-0000-000065570000}"/>
    <cellStyle name="强调文字颜色 4 2 20 7" xfId="29681" xr:uid="{00000000-0005-0000-0000-000066570000}"/>
    <cellStyle name="强调文字颜色 4 2 20 8" xfId="17665" xr:uid="{00000000-0005-0000-0000-000067570000}"/>
    <cellStyle name="强调文字颜色 4 2 20 9" xfId="17667" xr:uid="{00000000-0005-0000-0000-000068570000}"/>
    <cellStyle name="强调文字颜色 4 2 20 9 2" xfId="6203" xr:uid="{00000000-0005-0000-0000-000069570000}"/>
    <cellStyle name="强调文字颜色 4 2 20 9 3" xfId="12095" xr:uid="{00000000-0005-0000-0000-00006A570000}"/>
    <cellStyle name="强调文字颜色 4 2 3" xfId="29682" xr:uid="{00000000-0005-0000-0000-00006B570000}"/>
    <cellStyle name="强调文字颜色 4 2 3 10" xfId="25798" xr:uid="{00000000-0005-0000-0000-00006C570000}"/>
    <cellStyle name="强调文字颜色 4 2 3 11" xfId="20603" xr:uid="{00000000-0005-0000-0000-00006D570000}"/>
    <cellStyle name="强调文字颜色 4 2 3 12" xfId="20606" xr:uid="{00000000-0005-0000-0000-00006E570000}"/>
    <cellStyle name="强调文字颜色 4 2 3 13" xfId="15004" xr:uid="{00000000-0005-0000-0000-00006F570000}"/>
    <cellStyle name="强调文字颜色 4 2 3 14" xfId="15178" xr:uid="{00000000-0005-0000-0000-000070570000}"/>
    <cellStyle name="强调文字颜色 4 2 3 2" xfId="29683" xr:uid="{00000000-0005-0000-0000-000071570000}"/>
    <cellStyle name="强调文字颜色 4 2 3 3" xfId="25305" xr:uid="{00000000-0005-0000-0000-000072570000}"/>
    <cellStyle name="强调文字颜色 4 2 3 4" xfId="25310" xr:uid="{00000000-0005-0000-0000-000073570000}"/>
    <cellStyle name="强调文字颜色 4 2 3 5" xfId="24599" xr:uid="{00000000-0005-0000-0000-000074570000}"/>
    <cellStyle name="强调文字颜色 4 2 3 6" xfId="25312" xr:uid="{00000000-0005-0000-0000-000075570000}"/>
    <cellStyle name="强调文字颜色 4 2 3 7" xfId="25314" xr:uid="{00000000-0005-0000-0000-000076570000}"/>
    <cellStyle name="强调文字颜色 4 2 3 8" xfId="25316" xr:uid="{00000000-0005-0000-0000-000077570000}"/>
    <cellStyle name="强调文字颜色 4 2 3 9" xfId="25318" xr:uid="{00000000-0005-0000-0000-000078570000}"/>
    <cellStyle name="强调文字颜色 4 2 4" xfId="29684" xr:uid="{00000000-0005-0000-0000-000079570000}"/>
    <cellStyle name="强调文字颜色 4 2 4 10" xfId="29685" xr:uid="{00000000-0005-0000-0000-00007A570000}"/>
    <cellStyle name="强调文字颜色 4 2 4 11" xfId="29686" xr:uid="{00000000-0005-0000-0000-00007B570000}"/>
    <cellStyle name="强调文字颜色 4 2 4 12" xfId="25142" xr:uid="{00000000-0005-0000-0000-00007C570000}"/>
    <cellStyle name="强调文字颜色 4 2 4 13" xfId="25218" xr:uid="{00000000-0005-0000-0000-00007D570000}"/>
    <cellStyle name="强调文字颜色 4 2 4 14" xfId="25231" xr:uid="{00000000-0005-0000-0000-00007E570000}"/>
    <cellStyle name="强调文字颜色 4 2 4 2" xfId="7278" xr:uid="{00000000-0005-0000-0000-00007F570000}"/>
    <cellStyle name="强调文字颜色 4 2 4 3" xfId="25321" xr:uid="{00000000-0005-0000-0000-000080570000}"/>
    <cellStyle name="强调文字颜色 4 2 4 4" xfId="25328" xr:uid="{00000000-0005-0000-0000-000081570000}"/>
    <cellStyle name="强调文字颜色 4 2 4 5" xfId="25330" xr:uid="{00000000-0005-0000-0000-000082570000}"/>
    <cellStyle name="强调文字颜色 4 2 4 6" xfId="25332" xr:uid="{00000000-0005-0000-0000-000083570000}"/>
    <cellStyle name="强调文字颜色 4 2 4 7" xfId="24683" xr:uid="{00000000-0005-0000-0000-000084570000}"/>
    <cellStyle name="强调文字颜色 4 2 4 8" xfId="24686" xr:uid="{00000000-0005-0000-0000-000085570000}"/>
    <cellStyle name="强调文字颜色 4 2 4 9" xfId="24689" xr:uid="{00000000-0005-0000-0000-000086570000}"/>
    <cellStyle name="强调文字颜色 4 2 5" xfId="29687" xr:uid="{00000000-0005-0000-0000-000087570000}"/>
    <cellStyle name="强调文字颜色 4 2 6" xfId="29688" xr:uid="{00000000-0005-0000-0000-000088570000}"/>
    <cellStyle name="强调文字颜色 4 2 7" xfId="29689" xr:uid="{00000000-0005-0000-0000-000089570000}"/>
    <cellStyle name="强调文字颜色 4 2 8" xfId="29690" xr:uid="{00000000-0005-0000-0000-00008A570000}"/>
    <cellStyle name="强调文字颜色 4 2 9" xfId="29691" xr:uid="{00000000-0005-0000-0000-00008B570000}"/>
    <cellStyle name="强调文字颜色 4 3" xfId="29692" xr:uid="{00000000-0005-0000-0000-00008C570000}"/>
    <cellStyle name="强调文字颜色 4 3 10" xfId="2323" xr:uid="{00000000-0005-0000-0000-00008D570000}"/>
    <cellStyle name="强调文字颜色 4 3 11" xfId="20299" xr:uid="{00000000-0005-0000-0000-00008E570000}"/>
    <cellStyle name="强调文字颜色 4 3 12" xfId="20303" xr:uid="{00000000-0005-0000-0000-00008F570000}"/>
    <cellStyle name="强调文字颜色 4 3 13" xfId="20309" xr:uid="{00000000-0005-0000-0000-000090570000}"/>
    <cellStyle name="强调文字颜色 4 3 14" xfId="4437" xr:uid="{00000000-0005-0000-0000-000091570000}"/>
    <cellStyle name="强调文字颜色 4 3 15" xfId="4451" xr:uid="{00000000-0005-0000-0000-000092570000}"/>
    <cellStyle name="强调文字颜色 4 3 16" xfId="4467" xr:uid="{00000000-0005-0000-0000-000093570000}"/>
    <cellStyle name="强调文字颜色 4 3 17" xfId="4481" xr:uid="{00000000-0005-0000-0000-000094570000}"/>
    <cellStyle name="强调文字颜色 4 3 17 10" xfId="28143" xr:uid="{00000000-0005-0000-0000-000095570000}"/>
    <cellStyle name="强调文字颜色 4 3 17 11" xfId="28153" xr:uid="{00000000-0005-0000-0000-000096570000}"/>
    <cellStyle name="强调文字颜色 4 3 17 12" xfId="28156" xr:uid="{00000000-0005-0000-0000-000097570000}"/>
    <cellStyle name="强调文字颜色 4 3 17 13" xfId="28159" xr:uid="{00000000-0005-0000-0000-000098570000}"/>
    <cellStyle name="强调文字颜色 4 3 17 14" xfId="28729" xr:uid="{00000000-0005-0000-0000-000099570000}"/>
    <cellStyle name="强调文字颜色 4 3 17 2" xfId="13527" xr:uid="{00000000-0005-0000-0000-00009A570000}"/>
    <cellStyle name="强调文字颜色 4 3 17 2 2" xfId="24179" xr:uid="{00000000-0005-0000-0000-00009B570000}"/>
    <cellStyle name="强调文字颜色 4 3 17 3" xfId="13530" xr:uid="{00000000-0005-0000-0000-00009C570000}"/>
    <cellStyle name="强调文字颜色 4 3 17 4" xfId="21552" xr:uid="{00000000-0005-0000-0000-00009D570000}"/>
    <cellStyle name="强调文字颜色 4 3 17 5" xfId="21554" xr:uid="{00000000-0005-0000-0000-00009E570000}"/>
    <cellStyle name="强调文字颜色 4 3 17 5 10" xfId="29693" xr:uid="{00000000-0005-0000-0000-00009F570000}"/>
    <cellStyle name="强调文字颜色 4 3 17 5 11" xfId="29695" xr:uid="{00000000-0005-0000-0000-0000A0570000}"/>
    <cellStyle name="强调文字颜色 4 3 17 5 2" xfId="1372" xr:uid="{00000000-0005-0000-0000-0000A1570000}"/>
    <cellStyle name="强调文字颜色 4 3 17 5 2 2" xfId="29697" xr:uid="{00000000-0005-0000-0000-0000A2570000}"/>
    <cellStyle name="强调文字颜色 4 3 17 5 2 2 2" xfId="29698" xr:uid="{00000000-0005-0000-0000-0000A3570000}"/>
    <cellStyle name="强调文字颜色 4 3 17 5 2 2 3" xfId="29699" xr:uid="{00000000-0005-0000-0000-0000A4570000}"/>
    <cellStyle name="强调文字颜色 4 3 17 5 2 3" xfId="6621" xr:uid="{00000000-0005-0000-0000-0000A5570000}"/>
    <cellStyle name="强调文字颜色 4 3 17 5 2 4" xfId="6629" xr:uid="{00000000-0005-0000-0000-0000A6570000}"/>
    <cellStyle name="强调文字颜色 4 3 17 5 2 5" xfId="6636" xr:uid="{00000000-0005-0000-0000-0000A7570000}"/>
    <cellStyle name="强调文字颜色 4 3 17 5 2 6" xfId="6642" xr:uid="{00000000-0005-0000-0000-0000A8570000}"/>
    <cellStyle name="强调文字颜色 4 3 17 5 2 7" xfId="6649" xr:uid="{00000000-0005-0000-0000-0000A9570000}"/>
    <cellStyle name="强调文字颜色 4 3 17 5 2 8" xfId="322" xr:uid="{00000000-0005-0000-0000-0000AA570000}"/>
    <cellStyle name="强调文字颜色 4 3 17 5 3" xfId="1385" xr:uid="{00000000-0005-0000-0000-0000AB570000}"/>
    <cellStyle name="强调文字颜色 4 3 17 5 4" xfId="1397" xr:uid="{00000000-0005-0000-0000-0000AC570000}"/>
    <cellStyle name="强调文字颜色 4 3 17 5 5" xfId="1413" xr:uid="{00000000-0005-0000-0000-0000AD570000}"/>
    <cellStyle name="强调文字颜色 4 3 17 5 6" xfId="1677" xr:uid="{00000000-0005-0000-0000-0000AE570000}"/>
    <cellStyle name="强调文字颜色 4 3 17 5 6 2" xfId="12515" xr:uid="{00000000-0005-0000-0000-0000AF570000}"/>
    <cellStyle name="强调文字颜色 4 3 17 5 6 3" xfId="12525" xr:uid="{00000000-0005-0000-0000-0000B0570000}"/>
    <cellStyle name="强调文字颜色 4 3 17 5 7" xfId="20260" xr:uid="{00000000-0005-0000-0000-0000B1570000}"/>
    <cellStyle name="强调文字颜色 4 3 17 5 8" xfId="29700" xr:uid="{00000000-0005-0000-0000-0000B2570000}"/>
    <cellStyle name="强调文字颜色 4 3 17 5 9" xfId="29701" xr:uid="{00000000-0005-0000-0000-0000B3570000}"/>
    <cellStyle name="强调文字颜色 4 3 17 6" xfId="21557" xr:uid="{00000000-0005-0000-0000-0000B4570000}"/>
    <cellStyle name="强调文字颜色 4 3 17 6 2" xfId="1965" xr:uid="{00000000-0005-0000-0000-0000B5570000}"/>
    <cellStyle name="强调文字颜色 4 3 17 6 2 2" xfId="10183" xr:uid="{00000000-0005-0000-0000-0000B6570000}"/>
    <cellStyle name="强调文字颜色 4 3 17 6 2 3" xfId="10191" xr:uid="{00000000-0005-0000-0000-0000B7570000}"/>
    <cellStyle name="强调文字颜色 4 3 17 6 3" xfId="1976" xr:uid="{00000000-0005-0000-0000-0000B8570000}"/>
    <cellStyle name="强调文字颜色 4 3 17 6 4" xfId="1994" xr:uid="{00000000-0005-0000-0000-0000B9570000}"/>
    <cellStyle name="强调文字颜色 4 3 17 6 5" xfId="2014" xr:uid="{00000000-0005-0000-0000-0000BA570000}"/>
    <cellStyle name="强调文字颜色 4 3 17 6 6" xfId="29666" xr:uid="{00000000-0005-0000-0000-0000BB570000}"/>
    <cellStyle name="强调文字颜色 4 3 17 6 7" xfId="29702" xr:uid="{00000000-0005-0000-0000-0000BC570000}"/>
    <cellStyle name="强调文字颜色 4 3 17 6 8" xfId="18717" xr:uid="{00000000-0005-0000-0000-0000BD570000}"/>
    <cellStyle name="强调文字颜色 4 3 17 7" xfId="21560" xr:uid="{00000000-0005-0000-0000-0000BE570000}"/>
    <cellStyle name="强调文字颜色 4 3 17 8" xfId="2789" xr:uid="{00000000-0005-0000-0000-0000BF570000}"/>
    <cellStyle name="强调文字颜色 4 3 17 9" xfId="12106" xr:uid="{00000000-0005-0000-0000-0000C0570000}"/>
    <cellStyle name="强调文字颜色 4 3 17 9 2" xfId="10034" xr:uid="{00000000-0005-0000-0000-0000C1570000}"/>
    <cellStyle name="强调文字颜色 4 3 17 9 3" xfId="10038" xr:uid="{00000000-0005-0000-0000-0000C2570000}"/>
    <cellStyle name="强调文字颜色 4 3 18" xfId="4495" xr:uid="{00000000-0005-0000-0000-0000C3570000}"/>
    <cellStyle name="强调文字颜色 4 3 18 10" xfId="29703" xr:uid="{00000000-0005-0000-0000-0000C4570000}"/>
    <cellStyle name="强调文字颜色 4 3 18 11" xfId="29704" xr:uid="{00000000-0005-0000-0000-0000C5570000}"/>
    <cellStyle name="强调文字颜色 4 3 18 12" xfId="29705" xr:uid="{00000000-0005-0000-0000-0000C6570000}"/>
    <cellStyle name="强调文字颜色 4 3 18 13" xfId="29706" xr:uid="{00000000-0005-0000-0000-0000C7570000}"/>
    <cellStyle name="强调文字颜色 4 3 18 14" xfId="28739" xr:uid="{00000000-0005-0000-0000-0000C8570000}"/>
    <cellStyle name="强调文字颜色 4 3 18 2" xfId="29707" xr:uid="{00000000-0005-0000-0000-0000C9570000}"/>
    <cellStyle name="强调文字颜色 4 3 18 3" xfId="8690" xr:uid="{00000000-0005-0000-0000-0000CA570000}"/>
    <cellStyle name="强调文字颜色 4 3 18 4" xfId="8699" xr:uid="{00000000-0005-0000-0000-0000CB570000}"/>
    <cellStyle name="强调文字颜色 4 3 18 5" xfId="4971" xr:uid="{00000000-0005-0000-0000-0000CC570000}"/>
    <cellStyle name="强调文字颜色 4 3 18 5 10" xfId="29708" xr:uid="{00000000-0005-0000-0000-0000CD570000}"/>
    <cellStyle name="强调文字颜色 4 3 18 5 11" xfId="29710" xr:uid="{00000000-0005-0000-0000-0000CE570000}"/>
    <cellStyle name="强调文字颜色 4 3 18 5 2" xfId="7377" xr:uid="{00000000-0005-0000-0000-0000CF570000}"/>
    <cellStyle name="强调文字颜色 4 3 18 5 2 2" xfId="29712" xr:uid="{00000000-0005-0000-0000-0000D0570000}"/>
    <cellStyle name="强调文字颜色 4 3 18 5 2 2 2" xfId="29713" xr:uid="{00000000-0005-0000-0000-0000D1570000}"/>
    <cellStyle name="强调文字颜色 4 3 18 5 2 2 3" xfId="29714" xr:uid="{00000000-0005-0000-0000-0000D2570000}"/>
    <cellStyle name="强调文字颜色 4 3 18 5 2 3" xfId="23787" xr:uid="{00000000-0005-0000-0000-0000D3570000}"/>
    <cellStyle name="强调文字颜色 4 3 18 5 2 4" xfId="23789" xr:uid="{00000000-0005-0000-0000-0000D4570000}"/>
    <cellStyle name="强调文字颜色 4 3 18 5 2 5" xfId="23791" xr:uid="{00000000-0005-0000-0000-0000D5570000}"/>
    <cellStyle name="强调文字颜色 4 3 18 5 2 6" xfId="23793" xr:uid="{00000000-0005-0000-0000-0000D6570000}"/>
    <cellStyle name="强调文字颜色 4 3 18 5 2 7" xfId="17796" xr:uid="{00000000-0005-0000-0000-0000D7570000}"/>
    <cellStyle name="强调文字颜色 4 3 18 5 2 8" xfId="2431" xr:uid="{00000000-0005-0000-0000-0000D8570000}"/>
    <cellStyle name="强调文字颜色 4 3 18 5 3" xfId="7383" xr:uid="{00000000-0005-0000-0000-0000D9570000}"/>
    <cellStyle name="强调文字颜色 4 3 18 5 4" xfId="760" xr:uid="{00000000-0005-0000-0000-0000DA570000}"/>
    <cellStyle name="强调文字颜色 4 3 18 5 5" xfId="492" xr:uid="{00000000-0005-0000-0000-0000DB570000}"/>
    <cellStyle name="强调文字颜色 4 3 18 5 6" xfId="10131" xr:uid="{00000000-0005-0000-0000-0000DC570000}"/>
    <cellStyle name="强调文字颜色 4 3 18 5 6 2" xfId="29715" xr:uid="{00000000-0005-0000-0000-0000DD570000}"/>
    <cellStyle name="强调文字颜色 4 3 18 5 6 3" xfId="29716" xr:uid="{00000000-0005-0000-0000-0000DE570000}"/>
    <cellStyle name="强调文字颜色 4 3 18 5 7" xfId="11479" xr:uid="{00000000-0005-0000-0000-0000DF570000}"/>
    <cellStyle name="强调文字颜色 4 3 18 5 8" xfId="11482" xr:uid="{00000000-0005-0000-0000-0000E0570000}"/>
    <cellStyle name="强调文字颜色 4 3 18 5 9" xfId="4222" xr:uid="{00000000-0005-0000-0000-0000E1570000}"/>
    <cellStyle name="强调文字颜色 4 3 18 6" xfId="4975" xr:uid="{00000000-0005-0000-0000-0000E2570000}"/>
    <cellStyle name="强调文字颜色 4 3 18 6 2" xfId="29717" xr:uid="{00000000-0005-0000-0000-0000E3570000}"/>
    <cellStyle name="强调文字颜色 4 3 18 6 2 2" xfId="29718" xr:uid="{00000000-0005-0000-0000-0000E4570000}"/>
    <cellStyle name="强调文字颜色 4 3 18 6 2 3" xfId="29719" xr:uid="{00000000-0005-0000-0000-0000E5570000}"/>
    <cellStyle name="强调文字颜色 4 3 18 6 3" xfId="29720" xr:uid="{00000000-0005-0000-0000-0000E6570000}"/>
    <cellStyle name="强调文字颜色 4 3 18 6 4" xfId="29721" xr:uid="{00000000-0005-0000-0000-0000E7570000}"/>
    <cellStyle name="强调文字颜色 4 3 18 6 5" xfId="29722" xr:uid="{00000000-0005-0000-0000-0000E8570000}"/>
    <cellStyle name="强调文字颜色 4 3 18 6 6" xfId="28630" xr:uid="{00000000-0005-0000-0000-0000E9570000}"/>
    <cellStyle name="强调文字颜色 4 3 18 6 7" xfId="28632" xr:uid="{00000000-0005-0000-0000-0000EA570000}"/>
    <cellStyle name="强调文字颜色 4 3 18 6 8" xfId="28634" xr:uid="{00000000-0005-0000-0000-0000EB570000}"/>
    <cellStyle name="强调文字颜色 4 3 18 7" xfId="6258" xr:uid="{00000000-0005-0000-0000-0000EC570000}"/>
    <cellStyle name="强调文字颜色 4 3 18 8" xfId="6267" xr:uid="{00000000-0005-0000-0000-0000ED570000}"/>
    <cellStyle name="强调文字颜色 4 3 18 9" xfId="6275" xr:uid="{00000000-0005-0000-0000-0000EE570000}"/>
    <cellStyle name="强调文字颜色 4 3 18 9 2" xfId="29724" xr:uid="{00000000-0005-0000-0000-0000EF570000}"/>
    <cellStyle name="强调文字颜色 4 3 18 9 3" xfId="29726" xr:uid="{00000000-0005-0000-0000-0000F0570000}"/>
    <cellStyle name="强调文字颜色 4 3 19" xfId="4505" xr:uid="{00000000-0005-0000-0000-0000F1570000}"/>
    <cellStyle name="强调文字颜色 4 3 19 10" xfId="29727" xr:uid="{00000000-0005-0000-0000-0000F2570000}"/>
    <cellStyle name="强调文字颜色 4 3 19 11" xfId="26933" xr:uid="{00000000-0005-0000-0000-0000F3570000}"/>
    <cellStyle name="强调文字颜色 4 3 19 12" xfId="26936" xr:uid="{00000000-0005-0000-0000-0000F4570000}"/>
    <cellStyle name="强调文字颜色 4 3 19 13" xfId="26938" xr:uid="{00000000-0005-0000-0000-0000F5570000}"/>
    <cellStyle name="强调文字颜色 4 3 19 14" xfId="26940" xr:uid="{00000000-0005-0000-0000-0000F6570000}"/>
    <cellStyle name="强调文字颜色 4 3 19 2" xfId="29728" xr:uid="{00000000-0005-0000-0000-0000F7570000}"/>
    <cellStyle name="强调文字颜色 4 3 19 3" xfId="29729" xr:uid="{00000000-0005-0000-0000-0000F8570000}"/>
    <cellStyle name="强调文字颜色 4 3 19 4" xfId="29730" xr:uid="{00000000-0005-0000-0000-0000F9570000}"/>
    <cellStyle name="强调文字颜色 4 3 19 5" xfId="24581" xr:uid="{00000000-0005-0000-0000-0000FA570000}"/>
    <cellStyle name="强调文字颜色 4 3 19 5 10" xfId="29731" xr:uid="{00000000-0005-0000-0000-0000FB570000}"/>
    <cellStyle name="强调文字颜色 4 3 19 5 11" xfId="17389" xr:uid="{00000000-0005-0000-0000-0000FC570000}"/>
    <cellStyle name="强调文字颜色 4 3 19 5 2" xfId="415" xr:uid="{00000000-0005-0000-0000-0000FD570000}"/>
    <cellStyle name="强调文字颜色 4 3 19 5 2 2" xfId="481" xr:uid="{00000000-0005-0000-0000-0000FE570000}"/>
    <cellStyle name="强调文字颜色 4 3 19 5 2 2 2" xfId="20009" xr:uid="{00000000-0005-0000-0000-0000FF570000}"/>
    <cellStyle name="强调文字颜色 4 3 19 5 2 2 3" xfId="20011" xr:uid="{00000000-0005-0000-0000-000000580000}"/>
    <cellStyle name="强调文字颜色 4 3 19 5 2 3" xfId="4338" xr:uid="{00000000-0005-0000-0000-000001580000}"/>
    <cellStyle name="强调文字颜色 4 3 19 5 2 4" xfId="24314" xr:uid="{00000000-0005-0000-0000-000002580000}"/>
    <cellStyle name="强调文字颜色 4 3 19 5 2 5" xfId="24318" xr:uid="{00000000-0005-0000-0000-000003580000}"/>
    <cellStyle name="强调文字颜色 4 3 19 5 2 6" xfId="24322" xr:uid="{00000000-0005-0000-0000-000004580000}"/>
    <cellStyle name="强调文字颜色 4 3 19 5 2 7" xfId="17843" xr:uid="{00000000-0005-0000-0000-000005580000}"/>
    <cellStyle name="强调文字颜色 4 3 19 5 2 8" xfId="17853" xr:uid="{00000000-0005-0000-0000-000006580000}"/>
    <cellStyle name="强调文字颜色 4 3 19 5 3" xfId="23859" xr:uid="{00000000-0005-0000-0000-000007580000}"/>
    <cellStyle name="强调文字颜色 4 3 19 5 4" xfId="23861" xr:uid="{00000000-0005-0000-0000-000008580000}"/>
    <cellStyle name="强调文字颜色 4 3 19 5 5" xfId="666" xr:uid="{00000000-0005-0000-0000-000009580000}"/>
    <cellStyle name="强调文字颜色 4 3 19 5 6" xfId="11297" xr:uid="{00000000-0005-0000-0000-00000A580000}"/>
    <cellStyle name="强调文字颜色 4 3 19 5 6 2" xfId="29733" xr:uid="{00000000-0005-0000-0000-00000B580000}"/>
    <cellStyle name="强调文字颜色 4 3 19 5 6 3" xfId="29734" xr:uid="{00000000-0005-0000-0000-00000C580000}"/>
    <cellStyle name="强调文字颜色 4 3 19 5 7" xfId="29735" xr:uid="{00000000-0005-0000-0000-00000D580000}"/>
    <cellStyle name="强调文字颜色 4 3 19 5 8" xfId="29736" xr:uid="{00000000-0005-0000-0000-00000E580000}"/>
    <cellStyle name="强调文字颜色 4 3 19 5 9" xfId="15182" xr:uid="{00000000-0005-0000-0000-00000F580000}"/>
    <cellStyle name="强调文字颜色 4 3 19 6" xfId="29737" xr:uid="{00000000-0005-0000-0000-000010580000}"/>
    <cellStyle name="强调文字颜色 4 3 19 6 2" xfId="17748" xr:uid="{00000000-0005-0000-0000-000011580000}"/>
    <cellStyle name="强调文字颜色 4 3 19 6 2 2" xfId="13334" xr:uid="{00000000-0005-0000-0000-000012580000}"/>
    <cellStyle name="强调文字颜色 4 3 19 6 2 3" xfId="13336" xr:uid="{00000000-0005-0000-0000-000013580000}"/>
    <cellStyle name="强调文字颜色 4 3 19 6 3" xfId="29738" xr:uid="{00000000-0005-0000-0000-000014580000}"/>
    <cellStyle name="强调文字颜色 4 3 19 6 4" xfId="29739" xr:uid="{00000000-0005-0000-0000-000015580000}"/>
    <cellStyle name="强调文字颜色 4 3 19 6 5" xfId="29740" xr:uid="{00000000-0005-0000-0000-000016580000}"/>
    <cellStyle name="强调文字颜色 4 3 19 6 6" xfId="29741" xr:uid="{00000000-0005-0000-0000-000017580000}"/>
    <cellStyle name="强调文字颜色 4 3 19 6 7" xfId="29742" xr:uid="{00000000-0005-0000-0000-000018580000}"/>
    <cellStyle name="强调文字颜色 4 3 19 6 8" xfId="29743" xr:uid="{00000000-0005-0000-0000-000019580000}"/>
    <cellStyle name="强调文字颜色 4 3 19 7" xfId="29744" xr:uid="{00000000-0005-0000-0000-00001A580000}"/>
    <cellStyle name="强调文字颜色 4 3 19 8" xfId="29745" xr:uid="{00000000-0005-0000-0000-00001B580000}"/>
    <cellStyle name="强调文字颜色 4 3 19 9" xfId="29746" xr:uid="{00000000-0005-0000-0000-00001C580000}"/>
    <cellStyle name="强调文字颜色 4 3 19 9 2" xfId="29748" xr:uid="{00000000-0005-0000-0000-00001D580000}"/>
    <cellStyle name="强调文字颜色 4 3 19 9 3" xfId="29749" xr:uid="{00000000-0005-0000-0000-00001E580000}"/>
    <cellStyle name="强调文字颜色 4 3 2" xfId="11667" xr:uid="{00000000-0005-0000-0000-00001F580000}"/>
    <cellStyle name="强调文字颜色 4 3 2 10" xfId="29751" xr:uid="{00000000-0005-0000-0000-000020580000}"/>
    <cellStyle name="强调文字颜色 4 3 2 11" xfId="21641" xr:uid="{00000000-0005-0000-0000-000021580000}"/>
    <cellStyle name="强调文字颜色 4 3 2 12" xfId="21691" xr:uid="{00000000-0005-0000-0000-000022580000}"/>
    <cellStyle name="强调文字颜色 4 3 2 13" xfId="21721" xr:uid="{00000000-0005-0000-0000-000023580000}"/>
    <cellStyle name="强调文字颜色 4 3 2 14" xfId="21733" xr:uid="{00000000-0005-0000-0000-000024580000}"/>
    <cellStyle name="强调文字颜色 4 3 2 2" xfId="29752" xr:uid="{00000000-0005-0000-0000-000025580000}"/>
    <cellStyle name="强调文字颜色 4 3 2 3" xfId="29753" xr:uid="{00000000-0005-0000-0000-000026580000}"/>
    <cellStyle name="强调文字颜色 4 3 2 4" xfId="29754" xr:uid="{00000000-0005-0000-0000-000027580000}"/>
    <cellStyle name="强调文字颜色 4 3 2 5" xfId="29755" xr:uid="{00000000-0005-0000-0000-000028580000}"/>
    <cellStyle name="强调文字颜色 4 3 2 6" xfId="29756" xr:uid="{00000000-0005-0000-0000-000029580000}"/>
    <cellStyle name="强调文字颜色 4 3 2 7" xfId="29757" xr:uid="{00000000-0005-0000-0000-00002A580000}"/>
    <cellStyle name="强调文字颜色 4 3 2 8" xfId="29758" xr:uid="{00000000-0005-0000-0000-00002B580000}"/>
    <cellStyle name="强调文字颜色 4 3 2 9" xfId="29759" xr:uid="{00000000-0005-0000-0000-00002C580000}"/>
    <cellStyle name="强调文字颜色 4 3 20" xfId="4452" xr:uid="{00000000-0005-0000-0000-00002D580000}"/>
    <cellStyle name="强调文字颜色 4 3 20 10" xfId="29761" xr:uid="{00000000-0005-0000-0000-00002E580000}"/>
    <cellStyle name="强调文字颜色 4 3 20 11" xfId="29763" xr:uid="{00000000-0005-0000-0000-00002F580000}"/>
    <cellStyle name="强调文字颜色 4 3 20 12" xfId="29344" xr:uid="{00000000-0005-0000-0000-000030580000}"/>
    <cellStyle name="强调文字颜色 4 3 20 13" xfId="29347" xr:uid="{00000000-0005-0000-0000-000031580000}"/>
    <cellStyle name="强调文字颜色 4 3 20 14" xfId="28387" xr:uid="{00000000-0005-0000-0000-000032580000}"/>
    <cellStyle name="强调文字颜色 4 3 20 2" xfId="29764" xr:uid="{00000000-0005-0000-0000-000033580000}"/>
    <cellStyle name="强调文字颜色 4 3 20 3" xfId="22599" xr:uid="{00000000-0005-0000-0000-000034580000}"/>
    <cellStyle name="强调文字颜色 4 3 20 4" xfId="22601" xr:uid="{00000000-0005-0000-0000-000035580000}"/>
    <cellStyle name="强调文字颜色 4 3 20 5" xfId="22603" xr:uid="{00000000-0005-0000-0000-000036580000}"/>
    <cellStyle name="强调文字颜色 4 3 20 5 10" xfId="11614" xr:uid="{00000000-0005-0000-0000-000037580000}"/>
    <cellStyle name="强调文字颜色 4 3 20 5 11" xfId="11621" xr:uid="{00000000-0005-0000-0000-000038580000}"/>
    <cellStyle name="强调文字颜色 4 3 20 5 2" xfId="28603" xr:uid="{00000000-0005-0000-0000-000039580000}"/>
    <cellStyle name="强调文字颜色 4 3 20 5 2 2" xfId="8554" xr:uid="{00000000-0005-0000-0000-00003A580000}"/>
    <cellStyle name="强调文字颜色 4 3 20 5 2 2 2" xfId="23091" xr:uid="{00000000-0005-0000-0000-00003B580000}"/>
    <cellStyle name="强调文字颜色 4 3 20 5 2 2 3" xfId="23095" xr:uid="{00000000-0005-0000-0000-00003C580000}"/>
    <cellStyle name="强调文字颜色 4 3 20 5 2 3" xfId="8561" xr:uid="{00000000-0005-0000-0000-00003D580000}"/>
    <cellStyle name="强调文字颜色 4 3 20 5 2 4" xfId="21361" xr:uid="{00000000-0005-0000-0000-00003E580000}"/>
    <cellStyle name="强调文字颜色 4 3 20 5 2 5" xfId="21367" xr:uid="{00000000-0005-0000-0000-00003F580000}"/>
    <cellStyle name="强调文字颜色 4 3 20 5 2 6" xfId="21373" xr:uid="{00000000-0005-0000-0000-000040580000}"/>
    <cellStyle name="强调文字颜色 4 3 20 5 2 7" xfId="21723" xr:uid="{00000000-0005-0000-0000-000041580000}"/>
    <cellStyle name="强调文字颜色 4 3 20 5 2 8" xfId="21727" xr:uid="{00000000-0005-0000-0000-000042580000}"/>
    <cellStyle name="强调文字颜色 4 3 20 5 3" xfId="28605" xr:uid="{00000000-0005-0000-0000-000043580000}"/>
    <cellStyle name="强调文字颜色 4 3 20 5 4" xfId="28607" xr:uid="{00000000-0005-0000-0000-000044580000}"/>
    <cellStyle name="强调文字颜色 4 3 20 5 5" xfId="29765" xr:uid="{00000000-0005-0000-0000-000045580000}"/>
    <cellStyle name="强调文字颜色 4 3 20 5 6" xfId="29766" xr:uid="{00000000-0005-0000-0000-000046580000}"/>
    <cellStyle name="强调文字颜色 4 3 20 5 6 2" xfId="29767" xr:uid="{00000000-0005-0000-0000-000047580000}"/>
    <cellStyle name="强调文字颜色 4 3 20 5 6 3" xfId="29768" xr:uid="{00000000-0005-0000-0000-000048580000}"/>
    <cellStyle name="强调文字颜色 4 3 20 5 7" xfId="29769" xr:uid="{00000000-0005-0000-0000-000049580000}"/>
    <cellStyle name="强调文字颜色 4 3 20 5 8" xfId="29770" xr:uid="{00000000-0005-0000-0000-00004A580000}"/>
    <cellStyle name="强调文字颜色 4 3 20 5 9" xfId="23514" xr:uid="{00000000-0005-0000-0000-00004B580000}"/>
    <cellStyle name="强调文字颜色 4 3 20 6" xfId="22605" xr:uid="{00000000-0005-0000-0000-00004C580000}"/>
    <cellStyle name="强调文字颜色 4 3 20 6 2" xfId="8596" xr:uid="{00000000-0005-0000-0000-00004D580000}"/>
    <cellStyle name="强调文字颜色 4 3 20 6 2 2" xfId="21764" xr:uid="{00000000-0005-0000-0000-00004E580000}"/>
    <cellStyle name="强调文字颜色 4 3 20 6 2 3" xfId="21770" xr:uid="{00000000-0005-0000-0000-00004F580000}"/>
    <cellStyle name="强调文字颜色 4 3 20 6 3" xfId="8602" xr:uid="{00000000-0005-0000-0000-000050580000}"/>
    <cellStyle name="强调文字颜色 4 3 20 6 4" xfId="8613" xr:uid="{00000000-0005-0000-0000-000051580000}"/>
    <cellStyle name="强调文字颜色 4 3 20 6 5" xfId="21775" xr:uid="{00000000-0005-0000-0000-000052580000}"/>
    <cellStyle name="强调文字颜色 4 3 20 6 6" xfId="29771" xr:uid="{00000000-0005-0000-0000-000053580000}"/>
    <cellStyle name="强调文字颜色 4 3 20 6 7" xfId="29773" xr:uid="{00000000-0005-0000-0000-000054580000}"/>
    <cellStyle name="强调文字颜色 4 3 20 6 8" xfId="26566" xr:uid="{00000000-0005-0000-0000-000055580000}"/>
    <cellStyle name="强调文字颜色 4 3 20 7" xfId="22607" xr:uid="{00000000-0005-0000-0000-000056580000}"/>
    <cellStyle name="强调文字颜色 4 3 20 8" xfId="29775" xr:uid="{00000000-0005-0000-0000-000057580000}"/>
    <cellStyle name="强调文字颜色 4 3 20 9" xfId="29776" xr:uid="{00000000-0005-0000-0000-000058580000}"/>
    <cellStyle name="强调文字颜色 4 3 20 9 2" xfId="13771" xr:uid="{00000000-0005-0000-0000-000059580000}"/>
    <cellStyle name="强调文字颜色 4 3 20 9 3" xfId="13778" xr:uid="{00000000-0005-0000-0000-00005A580000}"/>
    <cellStyle name="强调文字颜色 4 3 3" xfId="29777" xr:uid="{00000000-0005-0000-0000-00005B580000}"/>
    <cellStyle name="强调文字颜色 4 3 3 10" xfId="3648" xr:uid="{00000000-0005-0000-0000-00005C580000}"/>
    <cellStyle name="强调文字颜色 4 3 3 11" xfId="3655" xr:uid="{00000000-0005-0000-0000-00005D580000}"/>
    <cellStyle name="强调文字颜色 4 3 3 12" xfId="17191" xr:uid="{00000000-0005-0000-0000-00005E580000}"/>
    <cellStyle name="强调文字颜色 4 3 3 13" xfId="17194" xr:uid="{00000000-0005-0000-0000-00005F580000}"/>
    <cellStyle name="强调文字颜色 4 3 3 14" xfId="19081" xr:uid="{00000000-0005-0000-0000-000060580000}"/>
    <cellStyle name="强调文字颜色 4 3 3 2" xfId="29778" xr:uid="{00000000-0005-0000-0000-000061580000}"/>
    <cellStyle name="强调文字颜色 4 3 3 3" xfId="25348" xr:uid="{00000000-0005-0000-0000-000062580000}"/>
    <cellStyle name="强调文字颜色 4 3 3 4" xfId="25360" xr:uid="{00000000-0005-0000-0000-000063580000}"/>
    <cellStyle name="强调文字颜色 4 3 3 5" xfId="25363" xr:uid="{00000000-0005-0000-0000-000064580000}"/>
    <cellStyle name="强调文字颜色 4 3 3 6" xfId="25366" xr:uid="{00000000-0005-0000-0000-000065580000}"/>
    <cellStyle name="强调文字颜色 4 3 3 7" xfId="25369" xr:uid="{00000000-0005-0000-0000-000066580000}"/>
    <cellStyle name="强调文字颜色 4 3 3 8" xfId="25374" xr:uid="{00000000-0005-0000-0000-000067580000}"/>
    <cellStyle name="强调文字颜色 4 3 3 9" xfId="25377" xr:uid="{00000000-0005-0000-0000-000068580000}"/>
    <cellStyle name="强调文字颜色 4 3 4" xfId="29780" xr:uid="{00000000-0005-0000-0000-000069580000}"/>
    <cellStyle name="强调文字颜色 4 3 4 10" xfId="12877" xr:uid="{00000000-0005-0000-0000-00006A580000}"/>
    <cellStyle name="强调文字颜色 4 3 4 11" xfId="12890" xr:uid="{00000000-0005-0000-0000-00006B580000}"/>
    <cellStyle name="强调文字颜色 4 3 4 12" xfId="12893" xr:uid="{00000000-0005-0000-0000-00006C580000}"/>
    <cellStyle name="强调文字颜色 4 3 4 13" xfId="12896" xr:uid="{00000000-0005-0000-0000-00006D580000}"/>
    <cellStyle name="强调文字颜色 4 3 4 14" xfId="12900" xr:uid="{00000000-0005-0000-0000-00006E580000}"/>
    <cellStyle name="强调文字颜色 4 3 4 2" xfId="24767" xr:uid="{00000000-0005-0000-0000-00006F580000}"/>
    <cellStyle name="强调文字颜色 4 3 4 3" xfId="25380" xr:uid="{00000000-0005-0000-0000-000070580000}"/>
    <cellStyle name="强调文字颜色 4 3 4 4" xfId="25386" xr:uid="{00000000-0005-0000-0000-000071580000}"/>
    <cellStyle name="强调文字颜色 4 3 4 5" xfId="25389" xr:uid="{00000000-0005-0000-0000-000072580000}"/>
    <cellStyle name="强调文字颜色 4 3 4 6" xfId="25392" xr:uid="{00000000-0005-0000-0000-000073580000}"/>
    <cellStyle name="强调文字颜色 4 3 4 7" xfId="25395" xr:uid="{00000000-0005-0000-0000-000074580000}"/>
    <cellStyle name="强调文字颜色 4 3 4 8" xfId="25398" xr:uid="{00000000-0005-0000-0000-000075580000}"/>
    <cellStyle name="强调文字颜色 4 3 4 9" xfId="25401" xr:uid="{00000000-0005-0000-0000-000076580000}"/>
    <cellStyle name="强调文字颜色 4 3 5" xfId="29781" xr:uid="{00000000-0005-0000-0000-000077580000}"/>
    <cellStyle name="强调文字颜色 4 3 6" xfId="11683" xr:uid="{00000000-0005-0000-0000-000078580000}"/>
    <cellStyle name="强调文字颜色 4 3 7" xfId="20372" xr:uid="{00000000-0005-0000-0000-000079580000}"/>
    <cellStyle name="强调文字颜色 4 3 8" xfId="29782" xr:uid="{00000000-0005-0000-0000-00007A580000}"/>
    <cellStyle name="强调文字颜色 4 3 9" xfId="4530" xr:uid="{00000000-0005-0000-0000-00007B580000}"/>
    <cellStyle name="强调文字颜色 4 4" xfId="29783" xr:uid="{00000000-0005-0000-0000-00007C580000}"/>
    <cellStyle name="强调文字颜色 4 4 10" xfId="29785" xr:uid="{00000000-0005-0000-0000-00007D580000}"/>
    <cellStyle name="强调文字颜色 4 4 11" xfId="29787" xr:uid="{00000000-0005-0000-0000-00007E580000}"/>
    <cellStyle name="强调文字颜色 4 4 12" xfId="11778" xr:uid="{00000000-0005-0000-0000-00007F580000}"/>
    <cellStyle name="强调文字颜色 4 4 13" xfId="11788" xr:uid="{00000000-0005-0000-0000-000080580000}"/>
    <cellStyle name="强调文字颜色 4 4 14" xfId="20943" xr:uid="{00000000-0005-0000-0000-000081580000}"/>
    <cellStyle name="强调文字颜色 4 4 15" xfId="20946" xr:uid="{00000000-0005-0000-0000-000082580000}"/>
    <cellStyle name="强调文字颜色 4 4 16" xfId="20950" xr:uid="{00000000-0005-0000-0000-000083580000}"/>
    <cellStyle name="强调文字颜色 4 4 17" xfId="27575" xr:uid="{00000000-0005-0000-0000-000084580000}"/>
    <cellStyle name="强调文字颜色 4 4 17 10" xfId="29788" xr:uid="{00000000-0005-0000-0000-000085580000}"/>
    <cellStyle name="强调文字颜色 4 4 17 11" xfId="29789" xr:uid="{00000000-0005-0000-0000-000086580000}"/>
    <cellStyle name="强调文字颜色 4 4 17 12" xfId="29790" xr:uid="{00000000-0005-0000-0000-000087580000}"/>
    <cellStyle name="强调文字颜色 4 4 17 13" xfId="29791" xr:uid="{00000000-0005-0000-0000-000088580000}"/>
    <cellStyle name="强调文字颜色 4 4 17 14" xfId="29792" xr:uid="{00000000-0005-0000-0000-000089580000}"/>
    <cellStyle name="强调文字颜色 4 4 17 2" xfId="29793" xr:uid="{00000000-0005-0000-0000-00008A580000}"/>
    <cellStyle name="强调文字颜色 4 4 17 3" xfId="22933" xr:uid="{00000000-0005-0000-0000-00008B580000}"/>
    <cellStyle name="强调文字颜色 4 4 17 4" xfId="22940" xr:uid="{00000000-0005-0000-0000-00008C580000}"/>
    <cellStyle name="强调文字颜色 4 4 17 5" xfId="22943" xr:uid="{00000000-0005-0000-0000-00008D580000}"/>
    <cellStyle name="强调文字颜色 4 4 17 5 10" xfId="29795" xr:uid="{00000000-0005-0000-0000-00008E580000}"/>
    <cellStyle name="强调文字颜色 4 4 17 5 11" xfId="29796" xr:uid="{00000000-0005-0000-0000-00008F580000}"/>
    <cellStyle name="强调文字颜色 4 4 17 5 2" xfId="29797" xr:uid="{00000000-0005-0000-0000-000090580000}"/>
    <cellStyle name="强调文字颜色 4 4 17 5 2 2" xfId="9518" xr:uid="{00000000-0005-0000-0000-000091580000}"/>
    <cellStyle name="强调文字颜色 4 4 17 5 2 2 2" xfId="29798" xr:uid="{00000000-0005-0000-0000-000092580000}"/>
    <cellStyle name="强调文字颜色 4 4 17 5 2 2 3" xfId="29799" xr:uid="{00000000-0005-0000-0000-000093580000}"/>
    <cellStyle name="强调文字颜色 4 4 17 5 2 3" xfId="9531" xr:uid="{00000000-0005-0000-0000-000094580000}"/>
    <cellStyle name="强调文字颜色 4 4 17 5 2 4" xfId="9807" xr:uid="{00000000-0005-0000-0000-000095580000}"/>
    <cellStyle name="强调文字颜色 4 4 17 5 2 5" xfId="10967" xr:uid="{00000000-0005-0000-0000-000096580000}"/>
    <cellStyle name="强调文字颜色 4 4 17 5 2 6" xfId="10972" xr:uid="{00000000-0005-0000-0000-000097580000}"/>
    <cellStyle name="强调文字颜色 4 4 17 5 2 7" xfId="10977" xr:uid="{00000000-0005-0000-0000-000098580000}"/>
    <cellStyle name="强调文字颜色 4 4 17 5 2 8" xfId="29800" xr:uid="{00000000-0005-0000-0000-000099580000}"/>
    <cellStyle name="强调文字颜色 4 4 17 5 3" xfId="29801" xr:uid="{00000000-0005-0000-0000-00009A580000}"/>
    <cellStyle name="强调文字颜色 4 4 17 5 4" xfId="29802" xr:uid="{00000000-0005-0000-0000-00009B580000}"/>
    <cellStyle name="强调文字颜色 4 4 17 5 5" xfId="29803" xr:uid="{00000000-0005-0000-0000-00009C580000}"/>
    <cellStyle name="强调文字颜色 4 4 17 5 6" xfId="29804" xr:uid="{00000000-0005-0000-0000-00009D580000}"/>
    <cellStyle name="强调文字颜色 4 4 17 5 6 2" xfId="29806" xr:uid="{00000000-0005-0000-0000-00009E580000}"/>
    <cellStyle name="强调文字颜色 4 4 17 5 6 3" xfId="29807" xr:uid="{00000000-0005-0000-0000-00009F580000}"/>
    <cellStyle name="强调文字颜色 4 4 17 5 7" xfId="24238" xr:uid="{00000000-0005-0000-0000-0000A0580000}"/>
    <cellStyle name="强调文字颜色 4 4 17 5 8" xfId="24240" xr:uid="{00000000-0005-0000-0000-0000A1580000}"/>
    <cellStyle name="强调文字颜色 4 4 17 5 9" xfId="24242" xr:uid="{00000000-0005-0000-0000-0000A2580000}"/>
    <cellStyle name="强调文字颜色 4 4 17 6" xfId="22945" xr:uid="{00000000-0005-0000-0000-0000A3580000}"/>
    <cellStyle name="强调文字颜色 4 4 17 6 2" xfId="29808" xr:uid="{00000000-0005-0000-0000-0000A4580000}"/>
    <cellStyle name="强调文字颜色 4 4 17 6 2 2" xfId="11631" xr:uid="{00000000-0005-0000-0000-0000A5580000}"/>
    <cellStyle name="强调文字颜色 4 4 17 6 2 3" xfId="11634" xr:uid="{00000000-0005-0000-0000-0000A6580000}"/>
    <cellStyle name="强调文字颜色 4 4 17 6 3" xfId="29809" xr:uid="{00000000-0005-0000-0000-0000A7580000}"/>
    <cellStyle name="强调文字颜色 4 4 17 6 4" xfId="29810" xr:uid="{00000000-0005-0000-0000-0000A8580000}"/>
    <cellStyle name="强调文字颜色 4 4 17 6 5" xfId="29811" xr:uid="{00000000-0005-0000-0000-0000A9580000}"/>
    <cellStyle name="强调文字颜色 4 4 17 6 6" xfId="29812" xr:uid="{00000000-0005-0000-0000-0000AA580000}"/>
    <cellStyle name="强调文字颜色 4 4 17 6 7" xfId="29813" xr:uid="{00000000-0005-0000-0000-0000AB580000}"/>
    <cellStyle name="强调文字颜色 4 4 17 6 8" xfId="29814" xr:uid="{00000000-0005-0000-0000-0000AC580000}"/>
    <cellStyle name="强调文字颜色 4 4 17 7" xfId="22947" xr:uid="{00000000-0005-0000-0000-0000AD580000}"/>
    <cellStyle name="强调文字颜色 4 4 17 8" xfId="22949" xr:uid="{00000000-0005-0000-0000-0000AE580000}"/>
    <cellStyle name="强调文字颜色 4 4 17 9" xfId="22951" xr:uid="{00000000-0005-0000-0000-0000AF580000}"/>
    <cellStyle name="强调文字颜色 4 4 17 9 2" xfId="29815" xr:uid="{00000000-0005-0000-0000-0000B0580000}"/>
    <cellStyle name="强调文字颜色 4 4 17 9 3" xfId="29816" xr:uid="{00000000-0005-0000-0000-0000B1580000}"/>
    <cellStyle name="强调文字颜色 4 4 18" xfId="27577" xr:uid="{00000000-0005-0000-0000-0000B2580000}"/>
    <cellStyle name="强调文字颜色 4 4 18 10" xfId="29817" xr:uid="{00000000-0005-0000-0000-0000B3580000}"/>
    <cellStyle name="强调文字颜色 4 4 18 11" xfId="14411" xr:uid="{00000000-0005-0000-0000-0000B4580000}"/>
    <cellStyle name="强调文字颜色 4 4 18 12" xfId="14414" xr:uid="{00000000-0005-0000-0000-0000B5580000}"/>
    <cellStyle name="强调文字颜色 4 4 18 13" xfId="22692" xr:uid="{00000000-0005-0000-0000-0000B6580000}"/>
    <cellStyle name="强调文字颜色 4 4 18 14" xfId="22694" xr:uid="{00000000-0005-0000-0000-0000B7580000}"/>
    <cellStyle name="强调文字颜色 4 4 18 2" xfId="29818" xr:uid="{00000000-0005-0000-0000-0000B8580000}"/>
    <cellStyle name="强调文字颜色 4 4 18 3" xfId="5015" xr:uid="{00000000-0005-0000-0000-0000B9580000}"/>
    <cellStyle name="强调文字颜色 4 4 18 4" xfId="5017" xr:uid="{00000000-0005-0000-0000-0000BA580000}"/>
    <cellStyle name="强调文字颜色 4 4 18 5" xfId="5019" xr:uid="{00000000-0005-0000-0000-0000BB580000}"/>
    <cellStyle name="强调文字颜色 4 4 18 5 10" xfId="29820" xr:uid="{00000000-0005-0000-0000-0000BC580000}"/>
    <cellStyle name="强调文字颜色 4 4 18 5 11" xfId="29653" xr:uid="{00000000-0005-0000-0000-0000BD580000}"/>
    <cellStyle name="强调文字颜色 4 4 18 5 2" xfId="9803" xr:uid="{00000000-0005-0000-0000-0000BE580000}"/>
    <cellStyle name="强调文字颜色 4 4 18 5 2 2" xfId="16900" xr:uid="{00000000-0005-0000-0000-0000BF580000}"/>
    <cellStyle name="强调文字颜色 4 4 18 5 2 2 2" xfId="381" xr:uid="{00000000-0005-0000-0000-0000C0580000}"/>
    <cellStyle name="强调文字颜色 4 4 18 5 2 2 3" xfId="1771" xr:uid="{00000000-0005-0000-0000-0000C1580000}"/>
    <cellStyle name="强调文字颜色 4 4 18 5 2 3" xfId="16903" xr:uid="{00000000-0005-0000-0000-0000C2580000}"/>
    <cellStyle name="强调文字颜色 4 4 18 5 2 4" xfId="16928" xr:uid="{00000000-0005-0000-0000-0000C3580000}"/>
    <cellStyle name="强调文字颜色 4 4 18 5 2 5" xfId="16946" xr:uid="{00000000-0005-0000-0000-0000C4580000}"/>
    <cellStyle name="强调文字颜色 4 4 18 5 2 6" xfId="16949" xr:uid="{00000000-0005-0000-0000-0000C5580000}"/>
    <cellStyle name="强调文字颜色 4 4 18 5 2 7" xfId="16955" xr:uid="{00000000-0005-0000-0000-0000C6580000}"/>
    <cellStyle name="强调文字颜色 4 4 18 5 2 8" xfId="27322" xr:uid="{00000000-0005-0000-0000-0000C7580000}"/>
    <cellStyle name="强调文字颜色 4 4 18 5 3" xfId="9527" xr:uid="{00000000-0005-0000-0000-0000C8580000}"/>
    <cellStyle name="强调文字颜色 4 4 18 5 4" xfId="9538" xr:uid="{00000000-0005-0000-0000-0000C9580000}"/>
    <cellStyle name="强调文字颜色 4 4 18 5 5" xfId="9813" xr:uid="{00000000-0005-0000-0000-0000CA580000}"/>
    <cellStyle name="强调文字颜色 4 4 18 5 6" xfId="14723" xr:uid="{00000000-0005-0000-0000-0000CB580000}"/>
    <cellStyle name="强调文字颜色 4 4 18 5 6 2" xfId="24328" xr:uid="{00000000-0005-0000-0000-0000CC580000}"/>
    <cellStyle name="强调文字颜色 4 4 18 5 6 3" xfId="24332" xr:uid="{00000000-0005-0000-0000-0000CD580000}"/>
    <cellStyle name="强调文字颜色 4 4 18 5 7" xfId="14727" xr:uid="{00000000-0005-0000-0000-0000CE580000}"/>
    <cellStyle name="强调文字颜色 4 4 18 5 8" xfId="16546" xr:uid="{00000000-0005-0000-0000-0000CF580000}"/>
    <cellStyle name="强调文字颜色 4 4 18 5 9" xfId="16550" xr:uid="{00000000-0005-0000-0000-0000D0580000}"/>
    <cellStyle name="强调文字颜色 4 4 18 6" xfId="5023" xr:uid="{00000000-0005-0000-0000-0000D1580000}"/>
    <cellStyle name="强调文字颜色 4 4 18 6 2" xfId="29821" xr:uid="{00000000-0005-0000-0000-0000D2580000}"/>
    <cellStyle name="强调文字颜色 4 4 18 6 2 2" xfId="892" xr:uid="{00000000-0005-0000-0000-0000D3580000}"/>
    <cellStyle name="强调文字颜色 4 4 18 6 2 3" xfId="23451" xr:uid="{00000000-0005-0000-0000-0000D4580000}"/>
    <cellStyle name="强调文字颜色 4 4 18 6 3" xfId="29822" xr:uid="{00000000-0005-0000-0000-0000D5580000}"/>
    <cellStyle name="强调文字颜色 4 4 18 6 4" xfId="29823" xr:uid="{00000000-0005-0000-0000-0000D6580000}"/>
    <cellStyle name="强调文字颜色 4 4 18 6 5" xfId="29824" xr:uid="{00000000-0005-0000-0000-0000D7580000}"/>
    <cellStyle name="强调文字颜色 4 4 18 6 6" xfId="29283" xr:uid="{00000000-0005-0000-0000-0000D8580000}"/>
    <cellStyle name="强调文字颜色 4 4 18 6 7" xfId="22723" xr:uid="{00000000-0005-0000-0000-0000D9580000}"/>
    <cellStyle name="强调文字颜色 4 4 18 6 8" xfId="22727" xr:uid="{00000000-0005-0000-0000-0000DA580000}"/>
    <cellStyle name="强调文字颜色 4 4 18 7" xfId="5026" xr:uid="{00000000-0005-0000-0000-0000DB580000}"/>
    <cellStyle name="强调文字颜色 4 4 18 8" xfId="29825" xr:uid="{00000000-0005-0000-0000-0000DC580000}"/>
    <cellStyle name="强调文字颜色 4 4 18 9" xfId="29826" xr:uid="{00000000-0005-0000-0000-0000DD580000}"/>
    <cellStyle name="强调文字颜色 4 4 18 9 2" xfId="8109" xr:uid="{00000000-0005-0000-0000-0000DE580000}"/>
    <cellStyle name="强调文字颜色 4 4 18 9 3" xfId="8116" xr:uid="{00000000-0005-0000-0000-0000DF580000}"/>
    <cellStyle name="强调文字颜色 4 4 19" xfId="27579" xr:uid="{00000000-0005-0000-0000-0000E0580000}"/>
    <cellStyle name="强调文字颜色 4 4 19 10" xfId="29827" xr:uid="{00000000-0005-0000-0000-0000E1580000}"/>
    <cellStyle name="强调文字颜色 4 4 19 11" xfId="22736" xr:uid="{00000000-0005-0000-0000-0000E2580000}"/>
    <cellStyle name="强调文字颜色 4 4 19 12" xfId="22738" xr:uid="{00000000-0005-0000-0000-0000E3580000}"/>
    <cellStyle name="强调文字颜色 4 4 19 13" xfId="22740" xr:uid="{00000000-0005-0000-0000-0000E4580000}"/>
    <cellStyle name="强调文字颜色 4 4 19 14" xfId="17284" xr:uid="{00000000-0005-0000-0000-0000E5580000}"/>
    <cellStyle name="强调文字颜色 4 4 19 2" xfId="29828" xr:uid="{00000000-0005-0000-0000-0000E6580000}"/>
    <cellStyle name="强调文字颜色 4 4 19 3" xfId="29830" xr:uid="{00000000-0005-0000-0000-0000E7580000}"/>
    <cellStyle name="强调文字颜色 4 4 19 4" xfId="29832" xr:uid="{00000000-0005-0000-0000-0000E8580000}"/>
    <cellStyle name="强调文字颜色 4 4 19 5" xfId="29834" xr:uid="{00000000-0005-0000-0000-0000E9580000}"/>
    <cellStyle name="强调文字颜色 4 4 19 5 10" xfId="6003" xr:uid="{00000000-0005-0000-0000-0000EA580000}"/>
    <cellStyle name="强调文字颜色 4 4 19 5 11" xfId="6007" xr:uid="{00000000-0005-0000-0000-0000EB580000}"/>
    <cellStyle name="强调文字颜色 4 4 19 5 2" xfId="20555" xr:uid="{00000000-0005-0000-0000-0000EC580000}"/>
    <cellStyle name="强调文字颜色 4 4 19 5 2 2" xfId="19705" xr:uid="{00000000-0005-0000-0000-0000ED580000}"/>
    <cellStyle name="强调文字颜色 4 4 19 5 2 2 2" xfId="29837" xr:uid="{00000000-0005-0000-0000-0000EE580000}"/>
    <cellStyle name="强调文字颜色 4 4 19 5 2 2 3" xfId="29839" xr:uid="{00000000-0005-0000-0000-0000EF580000}"/>
    <cellStyle name="强调文字颜色 4 4 19 5 2 3" xfId="19707" xr:uid="{00000000-0005-0000-0000-0000F0580000}"/>
    <cellStyle name="强调文字颜色 4 4 19 5 2 4" xfId="19709" xr:uid="{00000000-0005-0000-0000-0000F1580000}"/>
    <cellStyle name="强调文字颜色 4 4 19 5 2 5" xfId="19711" xr:uid="{00000000-0005-0000-0000-0000F2580000}"/>
    <cellStyle name="强调文字颜色 4 4 19 5 2 6" xfId="19714" xr:uid="{00000000-0005-0000-0000-0000F3580000}"/>
    <cellStyle name="强调文字颜色 4 4 19 5 2 7" xfId="29841" xr:uid="{00000000-0005-0000-0000-0000F4580000}"/>
    <cellStyle name="强调文字颜色 4 4 19 5 2 8" xfId="29843" xr:uid="{00000000-0005-0000-0000-0000F5580000}"/>
    <cellStyle name="强调文字颜色 4 4 19 5 3" xfId="20557" xr:uid="{00000000-0005-0000-0000-0000F6580000}"/>
    <cellStyle name="强调文字颜色 4 4 19 5 4" xfId="20559" xr:uid="{00000000-0005-0000-0000-0000F7580000}"/>
    <cellStyle name="强调文字颜色 4 4 19 5 5" xfId="20561" xr:uid="{00000000-0005-0000-0000-0000F8580000}"/>
    <cellStyle name="强调文字颜色 4 4 19 5 6" xfId="20564" xr:uid="{00000000-0005-0000-0000-0000F9580000}"/>
    <cellStyle name="强调文字颜色 4 4 19 5 6 2" xfId="17515" xr:uid="{00000000-0005-0000-0000-0000FA580000}"/>
    <cellStyle name="强调文字颜色 4 4 19 5 6 3" xfId="17520" xr:uid="{00000000-0005-0000-0000-0000FB580000}"/>
    <cellStyle name="强调文字颜色 4 4 19 5 7" xfId="20568" xr:uid="{00000000-0005-0000-0000-0000FC580000}"/>
    <cellStyle name="强调文字颜色 4 4 19 5 8" xfId="20572" xr:uid="{00000000-0005-0000-0000-0000FD580000}"/>
    <cellStyle name="强调文字颜色 4 4 19 5 9" xfId="20617" xr:uid="{00000000-0005-0000-0000-0000FE580000}"/>
    <cellStyle name="强调文字颜色 4 4 19 6" xfId="5003" xr:uid="{00000000-0005-0000-0000-0000FF580000}"/>
    <cellStyle name="强调文字颜色 4 4 19 6 2" xfId="18839" xr:uid="{00000000-0005-0000-0000-000000590000}"/>
    <cellStyle name="强调文字颜色 4 4 19 6 2 2" xfId="28347" xr:uid="{00000000-0005-0000-0000-000001590000}"/>
    <cellStyle name="强调文字颜色 4 4 19 6 2 3" xfId="28349" xr:uid="{00000000-0005-0000-0000-000002590000}"/>
    <cellStyle name="强调文字颜色 4 4 19 6 3" xfId="24959" xr:uid="{00000000-0005-0000-0000-000003590000}"/>
    <cellStyle name="强调文字颜色 4 4 19 6 4" xfId="24961" xr:uid="{00000000-0005-0000-0000-000004590000}"/>
    <cellStyle name="强调文字颜色 4 4 19 6 5" xfId="24963" xr:uid="{00000000-0005-0000-0000-000005590000}"/>
    <cellStyle name="强调文字颜色 4 4 19 6 6" xfId="24965" xr:uid="{00000000-0005-0000-0000-000006590000}"/>
    <cellStyle name="强调文字颜色 4 4 19 6 7" xfId="22761" xr:uid="{00000000-0005-0000-0000-000007590000}"/>
    <cellStyle name="强调文字颜色 4 4 19 6 8" xfId="22763" xr:uid="{00000000-0005-0000-0000-000008590000}"/>
    <cellStyle name="强调文字颜色 4 4 19 7" xfId="5006" xr:uid="{00000000-0005-0000-0000-000009590000}"/>
    <cellStyle name="强调文字颜色 4 4 19 8" xfId="29844" xr:uid="{00000000-0005-0000-0000-00000A590000}"/>
    <cellStyle name="强调文字颜色 4 4 19 9" xfId="29846" xr:uid="{00000000-0005-0000-0000-00000B590000}"/>
    <cellStyle name="强调文字颜色 4 4 19 9 2" xfId="8201" xr:uid="{00000000-0005-0000-0000-00000C590000}"/>
    <cellStyle name="强调文字颜色 4 4 19 9 3" xfId="29847" xr:uid="{00000000-0005-0000-0000-00000D590000}"/>
    <cellStyle name="强调文字颜色 4 4 2" xfId="16568" xr:uid="{00000000-0005-0000-0000-00000E590000}"/>
    <cellStyle name="强调文字颜色 4 4 20" xfId="20947" xr:uid="{00000000-0005-0000-0000-00000F590000}"/>
    <cellStyle name="强调文字颜色 4 4 20 10" xfId="29848" xr:uid="{00000000-0005-0000-0000-000010590000}"/>
    <cellStyle name="强调文字颜色 4 4 20 11" xfId="29849" xr:uid="{00000000-0005-0000-0000-000011590000}"/>
    <cellStyle name="强调文字颜色 4 4 20 12" xfId="29850" xr:uid="{00000000-0005-0000-0000-000012590000}"/>
    <cellStyle name="强调文字颜色 4 4 20 13" xfId="29851" xr:uid="{00000000-0005-0000-0000-000013590000}"/>
    <cellStyle name="强调文字颜色 4 4 20 14" xfId="29852" xr:uid="{00000000-0005-0000-0000-000014590000}"/>
    <cellStyle name="强调文字颜色 4 4 20 2" xfId="29855" xr:uid="{00000000-0005-0000-0000-000015590000}"/>
    <cellStyle name="强调文字颜色 4 4 20 3" xfId="29858" xr:uid="{00000000-0005-0000-0000-000016590000}"/>
    <cellStyle name="强调文字颜色 4 4 20 4" xfId="29861" xr:uid="{00000000-0005-0000-0000-000017590000}"/>
    <cellStyle name="强调文字颜色 4 4 20 5" xfId="29864" xr:uid="{00000000-0005-0000-0000-000018590000}"/>
    <cellStyle name="强调文字颜色 4 4 20 5 10" xfId="29865" xr:uid="{00000000-0005-0000-0000-000019590000}"/>
    <cellStyle name="强调文字颜色 4 4 20 5 11" xfId="29866" xr:uid="{00000000-0005-0000-0000-00001A590000}"/>
    <cellStyle name="强调文字颜色 4 4 20 5 2" xfId="29867" xr:uid="{00000000-0005-0000-0000-00001B590000}"/>
    <cellStyle name="强调文字颜色 4 4 20 5 2 2" xfId="9178" xr:uid="{00000000-0005-0000-0000-00001C590000}"/>
    <cellStyle name="强调文字颜色 4 4 20 5 2 2 2" xfId="29868" xr:uid="{00000000-0005-0000-0000-00001D590000}"/>
    <cellStyle name="强调文字颜色 4 4 20 5 2 2 3" xfId="29869" xr:uid="{00000000-0005-0000-0000-00001E590000}"/>
    <cellStyle name="强调文字颜色 4 4 20 5 2 3" xfId="9182" xr:uid="{00000000-0005-0000-0000-00001F590000}"/>
    <cellStyle name="强调文字颜色 4 4 20 5 2 4" xfId="19783" xr:uid="{00000000-0005-0000-0000-000020590000}"/>
    <cellStyle name="强调文字颜色 4 4 20 5 2 5" xfId="19785" xr:uid="{00000000-0005-0000-0000-000021590000}"/>
    <cellStyle name="强调文字颜色 4 4 20 5 2 6" xfId="19787" xr:uid="{00000000-0005-0000-0000-000022590000}"/>
    <cellStyle name="强调文字颜色 4 4 20 5 2 7" xfId="29870" xr:uid="{00000000-0005-0000-0000-000023590000}"/>
    <cellStyle name="强调文字颜色 4 4 20 5 2 8" xfId="22665" xr:uid="{00000000-0005-0000-0000-000024590000}"/>
    <cellStyle name="强调文字颜色 4 4 20 5 3" xfId="29871" xr:uid="{00000000-0005-0000-0000-000025590000}"/>
    <cellStyle name="强调文字颜色 4 4 20 5 4" xfId="29872" xr:uid="{00000000-0005-0000-0000-000026590000}"/>
    <cellStyle name="强调文字颜色 4 4 20 5 5" xfId="29873" xr:uid="{00000000-0005-0000-0000-000027590000}"/>
    <cellStyle name="强调文字颜色 4 4 20 5 6" xfId="29874" xr:uid="{00000000-0005-0000-0000-000028590000}"/>
    <cellStyle name="强调文字颜色 4 4 20 5 6 2" xfId="29875" xr:uid="{00000000-0005-0000-0000-000029590000}"/>
    <cellStyle name="强调文字颜色 4 4 20 5 6 3" xfId="3967" xr:uid="{00000000-0005-0000-0000-00002A590000}"/>
    <cellStyle name="强调文字颜色 4 4 20 5 7" xfId="29876" xr:uid="{00000000-0005-0000-0000-00002B590000}"/>
    <cellStyle name="强调文字颜色 4 4 20 5 8" xfId="29877" xr:uid="{00000000-0005-0000-0000-00002C590000}"/>
    <cellStyle name="强调文字颜色 4 4 20 5 9" xfId="29878" xr:uid="{00000000-0005-0000-0000-00002D590000}"/>
    <cellStyle name="强调文字颜色 4 4 20 6" xfId="4632" xr:uid="{00000000-0005-0000-0000-00002E590000}"/>
    <cellStyle name="强调文字颜色 4 4 20 6 2" xfId="6962" xr:uid="{00000000-0005-0000-0000-00002F590000}"/>
    <cellStyle name="强调文字颜色 4 4 20 6 2 2" xfId="24460" xr:uid="{00000000-0005-0000-0000-000030590000}"/>
    <cellStyle name="强调文字颜色 4 4 20 6 2 3" xfId="24461" xr:uid="{00000000-0005-0000-0000-000031590000}"/>
    <cellStyle name="强调文字颜色 4 4 20 6 3" xfId="7592" xr:uid="{00000000-0005-0000-0000-000032590000}"/>
    <cellStyle name="强调文字颜色 4 4 20 6 4" xfId="7923" xr:uid="{00000000-0005-0000-0000-000033590000}"/>
    <cellStyle name="强调文字颜色 4 4 20 6 5" xfId="24467" xr:uid="{00000000-0005-0000-0000-000034590000}"/>
    <cellStyle name="强调文字颜色 4 4 20 6 6" xfId="29879" xr:uid="{00000000-0005-0000-0000-000035590000}"/>
    <cellStyle name="强调文字颜色 4 4 20 6 7" xfId="29880" xr:uid="{00000000-0005-0000-0000-000036590000}"/>
    <cellStyle name="强调文字颜色 4 4 20 6 8" xfId="28144" xr:uid="{00000000-0005-0000-0000-000037590000}"/>
    <cellStyle name="强调文字颜色 4 4 20 7" xfId="7604" xr:uid="{00000000-0005-0000-0000-000038590000}"/>
    <cellStyle name="强调文字颜色 4 4 20 8" xfId="7611" xr:uid="{00000000-0005-0000-0000-000039590000}"/>
    <cellStyle name="强调文字颜色 4 4 20 9" xfId="6768" xr:uid="{00000000-0005-0000-0000-00003A590000}"/>
    <cellStyle name="强调文字颜色 4 4 20 9 2" xfId="14458" xr:uid="{00000000-0005-0000-0000-00003B590000}"/>
    <cellStyle name="强调文字颜色 4 4 20 9 3" xfId="14467" xr:uid="{00000000-0005-0000-0000-00003C590000}"/>
    <cellStyle name="强调文字颜色 4 4 3" xfId="16575" xr:uid="{00000000-0005-0000-0000-00003D590000}"/>
    <cellStyle name="强调文字颜色 4 4 4" xfId="16578" xr:uid="{00000000-0005-0000-0000-00003E590000}"/>
    <cellStyle name="强调文字颜色 4 4 5" xfId="16581" xr:uid="{00000000-0005-0000-0000-00003F590000}"/>
    <cellStyle name="强调文字颜色 4 4 6" xfId="29881" xr:uid="{00000000-0005-0000-0000-000040590000}"/>
    <cellStyle name="强调文字颜色 4 4 7" xfId="17880" xr:uid="{00000000-0005-0000-0000-000041590000}"/>
    <cellStyle name="强调文字颜色 4 4 8" xfId="17882" xr:uid="{00000000-0005-0000-0000-000042590000}"/>
    <cellStyle name="强调文字颜色 4 4 9" xfId="29882" xr:uid="{00000000-0005-0000-0000-000043590000}"/>
    <cellStyle name="强调文字颜色 4 5" xfId="24512" xr:uid="{00000000-0005-0000-0000-000044590000}"/>
    <cellStyle name="强调文字颜色 4 5 10" xfId="29883" xr:uid="{00000000-0005-0000-0000-000045590000}"/>
    <cellStyle name="强调文字颜色 4 5 11" xfId="29884" xr:uid="{00000000-0005-0000-0000-000046590000}"/>
    <cellStyle name="强调文字颜色 4 5 12" xfId="29885" xr:uid="{00000000-0005-0000-0000-000047590000}"/>
    <cellStyle name="强调文字颜色 4 5 13" xfId="29886" xr:uid="{00000000-0005-0000-0000-000048590000}"/>
    <cellStyle name="强调文字颜色 4 5 14" xfId="29887" xr:uid="{00000000-0005-0000-0000-000049590000}"/>
    <cellStyle name="强调文字颜色 4 5 2" xfId="4653" xr:uid="{00000000-0005-0000-0000-00004A590000}"/>
    <cellStyle name="强调文字颜色 4 5 3" xfId="4661" xr:uid="{00000000-0005-0000-0000-00004B590000}"/>
    <cellStyle name="强调文字颜色 4 5 4" xfId="13126" xr:uid="{00000000-0005-0000-0000-00004C590000}"/>
    <cellStyle name="强调文字颜色 4 5 5" xfId="29888" xr:uid="{00000000-0005-0000-0000-00004D590000}"/>
    <cellStyle name="强调文字颜色 4 5 6" xfId="29889" xr:uid="{00000000-0005-0000-0000-00004E590000}"/>
    <cellStyle name="强调文字颜色 4 5 7" xfId="29890" xr:uid="{00000000-0005-0000-0000-00004F590000}"/>
    <cellStyle name="强调文字颜色 4 5 8" xfId="29891" xr:uid="{00000000-0005-0000-0000-000050590000}"/>
    <cellStyle name="强调文字颜色 4 5 9" xfId="21564" xr:uid="{00000000-0005-0000-0000-000051590000}"/>
    <cellStyle name="强调文字颜色 4 6" xfId="29893" xr:uid="{00000000-0005-0000-0000-000052590000}"/>
    <cellStyle name="强调文字颜色 4 6 10" xfId="29894" xr:uid="{00000000-0005-0000-0000-000053590000}"/>
    <cellStyle name="强调文字颜色 4 6 11" xfId="29895" xr:uid="{00000000-0005-0000-0000-000054590000}"/>
    <cellStyle name="强调文字颜色 4 6 12" xfId="13054" xr:uid="{00000000-0005-0000-0000-000055590000}"/>
    <cellStyle name="强调文字颜色 4 6 13" xfId="13059" xr:uid="{00000000-0005-0000-0000-000056590000}"/>
    <cellStyle name="强调文字颜色 4 6 14" xfId="13064" xr:uid="{00000000-0005-0000-0000-000057590000}"/>
    <cellStyle name="强调文字颜色 4 6 2" xfId="29896" xr:uid="{00000000-0005-0000-0000-000058590000}"/>
    <cellStyle name="强调文字颜色 4 6 3" xfId="29897" xr:uid="{00000000-0005-0000-0000-000059590000}"/>
    <cellStyle name="强调文字颜色 4 6 4" xfId="29898" xr:uid="{00000000-0005-0000-0000-00005A590000}"/>
    <cellStyle name="强调文字颜色 4 6 5" xfId="29899" xr:uid="{00000000-0005-0000-0000-00005B590000}"/>
    <cellStyle name="强调文字颜色 4 6 6" xfId="29900" xr:uid="{00000000-0005-0000-0000-00005C590000}"/>
    <cellStyle name="强调文字颜色 4 6 7" xfId="29901" xr:uid="{00000000-0005-0000-0000-00005D590000}"/>
    <cellStyle name="强调文字颜色 4 6 8" xfId="25513" xr:uid="{00000000-0005-0000-0000-00005E590000}"/>
    <cellStyle name="强调文字颜色 4 6 9" xfId="29902" xr:uid="{00000000-0005-0000-0000-00005F590000}"/>
    <cellStyle name="强调文字颜色 4 7" xfId="29903" xr:uid="{00000000-0005-0000-0000-000060590000}"/>
    <cellStyle name="强调文字颜色 4 8" xfId="29904" xr:uid="{00000000-0005-0000-0000-000061590000}"/>
    <cellStyle name="强调文字颜色 4 9" xfId="29905" xr:uid="{00000000-0005-0000-0000-000062590000}"/>
    <cellStyle name="强调文字颜色 5 10" xfId="29906" xr:uid="{00000000-0005-0000-0000-000063590000}"/>
    <cellStyle name="强调文字颜色 5 11" xfId="29908" xr:uid="{00000000-0005-0000-0000-000064590000}"/>
    <cellStyle name="强调文字颜色 5 12" xfId="22973" xr:uid="{00000000-0005-0000-0000-000065590000}"/>
    <cellStyle name="强调文字颜色 5 12 10" xfId="14130" xr:uid="{00000000-0005-0000-0000-000066590000}"/>
    <cellStyle name="强调文字颜色 5 12 11" xfId="23055" xr:uid="{00000000-0005-0000-0000-000067590000}"/>
    <cellStyle name="强调文字颜色 5 12 12" xfId="23058" xr:uid="{00000000-0005-0000-0000-000068590000}"/>
    <cellStyle name="强调文字颜色 5 12 13" xfId="23060" xr:uid="{00000000-0005-0000-0000-000069590000}"/>
    <cellStyle name="强调文字颜色 5 12 14" xfId="29910" xr:uid="{00000000-0005-0000-0000-00006A590000}"/>
    <cellStyle name="强调文字颜色 5 12 2" xfId="7804" xr:uid="{00000000-0005-0000-0000-00006B590000}"/>
    <cellStyle name="强调文字颜色 5 12 3" xfId="18695" xr:uid="{00000000-0005-0000-0000-00006C590000}"/>
    <cellStyle name="强调文字颜色 5 12 4" xfId="25520" xr:uid="{00000000-0005-0000-0000-00006D590000}"/>
    <cellStyle name="强调文字颜色 5 12 5" xfId="29911" xr:uid="{00000000-0005-0000-0000-00006E590000}"/>
    <cellStyle name="强调文字颜色 5 12 5 10" xfId="20022" xr:uid="{00000000-0005-0000-0000-00006F590000}"/>
    <cellStyle name="强调文字颜色 5 12 5 11" xfId="20024" xr:uid="{00000000-0005-0000-0000-000070590000}"/>
    <cellStyle name="强调文字颜色 5 12 5 2" xfId="29913" xr:uid="{00000000-0005-0000-0000-000071590000}"/>
    <cellStyle name="强调文字颜色 5 12 5 2 2" xfId="29914" xr:uid="{00000000-0005-0000-0000-000072590000}"/>
    <cellStyle name="强调文字颜色 5 12 5 2 2 2" xfId="29915" xr:uid="{00000000-0005-0000-0000-000073590000}"/>
    <cellStyle name="强调文字颜色 5 12 5 2 2 3" xfId="9329" xr:uid="{00000000-0005-0000-0000-000074590000}"/>
    <cellStyle name="强调文字颜色 5 12 5 2 3" xfId="29916" xr:uid="{00000000-0005-0000-0000-000075590000}"/>
    <cellStyle name="强调文字颜色 5 12 5 2 4" xfId="29917" xr:uid="{00000000-0005-0000-0000-000076590000}"/>
    <cellStyle name="强调文字颜色 5 12 5 2 5" xfId="29918" xr:uid="{00000000-0005-0000-0000-000077590000}"/>
    <cellStyle name="强调文字颜色 5 12 5 2 6" xfId="29919" xr:uid="{00000000-0005-0000-0000-000078590000}"/>
    <cellStyle name="强调文字颜色 5 12 5 2 7" xfId="29920" xr:uid="{00000000-0005-0000-0000-000079590000}"/>
    <cellStyle name="强调文字颜色 5 12 5 2 8" xfId="29921" xr:uid="{00000000-0005-0000-0000-00007A590000}"/>
    <cellStyle name="强调文字颜色 5 12 5 3" xfId="29922" xr:uid="{00000000-0005-0000-0000-00007B590000}"/>
    <cellStyle name="强调文字颜色 5 12 5 4" xfId="29923" xr:uid="{00000000-0005-0000-0000-00007C590000}"/>
    <cellStyle name="强调文字颜色 5 12 5 5" xfId="29924" xr:uid="{00000000-0005-0000-0000-00007D590000}"/>
    <cellStyle name="强调文字颜色 5 12 5 6" xfId="29925" xr:uid="{00000000-0005-0000-0000-00007E590000}"/>
    <cellStyle name="强调文字颜色 5 12 5 6 2" xfId="4453" xr:uid="{00000000-0005-0000-0000-00007F590000}"/>
    <cellStyle name="强调文字颜色 5 12 5 6 3" xfId="4468" xr:uid="{00000000-0005-0000-0000-000080590000}"/>
    <cellStyle name="强调文字颜色 5 12 5 7" xfId="29926" xr:uid="{00000000-0005-0000-0000-000081590000}"/>
    <cellStyle name="强调文字颜色 5 12 5 8" xfId="29927" xr:uid="{00000000-0005-0000-0000-000082590000}"/>
    <cellStyle name="强调文字颜色 5 12 5 9" xfId="25719" xr:uid="{00000000-0005-0000-0000-000083590000}"/>
    <cellStyle name="强调文字颜色 5 12 6" xfId="29928" xr:uid="{00000000-0005-0000-0000-000084590000}"/>
    <cellStyle name="强调文字颜色 5 12 6 2" xfId="29930" xr:uid="{00000000-0005-0000-0000-000085590000}"/>
    <cellStyle name="强调文字颜色 5 12 6 2 2" xfId="29931" xr:uid="{00000000-0005-0000-0000-000086590000}"/>
    <cellStyle name="强调文字颜色 5 12 6 2 3" xfId="29932" xr:uid="{00000000-0005-0000-0000-000087590000}"/>
    <cellStyle name="强调文字颜色 5 12 6 3" xfId="29933" xr:uid="{00000000-0005-0000-0000-000088590000}"/>
    <cellStyle name="强调文字颜色 5 12 6 4" xfId="29934" xr:uid="{00000000-0005-0000-0000-000089590000}"/>
    <cellStyle name="强调文字颜色 5 12 6 5" xfId="29935" xr:uid="{00000000-0005-0000-0000-00008A590000}"/>
    <cellStyle name="强调文字颜色 5 12 6 6" xfId="29936" xr:uid="{00000000-0005-0000-0000-00008B590000}"/>
    <cellStyle name="强调文字颜色 5 12 6 7" xfId="29937" xr:uid="{00000000-0005-0000-0000-00008C590000}"/>
    <cellStyle name="强调文字颜色 5 12 6 8" xfId="29938" xr:uid="{00000000-0005-0000-0000-00008D590000}"/>
    <cellStyle name="强调文字颜色 5 12 7" xfId="29939" xr:uid="{00000000-0005-0000-0000-00008E590000}"/>
    <cellStyle name="强调文字颜色 5 12 8" xfId="29941" xr:uid="{00000000-0005-0000-0000-00008F590000}"/>
    <cellStyle name="强调文字颜色 5 12 9" xfId="29943" xr:uid="{00000000-0005-0000-0000-000090590000}"/>
    <cellStyle name="强调文字颜色 5 12 9 2" xfId="29945" xr:uid="{00000000-0005-0000-0000-000091590000}"/>
    <cellStyle name="强调文字颜色 5 12 9 3" xfId="19912" xr:uid="{00000000-0005-0000-0000-000092590000}"/>
    <cellStyle name="强调文字颜色 5 13" xfId="22975" xr:uid="{00000000-0005-0000-0000-000093590000}"/>
    <cellStyle name="强调文字颜色 5 14" xfId="22977" xr:uid="{00000000-0005-0000-0000-000094590000}"/>
    <cellStyle name="强调文字颜色 5 15" xfId="22979" xr:uid="{00000000-0005-0000-0000-000095590000}"/>
    <cellStyle name="强调文字颜色 5 16" xfId="22981" xr:uid="{00000000-0005-0000-0000-000096590000}"/>
    <cellStyle name="强调文字颜色 5 16 10" xfId="29946" xr:uid="{00000000-0005-0000-0000-000097590000}"/>
    <cellStyle name="强调文字颜色 5 16 11" xfId="29947" xr:uid="{00000000-0005-0000-0000-000098590000}"/>
    <cellStyle name="强调文字颜色 5 16 12" xfId="29948" xr:uid="{00000000-0005-0000-0000-000099590000}"/>
    <cellStyle name="强调文字颜色 5 16 13" xfId="8191" xr:uid="{00000000-0005-0000-0000-00009A590000}"/>
    <cellStyle name="强调文字颜色 5 16 14" xfId="8200" xr:uid="{00000000-0005-0000-0000-00009B590000}"/>
    <cellStyle name="强调文字颜色 5 16 2" xfId="29949" xr:uid="{00000000-0005-0000-0000-00009C590000}"/>
    <cellStyle name="强调文字颜色 5 16 3" xfId="29950" xr:uid="{00000000-0005-0000-0000-00009D590000}"/>
    <cellStyle name="强调文字颜色 5 16 4" xfId="29951" xr:uid="{00000000-0005-0000-0000-00009E590000}"/>
    <cellStyle name="强调文字颜色 5 16 5" xfId="29953" xr:uid="{00000000-0005-0000-0000-00009F590000}"/>
    <cellStyle name="强调文字颜色 5 16 5 10" xfId="17188" xr:uid="{00000000-0005-0000-0000-0000A0590000}"/>
    <cellStyle name="强调文字颜色 5 16 5 11" xfId="9741" xr:uid="{00000000-0005-0000-0000-0000A1590000}"/>
    <cellStyle name="强调文字颜色 5 16 5 2" xfId="21136" xr:uid="{00000000-0005-0000-0000-0000A2590000}"/>
    <cellStyle name="强调文字颜色 5 16 5 2 2" xfId="21140" xr:uid="{00000000-0005-0000-0000-0000A3590000}"/>
    <cellStyle name="强调文字颜色 5 16 5 2 2 2" xfId="14758" xr:uid="{00000000-0005-0000-0000-0000A4590000}"/>
    <cellStyle name="强调文字颜色 5 16 5 2 2 3" xfId="14762" xr:uid="{00000000-0005-0000-0000-0000A5590000}"/>
    <cellStyle name="强调文字颜色 5 16 5 2 3" xfId="21144" xr:uid="{00000000-0005-0000-0000-0000A6590000}"/>
    <cellStyle name="强调文字颜色 5 16 5 2 4" xfId="21149" xr:uid="{00000000-0005-0000-0000-0000A7590000}"/>
    <cellStyle name="强调文字颜色 5 16 5 2 5" xfId="21153" xr:uid="{00000000-0005-0000-0000-0000A8590000}"/>
    <cellStyle name="强调文字颜色 5 16 5 2 6" xfId="21157" xr:uid="{00000000-0005-0000-0000-0000A9590000}"/>
    <cellStyle name="强调文字颜色 5 16 5 2 7" xfId="18609" xr:uid="{00000000-0005-0000-0000-0000AA590000}"/>
    <cellStyle name="强调文字颜色 5 16 5 2 8" xfId="18617" xr:uid="{00000000-0005-0000-0000-0000AB590000}"/>
    <cellStyle name="强调文字颜色 5 16 5 3" xfId="21159" xr:uid="{00000000-0005-0000-0000-0000AC590000}"/>
    <cellStyle name="强调文字颜色 5 16 5 4" xfId="21162" xr:uid="{00000000-0005-0000-0000-0000AD590000}"/>
    <cellStyle name="强调文字颜色 5 16 5 5" xfId="21165" xr:uid="{00000000-0005-0000-0000-0000AE590000}"/>
    <cellStyle name="强调文字颜色 5 16 5 6" xfId="29955" xr:uid="{00000000-0005-0000-0000-0000AF590000}"/>
    <cellStyle name="强调文字颜色 5 16 5 6 2" xfId="2689" xr:uid="{00000000-0005-0000-0000-0000B0590000}"/>
    <cellStyle name="强调文字颜色 5 16 5 6 3" xfId="1121" xr:uid="{00000000-0005-0000-0000-0000B1590000}"/>
    <cellStyle name="强调文字颜色 5 16 5 7" xfId="740" xr:uid="{00000000-0005-0000-0000-0000B2590000}"/>
    <cellStyle name="强调文字颜色 5 16 5 8" xfId="1266" xr:uid="{00000000-0005-0000-0000-0000B3590000}"/>
    <cellStyle name="强调文字颜色 5 16 5 9" xfId="29956" xr:uid="{00000000-0005-0000-0000-0000B4590000}"/>
    <cellStyle name="强调文字颜色 5 16 6" xfId="29958" xr:uid="{00000000-0005-0000-0000-0000B5590000}"/>
    <cellStyle name="强调文字颜色 5 16 6 2" xfId="1036" xr:uid="{00000000-0005-0000-0000-0000B6590000}"/>
    <cellStyle name="强调文字颜色 5 16 6 2 2" xfId="507" xr:uid="{00000000-0005-0000-0000-0000B7590000}"/>
    <cellStyle name="强调文字颜色 5 16 6 2 3" xfId="21888" xr:uid="{00000000-0005-0000-0000-0000B8590000}"/>
    <cellStyle name="强调文字颜色 5 16 6 3" xfId="1056" xr:uid="{00000000-0005-0000-0000-0000B9590000}"/>
    <cellStyle name="强调文字颜色 5 16 6 4" xfId="1077" xr:uid="{00000000-0005-0000-0000-0000BA590000}"/>
    <cellStyle name="强调文字颜色 5 16 6 5" xfId="21901" xr:uid="{00000000-0005-0000-0000-0000BB590000}"/>
    <cellStyle name="强调文字颜色 5 16 6 6" xfId="28270" xr:uid="{00000000-0005-0000-0000-0000BC590000}"/>
    <cellStyle name="强调文字颜色 5 16 6 7" xfId="14007" xr:uid="{00000000-0005-0000-0000-0000BD590000}"/>
    <cellStyle name="强调文字颜色 5 16 6 8" xfId="14013" xr:uid="{00000000-0005-0000-0000-0000BE590000}"/>
    <cellStyle name="强调文字颜色 5 16 7" xfId="29959" xr:uid="{00000000-0005-0000-0000-0000BF590000}"/>
    <cellStyle name="强调文字颜色 5 16 8" xfId="29960" xr:uid="{00000000-0005-0000-0000-0000C0590000}"/>
    <cellStyle name="强调文字颜色 5 16 9" xfId="29961" xr:uid="{00000000-0005-0000-0000-0000C1590000}"/>
    <cellStyle name="强调文字颜色 5 16 9 2" xfId="23912" xr:uid="{00000000-0005-0000-0000-0000C2590000}"/>
    <cellStyle name="强调文字颜色 5 16 9 3" xfId="23917" xr:uid="{00000000-0005-0000-0000-0000C3590000}"/>
    <cellStyle name="强调文字颜色 5 17" xfId="22983" xr:uid="{00000000-0005-0000-0000-0000C4590000}"/>
    <cellStyle name="强调文字颜色 5 17 10" xfId="29962" xr:uid="{00000000-0005-0000-0000-0000C5590000}"/>
    <cellStyle name="强调文字颜色 5 17 11" xfId="29963" xr:uid="{00000000-0005-0000-0000-0000C6590000}"/>
    <cellStyle name="强调文字颜色 5 17 12" xfId="29964" xr:uid="{00000000-0005-0000-0000-0000C7590000}"/>
    <cellStyle name="强调文字颜色 5 17 13" xfId="29965" xr:uid="{00000000-0005-0000-0000-0000C8590000}"/>
    <cellStyle name="强调文字颜色 5 17 14" xfId="29966" xr:uid="{00000000-0005-0000-0000-0000C9590000}"/>
    <cellStyle name="强调文字颜色 5 17 2" xfId="29968" xr:uid="{00000000-0005-0000-0000-0000CA590000}"/>
    <cellStyle name="强调文字颜色 5 17 3" xfId="29970" xr:uid="{00000000-0005-0000-0000-0000CB590000}"/>
    <cellStyle name="强调文字颜色 5 17 4" xfId="29972" xr:uid="{00000000-0005-0000-0000-0000CC590000}"/>
    <cellStyle name="强调文字颜色 5 17 5" xfId="29974" xr:uid="{00000000-0005-0000-0000-0000CD590000}"/>
    <cellStyle name="强调文字颜色 5 17 5 10" xfId="29975" xr:uid="{00000000-0005-0000-0000-0000CE590000}"/>
    <cellStyle name="强调文字颜色 5 17 5 11" xfId="29976" xr:uid="{00000000-0005-0000-0000-0000CF590000}"/>
    <cellStyle name="强调文字颜色 5 17 5 2" xfId="28219" xr:uid="{00000000-0005-0000-0000-0000D0590000}"/>
    <cellStyle name="强调文字颜色 5 17 5 2 2" xfId="29977" xr:uid="{00000000-0005-0000-0000-0000D1590000}"/>
    <cellStyle name="强调文字颜色 5 17 5 2 2 2" xfId="29979" xr:uid="{00000000-0005-0000-0000-0000D2590000}"/>
    <cellStyle name="强调文字颜色 5 17 5 2 2 3" xfId="29980" xr:uid="{00000000-0005-0000-0000-0000D3590000}"/>
    <cellStyle name="强调文字颜色 5 17 5 2 3" xfId="29981" xr:uid="{00000000-0005-0000-0000-0000D4590000}"/>
    <cellStyle name="强调文字颜色 5 17 5 2 4" xfId="29983" xr:uid="{00000000-0005-0000-0000-0000D5590000}"/>
    <cellStyle name="强调文字颜色 5 17 5 2 5" xfId="29984" xr:uid="{00000000-0005-0000-0000-0000D6590000}"/>
    <cellStyle name="强调文字颜色 5 17 5 2 6" xfId="14661" xr:uid="{00000000-0005-0000-0000-0000D7590000}"/>
    <cellStyle name="强调文字颜色 5 17 5 2 7" xfId="14665" xr:uid="{00000000-0005-0000-0000-0000D8590000}"/>
    <cellStyle name="强调文字颜色 5 17 5 2 8" xfId="29985" xr:uid="{00000000-0005-0000-0000-0000D9590000}"/>
    <cellStyle name="强调文字颜色 5 17 5 3" xfId="28223" xr:uid="{00000000-0005-0000-0000-0000DA590000}"/>
    <cellStyle name="强调文字颜色 5 17 5 4" xfId="29987" xr:uid="{00000000-0005-0000-0000-0000DB590000}"/>
    <cellStyle name="强调文字颜色 5 17 5 5" xfId="29990" xr:uid="{00000000-0005-0000-0000-0000DC590000}"/>
    <cellStyle name="强调文字颜色 5 17 5 6" xfId="29993" xr:uid="{00000000-0005-0000-0000-0000DD590000}"/>
    <cellStyle name="强调文字颜色 5 17 5 6 2" xfId="11793" xr:uid="{00000000-0005-0000-0000-0000DE590000}"/>
    <cellStyle name="强调文字颜色 5 17 5 6 3" xfId="11797" xr:uid="{00000000-0005-0000-0000-0000DF590000}"/>
    <cellStyle name="强调文字颜色 5 17 5 7" xfId="16422" xr:uid="{00000000-0005-0000-0000-0000E0590000}"/>
    <cellStyle name="强调文字颜色 5 17 5 8" xfId="16425" xr:uid="{00000000-0005-0000-0000-0000E1590000}"/>
    <cellStyle name="强调文字颜色 5 17 5 9" xfId="25721" xr:uid="{00000000-0005-0000-0000-0000E2590000}"/>
    <cellStyle name="强调文字颜色 5 17 6" xfId="29996" xr:uid="{00000000-0005-0000-0000-0000E3590000}"/>
    <cellStyle name="强调文字颜色 5 17 6 2" xfId="25800" xr:uid="{00000000-0005-0000-0000-0000E4590000}"/>
    <cellStyle name="强调文字颜色 5 17 6 2 2" xfId="1495" xr:uid="{00000000-0005-0000-0000-0000E5590000}"/>
    <cellStyle name="强调文字颜色 5 17 6 2 3" xfId="29997" xr:uid="{00000000-0005-0000-0000-0000E6590000}"/>
    <cellStyle name="强调文字颜色 5 17 6 3" xfId="29998" xr:uid="{00000000-0005-0000-0000-0000E7590000}"/>
    <cellStyle name="强调文字颜色 5 17 6 4" xfId="30000" xr:uid="{00000000-0005-0000-0000-0000E8590000}"/>
    <cellStyle name="强调文字颜色 5 17 6 5" xfId="30005" xr:uid="{00000000-0005-0000-0000-0000E9590000}"/>
    <cellStyle name="强调文字颜色 5 17 6 6" xfId="30010" xr:uid="{00000000-0005-0000-0000-0000EA590000}"/>
    <cellStyle name="强调文字颜色 5 17 6 7" xfId="30013" xr:uid="{00000000-0005-0000-0000-0000EB590000}"/>
    <cellStyle name="强调文字颜色 5 17 6 8" xfId="30014" xr:uid="{00000000-0005-0000-0000-0000EC590000}"/>
    <cellStyle name="强调文字颜色 5 17 7" xfId="30016" xr:uid="{00000000-0005-0000-0000-0000ED590000}"/>
    <cellStyle name="强调文字颜色 5 17 8" xfId="30017" xr:uid="{00000000-0005-0000-0000-0000EE590000}"/>
    <cellStyle name="强调文字颜色 5 17 9" xfId="17226" xr:uid="{00000000-0005-0000-0000-0000EF590000}"/>
    <cellStyle name="强调文字颜色 5 17 9 2" xfId="30018" xr:uid="{00000000-0005-0000-0000-0000F0590000}"/>
    <cellStyle name="强调文字颜色 5 17 9 3" xfId="24535" xr:uid="{00000000-0005-0000-0000-0000F1590000}"/>
    <cellStyle name="强调文字颜色 5 18" xfId="22986" xr:uid="{00000000-0005-0000-0000-0000F2590000}"/>
    <cellStyle name="强调文字颜色 5 18 10" xfId="15592" xr:uid="{00000000-0005-0000-0000-0000F3590000}"/>
    <cellStyle name="强调文字颜色 5 18 11" xfId="15596" xr:uid="{00000000-0005-0000-0000-0000F4590000}"/>
    <cellStyle name="强调文字颜色 5 18 12" xfId="16569" xr:uid="{00000000-0005-0000-0000-0000F5590000}"/>
    <cellStyle name="强调文字颜色 5 18 13" xfId="26109" xr:uid="{00000000-0005-0000-0000-0000F6590000}"/>
    <cellStyle name="强调文字颜色 5 18 14" xfId="30019" xr:uid="{00000000-0005-0000-0000-0000F7590000}"/>
    <cellStyle name="强调文字颜色 5 18 2" xfId="15922" xr:uid="{00000000-0005-0000-0000-0000F8590000}"/>
    <cellStyle name="强调文字颜色 5 18 3" xfId="30021" xr:uid="{00000000-0005-0000-0000-0000F9590000}"/>
    <cellStyle name="强调文字颜色 5 18 4" xfId="30023" xr:uid="{00000000-0005-0000-0000-0000FA590000}"/>
    <cellStyle name="强调文字颜色 5 18 5" xfId="30025" xr:uid="{00000000-0005-0000-0000-0000FB590000}"/>
    <cellStyle name="强调文字颜色 5 18 5 10" xfId="30026" xr:uid="{00000000-0005-0000-0000-0000FC590000}"/>
    <cellStyle name="强调文字颜色 5 18 5 11" xfId="30027" xr:uid="{00000000-0005-0000-0000-0000FD590000}"/>
    <cellStyle name="强调文字颜色 5 18 5 2" xfId="30028" xr:uid="{00000000-0005-0000-0000-0000FE590000}"/>
    <cellStyle name="强调文字颜色 5 18 5 2 2" xfId="30029" xr:uid="{00000000-0005-0000-0000-0000FF590000}"/>
    <cellStyle name="强调文字颜色 5 18 5 2 2 2" xfId="30032" xr:uid="{00000000-0005-0000-0000-0000005A0000}"/>
    <cellStyle name="强调文字颜色 5 18 5 2 2 3" xfId="30035" xr:uid="{00000000-0005-0000-0000-0000015A0000}"/>
    <cellStyle name="强调文字颜色 5 18 5 2 3" xfId="30039" xr:uid="{00000000-0005-0000-0000-0000025A0000}"/>
    <cellStyle name="强调文字颜色 5 18 5 2 4" xfId="30041" xr:uid="{00000000-0005-0000-0000-0000035A0000}"/>
    <cellStyle name="强调文字颜色 5 18 5 2 5" xfId="30043" xr:uid="{00000000-0005-0000-0000-0000045A0000}"/>
    <cellStyle name="强调文字颜色 5 18 5 2 6" xfId="7391" xr:uid="{00000000-0005-0000-0000-0000055A0000}"/>
    <cellStyle name="强调文字颜色 5 18 5 2 7" xfId="7405" xr:uid="{00000000-0005-0000-0000-0000065A0000}"/>
    <cellStyle name="强调文字颜色 5 18 5 2 8" xfId="7416" xr:uid="{00000000-0005-0000-0000-0000075A0000}"/>
    <cellStyle name="强调文字颜色 5 18 5 3" xfId="30045" xr:uid="{00000000-0005-0000-0000-0000085A0000}"/>
    <cellStyle name="强调文字颜色 5 18 5 4" xfId="30046" xr:uid="{00000000-0005-0000-0000-0000095A0000}"/>
    <cellStyle name="强调文字颜色 5 18 5 5" xfId="30047" xr:uid="{00000000-0005-0000-0000-00000A5A0000}"/>
    <cellStyle name="强调文字颜色 5 18 5 6" xfId="30048" xr:uid="{00000000-0005-0000-0000-00000B5A0000}"/>
    <cellStyle name="强调文字颜色 5 18 5 6 2" xfId="13381" xr:uid="{00000000-0005-0000-0000-00000C5A0000}"/>
    <cellStyle name="强调文字颜色 5 18 5 6 3" xfId="13388" xr:uid="{00000000-0005-0000-0000-00000D5A0000}"/>
    <cellStyle name="强调文字颜色 5 18 5 7" xfId="30049" xr:uid="{00000000-0005-0000-0000-00000E5A0000}"/>
    <cellStyle name="强调文字颜色 5 18 5 8" xfId="18047" xr:uid="{00000000-0005-0000-0000-00000F5A0000}"/>
    <cellStyle name="强调文字颜色 5 18 5 9" xfId="18051" xr:uid="{00000000-0005-0000-0000-0000105A0000}"/>
    <cellStyle name="强调文字颜色 5 18 6" xfId="30051" xr:uid="{00000000-0005-0000-0000-0000115A0000}"/>
    <cellStyle name="强调文字颜色 5 18 6 2" xfId="30052" xr:uid="{00000000-0005-0000-0000-0000125A0000}"/>
    <cellStyle name="强调文字颜色 5 18 6 2 2" xfId="8920" xr:uid="{00000000-0005-0000-0000-0000135A0000}"/>
    <cellStyle name="强调文字颜色 5 18 6 2 3" xfId="30053" xr:uid="{00000000-0005-0000-0000-0000145A0000}"/>
    <cellStyle name="强调文字颜色 5 18 6 3" xfId="30054" xr:uid="{00000000-0005-0000-0000-0000155A0000}"/>
    <cellStyle name="强调文字颜色 5 18 6 4" xfId="30055" xr:uid="{00000000-0005-0000-0000-0000165A0000}"/>
    <cellStyle name="强调文字颜色 5 18 6 5" xfId="30056" xr:uid="{00000000-0005-0000-0000-0000175A0000}"/>
    <cellStyle name="强调文字颜色 5 18 6 6" xfId="30057" xr:uid="{00000000-0005-0000-0000-0000185A0000}"/>
    <cellStyle name="强调文字颜色 5 18 6 7" xfId="13673" xr:uid="{00000000-0005-0000-0000-0000195A0000}"/>
    <cellStyle name="强调文字颜色 5 18 6 8" xfId="13676" xr:uid="{00000000-0005-0000-0000-00001A5A0000}"/>
    <cellStyle name="强调文字颜色 5 18 7" xfId="30058" xr:uid="{00000000-0005-0000-0000-00001B5A0000}"/>
    <cellStyle name="强调文字颜色 5 18 8" xfId="30059" xr:uid="{00000000-0005-0000-0000-00001C5A0000}"/>
    <cellStyle name="强调文字颜色 5 18 9" xfId="30060" xr:uid="{00000000-0005-0000-0000-00001D5A0000}"/>
    <cellStyle name="强调文字颜色 5 18 9 2" xfId="26681" xr:uid="{00000000-0005-0000-0000-00001E5A0000}"/>
    <cellStyle name="强调文字颜色 5 18 9 3" xfId="30061" xr:uid="{00000000-0005-0000-0000-00001F5A0000}"/>
    <cellStyle name="强调文字颜色 5 19" xfId="23579" xr:uid="{00000000-0005-0000-0000-0000205A0000}"/>
    <cellStyle name="强调文字颜色 5 2" xfId="27792" xr:uid="{00000000-0005-0000-0000-0000215A0000}"/>
    <cellStyle name="强调文字颜色 5 2 10" xfId="10710" xr:uid="{00000000-0005-0000-0000-0000225A0000}"/>
    <cellStyle name="强调文字颜色 5 2 11" xfId="10715" xr:uid="{00000000-0005-0000-0000-0000235A0000}"/>
    <cellStyle name="强调文字颜色 5 2 12" xfId="22498" xr:uid="{00000000-0005-0000-0000-0000245A0000}"/>
    <cellStyle name="强调文字颜色 5 2 13" xfId="16168" xr:uid="{00000000-0005-0000-0000-0000255A0000}"/>
    <cellStyle name="强调文字颜色 5 2 14" xfId="16171" xr:uid="{00000000-0005-0000-0000-0000265A0000}"/>
    <cellStyle name="强调文字颜色 5 2 15" xfId="22500" xr:uid="{00000000-0005-0000-0000-0000275A0000}"/>
    <cellStyle name="强调文字颜色 5 2 16" xfId="22503" xr:uid="{00000000-0005-0000-0000-0000285A0000}"/>
    <cellStyle name="强调文字颜色 5 2 17" xfId="30062" xr:uid="{00000000-0005-0000-0000-0000295A0000}"/>
    <cellStyle name="强调文字颜色 5 2 17 10" xfId="30063" xr:uid="{00000000-0005-0000-0000-00002A5A0000}"/>
    <cellStyle name="强调文字颜色 5 2 17 11" xfId="30065" xr:uid="{00000000-0005-0000-0000-00002B5A0000}"/>
    <cellStyle name="强调文字颜色 5 2 17 12" xfId="28669" xr:uid="{00000000-0005-0000-0000-00002C5A0000}"/>
    <cellStyle name="强调文字颜色 5 2 17 13" xfId="28670" xr:uid="{00000000-0005-0000-0000-00002D5A0000}"/>
    <cellStyle name="强调文字颜色 5 2 17 14" xfId="28672" xr:uid="{00000000-0005-0000-0000-00002E5A0000}"/>
    <cellStyle name="强调文字颜色 5 2 17 2" xfId="21802" xr:uid="{00000000-0005-0000-0000-00002F5A0000}"/>
    <cellStyle name="强调文字颜色 5 2 17 3" xfId="30066" xr:uid="{00000000-0005-0000-0000-0000305A0000}"/>
    <cellStyle name="强调文字颜色 5 2 17 4" xfId="30067" xr:uid="{00000000-0005-0000-0000-0000315A0000}"/>
    <cellStyle name="强调文字颜色 5 2 17 5" xfId="26587" xr:uid="{00000000-0005-0000-0000-0000325A0000}"/>
    <cellStyle name="强调文字颜色 5 2 17 5 10" xfId="30068" xr:uid="{00000000-0005-0000-0000-0000335A0000}"/>
    <cellStyle name="强调文字颜色 5 2 17 5 11" xfId="30069" xr:uid="{00000000-0005-0000-0000-0000345A0000}"/>
    <cellStyle name="强调文字颜色 5 2 17 5 2" xfId="2738" xr:uid="{00000000-0005-0000-0000-0000355A0000}"/>
    <cellStyle name="强调文字颜色 5 2 17 5 2 2" xfId="5364" xr:uid="{00000000-0005-0000-0000-0000365A0000}"/>
    <cellStyle name="强调文字颜色 5 2 17 5 2 2 2" xfId="5374" xr:uid="{00000000-0005-0000-0000-0000375A0000}"/>
    <cellStyle name="强调文字颜色 5 2 17 5 2 2 3" xfId="5394" xr:uid="{00000000-0005-0000-0000-0000385A0000}"/>
    <cellStyle name="强调文字颜色 5 2 17 5 2 3" xfId="5402" xr:uid="{00000000-0005-0000-0000-0000395A0000}"/>
    <cellStyle name="强调文字颜色 5 2 17 5 2 4" xfId="5417" xr:uid="{00000000-0005-0000-0000-00003A5A0000}"/>
    <cellStyle name="强调文字颜色 5 2 17 5 2 5" xfId="5430" xr:uid="{00000000-0005-0000-0000-00003B5A0000}"/>
    <cellStyle name="强调文字颜色 5 2 17 5 2 6" xfId="5444" xr:uid="{00000000-0005-0000-0000-00003C5A0000}"/>
    <cellStyle name="强调文字颜色 5 2 17 5 2 7" xfId="5460" xr:uid="{00000000-0005-0000-0000-00003D5A0000}"/>
    <cellStyle name="强调文字颜色 5 2 17 5 2 8" xfId="5473" xr:uid="{00000000-0005-0000-0000-00003E5A0000}"/>
    <cellStyle name="强调文字颜色 5 2 17 5 3" xfId="5491" xr:uid="{00000000-0005-0000-0000-00003F5A0000}"/>
    <cellStyle name="强调文字颜色 5 2 17 5 4" xfId="5565" xr:uid="{00000000-0005-0000-0000-0000405A0000}"/>
    <cellStyle name="强调文字颜色 5 2 17 5 5" xfId="5572" xr:uid="{00000000-0005-0000-0000-0000415A0000}"/>
    <cellStyle name="强调文字颜色 5 2 17 5 6" xfId="5579" xr:uid="{00000000-0005-0000-0000-0000425A0000}"/>
    <cellStyle name="强调文字颜色 5 2 17 5 6 2" xfId="5600" xr:uid="{00000000-0005-0000-0000-0000435A0000}"/>
    <cellStyle name="强调文字颜色 5 2 17 5 6 3" xfId="5609" xr:uid="{00000000-0005-0000-0000-0000445A0000}"/>
    <cellStyle name="强调文字颜色 5 2 17 5 7" xfId="30070" xr:uid="{00000000-0005-0000-0000-0000455A0000}"/>
    <cellStyle name="强调文字颜色 5 2 17 5 8" xfId="30071" xr:uid="{00000000-0005-0000-0000-0000465A0000}"/>
    <cellStyle name="强调文字颜色 5 2 17 5 9" xfId="30072" xr:uid="{00000000-0005-0000-0000-0000475A0000}"/>
    <cellStyle name="强调文字颜色 5 2 17 6" xfId="26589" xr:uid="{00000000-0005-0000-0000-0000485A0000}"/>
    <cellStyle name="强调文字颜色 5 2 17 6 2" xfId="5641" xr:uid="{00000000-0005-0000-0000-0000495A0000}"/>
    <cellStyle name="强调文字颜色 5 2 17 6 2 2" xfId="5660" xr:uid="{00000000-0005-0000-0000-00004A5A0000}"/>
    <cellStyle name="强调文字颜色 5 2 17 6 2 3" xfId="5702" xr:uid="{00000000-0005-0000-0000-00004B5A0000}"/>
    <cellStyle name="强调文字颜色 5 2 17 6 3" xfId="3038" xr:uid="{00000000-0005-0000-0000-00004C5A0000}"/>
    <cellStyle name="强调文字颜色 5 2 17 6 4" xfId="3052" xr:uid="{00000000-0005-0000-0000-00004D5A0000}"/>
    <cellStyle name="强调文字颜色 5 2 17 6 5" xfId="5854" xr:uid="{00000000-0005-0000-0000-00004E5A0000}"/>
    <cellStyle name="强调文字颜色 5 2 17 6 6" xfId="5860" xr:uid="{00000000-0005-0000-0000-00004F5A0000}"/>
    <cellStyle name="强调文字颜色 5 2 17 6 7" xfId="7905" xr:uid="{00000000-0005-0000-0000-0000505A0000}"/>
    <cellStyle name="强调文字颜色 5 2 17 6 8" xfId="7908" xr:uid="{00000000-0005-0000-0000-0000515A0000}"/>
    <cellStyle name="强调文字颜色 5 2 17 7" xfId="30073" xr:uid="{00000000-0005-0000-0000-0000525A0000}"/>
    <cellStyle name="强调文字颜色 5 2 17 8" xfId="30074" xr:uid="{00000000-0005-0000-0000-0000535A0000}"/>
    <cellStyle name="强调文字颜色 5 2 17 9" xfId="30075" xr:uid="{00000000-0005-0000-0000-0000545A0000}"/>
    <cellStyle name="强调文字颜色 5 2 17 9 2" xfId="18532" xr:uid="{00000000-0005-0000-0000-0000555A0000}"/>
    <cellStyle name="强调文字颜色 5 2 17 9 3" xfId="20818" xr:uid="{00000000-0005-0000-0000-0000565A0000}"/>
    <cellStyle name="强调文字颜色 5 2 18" xfId="30076" xr:uid="{00000000-0005-0000-0000-0000575A0000}"/>
    <cellStyle name="强调文字颜色 5 2 18 10" xfId="30077" xr:uid="{00000000-0005-0000-0000-0000585A0000}"/>
    <cellStyle name="强调文字颜色 5 2 18 11" xfId="30078" xr:uid="{00000000-0005-0000-0000-0000595A0000}"/>
    <cellStyle name="强调文字颜色 5 2 18 12" xfId="30079" xr:uid="{00000000-0005-0000-0000-00005A5A0000}"/>
    <cellStyle name="强调文字颜色 5 2 18 13" xfId="30081" xr:uid="{00000000-0005-0000-0000-00005B5A0000}"/>
    <cellStyle name="强调文字颜色 5 2 18 14" xfId="30083" xr:uid="{00000000-0005-0000-0000-00005C5A0000}"/>
    <cellStyle name="强调文字颜色 5 2 18 2" xfId="15827" xr:uid="{00000000-0005-0000-0000-00005D5A0000}"/>
    <cellStyle name="强调文字颜色 5 2 18 3" xfId="30084" xr:uid="{00000000-0005-0000-0000-00005E5A0000}"/>
    <cellStyle name="强调文字颜色 5 2 18 4" xfId="30085" xr:uid="{00000000-0005-0000-0000-00005F5A0000}"/>
    <cellStyle name="强调文字颜色 5 2 18 5" xfId="30086" xr:uid="{00000000-0005-0000-0000-0000605A0000}"/>
    <cellStyle name="强调文字颜色 5 2 18 5 10" xfId="5422" xr:uid="{00000000-0005-0000-0000-0000615A0000}"/>
    <cellStyle name="强调文字颜色 5 2 18 5 11" xfId="5435" xr:uid="{00000000-0005-0000-0000-0000625A0000}"/>
    <cellStyle name="强调文字颜色 5 2 18 5 2" xfId="9871" xr:uid="{00000000-0005-0000-0000-0000635A0000}"/>
    <cellStyle name="强调文字颜色 5 2 18 5 2 2" xfId="18493" xr:uid="{00000000-0005-0000-0000-0000645A0000}"/>
    <cellStyle name="强调文字颜色 5 2 18 5 2 2 2" xfId="7948" xr:uid="{00000000-0005-0000-0000-0000655A0000}"/>
    <cellStyle name="强调文字颜色 5 2 18 5 2 2 3" xfId="7956" xr:uid="{00000000-0005-0000-0000-0000665A0000}"/>
    <cellStyle name="强调文字颜色 5 2 18 5 2 3" xfId="18527" xr:uid="{00000000-0005-0000-0000-0000675A0000}"/>
    <cellStyle name="强调文字颜色 5 2 18 5 2 4" xfId="18536" xr:uid="{00000000-0005-0000-0000-0000685A0000}"/>
    <cellStyle name="强调文字颜色 5 2 18 5 2 5" xfId="6777" xr:uid="{00000000-0005-0000-0000-0000695A0000}"/>
    <cellStyle name="强调文字颜色 5 2 18 5 2 6" xfId="7614" xr:uid="{00000000-0005-0000-0000-00006A5A0000}"/>
    <cellStyle name="强调文字颜色 5 2 18 5 2 7" xfId="7625" xr:uid="{00000000-0005-0000-0000-00006B5A0000}"/>
    <cellStyle name="强调文字颜色 5 2 18 5 2 8" xfId="8923" xr:uid="{00000000-0005-0000-0000-00006C5A0000}"/>
    <cellStyle name="强调文字颜色 5 2 18 5 3" xfId="20833" xr:uid="{00000000-0005-0000-0000-00006D5A0000}"/>
    <cellStyle name="强调文字颜色 5 2 18 5 4" xfId="21036" xr:uid="{00000000-0005-0000-0000-00006E5A0000}"/>
    <cellStyle name="强调文字颜色 5 2 18 5 5" xfId="21112" xr:uid="{00000000-0005-0000-0000-00006F5A0000}"/>
    <cellStyle name="强调文字颜色 5 2 18 5 6" xfId="21137" xr:uid="{00000000-0005-0000-0000-0000705A0000}"/>
    <cellStyle name="强调文字颜色 5 2 18 5 6 2" xfId="21141" xr:uid="{00000000-0005-0000-0000-0000715A0000}"/>
    <cellStyle name="强调文字颜色 5 2 18 5 6 3" xfId="21145" xr:uid="{00000000-0005-0000-0000-0000725A0000}"/>
    <cellStyle name="强调文字颜色 5 2 18 5 7" xfId="21160" xr:uid="{00000000-0005-0000-0000-0000735A0000}"/>
    <cellStyle name="强调文字颜色 5 2 18 5 8" xfId="21163" xr:uid="{00000000-0005-0000-0000-0000745A0000}"/>
    <cellStyle name="强调文字颜色 5 2 18 5 9" xfId="21166" xr:uid="{00000000-0005-0000-0000-0000755A0000}"/>
    <cellStyle name="强调文字颜色 5 2 18 6" xfId="5150" xr:uid="{00000000-0005-0000-0000-0000765A0000}"/>
    <cellStyle name="强调文字颜色 5 2 18 6 2" xfId="903" xr:uid="{00000000-0005-0000-0000-0000775A0000}"/>
    <cellStyle name="强调文字颜色 5 2 18 6 2 2" xfId="3712" xr:uid="{00000000-0005-0000-0000-0000785A0000}"/>
    <cellStyle name="强调文字颜色 5 2 18 6 2 3" xfId="3734" xr:uid="{00000000-0005-0000-0000-0000795A0000}"/>
    <cellStyle name="强调文字颜色 5 2 18 6 3" xfId="941" xr:uid="{00000000-0005-0000-0000-00007A5A0000}"/>
    <cellStyle name="强调文字颜色 5 2 18 6 4" xfId="980" xr:uid="{00000000-0005-0000-0000-00007B5A0000}"/>
    <cellStyle name="强调文字颜色 5 2 18 6 5" xfId="1002" xr:uid="{00000000-0005-0000-0000-00007C5A0000}"/>
    <cellStyle name="强调文字颜色 5 2 18 6 6" xfId="1037" xr:uid="{00000000-0005-0000-0000-00007D5A0000}"/>
    <cellStyle name="强调文字颜色 5 2 18 6 7" xfId="1057" xr:uid="{00000000-0005-0000-0000-00007E5A0000}"/>
    <cellStyle name="强调文字颜色 5 2 18 6 8" xfId="1078" xr:uid="{00000000-0005-0000-0000-00007F5A0000}"/>
    <cellStyle name="强调文字颜色 5 2 18 7" xfId="5154" xr:uid="{00000000-0005-0000-0000-0000805A0000}"/>
    <cellStyle name="强调文字颜色 5 2 18 8" xfId="5162" xr:uid="{00000000-0005-0000-0000-0000815A0000}"/>
    <cellStyle name="强调文字颜色 5 2 18 9" xfId="5171" xr:uid="{00000000-0005-0000-0000-0000825A0000}"/>
    <cellStyle name="强调文字颜色 5 2 18 9 2" xfId="21008" xr:uid="{00000000-0005-0000-0000-0000835A0000}"/>
    <cellStyle name="强调文字颜色 5 2 18 9 3" xfId="21011" xr:uid="{00000000-0005-0000-0000-0000845A0000}"/>
    <cellStyle name="强调文字颜色 5 2 19" xfId="30087" xr:uid="{00000000-0005-0000-0000-0000855A0000}"/>
    <cellStyle name="强调文字颜色 5 2 19 10" xfId="11009" xr:uid="{00000000-0005-0000-0000-0000865A0000}"/>
    <cellStyle name="强调文字颜色 5 2 19 11" xfId="11018" xr:uid="{00000000-0005-0000-0000-0000875A0000}"/>
    <cellStyle name="强调文字颜色 5 2 19 12" xfId="11027" xr:uid="{00000000-0005-0000-0000-0000885A0000}"/>
    <cellStyle name="强调文字颜色 5 2 19 13" xfId="9452" xr:uid="{00000000-0005-0000-0000-0000895A0000}"/>
    <cellStyle name="强调文字颜色 5 2 19 14" xfId="9463" xr:uid="{00000000-0005-0000-0000-00008A5A0000}"/>
    <cellStyle name="强调文字颜色 5 2 19 2" xfId="30088" xr:uid="{00000000-0005-0000-0000-00008B5A0000}"/>
    <cellStyle name="强调文字颜色 5 2 19 3" xfId="30089" xr:uid="{00000000-0005-0000-0000-00008C5A0000}"/>
    <cellStyle name="强调文字颜色 5 2 19 4" xfId="30090" xr:uid="{00000000-0005-0000-0000-00008D5A0000}"/>
    <cellStyle name="强调文字颜色 5 2 19 5" xfId="30091" xr:uid="{00000000-0005-0000-0000-00008E5A0000}"/>
    <cellStyle name="强调文字颜色 5 2 19 5 10" xfId="30092" xr:uid="{00000000-0005-0000-0000-00008F5A0000}"/>
    <cellStyle name="强调文字颜色 5 2 19 5 11" xfId="30093" xr:uid="{00000000-0005-0000-0000-0000905A0000}"/>
    <cellStyle name="强调文字颜色 5 2 19 5 2" xfId="11236" xr:uid="{00000000-0005-0000-0000-0000915A0000}"/>
    <cellStyle name="强调文字颜色 5 2 19 5 2 2" xfId="30094" xr:uid="{00000000-0005-0000-0000-0000925A0000}"/>
    <cellStyle name="强调文字颜色 5 2 19 5 2 2 2" xfId="30095" xr:uid="{00000000-0005-0000-0000-0000935A0000}"/>
    <cellStyle name="强调文字颜色 5 2 19 5 2 2 3" xfId="30096" xr:uid="{00000000-0005-0000-0000-0000945A0000}"/>
    <cellStyle name="强调文字颜色 5 2 19 5 2 3" xfId="30097" xr:uid="{00000000-0005-0000-0000-0000955A0000}"/>
    <cellStyle name="强调文字颜色 5 2 19 5 2 4" xfId="30098" xr:uid="{00000000-0005-0000-0000-0000965A0000}"/>
    <cellStyle name="强调文字颜色 5 2 19 5 2 5" xfId="4792" xr:uid="{00000000-0005-0000-0000-0000975A0000}"/>
    <cellStyle name="强调文字颜色 5 2 19 5 2 6" xfId="7672" xr:uid="{00000000-0005-0000-0000-0000985A0000}"/>
    <cellStyle name="强调文字颜色 5 2 19 5 2 7" xfId="7677" xr:uid="{00000000-0005-0000-0000-0000995A0000}"/>
    <cellStyle name="强调文字颜色 5 2 19 5 2 8" xfId="9661" xr:uid="{00000000-0005-0000-0000-00009A5A0000}"/>
    <cellStyle name="强调文字颜色 5 2 19 5 3" xfId="28213" xr:uid="{00000000-0005-0000-0000-00009B5A0000}"/>
    <cellStyle name="强调文字颜色 5 2 19 5 4" xfId="28215" xr:uid="{00000000-0005-0000-0000-00009C5A0000}"/>
    <cellStyle name="强调文字颜色 5 2 19 5 5" xfId="28217" xr:uid="{00000000-0005-0000-0000-00009D5A0000}"/>
    <cellStyle name="强调文字颜色 5 2 19 5 6" xfId="28220" xr:uid="{00000000-0005-0000-0000-00009E5A0000}"/>
    <cellStyle name="强调文字颜色 5 2 19 5 6 2" xfId="29978" xr:uid="{00000000-0005-0000-0000-00009F5A0000}"/>
    <cellStyle name="强调文字颜色 5 2 19 5 6 3" xfId="29982" xr:uid="{00000000-0005-0000-0000-0000A05A0000}"/>
    <cellStyle name="强调文字颜色 5 2 19 5 7" xfId="28224" xr:uid="{00000000-0005-0000-0000-0000A15A0000}"/>
    <cellStyle name="强调文字颜色 5 2 19 5 8" xfId="29988" xr:uid="{00000000-0005-0000-0000-0000A25A0000}"/>
    <cellStyle name="强调文字颜色 5 2 19 5 9" xfId="29991" xr:uid="{00000000-0005-0000-0000-0000A35A0000}"/>
    <cellStyle name="强调文字颜色 5 2 19 6" xfId="3856" xr:uid="{00000000-0005-0000-0000-0000A45A0000}"/>
    <cellStyle name="强调文字颜色 5 2 19 6 2" xfId="3236" xr:uid="{00000000-0005-0000-0000-0000A55A0000}"/>
    <cellStyle name="强调文字颜色 5 2 19 6 2 2" xfId="30100" xr:uid="{00000000-0005-0000-0000-0000A65A0000}"/>
    <cellStyle name="强调文字颜色 5 2 19 6 2 3" xfId="30101" xr:uid="{00000000-0005-0000-0000-0000A75A0000}"/>
    <cellStyle name="强调文字颜色 5 2 19 6 3" xfId="2936" xr:uid="{00000000-0005-0000-0000-0000A85A0000}"/>
    <cellStyle name="强调文字颜色 5 2 19 6 4" xfId="30102" xr:uid="{00000000-0005-0000-0000-0000A95A0000}"/>
    <cellStyle name="强调文字颜色 5 2 19 6 5" xfId="30103" xr:uid="{00000000-0005-0000-0000-0000AA5A0000}"/>
    <cellStyle name="强调文字颜色 5 2 19 6 6" xfId="25801" xr:uid="{00000000-0005-0000-0000-0000AB5A0000}"/>
    <cellStyle name="强调文字颜色 5 2 19 6 7" xfId="29999" xr:uid="{00000000-0005-0000-0000-0000AC5A0000}"/>
    <cellStyle name="强调文字颜色 5 2 19 6 8" xfId="30001" xr:uid="{00000000-0005-0000-0000-0000AD5A0000}"/>
    <cellStyle name="强调文字颜色 5 2 19 7" xfId="3898" xr:uid="{00000000-0005-0000-0000-0000AE5A0000}"/>
    <cellStyle name="强调文字颜色 5 2 19 8" xfId="4999" xr:uid="{00000000-0005-0000-0000-0000AF5A0000}"/>
    <cellStyle name="强调文字颜色 5 2 19 9" xfId="5193" xr:uid="{00000000-0005-0000-0000-0000B05A0000}"/>
    <cellStyle name="强调文字颜色 5 2 19 9 2" xfId="24658" xr:uid="{00000000-0005-0000-0000-0000B15A0000}"/>
    <cellStyle name="强调文字颜色 5 2 19 9 3" xfId="24660" xr:uid="{00000000-0005-0000-0000-0000B25A0000}"/>
    <cellStyle name="强调文字颜色 5 2 2" xfId="27795" xr:uid="{00000000-0005-0000-0000-0000B35A0000}"/>
    <cellStyle name="强调文字颜色 5 2 2 10" xfId="5575" xr:uid="{00000000-0005-0000-0000-0000B45A0000}"/>
    <cellStyle name="强调文字颜色 5 2 2 11" xfId="17238" xr:uid="{00000000-0005-0000-0000-0000B55A0000}"/>
    <cellStyle name="强调文字颜色 5 2 2 12" xfId="17240" xr:uid="{00000000-0005-0000-0000-0000B65A0000}"/>
    <cellStyle name="强调文字颜色 5 2 2 13" xfId="17242" xr:uid="{00000000-0005-0000-0000-0000B75A0000}"/>
    <cellStyle name="强调文字颜色 5 2 2 14" xfId="17246" xr:uid="{00000000-0005-0000-0000-0000B85A0000}"/>
    <cellStyle name="强调文字颜色 5 2 2 2" xfId="27797" xr:uid="{00000000-0005-0000-0000-0000B95A0000}"/>
    <cellStyle name="强调文字颜色 5 2 2 3" xfId="27800" xr:uid="{00000000-0005-0000-0000-0000BA5A0000}"/>
    <cellStyle name="强调文字颜色 5 2 2 4" xfId="27802" xr:uid="{00000000-0005-0000-0000-0000BB5A0000}"/>
    <cellStyle name="强调文字颜色 5 2 2 5" xfId="27804" xr:uid="{00000000-0005-0000-0000-0000BC5A0000}"/>
    <cellStyle name="强调文字颜色 5 2 2 6" xfId="27807" xr:uid="{00000000-0005-0000-0000-0000BD5A0000}"/>
    <cellStyle name="强调文字颜色 5 2 2 7" xfId="27810" xr:uid="{00000000-0005-0000-0000-0000BE5A0000}"/>
    <cellStyle name="强调文字颜色 5 2 2 8" xfId="27812" xr:uid="{00000000-0005-0000-0000-0000BF5A0000}"/>
    <cellStyle name="强调文字颜色 5 2 2 9" xfId="30104" xr:uid="{00000000-0005-0000-0000-0000C05A0000}"/>
    <cellStyle name="强调文字颜色 5 2 20" xfId="22501" xr:uid="{00000000-0005-0000-0000-0000C15A0000}"/>
    <cellStyle name="强调文字颜色 5 2 20 10" xfId="30107" xr:uid="{00000000-0005-0000-0000-0000C25A0000}"/>
    <cellStyle name="强调文字颜色 5 2 20 11" xfId="30108" xr:uid="{00000000-0005-0000-0000-0000C35A0000}"/>
    <cellStyle name="强调文字颜色 5 2 20 12" xfId="28051" xr:uid="{00000000-0005-0000-0000-0000C45A0000}"/>
    <cellStyle name="强调文字颜色 5 2 20 13" xfId="28054" xr:uid="{00000000-0005-0000-0000-0000C55A0000}"/>
    <cellStyle name="强调文字颜色 5 2 20 14" xfId="30109" xr:uid="{00000000-0005-0000-0000-0000C65A0000}"/>
    <cellStyle name="强调文字颜色 5 2 20 2" xfId="30110" xr:uid="{00000000-0005-0000-0000-0000C75A0000}"/>
    <cellStyle name="强调文字颜色 5 2 20 3" xfId="30111" xr:uid="{00000000-0005-0000-0000-0000C85A0000}"/>
    <cellStyle name="强调文字颜色 5 2 20 4" xfId="30112" xr:uid="{00000000-0005-0000-0000-0000C95A0000}"/>
    <cellStyle name="强调文字颜色 5 2 20 5" xfId="30113" xr:uid="{00000000-0005-0000-0000-0000CA5A0000}"/>
    <cellStyle name="强调文字颜色 5 2 20 5 10" xfId="30114" xr:uid="{00000000-0005-0000-0000-0000CB5A0000}"/>
    <cellStyle name="强调文字颜色 5 2 20 5 11" xfId="30115" xr:uid="{00000000-0005-0000-0000-0000CC5A0000}"/>
    <cellStyle name="强调文字颜色 5 2 20 5 2" xfId="6834" xr:uid="{00000000-0005-0000-0000-0000CD5A0000}"/>
    <cellStyle name="强调文字颜色 5 2 20 5 2 2" xfId="30118" xr:uid="{00000000-0005-0000-0000-0000CE5A0000}"/>
    <cellStyle name="强调文字颜色 5 2 20 5 2 2 2" xfId="30119" xr:uid="{00000000-0005-0000-0000-0000CF5A0000}"/>
    <cellStyle name="强调文字颜色 5 2 20 5 2 2 3" xfId="25668" xr:uid="{00000000-0005-0000-0000-0000D05A0000}"/>
    <cellStyle name="强调文字颜色 5 2 20 5 2 3" xfId="30121" xr:uid="{00000000-0005-0000-0000-0000D15A0000}"/>
    <cellStyle name="强调文字颜色 5 2 20 5 2 4" xfId="30122" xr:uid="{00000000-0005-0000-0000-0000D25A0000}"/>
    <cellStyle name="强调文字颜色 5 2 20 5 2 5" xfId="30123" xr:uid="{00000000-0005-0000-0000-0000D35A0000}"/>
    <cellStyle name="强调文字颜色 5 2 20 5 2 6" xfId="18204" xr:uid="{00000000-0005-0000-0000-0000D45A0000}"/>
    <cellStyle name="强调文字颜色 5 2 20 5 2 7" xfId="18207" xr:uid="{00000000-0005-0000-0000-0000D55A0000}"/>
    <cellStyle name="强调文字颜色 5 2 20 5 2 8" xfId="18210" xr:uid="{00000000-0005-0000-0000-0000D65A0000}"/>
    <cellStyle name="强调文字颜色 5 2 20 5 3" xfId="6836" xr:uid="{00000000-0005-0000-0000-0000D75A0000}"/>
    <cellStyle name="强调文字颜色 5 2 20 5 4" xfId="6105" xr:uid="{00000000-0005-0000-0000-0000D85A0000}"/>
    <cellStyle name="强调文字颜色 5 2 20 5 5" xfId="6112" xr:uid="{00000000-0005-0000-0000-0000D95A0000}"/>
    <cellStyle name="强调文字颜色 5 2 20 5 6" xfId="6838" xr:uid="{00000000-0005-0000-0000-0000DA5A0000}"/>
    <cellStyle name="强调文字颜色 5 2 20 5 6 2" xfId="30124" xr:uid="{00000000-0005-0000-0000-0000DB5A0000}"/>
    <cellStyle name="强调文字颜色 5 2 20 5 6 3" xfId="30125" xr:uid="{00000000-0005-0000-0000-0000DC5A0000}"/>
    <cellStyle name="强调文字颜色 5 2 20 5 7" xfId="6843" xr:uid="{00000000-0005-0000-0000-0000DD5A0000}"/>
    <cellStyle name="强调文字颜色 5 2 20 5 8" xfId="17357" xr:uid="{00000000-0005-0000-0000-0000DE5A0000}"/>
    <cellStyle name="强调文字颜色 5 2 20 5 9" xfId="17360" xr:uid="{00000000-0005-0000-0000-0000DF5A0000}"/>
    <cellStyle name="强调文字颜色 5 2 20 6" xfId="30126" xr:uid="{00000000-0005-0000-0000-0000E05A0000}"/>
    <cellStyle name="强调文字颜色 5 2 20 6 2" xfId="21406" xr:uid="{00000000-0005-0000-0000-0000E15A0000}"/>
    <cellStyle name="强调文字颜色 5 2 20 6 2 2" xfId="22377" xr:uid="{00000000-0005-0000-0000-0000E25A0000}"/>
    <cellStyle name="强调文字颜色 5 2 20 6 2 3" xfId="22380" xr:uid="{00000000-0005-0000-0000-0000E35A0000}"/>
    <cellStyle name="强调文字颜色 5 2 20 6 3" xfId="21410" xr:uid="{00000000-0005-0000-0000-0000E45A0000}"/>
    <cellStyle name="强调文字颜色 5 2 20 6 4" xfId="22382" xr:uid="{00000000-0005-0000-0000-0000E55A0000}"/>
    <cellStyle name="强调文字颜色 5 2 20 6 5" xfId="22384" xr:uid="{00000000-0005-0000-0000-0000E65A0000}"/>
    <cellStyle name="强调文字颜色 5 2 20 6 6" xfId="30127" xr:uid="{00000000-0005-0000-0000-0000E75A0000}"/>
    <cellStyle name="强调文字颜色 5 2 20 6 7" xfId="30129" xr:uid="{00000000-0005-0000-0000-0000E85A0000}"/>
    <cellStyle name="强调文字颜色 5 2 20 6 8" xfId="30131" xr:uid="{00000000-0005-0000-0000-0000E95A0000}"/>
    <cellStyle name="强调文字颜色 5 2 20 7" xfId="30134" xr:uid="{00000000-0005-0000-0000-0000EA5A0000}"/>
    <cellStyle name="强调文字颜色 5 2 20 8" xfId="30135" xr:uid="{00000000-0005-0000-0000-0000EB5A0000}"/>
    <cellStyle name="强调文字颜色 5 2 20 9" xfId="30136" xr:uid="{00000000-0005-0000-0000-0000EC5A0000}"/>
    <cellStyle name="强调文字颜色 5 2 20 9 2" xfId="6858" xr:uid="{00000000-0005-0000-0000-0000ED5A0000}"/>
    <cellStyle name="强调文字颜色 5 2 20 9 3" xfId="2680" xr:uid="{00000000-0005-0000-0000-0000EE5A0000}"/>
    <cellStyle name="强调文字颜色 5 2 3" xfId="27816" xr:uid="{00000000-0005-0000-0000-0000EF5A0000}"/>
    <cellStyle name="强调文字颜色 5 2 3 10" xfId="30138" xr:uid="{00000000-0005-0000-0000-0000F05A0000}"/>
    <cellStyle name="强调文字颜色 5 2 3 11" xfId="17265" xr:uid="{00000000-0005-0000-0000-0000F15A0000}"/>
    <cellStyle name="强调文字颜色 5 2 3 12" xfId="17268" xr:uid="{00000000-0005-0000-0000-0000F25A0000}"/>
    <cellStyle name="强调文字颜色 5 2 3 13" xfId="17271" xr:uid="{00000000-0005-0000-0000-0000F35A0000}"/>
    <cellStyle name="强调文字颜色 5 2 3 14" xfId="6772" xr:uid="{00000000-0005-0000-0000-0000F45A0000}"/>
    <cellStyle name="强调文字颜色 5 2 3 2" xfId="30139" xr:uid="{00000000-0005-0000-0000-0000F55A0000}"/>
    <cellStyle name="强调文字颜色 5 2 3 3" xfId="30140" xr:uid="{00000000-0005-0000-0000-0000F65A0000}"/>
    <cellStyle name="强调文字颜色 5 2 3 4" xfId="30141" xr:uid="{00000000-0005-0000-0000-0000F75A0000}"/>
    <cellStyle name="强调文字颜色 5 2 3 5" xfId="30142" xr:uid="{00000000-0005-0000-0000-0000F85A0000}"/>
    <cellStyle name="强调文字颜色 5 2 3 6" xfId="30143" xr:uid="{00000000-0005-0000-0000-0000F95A0000}"/>
    <cellStyle name="强调文字颜色 5 2 3 7" xfId="30144" xr:uid="{00000000-0005-0000-0000-0000FA5A0000}"/>
    <cellStyle name="强调文字颜色 5 2 3 8" xfId="30145" xr:uid="{00000000-0005-0000-0000-0000FB5A0000}"/>
    <cellStyle name="强调文字颜色 5 2 3 9" xfId="30146" xr:uid="{00000000-0005-0000-0000-0000FC5A0000}"/>
    <cellStyle name="强调文字颜色 5 2 4" xfId="27818" xr:uid="{00000000-0005-0000-0000-0000FD5A0000}"/>
    <cellStyle name="强调文字颜色 5 2 4 10" xfId="30147" xr:uid="{00000000-0005-0000-0000-0000FE5A0000}"/>
    <cellStyle name="强调文字颜色 5 2 4 11" xfId="30148" xr:uid="{00000000-0005-0000-0000-0000FF5A0000}"/>
    <cellStyle name="强调文字颜色 5 2 4 12" xfId="30149" xr:uid="{00000000-0005-0000-0000-0000005B0000}"/>
    <cellStyle name="强调文字颜色 5 2 4 13" xfId="30150" xr:uid="{00000000-0005-0000-0000-0000015B0000}"/>
    <cellStyle name="强调文字颜色 5 2 4 14" xfId="30151" xr:uid="{00000000-0005-0000-0000-0000025B0000}"/>
    <cellStyle name="强调文字颜色 5 2 4 2" xfId="30152" xr:uid="{00000000-0005-0000-0000-0000035B0000}"/>
    <cellStyle name="强调文字颜色 5 2 4 3" xfId="30154" xr:uid="{00000000-0005-0000-0000-0000045B0000}"/>
    <cellStyle name="强调文字颜色 5 2 4 4" xfId="30156" xr:uid="{00000000-0005-0000-0000-0000055B0000}"/>
    <cellStyle name="强调文字颜色 5 2 4 5" xfId="30158" xr:uid="{00000000-0005-0000-0000-0000065B0000}"/>
    <cellStyle name="强调文字颜色 5 2 4 6" xfId="30160" xr:uid="{00000000-0005-0000-0000-0000075B0000}"/>
    <cellStyle name="强调文字颜色 5 2 4 7" xfId="30162" xr:uid="{00000000-0005-0000-0000-0000085B0000}"/>
    <cellStyle name="强调文字颜色 5 2 4 8" xfId="30164" xr:uid="{00000000-0005-0000-0000-0000095B0000}"/>
    <cellStyle name="强调文字颜色 5 2 4 9" xfId="30166" xr:uid="{00000000-0005-0000-0000-00000A5B0000}"/>
    <cellStyle name="强调文字颜色 5 2 5" xfId="27822" xr:uid="{00000000-0005-0000-0000-00000B5B0000}"/>
    <cellStyle name="强调文字颜色 5 2 6" xfId="27134" xr:uid="{00000000-0005-0000-0000-00000C5B0000}"/>
    <cellStyle name="强调文字颜色 5 2 7" xfId="27140" xr:uid="{00000000-0005-0000-0000-00000D5B0000}"/>
    <cellStyle name="强调文字颜色 5 2 8" xfId="27829" xr:uid="{00000000-0005-0000-0000-00000E5B0000}"/>
    <cellStyle name="强调文字颜色 5 2 9" xfId="27833" xr:uid="{00000000-0005-0000-0000-00000F5B0000}"/>
    <cellStyle name="强调文字颜色 5 3" xfId="27836" xr:uid="{00000000-0005-0000-0000-0000105B0000}"/>
    <cellStyle name="强调文字颜色 5 3 10" xfId="30167" xr:uid="{00000000-0005-0000-0000-0000115B0000}"/>
    <cellStyle name="强调文字颜色 5 3 11" xfId="30168" xr:uid="{00000000-0005-0000-0000-0000125B0000}"/>
    <cellStyle name="强调文字颜色 5 3 12" xfId="30169" xr:uid="{00000000-0005-0000-0000-0000135B0000}"/>
    <cellStyle name="强调文字颜色 5 3 13" xfId="30170" xr:uid="{00000000-0005-0000-0000-0000145B0000}"/>
    <cellStyle name="强调文字颜色 5 3 14" xfId="30171" xr:uid="{00000000-0005-0000-0000-0000155B0000}"/>
    <cellStyle name="强调文字颜色 5 3 15" xfId="25924" xr:uid="{00000000-0005-0000-0000-0000165B0000}"/>
    <cellStyle name="强调文字颜色 5 3 16" xfId="30172" xr:uid="{00000000-0005-0000-0000-0000175B0000}"/>
    <cellStyle name="强调文字颜色 5 3 17" xfId="30173" xr:uid="{00000000-0005-0000-0000-0000185B0000}"/>
    <cellStyle name="强调文字颜色 5 3 17 10" xfId="30174" xr:uid="{00000000-0005-0000-0000-0000195B0000}"/>
    <cellStyle name="强调文字颜色 5 3 17 11" xfId="30175" xr:uid="{00000000-0005-0000-0000-00001A5B0000}"/>
    <cellStyle name="强调文字颜色 5 3 17 12" xfId="30176" xr:uid="{00000000-0005-0000-0000-00001B5B0000}"/>
    <cellStyle name="强调文字颜色 5 3 17 13" xfId="30177" xr:uid="{00000000-0005-0000-0000-00001C5B0000}"/>
    <cellStyle name="强调文字颜色 5 3 17 14" xfId="30179" xr:uid="{00000000-0005-0000-0000-00001D5B0000}"/>
    <cellStyle name="强调文字颜色 5 3 17 2" xfId="30180" xr:uid="{00000000-0005-0000-0000-00001E5B0000}"/>
    <cellStyle name="强调文字颜色 5 3 17 2 2" xfId="30181" xr:uid="{00000000-0005-0000-0000-00001F5B0000}"/>
    <cellStyle name="强调文字颜色 5 3 17 3" xfId="30182" xr:uid="{00000000-0005-0000-0000-0000205B0000}"/>
    <cellStyle name="强调文字颜色 5 3 17 4" xfId="30183" xr:uid="{00000000-0005-0000-0000-0000215B0000}"/>
    <cellStyle name="强调文字颜色 5 3 17 5" xfId="30184" xr:uid="{00000000-0005-0000-0000-0000225B0000}"/>
    <cellStyle name="强调文字颜色 5 3 17 5 10" xfId="30185" xr:uid="{00000000-0005-0000-0000-0000235B0000}"/>
    <cellStyle name="强调文字颜色 5 3 17 5 11" xfId="30186" xr:uid="{00000000-0005-0000-0000-0000245B0000}"/>
    <cellStyle name="强调文字颜色 5 3 17 5 2" xfId="30187" xr:uid="{00000000-0005-0000-0000-0000255B0000}"/>
    <cellStyle name="强调文字颜色 5 3 17 5 2 2" xfId="874" xr:uid="{00000000-0005-0000-0000-0000265B0000}"/>
    <cellStyle name="强调文字颜色 5 3 17 5 2 2 2" xfId="17088" xr:uid="{00000000-0005-0000-0000-0000275B0000}"/>
    <cellStyle name="强调文字颜色 5 3 17 5 2 2 3" xfId="12782" xr:uid="{00000000-0005-0000-0000-0000285B0000}"/>
    <cellStyle name="强调文字颜色 5 3 17 5 2 3" xfId="887" xr:uid="{00000000-0005-0000-0000-0000295B0000}"/>
    <cellStyle name="强调文字颜色 5 3 17 5 2 4" xfId="899" xr:uid="{00000000-0005-0000-0000-00002A5B0000}"/>
    <cellStyle name="强调文字颜色 5 3 17 5 2 5" xfId="29829" xr:uid="{00000000-0005-0000-0000-00002B5B0000}"/>
    <cellStyle name="强调文字颜色 5 3 17 5 2 6" xfId="29831" xr:uid="{00000000-0005-0000-0000-00002C5B0000}"/>
    <cellStyle name="强调文字颜色 5 3 17 5 2 7" xfId="29833" xr:uid="{00000000-0005-0000-0000-00002D5B0000}"/>
    <cellStyle name="强调文字颜色 5 3 17 5 2 8" xfId="29835" xr:uid="{00000000-0005-0000-0000-00002E5B0000}"/>
    <cellStyle name="强调文字颜色 5 3 17 5 3" xfId="30188" xr:uid="{00000000-0005-0000-0000-00002F5B0000}"/>
    <cellStyle name="强调文字颜色 5 3 17 5 4" xfId="30189" xr:uid="{00000000-0005-0000-0000-0000305B0000}"/>
    <cellStyle name="强调文字颜色 5 3 17 5 5" xfId="30190" xr:uid="{00000000-0005-0000-0000-0000315B0000}"/>
    <cellStyle name="强调文字颜色 5 3 17 5 6" xfId="30191" xr:uid="{00000000-0005-0000-0000-0000325B0000}"/>
    <cellStyle name="强调文字颜色 5 3 17 5 6 2" xfId="30193" xr:uid="{00000000-0005-0000-0000-0000335B0000}"/>
    <cellStyle name="强调文字颜色 5 3 17 5 6 3" xfId="30195" xr:uid="{00000000-0005-0000-0000-0000345B0000}"/>
    <cellStyle name="强调文字颜色 5 3 17 5 7" xfId="30196" xr:uid="{00000000-0005-0000-0000-0000355B0000}"/>
    <cellStyle name="强调文字颜色 5 3 17 5 8" xfId="30197" xr:uid="{00000000-0005-0000-0000-0000365B0000}"/>
    <cellStyle name="强调文字颜色 5 3 17 5 9" xfId="30198" xr:uid="{00000000-0005-0000-0000-0000375B0000}"/>
    <cellStyle name="强调文字颜色 5 3 17 6" xfId="30199" xr:uid="{00000000-0005-0000-0000-0000385B0000}"/>
    <cellStyle name="强调文字颜色 5 3 17 6 2" xfId="10869" xr:uid="{00000000-0005-0000-0000-0000395B0000}"/>
    <cellStyle name="强调文字颜色 5 3 17 6 2 2" xfId="17898" xr:uid="{00000000-0005-0000-0000-00003A5B0000}"/>
    <cellStyle name="强调文字颜色 5 3 17 6 2 3" xfId="17901" xr:uid="{00000000-0005-0000-0000-00003B5B0000}"/>
    <cellStyle name="强调文字颜色 5 3 17 6 3" xfId="8953" xr:uid="{00000000-0005-0000-0000-00003C5B0000}"/>
    <cellStyle name="强调文字颜色 5 3 17 6 4" xfId="8958" xr:uid="{00000000-0005-0000-0000-00003D5B0000}"/>
    <cellStyle name="强调文字颜色 5 3 17 6 5" xfId="22542" xr:uid="{00000000-0005-0000-0000-00003E5B0000}"/>
    <cellStyle name="强调文字颜色 5 3 17 6 6" xfId="30200" xr:uid="{00000000-0005-0000-0000-00003F5B0000}"/>
    <cellStyle name="强调文字颜色 5 3 17 6 7" xfId="30201" xr:uid="{00000000-0005-0000-0000-0000405B0000}"/>
    <cellStyle name="强调文字颜色 5 3 17 6 8" xfId="30202" xr:uid="{00000000-0005-0000-0000-0000415B0000}"/>
    <cellStyle name="强调文字颜色 5 3 17 7" xfId="30203" xr:uid="{00000000-0005-0000-0000-0000425B0000}"/>
    <cellStyle name="强调文字颜色 5 3 17 8" xfId="12510" xr:uid="{00000000-0005-0000-0000-0000435B0000}"/>
    <cellStyle name="强调文字颜色 5 3 17 9" xfId="12512" xr:uid="{00000000-0005-0000-0000-0000445B0000}"/>
    <cellStyle name="强调文字颜色 5 3 17 9 2" xfId="19596" xr:uid="{00000000-0005-0000-0000-0000455B0000}"/>
    <cellStyle name="强调文字颜色 5 3 17 9 3" xfId="5157" xr:uid="{00000000-0005-0000-0000-0000465B0000}"/>
    <cellStyle name="强调文字颜色 5 3 18" xfId="30204" xr:uid="{00000000-0005-0000-0000-0000475B0000}"/>
    <cellStyle name="强调文字颜色 5 3 18 10" xfId="30205" xr:uid="{00000000-0005-0000-0000-0000485B0000}"/>
    <cellStyle name="强调文字颜色 5 3 18 11" xfId="30206" xr:uid="{00000000-0005-0000-0000-0000495B0000}"/>
    <cellStyle name="强调文字颜色 5 3 18 12" xfId="30207" xr:uid="{00000000-0005-0000-0000-00004A5B0000}"/>
    <cellStyle name="强调文字颜色 5 3 18 13" xfId="9901" xr:uid="{00000000-0005-0000-0000-00004B5B0000}"/>
    <cellStyle name="强调文字颜色 5 3 18 14" xfId="9910" xr:uid="{00000000-0005-0000-0000-00004C5B0000}"/>
    <cellStyle name="强调文字颜色 5 3 18 2" xfId="30209" xr:uid="{00000000-0005-0000-0000-00004D5B0000}"/>
    <cellStyle name="强调文字颜色 5 3 18 3" xfId="30210" xr:uid="{00000000-0005-0000-0000-00004E5B0000}"/>
    <cellStyle name="强调文字颜色 5 3 18 4" xfId="30211" xr:uid="{00000000-0005-0000-0000-00004F5B0000}"/>
    <cellStyle name="强调文字颜色 5 3 18 5" xfId="30212" xr:uid="{00000000-0005-0000-0000-0000505B0000}"/>
    <cellStyle name="强调文字颜色 5 3 18 5 10" xfId="30213" xr:uid="{00000000-0005-0000-0000-0000515B0000}"/>
    <cellStyle name="强调文字颜色 5 3 18 5 11" xfId="30214" xr:uid="{00000000-0005-0000-0000-0000525B0000}"/>
    <cellStyle name="强调文字颜色 5 3 18 5 2" xfId="25646" xr:uid="{00000000-0005-0000-0000-0000535B0000}"/>
    <cellStyle name="强调文字颜色 5 3 18 5 2 2" xfId="16006" xr:uid="{00000000-0005-0000-0000-0000545B0000}"/>
    <cellStyle name="强调文字颜色 5 3 18 5 2 2 2" xfId="30215" xr:uid="{00000000-0005-0000-0000-0000555B0000}"/>
    <cellStyle name="强调文字颜色 5 3 18 5 2 2 3" xfId="30217" xr:uid="{00000000-0005-0000-0000-0000565B0000}"/>
    <cellStyle name="强调文字颜色 5 3 18 5 2 3" xfId="16009" xr:uid="{00000000-0005-0000-0000-0000575B0000}"/>
    <cellStyle name="强调文字颜色 5 3 18 5 2 4" xfId="16012" xr:uid="{00000000-0005-0000-0000-0000585B0000}"/>
    <cellStyle name="强调文字颜色 5 3 18 5 2 5" xfId="16014" xr:uid="{00000000-0005-0000-0000-0000595B0000}"/>
    <cellStyle name="强调文字颜色 5 3 18 5 2 6" xfId="16016" xr:uid="{00000000-0005-0000-0000-00005A5B0000}"/>
    <cellStyle name="强调文字颜色 5 3 18 5 2 7" xfId="30219" xr:uid="{00000000-0005-0000-0000-00005B5B0000}"/>
    <cellStyle name="强调文字颜色 5 3 18 5 2 8" xfId="28038" xr:uid="{00000000-0005-0000-0000-00005C5B0000}"/>
    <cellStyle name="强调文字颜色 5 3 18 5 3" xfId="24668" xr:uid="{00000000-0005-0000-0000-00005D5B0000}"/>
    <cellStyle name="强调文字颜色 5 3 18 5 4" xfId="30220" xr:uid="{00000000-0005-0000-0000-00005E5B0000}"/>
    <cellStyle name="强调文字颜色 5 3 18 5 5" xfId="30221" xr:uid="{00000000-0005-0000-0000-00005F5B0000}"/>
    <cellStyle name="强调文字颜色 5 3 18 5 6" xfId="30222" xr:uid="{00000000-0005-0000-0000-0000605B0000}"/>
    <cellStyle name="强调文字颜色 5 3 18 5 6 2" xfId="30224" xr:uid="{00000000-0005-0000-0000-0000615B0000}"/>
    <cellStyle name="强调文字颜色 5 3 18 5 6 3" xfId="30226" xr:uid="{00000000-0005-0000-0000-0000625B0000}"/>
    <cellStyle name="强调文字颜色 5 3 18 5 7" xfId="30228" xr:uid="{00000000-0005-0000-0000-0000635B0000}"/>
    <cellStyle name="强调文字颜色 5 3 18 5 8" xfId="30230" xr:uid="{00000000-0005-0000-0000-0000645B0000}"/>
    <cellStyle name="强调文字颜色 5 3 18 5 9" xfId="30232" xr:uid="{00000000-0005-0000-0000-0000655B0000}"/>
    <cellStyle name="强调文字颜色 5 3 18 6" xfId="30234" xr:uid="{00000000-0005-0000-0000-0000665B0000}"/>
    <cellStyle name="强调文字颜色 5 3 18 6 2" xfId="22577" xr:uid="{00000000-0005-0000-0000-0000675B0000}"/>
    <cellStyle name="强调文字颜色 5 3 18 6 2 2" xfId="18168" xr:uid="{00000000-0005-0000-0000-0000685B0000}"/>
    <cellStyle name="强调文字颜色 5 3 18 6 2 3" xfId="18170" xr:uid="{00000000-0005-0000-0000-0000695B0000}"/>
    <cellStyle name="强调文字颜色 5 3 18 6 3" xfId="22579" xr:uid="{00000000-0005-0000-0000-00006A5B0000}"/>
    <cellStyle name="强调文字颜色 5 3 18 6 4" xfId="22581" xr:uid="{00000000-0005-0000-0000-00006B5B0000}"/>
    <cellStyle name="强调文字颜色 5 3 18 6 5" xfId="22583" xr:uid="{00000000-0005-0000-0000-00006C5B0000}"/>
    <cellStyle name="强调文字颜色 5 3 18 6 6" xfId="22585" xr:uid="{00000000-0005-0000-0000-00006D5B0000}"/>
    <cellStyle name="强调文字颜色 5 3 18 6 7" xfId="30235" xr:uid="{00000000-0005-0000-0000-00006E5B0000}"/>
    <cellStyle name="强调文字颜色 5 3 18 6 8" xfId="30238" xr:uid="{00000000-0005-0000-0000-00006F5B0000}"/>
    <cellStyle name="强调文字颜色 5 3 18 7" xfId="30240" xr:uid="{00000000-0005-0000-0000-0000705B0000}"/>
    <cellStyle name="强调文字颜色 5 3 18 8" xfId="30241" xr:uid="{00000000-0005-0000-0000-0000715B0000}"/>
    <cellStyle name="强调文字颜色 5 3 18 9" xfId="30242" xr:uid="{00000000-0005-0000-0000-0000725B0000}"/>
    <cellStyle name="强调文字颜色 5 3 18 9 2" xfId="20359" xr:uid="{00000000-0005-0000-0000-0000735B0000}"/>
    <cellStyle name="强调文字颜色 5 3 18 9 3" xfId="20364" xr:uid="{00000000-0005-0000-0000-0000745B0000}"/>
    <cellStyle name="强调文字颜色 5 3 19" xfId="30243" xr:uid="{00000000-0005-0000-0000-0000755B0000}"/>
    <cellStyle name="强调文字颜色 5 3 19 10" xfId="30244" xr:uid="{00000000-0005-0000-0000-0000765B0000}"/>
    <cellStyle name="强调文字颜色 5 3 19 11" xfId="30246" xr:uid="{00000000-0005-0000-0000-0000775B0000}"/>
    <cellStyle name="强调文字颜色 5 3 19 12" xfId="30248" xr:uid="{00000000-0005-0000-0000-0000785B0000}"/>
    <cellStyle name="强调文字颜色 5 3 19 13" xfId="30250" xr:uid="{00000000-0005-0000-0000-0000795B0000}"/>
    <cellStyle name="强调文字颜色 5 3 19 14" xfId="30252" xr:uid="{00000000-0005-0000-0000-00007A5B0000}"/>
    <cellStyle name="强调文字颜色 5 3 19 2" xfId="30254" xr:uid="{00000000-0005-0000-0000-00007B5B0000}"/>
    <cellStyle name="强调文字颜色 5 3 19 3" xfId="30255" xr:uid="{00000000-0005-0000-0000-00007C5B0000}"/>
    <cellStyle name="强调文字颜色 5 3 19 4" xfId="30256" xr:uid="{00000000-0005-0000-0000-00007D5B0000}"/>
    <cellStyle name="强调文字颜色 5 3 19 5" xfId="30257" xr:uid="{00000000-0005-0000-0000-00007E5B0000}"/>
    <cellStyle name="强调文字颜色 5 3 19 5 10" xfId="30258" xr:uid="{00000000-0005-0000-0000-00007F5B0000}"/>
    <cellStyle name="强调文字颜色 5 3 19 5 11" xfId="30259" xr:uid="{00000000-0005-0000-0000-0000805B0000}"/>
    <cellStyle name="强调文字颜色 5 3 19 5 2" xfId="30261" xr:uid="{00000000-0005-0000-0000-0000815B0000}"/>
    <cellStyle name="强调文字颜色 5 3 19 5 2 2" xfId="30262" xr:uid="{00000000-0005-0000-0000-0000825B0000}"/>
    <cellStyle name="强调文字颜色 5 3 19 5 2 2 2" xfId="30009" xr:uid="{00000000-0005-0000-0000-0000835B0000}"/>
    <cellStyle name="强调文字颜色 5 3 19 5 2 2 3" xfId="30011" xr:uid="{00000000-0005-0000-0000-0000845B0000}"/>
    <cellStyle name="强调文字颜色 5 3 19 5 2 3" xfId="30263" xr:uid="{00000000-0005-0000-0000-0000855B0000}"/>
    <cellStyle name="强调文字颜色 5 3 19 5 2 4" xfId="30264" xr:uid="{00000000-0005-0000-0000-0000865B0000}"/>
    <cellStyle name="强调文字颜色 5 3 19 5 2 5" xfId="30265" xr:uid="{00000000-0005-0000-0000-0000875B0000}"/>
    <cellStyle name="强调文字颜色 5 3 19 5 2 6" xfId="18995" xr:uid="{00000000-0005-0000-0000-0000885B0000}"/>
    <cellStyle name="强调文字颜色 5 3 19 5 2 7" xfId="18957" xr:uid="{00000000-0005-0000-0000-0000895B0000}"/>
    <cellStyle name="强调文字颜色 5 3 19 5 2 8" xfId="18963" xr:uid="{00000000-0005-0000-0000-00008A5B0000}"/>
    <cellStyle name="强调文字颜色 5 3 19 5 3" xfId="22116" xr:uid="{00000000-0005-0000-0000-00008B5B0000}"/>
    <cellStyle name="强调文字颜色 5 3 19 5 4" xfId="22121" xr:uid="{00000000-0005-0000-0000-00008C5B0000}"/>
    <cellStyle name="强调文字颜色 5 3 19 5 5" xfId="22124" xr:uid="{00000000-0005-0000-0000-00008D5B0000}"/>
    <cellStyle name="强调文字颜色 5 3 19 5 6" xfId="22127" xr:uid="{00000000-0005-0000-0000-00008E5B0000}"/>
    <cellStyle name="强调文字颜色 5 3 19 5 6 2" xfId="30267" xr:uid="{00000000-0005-0000-0000-00008F5B0000}"/>
    <cellStyle name="强调文字颜色 5 3 19 5 6 3" xfId="30270" xr:uid="{00000000-0005-0000-0000-0000905B0000}"/>
    <cellStyle name="强调文字颜色 5 3 19 5 7" xfId="22131" xr:uid="{00000000-0005-0000-0000-0000915B0000}"/>
    <cellStyle name="强调文字颜色 5 3 19 5 8" xfId="22134" xr:uid="{00000000-0005-0000-0000-0000925B0000}"/>
    <cellStyle name="强调文字颜色 5 3 19 5 9" xfId="19866" xr:uid="{00000000-0005-0000-0000-0000935B0000}"/>
    <cellStyle name="强调文字颜色 5 3 19 6" xfId="30272" xr:uid="{00000000-0005-0000-0000-0000945B0000}"/>
    <cellStyle name="强调文字颜色 5 3 19 6 2" xfId="30273" xr:uid="{00000000-0005-0000-0000-0000955B0000}"/>
    <cellStyle name="强调文字颜色 5 3 19 6 2 2" xfId="30274" xr:uid="{00000000-0005-0000-0000-0000965B0000}"/>
    <cellStyle name="强调文字颜色 5 3 19 6 2 3" xfId="30275" xr:uid="{00000000-0005-0000-0000-0000975B0000}"/>
    <cellStyle name="强调文字颜色 5 3 19 6 3" xfId="30276" xr:uid="{00000000-0005-0000-0000-0000985B0000}"/>
    <cellStyle name="强调文字颜色 5 3 19 6 4" xfId="30277" xr:uid="{00000000-0005-0000-0000-0000995B0000}"/>
    <cellStyle name="强调文字颜色 5 3 19 6 5" xfId="30278" xr:uid="{00000000-0005-0000-0000-00009A5B0000}"/>
    <cellStyle name="强调文字颜色 5 3 19 6 6" xfId="30279" xr:uid="{00000000-0005-0000-0000-00009B5B0000}"/>
    <cellStyle name="强调文字颜色 5 3 19 6 7" xfId="30281" xr:uid="{00000000-0005-0000-0000-00009C5B0000}"/>
    <cellStyle name="强调文字颜色 5 3 19 6 8" xfId="30283" xr:uid="{00000000-0005-0000-0000-00009D5B0000}"/>
    <cellStyle name="强调文字颜色 5 3 19 7" xfId="30285" xr:uid="{00000000-0005-0000-0000-00009E5B0000}"/>
    <cellStyle name="强调文字颜色 5 3 19 8" xfId="30286" xr:uid="{00000000-0005-0000-0000-00009F5B0000}"/>
    <cellStyle name="强调文字颜色 5 3 19 9" xfId="30287" xr:uid="{00000000-0005-0000-0000-0000A05B0000}"/>
    <cellStyle name="强调文字颜色 5 3 19 9 2" xfId="30289" xr:uid="{00000000-0005-0000-0000-0000A15B0000}"/>
    <cellStyle name="强调文字颜色 5 3 19 9 3" xfId="22142" xr:uid="{00000000-0005-0000-0000-0000A25B0000}"/>
    <cellStyle name="强调文字颜色 5 3 2" xfId="27838" xr:uid="{00000000-0005-0000-0000-0000A35B0000}"/>
    <cellStyle name="强调文字颜色 5 3 2 10" xfId="17436" xr:uid="{00000000-0005-0000-0000-0000A45B0000}"/>
    <cellStyle name="强调文字颜色 5 3 2 11" xfId="18274" xr:uid="{00000000-0005-0000-0000-0000A55B0000}"/>
    <cellStyle name="强调文字颜色 5 3 2 12" xfId="18278" xr:uid="{00000000-0005-0000-0000-0000A65B0000}"/>
    <cellStyle name="强调文字颜色 5 3 2 13" xfId="18282" xr:uid="{00000000-0005-0000-0000-0000A75B0000}"/>
    <cellStyle name="强调文字颜色 5 3 2 14" xfId="18287" xr:uid="{00000000-0005-0000-0000-0000A85B0000}"/>
    <cellStyle name="强调文字颜色 5 3 2 2" xfId="15071" xr:uid="{00000000-0005-0000-0000-0000A95B0000}"/>
    <cellStyle name="强调文字颜色 5 3 2 3" xfId="15079" xr:uid="{00000000-0005-0000-0000-0000AA5B0000}"/>
    <cellStyle name="强调文字颜色 5 3 2 4" xfId="15082" xr:uid="{00000000-0005-0000-0000-0000AB5B0000}"/>
    <cellStyle name="强调文字颜色 5 3 2 5" xfId="15086" xr:uid="{00000000-0005-0000-0000-0000AC5B0000}"/>
    <cellStyle name="强调文字颜色 5 3 2 6" xfId="22828" xr:uid="{00000000-0005-0000-0000-0000AD5B0000}"/>
    <cellStyle name="强调文字颜色 5 3 2 7" xfId="22830" xr:uid="{00000000-0005-0000-0000-0000AE5B0000}"/>
    <cellStyle name="强调文字颜色 5 3 2 8" xfId="30290" xr:uid="{00000000-0005-0000-0000-0000AF5B0000}"/>
    <cellStyle name="强调文字颜色 5 3 2 9" xfId="30291" xr:uid="{00000000-0005-0000-0000-0000B05B0000}"/>
    <cellStyle name="强调文字颜色 5 3 20" xfId="25925" xr:uid="{00000000-0005-0000-0000-0000B15B0000}"/>
    <cellStyle name="强调文字颜色 5 3 20 10" xfId="30293" xr:uid="{00000000-0005-0000-0000-0000B25B0000}"/>
    <cellStyle name="强调文字颜色 5 3 20 11" xfId="30295" xr:uid="{00000000-0005-0000-0000-0000B35B0000}"/>
    <cellStyle name="强调文字颜色 5 3 20 12" xfId="30297" xr:uid="{00000000-0005-0000-0000-0000B45B0000}"/>
    <cellStyle name="强调文字颜色 5 3 20 13" xfId="30299" xr:uid="{00000000-0005-0000-0000-0000B55B0000}"/>
    <cellStyle name="强调文字颜色 5 3 20 14" xfId="30301" xr:uid="{00000000-0005-0000-0000-0000B65B0000}"/>
    <cellStyle name="强调文字颜色 5 3 20 2" xfId="30302" xr:uid="{00000000-0005-0000-0000-0000B75B0000}"/>
    <cellStyle name="强调文字颜色 5 3 20 3" xfId="30303" xr:uid="{00000000-0005-0000-0000-0000B85B0000}"/>
    <cellStyle name="强调文字颜色 5 3 20 4" xfId="30304" xr:uid="{00000000-0005-0000-0000-0000B95B0000}"/>
    <cellStyle name="强调文字颜色 5 3 20 5" xfId="17444" xr:uid="{00000000-0005-0000-0000-0000BA5B0000}"/>
    <cellStyle name="强调文字颜色 5 3 20 5 10" xfId="2045" xr:uid="{00000000-0005-0000-0000-0000BB5B0000}"/>
    <cellStyle name="强调文字颜色 5 3 20 5 11" xfId="2109" xr:uid="{00000000-0005-0000-0000-0000BC5B0000}"/>
    <cellStyle name="强调文字颜色 5 3 20 5 2" xfId="30305" xr:uid="{00000000-0005-0000-0000-0000BD5B0000}"/>
    <cellStyle name="强调文字颜色 5 3 20 5 2 2" xfId="30306" xr:uid="{00000000-0005-0000-0000-0000BE5B0000}"/>
    <cellStyle name="强调文字颜色 5 3 20 5 2 2 2" xfId="30307" xr:uid="{00000000-0005-0000-0000-0000BF5B0000}"/>
    <cellStyle name="强调文字颜色 5 3 20 5 2 2 3" xfId="30310" xr:uid="{00000000-0005-0000-0000-0000C05B0000}"/>
    <cellStyle name="强调文字颜色 5 3 20 5 2 3" xfId="30311" xr:uid="{00000000-0005-0000-0000-0000C15B0000}"/>
    <cellStyle name="强调文字颜色 5 3 20 5 2 4" xfId="30312" xr:uid="{00000000-0005-0000-0000-0000C25B0000}"/>
    <cellStyle name="强调文字颜色 5 3 20 5 2 5" xfId="30313" xr:uid="{00000000-0005-0000-0000-0000C35B0000}"/>
    <cellStyle name="强调文字颜色 5 3 20 5 2 6" xfId="30314" xr:uid="{00000000-0005-0000-0000-0000C45B0000}"/>
    <cellStyle name="强调文字颜色 5 3 20 5 2 7" xfId="30315" xr:uid="{00000000-0005-0000-0000-0000C55B0000}"/>
    <cellStyle name="强调文字颜色 5 3 20 5 2 8" xfId="30316" xr:uid="{00000000-0005-0000-0000-0000C65B0000}"/>
    <cellStyle name="强调文字颜色 5 3 20 5 3" xfId="30317" xr:uid="{00000000-0005-0000-0000-0000C75B0000}"/>
    <cellStyle name="强调文字颜色 5 3 20 5 4" xfId="30318" xr:uid="{00000000-0005-0000-0000-0000C85B0000}"/>
    <cellStyle name="强调文字颜色 5 3 20 5 5" xfId="30319" xr:uid="{00000000-0005-0000-0000-0000C95B0000}"/>
    <cellStyle name="强调文字颜色 5 3 20 5 6" xfId="30320" xr:uid="{00000000-0005-0000-0000-0000CA5B0000}"/>
    <cellStyle name="强调文字颜色 5 3 20 5 6 2" xfId="2547" xr:uid="{00000000-0005-0000-0000-0000CB5B0000}"/>
    <cellStyle name="强调文字颜色 5 3 20 5 6 3" xfId="2404" xr:uid="{00000000-0005-0000-0000-0000CC5B0000}"/>
    <cellStyle name="强调文字颜色 5 3 20 5 7" xfId="30321" xr:uid="{00000000-0005-0000-0000-0000CD5B0000}"/>
    <cellStyle name="强调文字颜色 5 3 20 5 8" xfId="30322" xr:uid="{00000000-0005-0000-0000-0000CE5B0000}"/>
    <cellStyle name="强调文字颜色 5 3 20 5 9" xfId="30323" xr:uid="{00000000-0005-0000-0000-0000CF5B0000}"/>
    <cellStyle name="强调文字颜色 5 3 20 6" xfId="17492" xr:uid="{00000000-0005-0000-0000-0000D05B0000}"/>
    <cellStyle name="强调文字颜色 5 3 20 6 2" xfId="8343" xr:uid="{00000000-0005-0000-0000-0000D15B0000}"/>
    <cellStyle name="强调文字颜色 5 3 20 6 2 2" xfId="22505" xr:uid="{00000000-0005-0000-0000-0000D25B0000}"/>
    <cellStyle name="强调文字颜色 5 3 20 6 2 3" xfId="22507" xr:uid="{00000000-0005-0000-0000-0000D35B0000}"/>
    <cellStyle name="强调文字颜色 5 3 20 6 3" xfId="8348" xr:uid="{00000000-0005-0000-0000-0000D45B0000}"/>
    <cellStyle name="强调文字颜色 5 3 20 6 4" xfId="4526" xr:uid="{00000000-0005-0000-0000-0000D55B0000}"/>
    <cellStyle name="强调文字颜色 5 3 20 6 5" xfId="22509" xr:uid="{00000000-0005-0000-0000-0000D65B0000}"/>
    <cellStyle name="强调文字颜色 5 3 20 6 6" xfId="30324" xr:uid="{00000000-0005-0000-0000-0000D75B0000}"/>
    <cellStyle name="强调文字颜色 5 3 20 6 7" xfId="30326" xr:uid="{00000000-0005-0000-0000-0000D85B0000}"/>
    <cellStyle name="强调文字颜色 5 3 20 6 8" xfId="26780" xr:uid="{00000000-0005-0000-0000-0000D95B0000}"/>
    <cellStyle name="强调文字颜色 5 3 20 7" xfId="30327" xr:uid="{00000000-0005-0000-0000-0000DA5B0000}"/>
    <cellStyle name="强调文字颜色 5 3 20 8" xfId="30328" xr:uid="{00000000-0005-0000-0000-0000DB5B0000}"/>
    <cellStyle name="强调文字颜色 5 3 20 9" xfId="30329" xr:uid="{00000000-0005-0000-0000-0000DC5B0000}"/>
    <cellStyle name="强调文字颜色 5 3 20 9 2" xfId="30331" xr:uid="{00000000-0005-0000-0000-0000DD5B0000}"/>
    <cellStyle name="强调文字颜色 5 3 20 9 3" xfId="30332" xr:uid="{00000000-0005-0000-0000-0000DE5B0000}"/>
    <cellStyle name="强调文字颜色 5 3 3" xfId="27840" xr:uid="{00000000-0005-0000-0000-0000DF5B0000}"/>
    <cellStyle name="强调文字颜色 5 3 3 10" xfId="6565" xr:uid="{00000000-0005-0000-0000-0000E05B0000}"/>
    <cellStyle name="强调文字颜色 5 3 3 11" xfId="6571" xr:uid="{00000000-0005-0000-0000-0000E15B0000}"/>
    <cellStyle name="强调文字颜色 5 3 3 12" xfId="18304" xr:uid="{00000000-0005-0000-0000-0000E25B0000}"/>
    <cellStyle name="强调文字颜色 5 3 3 13" xfId="18308" xr:uid="{00000000-0005-0000-0000-0000E35B0000}"/>
    <cellStyle name="强调文字颜色 5 3 3 14" xfId="18312" xr:uid="{00000000-0005-0000-0000-0000E45B0000}"/>
    <cellStyle name="强调文字颜色 5 3 3 2" xfId="24948" xr:uid="{00000000-0005-0000-0000-0000E55B0000}"/>
    <cellStyle name="强调文字颜色 5 3 3 3" xfId="30333" xr:uid="{00000000-0005-0000-0000-0000E65B0000}"/>
    <cellStyle name="强调文字颜色 5 3 3 4" xfId="30334" xr:uid="{00000000-0005-0000-0000-0000E75B0000}"/>
    <cellStyle name="强调文字颜色 5 3 3 5" xfId="30335" xr:uid="{00000000-0005-0000-0000-0000E85B0000}"/>
    <cellStyle name="强调文字颜色 5 3 3 6" xfId="30336" xr:uid="{00000000-0005-0000-0000-0000E95B0000}"/>
    <cellStyle name="强调文字颜色 5 3 3 7" xfId="30337" xr:uid="{00000000-0005-0000-0000-0000EA5B0000}"/>
    <cellStyle name="强调文字颜色 5 3 3 8" xfId="30338" xr:uid="{00000000-0005-0000-0000-0000EB5B0000}"/>
    <cellStyle name="强调文字颜色 5 3 3 9" xfId="16383" xr:uid="{00000000-0005-0000-0000-0000EC5B0000}"/>
    <cellStyle name="强调文字颜色 5 3 4" xfId="27842" xr:uid="{00000000-0005-0000-0000-0000ED5B0000}"/>
    <cellStyle name="强调文字颜色 5 3 4 10" xfId="6374" xr:uid="{00000000-0005-0000-0000-0000EE5B0000}"/>
    <cellStyle name="强调文字颜色 5 3 4 11" xfId="17079" xr:uid="{00000000-0005-0000-0000-0000EF5B0000}"/>
    <cellStyle name="强调文字颜色 5 3 4 12" xfId="30339" xr:uid="{00000000-0005-0000-0000-0000F05B0000}"/>
    <cellStyle name="强调文字颜色 5 3 4 13" xfId="30341" xr:uid="{00000000-0005-0000-0000-0000F15B0000}"/>
    <cellStyle name="强调文字颜色 5 3 4 14" xfId="11550" xr:uid="{00000000-0005-0000-0000-0000F25B0000}"/>
    <cellStyle name="强调文字颜色 5 3 4 2" xfId="30342" xr:uid="{00000000-0005-0000-0000-0000F35B0000}"/>
    <cellStyle name="强调文字颜色 5 3 4 3" xfId="23598" xr:uid="{00000000-0005-0000-0000-0000F45B0000}"/>
    <cellStyle name="强调文字颜色 5 3 4 4" xfId="23607" xr:uid="{00000000-0005-0000-0000-0000F55B0000}"/>
    <cellStyle name="强调文字颜色 5 3 4 5" xfId="23611" xr:uid="{00000000-0005-0000-0000-0000F65B0000}"/>
    <cellStyle name="强调文字颜色 5 3 4 6" xfId="23615" xr:uid="{00000000-0005-0000-0000-0000F75B0000}"/>
    <cellStyle name="强调文字颜色 5 3 4 7" xfId="23619" xr:uid="{00000000-0005-0000-0000-0000F85B0000}"/>
    <cellStyle name="强调文字颜色 5 3 4 8" xfId="21445" xr:uid="{00000000-0005-0000-0000-0000F95B0000}"/>
    <cellStyle name="强调文字颜色 5 3 4 9" xfId="21449" xr:uid="{00000000-0005-0000-0000-0000FA5B0000}"/>
    <cellStyle name="强调文字颜色 5 3 5" xfId="27844" xr:uid="{00000000-0005-0000-0000-0000FB5B0000}"/>
    <cellStyle name="强调文字颜色 5 3 6" xfId="27846" xr:uid="{00000000-0005-0000-0000-0000FC5B0000}"/>
    <cellStyle name="强调文字颜色 5 3 7" xfId="27848" xr:uid="{00000000-0005-0000-0000-0000FD5B0000}"/>
    <cellStyle name="强调文字颜色 5 3 8" xfId="27850" xr:uid="{00000000-0005-0000-0000-0000FE5B0000}"/>
    <cellStyle name="强调文字颜色 5 3 9" xfId="30343" xr:uid="{00000000-0005-0000-0000-0000FF5B0000}"/>
    <cellStyle name="强调文字颜色 5 4" xfId="27853" xr:uid="{00000000-0005-0000-0000-0000005C0000}"/>
    <cellStyle name="强调文字颜色 5 4 10" xfId="26782" xr:uid="{00000000-0005-0000-0000-0000015C0000}"/>
    <cellStyle name="强调文字颜色 5 4 11" xfId="19918" xr:uid="{00000000-0005-0000-0000-0000025C0000}"/>
    <cellStyle name="强调文字颜色 5 4 12" xfId="3006" xr:uid="{00000000-0005-0000-0000-0000035C0000}"/>
    <cellStyle name="强调文字颜色 5 4 13" xfId="30344" xr:uid="{00000000-0005-0000-0000-0000045C0000}"/>
    <cellStyle name="强调文字颜色 5 4 14" xfId="30345" xr:uid="{00000000-0005-0000-0000-0000055C0000}"/>
    <cellStyle name="强调文字颜色 5 4 15" xfId="30346" xr:uid="{00000000-0005-0000-0000-0000065C0000}"/>
    <cellStyle name="强调文字颜色 5 4 16" xfId="30348" xr:uid="{00000000-0005-0000-0000-0000075C0000}"/>
    <cellStyle name="强调文字颜色 5 4 17" xfId="8354" xr:uid="{00000000-0005-0000-0000-0000085C0000}"/>
    <cellStyle name="强调文字颜色 5 4 17 10" xfId="30349" xr:uid="{00000000-0005-0000-0000-0000095C0000}"/>
    <cellStyle name="强调文字颜色 5 4 17 11" xfId="30350" xr:uid="{00000000-0005-0000-0000-00000A5C0000}"/>
    <cellStyle name="强调文字颜色 5 4 17 12" xfId="30351" xr:uid="{00000000-0005-0000-0000-00000B5C0000}"/>
    <cellStyle name="强调文字颜色 5 4 17 13" xfId="30352" xr:uid="{00000000-0005-0000-0000-00000C5C0000}"/>
    <cellStyle name="强调文字颜色 5 4 17 14" xfId="30353" xr:uid="{00000000-0005-0000-0000-00000D5C0000}"/>
    <cellStyle name="强调文字颜色 5 4 17 2" xfId="8362" xr:uid="{00000000-0005-0000-0000-00000E5C0000}"/>
    <cellStyle name="强调文字颜色 5 4 17 3" xfId="5799" xr:uid="{00000000-0005-0000-0000-00000F5C0000}"/>
    <cellStyle name="强调文字颜色 5 4 17 4" xfId="23128" xr:uid="{00000000-0005-0000-0000-0000105C0000}"/>
    <cellStyle name="强调文字颜色 5 4 17 5" xfId="23130" xr:uid="{00000000-0005-0000-0000-0000115C0000}"/>
    <cellStyle name="强调文字颜色 5 4 17 5 10" xfId="30354" xr:uid="{00000000-0005-0000-0000-0000125C0000}"/>
    <cellStyle name="强调文字颜色 5 4 17 5 11" xfId="30355" xr:uid="{00000000-0005-0000-0000-0000135C0000}"/>
    <cellStyle name="强调文字颜色 5 4 17 5 2" xfId="11180" xr:uid="{00000000-0005-0000-0000-0000145C0000}"/>
    <cellStyle name="强调文字颜色 5 4 17 5 2 2" xfId="4238" xr:uid="{00000000-0005-0000-0000-0000155C0000}"/>
    <cellStyle name="强调文字颜色 5 4 17 5 2 2 2" xfId="20235" xr:uid="{00000000-0005-0000-0000-0000165C0000}"/>
    <cellStyle name="强调文字颜色 5 4 17 5 2 2 3" xfId="20238" xr:uid="{00000000-0005-0000-0000-0000175C0000}"/>
    <cellStyle name="强调文字颜色 5 4 17 5 2 3" xfId="4248" xr:uid="{00000000-0005-0000-0000-0000185C0000}"/>
    <cellStyle name="强调文字颜色 5 4 17 5 2 4" xfId="4256" xr:uid="{00000000-0005-0000-0000-0000195C0000}"/>
    <cellStyle name="强调文字颜色 5 4 17 5 2 5" xfId="30356" xr:uid="{00000000-0005-0000-0000-00001A5C0000}"/>
    <cellStyle name="强调文字颜色 5 4 17 5 2 6" xfId="30358" xr:uid="{00000000-0005-0000-0000-00001B5C0000}"/>
    <cellStyle name="强调文字颜色 5 4 17 5 2 7" xfId="30360" xr:uid="{00000000-0005-0000-0000-00001C5C0000}"/>
    <cellStyle name="强调文字颜色 5 4 17 5 2 8" xfId="30362" xr:uid="{00000000-0005-0000-0000-00001D5C0000}"/>
    <cellStyle name="强调文字颜色 5 4 17 5 3" xfId="30363" xr:uid="{00000000-0005-0000-0000-00001E5C0000}"/>
    <cellStyle name="强调文字颜色 5 4 17 5 4" xfId="30365" xr:uid="{00000000-0005-0000-0000-00001F5C0000}"/>
    <cellStyle name="强调文字颜色 5 4 17 5 5" xfId="30367" xr:uid="{00000000-0005-0000-0000-0000205C0000}"/>
    <cellStyle name="强调文字颜色 5 4 17 5 6" xfId="30369" xr:uid="{00000000-0005-0000-0000-0000215C0000}"/>
    <cellStyle name="强调文字颜色 5 4 17 5 6 2" xfId="30370" xr:uid="{00000000-0005-0000-0000-0000225C0000}"/>
    <cellStyle name="强调文字颜色 5 4 17 5 6 3" xfId="30371" xr:uid="{00000000-0005-0000-0000-0000235C0000}"/>
    <cellStyle name="强调文字颜色 5 4 17 5 7" xfId="30374" xr:uid="{00000000-0005-0000-0000-0000245C0000}"/>
    <cellStyle name="强调文字颜色 5 4 17 5 8" xfId="30377" xr:uid="{00000000-0005-0000-0000-0000255C0000}"/>
    <cellStyle name="强调文字颜色 5 4 17 5 9" xfId="30380" xr:uid="{00000000-0005-0000-0000-0000265C0000}"/>
    <cellStyle name="强调文字颜色 5 4 17 6" xfId="23132" xr:uid="{00000000-0005-0000-0000-0000275C0000}"/>
    <cellStyle name="强调文字颜色 5 4 17 6 2" xfId="30381" xr:uid="{00000000-0005-0000-0000-0000285C0000}"/>
    <cellStyle name="强调文字颜色 5 4 17 6 2 2" xfId="30382" xr:uid="{00000000-0005-0000-0000-0000295C0000}"/>
    <cellStyle name="强调文字颜色 5 4 17 6 2 3" xfId="30383" xr:uid="{00000000-0005-0000-0000-00002A5C0000}"/>
    <cellStyle name="强调文字颜色 5 4 17 6 3" xfId="30384" xr:uid="{00000000-0005-0000-0000-00002B5C0000}"/>
    <cellStyle name="强调文字颜色 5 4 17 6 4" xfId="30386" xr:uid="{00000000-0005-0000-0000-00002C5C0000}"/>
    <cellStyle name="强调文字颜色 5 4 17 6 5" xfId="30388" xr:uid="{00000000-0005-0000-0000-00002D5C0000}"/>
    <cellStyle name="强调文字颜色 5 4 17 6 6" xfId="30390" xr:uid="{00000000-0005-0000-0000-00002E5C0000}"/>
    <cellStyle name="强调文字颜色 5 4 17 6 7" xfId="30392" xr:uid="{00000000-0005-0000-0000-00002F5C0000}"/>
    <cellStyle name="强调文字颜色 5 4 17 6 8" xfId="30394" xr:uid="{00000000-0005-0000-0000-0000305C0000}"/>
    <cellStyle name="强调文字颜色 5 4 17 7" xfId="23134" xr:uid="{00000000-0005-0000-0000-0000315C0000}"/>
    <cellStyle name="强调文字颜色 5 4 17 8" xfId="23136" xr:uid="{00000000-0005-0000-0000-0000325C0000}"/>
    <cellStyle name="强调文字颜色 5 4 17 9" xfId="23138" xr:uid="{00000000-0005-0000-0000-0000335C0000}"/>
    <cellStyle name="强调文字颜色 5 4 17 9 2" xfId="30396" xr:uid="{00000000-0005-0000-0000-0000345C0000}"/>
    <cellStyle name="强调文字颜色 5 4 17 9 3" xfId="30397" xr:uid="{00000000-0005-0000-0000-0000355C0000}"/>
    <cellStyle name="强调文字颜色 5 4 18" xfId="8364" xr:uid="{00000000-0005-0000-0000-0000365C0000}"/>
    <cellStyle name="强调文字颜色 5 4 18 10" xfId="30398" xr:uid="{00000000-0005-0000-0000-0000375C0000}"/>
    <cellStyle name="强调文字颜色 5 4 18 11" xfId="23366" xr:uid="{00000000-0005-0000-0000-0000385C0000}"/>
    <cellStyle name="强调文字颜色 5 4 18 12" xfId="23368" xr:uid="{00000000-0005-0000-0000-0000395C0000}"/>
    <cellStyle name="强调文字颜色 5 4 18 13" xfId="23371" xr:uid="{00000000-0005-0000-0000-00003A5C0000}"/>
    <cellStyle name="强调文字颜色 5 4 18 14" xfId="23375" xr:uid="{00000000-0005-0000-0000-00003B5C0000}"/>
    <cellStyle name="强调文字颜色 5 4 18 2" xfId="30399" xr:uid="{00000000-0005-0000-0000-00003C5C0000}"/>
    <cellStyle name="强调文字颜色 5 4 18 3" xfId="30402" xr:uid="{00000000-0005-0000-0000-00003D5C0000}"/>
    <cellStyle name="强调文字颜色 5 4 18 4" xfId="30405" xr:uid="{00000000-0005-0000-0000-00003E5C0000}"/>
    <cellStyle name="强调文字颜色 5 4 18 5" xfId="30408" xr:uid="{00000000-0005-0000-0000-00003F5C0000}"/>
    <cellStyle name="强调文字颜色 5 4 18 5 10" xfId="30411" xr:uid="{00000000-0005-0000-0000-0000405C0000}"/>
    <cellStyle name="强调文字颜色 5 4 18 5 11" xfId="30412" xr:uid="{00000000-0005-0000-0000-0000415C0000}"/>
    <cellStyle name="强调文字颜色 5 4 18 5 2" xfId="30413" xr:uid="{00000000-0005-0000-0000-0000425C0000}"/>
    <cellStyle name="强调文字颜色 5 4 18 5 2 2" xfId="15687" xr:uid="{00000000-0005-0000-0000-0000435C0000}"/>
    <cellStyle name="强调文字颜色 5 4 18 5 2 2 2" xfId="30415" xr:uid="{00000000-0005-0000-0000-0000445C0000}"/>
    <cellStyle name="强调文字颜色 5 4 18 5 2 2 3" xfId="30417" xr:uid="{00000000-0005-0000-0000-0000455C0000}"/>
    <cellStyle name="强调文字颜色 5 4 18 5 2 3" xfId="15689" xr:uid="{00000000-0005-0000-0000-0000465C0000}"/>
    <cellStyle name="强调文字颜色 5 4 18 5 2 4" xfId="15718" xr:uid="{00000000-0005-0000-0000-0000475C0000}"/>
    <cellStyle name="强调文字颜色 5 4 18 5 2 5" xfId="15740" xr:uid="{00000000-0005-0000-0000-0000485C0000}"/>
    <cellStyle name="强调文字颜色 5 4 18 5 2 6" xfId="15742" xr:uid="{00000000-0005-0000-0000-0000495C0000}"/>
    <cellStyle name="强调文字颜色 5 4 18 5 2 7" xfId="15747" xr:uid="{00000000-0005-0000-0000-00004A5C0000}"/>
    <cellStyle name="强调文字颜色 5 4 18 5 2 8" xfId="16273" xr:uid="{00000000-0005-0000-0000-00004B5C0000}"/>
    <cellStyle name="强调文字颜色 5 4 18 5 3" xfId="30419" xr:uid="{00000000-0005-0000-0000-00004C5C0000}"/>
    <cellStyle name="强调文字颜色 5 4 18 5 4" xfId="30422" xr:uid="{00000000-0005-0000-0000-00004D5C0000}"/>
    <cellStyle name="强调文字颜色 5 4 18 5 5" xfId="30424" xr:uid="{00000000-0005-0000-0000-00004E5C0000}"/>
    <cellStyle name="强调文字颜色 5 4 18 5 6" xfId="30426" xr:uid="{00000000-0005-0000-0000-00004F5C0000}"/>
    <cellStyle name="强调文字颜色 5 4 18 5 6 2" xfId="15752" xr:uid="{00000000-0005-0000-0000-0000505C0000}"/>
    <cellStyle name="强调文字颜色 5 4 18 5 6 3" xfId="15754" xr:uid="{00000000-0005-0000-0000-0000515C0000}"/>
    <cellStyle name="强调文字颜色 5 4 18 5 7" xfId="11967" xr:uid="{00000000-0005-0000-0000-0000525C0000}"/>
    <cellStyle name="强调文字颜色 5 4 18 5 8" xfId="11974" xr:uid="{00000000-0005-0000-0000-0000535C0000}"/>
    <cellStyle name="强调文字颜色 5 4 18 5 9" xfId="8251" xr:uid="{00000000-0005-0000-0000-0000545C0000}"/>
    <cellStyle name="强调文字颜色 5 4 18 6" xfId="30427" xr:uid="{00000000-0005-0000-0000-0000555C0000}"/>
    <cellStyle name="强调文字颜色 5 4 18 6 2" xfId="30430" xr:uid="{00000000-0005-0000-0000-0000565C0000}"/>
    <cellStyle name="强调文字颜色 5 4 18 6 2 2" xfId="30431" xr:uid="{00000000-0005-0000-0000-0000575C0000}"/>
    <cellStyle name="强调文字颜色 5 4 18 6 2 3" xfId="30432" xr:uid="{00000000-0005-0000-0000-0000585C0000}"/>
    <cellStyle name="强调文字颜色 5 4 18 6 3" xfId="30433" xr:uid="{00000000-0005-0000-0000-0000595C0000}"/>
    <cellStyle name="强调文字颜色 5 4 18 6 4" xfId="30435" xr:uid="{00000000-0005-0000-0000-00005A5C0000}"/>
    <cellStyle name="强调文字颜色 5 4 18 6 5" xfId="30437" xr:uid="{00000000-0005-0000-0000-00005B5C0000}"/>
    <cellStyle name="强调文字颜色 5 4 18 6 6" xfId="30439" xr:uid="{00000000-0005-0000-0000-00005C5C0000}"/>
    <cellStyle name="强调文字颜色 5 4 18 6 7" xfId="23393" xr:uid="{00000000-0005-0000-0000-00005D5C0000}"/>
    <cellStyle name="强调文字颜色 5 4 18 6 8" xfId="23398" xr:uid="{00000000-0005-0000-0000-00005E5C0000}"/>
    <cellStyle name="强调文字颜色 5 4 18 7" xfId="30440" xr:uid="{00000000-0005-0000-0000-00005F5C0000}"/>
    <cellStyle name="强调文字颜色 5 4 18 8" xfId="30444" xr:uid="{00000000-0005-0000-0000-0000605C0000}"/>
    <cellStyle name="强调文字颜色 5 4 18 9" xfId="30447" xr:uid="{00000000-0005-0000-0000-0000615C0000}"/>
    <cellStyle name="强调文字颜色 5 4 18 9 2" xfId="10427" xr:uid="{00000000-0005-0000-0000-0000625C0000}"/>
    <cellStyle name="强调文字颜色 5 4 18 9 3" xfId="10433" xr:uid="{00000000-0005-0000-0000-0000635C0000}"/>
    <cellStyle name="强调文字颜色 5 4 19" xfId="8356" xr:uid="{00000000-0005-0000-0000-0000645C0000}"/>
    <cellStyle name="强调文字颜色 5 4 19 10" xfId="5160" xr:uid="{00000000-0005-0000-0000-0000655C0000}"/>
    <cellStyle name="强调文字颜色 5 4 19 11" xfId="5169" xr:uid="{00000000-0005-0000-0000-0000665C0000}"/>
    <cellStyle name="强调文字颜色 5 4 19 12" xfId="5175" xr:uid="{00000000-0005-0000-0000-0000675C0000}"/>
    <cellStyle name="强调文字颜色 5 4 19 13" xfId="5178" xr:uid="{00000000-0005-0000-0000-0000685C0000}"/>
    <cellStyle name="强调文字颜色 5 4 19 14" xfId="5183" xr:uid="{00000000-0005-0000-0000-0000695C0000}"/>
    <cellStyle name="强调文字颜色 5 4 19 2" xfId="30448" xr:uid="{00000000-0005-0000-0000-00006A5C0000}"/>
    <cellStyle name="强调文字颜色 5 4 19 3" xfId="30450" xr:uid="{00000000-0005-0000-0000-00006B5C0000}"/>
    <cellStyle name="强调文字颜色 5 4 19 4" xfId="30452" xr:uid="{00000000-0005-0000-0000-00006C5C0000}"/>
    <cellStyle name="强调文字颜色 5 4 19 5" xfId="30455" xr:uid="{00000000-0005-0000-0000-00006D5C0000}"/>
    <cellStyle name="强调文字颜色 5 4 19 5 10" xfId="30457" xr:uid="{00000000-0005-0000-0000-00006E5C0000}"/>
    <cellStyle name="强调文字颜色 5 4 19 5 11" xfId="30460" xr:uid="{00000000-0005-0000-0000-00006F5C0000}"/>
    <cellStyle name="强调文字颜色 5 4 19 5 2" xfId="30461" xr:uid="{00000000-0005-0000-0000-0000705C0000}"/>
    <cellStyle name="强调文字颜色 5 4 19 5 2 2" xfId="30462" xr:uid="{00000000-0005-0000-0000-0000715C0000}"/>
    <cellStyle name="强调文字颜色 5 4 19 5 2 2 2" xfId="30465" xr:uid="{00000000-0005-0000-0000-0000725C0000}"/>
    <cellStyle name="强调文字颜色 5 4 19 5 2 2 3" xfId="30468" xr:uid="{00000000-0005-0000-0000-0000735C0000}"/>
    <cellStyle name="强调文字颜色 5 4 19 5 2 3" xfId="30469" xr:uid="{00000000-0005-0000-0000-0000745C0000}"/>
    <cellStyle name="强调文字颜色 5 4 19 5 2 4" xfId="30470" xr:uid="{00000000-0005-0000-0000-0000755C0000}"/>
    <cellStyle name="强调文字颜色 5 4 19 5 2 5" xfId="30471" xr:uid="{00000000-0005-0000-0000-0000765C0000}"/>
    <cellStyle name="强调文字颜色 5 4 19 5 2 6" xfId="19931" xr:uid="{00000000-0005-0000-0000-0000775C0000}"/>
    <cellStyle name="强调文字颜色 5 4 19 5 2 7" xfId="19241" xr:uid="{00000000-0005-0000-0000-0000785C0000}"/>
    <cellStyle name="强调文字颜色 5 4 19 5 2 8" xfId="19250" xr:uid="{00000000-0005-0000-0000-0000795C0000}"/>
    <cellStyle name="强调文字颜色 5 4 19 5 3" xfId="30472" xr:uid="{00000000-0005-0000-0000-00007A5C0000}"/>
    <cellStyle name="强调文字颜色 5 4 19 5 4" xfId="30473" xr:uid="{00000000-0005-0000-0000-00007B5C0000}"/>
    <cellStyle name="强调文字颜色 5 4 19 5 5" xfId="30474" xr:uid="{00000000-0005-0000-0000-00007C5C0000}"/>
    <cellStyle name="强调文字颜色 5 4 19 5 6" xfId="30475" xr:uid="{00000000-0005-0000-0000-00007D5C0000}"/>
    <cellStyle name="强调文字颜色 5 4 19 5 6 2" xfId="30476" xr:uid="{00000000-0005-0000-0000-00007E5C0000}"/>
    <cellStyle name="强调文字颜色 5 4 19 5 6 3" xfId="30477" xr:uid="{00000000-0005-0000-0000-00007F5C0000}"/>
    <cellStyle name="强调文字颜色 5 4 19 5 7" xfId="23416" xr:uid="{00000000-0005-0000-0000-0000805C0000}"/>
    <cellStyle name="强调文字颜色 5 4 19 5 8" xfId="23431" xr:uid="{00000000-0005-0000-0000-0000815C0000}"/>
    <cellStyle name="强调文字颜色 5 4 19 5 9" xfId="23433" xr:uid="{00000000-0005-0000-0000-0000825C0000}"/>
    <cellStyle name="强调文字颜色 5 4 19 6" xfId="30479" xr:uid="{00000000-0005-0000-0000-0000835C0000}"/>
    <cellStyle name="强调文字颜色 5 4 19 6 2" xfId="25175" xr:uid="{00000000-0005-0000-0000-0000845C0000}"/>
    <cellStyle name="强调文字颜色 5 4 19 6 2 2" xfId="25644" xr:uid="{00000000-0005-0000-0000-0000855C0000}"/>
    <cellStyle name="强调文字颜色 5 4 19 6 2 3" xfId="30481" xr:uid="{00000000-0005-0000-0000-0000865C0000}"/>
    <cellStyle name="强调文字颜色 5 4 19 6 3" xfId="25177" xr:uid="{00000000-0005-0000-0000-0000875C0000}"/>
    <cellStyle name="强调文字颜色 5 4 19 6 4" xfId="25179" xr:uid="{00000000-0005-0000-0000-0000885C0000}"/>
    <cellStyle name="强调文字颜色 5 4 19 6 5" xfId="25181" xr:uid="{00000000-0005-0000-0000-0000895C0000}"/>
    <cellStyle name="强调文字颜色 5 4 19 6 6" xfId="25183" xr:uid="{00000000-0005-0000-0000-00008A5C0000}"/>
    <cellStyle name="强调文字颜色 5 4 19 6 7" xfId="23443" xr:uid="{00000000-0005-0000-0000-00008B5C0000}"/>
    <cellStyle name="强调文字颜色 5 4 19 6 8" xfId="23445" xr:uid="{00000000-0005-0000-0000-00008C5C0000}"/>
    <cellStyle name="强调文字颜色 5 4 19 7" xfId="30484" xr:uid="{00000000-0005-0000-0000-00008D5C0000}"/>
    <cellStyle name="强调文字颜色 5 4 19 8" xfId="30488" xr:uid="{00000000-0005-0000-0000-00008E5C0000}"/>
    <cellStyle name="强调文字颜色 5 4 19 9" xfId="30491" xr:uid="{00000000-0005-0000-0000-00008F5C0000}"/>
    <cellStyle name="强调文字颜色 5 4 19 9 2" xfId="10459" xr:uid="{00000000-0005-0000-0000-0000905C0000}"/>
    <cellStyle name="强调文字颜色 5 4 19 9 3" xfId="30492" xr:uid="{00000000-0005-0000-0000-0000915C0000}"/>
    <cellStyle name="强调文字颜色 5 4 2" xfId="9749" xr:uid="{00000000-0005-0000-0000-0000925C0000}"/>
    <cellStyle name="强调文字颜色 5 4 20" xfId="30347" xr:uid="{00000000-0005-0000-0000-0000935C0000}"/>
    <cellStyle name="强调文字颜色 5 4 20 10" xfId="30493" xr:uid="{00000000-0005-0000-0000-0000945C0000}"/>
    <cellStyle name="强调文字颜色 5 4 20 11" xfId="30494" xr:uid="{00000000-0005-0000-0000-0000955C0000}"/>
    <cellStyle name="强调文字颜色 5 4 20 12" xfId="30495" xr:uid="{00000000-0005-0000-0000-0000965C0000}"/>
    <cellStyle name="强调文字颜色 5 4 20 13" xfId="30496" xr:uid="{00000000-0005-0000-0000-0000975C0000}"/>
    <cellStyle name="强调文字颜色 5 4 20 14" xfId="30497" xr:uid="{00000000-0005-0000-0000-0000985C0000}"/>
    <cellStyle name="强调文字颜色 5 4 20 2" xfId="30498" xr:uid="{00000000-0005-0000-0000-0000995C0000}"/>
    <cellStyle name="强调文字颜色 5 4 20 3" xfId="30499" xr:uid="{00000000-0005-0000-0000-00009A5C0000}"/>
    <cellStyle name="强调文字颜色 5 4 20 4" xfId="30500" xr:uid="{00000000-0005-0000-0000-00009B5C0000}"/>
    <cellStyle name="强调文字颜色 5 4 20 5" xfId="30501" xr:uid="{00000000-0005-0000-0000-00009C5C0000}"/>
    <cellStyle name="强调文字颜色 5 4 20 5 10" xfId="9411" xr:uid="{00000000-0005-0000-0000-00009D5C0000}"/>
    <cellStyle name="强调文字颜色 5 4 20 5 11" xfId="30503" xr:uid="{00000000-0005-0000-0000-00009E5C0000}"/>
    <cellStyle name="强调文字颜色 5 4 20 5 2" xfId="30505" xr:uid="{00000000-0005-0000-0000-00009F5C0000}"/>
    <cellStyle name="强调文字颜色 5 4 20 5 2 2" xfId="30506" xr:uid="{00000000-0005-0000-0000-0000A05C0000}"/>
    <cellStyle name="强调文字颜色 5 4 20 5 2 2 2" xfId="30508" xr:uid="{00000000-0005-0000-0000-0000A15C0000}"/>
    <cellStyle name="强调文字颜色 5 4 20 5 2 2 3" xfId="8000" xr:uid="{00000000-0005-0000-0000-0000A25C0000}"/>
    <cellStyle name="强调文字颜色 5 4 20 5 2 3" xfId="30509" xr:uid="{00000000-0005-0000-0000-0000A35C0000}"/>
    <cellStyle name="强调文字颜色 5 4 20 5 2 4" xfId="30510" xr:uid="{00000000-0005-0000-0000-0000A45C0000}"/>
    <cellStyle name="强调文字颜色 5 4 20 5 2 5" xfId="30511" xr:uid="{00000000-0005-0000-0000-0000A55C0000}"/>
    <cellStyle name="强调文字颜色 5 4 20 5 2 6" xfId="30512" xr:uid="{00000000-0005-0000-0000-0000A65C0000}"/>
    <cellStyle name="强调文字颜色 5 4 20 5 2 7" xfId="30513" xr:uid="{00000000-0005-0000-0000-0000A75C0000}"/>
    <cellStyle name="强调文字颜色 5 4 20 5 2 8" xfId="30514" xr:uid="{00000000-0005-0000-0000-0000A85C0000}"/>
    <cellStyle name="强调文字颜色 5 4 20 5 3" xfId="30515" xr:uid="{00000000-0005-0000-0000-0000A95C0000}"/>
    <cellStyle name="强调文字颜色 5 4 20 5 4" xfId="30516" xr:uid="{00000000-0005-0000-0000-0000AA5C0000}"/>
    <cellStyle name="强调文字颜色 5 4 20 5 5" xfId="30517" xr:uid="{00000000-0005-0000-0000-0000AB5C0000}"/>
    <cellStyle name="强调文字颜色 5 4 20 5 6" xfId="30518" xr:uid="{00000000-0005-0000-0000-0000AC5C0000}"/>
    <cellStyle name="强调文字颜色 5 4 20 5 6 2" xfId="8697" xr:uid="{00000000-0005-0000-0000-0000AD5C0000}"/>
    <cellStyle name="强调文字颜色 5 4 20 5 6 3" xfId="4969" xr:uid="{00000000-0005-0000-0000-0000AE5C0000}"/>
    <cellStyle name="强调文字颜色 5 4 20 5 7" xfId="30519" xr:uid="{00000000-0005-0000-0000-0000AF5C0000}"/>
    <cellStyle name="强调文字颜色 5 4 20 5 8" xfId="30520" xr:uid="{00000000-0005-0000-0000-0000B05C0000}"/>
    <cellStyle name="强调文字颜色 5 4 20 5 9" xfId="30521" xr:uid="{00000000-0005-0000-0000-0000B15C0000}"/>
    <cellStyle name="强调文字颜色 5 4 20 6" xfId="30522" xr:uid="{00000000-0005-0000-0000-0000B25C0000}"/>
    <cellStyle name="强调文字颜色 5 4 20 6 2" xfId="30523" xr:uid="{00000000-0005-0000-0000-0000B35C0000}"/>
    <cellStyle name="强调文字颜色 5 4 20 6 2 2" xfId="25666" xr:uid="{00000000-0005-0000-0000-0000B45C0000}"/>
    <cellStyle name="强调文字颜色 5 4 20 6 2 3" xfId="30526" xr:uid="{00000000-0005-0000-0000-0000B55C0000}"/>
    <cellStyle name="强调文字颜色 5 4 20 6 3" xfId="30528" xr:uid="{00000000-0005-0000-0000-0000B65C0000}"/>
    <cellStyle name="强调文字颜色 5 4 20 6 4" xfId="30530" xr:uid="{00000000-0005-0000-0000-0000B75C0000}"/>
    <cellStyle name="强调文字颜色 5 4 20 6 5" xfId="30532" xr:uid="{00000000-0005-0000-0000-0000B85C0000}"/>
    <cellStyle name="强调文字颜色 5 4 20 6 6" xfId="30534" xr:uid="{00000000-0005-0000-0000-0000B95C0000}"/>
    <cellStyle name="强调文字颜色 5 4 20 6 7" xfId="30536" xr:uid="{00000000-0005-0000-0000-0000BA5C0000}"/>
    <cellStyle name="强调文字颜色 5 4 20 6 8" xfId="28849" xr:uid="{00000000-0005-0000-0000-0000BB5C0000}"/>
    <cellStyle name="强调文字颜色 5 4 20 7" xfId="30537" xr:uid="{00000000-0005-0000-0000-0000BC5C0000}"/>
    <cellStyle name="强调文字颜色 5 4 20 8" xfId="30539" xr:uid="{00000000-0005-0000-0000-0000BD5C0000}"/>
    <cellStyle name="强调文字颜色 5 4 20 9" xfId="30541" xr:uid="{00000000-0005-0000-0000-0000BE5C0000}"/>
    <cellStyle name="强调文字颜色 5 4 20 9 2" xfId="30543" xr:uid="{00000000-0005-0000-0000-0000BF5C0000}"/>
    <cellStyle name="强调文字颜色 5 4 20 9 3" xfId="30544" xr:uid="{00000000-0005-0000-0000-0000C05C0000}"/>
    <cellStyle name="强调文字颜色 5 4 3" xfId="9754" xr:uid="{00000000-0005-0000-0000-0000C15C0000}"/>
    <cellStyle name="强调文字颜色 5 4 4" xfId="9759" xr:uid="{00000000-0005-0000-0000-0000C25C0000}"/>
    <cellStyle name="强调文字颜色 5 4 5" xfId="9764" xr:uid="{00000000-0005-0000-0000-0000C35C0000}"/>
    <cellStyle name="强调文字颜色 5 4 6" xfId="30545" xr:uid="{00000000-0005-0000-0000-0000C45C0000}"/>
    <cellStyle name="强调文字颜色 5 4 7" xfId="30546" xr:uid="{00000000-0005-0000-0000-0000C55C0000}"/>
    <cellStyle name="强调文字颜色 5 4 8" xfId="30547" xr:uid="{00000000-0005-0000-0000-0000C65C0000}"/>
    <cellStyle name="强调文字颜色 5 4 9" xfId="24676" xr:uid="{00000000-0005-0000-0000-0000C75C0000}"/>
    <cellStyle name="强调文字颜色 5 5" xfId="27856" xr:uid="{00000000-0005-0000-0000-0000C85C0000}"/>
    <cellStyle name="强调文字颜色 5 5 10" xfId="17228" xr:uid="{00000000-0005-0000-0000-0000C95C0000}"/>
    <cellStyle name="强调文字颜色 5 5 11" xfId="30548" xr:uid="{00000000-0005-0000-0000-0000CA5C0000}"/>
    <cellStyle name="强调文字颜色 5 5 12" xfId="30549" xr:uid="{00000000-0005-0000-0000-0000CB5C0000}"/>
    <cellStyle name="强调文字颜色 5 5 13" xfId="15540" xr:uid="{00000000-0005-0000-0000-0000CC5C0000}"/>
    <cellStyle name="强调文字颜色 5 5 14" xfId="15544" xr:uid="{00000000-0005-0000-0000-0000CD5C0000}"/>
    <cellStyle name="强调文字颜色 5 5 2" xfId="6534" xr:uid="{00000000-0005-0000-0000-0000CE5C0000}"/>
    <cellStyle name="强调文字颜色 5 5 3" xfId="16654" xr:uid="{00000000-0005-0000-0000-0000CF5C0000}"/>
    <cellStyle name="强调文字颜色 5 5 4" xfId="16656" xr:uid="{00000000-0005-0000-0000-0000D05C0000}"/>
    <cellStyle name="强调文字颜色 5 5 5" xfId="30550" xr:uid="{00000000-0005-0000-0000-0000D15C0000}"/>
    <cellStyle name="强调文字颜色 5 5 6" xfId="9226" xr:uid="{00000000-0005-0000-0000-0000D25C0000}"/>
    <cellStyle name="强调文字颜色 5 5 7" xfId="9230" xr:uid="{00000000-0005-0000-0000-0000D35C0000}"/>
    <cellStyle name="强调文字颜色 5 5 8" xfId="9233" xr:uid="{00000000-0005-0000-0000-0000D45C0000}"/>
    <cellStyle name="强调文字颜色 5 5 9" xfId="9236" xr:uid="{00000000-0005-0000-0000-0000D55C0000}"/>
    <cellStyle name="强调文字颜色 5 6" xfId="27859" xr:uid="{00000000-0005-0000-0000-0000D65C0000}"/>
    <cellStyle name="强调文字颜色 5 6 10" xfId="30551" xr:uid="{00000000-0005-0000-0000-0000D75C0000}"/>
    <cellStyle name="强调文字颜色 5 6 11" xfId="30552" xr:uid="{00000000-0005-0000-0000-0000D85C0000}"/>
    <cellStyle name="强调文字颜色 5 6 12" xfId="30553" xr:uid="{00000000-0005-0000-0000-0000D95C0000}"/>
    <cellStyle name="强调文字颜色 5 6 13" xfId="30554" xr:uid="{00000000-0005-0000-0000-0000DA5C0000}"/>
    <cellStyle name="强调文字颜色 5 6 14" xfId="30556" xr:uid="{00000000-0005-0000-0000-0000DB5C0000}"/>
    <cellStyle name="强调文字颜色 5 6 2" xfId="27861" xr:uid="{00000000-0005-0000-0000-0000DC5C0000}"/>
    <cellStyle name="强调文字颜色 5 6 3" xfId="27863" xr:uid="{00000000-0005-0000-0000-0000DD5C0000}"/>
    <cellStyle name="强调文字颜色 5 6 4" xfId="30558" xr:uid="{00000000-0005-0000-0000-0000DE5C0000}"/>
    <cellStyle name="强调文字颜色 5 6 5" xfId="30559" xr:uid="{00000000-0005-0000-0000-0000DF5C0000}"/>
    <cellStyle name="强调文字颜色 5 6 6" xfId="30560" xr:uid="{00000000-0005-0000-0000-0000E05C0000}"/>
    <cellStyle name="强调文字颜色 5 6 7" xfId="30561" xr:uid="{00000000-0005-0000-0000-0000E15C0000}"/>
    <cellStyle name="强调文字颜色 5 6 8" xfId="30562" xr:uid="{00000000-0005-0000-0000-0000E25C0000}"/>
    <cellStyle name="强调文字颜色 5 6 9" xfId="30563" xr:uid="{00000000-0005-0000-0000-0000E35C0000}"/>
    <cellStyle name="强调文字颜色 5 7" xfId="30565" xr:uid="{00000000-0005-0000-0000-0000E45C0000}"/>
    <cellStyle name="强调文字颜色 5 8" xfId="30567" xr:uid="{00000000-0005-0000-0000-0000E55C0000}"/>
    <cellStyle name="强调文字颜色 5 9" xfId="30568" xr:uid="{00000000-0005-0000-0000-0000E65C0000}"/>
    <cellStyle name="强调文字颜色 6 10" xfId="23264" xr:uid="{00000000-0005-0000-0000-0000E75C0000}"/>
    <cellStyle name="强调文字颜色 6 11" xfId="23265" xr:uid="{00000000-0005-0000-0000-0000E85C0000}"/>
    <cellStyle name="强调文字颜色 6 12" xfId="23268" xr:uid="{00000000-0005-0000-0000-0000E95C0000}"/>
    <cellStyle name="强调文字颜色 6 12 10" xfId="1125" xr:uid="{00000000-0005-0000-0000-0000EA5C0000}"/>
    <cellStyle name="强调文字颜色 6 12 11" xfId="23271" xr:uid="{00000000-0005-0000-0000-0000EB5C0000}"/>
    <cellStyle name="强调文字颜色 6 12 12" xfId="30569" xr:uid="{00000000-0005-0000-0000-0000EC5C0000}"/>
    <cellStyle name="强调文字颜色 6 12 13" xfId="30570" xr:uid="{00000000-0005-0000-0000-0000ED5C0000}"/>
    <cellStyle name="强调文字颜色 6 12 14" xfId="3138" xr:uid="{00000000-0005-0000-0000-0000EE5C0000}"/>
    <cellStyle name="强调文字颜色 6 12 2" xfId="13169" xr:uid="{00000000-0005-0000-0000-0000EF5C0000}"/>
    <cellStyle name="强调文字颜色 6 12 3" xfId="13174" xr:uid="{00000000-0005-0000-0000-0000F05C0000}"/>
    <cellStyle name="强调文字颜色 6 12 4" xfId="13181" xr:uid="{00000000-0005-0000-0000-0000F15C0000}"/>
    <cellStyle name="强调文字颜色 6 12 5" xfId="5784" xr:uid="{00000000-0005-0000-0000-0000F25C0000}"/>
    <cellStyle name="强调文字颜色 6 12 5 10" xfId="30571" xr:uid="{00000000-0005-0000-0000-0000F35C0000}"/>
    <cellStyle name="强调文字颜色 6 12 5 11" xfId="30572" xr:uid="{00000000-0005-0000-0000-0000F45C0000}"/>
    <cellStyle name="强调文字颜色 6 12 5 2" xfId="5792" xr:uid="{00000000-0005-0000-0000-0000F55C0000}"/>
    <cellStyle name="强调文字颜色 6 12 5 2 2" xfId="30573" xr:uid="{00000000-0005-0000-0000-0000F65C0000}"/>
    <cellStyle name="强调文字颜色 6 12 5 2 2 2" xfId="30574" xr:uid="{00000000-0005-0000-0000-0000F75C0000}"/>
    <cellStyle name="强调文字颜色 6 12 5 2 2 3" xfId="14623" xr:uid="{00000000-0005-0000-0000-0000F85C0000}"/>
    <cellStyle name="强调文字颜色 6 12 5 2 3" xfId="30575" xr:uid="{00000000-0005-0000-0000-0000F95C0000}"/>
    <cellStyle name="强调文字颜色 6 12 5 2 4" xfId="30576" xr:uid="{00000000-0005-0000-0000-0000FA5C0000}"/>
    <cellStyle name="强调文字颜色 6 12 5 2 5" xfId="30577" xr:uid="{00000000-0005-0000-0000-0000FB5C0000}"/>
    <cellStyle name="强调文字颜色 6 12 5 2 6" xfId="30579" xr:uid="{00000000-0005-0000-0000-0000FC5C0000}"/>
    <cellStyle name="强调文字颜色 6 12 5 2 7" xfId="30582" xr:uid="{00000000-0005-0000-0000-0000FD5C0000}"/>
    <cellStyle name="强调文字颜色 6 12 5 2 8" xfId="30585" xr:uid="{00000000-0005-0000-0000-0000FE5C0000}"/>
    <cellStyle name="强调文字颜色 6 12 5 3" xfId="5803" xr:uid="{00000000-0005-0000-0000-0000FF5C0000}"/>
    <cellStyle name="强调文字颜色 6 12 5 4" xfId="30587" xr:uid="{00000000-0005-0000-0000-0000005D0000}"/>
    <cellStyle name="强调文字颜色 6 12 5 5" xfId="30589" xr:uid="{00000000-0005-0000-0000-0000015D0000}"/>
    <cellStyle name="强调文字颜色 6 12 5 6" xfId="30590" xr:uid="{00000000-0005-0000-0000-0000025D0000}"/>
    <cellStyle name="强调文字颜色 6 12 5 6 2" xfId="976" xr:uid="{00000000-0005-0000-0000-0000035D0000}"/>
    <cellStyle name="强调文字颜色 6 12 5 6 3" xfId="22855" xr:uid="{00000000-0005-0000-0000-0000045D0000}"/>
    <cellStyle name="强调文字颜色 6 12 5 7" xfId="30591" xr:uid="{00000000-0005-0000-0000-0000055D0000}"/>
    <cellStyle name="强调文字颜色 6 12 5 8" xfId="15915" xr:uid="{00000000-0005-0000-0000-0000065D0000}"/>
    <cellStyle name="强调文字颜色 6 12 5 9" xfId="15918" xr:uid="{00000000-0005-0000-0000-0000075D0000}"/>
    <cellStyle name="强调文字颜色 6 12 6" xfId="5811" xr:uid="{00000000-0005-0000-0000-0000085D0000}"/>
    <cellStyle name="强调文字颜色 6 12 6 2" xfId="23280" xr:uid="{00000000-0005-0000-0000-0000095D0000}"/>
    <cellStyle name="强调文字颜色 6 12 6 2 2" xfId="30594" xr:uid="{00000000-0005-0000-0000-00000A5D0000}"/>
    <cellStyle name="强调文字颜色 6 12 6 2 3" xfId="30596" xr:uid="{00000000-0005-0000-0000-00000B5D0000}"/>
    <cellStyle name="强调文字颜色 6 12 6 3" xfId="23282" xr:uid="{00000000-0005-0000-0000-00000C5D0000}"/>
    <cellStyle name="强调文字颜色 6 12 6 4" xfId="28759" xr:uid="{00000000-0005-0000-0000-00000D5D0000}"/>
    <cellStyle name="强调文字颜色 6 12 6 5" xfId="28763" xr:uid="{00000000-0005-0000-0000-00000E5D0000}"/>
    <cellStyle name="强调文字颜色 6 12 6 6" xfId="28765" xr:uid="{00000000-0005-0000-0000-00000F5D0000}"/>
    <cellStyle name="强调文字颜色 6 12 6 7" xfId="28767" xr:uid="{00000000-0005-0000-0000-0000105D0000}"/>
    <cellStyle name="强调文字颜色 6 12 6 8" xfId="28769" xr:uid="{00000000-0005-0000-0000-0000115D0000}"/>
    <cellStyle name="强调文字颜色 6 12 7" xfId="5823" xr:uid="{00000000-0005-0000-0000-0000125D0000}"/>
    <cellStyle name="强调文字颜色 6 12 8" xfId="5830" xr:uid="{00000000-0005-0000-0000-0000135D0000}"/>
    <cellStyle name="强调文字颜色 6 12 9" xfId="5832" xr:uid="{00000000-0005-0000-0000-0000145D0000}"/>
    <cellStyle name="强调文字颜色 6 12 9 2" xfId="30599" xr:uid="{00000000-0005-0000-0000-0000155D0000}"/>
    <cellStyle name="强调文字颜色 6 12 9 3" xfId="30600" xr:uid="{00000000-0005-0000-0000-0000165D0000}"/>
    <cellStyle name="强调文字颜色 6 13" xfId="16468" xr:uid="{00000000-0005-0000-0000-0000175D0000}"/>
    <cellStyle name="强调文字颜色 6 14" xfId="16471" xr:uid="{00000000-0005-0000-0000-0000185D0000}"/>
    <cellStyle name="强调文字颜色 6 15" xfId="23288" xr:uid="{00000000-0005-0000-0000-0000195D0000}"/>
    <cellStyle name="强调文字颜色 6 16" xfId="14848" xr:uid="{00000000-0005-0000-0000-00001A5D0000}"/>
    <cellStyle name="强调文字颜色 6 16 10" xfId="30601" xr:uid="{00000000-0005-0000-0000-00001B5D0000}"/>
    <cellStyle name="强调文字颜色 6 16 11" xfId="30602" xr:uid="{00000000-0005-0000-0000-00001C5D0000}"/>
    <cellStyle name="强调文字颜色 6 16 12" xfId="28373" xr:uid="{00000000-0005-0000-0000-00001D5D0000}"/>
    <cellStyle name="强调文字颜色 6 16 13" xfId="28375" xr:uid="{00000000-0005-0000-0000-00001E5D0000}"/>
    <cellStyle name="强调文字颜色 6 16 14" xfId="27237" xr:uid="{00000000-0005-0000-0000-00001F5D0000}"/>
    <cellStyle name="强调文字颜色 6 16 2" xfId="23290" xr:uid="{00000000-0005-0000-0000-0000205D0000}"/>
    <cellStyle name="强调文字颜色 6 16 3" xfId="23292" xr:uid="{00000000-0005-0000-0000-0000215D0000}"/>
    <cellStyle name="强调文字颜色 6 16 4" xfId="30603" xr:uid="{00000000-0005-0000-0000-0000225D0000}"/>
    <cellStyle name="强调文字颜色 6 16 5" xfId="30604" xr:uid="{00000000-0005-0000-0000-0000235D0000}"/>
    <cellStyle name="强调文字颜色 6 16 5 10" xfId="18254" xr:uid="{00000000-0005-0000-0000-0000245D0000}"/>
    <cellStyle name="强调文字颜色 6 16 5 11" xfId="18259" xr:uid="{00000000-0005-0000-0000-0000255D0000}"/>
    <cellStyle name="强调文字颜色 6 16 5 2" xfId="30223" xr:uid="{00000000-0005-0000-0000-0000265D0000}"/>
    <cellStyle name="强调文字颜色 6 16 5 2 2" xfId="30225" xr:uid="{00000000-0005-0000-0000-0000275D0000}"/>
    <cellStyle name="强调文字颜色 6 16 5 2 2 2" xfId="30605" xr:uid="{00000000-0005-0000-0000-0000285D0000}"/>
    <cellStyle name="强调文字颜色 6 16 5 2 2 3" xfId="30607" xr:uid="{00000000-0005-0000-0000-0000295D0000}"/>
    <cellStyle name="强调文字颜色 6 16 5 2 3" xfId="30227" xr:uid="{00000000-0005-0000-0000-00002A5D0000}"/>
    <cellStyle name="强调文字颜色 6 16 5 2 4" xfId="30608" xr:uid="{00000000-0005-0000-0000-00002B5D0000}"/>
    <cellStyle name="强调文字颜色 6 16 5 2 5" xfId="30609" xr:uid="{00000000-0005-0000-0000-00002C5D0000}"/>
    <cellStyle name="强调文字颜色 6 16 5 2 6" xfId="30610" xr:uid="{00000000-0005-0000-0000-00002D5D0000}"/>
    <cellStyle name="强调文字颜色 6 16 5 2 7" xfId="30611" xr:uid="{00000000-0005-0000-0000-00002E5D0000}"/>
    <cellStyle name="强调文字颜色 6 16 5 2 8" xfId="30612" xr:uid="{00000000-0005-0000-0000-00002F5D0000}"/>
    <cellStyle name="强调文字颜色 6 16 5 3" xfId="30229" xr:uid="{00000000-0005-0000-0000-0000305D0000}"/>
    <cellStyle name="强调文字颜色 6 16 5 4" xfId="30231" xr:uid="{00000000-0005-0000-0000-0000315D0000}"/>
    <cellStyle name="强调文字颜色 6 16 5 5" xfId="30233" xr:uid="{00000000-0005-0000-0000-0000325D0000}"/>
    <cellStyle name="强调文字颜色 6 16 5 6" xfId="30613" xr:uid="{00000000-0005-0000-0000-0000335D0000}"/>
    <cellStyle name="强调文字颜色 6 16 5 6 2" xfId="30614" xr:uid="{00000000-0005-0000-0000-0000345D0000}"/>
    <cellStyle name="强调文字颜色 6 16 5 6 3" xfId="30615" xr:uid="{00000000-0005-0000-0000-0000355D0000}"/>
    <cellStyle name="强调文字颜色 6 16 5 7" xfId="30616" xr:uid="{00000000-0005-0000-0000-0000365D0000}"/>
    <cellStyle name="强调文字颜色 6 16 5 8" xfId="30617" xr:uid="{00000000-0005-0000-0000-0000375D0000}"/>
    <cellStyle name="强调文字颜色 6 16 5 9" xfId="30618" xr:uid="{00000000-0005-0000-0000-0000385D0000}"/>
    <cellStyle name="强调文字颜色 6 16 6" xfId="30619" xr:uid="{00000000-0005-0000-0000-0000395D0000}"/>
    <cellStyle name="强调文字颜色 6 16 6 2" xfId="22586" xr:uid="{00000000-0005-0000-0000-00003A5D0000}"/>
    <cellStyle name="强调文字颜色 6 16 6 2 2" xfId="30620" xr:uid="{00000000-0005-0000-0000-00003B5D0000}"/>
    <cellStyle name="强调文字颜色 6 16 6 2 3" xfId="30621" xr:uid="{00000000-0005-0000-0000-00003C5D0000}"/>
    <cellStyle name="强调文字颜色 6 16 6 3" xfId="30236" xr:uid="{00000000-0005-0000-0000-00003D5D0000}"/>
    <cellStyle name="强调文字颜色 6 16 6 4" xfId="30239" xr:uid="{00000000-0005-0000-0000-00003E5D0000}"/>
    <cellStyle name="强调文字颜色 6 16 6 5" xfId="30623" xr:uid="{00000000-0005-0000-0000-00003F5D0000}"/>
    <cellStyle name="强调文字颜色 6 16 6 6" xfId="30625" xr:uid="{00000000-0005-0000-0000-0000405D0000}"/>
    <cellStyle name="强调文字颜色 6 16 6 7" xfId="2875" xr:uid="{00000000-0005-0000-0000-0000415D0000}"/>
    <cellStyle name="强调文字颜色 6 16 6 8" xfId="14419" xr:uid="{00000000-0005-0000-0000-0000425D0000}"/>
    <cellStyle name="强调文字颜色 6 16 7" xfId="30626" xr:uid="{00000000-0005-0000-0000-0000435D0000}"/>
    <cellStyle name="强调文字颜色 6 16 8" xfId="30627" xr:uid="{00000000-0005-0000-0000-0000445D0000}"/>
    <cellStyle name="强调文字颜色 6 16 9" xfId="30628" xr:uid="{00000000-0005-0000-0000-0000455D0000}"/>
    <cellStyle name="强调文字颜色 6 16 9 2" xfId="30630" xr:uid="{00000000-0005-0000-0000-0000465D0000}"/>
    <cellStyle name="强调文字颜色 6 16 9 3" xfId="30631" xr:uid="{00000000-0005-0000-0000-0000475D0000}"/>
    <cellStyle name="强调文字颜色 6 17" xfId="11412" xr:uid="{00000000-0005-0000-0000-0000485D0000}"/>
    <cellStyle name="强调文字颜色 6 17 10" xfId="30633" xr:uid="{00000000-0005-0000-0000-0000495D0000}"/>
    <cellStyle name="强调文字颜色 6 17 11" xfId="30635" xr:uid="{00000000-0005-0000-0000-00004A5D0000}"/>
    <cellStyle name="强调文字颜色 6 17 12" xfId="30637" xr:uid="{00000000-0005-0000-0000-00004B5D0000}"/>
    <cellStyle name="强调文字颜色 6 17 13" xfId="30639" xr:uid="{00000000-0005-0000-0000-00004C5D0000}"/>
    <cellStyle name="强调文字颜色 6 17 14" xfId="19778" xr:uid="{00000000-0005-0000-0000-00004D5D0000}"/>
    <cellStyle name="强调文字颜色 6 17 2" xfId="30641" xr:uid="{00000000-0005-0000-0000-00004E5D0000}"/>
    <cellStyle name="强调文字颜色 6 17 3" xfId="30643" xr:uid="{00000000-0005-0000-0000-00004F5D0000}"/>
    <cellStyle name="强调文字颜色 6 17 4" xfId="14537" xr:uid="{00000000-0005-0000-0000-0000505D0000}"/>
    <cellStyle name="强调文字颜色 6 17 5" xfId="14540" xr:uid="{00000000-0005-0000-0000-0000515D0000}"/>
    <cellStyle name="强调文字颜色 6 17 5 10" xfId="30644" xr:uid="{00000000-0005-0000-0000-0000525D0000}"/>
    <cellStyle name="强调文字颜色 6 17 5 11" xfId="30645" xr:uid="{00000000-0005-0000-0000-0000535D0000}"/>
    <cellStyle name="强调文字颜色 6 17 5 2" xfId="22128" xr:uid="{00000000-0005-0000-0000-0000545D0000}"/>
    <cellStyle name="强调文字颜色 6 17 5 2 2" xfId="30268" xr:uid="{00000000-0005-0000-0000-0000555D0000}"/>
    <cellStyle name="强调文字颜色 6 17 5 2 2 2" xfId="28309" xr:uid="{00000000-0005-0000-0000-0000565D0000}"/>
    <cellStyle name="强调文字颜色 6 17 5 2 2 3" xfId="30646" xr:uid="{00000000-0005-0000-0000-0000575D0000}"/>
    <cellStyle name="强调文字颜色 6 17 5 2 3" xfId="30271" xr:uid="{00000000-0005-0000-0000-0000585D0000}"/>
    <cellStyle name="强调文字颜色 6 17 5 2 4" xfId="30647" xr:uid="{00000000-0005-0000-0000-0000595D0000}"/>
    <cellStyle name="强调文字颜色 6 17 5 2 5" xfId="30648" xr:uid="{00000000-0005-0000-0000-00005A5D0000}"/>
    <cellStyle name="强调文字颜色 6 17 5 2 6" xfId="30649" xr:uid="{00000000-0005-0000-0000-00005B5D0000}"/>
    <cellStyle name="强调文字颜色 6 17 5 2 7" xfId="30650" xr:uid="{00000000-0005-0000-0000-00005C5D0000}"/>
    <cellStyle name="强调文字颜色 6 17 5 2 8" xfId="30651" xr:uid="{00000000-0005-0000-0000-00005D5D0000}"/>
    <cellStyle name="强调文字颜色 6 17 5 3" xfId="22132" xr:uid="{00000000-0005-0000-0000-00005E5D0000}"/>
    <cellStyle name="强调文字颜色 6 17 5 4" xfId="22135" xr:uid="{00000000-0005-0000-0000-00005F5D0000}"/>
    <cellStyle name="强调文字颜色 6 17 5 5" xfId="19867" xr:uid="{00000000-0005-0000-0000-0000605D0000}"/>
    <cellStyle name="强调文字颜色 6 17 5 6" xfId="19870" xr:uid="{00000000-0005-0000-0000-0000615D0000}"/>
    <cellStyle name="强调文字颜色 6 17 5 6 2" xfId="23063" xr:uid="{00000000-0005-0000-0000-0000625D0000}"/>
    <cellStyle name="强调文字颜色 6 17 5 6 3" xfId="23065" xr:uid="{00000000-0005-0000-0000-0000635D0000}"/>
    <cellStyle name="强调文字颜色 6 17 5 7" xfId="19872" xr:uid="{00000000-0005-0000-0000-0000645D0000}"/>
    <cellStyle name="强调文字颜色 6 17 5 8" xfId="19874" xr:uid="{00000000-0005-0000-0000-0000655D0000}"/>
    <cellStyle name="强调文字颜色 6 17 5 9" xfId="19876" xr:uid="{00000000-0005-0000-0000-0000665D0000}"/>
    <cellStyle name="强调文字颜色 6 17 6" xfId="24294" xr:uid="{00000000-0005-0000-0000-0000675D0000}"/>
    <cellStyle name="强调文字颜色 6 17 6 2" xfId="30280" xr:uid="{00000000-0005-0000-0000-0000685D0000}"/>
    <cellStyle name="强调文字颜色 6 17 6 2 2" xfId="30653" xr:uid="{00000000-0005-0000-0000-0000695D0000}"/>
    <cellStyle name="强调文字颜色 6 17 6 2 3" xfId="30655" xr:uid="{00000000-0005-0000-0000-00006A5D0000}"/>
    <cellStyle name="强调文字颜色 6 17 6 3" xfId="30282" xr:uid="{00000000-0005-0000-0000-00006B5D0000}"/>
    <cellStyle name="强调文字颜色 6 17 6 4" xfId="30284" xr:uid="{00000000-0005-0000-0000-00006C5D0000}"/>
    <cellStyle name="强调文字颜色 6 17 6 5" xfId="30656" xr:uid="{00000000-0005-0000-0000-00006D5D0000}"/>
    <cellStyle name="强调文字颜色 6 17 6 6" xfId="30657" xr:uid="{00000000-0005-0000-0000-00006E5D0000}"/>
    <cellStyle name="强调文字颜色 6 17 6 7" xfId="30658" xr:uid="{00000000-0005-0000-0000-00006F5D0000}"/>
    <cellStyle name="强调文字颜色 6 17 6 8" xfId="30659" xr:uid="{00000000-0005-0000-0000-0000705D0000}"/>
    <cellStyle name="强调文字颜色 6 17 7" xfId="24296" xr:uid="{00000000-0005-0000-0000-0000715D0000}"/>
    <cellStyle name="强调文字颜色 6 17 8" xfId="24298" xr:uid="{00000000-0005-0000-0000-0000725D0000}"/>
    <cellStyle name="强调文字颜色 6 17 9" xfId="24300" xr:uid="{00000000-0005-0000-0000-0000735D0000}"/>
    <cellStyle name="强调文字颜色 6 17 9 2" xfId="30661" xr:uid="{00000000-0005-0000-0000-0000745D0000}"/>
    <cellStyle name="强调文字颜色 6 17 9 3" xfId="30662" xr:uid="{00000000-0005-0000-0000-0000755D0000}"/>
    <cellStyle name="强调文字颜色 6 18" xfId="8462" xr:uid="{00000000-0005-0000-0000-0000765D0000}"/>
    <cellStyle name="强调文字颜色 6 18 10" xfId="23327" xr:uid="{00000000-0005-0000-0000-0000775D0000}"/>
    <cellStyle name="强调文字颜色 6 18 11" xfId="16632" xr:uid="{00000000-0005-0000-0000-0000785D0000}"/>
    <cellStyle name="强调文字颜色 6 18 12" xfId="16061" xr:uid="{00000000-0005-0000-0000-0000795D0000}"/>
    <cellStyle name="强调文字颜色 6 18 13" xfId="16106" xr:uid="{00000000-0005-0000-0000-00007A5D0000}"/>
    <cellStyle name="强调文字颜色 6 18 14" xfId="14096" xr:uid="{00000000-0005-0000-0000-00007B5D0000}"/>
    <cellStyle name="强调文字颜色 6 18 2" xfId="16665" xr:uid="{00000000-0005-0000-0000-00007C5D0000}"/>
    <cellStyle name="强调文字颜色 6 18 3" xfId="30664" xr:uid="{00000000-0005-0000-0000-00007D5D0000}"/>
    <cellStyle name="强调文字颜色 6 18 4" xfId="24306" xr:uid="{00000000-0005-0000-0000-00007E5D0000}"/>
    <cellStyle name="强调文字颜色 6 18 5" xfId="24308" xr:uid="{00000000-0005-0000-0000-00007F5D0000}"/>
    <cellStyle name="强调文字颜色 6 18 5 10" xfId="20565" xr:uid="{00000000-0005-0000-0000-0000805D0000}"/>
    <cellStyle name="强调文字颜色 6 18 5 11" xfId="20569" xr:uid="{00000000-0005-0000-0000-0000815D0000}"/>
    <cellStyle name="强调文字颜色 6 18 5 2" xfId="18528" xr:uid="{00000000-0005-0000-0000-0000825D0000}"/>
    <cellStyle name="强调文字颜色 6 18 5 2 2" xfId="5935" xr:uid="{00000000-0005-0000-0000-0000835D0000}"/>
    <cellStyle name="强调文字颜色 6 18 5 2 2 2" xfId="10568" xr:uid="{00000000-0005-0000-0000-0000845D0000}"/>
    <cellStyle name="强调文字颜色 6 18 5 2 2 3" xfId="30665" xr:uid="{00000000-0005-0000-0000-0000855D0000}"/>
    <cellStyle name="强调文字颜色 6 18 5 2 3" xfId="5947" xr:uid="{00000000-0005-0000-0000-0000865D0000}"/>
    <cellStyle name="强调文字颜色 6 18 5 2 4" xfId="5955" xr:uid="{00000000-0005-0000-0000-0000875D0000}"/>
    <cellStyle name="强调文字颜色 6 18 5 2 5" xfId="1497" xr:uid="{00000000-0005-0000-0000-0000885D0000}"/>
    <cellStyle name="强调文字颜色 6 18 5 2 6" xfId="1512" xr:uid="{00000000-0005-0000-0000-0000895D0000}"/>
    <cellStyle name="强调文字颜色 6 18 5 2 7" xfId="4417" xr:uid="{00000000-0005-0000-0000-00008A5D0000}"/>
    <cellStyle name="强调文字颜色 6 18 5 2 8" xfId="18531" xr:uid="{00000000-0005-0000-0000-00008B5D0000}"/>
    <cellStyle name="强调文字颜色 6 18 5 3" xfId="18537" xr:uid="{00000000-0005-0000-0000-00008C5D0000}"/>
    <cellStyle name="强调文字颜色 6 18 5 4" xfId="6778" xr:uid="{00000000-0005-0000-0000-00008D5D0000}"/>
    <cellStyle name="强调文字颜色 6 18 5 5" xfId="7615" xr:uid="{00000000-0005-0000-0000-00008E5D0000}"/>
    <cellStyle name="强调文字颜色 6 18 5 6" xfId="7626" xr:uid="{00000000-0005-0000-0000-00008F5D0000}"/>
    <cellStyle name="强调文字颜色 6 18 5 6 2" xfId="30666" xr:uid="{00000000-0005-0000-0000-0000905D0000}"/>
    <cellStyle name="强调文字颜色 6 18 5 6 3" xfId="30667" xr:uid="{00000000-0005-0000-0000-0000915D0000}"/>
    <cellStyle name="强调文字颜色 6 18 5 7" xfId="8924" xr:uid="{00000000-0005-0000-0000-0000925D0000}"/>
    <cellStyle name="强调文字颜色 6 18 5 8" xfId="921" xr:uid="{00000000-0005-0000-0000-0000935D0000}"/>
    <cellStyle name="强调文字颜色 6 18 5 9" xfId="959" xr:uid="{00000000-0005-0000-0000-0000945D0000}"/>
    <cellStyle name="强调文字颜色 6 18 6" xfId="24310" xr:uid="{00000000-0005-0000-0000-0000955D0000}"/>
    <cellStyle name="强调文字颜色 6 18 6 2" xfId="21002" xr:uid="{00000000-0005-0000-0000-0000965D0000}"/>
    <cellStyle name="强调文字颜色 6 18 6 2 2" xfId="10607" xr:uid="{00000000-0005-0000-0000-0000975D0000}"/>
    <cellStyle name="强调文字颜色 6 18 6 2 3" xfId="10618" xr:uid="{00000000-0005-0000-0000-0000985D0000}"/>
    <cellStyle name="强调文字颜色 6 18 6 3" xfId="21015" xr:uid="{00000000-0005-0000-0000-0000995D0000}"/>
    <cellStyle name="强调文字颜色 6 18 6 4" xfId="21027" xr:uid="{00000000-0005-0000-0000-00009A5D0000}"/>
    <cellStyle name="强调文字颜色 6 18 6 5" xfId="21031" xr:uid="{00000000-0005-0000-0000-00009B5D0000}"/>
    <cellStyle name="强调文字颜色 6 18 6 6" xfId="21034" xr:uid="{00000000-0005-0000-0000-00009C5D0000}"/>
    <cellStyle name="强调文字颜色 6 18 6 7" xfId="14159" xr:uid="{00000000-0005-0000-0000-00009D5D0000}"/>
    <cellStyle name="强调文字颜色 6 18 6 8" xfId="14163" xr:uid="{00000000-0005-0000-0000-00009E5D0000}"/>
    <cellStyle name="强调文字颜色 6 18 7" xfId="23647" xr:uid="{00000000-0005-0000-0000-00009F5D0000}"/>
    <cellStyle name="强调文字颜色 6 18 8" xfId="23652" xr:uid="{00000000-0005-0000-0000-0000A05D0000}"/>
    <cellStyle name="强调文字颜色 6 18 9" xfId="23656" xr:uid="{00000000-0005-0000-0000-0000A15D0000}"/>
    <cellStyle name="强调文字颜色 6 18 9 2" xfId="21146" xr:uid="{00000000-0005-0000-0000-0000A25D0000}"/>
    <cellStyle name="强调文字颜色 6 18 9 3" xfId="21150" xr:uid="{00000000-0005-0000-0000-0000A35D0000}"/>
    <cellStyle name="强调文字颜色 6 19" xfId="8467" xr:uid="{00000000-0005-0000-0000-0000A45D0000}"/>
    <cellStyle name="强调文字颜色 6 2" xfId="25352" xr:uid="{00000000-0005-0000-0000-0000A55D0000}"/>
    <cellStyle name="强调文字颜色 6 2 10" xfId="30668" xr:uid="{00000000-0005-0000-0000-0000A65D0000}"/>
    <cellStyle name="强调文字颜色 6 2 11" xfId="30669" xr:uid="{00000000-0005-0000-0000-0000A75D0000}"/>
    <cellStyle name="强调文字颜色 6 2 12" xfId="30670" xr:uid="{00000000-0005-0000-0000-0000A85D0000}"/>
    <cellStyle name="强调文字颜色 6 2 13" xfId="30671" xr:uid="{00000000-0005-0000-0000-0000A95D0000}"/>
    <cellStyle name="强调文字颜色 6 2 14" xfId="30672" xr:uid="{00000000-0005-0000-0000-0000AA5D0000}"/>
    <cellStyle name="强调文字颜色 6 2 15" xfId="30673" xr:uid="{00000000-0005-0000-0000-0000AB5D0000}"/>
    <cellStyle name="强调文字颜色 6 2 16" xfId="30675" xr:uid="{00000000-0005-0000-0000-0000AC5D0000}"/>
    <cellStyle name="强调文字颜色 6 2 17" xfId="30676" xr:uid="{00000000-0005-0000-0000-0000AD5D0000}"/>
    <cellStyle name="强调文字颜色 6 2 17 10" xfId="30678" xr:uid="{00000000-0005-0000-0000-0000AE5D0000}"/>
    <cellStyle name="强调文字颜色 6 2 17 11" xfId="30679" xr:uid="{00000000-0005-0000-0000-0000AF5D0000}"/>
    <cellStyle name="强调文字颜色 6 2 17 12" xfId="30680" xr:uid="{00000000-0005-0000-0000-0000B05D0000}"/>
    <cellStyle name="强调文字颜色 6 2 17 13" xfId="26009" xr:uid="{00000000-0005-0000-0000-0000B15D0000}"/>
    <cellStyle name="强调文字颜色 6 2 17 14" xfId="30681" xr:uid="{00000000-0005-0000-0000-0000B25D0000}"/>
    <cellStyle name="强调文字颜色 6 2 17 2" xfId="30682" xr:uid="{00000000-0005-0000-0000-0000B35D0000}"/>
    <cellStyle name="强调文字颜色 6 2 17 3" xfId="30683" xr:uid="{00000000-0005-0000-0000-0000B45D0000}"/>
    <cellStyle name="强调文字颜色 6 2 17 4" xfId="20186" xr:uid="{00000000-0005-0000-0000-0000B55D0000}"/>
    <cellStyle name="强调文字颜色 6 2 17 5" xfId="20190" xr:uid="{00000000-0005-0000-0000-0000B65D0000}"/>
    <cellStyle name="强调文字颜色 6 2 17 5 10" xfId="30684" xr:uid="{00000000-0005-0000-0000-0000B75D0000}"/>
    <cellStyle name="强调文字颜色 6 2 17 5 11" xfId="20694" xr:uid="{00000000-0005-0000-0000-0000B85D0000}"/>
    <cellStyle name="强调文字颜色 6 2 17 5 2" xfId="30685" xr:uid="{00000000-0005-0000-0000-0000B95D0000}"/>
    <cellStyle name="强调文字颜色 6 2 17 5 2 2" xfId="30687" xr:uid="{00000000-0005-0000-0000-0000BA5D0000}"/>
    <cellStyle name="强调文字颜色 6 2 17 5 2 2 2" xfId="30688" xr:uid="{00000000-0005-0000-0000-0000BB5D0000}"/>
    <cellStyle name="强调文字颜色 6 2 17 5 2 2 3" xfId="30689" xr:uid="{00000000-0005-0000-0000-0000BC5D0000}"/>
    <cellStyle name="强调文字颜色 6 2 17 5 2 3" xfId="30691" xr:uid="{00000000-0005-0000-0000-0000BD5D0000}"/>
    <cellStyle name="强调文字颜色 6 2 17 5 2 4" xfId="30693" xr:uid="{00000000-0005-0000-0000-0000BE5D0000}"/>
    <cellStyle name="强调文字颜色 6 2 17 5 2 5" xfId="30695" xr:uid="{00000000-0005-0000-0000-0000BF5D0000}"/>
    <cellStyle name="强调文字颜色 6 2 17 5 2 6" xfId="30697" xr:uid="{00000000-0005-0000-0000-0000C05D0000}"/>
    <cellStyle name="强调文字颜色 6 2 17 5 2 7" xfId="18778" xr:uid="{00000000-0005-0000-0000-0000C15D0000}"/>
    <cellStyle name="强调文字颜色 6 2 17 5 2 8" xfId="18782" xr:uid="{00000000-0005-0000-0000-0000C25D0000}"/>
    <cellStyle name="强调文字颜色 6 2 17 5 3" xfId="30698" xr:uid="{00000000-0005-0000-0000-0000C35D0000}"/>
    <cellStyle name="强调文字颜色 6 2 17 5 4" xfId="30699" xr:uid="{00000000-0005-0000-0000-0000C45D0000}"/>
    <cellStyle name="强调文字颜色 6 2 17 5 5" xfId="30700" xr:uid="{00000000-0005-0000-0000-0000C55D0000}"/>
    <cellStyle name="强调文字颜色 6 2 17 5 6" xfId="30701" xr:uid="{00000000-0005-0000-0000-0000C65D0000}"/>
    <cellStyle name="强调文字颜色 6 2 17 5 6 2" xfId="25422" xr:uid="{00000000-0005-0000-0000-0000C75D0000}"/>
    <cellStyle name="强调文字颜色 6 2 17 5 6 3" xfId="30703" xr:uid="{00000000-0005-0000-0000-0000C85D0000}"/>
    <cellStyle name="强调文字颜色 6 2 17 5 7" xfId="30704" xr:uid="{00000000-0005-0000-0000-0000C95D0000}"/>
    <cellStyle name="强调文字颜色 6 2 17 5 8" xfId="30705" xr:uid="{00000000-0005-0000-0000-0000CA5D0000}"/>
    <cellStyle name="强调文字颜色 6 2 17 5 9" xfId="30706" xr:uid="{00000000-0005-0000-0000-0000CB5D0000}"/>
    <cellStyle name="强调文字颜色 6 2 17 6" xfId="22869" xr:uid="{00000000-0005-0000-0000-0000CC5D0000}"/>
    <cellStyle name="强调文字颜色 6 2 17 6 2" xfId="22998" xr:uid="{00000000-0005-0000-0000-0000CD5D0000}"/>
    <cellStyle name="强调文字颜色 6 2 17 6 2 2" xfId="1452" xr:uid="{00000000-0005-0000-0000-0000CE5D0000}"/>
    <cellStyle name="强调文字颜色 6 2 17 6 2 3" xfId="22782" xr:uid="{00000000-0005-0000-0000-0000CF5D0000}"/>
    <cellStyle name="强调文字颜色 6 2 17 6 3" xfId="23000" xr:uid="{00000000-0005-0000-0000-0000D05D0000}"/>
    <cellStyle name="强调文字颜色 6 2 17 6 4" xfId="23002" xr:uid="{00000000-0005-0000-0000-0000D15D0000}"/>
    <cellStyle name="强调文字颜色 6 2 17 6 5" xfId="23005" xr:uid="{00000000-0005-0000-0000-0000D25D0000}"/>
    <cellStyle name="强调文字颜色 6 2 17 6 6" xfId="30707" xr:uid="{00000000-0005-0000-0000-0000D35D0000}"/>
    <cellStyle name="强调文字颜色 6 2 17 6 7" xfId="30708" xr:uid="{00000000-0005-0000-0000-0000D45D0000}"/>
    <cellStyle name="强调文字颜色 6 2 17 6 8" xfId="30709" xr:uid="{00000000-0005-0000-0000-0000D55D0000}"/>
    <cellStyle name="强调文字颜色 6 2 17 7" xfId="22871" xr:uid="{00000000-0005-0000-0000-0000D65D0000}"/>
    <cellStyle name="强调文字颜色 6 2 17 8" xfId="22873" xr:uid="{00000000-0005-0000-0000-0000D75D0000}"/>
    <cellStyle name="强调文字颜色 6 2 17 9" xfId="20521" xr:uid="{00000000-0005-0000-0000-0000D85D0000}"/>
    <cellStyle name="强调文字颜色 6 2 17 9 2" xfId="30710" xr:uid="{00000000-0005-0000-0000-0000D95D0000}"/>
    <cellStyle name="强调文字颜色 6 2 17 9 3" xfId="30711" xr:uid="{00000000-0005-0000-0000-0000DA5D0000}"/>
    <cellStyle name="强调文字颜色 6 2 18" xfId="30712" xr:uid="{00000000-0005-0000-0000-0000DB5D0000}"/>
    <cellStyle name="强调文字颜色 6 2 18 10" xfId="30713" xr:uid="{00000000-0005-0000-0000-0000DC5D0000}"/>
    <cellStyle name="强调文字颜色 6 2 18 11" xfId="30714" xr:uid="{00000000-0005-0000-0000-0000DD5D0000}"/>
    <cellStyle name="强调文字颜色 6 2 18 12" xfId="30715" xr:uid="{00000000-0005-0000-0000-0000DE5D0000}"/>
    <cellStyle name="强调文字颜色 6 2 18 13" xfId="14882" xr:uid="{00000000-0005-0000-0000-0000DF5D0000}"/>
    <cellStyle name="强调文字颜色 6 2 18 14" xfId="14884" xr:uid="{00000000-0005-0000-0000-0000E05D0000}"/>
    <cellStyle name="强调文字颜色 6 2 18 2" xfId="19982" xr:uid="{00000000-0005-0000-0000-0000E15D0000}"/>
    <cellStyle name="强调文字颜色 6 2 18 3" xfId="24079" xr:uid="{00000000-0005-0000-0000-0000E25D0000}"/>
    <cellStyle name="强调文字颜色 6 2 18 4" xfId="24084" xr:uid="{00000000-0005-0000-0000-0000E35D0000}"/>
    <cellStyle name="强调文字颜色 6 2 18 5" xfId="30716" xr:uid="{00000000-0005-0000-0000-0000E45D0000}"/>
    <cellStyle name="强调文字颜色 6 2 18 5 10" xfId="30717" xr:uid="{00000000-0005-0000-0000-0000E55D0000}"/>
    <cellStyle name="强调文字颜色 6 2 18 5 11" xfId="19646" xr:uid="{00000000-0005-0000-0000-0000E65D0000}"/>
    <cellStyle name="强调文字颜色 6 2 18 5 2" xfId="30718" xr:uid="{00000000-0005-0000-0000-0000E75D0000}"/>
    <cellStyle name="强调文字颜色 6 2 18 5 2 2" xfId="30721" xr:uid="{00000000-0005-0000-0000-0000E85D0000}"/>
    <cellStyle name="强调文字颜色 6 2 18 5 2 2 2" xfId="7498" xr:uid="{00000000-0005-0000-0000-0000E95D0000}"/>
    <cellStyle name="强调文字颜色 6 2 18 5 2 2 3" xfId="7502" xr:uid="{00000000-0005-0000-0000-0000EA5D0000}"/>
    <cellStyle name="强调文字颜色 6 2 18 5 2 3" xfId="30723" xr:uid="{00000000-0005-0000-0000-0000EB5D0000}"/>
    <cellStyle name="强调文字颜色 6 2 18 5 2 4" xfId="30725" xr:uid="{00000000-0005-0000-0000-0000EC5D0000}"/>
    <cellStyle name="强调文字颜色 6 2 18 5 2 5" xfId="30727" xr:uid="{00000000-0005-0000-0000-0000ED5D0000}"/>
    <cellStyle name="强调文字颜色 6 2 18 5 2 6" xfId="30729" xr:uid="{00000000-0005-0000-0000-0000EE5D0000}"/>
    <cellStyle name="强调文字颜色 6 2 18 5 2 7" xfId="30730" xr:uid="{00000000-0005-0000-0000-0000EF5D0000}"/>
    <cellStyle name="强调文字颜色 6 2 18 5 2 8" xfId="30731" xr:uid="{00000000-0005-0000-0000-0000F05D0000}"/>
    <cellStyle name="强调文字颜色 6 2 18 5 3" xfId="30732" xr:uid="{00000000-0005-0000-0000-0000F15D0000}"/>
    <cellStyle name="强调文字颜色 6 2 18 5 4" xfId="30733" xr:uid="{00000000-0005-0000-0000-0000F25D0000}"/>
    <cellStyle name="强调文字颜色 6 2 18 5 5" xfId="30734" xr:uid="{00000000-0005-0000-0000-0000F35D0000}"/>
    <cellStyle name="强调文字颜色 6 2 18 5 6" xfId="24528" xr:uid="{00000000-0005-0000-0000-0000F45D0000}"/>
    <cellStyle name="强调文字颜色 6 2 18 5 6 2" xfId="30735" xr:uid="{00000000-0005-0000-0000-0000F55D0000}"/>
    <cellStyle name="强调文字颜色 6 2 18 5 6 3" xfId="30736" xr:uid="{00000000-0005-0000-0000-0000F65D0000}"/>
    <cellStyle name="强调文字颜色 6 2 18 5 7" xfId="24530" xr:uid="{00000000-0005-0000-0000-0000F75D0000}"/>
    <cellStyle name="强调文字颜色 6 2 18 5 8" xfId="24532" xr:uid="{00000000-0005-0000-0000-0000F85D0000}"/>
    <cellStyle name="强调文字颜色 6 2 18 5 9" xfId="24534" xr:uid="{00000000-0005-0000-0000-0000F95D0000}"/>
    <cellStyle name="强调文字颜色 6 2 18 6" xfId="30737" xr:uid="{00000000-0005-0000-0000-0000FA5D0000}"/>
    <cellStyle name="强调文字颜色 6 2 18 6 2" xfId="30738" xr:uid="{00000000-0005-0000-0000-0000FB5D0000}"/>
    <cellStyle name="强调文字颜色 6 2 18 6 2 2" xfId="30740" xr:uid="{00000000-0005-0000-0000-0000FC5D0000}"/>
    <cellStyle name="强调文字颜色 6 2 18 6 2 3" xfId="30742" xr:uid="{00000000-0005-0000-0000-0000FD5D0000}"/>
    <cellStyle name="强调文字颜色 6 2 18 6 3" xfId="30743" xr:uid="{00000000-0005-0000-0000-0000FE5D0000}"/>
    <cellStyle name="强调文字颜色 6 2 18 6 4" xfId="30744" xr:uid="{00000000-0005-0000-0000-0000FF5D0000}"/>
    <cellStyle name="强调文字颜色 6 2 18 6 5" xfId="30745" xr:uid="{00000000-0005-0000-0000-0000005E0000}"/>
    <cellStyle name="强调文字颜色 6 2 18 6 6" xfId="30746" xr:uid="{00000000-0005-0000-0000-0000015E0000}"/>
    <cellStyle name="强调文字颜色 6 2 18 6 7" xfId="30747" xr:uid="{00000000-0005-0000-0000-0000025E0000}"/>
    <cellStyle name="强调文字颜色 6 2 18 6 8" xfId="30748" xr:uid="{00000000-0005-0000-0000-0000035E0000}"/>
    <cellStyle name="强调文字颜色 6 2 18 7" xfId="30749" xr:uid="{00000000-0005-0000-0000-0000045E0000}"/>
    <cellStyle name="强调文字颜色 6 2 18 8" xfId="30750" xr:uid="{00000000-0005-0000-0000-0000055E0000}"/>
    <cellStyle name="强调文字颜色 6 2 18 9" xfId="30751" xr:uid="{00000000-0005-0000-0000-0000065E0000}"/>
    <cellStyle name="强调文字颜色 6 2 18 9 2" xfId="30752" xr:uid="{00000000-0005-0000-0000-0000075E0000}"/>
    <cellStyle name="强调文字颜色 6 2 18 9 3" xfId="30753" xr:uid="{00000000-0005-0000-0000-0000085E0000}"/>
    <cellStyle name="强调文字颜色 6 2 19" xfId="30754" xr:uid="{00000000-0005-0000-0000-0000095E0000}"/>
    <cellStyle name="强调文字颜色 6 2 19 10" xfId="30755" xr:uid="{00000000-0005-0000-0000-00000A5E0000}"/>
    <cellStyle name="强调文字颜色 6 2 19 11" xfId="30756" xr:uid="{00000000-0005-0000-0000-00000B5E0000}"/>
    <cellStyle name="强调文字颜色 6 2 19 12" xfId="30757" xr:uid="{00000000-0005-0000-0000-00000C5E0000}"/>
    <cellStyle name="强调文字颜色 6 2 19 13" xfId="30759" xr:uid="{00000000-0005-0000-0000-00000D5E0000}"/>
    <cellStyle name="强调文字颜色 6 2 19 14" xfId="30761" xr:uid="{00000000-0005-0000-0000-00000E5E0000}"/>
    <cellStyle name="强调文字颜色 6 2 19 2" xfId="30762" xr:uid="{00000000-0005-0000-0000-00000F5E0000}"/>
    <cellStyle name="强调文字颜色 6 2 19 3" xfId="30763" xr:uid="{00000000-0005-0000-0000-0000105E0000}"/>
    <cellStyle name="强调文字颜色 6 2 19 4" xfId="30764" xr:uid="{00000000-0005-0000-0000-0000115E0000}"/>
    <cellStyle name="强调文字颜色 6 2 19 5" xfId="30765" xr:uid="{00000000-0005-0000-0000-0000125E0000}"/>
    <cellStyle name="强调文字颜色 6 2 19 5 10" xfId="30766" xr:uid="{00000000-0005-0000-0000-0000135E0000}"/>
    <cellStyle name="强调文字颜色 6 2 19 5 11" xfId="6294" xr:uid="{00000000-0005-0000-0000-0000145E0000}"/>
    <cellStyle name="强调文字颜色 6 2 19 5 2" xfId="30767" xr:uid="{00000000-0005-0000-0000-0000155E0000}"/>
    <cellStyle name="强调文字颜色 6 2 19 5 2 2" xfId="30769" xr:uid="{00000000-0005-0000-0000-0000165E0000}"/>
    <cellStyle name="强调文字颜色 6 2 19 5 2 2 2" xfId="30770" xr:uid="{00000000-0005-0000-0000-0000175E0000}"/>
    <cellStyle name="强调文字颜色 6 2 19 5 2 2 3" xfId="30772" xr:uid="{00000000-0005-0000-0000-0000185E0000}"/>
    <cellStyle name="强调文字颜色 6 2 19 5 2 3" xfId="30775" xr:uid="{00000000-0005-0000-0000-0000195E0000}"/>
    <cellStyle name="强调文字颜色 6 2 19 5 2 4" xfId="30777" xr:uid="{00000000-0005-0000-0000-00001A5E0000}"/>
    <cellStyle name="强调文字颜色 6 2 19 5 2 5" xfId="30779" xr:uid="{00000000-0005-0000-0000-00001B5E0000}"/>
    <cellStyle name="强调文字颜色 6 2 19 5 2 6" xfId="24638" xr:uid="{00000000-0005-0000-0000-00001C5E0000}"/>
    <cellStyle name="强调文字颜色 6 2 19 5 2 7" xfId="30780" xr:uid="{00000000-0005-0000-0000-00001D5E0000}"/>
    <cellStyle name="强调文字颜色 6 2 19 5 2 8" xfId="30781" xr:uid="{00000000-0005-0000-0000-00001E5E0000}"/>
    <cellStyle name="强调文字颜色 6 2 19 5 3" xfId="30783" xr:uid="{00000000-0005-0000-0000-00001F5E0000}"/>
    <cellStyle name="强调文字颜色 6 2 19 5 4" xfId="29967" xr:uid="{00000000-0005-0000-0000-0000205E0000}"/>
    <cellStyle name="强调文字颜色 6 2 19 5 5" xfId="29969" xr:uid="{00000000-0005-0000-0000-0000215E0000}"/>
    <cellStyle name="强调文字颜色 6 2 19 5 6" xfId="29971" xr:uid="{00000000-0005-0000-0000-0000225E0000}"/>
    <cellStyle name="强调文字颜色 6 2 19 5 6 2" xfId="30784" xr:uid="{00000000-0005-0000-0000-0000235E0000}"/>
    <cellStyle name="强调文字颜色 6 2 19 5 6 3" xfId="30785" xr:uid="{00000000-0005-0000-0000-0000245E0000}"/>
    <cellStyle name="强调文字颜色 6 2 19 5 7" xfId="29973" xr:uid="{00000000-0005-0000-0000-0000255E0000}"/>
    <cellStyle name="强调文字颜色 6 2 19 5 8" xfId="29995" xr:uid="{00000000-0005-0000-0000-0000265E0000}"/>
    <cellStyle name="强调文字颜色 6 2 19 5 9" xfId="30015" xr:uid="{00000000-0005-0000-0000-0000275E0000}"/>
    <cellStyle name="强调文字颜色 6 2 19 6" xfId="30786" xr:uid="{00000000-0005-0000-0000-0000285E0000}"/>
    <cellStyle name="强调文字颜色 6 2 19 6 2" xfId="15821" xr:uid="{00000000-0005-0000-0000-0000295E0000}"/>
    <cellStyle name="强调文字颜色 6 2 19 6 2 2" xfId="5122" xr:uid="{00000000-0005-0000-0000-00002A5E0000}"/>
    <cellStyle name="强调文字颜色 6 2 19 6 2 3" xfId="15836" xr:uid="{00000000-0005-0000-0000-00002B5E0000}"/>
    <cellStyle name="强调文字颜色 6 2 19 6 3" xfId="15884" xr:uid="{00000000-0005-0000-0000-00002C5E0000}"/>
    <cellStyle name="强调文字颜色 6 2 19 6 4" xfId="15921" xr:uid="{00000000-0005-0000-0000-00002D5E0000}"/>
    <cellStyle name="强调文字颜色 6 2 19 6 5" xfId="30020" xr:uid="{00000000-0005-0000-0000-00002E5E0000}"/>
    <cellStyle name="强调文字颜色 6 2 19 6 6" xfId="30022" xr:uid="{00000000-0005-0000-0000-00002F5E0000}"/>
    <cellStyle name="强调文字颜色 6 2 19 6 7" xfId="30024" xr:uid="{00000000-0005-0000-0000-0000305E0000}"/>
    <cellStyle name="强调文字颜色 6 2 19 6 8" xfId="30050" xr:uid="{00000000-0005-0000-0000-0000315E0000}"/>
    <cellStyle name="强调文字颜色 6 2 19 7" xfId="30787" xr:uid="{00000000-0005-0000-0000-0000325E0000}"/>
    <cellStyle name="强调文字颜色 6 2 19 8" xfId="15376" xr:uid="{00000000-0005-0000-0000-0000335E0000}"/>
    <cellStyle name="强调文字颜色 6 2 19 9" xfId="10544" xr:uid="{00000000-0005-0000-0000-0000345E0000}"/>
    <cellStyle name="强调文字颜色 6 2 19 9 2" xfId="30788" xr:uid="{00000000-0005-0000-0000-0000355E0000}"/>
    <cellStyle name="强调文字颜色 6 2 19 9 3" xfId="30789" xr:uid="{00000000-0005-0000-0000-0000365E0000}"/>
    <cellStyle name="强调文字颜色 6 2 2" xfId="30790" xr:uid="{00000000-0005-0000-0000-0000375E0000}"/>
    <cellStyle name="强调文字颜色 6 2 2 10" xfId="30791" xr:uid="{00000000-0005-0000-0000-0000385E0000}"/>
    <cellStyle name="强调文字颜色 6 2 2 11" xfId="30792" xr:uid="{00000000-0005-0000-0000-0000395E0000}"/>
    <cellStyle name="强调文字颜色 6 2 2 12" xfId="25840" xr:uid="{00000000-0005-0000-0000-00003A5E0000}"/>
    <cellStyle name="强调文字颜色 6 2 2 13" xfId="23762" xr:uid="{00000000-0005-0000-0000-00003B5E0000}"/>
    <cellStyle name="强调文字颜色 6 2 2 14" xfId="23770" xr:uid="{00000000-0005-0000-0000-00003C5E0000}"/>
    <cellStyle name="强调文字颜色 6 2 2 2" xfId="1519" xr:uid="{00000000-0005-0000-0000-00003D5E0000}"/>
    <cellStyle name="强调文字颜色 6 2 2 3" xfId="30794" xr:uid="{00000000-0005-0000-0000-00003E5E0000}"/>
    <cellStyle name="强调文字颜色 6 2 2 4" xfId="30796" xr:uid="{00000000-0005-0000-0000-00003F5E0000}"/>
    <cellStyle name="强调文字颜色 6 2 2 5" xfId="25976" xr:uid="{00000000-0005-0000-0000-0000405E0000}"/>
    <cellStyle name="强调文字颜色 6 2 2 6" xfId="30798" xr:uid="{00000000-0005-0000-0000-0000415E0000}"/>
    <cellStyle name="强调文字颜色 6 2 2 7" xfId="30800" xr:uid="{00000000-0005-0000-0000-0000425E0000}"/>
    <cellStyle name="强调文字颜色 6 2 2 8" xfId="30802" xr:uid="{00000000-0005-0000-0000-0000435E0000}"/>
    <cellStyle name="强调文字颜色 6 2 2 9" xfId="30804" xr:uid="{00000000-0005-0000-0000-0000445E0000}"/>
    <cellStyle name="强调文字颜色 6 2 20" xfId="30674" xr:uid="{00000000-0005-0000-0000-0000455E0000}"/>
    <cellStyle name="强调文字颜色 6 2 20 10" xfId="30805" xr:uid="{00000000-0005-0000-0000-0000465E0000}"/>
    <cellStyle name="强调文字颜色 6 2 20 11" xfId="30806" xr:uid="{00000000-0005-0000-0000-0000475E0000}"/>
    <cellStyle name="强调文字颜色 6 2 20 12" xfId="25994" xr:uid="{00000000-0005-0000-0000-0000485E0000}"/>
    <cellStyle name="强调文字颜色 6 2 20 13" xfId="30807" xr:uid="{00000000-0005-0000-0000-0000495E0000}"/>
    <cellStyle name="强调文字颜色 6 2 20 14" xfId="30808" xr:uid="{00000000-0005-0000-0000-00004A5E0000}"/>
    <cellStyle name="强调文字颜色 6 2 20 2" xfId="20709" xr:uid="{00000000-0005-0000-0000-00004B5E0000}"/>
    <cellStyle name="强调文字颜色 6 2 20 3" xfId="30809" xr:uid="{00000000-0005-0000-0000-00004C5E0000}"/>
    <cellStyle name="强调文字颜色 6 2 20 4" xfId="30811" xr:uid="{00000000-0005-0000-0000-00004D5E0000}"/>
    <cellStyle name="强调文字颜色 6 2 20 5" xfId="30813" xr:uid="{00000000-0005-0000-0000-00004E5E0000}"/>
    <cellStyle name="强调文字颜色 6 2 20 5 10" xfId="30815" xr:uid="{00000000-0005-0000-0000-00004F5E0000}"/>
    <cellStyle name="强调文字颜色 6 2 20 5 11" xfId="30818" xr:uid="{00000000-0005-0000-0000-0000505E0000}"/>
    <cellStyle name="强调文字颜色 6 2 20 5 2" xfId="7605" xr:uid="{00000000-0005-0000-0000-0000515E0000}"/>
    <cellStyle name="强调文字颜色 6 2 20 5 2 2" xfId="17220" xr:uid="{00000000-0005-0000-0000-0000525E0000}"/>
    <cellStyle name="强调文字颜色 6 2 20 5 2 2 2" xfId="19922" xr:uid="{00000000-0005-0000-0000-0000535E0000}"/>
    <cellStyle name="强调文字颜色 6 2 20 5 2 2 3" xfId="19924" xr:uid="{00000000-0005-0000-0000-0000545E0000}"/>
    <cellStyle name="强调文字颜色 6 2 20 5 2 3" xfId="17223" xr:uid="{00000000-0005-0000-0000-0000555E0000}"/>
    <cellStyle name="强调文字颜色 6 2 20 5 2 4" xfId="19926" xr:uid="{00000000-0005-0000-0000-0000565E0000}"/>
    <cellStyle name="强调文字颜色 6 2 20 5 2 5" xfId="19929" xr:uid="{00000000-0005-0000-0000-0000575E0000}"/>
    <cellStyle name="强调文字颜色 6 2 20 5 2 6" xfId="30819" xr:uid="{00000000-0005-0000-0000-0000585E0000}"/>
    <cellStyle name="强调文字颜色 6 2 20 5 2 7" xfId="30820" xr:uid="{00000000-0005-0000-0000-0000595E0000}"/>
    <cellStyle name="强调文字颜色 6 2 20 5 2 8" xfId="30821" xr:uid="{00000000-0005-0000-0000-00005A5E0000}"/>
    <cellStyle name="强调文字颜色 6 2 20 5 3" xfId="7612" xr:uid="{00000000-0005-0000-0000-00005B5E0000}"/>
    <cellStyle name="强调文字颜色 6 2 20 5 4" xfId="6769" xr:uid="{00000000-0005-0000-0000-00005C5E0000}"/>
    <cellStyle name="强调文字颜色 6 2 20 5 5" xfId="6785" xr:uid="{00000000-0005-0000-0000-00005D5E0000}"/>
    <cellStyle name="强调文字颜色 6 2 20 5 6" xfId="7623" xr:uid="{00000000-0005-0000-0000-00005E5E0000}"/>
    <cellStyle name="强调文字颜色 6 2 20 5 6 2" xfId="30822" xr:uid="{00000000-0005-0000-0000-00005F5E0000}"/>
    <cellStyle name="强调文字颜色 6 2 20 5 6 3" xfId="30823" xr:uid="{00000000-0005-0000-0000-0000605E0000}"/>
    <cellStyle name="强调文字颜色 6 2 20 5 7" xfId="7634" xr:uid="{00000000-0005-0000-0000-0000615E0000}"/>
    <cellStyle name="强调文字颜色 6 2 20 5 8" xfId="18402" xr:uid="{00000000-0005-0000-0000-0000625E0000}"/>
    <cellStyle name="强调文字颜色 6 2 20 5 9" xfId="18405" xr:uid="{00000000-0005-0000-0000-0000635E0000}"/>
    <cellStyle name="强调文字颜色 6 2 20 6" xfId="30825" xr:uid="{00000000-0005-0000-0000-0000645E0000}"/>
    <cellStyle name="强调文字颜色 6 2 20 6 2" xfId="20756" xr:uid="{00000000-0005-0000-0000-0000655E0000}"/>
    <cellStyle name="强调文字颜色 6 2 20 6 2 2" xfId="19970" xr:uid="{00000000-0005-0000-0000-0000665E0000}"/>
    <cellStyle name="强调文字颜色 6 2 20 6 2 3" xfId="19976" xr:uid="{00000000-0005-0000-0000-0000675E0000}"/>
    <cellStyle name="强调文字颜色 6 2 20 6 3" xfId="22927" xr:uid="{00000000-0005-0000-0000-0000685E0000}"/>
    <cellStyle name="强调文字颜色 6 2 20 6 4" xfId="22929" xr:uid="{00000000-0005-0000-0000-0000695E0000}"/>
    <cellStyle name="强调文字颜色 6 2 20 6 5" xfId="22931" xr:uid="{00000000-0005-0000-0000-00006A5E0000}"/>
    <cellStyle name="强调文字颜色 6 2 20 6 6" xfId="30826" xr:uid="{00000000-0005-0000-0000-00006B5E0000}"/>
    <cellStyle name="强调文字颜色 6 2 20 6 7" xfId="25573" xr:uid="{00000000-0005-0000-0000-00006C5E0000}"/>
    <cellStyle name="强调文字颜色 6 2 20 6 8" xfId="30827" xr:uid="{00000000-0005-0000-0000-00006D5E0000}"/>
    <cellStyle name="强调文字颜色 6 2 20 7" xfId="30829" xr:uid="{00000000-0005-0000-0000-00006E5E0000}"/>
    <cellStyle name="强调文字颜色 6 2 20 8" xfId="30831" xr:uid="{00000000-0005-0000-0000-00006F5E0000}"/>
    <cellStyle name="强调文字颜色 6 2 20 9" xfId="30832" xr:uid="{00000000-0005-0000-0000-0000705E0000}"/>
    <cellStyle name="强调文字颜色 6 2 20 9 2" xfId="5007" xr:uid="{00000000-0005-0000-0000-0000715E0000}"/>
    <cellStyle name="强调文字颜色 6 2 20 9 3" xfId="29845" xr:uid="{00000000-0005-0000-0000-0000725E0000}"/>
    <cellStyle name="强调文字颜色 6 2 3" xfId="30833" xr:uid="{00000000-0005-0000-0000-0000735E0000}"/>
    <cellStyle name="强调文字颜色 6 2 3 10" xfId="30834" xr:uid="{00000000-0005-0000-0000-0000745E0000}"/>
    <cellStyle name="强调文字颜色 6 2 3 11" xfId="18662" xr:uid="{00000000-0005-0000-0000-0000755E0000}"/>
    <cellStyle name="强调文字颜色 6 2 3 12" xfId="18666" xr:uid="{00000000-0005-0000-0000-0000765E0000}"/>
    <cellStyle name="强调文字颜色 6 2 3 13" xfId="18670" xr:uid="{00000000-0005-0000-0000-0000775E0000}"/>
    <cellStyle name="强调文字颜色 6 2 3 14" xfId="18675" xr:uid="{00000000-0005-0000-0000-0000785E0000}"/>
    <cellStyle name="强调文字颜色 6 2 3 2" xfId="30836" xr:uid="{00000000-0005-0000-0000-0000795E0000}"/>
    <cellStyle name="强调文字颜色 6 2 3 3" xfId="30837" xr:uid="{00000000-0005-0000-0000-00007A5E0000}"/>
    <cellStyle name="强调文字颜色 6 2 3 4" xfId="30839" xr:uid="{00000000-0005-0000-0000-00007B5E0000}"/>
    <cellStyle name="强调文字颜色 6 2 3 5" xfId="30841" xr:uid="{00000000-0005-0000-0000-00007C5E0000}"/>
    <cellStyle name="强调文字颜色 6 2 3 6" xfId="25957" xr:uid="{00000000-0005-0000-0000-00007D5E0000}"/>
    <cellStyle name="强调文字颜色 6 2 3 7" xfId="30843" xr:uid="{00000000-0005-0000-0000-00007E5E0000}"/>
    <cellStyle name="强调文字颜色 6 2 3 8" xfId="30845" xr:uid="{00000000-0005-0000-0000-00007F5E0000}"/>
    <cellStyle name="强调文字颜色 6 2 3 9" xfId="30847" xr:uid="{00000000-0005-0000-0000-0000805E0000}"/>
    <cellStyle name="强调文字颜色 6 2 4" xfId="30848" xr:uid="{00000000-0005-0000-0000-0000815E0000}"/>
    <cellStyle name="强调文字颜色 6 2 4 10" xfId="30578" xr:uid="{00000000-0005-0000-0000-0000825E0000}"/>
    <cellStyle name="强调文字颜色 6 2 4 11" xfId="30580" xr:uid="{00000000-0005-0000-0000-0000835E0000}"/>
    <cellStyle name="强调文字颜色 6 2 4 12" xfId="30583" xr:uid="{00000000-0005-0000-0000-0000845E0000}"/>
    <cellStyle name="强调文字颜色 6 2 4 13" xfId="30586" xr:uid="{00000000-0005-0000-0000-0000855E0000}"/>
    <cellStyle name="强调文字颜色 6 2 4 14" xfId="30849" xr:uid="{00000000-0005-0000-0000-0000865E0000}"/>
    <cellStyle name="强调文字颜色 6 2 4 2" xfId="30850" xr:uid="{00000000-0005-0000-0000-0000875E0000}"/>
    <cellStyle name="强调文字颜色 6 2 4 3" xfId="30851" xr:uid="{00000000-0005-0000-0000-0000885E0000}"/>
    <cellStyle name="强调文字颜色 6 2 4 4" xfId="30852" xr:uid="{00000000-0005-0000-0000-0000895E0000}"/>
    <cellStyle name="强调文字颜色 6 2 4 5" xfId="30853" xr:uid="{00000000-0005-0000-0000-00008A5E0000}"/>
    <cellStyle name="强调文字颜色 6 2 4 6" xfId="30854" xr:uid="{00000000-0005-0000-0000-00008B5E0000}"/>
    <cellStyle name="强调文字颜色 6 2 4 7" xfId="30855" xr:uid="{00000000-0005-0000-0000-00008C5E0000}"/>
    <cellStyle name="强调文字颜色 6 2 4 8" xfId="30856" xr:uid="{00000000-0005-0000-0000-00008D5E0000}"/>
    <cellStyle name="强调文字颜色 6 2 4 9" xfId="30857" xr:uid="{00000000-0005-0000-0000-00008E5E0000}"/>
    <cellStyle name="强调文字颜色 6 2 5" xfId="30858" xr:uid="{00000000-0005-0000-0000-00008F5E0000}"/>
    <cellStyle name="强调文字颜色 6 2 6" xfId="30859" xr:uid="{00000000-0005-0000-0000-0000905E0000}"/>
    <cellStyle name="强调文字颜色 6 2 7" xfId="30860" xr:uid="{00000000-0005-0000-0000-0000915E0000}"/>
    <cellStyle name="强调文字颜色 6 2 8" xfId="30861" xr:uid="{00000000-0005-0000-0000-0000925E0000}"/>
    <cellStyle name="强调文字颜色 6 2 9" xfId="30862" xr:uid="{00000000-0005-0000-0000-0000935E0000}"/>
    <cellStyle name="强调文字颜色 6 3" xfId="877" xr:uid="{00000000-0005-0000-0000-0000945E0000}"/>
    <cellStyle name="强调文字颜色 6 3 10" xfId="30863" xr:uid="{00000000-0005-0000-0000-0000955E0000}"/>
    <cellStyle name="强调文字颜色 6 3 11" xfId="30864" xr:uid="{00000000-0005-0000-0000-0000965E0000}"/>
    <cellStyle name="强调文字颜色 6 3 12" xfId="30865" xr:uid="{00000000-0005-0000-0000-0000975E0000}"/>
    <cellStyle name="强调文字颜色 6 3 13" xfId="30866" xr:uid="{00000000-0005-0000-0000-0000985E0000}"/>
    <cellStyle name="强调文字颜色 6 3 14" xfId="30867" xr:uid="{00000000-0005-0000-0000-0000995E0000}"/>
    <cellStyle name="强调文字颜色 6 3 15" xfId="30524" xr:uid="{00000000-0005-0000-0000-00009A5E0000}"/>
    <cellStyle name="强调文字颜色 6 3 16" xfId="30529" xr:uid="{00000000-0005-0000-0000-00009B5E0000}"/>
    <cellStyle name="强调文字颜色 6 3 17" xfId="30531" xr:uid="{00000000-0005-0000-0000-00009C5E0000}"/>
    <cellStyle name="强调文字颜色 6 3 17 10" xfId="18807" xr:uid="{00000000-0005-0000-0000-00009D5E0000}"/>
    <cellStyle name="强调文字颜色 6 3 17 11" xfId="18809" xr:uid="{00000000-0005-0000-0000-00009E5E0000}"/>
    <cellStyle name="强调文字颜色 6 3 17 12" xfId="18813" xr:uid="{00000000-0005-0000-0000-00009F5E0000}"/>
    <cellStyle name="强调文字颜色 6 3 17 13" xfId="18817" xr:uid="{00000000-0005-0000-0000-0000A05E0000}"/>
    <cellStyle name="强调文字颜色 6 3 17 14" xfId="24404" xr:uid="{00000000-0005-0000-0000-0000A15E0000}"/>
    <cellStyle name="强调文字颜色 6 3 17 2" xfId="19349" xr:uid="{00000000-0005-0000-0000-0000A25E0000}"/>
    <cellStyle name="强调文字颜色 6 3 17 2 2" xfId="30868" xr:uid="{00000000-0005-0000-0000-0000A35E0000}"/>
    <cellStyle name="强调文字颜色 6 3 17 3" xfId="19351" xr:uid="{00000000-0005-0000-0000-0000A45E0000}"/>
    <cellStyle name="强调文字颜色 6 3 17 4" xfId="30869" xr:uid="{00000000-0005-0000-0000-0000A55E0000}"/>
    <cellStyle name="强调文字颜色 6 3 17 5" xfId="30870" xr:uid="{00000000-0005-0000-0000-0000A65E0000}"/>
    <cellStyle name="强调文字颜色 6 3 17 5 10" xfId="30871" xr:uid="{00000000-0005-0000-0000-0000A75E0000}"/>
    <cellStyle name="强调文字颜色 6 3 17 5 11" xfId="16601" xr:uid="{00000000-0005-0000-0000-0000A85E0000}"/>
    <cellStyle name="强调文字颜色 6 3 17 5 2" xfId="30873" xr:uid="{00000000-0005-0000-0000-0000A95E0000}"/>
    <cellStyle name="强调文字颜色 6 3 17 5 2 2" xfId="30874" xr:uid="{00000000-0005-0000-0000-0000AA5E0000}"/>
    <cellStyle name="强调文字颜色 6 3 17 5 2 2 2" xfId="5529" xr:uid="{00000000-0005-0000-0000-0000AB5E0000}"/>
    <cellStyle name="强调文字颜色 6 3 17 5 2 2 3" xfId="2233" xr:uid="{00000000-0005-0000-0000-0000AC5E0000}"/>
    <cellStyle name="强调文字颜色 6 3 17 5 2 3" xfId="30632" xr:uid="{00000000-0005-0000-0000-0000AD5E0000}"/>
    <cellStyle name="强调文字颜色 6 3 17 5 2 4" xfId="30634" xr:uid="{00000000-0005-0000-0000-0000AE5E0000}"/>
    <cellStyle name="强调文字颜色 6 3 17 5 2 5" xfId="30636" xr:uid="{00000000-0005-0000-0000-0000AF5E0000}"/>
    <cellStyle name="强调文字颜色 6 3 17 5 2 6" xfId="30638" xr:uid="{00000000-0005-0000-0000-0000B05E0000}"/>
    <cellStyle name="强调文字颜色 6 3 17 5 2 7" xfId="19776" xr:uid="{00000000-0005-0000-0000-0000B15E0000}"/>
    <cellStyle name="强调文字颜色 6 3 17 5 2 8" xfId="19789" xr:uid="{00000000-0005-0000-0000-0000B25E0000}"/>
    <cellStyle name="强调文字颜色 6 3 17 5 3" xfId="30875" xr:uid="{00000000-0005-0000-0000-0000B35E0000}"/>
    <cellStyle name="强调文字颜色 6 3 17 5 4" xfId="30876" xr:uid="{00000000-0005-0000-0000-0000B45E0000}"/>
    <cellStyle name="强调文字颜色 6 3 17 5 5" xfId="30877" xr:uid="{00000000-0005-0000-0000-0000B55E0000}"/>
    <cellStyle name="强调文字颜色 6 3 17 5 6" xfId="30878" xr:uid="{00000000-0005-0000-0000-0000B65E0000}"/>
    <cellStyle name="强调文字颜色 6 3 17 5 6 2" xfId="30879" xr:uid="{00000000-0005-0000-0000-0000B75E0000}"/>
    <cellStyle name="强调文字颜色 6 3 17 5 6 3" xfId="30880" xr:uid="{00000000-0005-0000-0000-0000B85E0000}"/>
    <cellStyle name="强调文字颜色 6 3 17 5 7" xfId="30881" xr:uid="{00000000-0005-0000-0000-0000B95E0000}"/>
    <cellStyle name="强调文字颜色 6 3 17 5 8" xfId="25523" xr:uid="{00000000-0005-0000-0000-0000BA5E0000}"/>
    <cellStyle name="强调文字颜色 6 3 17 5 9" xfId="30882" xr:uid="{00000000-0005-0000-0000-0000BB5E0000}"/>
    <cellStyle name="强调文字颜色 6 3 17 6" xfId="30883" xr:uid="{00000000-0005-0000-0000-0000BC5E0000}"/>
    <cellStyle name="强调文字颜色 6 3 17 6 2" xfId="6052" xr:uid="{00000000-0005-0000-0000-0000BD5E0000}"/>
    <cellStyle name="强调文字颜色 6 3 17 6 2 2" xfId="4192" xr:uid="{00000000-0005-0000-0000-0000BE5E0000}"/>
    <cellStyle name="强调文字颜色 6 3 17 6 2 3" xfId="21752" xr:uid="{00000000-0005-0000-0000-0000BF5E0000}"/>
    <cellStyle name="强调文字颜色 6 3 17 6 3" xfId="6059" xr:uid="{00000000-0005-0000-0000-0000C05E0000}"/>
    <cellStyle name="强调文字颜色 6 3 17 6 4" xfId="6065" xr:uid="{00000000-0005-0000-0000-0000C15E0000}"/>
    <cellStyle name="强调文字颜色 6 3 17 6 5" xfId="1890" xr:uid="{00000000-0005-0000-0000-0000C25E0000}"/>
    <cellStyle name="强调文字颜色 6 3 17 6 6" xfId="1909" xr:uid="{00000000-0005-0000-0000-0000C35E0000}"/>
    <cellStyle name="强调文字颜色 6 3 17 6 7" xfId="1935" xr:uid="{00000000-0005-0000-0000-0000C45E0000}"/>
    <cellStyle name="强调文字颜色 6 3 17 6 8" xfId="30885" xr:uid="{00000000-0005-0000-0000-0000C55E0000}"/>
    <cellStyle name="强调文字颜色 6 3 17 7" xfId="30886" xr:uid="{00000000-0005-0000-0000-0000C65E0000}"/>
    <cellStyle name="强调文字颜色 6 3 17 8" xfId="825" xr:uid="{00000000-0005-0000-0000-0000C75E0000}"/>
    <cellStyle name="强调文字颜色 6 3 17 9" xfId="858" xr:uid="{00000000-0005-0000-0000-0000C85E0000}"/>
    <cellStyle name="强调文字颜色 6 3 17 9 2" xfId="28618" xr:uid="{00000000-0005-0000-0000-0000C95E0000}"/>
    <cellStyle name="强调文字颜色 6 3 17 9 3" xfId="28621" xr:uid="{00000000-0005-0000-0000-0000CA5E0000}"/>
    <cellStyle name="强调文字颜色 6 3 18" xfId="30533" xr:uid="{00000000-0005-0000-0000-0000CB5E0000}"/>
    <cellStyle name="强调文字颜色 6 3 18 10" xfId="18830" xr:uid="{00000000-0005-0000-0000-0000CC5E0000}"/>
    <cellStyle name="强调文字颜色 6 3 18 11" xfId="18832" xr:uid="{00000000-0005-0000-0000-0000CD5E0000}"/>
    <cellStyle name="强调文字颜色 6 3 18 12" xfId="18834" xr:uid="{00000000-0005-0000-0000-0000CE5E0000}"/>
    <cellStyle name="强调文字颜色 6 3 18 13" xfId="18837" xr:uid="{00000000-0005-0000-0000-0000CF5E0000}"/>
    <cellStyle name="强调文字颜色 6 3 18 14" xfId="24957" xr:uid="{00000000-0005-0000-0000-0000D05E0000}"/>
    <cellStyle name="强调文字颜色 6 3 18 2" xfId="30888" xr:uid="{00000000-0005-0000-0000-0000D15E0000}"/>
    <cellStyle name="强调文字颜色 6 3 18 3" xfId="30890" xr:uid="{00000000-0005-0000-0000-0000D25E0000}"/>
    <cellStyle name="强调文字颜色 6 3 18 4" xfId="30891" xr:uid="{00000000-0005-0000-0000-0000D35E0000}"/>
    <cellStyle name="强调文字颜色 6 3 18 5" xfId="30892" xr:uid="{00000000-0005-0000-0000-0000D45E0000}"/>
    <cellStyle name="强调文字颜色 6 3 18 5 10" xfId="30893" xr:uid="{00000000-0005-0000-0000-0000D55E0000}"/>
    <cellStyle name="强调文字颜色 6 3 18 5 11" xfId="16822" xr:uid="{00000000-0005-0000-0000-0000D65E0000}"/>
    <cellStyle name="强调文字颜色 6 3 18 5 2" xfId="30895" xr:uid="{00000000-0005-0000-0000-0000D75E0000}"/>
    <cellStyle name="强调文字颜色 6 3 18 5 2 2" xfId="30897" xr:uid="{00000000-0005-0000-0000-0000D85E0000}"/>
    <cellStyle name="强调文字颜色 6 3 18 5 2 2 2" xfId="7866" xr:uid="{00000000-0005-0000-0000-0000D95E0000}"/>
    <cellStyle name="强调文字颜色 6 3 18 5 2 2 3" xfId="10286" xr:uid="{00000000-0005-0000-0000-0000DA5E0000}"/>
    <cellStyle name="强调文字颜色 6 3 18 5 2 3" xfId="30898" xr:uid="{00000000-0005-0000-0000-0000DB5E0000}"/>
    <cellStyle name="强调文字颜色 6 3 18 5 2 4" xfId="30899" xr:uid="{00000000-0005-0000-0000-0000DC5E0000}"/>
    <cellStyle name="强调文字颜色 6 3 18 5 2 5" xfId="30900" xr:uid="{00000000-0005-0000-0000-0000DD5E0000}"/>
    <cellStyle name="强调文字颜色 6 3 18 5 2 6" xfId="30901" xr:uid="{00000000-0005-0000-0000-0000DE5E0000}"/>
    <cellStyle name="强调文字颜色 6 3 18 5 2 7" xfId="30902" xr:uid="{00000000-0005-0000-0000-0000DF5E0000}"/>
    <cellStyle name="强调文字颜色 6 3 18 5 2 8" xfId="28761" xr:uid="{00000000-0005-0000-0000-0000E05E0000}"/>
    <cellStyle name="强调文字颜色 6 3 18 5 3" xfId="30904" xr:uid="{00000000-0005-0000-0000-0000E15E0000}"/>
    <cellStyle name="强调文字颜色 6 3 18 5 4" xfId="30906" xr:uid="{00000000-0005-0000-0000-0000E25E0000}"/>
    <cellStyle name="强调文字颜色 6 3 18 5 5" xfId="30908" xr:uid="{00000000-0005-0000-0000-0000E35E0000}"/>
    <cellStyle name="强调文字颜色 6 3 18 5 6" xfId="30910" xr:uid="{00000000-0005-0000-0000-0000E45E0000}"/>
    <cellStyle name="强调文字颜色 6 3 18 5 6 2" xfId="30911" xr:uid="{00000000-0005-0000-0000-0000E55E0000}"/>
    <cellStyle name="强调文字颜色 6 3 18 5 6 3" xfId="30912" xr:uid="{00000000-0005-0000-0000-0000E65E0000}"/>
    <cellStyle name="强调文字颜色 6 3 18 5 7" xfId="30914" xr:uid="{00000000-0005-0000-0000-0000E75E0000}"/>
    <cellStyle name="强调文字颜色 6 3 18 5 8" xfId="30915" xr:uid="{00000000-0005-0000-0000-0000E85E0000}"/>
    <cellStyle name="强调文字颜色 6 3 18 5 9" xfId="30916" xr:uid="{00000000-0005-0000-0000-0000E95E0000}"/>
    <cellStyle name="强调文字颜色 6 3 18 6" xfId="30917" xr:uid="{00000000-0005-0000-0000-0000EA5E0000}"/>
    <cellStyle name="强调文字颜色 6 3 18 6 2" xfId="30919" xr:uid="{00000000-0005-0000-0000-0000EB5E0000}"/>
    <cellStyle name="强调文字颜色 6 3 18 6 2 2" xfId="30922" xr:uid="{00000000-0005-0000-0000-0000EC5E0000}"/>
    <cellStyle name="强调文字颜色 6 3 18 6 2 3" xfId="30925" xr:uid="{00000000-0005-0000-0000-0000ED5E0000}"/>
    <cellStyle name="强调文字颜色 6 3 18 6 3" xfId="20806" xr:uid="{00000000-0005-0000-0000-0000EE5E0000}"/>
    <cellStyle name="强调文字颜色 6 3 18 6 4" xfId="20809" xr:uid="{00000000-0005-0000-0000-0000EF5E0000}"/>
    <cellStyle name="强调文字颜色 6 3 18 6 5" xfId="20812" xr:uid="{00000000-0005-0000-0000-0000F05E0000}"/>
    <cellStyle name="强调文字颜色 6 3 18 6 6" xfId="20815" xr:uid="{00000000-0005-0000-0000-0000F15E0000}"/>
    <cellStyle name="强调文字颜色 6 3 18 6 7" xfId="20817" xr:uid="{00000000-0005-0000-0000-0000F25E0000}"/>
    <cellStyle name="强调文字颜色 6 3 18 6 8" xfId="30926" xr:uid="{00000000-0005-0000-0000-0000F35E0000}"/>
    <cellStyle name="强调文字颜色 6 3 18 7" xfId="30927" xr:uid="{00000000-0005-0000-0000-0000F45E0000}"/>
    <cellStyle name="强调文字颜色 6 3 18 8" xfId="30928" xr:uid="{00000000-0005-0000-0000-0000F55E0000}"/>
    <cellStyle name="强调文字颜色 6 3 18 9" xfId="30929" xr:uid="{00000000-0005-0000-0000-0000F65E0000}"/>
    <cellStyle name="强调文字颜色 6 3 18 9 2" xfId="30930" xr:uid="{00000000-0005-0000-0000-0000F75E0000}"/>
    <cellStyle name="强调文字颜色 6 3 18 9 3" xfId="30116" xr:uid="{00000000-0005-0000-0000-0000F85E0000}"/>
    <cellStyle name="强调文字颜色 6 3 19" xfId="30535" xr:uid="{00000000-0005-0000-0000-0000F95E0000}"/>
    <cellStyle name="强调文字颜色 6 3 19 10" xfId="30931" xr:uid="{00000000-0005-0000-0000-0000FA5E0000}"/>
    <cellStyle name="强调文字颜色 6 3 19 11" xfId="30934" xr:uid="{00000000-0005-0000-0000-0000FB5E0000}"/>
    <cellStyle name="强调文字颜色 6 3 19 12" xfId="30936" xr:uid="{00000000-0005-0000-0000-0000FC5E0000}"/>
    <cellStyle name="强调文字颜色 6 3 19 13" xfId="30938" xr:uid="{00000000-0005-0000-0000-0000FD5E0000}"/>
    <cellStyle name="强调文字颜色 6 3 19 14" xfId="30939" xr:uid="{00000000-0005-0000-0000-0000FE5E0000}"/>
    <cellStyle name="强调文字颜色 6 3 19 2" xfId="30941" xr:uid="{00000000-0005-0000-0000-0000FF5E0000}"/>
    <cellStyle name="强调文字颜色 6 3 19 3" xfId="30942" xr:uid="{00000000-0005-0000-0000-0000005F0000}"/>
    <cellStyle name="强调文字颜色 6 3 19 4" xfId="30943" xr:uid="{00000000-0005-0000-0000-0000015F0000}"/>
    <cellStyle name="强调文字颜色 6 3 19 5" xfId="30944" xr:uid="{00000000-0005-0000-0000-0000025F0000}"/>
    <cellStyle name="强调文字颜色 6 3 19 5 10" xfId="30945" xr:uid="{00000000-0005-0000-0000-0000035F0000}"/>
    <cellStyle name="强调文字颜色 6 3 19 5 11" xfId="17066" xr:uid="{00000000-0005-0000-0000-0000045F0000}"/>
    <cellStyle name="强调文字颜色 6 3 19 5 2" xfId="30459" xr:uid="{00000000-0005-0000-0000-0000055F0000}"/>
    <cellStyle name="强调文字颜色 6 3 19 5 2 2" xfId="25521" xr:uid="{00000000-0005-0000-0000-0000065F0000}"/>
    <cellStyle name="强调文字颜色 6 3 19 5 2 2 2" xfId="30946" xr:uid="{00000000-0005-0000-0000-0000075F0000}"/>
    <cellStyle name="强调文字颜色 6 3 19 5 2 2 3" xfId="30947" xr:uid="{00000000-0005-0000-0000-0000085F0000}"/>
    <cellStyle name="强调文字颜色 6 3 19 5 2 3" xfId="29912" xr:uid="{00000000-0005-0000-0000-0000095F0000}"/>
    <cellStyle name="强调文字颜色 6 3 19 5 2 4" xfId="29929" xr:uid="{00000000-0005-0000-0000-00000A5F0000}"/>
    <cellStyle name="强调文字颜色 6 3 19 5 2 5" xfId="29940" xr:uid="{00000000-0005-0000-0000-00000B5F0000}"/>
    <cellStyle name="强调文字颜色 6 3 19 5 2 6" xfId="29942" xr:uid="{00000000-0005-0000-0000-00000C5F0000}"/>
    <cellStyle name="强调文字颜色 6 3 19 5 2 7" xfId="29944" xr:uid="{00000000-0005-0000-0000-00000D5F0000}"/>
    <cellStyle name="强调文字颜色 6 3 19 5 2 8" xfId="26783" xr:uid="{00000000-0005-0000-0000-00000E5F0000}"/>
    <cellStyle name="强调文字颜色 6 3 19 5 3" xfId="19234" xr:uid="{00000000-0005-0000-0000-00000F5F0000}"/>
    <cellStyle name="强调文字颜色 6 3 19 5 4" xfId="22353" xr:uid="{00000000-0005-0000-0000-0000105F0000}"/>
    <cellStyle name="强调文字颜色 6 3 19 5 5" xfId="22356" xr:uid="{00000000-0005-0000-0000-0000115F0000}"/>
    <cellStyle name="强调文字颜色 6 3 19 5 6" xfId="22359" xr:uid="{00000000-0005-0000-0000-0000125F0000}"/>
    <cellStyle name="强调文字颜色 6 3 19 5 6 2" xfId="29952" xr:uid="{00000000-0005-0000-0000-0000135F0000}"/>
    <cellStyle name="强调文字颜色 6 3 19 5 6 3" xfId="29954" xr:uid="{00000000-0005-0000-0000-0000145F0000}"/>
    <cellStyle name="强调文字颜色 6 3 19 5 7" xfId="22362" xr:uid="{00000000-0005-0000-0000-0000155F0000}"/>
    <cellStyle name="强调文字颜色 6 3 19 5 8" xfId="22365" xr:uid="{00000000-0005-0000-0000-0000165F0000}"/>
    <cellStyle name="强调文字颜色 6 3 19 5 9" xfId="22368" xr:uid="{00000000-0005-0000-0000-0000175F0000}"/>
    <cellStyle name="强调文字颜色 6 3 19 6" xfId="30948" xr:uid="{00000000-0005-0000-0000-0000185F0000}"/>
    <cellStyle name="强调文字颜色 6 3 19 6 2" xfId="23414" xr:uid="{00000000-0005-0000-0000-0000195F0000}"/>
    <cellStyle name="强调文字颜色 6 3 19 6 2 2" xfId="14658" xr:uid="{00000000-0005-0000-0000-00001A5F0000}"/>
    <cellStyle name="强调文字颜色 6 3 19 6 2 3" xfId="15115" xr:uid="{00000000-0005-0000-0000-00001B5F0000}"/>
    <cellStyle name="强调文字颜色 6 3 19 6 3" xfId="30951" xr:uid="{00000000-0005-0000-0000-00001C5F0000}"/>
    <cellStyle name="强调文字颜色 6 3 19 6 4" xfId="30954" xr:uid="{00000000-0005-0000-0000-00001D5F0000}"/>
    <cellStyle name="强调文字颜色 6 3 19 6 5" xfId="30956" xr:uid="{00000000-0005-0000-0000-00001E5F0000}"/>
    <cellStyle name="强调文字颜色 6 3 19 6 6" xfId="30958" xr:uid="{00000000-0005-0000-0000-00001F5F0000}"/>
    <cellStyle name="强调文字颜色 6 3 19 6 7" xfId="30959" xr:uid="{00000000-0005-0000-0000-0000205F0000}"/>
    <cellStyle name="强调文字颜色 6 3 19 6 8" xfId="30960" xr:uid="{00000000-0005-0000-0000-0000215F0000}"/>
    <cellStyle name="强调文字颜色 6 3 19 7" xfId="30961" xr:uid="{00000000-0005-0000-0000-0000225F0000}"/>
    <cellStyle name="强调文字颜色 6 3 19 8" xfId="30962" xr:uid="{00000000-0005-0000-0000-0000235F0000}"/>
    <cellStyle name="强调文字颜色 6 3 19 9" xfId="30963" xr:uid="{00000000-0005-0000-0000-0000245F0000}"/>
    <cellStyle name="强调文字颜色 6 3 19 9 2" xfId="30964" xr:uid="{00000000-0005-0000-0000-0000255F0000}"/>
    <cellStyle name="强调文字颜色 6 3 19 9 3" xfId="22374" xr:uid="{00000000-0005-0000-0000-0000265F0000}"/>
    <cellStyle name="强调文字颜色 6 3 2" xfId="30966" xr:uid="{00000000-0005-0000-0000-0000275F0000}"/>
    <cellStyle name="强调文字颜色 6 3 2 10" xfId="30968" xr:uid="{00000000-0005-0000-0000-0000285F0000}"/>
    <cellStyle name="强调文字颜色 6 3 2 11" xfId="30971" xr:uid="{00000000-0005-0000-0000-0000295F0000}"/>
    <cellStyle name="强调文字颜色 6 3 2 12" xfId="30974" xr:uid="{00000000-0005-0000-0000-00002A5F0000}"/>
    <cellStyle name="强调文字颜色 6 3 2 13" xfId="26005" xr:uid="{00000000-0005-0000-0000-00002B5F0000}"/>
    <cellStyle name="强调文字颜色 6 3 2 14" xfId="30977" xr:uid="{00000000-0005-0000-0000-00002C5F0000}"/>
    <cellStyle name="强调文字颜色 6 3 2 2" xfId="30978" xr:uid="{00000000-0005-0000-0000-00002D5F0000}"/>
    <cellStyle name="强调文字颜色 6 3 2 3" xfId="30979" xr:uid="{00000000-0005-0000-0000-00002E5F0000}"/>
    <cellStyle name="强调文字颜色 6 3 2 4" xfId="30980" xr:uid="{00000000-0005-0000-0000-00002F5F0000}"/>
    <cellStyle name="强调文字颜色 6 3 2 5" xfId="16041" xr:uid="{00000000-0005-0000-0000-0000305F0000}"/>
    <cellStyle name="强调文字颜色 6 3 2 6" xfId="16043" xr:uid="{00000000-0005-0000-0000-0000315F0000}"/>
    <cellStyle name="强调文字颜色 6 3 2 7" xfId="15377" xr:uid="{00000000-0005-0000-0000-0000325F0000}"/>
    <cellStyle name="强调文字颜色 6 3 2 8" xfId="10546" xr:uid="{00000000-0005-0000-0000-0000335F0000}"/>
    <cellStyle name="强调文字颜色 6 3 2 9" xfId="10549" xr:uid="{00000000-0005-0000-0000-0000345F0000}"/>
    <cellStyle name="强调文字颜色 6 3 20" xfId="30525" xr:uid="{00000000-0005-0000-0000-0000355F0000}"/>
    <cellStyle name="强调文字颜色 6 3 20 10" xfId="30982" xr:uid="{00000000-0005-0000-0000-0000365F0000}"/>
    <cellStyle name="强调文字颜色 6 3 20 11" xfId="30984" xr:uid="{00000000-0005-0000-0000-0000375F0000}"/>
    <cellStyle name="强调文字颜色 6 3 20 12" xfId="30986" xr:uid="{00000000-0005-0000-0000-0000385F0000}"/>
    <cellStyle name="强调文字颜色 6 3 20 13" xfId="30988" xr:uid="{00000000-0005-0000-0000-0000395F0000}"/>
    <cellStyle name="强调文字颜色 6 3 20 14" xfId="30990" xr:uid="{00000000-0005-0000-0000-00003A5F0000}"/>
    <cellStyle name="强调文字颜色 6 3 20 2" xfId="25667" xr:uid="{00000000-0005-0000-0000-00003B5F0000}"/>
    <cellStyle name="强调文字颜色 6 3 20 3" xfId="30527" xr:uid="{00000000-0005-0000-0000-00003C5F0000}"/>
    <cellStyle name="强调文字颜色 6 3 20 4" xfId="30992" xr:uid="{00000000-0005-0000-0000-00003D5F0000}"/>
    <cellStyle name="强调文字颜色 6 3 20 5" xfId="30994" xr:uid="{00000000-0005-0000-0000-00003E5F0000}"/>
    <cellStyle name="强调文字颜色 6 3 20 5 10" xfId="4020" xr:uid="{00000000-0005-0000-0000-00003F5F0000}"/>
    <cellStyle name="强调文字颜色 6 3 20 5 11" xfId="4029" xr:uid="{00000000-0005-0000-0000-0000405F0000}"/>
    <cellStyle name="强调文字颜色 6 3 20 5 2" xfId="30538" xr:uid="{00000000-0005-0000-0000-0000415F0000}"/>
    <cellStyle name="强调文字颜色 6 3 20 5 2 2" xfId="30995" xr:uid="{00000000-0005-0000-0000-0000425F0000}"/>
    <cellStyle name="强调文字颜色 6 3 20 5 2 2 2" xfId="30996" xr:uid="{00000000-0005-0000-0000-0000435F0000}"/>
    <cellStyle name="强调文字颜色 6 3 20 5 2 2 3" xfId="30997" xr:uid="{00000000-0005-0000-0000-0000445F0000}"/>
    <cellStyle name="强调文字颜色 6 3 20 5 2 3" xfId="29496" xr:uid="{00000000-0005-0000-0000-0000455F0000}"/>
    <cellStyle name="强调文字颜色 6 3 20 5 2 4" xfId="29498" xr:uid="{00000000-0005-0000-0000-0000465F0000}"/>
    <cellStyle name="强调文字颜色 6 3 20 5 2 5" xfId="24491" xr:uid="{00000000-0005-0000-0000-0000475F0000}"/>
    <cellStyle name="强调文字颜色 6 3 20 5 2 6" xfId="29500" xr:uid="{00000000-0005-0000-0000-0000485F0000}"/>
    <cellStyle name="强调文字颜色 6 3 20 5 2 7" xfId="29502" xr:uid="{00000000-0005-0000-0000-0000495F0000}"/>
    <cellStyle name="强调文字颜色 6 3 20 5 2 8" xfId="30998" xr:uid="{00000000-0005-0000-0000-00004A5F0000}"/>
    <cellStyle name="强调文字颜色 6 3 20 5 3" xfId="30540" xr:uid="{00000000-0005-0000-0000-00004B5F0000}"/>
    <cellStyle name="强调文字颜色 6 3 20 5 4" xfId="30542" xr:uid="{00000000-0005-0000-0000-00004C5F0000}"/>
    <cellStyle name="强调文字颜色 6 3 20 5 5" xfId="30999" xr:uid="{00000000-0005-0000-0000-00004D5F0000}"/>
    <cellStyle name="强调文字颜色 6 3 20 5 6" xfId="31000" xr:uid="{00000000-0005-0000-0000-00004E5F0000}"/>
    <cellStyle name="强调文字颜色 6 3 20 5 6 2" xfId="31001" xr:uid="{00000000-0005-0000-0000-00004F5F0000}"/>
    <cellStyle name="强调文字颜色 6 3 20 5 6 3" xfId="31004" xr:uid="{00000000-0005-0000-0000-0000505F0000}"/>
    <cellStyle name="强调文字颜色 6 3 20 5 7" xfId="31007" xr:uid="{00000000-0005-0000-0000-0000515F0000}"/>
    <cellStyle name="强调文字颜色 6 3 20 5 8" xfId="31009" xr:uid="{00000000-0005-0000-0000-0000525F0000}"/>
    <cellStyle name="强调文字颜色 6 3 20 5 9" xfId="31011" xr:uid="{00000000-0005-0000-0000-0000535F0000}"/>
    <cellStyle name="强调文字颜色 6 3 20 6" xfId="31013" xr:uid="{00000000-0005-0000-0000-0000545F0000}"/>
    <cellStyle name="强调文字颜色 6 3 20 6 2" xfId="10509" xr:uid="{00000000-0005-0000-0000-0000555F0000}"/>
    <cellStyle name="强调文字颜色 6 3 20 6 2 2" xfId="3044" xr:uid="{00000000-0005-0000-0000-0000565F0000}"/>
    <cellStyle name="强调文字颜色 6 3 20 6 2 3" xfId="5848" xr:uid="{00000000-0005-0000-0000-0000575F0000}"/>
    <cellStyle name="强调文字颜色 6 3 20 6 3" xfId="10516" xr:uid="{00000000-0005-0000-0000-0000585F0000}"/>
    <cellStyle name="强调文字颜色 6 3 20 6 4" xfId="10529" xr:uid="{00000000-0005-0000-0000-0000595F0000}"/>
    <cellStyle name="强调文字颜色 6 3 20 6 5" xfId="23122" xr:uid="{00000000-0005-0000-0000-00005A5F0000}"/>
    <cellStyle name="强调文字颜色 6 3 20 6 6" xfId="29010" xr:uid="{00000000-0005-0000-0000-00005B5F0000}"/>
    <cellStyle name="强调文字颜色 6 3 20 6 7" xfId="29012" xr:uid="{00000000-0005-0000-0000-00005C5F0000}"/>
    <cellStyle name="强调文字颜色 6 3 20 6 8" xfId="29441" xr:uid="{00000000-0005-0000-0000-00005D5F0000}"/>
    <cellStyle name="强调文字颜色 6 3 20 7" xfId="521" xr:uid="{00000000-0005-0000-0000-00005E5F0000}"/>
    <cellStyle name="强调文字颜色 6 3 20 8" xfId="6033" xr:uid="{00000000-0005-0000-0000-00005F5F0000}"/>
    <cellStyle name="强调文字颜色 6 3 20 9" xfId="31014" xr:uid="{00000000-0005-0000-0000-0000605F0000}"/>
    <cellStyle name="强调文字颜色 6 3 20 9 2" xfId="30485" xr:uid="{00000000-0005-0000-0000-0000615F0000}"/>
    <cellStyle name="强调文字颜色 6 3 20 9 3" xfId="30489" xr:uid="{00000000-0005-0000-0000-0000625F0000}"/>
    <cellStyle name="强调文字颜色 6 3 3" xfId="12785" xr:uid="{00000000-0005-0000-0000-0000635F0000}"/>
    <cellStyle name="强调文字颜色 6 3 3 10" xfId="31015" xr:uid="{00000000-0005-0000-0000-0000645F0000}"/>
    <cellStyle name="强调文字颜色 6 3 3 11" xfId="31016" xr:uid="{00000000-0005-0000-0000-0000655F0000}"/>
    <cellStyle name="强调文字颜色 6 3 3 12" xfId="31017" xr:uid="{00000000-0005-0000-0000-0000665F0000}"/>
    <cellStyle name="强调文字颜色 6 3 3 13" xfId="31018" xr:uid="{00000000-0005-0000-0000-0000675F0000}"/>
    <cellStyle name="强调文字颜色 6 3 3 14" xfId="31019" xr:uid="{00000000-0005-0000-0000-0000685F0000}"/>
    <cellStyle name="强调文字颜色 6 3 3 2" xfId="25163" xr:uid="{00000000-0005-0000-0000-0000695F0000}"/>
    <cellStyle name="强调文字颜色 6 3 3 3" xfId="31020" xr:uid="{00000000-0005-0000-0000-00006A5F0000}"/>
    <cellStyle name="强调文字颜色 6 3 3 4" xfId="31022" xr:uid="{00000000-0005-0000-0000-00006B5F0000}"/>
    <cellStyle name="强调文字颜色 6 3 3 5" xfId="31023" xr:uid="{00000000-0005-0000-0000-00006C5F0000}"/>
    <cellStyle name="强调文字颜色 6 3 3 6" xfId="31024" xr:uid="{00000000-0005-0000-0000-00006D5F0000}"/>
    <cellStyle name="强调文字颜色 6 3 3 7" xfId="31025" xr:uid="{00000000-0005-0000-0000-00006E5F0000}"/>
    <cellStyle name="强调文字颜色 6 3 3 8" xfId="31026" xr:uid="{00000000-0005-0000-0000-00006F5F0000}"/>
    <cellStyle name="强调文字颜色 6 3 3 9" xfId="31027" xr:uid="{00000000-0005-0000-0000-0000705F0000}"/>
    <cellStyle name="强调文字颜色 6 3 4" xfId="12790" xr:uid="{00000000-0005-0000-0000-0000715F0000}"/>
    <cellStyle name="强调文字颜色 6 3 4 10" xfId="26990" xr:uid="{00000000-0005-0000-0000-0000725F0000}"/>
    <cellStyle name="强调文字颜色 6 3 4 11" xfId="26994" xr:uid="{00000000-0005-0000-0000-0000735F0000}"/>
    <cellStyle name="强调文字颜色 6 3 4 12" xfId="26997" xr:uid="{00000000-0005-0000-0000-0000745F0000}"/>
    <cellStyle name="强调文字颜色 6 3 4 13" xfId="27002" xr:uid="{00000000-0005-0000-0000-0000755F0000}"/>
    <cellStyle name="强调文字颜色 6 3 4 14" xfId="27005" xr:uid="{00000000-0005-0000-0000-0000765F0000}"/>
    <cellStyle name="强调文字颜色 6 3 4 2" xfId="31028" xr:uid="{00000000-0005-0000-0000-0000775F0000}"/>
    <cellStyle name="强调文字颜色 6 3 4 3" xfId="31029" xr:uid="{00000000-0005-0000-0000-0000785F0000}"/>
    <cellStyle name="强调文字颜色 6 3 4 4" xfId="31030" xr:uid="{00000000-0005-0000-0000-0000795F0000}"/>
    <cellStyle name="强调文字颜色 6 3 4 5" xfId="31031" xr:uid="{00000000-0005-0000-0000-00007A5F0000}"/>
    <cellStyle name="强调文字颜色 6 3 4 6" xfId="20760" xr:uid="{00000000-0005-0000-0000-00007B5F0000}"/>
    <cellStyle name="强调文字颜色 6 3 4 7" xfId="20764" xr:uid="{00000000-0005-0000-0000-00007C5F0000}"/>
    <cellStyle name="强调文字颜色 6 3 4 8" xfId="31032" xr:uid="{00000000-0005-0000-0000-00007D5F0000}"/>
    <cellStyle name="强调文字颜色 6 3 4 9" xfId="31033" xr:uid="{00000000-0005-0000-0000-00007E5F0000}"/>
    <cellStyle name="强调文字颜色 6 3 5" xfId="12795" xr:uid="{00000000-0005-0000-0000-00007F5F0000}"/>
    <cellStyle name="强调文字颜色 6 3 6" xfId="12800" xr:uid="{00000000-0005-0000-0000-0000805F0000}"/>
    <cellStyle name="强调文字颜色 6 3 7" xfId="12806" xr:uid="{00000000-0005-0000-0000-0000815F0000}"/>
    <cellStyle name="强调文字颜色 6 3 8" xfId="31034" xr:uid="{00000000-0005-0000-0000-0000825F0000}"/>
    <cellStyle name="强调文字颜色 6 3 9" xfId="31036" xr:uid="{00000000-0005-0000-0000-0000835F0000}"/>
    <cellStyle name="强调文字颜色 6 4" xfId="890" xr:uid="{00000000-0005-0000-0000-0000845F0000}"/>
    <cellStyle name="强调文字颜色 6 4 10" xfId="5837" xr:uid="{00000000-0005-0000-0000-0000855F0000}"/>
    <cellStyle name="强调文字颜色 6 4 11" xfId="5841" xr:uid="{00000000-0005-0000-0000-0000865F0000}"/>
    <cellStyle name="强调文字颜色 6 4 12" xfId="31038" xr:uid="{00000000-0005-0000-0000-0000875F0000}"/>
    <cellStyle name="强调文字颜色 6 4 13" xfId="31039" xr:uid="{00000000-0005-0000-0000-0000885F0000}"/>
    <cellStyle name="强调文字颜色 6 4 14" xfId="31040" xr:uid="{00000000-0005-0000-0000-0000895F0000}"/>
    <cellStyle name="强调文字颜色 6 4 15" xfId="31002" xr:uid="{00000000-0005-0000-0000-00008A5F0000}"/>
    <cellStyle name="强调文字颜色 6 4 16" xfId="31005" xr:uid="{00000000-0005-0000-0000-00008B5F0000}"/>
    <cellStyle name="强调文字颜色 6 4 17" xfId="31041" xr:uid="{00000000-0005-0000-0000-00008C5F0000}"/>
    <cellStyle name="强调文字颜色 6 4 17 10" xfId="719" xr:uid="{00000000-0005-0000-0000-00008D5F0000}"/>
    <cellStyle name="强调文字颜色 6 4 17 11" xfId="6380" xr:uid="{00000000-0005-0000-0000-00008E5F0000}"/>
    <cellStyle name="强调文字颜色 6 4 17 12" xfId="6384" xr:uid="{00000000-0005-0000-0000-00008F5F0000}"/>
    <cellStyle name="强调文字颜色 6 4 17 13" xfId="6391" xr:uid="{00000000-0005-0000-0000-0000905F0000}"/>
    <cellStyle name="强调文字颜色 6 4 17 14" xfId="6398" xr:uid="{00000000-0005-0000-0000-0000915F0000}"/>
    <cellStyle name="强调文字颜色 6 4 17 2" xfId="31042" xr:uid="{00000000-0005-0000-0000-0000925F0000}"/>
    <cellStyle name="强调文字颜色 6 4 17 3" xfId="31043" xr:uid="{00000000-0005-0000-0000-0000935F0000}"/>
    <cellStyle name="强调文字颜色 6 4 17 4" xfId="31044" xr:uid="{00000000-0005-0000-0000-0000945F0000}"/>
    <cellStyle name="强调文字颜色 6 4 17 5" xfId="29668" xr:uid="{00000000-0005-0000-0000-0000955F0000}"/>
    <cellStyle name="强调文字颜色 6 4 17 5 10" xfId="11993" xr:uid="{00000000-0005-0000-0000-0000965F0000}"/>
    <cellStyle name="强调文字颜色 6 4 17 5 11" xfId="12027" xr:uid="{00000000-0005-0000-0000-0000975F0000}"/>
    <cellStyle name="强调文字颜色 6 4 17 5 2" xfId="25014" xr:uid="{00000000-0005-0000-0000-0000985F0000}"/>
    <cellStyle name="强调文字颜色 6 4 17 5 2 2" xfId="31045" xr:uid="{00000000-0005-0000-0000-0000995F0000}"/>
    <cellStyle name="强调文字颜色 6 4 17 5 2 2 2" xfId="31047" xr:uid="{00000000-0005-0000-0000-00009A5F0000}"/>
    <cellStyle name="强调文字颜色 6 4 17 5 2 2 3" xfId="31048" xr:uid="{00000000-0005-0000-0000-00009B5F0000}"/>
    <cellStyle name="强调文字颜色 6 4 17 5 2 3" xfId="31049" xr:uid="{00000000-0005-0000-0000-00009C5F0000}"/>
    <cellStyle name="强调文字颜色 6 4 17 5 2 4" xfId="31051" xr:uid="{00000000-0005-0000-0000-00009D5F0000}"/>
    <cellStyle name="强调文字颜色 6 4 17 5 2 5" xfId="26185" xr:uid="{00000000-0005-0000-0000-00009E5F0000}"/>
    <cellStyle name="强调文字颜色 6 4 17 5 2 6" xfId="26190" xr:uid="{00000000-0005-0000-0000-00009F5F0000}"/>
    <cellStyle name="强调文字颜色 6 4 17 5 2 7" xfId="4432" xr:uid="{00000000-0005-0000-0000-0000A05F0000}"/>
    <cellStyle name="强调文字颜色 6 4 17 5 2 8" xfId="4448" xr:uid="{00000000-0005-0000-0000-0000A15F0000}"/>
    <cellStyle name="强调文字颜色 6 4 17 5 3" xfId="25016" xr:uid="{00000000-0005-0000-0000-0000A25F0000}"/>
    <cellStyle name="强调文字颜色 6 4 17 5 4" xfId="25018" xr:uid="{00000000-0005-0000-0000-0000A35F0000}"/>
    <cellStyle name="强调文字颜色 6 4 17 5 5" xfId="31053" xr:uid="{00000000-0005-0000-0000-0000A45F0000}"/>
    <cellStyle name="强调文字颜色 6 4 17 5 6" xfId="31054" xr:uid="{00000000-0005-0000-0000-0000A55F0000}"/>
    <cellStyle name="强调文字颜色 6 4 17 5 6 2" xfId="20474" xr:uid="{00000000-0005-0000-0000-0000A65F0000}"/>
    <cellStyle name="强调文字颜色 6 4 17 5 6 3" xfId="20476" xr:uid="{00000000-0005-0000-0000-0000A75F0000}"/>
    <cellStyle name="强调文字颜色 6 4 17 5 7" xfId="31055" xr:uid="{00000000-0005-0000-0000-0000A85F0000}"/>
    <cellStyle name="强调文字颜色 6 4 17 5 8" xfId="31056" xr:uid="{00000000-0005-0000-0000-0000A95F0000}"/>
    <cellStyle name="强调文字颜色 6 4 17 5 9" xfId="31057" xr:uid="{00000000-0005-0000-0000-0000AA5F0000}"/>
    <cellStyle name="强调文字颜色 6 4 17 6" xfId="29670" xr:uid="{00000000-0005-0000-0000-0000AB5F0000}"/>
    <cellStyle name="强调文字颜色 6 4 17 6 2" xfId="25250" xr:uid="{00000000-0005-0000-0000-0000AC5F0000}"/>
    <cellStyle name="强调文字颜色 6 4 17 6 2 2" xfId="31058" xr:uid="{00000000-0005-0000-0000-0000AD5F0000}"/>
    <cellStyle name="强调文字颜色 6 4 17 6 2 3" xfId="20318" xr:uid="{00000000-0005-0000-0000-0000AE5F0000}"/>
    <cellStyle name="强调文字颜色 6 4 17 6 3" xfId="25252" xr:uid="{00000000-0005-0000-0000-0000AF5F0000}"/>
    <cellStyle name="强调文字颜色 6 4 17 6 4" xfId="25254" xr:uid="{00000000-0005-0000-0000-0000B05F0000}"/>
    <cellStyle name="强调文字颜色 6 4 17 6 5" xfId="31060" xr:uid="{00000000-0005-0000-0000-0000B15F0000}"/>
    <cellStyle name="强调文字颜色 6 4 17 6 6" xfId="31061" xr:uid="{00000000-0005-0000-0000-0000B25F0000}"/>
    <cellStyle name="强调文字颜色 6 4 17 6 7" xfId="31062" xr:uid="{00000000-0005-0000-0000-0000B35F0000}"/>
    <cellStyle name="强调文字颜色 6 4 17 6 8" xfId="10730" xr:uid="{00000000-0005-0000-0000-0000B45F0000}"/>
    <cellStyle name="强调文字颜色 6 4 17 7" xfId="31063" xr:uid="{00000000-0005-0000-0000-0000B55F0000}"/>
    <cellStyle name="强调文字颜色 6 4 17 8" xfId="31065" xr:uid="{00000000-0005-0000-0000-0000B65F0000}"/>
    <cellStyle name="强调文字颜色 6 4 17 9" xfId="31067" xr:uid="{00000000-0005-0000-0000-0000B75F0000}"/>
    <cellStyle name="强调文字颜色 6 4 17 9 2" xfId="22226" xr:uid="{00000000-0005-0000-0000-0000B85F0000}"/>
    <cellStyle name="强调文字颜色 6 4 17 9 3" xfId="22230" xr:uid="{00000000-0005-0000-0000-0000B95F0000}"/>
    <cellStyle name="强调文字颜色 6 4 18" xfId="31069" xr:uid="{00000000-0005-0000-0000-0000BA5F0000}"/>
    <cellStyle name="强调文字颜色 6 4 18 10" xfId="31070" xr:uid="{00000000-0005-0000-0000-0000BB5F0000}"/>
    <cellStyle name="强调文字颜色 6 4 18 11" xfId="24000" xr:uid="{00000000-0005-0000-0000-0000BC5F0000}"/>
    <cellStyle name="强调文字颜色 6 4 18 12" xfId="24002" xr:uid="{00000000-0005-0000-0000-0000BD5F0000}"/>
    <cellStyle name="强调文字颜色 6 4 18 13" xfId="24004" xr:uid="{00000000-0005-0000-0000-0000BE5F0000}"/>
    <cellStyle name="强调文字颜色 6 4 18 14" xfId="24006" xr:uid="{00000000-0005-0000-0000-0000BF5F0000}"/>
    <cellStyle name="强调文字颜色 6 4 18 2" xfId="31072" xr:uid="{00000000-0005-0000-0000-0000C05F0000}"/>
    <cellStyle name="强调文字颜色 6 4 18 3" xfId="31075" xr:uid="{00000000-0005-0000-0000-0000C15F0000}"/>
    <cellStyle name="强调文字颜色 6 4 18 4" xfId="29068" xr:uid="{00000000-0005-0000-0000-0000C25F0000}"/>
    <cellStyle name="强调文字颜色 6 4 18 5" xfId="29071" xr:uid="{00000000-0005-0000-0000-0000C35F0000}"/>
    <cellStyle name="强调文字颜色 6 4 18 5 10" xfId="12400" xr:uid="{00000000-0005-0000-0000-0000C45F0000}"/>
    <cellStyle name="强调文字颜色 6 4 18 5 11" xfId="12436" xr:uid="{00000000-0005-0000-0000-0000C55F0000}"/>
    <cellStyle name="强调文字颜色 6 4 18 5 2" xfId="31078" xr:uid="{00000000-0005-0000-0000-0000C65F0000}"/>
    <cellStyle name="强调文字颜色 6 4 18 5 2 2" xfId="31080" xr:uid="{00000000-0005-0000-0000-0000C75F0000}"/>
    <cellStyle name="强调文字颜色 6 4 18 5 2 2 2" xfId="26724" xr:uid="{00000000-0005-0000-0000-0000C85F0000}"/>
    <cellStyle name="强调文字颜色 6 4 18 5 2 2 3" xfId="26726" xr:uid="{00000000-0005-0000-0000-0000C95F0000}"/>
    <cellStyle name="强调文字颜色 6 4 18 5 2 3" xfId="31081" xr:uid="{00000000-0005-0000-0000-0000CA5F0000}"/>
    <cellStyle name="强调文字颜色 6 4 18 5 2 4" xfId="31082" xr:uid="{00000000-0005-0000-0000-0000CB5F0000}"/>
    <cellStyle name="强调文字颜色 6 4 18 5 2 5" xfId="26211" xr:uid="{00000000-0005-0000-0000-0000CC5F0000}"/>
    <cellStyle name="强调文字颜色 6 4 18 5 2 6" xfId="26215" xr:uid="{00000000-0005-0000-0000-0000CD5F0000}"/>
    <cellStyle name="强调文字颜色 6 4 18 5 2 7" xfId="26217" xr:uid="{00000000-0005-0000-0000-0000CE5F0000}"/>
    <cellStyle name="强调文字颜色 6 4 18 5 2 8" xfId="26219" xr:uid="{00000000-0005-0000-0000-0000CF5F0000}"/>
    <cellStyle name="强调文字颜色 6 4 18 5 3" xfId="31084" xr:uid="{00000000-0005-0000-0000-0000D05F0000}"/>
    <cellStyle name="强调文字颜色 6 4 18 5 4" xfId="31086" xr:uid="{00000000-0005-0000-0000-0000D15F0000}"/>
    <cellStyle name="强调文字颜色 6 4 18 5 5" xfId="25943" xr:uid="{00000000-0005-0000-0000-0000D25F0000}"/>
    <cellStyle name="强调文字颜色 6 4 18 5 6" xfId="31088" xr:uid="{00000000-0005-0000-0000-0000D35F0000}"/>
    <cellStyle name="强调文字颜色 6 4 18 5 6 2" xfId="31089" xr:uid="{00000000-0005-0000-0000-0000D45F0000}"/>
    <cellStyle name="强调文字颜色 6 4 18 5 6 3" xfId="31090" xr:uid="{00000000-0005-0000-0000-0000D55F0000}"/>
    <cellStyle name="强调文字颜色 6 4 18 5 7" xfId="24010" xr:uid="{00000000-0005-0000-0000-0000D65F0000}"/>
    <cellStyle name="强调文字颜色 6 4 18 5 8" xfId="24018" xr:uid="{00000000-0005-0000-0000-0000D75F0000}"/>
    <cellStyle name="强调文字颜色 6 4 18 5 9" xfId="24021" xr:uid="{00000000-0005-0000-0000-0000D85F0000}"/>
    <cellStyle name="强调文字颜色 6 4 18 6" xfId="29074" xr:uid="{00000000-0005-0000-0000-0000D95F0000}"/>
    <cellStyle name="强调文字颜色 6 4 18 6 2" xfId="22203" xr:uid="{00000000-0005-0000-0000-0000DA5F0000}"/>
    <cellStyle name="强调文字颜色 6 4 18 6 2 2" xfId="22211" xr:uid="{00000000-0005-0000-0000-0000DB5F0000}"/>
    <cellStyle name="强调文字颜色 6 4 18 6 2 3" xfId="4832" xr:uid="{00000000-0005-0000-0000-0000DC5F0000}"/>
    <cellStyle name="强调文字颜色 6 4 18 6 3" xfId="21488" xr:uid="{00000000-0005-0000-0000-0000DD5F0000}"/>
    <cellStyle name="强调文字颜色 6 4 18 6 4" xfId="21491" xr:uid="{00000000-0005-0000-0000-0000DE5F0000}"/>
    <cellStyle name="强调文字颜色 6 4 18 6 5" xfId="21495" xr:uid="{00000000-0005-0000-0000-0000DF5F0000}"/>
    <cellStyle name="强调文字颜色 6 4 18 6 6" xfId="21499" xr:uid="{00000000-0005-0000-0000-0000E05F0000}"/>
    <cellStyle name="强调文字颜色 6 4 18 6 7" xfId="21503" xr:uid="{00000000-0005-0000-0000-0000E15F0000}"/>
    <cellStyle name="强调文字颜色 6 4 18 6 8" xfId="24034" xr:uid="{00000000-0005-0000-0000-0000E25F0000}"/>
    <cellStyle name="强调文字颜色 6 4 18 7" xfId="29077" xr:uid="{00000000-0005-0000-0000-0000E35F0000}"/>
    <cellStyle name="强调文字颜色 6 4 18 8" xfId="29080" xr:uid="{00000000-0005-0000-0000-0000E45F0000}"/>
    <cellStyle name="强调文字颜色 6 4 18 9" xfId="29082" xr:uid="{00000000-0005-0000-0000-0000E55F0000}"/>
    <cellStyle name="强调文字颜色 6 4 18 9 2" xfId="11830" xr:uid="{00000000-0005-0000-0000-0000E65F0000}"/>
    <cellStyle name="强调文字颜色 6 4 18 9 3" xfId="31093" xr:uid="{00000000-0005-0000-0000-0000E75F0000}"/>
    <cellStyle name="强调文字颜色 6 4 19" xfId="31094" xr:uid="{00000000-0005-0000-0000-0000E85F0000}"/>
    <cellStyle name="强调文字颜色 6 4 19 10" xfId="17996" xr:uid="{00000000-0005-0000-0000-0000E95F0000}"/>
    <cellStyle name="强调文字颜色 6 4 19 11" xfId="18000" xr:uid="{00000000-0005-0000-0000-0000EA5F0000}"/>
    <cellStyle name="强调文字颜色 6 4 19 12" xfId="18003" xr:uid="{00000000-0005-0000-0000-0000EB5F0000}"/>
    <cellStyle name="强调文字颜色 6 4 19 13" xfId="18006" xr:uid="{00000000-0005-0000-0000-0000EC5F0000}"/>
    <cellStyle name="强调文字颜色 6 4 19 14" xfId="18009" xr:uid="{00000000-0005-0000-0000-0000ED5F0000}"/>
    <cellStyle name="强调文字颜色 6 4 19 2" xfId="31095" xr:uid="{00000000-0005-0000-0000-0000EE5F0000}"/>
    <cellStyle name="强调文字颜色 6 4 19 3" xfId="31096" xr:uid="{00000000-0005-0000-0000-0000EF5F0000}"/>
    <cellStyle name="强调文字颜色 6 4 19 4" xfId="31097" xr:uid="{00000000-0005-0000-0000-0000F05F0000}"/>
    <cellStyle name="强调文字颜色 6 4 19 5" xfId="31099" xr:uid="{00000000-0005-0000-0000-0000F15F0000}"/>
    <cellStyle name="强调文字颜色 6 4 19 5 10" xfId="12871" xr:uid="{00000000-0005-0000-0000-0000F25F0000}"/>
    <cellStyle name="强调文字颜色 6 4 19 5 11" xfId="12915" xr:uid="{00000000-0005-0000-0000-0000F35F0000}"/>
    <cellStyle name="强调文字颜色 6 4 19 5 2" xfId="31103" xr:uid="{00000000-0005-0000-0000-0000F45F0000}"/>
    <cellStyle name="强调文字颜色 6 4 19 5 2 2" xfId="13671" xr:uid="{00000000-0005-0000-0000-0000F55F0000}"/>
    <cellStyle name="强调文字颜色 6 4 19 5 2 2 2" xfId="13674" xr:uid="{00000000-0005-0000-0000-0000F65F0000}"/>
    <cellStyle name="强调文字颜色 6 4 19 5 2 2 3" xfId="13677" xr:uid="{00000000-0005-0000-0000-0000F75F0000}"/>
    <cellStyle name="强调文字颜色 6 4 19 5 2 3" xfId="31106" xr:uid="{00000000-0005-0000-0000-0000F85F0000}"/>
    <cellStyle name="强调文字颜色 6 4 19 5 2 4" xfId="27511" xr:uid="{00000000-0005-0000-0000-0000F95F0000}"/>
    <cellStyle name="强调文字颜色 6 4 19 5 2 5" xfId="27514" xr:uid="{00000000-0005-0000-0000-0000FA5F0000}"/>
    <cellStyle name="强调文字颜色 6 4 19 5 2 6" xfId="27517" xr:uid="{00000000-0005-0000-0000-0000FB5F0000}"/>
    <cellStyle name="强调文字颜色 6 4 19 5 2 7" xfId="27521" xr:uid="{00000000-0005-0000-0000-0000FC5F0000}"/>
    <cellStyle name="强调文字颜色 6 4 19 5 2 8" xfId="27525" xr:uid="{00000000-0005-0000-0000-0000FD5F0000}"/>
    <cellStyle name="强调文字颜色 6 4 19 5 3" xfId="31110" xr:uid="{00000000-0005-0000-0000-0000FE5F0000}"/>
    <cellStyle name="强调文字颜色 6 4 19 5 4" xfId="31113" xr:uid="{00000000-0005-0000-0000-0000FF5F0000}"/>
    <cellStyle name="强调文字颜色 6 4 19 5 5" xfId="31116" xr:uid="{00000000-0005-0000-0000-000000600000}"/>
    <cellStyle name="强调文字颜色 6 4 19 5 6" xfId="31119" xr:uid="{00000000-0005-0000-0000-000001600000}"/>
    <cellStyle name="强调文字颜色 6 4 19 5 6 2" xfId="31120" xr:uid="{00000000-0005-0000-0000-000002600000}"/>
    <cellStyle name="强调文字颜色 6 4 19 5 6 3" xfId="31121" xr:uid="{00000000-0005-0000-0000-000003600000}"/>
    <cellStyle name="强调文字颜色 6 4 19 5 7" xfId="24045" xr:uid="{00000000-0005-0000-0000-000004600000}"/>
    <cellStyle name="强调文字颜色 6 4 19 5 8" xfId="24055" xr:uid="{00000000-0005-0000-0000-000005600000}"/>
    <cellStyle name="强调文字颜色 6 4 19 5 9" xfId="24057" xr:uid="{00000000-0005-0000-0000-000006600000}"/>
    <cellStyle name="强调文字颜色 6 4 19 6" xfId="31123" xr:uid="{00000000-0005-0000-0000-000007600000}"/>
    <cellStyle name="强调文字颜色 6 4 19 6 2" xfId="25428" xr:uid="{00000000-0005-0000-0000-000008600000}"/>
    <cellStyle name="强调文字颜色 6 4 19 6 2 2" xfId="31124" xr:uid="{00000000-0005-0000-0000-000009600000}"/>
    <cellStyle name="强调文字颜色 6 4 19 6 2 3" xfId="31125" xr:uid="{00000000-0005-0000-0000-00000A600000}"/>
    <cellStyle name="强调文字颜色 6 4 19 6 3" xfId="25431" xr:uid="{00000000-0005-0000-0000-00000B600000}"/>
    <cellStyle name="强调文字颜色 6 4 19 6 4" xfId="25434" xr:uid="{00000000-0005-0000-0000-00000C600000}"/>
    <cellStyle name="强调文字颜色 6 4 19 6 5" xfId="25437" xr:uid="{00000000-0005-0000-0000-00000D600000}"/>
    <cellStyle name="强调文字颜色 6 4 19 6 6" xfId="25440" xr:uid="{00000000-0005-0000-0000-00000E600000}"/>
    <cellStyle name="强调文字颜色 6 4 19 6 7" xfId="2125" xr:uid="{00000000-0005-0000-0000-00000F600000}"/>
    <cellStyle name="强调文字颜色 6 4 19 6 8" xfId="24066" xr:uid="{00000000-0005-0000-0000-000010600000}"/>
    <cellStyle name="强调文字颜色 6 4 19 7" xfId="31127" xr:uid="{00000000-0005-0000-0000-000011600000}"/>
    <cellStyle name="强调文字颜色 6 4 19 8" xfId="31130" xr:uid="{00000000-0005-0000-0000-000012600000}"/>
    <cellStyle name="强调文字颜色 6 4 19 9" xfId="31133" xr:uid="{00000000-0005-0000-0000-000013600000}"/>
    <cellStyle name="强调文字颜色 6 4 19 9 2" xfId="31136" xr:uid="{00000000-0005-0000-0000-000014600000}"/>
    <cellStyle name="强调文字颜色 6 4 19 9 3" xfId="31139" xr:uid="{00000000-0005-0000-0000-000015600000}"/>
    <cellStyle name="强调文字颜色 6 4 2" xfId="16090" xr:uid="{00000000-0005-0000-0000-000016600000}"/>
    <cellStyle name="强调文字颜色 6 4 20" xfId="31003" xr:uid="{00000000-0005-0000-0000-000017600000}"/>
    <cellStyle name="强调文字颜色 6 4 20 10" xfId="6900" xr:uid="{00000000-0005-0000-0000-000018600000}"/>
    <cellStyle name="强调文字颜色 6 4 20 11" xfId="3200" xr:uid="{00000000-0005-0000-0000-000019600000}"/>
    <cellStyle name="强调文字颜色 6 4 20 12" xfId="3258" xr:uid="{00000000-0005-0000-0000-00001A600000}"/>
    <cellStyle name="强调文字颜色 6 4 20 13" xfId="2654" xr:uid="{00000000-0005-0000-0000-00001B600000}"/>
    <cellStyle name="强调文字颜色 6 4 20 14" xfId="31140" xr:uid="{00000000-0005-0000-0000-00001C600000}"/>
    <cellStyle name="强调文字颜色 6 4 20 2" xfId="31141" xr:uid="{00000000-0005-0000-0000-00001D600000}"/>
    <cellStyle name="强调文字颜色 6 4 20 3" xfId="31142" xr:uid="{00000000-0005-0000-0000-00001E600000}"/>
    <cellStyle name="强调文字颜色 6 4 20 4" xfId="31143" xr:uid="{00000000-0005-0000-0000-00001F600000}"/>
    <cellStyle name="强调文字颜色 6 4 20 5" xfId="31144" xr:uid="{00000000-0005-0000-0000-000020600000}"/>
    <cellStyle name="强调文字颜色 6 4 20 5 10" xfId="31145" xr:uid="{00000000-0005-0000-0000-000021600000}"/>
    <cellStyle name="强调文字颜色 6 4 20 5 11" xfId="31146" xr:uid="{00000000-0005-0000-0000-000022600000}"/>
    <cellStyle name="强调文字颜色 6 4 20 5 2" xfId="31147" xr:uid="{00000000-0005-0000-0000-000023600000}"/>
    <cellStyle name="强调文字颜色 6 4 20 5 2 2" xfId="31064" xr:uid="{00000000-0005-0000-0000-000024600000}"/>
    <cellStyle name="强调文字颜色 6 4 20 5 2 2 2" xfId="25461" xr:uid="{00000000-0005-0000-0000-000025600000}"/>
    <cellStyle name="强调文字颜色 6 4 20 5 2 2 3" xfId="25463" xr:uid="{00000000-0005-0000-0000-000026600000}"/>
    <cellStyle name="强调文字颜色 6 4 20 5 2 3" xfId="31066" xr:uid="{00000000-0005-0000-0000-000027600000}"/>
    <cellStyle name="强调文字颜色 6 4 20 5 2 4" xfId="31068" xr:uid="{00000000-0005-0000-0000-000028600000}"/>
    <cellStyle name="强调文字颜色 6 4 20 5 2 5" xfId="31150" xr:uid="{00000000-0005-0000-0000-000029600000}"/>
    <cellStyle name="强调文字颜色 6 4 20 5 2 6" xfId="31151" xr:uid="{00000000-0005-0000-0000-00002A600000}"/>
    <cellStyle name="强调文字颜色 6 4 20 5 2 7" xfId="31152" xr:uid="{00000000-0005-0000-0000-00002B600000}"/>
    <cellStyle name="强调文字颜色 6 4 20 5 2 8" xfId="31153" xr:uid="{00000000-0005-0000-0000-00002C600000}"/>
    <cellStyle name="强调文字颜色 6 4 20 5 3" xfId="31154" xr:uid="{00000000-0005-0000-0000-00002D600000}"/>
    <cellStyle name="强调文字颜色 6 4 20 5 4" xfId="31157" xr:uid="{00000000-0005-0000-0000-00002E600000}"/>
    <cellStyle name="强调文字颜色 6 4 20 5 5" xfId="31160" xr:uid="{00000000-0005-0000-0000-00002F600000}"/>
    <cellStyle name="强调文字颜色 6 4 20 5 6" xfId="31162" xr:uid="{00000000-0005-0000-0000-000030600000}"/>
    <cellStyle name="强调文字颜色 6 4 20 5 6 2" xfId="31164" xr:uid="{00000000-0005-0000-0000-000031600000}"/>
    <cellStyle name="强调文字颜色 6 4 20 5 6 3" xfId="31165" xr:uid="{00000000-0005-0000-0000-000032600000}"/>
    <cellStyle name="强调文字颜色 6 4 20 5 7" xfId="31166" xr:uid="{00000000-0005-0000-0000-000033600000}"/>
    <cellStyle name="强调文字颜色 6 4 20 5 8" xfId="31167" xr:uid="{00000000-0005-0000-0000-000034600000}"/>
    <cellStyle name="强调文字颜色 6 4 20 5 9" xfId="31168" xr:uid="{00000000-0005-0000-0000-000035600000}"/>
    <cellStyle name="强调文字颜色 6 4 20 6" xfId="31169" xr:uid="{00000000-0005-0000-0000-000036600000}"/>
    <cellStyle name="强调文字颜色 6 4 20 6 2" xfId="11158" xr:uid="{00000000-0005-0000-0000-000037600000}"/>
    <cellStyle name="强调文字颜色 6 4 20 6 2 2" xfId="30309" xr:uid="{00000000-0005-0000-0000-000038600000}"/>
    <cellStyle name="强调文字颜色 6 4 20 6 2 3" xfId="31171" xr:uid="{00000000-0005-0000-0000-000039600000}"/>
    <cellStyle name="强调文字颜色 6 4 20 6 3" xfId="31172" xr:uid="{00000000-0005-0000-0000-00003A600000}"/>
    <cellStyle name="强调文字颜色 6 4 20 6 4" xfId="25845" xr:uid="{00000000-0005-0000-0000-00003B600000}"/>
    <cellStyle name="强调文字颜色 6 4 20 6 5" xfId="31173" xr:uid="{00000000-0005-0000-0000-00003C600000}"/>
    <cellStyle name="强调文字颜色 6 4 20 6 6" xfId="31174" xr:uid="{00000000-0005-0000-0000-00003D600000}"/>
    <cellStyle name="强调文字颜色 6 4 20 6 7" xfId="31175" xr:uid="{00000000-0005-0000-0000-00003E600000}"/>
    <cellStyle name="强调文字颜色 6 4 20 6 8" xfId="29532" xr:uid="{00000000-0005-0000-0000-00003F600000}"/>
    <cellStyle name="强调文字颜色 6 4 20 7" xfId="31148" xr:uid="{00000000-0005-0000-0000-000040600000}"/>
    <cellStyle name="强调文字颜色 6 4 20 8" xfId="31155" xr:uid="{00000000-0005-0000-0000-000041600000}"/>
    <cellStyle name="强调文字颜色 6 4 20 9" xfId="31158" xr:uid="{00000000-0005-0000-0000-000042600000}"/>
    <cellStyle name="强调文字颜色 6 4 20 9 2" xfId="31128" xr:uid="{00000000-0005-0000-0000-000043600000}"/>
    <cellStyle name="强调文字颜色 6 4 20 9 3" xfId="31131" xr:uid="{00000000-0005-0000-0000-000044600000}"/>
    <cellStyle name="强调文字颜色 6 4 3" xfId="16096" xr:uid="{00000000-0005-0000-0000-000045600000}"/>
    <cellStyle name="强调文字颜色 6 4 4" xfId="16102" xr:uid="{00000000-0005-0000-0000-000046600000}"/>
    <cellStyle name="强调文字颜色 6 4 5" xfId="16682" xr:uid="{00000000-0005-0000-0000-000047600000}"/>
    <cellStyle name="强调文字颜色 6 4 6" xfId="31176" xr:uid="{00000000-0005-0000-0000-000048600000}"/>
    <cellStyle name="强调文字颜色 6 4 7" xfId="31177" xr:uid="{00000000-0005-0000-0000-000049600000}"/>
    <cellStyle name="强调文字颜色 6 4 8" xfId="31178" xr:uid="{00000000-0005-0000-0000-00004A600000}"/>
    <cellStyle name="强调文字颜色 6 4 9" xfId="31179" xr:uid="{00000000-0005-0000-0000-00004B600000}"/>
    <cellStyle name="强调文字颜色 6 5" xfId="25354" xr:uid="{00000000-0005-0000-0000-00004C600000}"/>
    <cellStyle name="强调文字颜色 6 5 10" xfId="24302" xr:uid="{00000000-0005-0000-0000-00004D600000}"/>
    <cellStyle name="强调文字颜色 6 5 11" xfId="24304" xr:uid="{00000000-0005-0000-0000-00004E600000}"/>
    <cellStyle name="强调文字颜色 6 5 12" xfId="31180" xr:uid="{00000000-0005-0000-0000-00004F600000}"/>
    <cellStyle name="强调文字颜色 6 5 13" xfId="31181" xr:uid="{00000000-0005-0000-0000-000050600000}"/>
    <cellStyle name="强调文字颜色 6 5 14" xfId="908" xr:uid="{00000000-0005-0000-0000-000051600000}"/>
    <cellStyle name="强调文字颜色 6 5 2" xfId="16702" xr:uid="{00000000-0005-0000-0000-000052600000}"/>
    <cellStyle name="强调文字颜色 6 5 3" xfId="16704" xr:uid="{00000000-0005-0000-0000-000053600000}"/>
    <cellStyle name="强调文字颜色 6 5 4" xfId="16706" xr:uid="{00000000-0005-0000-0000-000054600000}"/>
    <cellStyle name="强调文字颜色 6 5 5" xfId="31182" xr:uid="{00000000-0005-0000-0000-000055600000}"/>
    <cellStyle name="强调文字颜色 6 5 6" xfId="31183" xr:uid="{00000000-0005-0000-0000-000056600000}"/>
    <cellStyle name="强调文字颜色 6 5 7" xfId="31184" xr:uid="{00000000-0005-0000-0000-000057600000}"/>
    <cellStyle name="强调文字颜色 6 5 8" xfId="31185" xr:uid="{00000000-0005-0000-0000-000058600000}"/>
    <cellStyle name="强调文字颜色 6 5 9" xfId="31186" xr:uid="{00000000-0005-0000-0000-000059600000}"/>
    <cellStyle name="强调文字颜色 6 6" xfId="25356" xr:uid="{00000000-0005-0000-0000-00005A600000}"/>
    <cellStyle name="强调文字颜色 6 6 10" xfId="29772" xr:uid="{00000000-0005-0000-0000-00005B600000}"/>
    <cellStyle name="强调文字颜色 6 6 11" xfId="29774" xr:uid="{00000000-0005-0000-0000-00005C600000}"/>
    <cellStyle name="强调文字颜色 6 6 12" xfId="26567" xr:uid="{00000000-0005-0000-0000-00005D600000}"/>
    <cellStyle name="强调文字颜色 6 6 13" xfId="26572" xr:uid="{00000000-0005-0000-0000-00005E600000}"/>
    <cellStyle name="强调文字颜色 6 6 14" xfId="24592" xr:uid="{00000000-0005-0000-0000-00005F600000}"/>
    <cellStyle name="强调文字颜色 6 6 2" xfId="14101" xr:uid="{00000000-0005-0000-0000-000060600000}"/>
    <cellStyle name="强调文字颜色 6 6 3" xfId="14104" xr:uid="{00000000-0005-0000-0000-000061600000}"/>
    <cellStyle name="强调文字颜色 6 6 4" xfId="14107" xr:uid="{00000000-0005-0000-0000-000062600000}"/>
    <cellStyle name="强调文字颜色 6 6 5" xfId="31187" xr:uid="{00000000-0005-0000-0000-000063600000}"/>
    <cellStyle name="强调文字颜色 6 6 6" xfId="31188" xr:uid="{00000000-0005-0000-0000-000064600000}"/>
    <cellStyle name="强调文字颜色 6 6 7" xfId="31189" xr:uid="{00000000-0005-0000-0000-000065600000}"/>
    <cellStyle name="强调文字颜色 6 6 8" xfId="31190" xr:uid="{00000000-0005-0000-0000-000066600000}"/>
    <cellStyle name="强调文字颜色 6 6 9" xfId="31191" xr:uid="{00000000-0005-0000-0000-000067600000}"/>
    <cellStyle name="强调文字颜色 6 7" xfId="25358" xr:uid="{00000000-0005-0000-0000-000068600000}"/>
    <cellStyle name="强调文字颜色 6 8" xfId="31192" xr:uid="{00000000-0005-0000-0000-000069600000}"/>
    <cellStyle name="强调文字颜色 6 9" xfId="31193" xr:uid="{00000000-0005-0000-0000-00006A600000}"/>
    <cellStyle name="标题 1 10" xfId="31194" xr:uid="{00000000-0005-0000-0000-00006B600000}"/>
    <cellStyle name="标题 1 11" xfId="31195" xr:uid="{00000000-0005-0000-0000-00006C600000}"/>
    <cellStyle name="标题 1 12" xfId="31196" xr:uid="{00000000-0005-0000-0000-00006D600000}"/>
    <cellStyle name="标题 1 12 10" xfId="8425" xr:uid="{00000000-0005-0000-0000-00006E600000}"/>
    <cellStyle name="标题 1 12 11" xfId="8437" xr:uid="{00000000-0005-0000-0000-00006F600000}"/>
    <cellStyle name="标题 1 12 12" xfId="8449" xr:uid="{00000000-0005-0000-0000-000070600000}"/>
    <cellStyle name="标题 1 12 13" xfId="8455" xr:uid="{00000000-0005-0000-0000-000071600000}"/>
    <cellStyle name="标题 1 12 14" xfId="8458" xr:uid="{00000000-0005-0000-0000-000072600000}"/>
    <cellStyle name="标题 1 12 2" xfId="8299" xr:uid="{00000000-0005-0000-0000-000073600000}"/>
    <cellStyle name="标题 1 12 3" xfId="8306" xr:uid="{00000000-0005-0000-0000-000074600000}"/>
    <cellStyle name="标题 1 12 4" xfId="11875" xr:uid="{00000000-0005-0000-0000-000075600000}"/>
    <cellStyle name="标题 1 12 5" xfId="31198" xr:uid="{00000000-0005-0000-0000-000076600000}"/>
    <cellStyle name="标题 1 12 5 10" xfId="19745" xr:uid="{00000000-0005-0000-0000-000077600000}"/>
    <cellStyle name="标题 1 12 5 11" xfId="19747" xr:uid="{00000000-0005-0000-0000-000078600000}"/>
    <cellStyle name="标题 1 12 5 2" xfId="31199" xr:uid="{00000000-0005-0000-0000-000079600000}"/>
    <cellStyle name="标题 1 12 5 2 2" xfId="24418" xr:uid="{00000000-0005-0000-0000-00007A600000}"/>
    <cellStyle name="标题 1 12 5 2 2 2" xfId="31204" xr:uid="{00000000-0005-0000-0000-00007B600000}"/>
    <cellStyle name="标题 1 12 5 2 2 3" xfId="31207" xr:uid="{00000000-0005-0000-0000-00007C600000}"/>
    <cellStyle name="标题 1 12 5 2 3" xfId="30400" xr:uid="{00000000-0005-0000-0000-00007D600000}"/>
    <cellStyle name="标题 1 12 5 2 4" xfId="30403" xr:uid="{00000000-0005-0000-0000-00007E600000}"/>
    <cellStyle name="标题 1 12 5 2 5" xfId="30406" xr:uid="{00000000-0005-0000-0000-00007F600000}"/>
    <cellStyle name="标题 1 12 5 2 6" xfId="30409" xr:uid="{00000000-0005-0000-0000-000080600000}"/>
    <cellStyle name="标题 1 12 5 2 7" xfId="30428" xr:uid="{00000000-0005-0000-0000-000081600000}"/>
    <cellStyle name="标题 1 12 5 2 8" xfId="30441" xr:uid="{00000000-0005-0000-0000-000082600000}"/>
    <cellStyle name="标题 1 12 5 3" xfId="31209" xr:uid="{00000000-0005-0000-0000-000083600000}"/>
    <cellStyle name="标题 1 12 5 4" xfId="31212" xr:uid="{00000000-0005-0000-0000-000084600000}"/>
    <cellStyle name="标题 1 12 5 5" xfId="31216" xr:uid="{00000000-0005-0000-0000-000085600000}"/>
    <cellStyle name="标题 1 12 5 6" xfId="31220" xr:uid="{00000000-0005-0000-0000-000086600000}"/>
    <cellStyle name="标题 1 12 5 6 2" xfId="22249" xr:uid="{00000000-0005-0000-0000-000087600000}"/>
    <cellStyle name="标题 1 12 5 6 3" xfId="22253" xr:uid="{00000000-0005-0000-0000-000088600000}"/>
    <cellStyle name="标题 1 12 5 7" xfId="31222" xr:uid="{00000000-0005-0000-0000-000089600000}"/>
    <cellStyle name="标题 1 12 5 8" xfId="31224" xr:uid="{00000000-0005-0000-0000-00008A600000}"/>
    <cellStyle name="标题 1 12 5 9" xfId="31226" xr:uid="{00000000-0005-0000-0000-00008B600000}"/>
    <cellStyle name="标题 1 12 6" xfId="30216" xr:uid="{00000000-0005-0000-0000-00008C600000}"/>
    <cellStyle name="标题 1 12 6 2" xfId="30038" xr:uid="{00000000-0005-0000-0000-00008D600000}"/>
    <cellStyle name="标题 1 12 6 2 2" xfId="24190" xr:uid="{00000000-0005-0000-0000-00008E600000}"/>
    <cellStyle name="标题 1 12 6 2 3" xfId="24191" xr:uid="{00000000-0005-0000-0000-00008F600000}"/>
    <cellStyle name="标题 1 12 6 3" xfId="31230" xr:uid="{00000000-0005-0000-0000-000090600000}"/>
    <cellStyle name="标题 1 12 6 4" xfId="31233" xr:uid="{00000000-0005-0000-0000-000091600000}"/>
    <cellStyle name="标题 1 12 6 5" xfId="31236" xr:uid="{00000000-0005-0000-0000-000092600000}"/>
    <cellStyle name="标题 1 12 6 6" xfId="29326" xr:uid="{00000000-0005-0000-0000-000093600000}"/>
    <cellStyle name="标题 1 12 6 7" xfId="22158" xr:uid="{00000000-0005-0000-0000-000094600000}"/>
    <cellStyle name="标题 1 12 6 8" xfId="22161" xr:uid="{00000000-0005-0000-0000-000095600000}"/>
    <cellStyle name="标题 1 12 7" xfId="30218" xr:uid="{00000000-0005-0000-0000-000096600000}"/>
    <cellStyle name="标题 1 12 8" xfId="31237" xr:uid="{00000000-0005-0000-0000-000097600000}"/>
    <cellStyle name="标题 1 12 9" xfId="31238" xr:uid="{00000000-0005-0000-0000-000098600000}"/>
    <cellStyle name="标题 1 12 9 2" xfId="31239" xr:uid="{00000000-0005-0000-0000-000099600000}"/>
    <cellStyle name="标题 1 12 9 3" xfId="31241" xr:uid="{00000000-0005-0000-0000-00009A600000}"/>
    <cellStyle name="标题 1 13" xfId="31243" xr:uid="{00000000-0005-0000-0000-00009B600000}"/>
    <cellStyle name="标题 1 14" xfId="31244" xr:uid="{00000000-0005-0000-0000-00009C600000}"/>
    <cellStyle name="标题 1 15" xfId="31245" xr:uid="{00000000-0005-0000-0000-00009D600000}"/>
    <cellStyle name="标题 1 16" xfId="31246" xr:uid="{00000000-0005-0000-0000-00009E600000}"/>
    <cellStyle name="标题 1 16 10" xfId="31247" xr:uid="{00000000-0005-0000-0000-00009F600000}"/>
    <cellStyle name="标题 1 16 11" xfId="31248" xr:uid="{00000000-0005-0000-0000-0000A0600000}"/>
    <cellStyle name="标题 1 16 12" xfId="31250" xr:uid="{00000000-0005-0000-0000-0000A1600000}"/>
    <cellStyle name="标题 1 16 13" xfId="31252" xr:uid="{00000000-0005-0000-0000-0000A2600000}"/>
    <cellStyle name="标题 1 16 14" xfId="5509" xr:uid="{00000000-0005-0000-0000-0000A3600000}"/>
    <cellStyle name="标题 1 16 2" xfId="27418" xr:uid="{00000000-0005-0000-0000-0000A4600000}"/>
    <cellStyle name="标题 1 16 3" xfId="27420" xr:uid="{00000000-0005-0000-0000-0000A5600000}"/>
    <cellStyle name="标题 1 16 4" xfId="31254" xr:uid="{00000000-0005-0000-0000-0000A6600000}"/>
    <cellStyle name="标题 1 16 5" xfId="31255" xr:uid="{00000000-0005-0000-0000-0000A7600000}"/>
    <cellStyle name="标题 1 16 5 10" xfId="6265" xr:uid="{00000000-0005-0000-0000-0000A8600000}"/>
    <cellStyle name="标题 1 16 5 11" xfId="6273" xr:uid="{00000000-0005-0000-0000-0000A9600000}"/>
    <cellStyle name="标题 1 16 5 2" xfId="14352" xr:uid="{00000000-0005-0000-0000-0000AA600000}"/>
    <cellStyle name="标题 1 16 5 2 2" xfId="6745" xr:uid="{00000000-0005-0000-0000-0000AB600000}"/>
    <cellStyle name="标题 1 16 5 2 2 2" xfId="31257" xr:uid="{00000000-0005-0000-0000-0000AC600000}"/>
    <cellStyle name="标题 1 16 5 2 2 3" xfId="31259" xr:uid="{00000000-0005-0000-0000-0000AD600000}"/>
    <cellStyle name="标题 1 16 5 2 3" xfId="6756" xr:uid="{00000000-0005-0000-0000-0000AE600000}"/>
    <cellStyle name="标题 1 16 5 2 4" xfId="8097" xr:uid="{00000000-0005-0000-0000-0000AF600000}"/>
    <cellStyle name="标题 1 16 5 2 5" xfId="6196" xr:uid="{00000000-0005-0000-0000-0000B0600000}"/>
    <cellStyle name="标题 1 16 5 2 6" xfId="6206" xr:uid="{00000000-0005-0000-0000-0000B1600000}"/>
    <cellStyle name="标题 1 16 5 2 7" xfId="12097" xr:uid="{00000000-0005-0000-0000-0000B2600000}"/>
    <cellStyle name="标题 1 16 5 2 8" xfId="12103" xr:uid="{00000000-0005-0000-0000-0000B3600000}"/>
    <cellStyle name="标题 1 16 5 3" xfId="14360" xr:uid="{00000000-0005-0000-0000-0000B4600000}"/>
    <cellStyle name="标题 1 16 5 4" xfId="14365" xr:uid="{00000000-0005-0000-0000-0000B5600000}"/>
    <cellStyle name="标题 1 16 5 5" xfId="14367" xr:uid="{00000000-0005-0000-0000-0000B6600000}"/>
    <cellStyle name="标题 1 16 5 6" xfId="14370" xr:uid="{00000000-0005-0000-0000-0000B7600000}"/>
    <cellStyle name="标题 1 16 5 6 2" xfId="31260" xr:uid="{00000000-0005-0000-0000-0000B8600000}"/>
    <cellStyle name="标题 1 16 5 6 3" xfId="31261" xr:uid="{00000000-0005-0000-0000-0000B9600000}"/>
    <cellStyle name="标题 1 16 5 7" xfId="14374" xr:uid="{00000000-0005-0000-0000-0000BA600000}"/>
    <cellStyle name="标题 1 16 5 8" xfId="31262" xr:uid="{00000000-0005-0000-0000-0000BB600000}"/>
    <cellStyle name="标题 1 16 5 9" xfId="31263" xr:uid="{00000000-0005-0000-0000-0000BC600000}"/>
    <cellStyle name="标题 1 16 6" xfId="31264" xr:uid="{00000000-0005-0000-0000-0000BD600000}"/>
    <cellStyle name="标题 1 16 6 2" xfId="8531" xr:uid="{00000000-0005-0000-0000-0000BE600000}"/>
    <cellStyle name="标题 1 16 6 2 2" xfId="31265" xr:uid="{00000000-0005-0000-0000-0000BF600000}"/>
    <cellStyle name="标题 1 16 6 2 3" xfId="31266" xr:uid="{00000000-0005-0000-0000-0000C0600000}"/>
    <cellStyle name="标题 1 16 6 3" xfId="8536" xr:uid="{00000000-0005-0000-0000-0000C1600000}"/>
    <cellStyle name="标题 1 16 6 4" xfId="8544" xr:uid="{00000000-0005-0000-0000-0000C2600000}"/>
    <cellStyle name="标题 1 16 6 5" xfId="31267" xr:uid="{00000000-0005-0000-0000-0000C3600000}"/>
    <cellStyle name="标题 1 16 6 6" xfId="31268" xr:uid="{00000000-0005-0000-0000-0000C4600000}"/>
    <cellStyle name="标题 1 16 6 7" xfId="31269" xr:uid="{00000000-0005-0000-0000-0000C5600000}"/>
    <cellStyle name="标题 1 16 6 8" xfId="31270" xr:uid="{00000000-0005-0000-0000-0000C6600000}"/>
    <cellStyle name="标题 1 16 7" xfId="31271" xr:uid="{00000000-0005-0000-0000-0000C7600000}"/>
    <cellStyle name="标题 1 16 8" xfId="31272" xr:uid="{00000000-0005-0000-0000-0000C8600000}"/>
    <cellStyle name="标题 1 16 9" xfId="31273" xr:uid="{00000000-0005-0000-0000-0000C9600000}"/>
    <cellStyle name="标题 1 16 9 2" xfId="14385" xr:uid="{00000000-0005-0000-0000-0000CA600000}"/>
    <cellStyle name="标题 1 16 9 3" xfId="31274" xr:uid="{00000000-0005-0000-0000-0000CB600000}"/>
    <cellStyle name="标题 1 17" xfId="31275" xr:uid="{00000000-0005-0000-0000-0000CC600000}"/>
    <cellStyle name="标题 1 17 10" xfId="26918" xr:uid="{00000000-0005-0000-0000-0000CD600000}"/>
    <cellStyle name="标题 1 17 11" xfId="12492" xr:uid="{00000000-0005-0000-0000-0000CE600000}"/>
    <cellStyle name="标题 1 17 12" xfId="23739" xr:uid="{00000000-0005-0000-0000-0000CF600000}"/>
    <cellStyle name="标题 1 17 13" xfId="31276" xr:uid="{00000000-0005-0000-0000-0000D0600000}"/>
    <cellStyle name="标题 1 17 14" xfId="31277" xr:uid="{00000000-0005-0000-0000-0000D1600000}"/>
    <cellStyle name="标题 1 17 2" xfId="31278" xr:uid="{00000000-0005-0000-0000-0000D2600000}"/>
    <cellStyle name="标题 1 17 3" xfId="3809" xr:uid="{00000000-0005-0000-0000-0000D3600000}"/>
    <cellStyle name="标题 1 17 4" xfId="5268" xr:uid="{00000000-0005-0000-0000-0000D4600000}"/>
    <cellStyle name="标题 1 17 5" xfId="5288" xr:uid="{00000000-0005-0000-0000-0000D5600000}"/>
    <cellStyle name="标题 1 17 5 10" xfId="31279" xr:uid="{00000000-0005-0000-0000-0000D6600000}"/>
    <cellStyle name="标题 1 17 5 11" xfId="31280" xr:uid="{00000000-0005-0000-0000-0000D7600000}"/>
    <cellStyle name="标题 1 17 5 2" xfId="5042" xr:uid="{00000000-0005-0000-0000-0000D8600000}"/>
    <cellStyle name="标题 1 17 5 2 2" xfId="31282" xr:uid="{00000000-0005-0000-0000-0000D9600000}"/>
    <cellStyle name="标题 1 17 5 2 2 2" xfId="20681" xr:uid="{00000000-0005-0000-0000-0000DA600000}"/>
    <cellStyle name="标题 1 17 5 2 2 3" xfId="21428" xr:uid="{00000000-0005-0000-0000-0000DB600000}"/>
    <cellStyle name="标题 1 17 5 2 3" xfId="31073" xr:uid="{00000000-0005-0000-0000-0000DC600000}"/>
    <cellStyle name="标题 1 17 5 2 4" xfId="31076" xr:uid="{00000000-0005-0000-0000-0000DD600000}"/>
    <cellStyle name="标题 1 17 5 2 5" xfId="29069" xr:uid="{00000000-0005-0000-0000-0000DE600000}"/>
    <cellStyle name="标题 1 17 5 2 6" xfId="29072" xr:uid="{00000000-0005-0000-0000-0000DF600000}"/>
    <cellStyle name="标题 1 17 5 2 7" xfId="29075" xr:uid="{00000000-0005-0000-0000-0000E0600000}"/>
    <cellStyle name="标题 1 17 5 2 8" xfId="29078" xr:uid="{00000000-0005-0000-0000-0000E1600000}"/>
    <cellStyle name="标题 1 17 5 3" xfId="31284" xr:uid="{00000000-0005-0000-0000-0000E2600000}"/>
    <cellStyle name="标题 1 17 5 4" xfId="31285" xr:uid="{00000000-0005-0000-0000-0000E3600000}"/>
    <cellStyle name="标题 1 17 5 5" xfId="31286" xr:uid="{00000000-0005-0000-0000-0000E4600000}"/>
    <cellStyle name="标题 1 17 5 6" xfId="31287" xr:uid="{00000000-0005-0000-0000-0000E5600000}"/>
    <cellStyle name="标题 1 17 5 6 2" xfId="24742" xr:uid="{00000000-0005-0000-0000-0000E6600000}"/>
    <cellStyle name="标题 1 17 5 6 3" xfId="31289" xr:uid="{00000000-0005-0000-0000-0000E7600000}"/>
    <cellStyle name="标题 1 17 5 7" xfId="31290" xr:uid="{00000000-0005-0000-0000-0000E8600000}"/>
    <cellStyle name="标题 1 17 5 8" xfId="31291" xr:uid="{00000000-0005-0000-0000-0000E9600000}"/>
    <cellStyle name="标题 1 17 5 9" xfId="31292" xr:uid="{00000000-0005-0000-0000-0000EA600000}"/>
    <cellStyle name="标题 1 17 6" xfId="5298" xr:uid="{00000000-0005-0000-0000-0000EB600000}"/>
    <cellStyle name="标题 1 17 6 2" xfId="31294" xr:uid="{00000000-0005-0000-0000-0000EC600000}"/>
    <cellStyle name="标题 1 17 6 2 2" xfId="28078" xr:uid="{00000000-0005-0000-0000-0000ED600000}"/>
    <cellStyle name="标题 1 17 6 2 3" xfId="28080" xr:uid="{00000000-0005-0000-0000-0000EE600000}"/>
    <cellStyle name="标题 1 17 6 3" xfId="31296" xr:uid="{00000000-0005-0000-0000-0000EF600000}"/>
    <cellStyle name="标题 1 17 6 4" xfId="31298" xr:uid="{00000000-0005-0000-0000-0000F0600000}"/>
    <cellStyle name="标题 1 17 6 5" xfId="31300" xr:uid="{00000000-0005-0000-0000-0000F1600000}"/>
    <cellStyle name="标题 1 17 6 6" xfId="31302" xr:uid="{00000000-0005-0000-0000-0000F2600000}"/>
    <cellStyle name="标题 1 17 6 7" xfId="31304" xr:uid="{00000000-0005-0000-0000-0000F3600000}"/>
    <cellStyle name="标题 1 17 6 8" xfId="31306" xr:uid="{00000000-0005-0000-0000-0000F4600000}"/>
    <cellStyle name="标题 1 17 7" xfId="5310" xr:uid="{00000000-0005-0000-0000-0000F5600000}"/>
    <cellStyle name="标题 1 17 8" xfId="19565" xr:uid="{00000000-0005-0000-0000-0000F6600000}"/>
    <cellStyle name="标题 1 17 9" xfId="18652" xr:uid="{00000000-0005-0000-0000-0000F7600000}"/>
    <cellStyle name="标题 1 17 9 2" xfId="12371" xr:uid="{00000000-0005-0000-0000-0000F8600000}"/>
    <cellStyle name="标题 1 17 9 3" xfId="12377" xr:uid="{00000000-0005-0000-0000-0000F9600000}"/>
    <cellStyle name="标题 1 18" xfId="31307" xr:uid="{00000000-0005-0000-0000-0000FA600000}"/>
    <cellStyle name="标题 1 18 10" xfId="31308" xr:uid="{00000000-0005-0000-0000-0000FB600000}"/>
    <cellStyle name="标题 1 18 11" xfId="31309" xr:uid="{00000000-0005-0000-0000-0000FC600000}"/>
    <cellStyle name="标题 1 18 12" xfId="31310" xr:uid="{00000000-0005-0000-0000-0000FD600000}"/>
    <cellStyle name="标题 1 18 13" xfId="31311" xr:uid="{00000000-0005-0000-0000-0000FE600000}"/>
    <cellStyle name="标题 1 18 14" xfId="31312" xr:uid="{00000000-0005-0000-0000-0000FF600000}"/>
    <cellStyle name="标题 1 18 2" xfId="24457" xr:uid="{00000000-0005-0000-0000-000000610000}"/>
    <cellStyle name="标题 1 18 3" xfId="31313" xr:uid="{00000000-0005-0000-0000-000001610000}"/>
    <cellStyle name="标题 1 18 4" xfId="31314" xr:uid="{00000000-0005-0000-0000-000002610000}"/>
    <cellStyle name="标题 1 18 5" xfId="31315" xr:uid="{00000000-0005-0000-0000-000003610000}"/>
    <cellStyle name="标题 1 18 5 10" xfId="17736" xr:uid="{00000000-0005-0000-0000-000004610000}"/>
    <cellStyle name="标题 1 18 5 11" xfId="17740" xr:uid="{00000000-0005-0000-0000-000005610000}"/>
    <cellStyle name="标题 1 18 5 2" xfId="16859" xr:uid="{00000000-0005-0000-0000-000006610000}"/>
    <cellStyle name="标题 1 18 5 2 2" xfId="31316" xr:uid="{00000000-0005-0000-0000-000007610000}"/>
    <cellStyle name="标题 1 18 5 2 2 2" xfId="31318" xr:uid="{00000000-0005-0000-0000-000008610000}"/>
    <cellStyle name="标题 1 18 5 2 2 3" xfId="25115" xr:uid="{00000000-0005-0000-0000-000009610000}"/>
    <cellStyle name="标题 1 18 5 2 3" xfId="16866" xr:uid="{00000000-0005-0000-0000-00000A610000}"/>
    <cellStyle name="标题 1 18 5 2 4" xfId="16871" xr:uid="{00000000-0005-0000-0000-00000B610000}"/>
    <cellStyle name="标题 1 18 5 2 5" xfId="29115" xr:uid="{00000000-0005-0000-0000-00000C610000}"/>
    <cellStyle name="标题 1 18 5 2 6" xfId="29117" xr:uid="{00000000-0005-0000-0000-00000D610000}"/>
    <cellStyle name="标题 1 18 5 2 7" xfId="29119" xr:uid="{00000000-0005-0000-0000-00000E610000}"/>
    <cellStyle name="标题 1 18 5 2 8" xfId="29121" xr:uid="{00000000-0005-0000-0000-00000F610000}"/>
    <cellStyle name="标题 1 18 5 3" xfId="14561" xr:uid="{00000000-0005-0000-0000-000010610000}"/>
    <cellStyle name="标题 1 18 5 4" xfId="14565" xr:uid="{00000000-0005-0000-0000-000011610000}"/>
    <cellStyle name="标题 1 18 5 5" xfId="16888" xr:uid="{00000000-0005-0000-0000-000012610000}"/>
    <cellStyle name="标题 1 18 5 6" xfId="24271" xr:uid="{00000000-0005-0000-0000-000013610000}"/>
    <cellStyle name="标题 1 18 5 6 2" xfId="31319" xr:uid="{00000000-0005-0000-0000-000014610000}"/>
    <cellStyle name="标题 1 18 5 6 3" xfId="25766" xr:uid="{00000000-0005-0000-0000-000015610000}"/>
    <cellStyle name="标题 1 18 5 7" xfId="24273" xr:uid="{00000000-0005-0000-0000-000016610000}"/>
    <cellStyle name="标题 1 18 5 8" xfId="31320" xr:uid="{00000000-0005-0000-0000-000017610000}"/>
    <cellStyle name="标题 1 18 5 9" xfId="31321" xr:uid="{00000000-0005-0000-0000-000018610000}"/>
    <cellStyle name="标题 1 18 6" xfId="31322" xr:uid="{00000000-0005-0000-0000-000019610000}"/>
    <cellStyle name="标题 1 18 6 2" xfId="31324" xr:uid="{00000000-0005-0000-0000-00001A610000}"/>
    <cellStyle name="标题 1 18 6 2 2" xfId="31325" xr:uid="{00000000-0005-0000-0000-00001B610000}"/>
    <cellStyle name="标题 1 18 6 2 3" xfId="31326" xr:uid="{00000000-0005-0000-0000-00001C610000}"/>
    <cellStyle name="标题 1 18 6 3" xfId="31328" xr:uid="{00000000-0005-0000-0000-00001D610000}"/>
    <cellStyle name="标题 1 18 6 4" xfId="31330" xr:uid="{00000000-0005-0000-0000-00001E610000}"/>
    <cellStyle name="标题 1 18 6 5" xfId="16953" xr:uid="{00000000-0005-0000-0000-00001F610000}"/>
    <cellStyle name="标题 1 18 6 6" xfId="5917" xr:uid="{00000000-0005-0000-0000-000020610000}"/>
    <cellStyle name="标题 1 18 6 7" xfId="5927" xr:uid="{00000000-0005-0000-0000-000021610000}"/>
    <cellStyle name="标题 1 18 6 8" xfId="689" xr:uid="{00000000-0005-0000-0000-000022610000}"/>
    <cellStyle name="标题 1 18 7" xfId="15310" xr:uid="{00000000-0005-0000-0000-000023610000}"/>
    <cellStyle name="标题 1 18 8" xfId="15313" xr:uid="{00000000-0005-0000-0000-000024610000}"/>
    <cellStyle name="标题 1 18 9" xfId="12546" xr:uid="{00000000-0005-0000-0000-000025610000}"/>
    <cellStyle name="标题 1 18 9 2" xfId="31331" xr:uid="{00000000-0005-0000-0000-000026610000}"/>
    <cellStyle name="标题 1 18 9 3" xfId="31333" xr:uid="{00000000-0005-0000-0000-000027610000}"/>
    <cellStyle name="标题 1 19" xfId="2696" xr:uid="{00000000-0005-0000-0000-000028610000}"/>
    <cellStyle name="标题 1 2" xfId="30416" xr:uid="{00000000-0005-0000-0000-000029610000}"/>
    <cellStyle name="标题 1 2 10" xfId="31335" xr:uid="{00000000-0005-0000-0000-00002A610000}"/>
    <cellStyle name="标题 1 2 11" xfId="31336" xr:uid="{00000000-0005-0000-0000-00002B610000}"/>
    <cellStyle name="标题 1 2 12" xfId="31337" xr:uid="{00000000-0005-0000-0000-00002C610000}"/>
    <cellStyle name="标题 1 2 13" xfId="31338" xr:uid="{00000000-0005-0000-0000-00002D610000}"/>
    <cellStyle name="标题 1 2 14" xfId="31339" xr:uid="{00000000-0005-0000-0000-00002E610000}"/>
    <cellStyle name="标题 1 2 15" xfId="24621" xr:uid="{00000000-0005-0000-0000-00002F610000}"/>
    <cellStyle name="标题 1 2 16" xfId="31340" xr:uid="{00000000-0005-0000-0000-000030610000}"/>
    <cellStyle name="标题 1 2 17" xfId="31342" xr:uid="{00000000-0005-0000-0000-000031610000}"/>
    <cellStyle name="标题 1 2 17 10" xfId="31343" xr:uid="{00000000-0005-0000-0000-000032610000}"/>
    <cellStyle name="标题 1 2 17 11" xfId="6993" xr:uid="{00000000-0005-0000-0000-000033610000}"/>
    <cellStyle name="标题 1 2 17 12" xfId="7001" xr:uid="{00000000-0005-0000-0000-000034610000}"/>
    <cellStyle name="标题 1 2 17 13" xfId="2762" xr:uid="{00000000-0005-0000-0000-000035610000}"/>
    <cellStyle name="标题 1 2 17 14" xfId="11068" xr:uid="{00000000-0005-0000-0000-000036610000}"/>
    <cellStyle name="标题 1 2 17 2" xfId="31344" xr:uid="{00000000-0005-0000-0000-000037610000}"/>
    <cellStyle name="标题 1 2 17 3" xfId="31345" xr:uid="{00000000-0005-0000-0000-000038610000}"/>
    <cellStyle name="标题 1 2 17 4" xfId="31346" xr:uid="{00000000-0005-0000-0000-000039610000}"/>
    <cellStyle name="标题 1 2 17 5" xfId="31347" xr:uid="{00000000-0005-0000-0000-00003A610000}"/>
    <cellStyle name="标题 1 2 17 5 10" xfId="31351" xr:uid="{00000000-0005-0000-0000-00003B610000}"/>
    <cellStyle name="标题 1 2 17 5 11" xfId="31354" xr:uid="{00000000-0005-0000-0000-00003C610000}"/>
    <cellStyle name="标题 1 2 17 5 2" xfId="31355" xr:uid="{00000000-0005-0000-0000-00003D610000}"/>
    <cellStyle name="标题 1 2 17 5 2 2" xfId="16519" xr:uid="{00000000-0005-0000-0000-00003E610000}"/>
    <cellStyle name="标题 1 2 17 5 2 2 2" xfId="31357" xr:uid="{00000000-0005-0000-0000-00003F610000}"/>
    <cellStyle name="标题 1 2 17 5 2 2 3" xfId="31358" xr:uid="{00000000-0005-0000-0000-000040610000}"/>
    <cellStyle name="标题 1 2 17 5 2 3" xfId="16521" xr:uid="{00000000-0005-0000-0000-000041610000}"/>
    <cellStyle name="标题 1 2 17 5 2 4" xfId="16523" xr:uid="{00000000-0005-0000-0000-000042610000}"/>
    <cellStyle name="标题 1 2 17 5 2 5" xfId="16525" xr:uid="{00000000-0005-0000-0000-000043610000}"/>
    <cellStyle name="标题 1 2 17 5 2 6" xfId="16527" xr:uid="{00000000-0005-0000-0000-000044610000}"/>
    <cellStyle name="标题 1 2 17 5 2 7" xfId="15270" xr:uid="{00000000-0005-0000-0000-000045610000}"/>
    <cellStyle name="标题 1 2 17 5 2 8" xfId="31359" xr:uid="{00000000-0005-0000-0000-000046610000}"/>
    <cellStyle name="标题 1 2 17 5 3" xfId="31360" xr:uid="{00000000-0005-0000-0000-000047610000}"/>
    <cellStyle name="标题 1 2 17 5 4" xfId="31362" xr:uid="{00000000-0005-0000-0000-000048610000}"/>
    <cellStyle name="标题 1 2 17 5 5" xfId="31364" xr:uid="{00000000-0005-0000-0000-000049610000}"/>
    <cellStyle name="标题 1 2 17 5 6" xfId="31365" xr:uid="{00000000-0005-0000-0000-00004A610000}"/>
    <cellStyle name="标题 1 2 17 5 6 2" xfId="2884" xr:uid="{00000000-0005-0000-0000-00004B610000}"/>
    <cellStyle name="标题 1 2 17 5 6 3" xfId="31366" xr:uid="{00000000-0005-0000-0000-00004C610000}"/>
    <cellStyle name="标题 1 2 17 5 7" xfId="31367" xr:uid="{00000000-0005-0000-0000-00004D610000}"/>
    <cellStyle name="标题 1 2 17 5 8" xfId="31368" xr:uid="{00000000-0005-0000-0000-00004E610000}"/>
    <cellStyle name="标题 1 2 17 5 9" xfId="31369" xr:uid="{00000000-0005-0000-0000-00004F610000}"/>
    <cellStyle name="标题 1 2 17 6" xfId="31370" xr:uid="{00000000-0005-0000-0000-000050610000}"/>
    <cellStyle name="标题 1 2 17 6 2" xfId="2698" xr:uid="{00000000-0005-0000-0000-000051610000}"/>
    <cellStyle name="标题 1 2 17 6 2 2" xfId="16533" xr:uid="{00000000-0005-0000-0000-000052610000}"/>
    <cellStyle name="标题 1 2 17 6 2 3" xfId="31371" xr:uid="{00000000-0005-0000-0000-000053610000}"/>
    <cellStyle name="标题 1 2 17 6 3" xfId="1129" xr:uid="{00000000-0005-0000-0000-000054610000}"/>
    <cellStyle name="标题 1 2 17 6 4" xfId="31372" xr:uid="{00000000-0005-0000-0000-000055610000}"/>
    <cellStyle name="标题 1 2 17 6 5" xfId="2705" xr:uid="{00000000-0005-0000-0000-000056610000}"/>
    <cellStyle name="标题 1 2 17 6 6" xfId="3102" xr:uid="{00000000-0005-0000-0000-000057610000}"/>
    <cellStyle name="标题 1 2 17 6 7" xfId="3134" xr:uid="{00000000-0005-0000-0000-000058610000}"/>
    <cellStyle name="标题 1 2 17 6 8" xfId="3151" xr:uid="{00000000-0005-0000-0000-000059610000}"/>
    <cellStyle name="标题 1 2 17 7" xfId="31374" xr:uid="{00000000-0005-0000-0000-00005A610000}"/>
    <cellStyle name="标题 1 2 17 8" xfId="31375" xr:uid="{00000000-0005-0000-0000-00005B610000}"/>
    <cellStyle name="标题 1 2 17 9" xfId="13005" xr:uid="{00000000-0005-0000-0000-00005C610000}"/>
    <cellStyle name="标题 1 2 17 9 2" xfId="9075" xr:uid="{00000000-0005-0000-0000-00005D610000}"/>
    <cellStyle name="标题 1 2 17 9 3" xfId="9081" xr:uid="{00000000-0005-0000-0000-00005E610000}"/>
    <cellStyle name="标题 1 2 18" xfId="19906" xr:uid="{00000000-0005-0000-0000-00005F610000}"/>
    <cellStyle name="标题 1 2 18 10" xfId="31377" xr:uid="{00000000-0005-0000-0000-000060610000}"/>
    <cellStyle name="标题 1 2 18 11" xfId="31379" xr:uid="{00000000-0005-0000-0000-000061610000}"/>
    <cellStyle name="标题 1 2 18 12" xfId="9495" xr:uid="{00000000-0005-0000-0000-000062610000}"/>
    <cellStyle name="标题 1 2 18 13" xfId="9559" xr:uid="{00000000-0005-0000-0000-000063610000}"/>
    <cellStyle name="标题 1 2 18 14" xfId="9585" xr:uid="{00000000-0005-0000-0000-000064610000}"/>
    <cellStyle name="标题 1 2 18 2" xfId="12120" xr:uid="{00000000-0005-0000-0000-000065610000}"/>
    <cellStyle name="标题 1 2 18 3" xfId="12142" xr:uid="{00000000-0005-0000-0000-000066610000}"/>
    <cellStyle name="标题 1 2 18 4" xfId="12149" xr:uid="{00000000-0005-0000-0000-000067610000}"/>
    <cellStyle name="标题 1 2 18 5" xfId="12156" xr:uid="{00000000-0005-0000-0000-000068610000}"/>
    <cellStyle name="标题 1 2 18 5 10" xfId="31381" xr:uid="{00000000-0005-0000-0000-000069610000}"/>
    <cellStyle name="标题 1 2 18 5 11" xfId="31382" xr:uid="{00000000-0005-0000-0000-00006A610000}"/>
    <cellStyle name="标题 1 2 18 5 2" xfId="31383" xr:uid="{00000000-0005-0000-0000-00006B610000}"/>
    <cellStyle name="标题 1 2 18 5 2 2" xfId="5389" xr:uid="{00000000-0005-0000-0000-00006C610000}"/>
    <cellStyle name="标题 1 2 18 5 2 2 2" xfId="31384" xr:uid="{00000000-0005-0000-0000-00006D610000}"/>
    <cellStyle name="标题 1 2 18 5 2 2 3" xfId="31385" xr:uid="{00000000-0005-0000-0000-00006E610000}"/>
    <cellStyle name="标题 1 2 18 5 2 3" xfId="1687" xr:uid="{00000000-0005-0000-0000-00006F610000}"/>
    <cellStyle name="标题 1 2 18 5 2 4" xfId="1741" xr:uid="{00000000-0005-0000-0000-000070610000}"/>
    <cellStyle name="标题 1 2 18 5 2 5" xfId="1752" xr:uid="{00000000-0005-0000-0000-000071610000}"/>
    <cellStyle name="标题 1 2 18 5 2 6" xfId="1762" xr:uid="{00000000-0005-0000-0000-000072610000}"/>
    <cellStyle name="标题 1 2 18 5 2 7" xfId="383" xr:uid="{00000000-0005-0000-0000-000073610000}"/>
    <cellStyle name="标题 1 2 18 5 2 8" xfId="31386" xr:uid="{00000000-0005-0000-0000-000074610000}"/>
    <cellStyle name="标题 1 2 18 5 3" xfId="31387" xr:uid="{00000000-0005-0000-0000-000075610000}"/>
    <cellStyle name="标题 1 2 18 5 4" xfId="31389" xr:uid="{00000000-0005-0000-0000-000076610000}"/>
    <cellStyle name="标题 1 2 18 5 5" xfId="31391" xr:uid="{00000000-0005-0000-0000-000077610000}"/>
    <cellStyle name="标题 1 2 18 5 6" xfId="31393" xr:uid="{00000000-0005-0000-0000-000078610000}"/>
    <cellStyle name="标题 1 2 18 5 6 2" xfId="1467" xr:uid="{00000000-0005-0000-0000-000079610000}"/>
    <cellStyle name="标题 1 2 18 5 6 3" xfId="17496" xr:uid="{00000000-0005-0000-0000-00007A610000}"/>
    <cellStyle name="标题 1 2 18 5 7" xfId="31395" xr:uid="{00000000-0005-0000-0000-00007B610000}"/>
    <cellStyle name="标题 1 2 18 5 8" xfId="31397" xr:uid="{00000000-0005-0000-0000-00007C610000}"/>
    <cellStyle name="标题 1 2 18 5 9" xfId="31399" xr:uid="{00000000-0005-0000-0000-00007D610000}"/>
    <cellStyle name="标题 1 2 18 6" xfId="12162" xr:uid="{00000000-0005-0000-0000-00007E610000}"/>
    <cellStyle name="标题 1 2 18 6 2" xfId="4061" xr:uid="{00000000-0005-0000-0000-00007F610000}"/>
    <cellStyle name="标题 1 2 18 6 2 2" xfId="5520" xr:uid="{00000000-0005-0000-0000-000080610000}"/>
    <cellStyle name="标题 1 2 18 6 2 3" xfId="24970" xr:uid="{00000000-0005-0000-0000-000081610000}"/>
    <cellStyle name="标题 1 2 18 6 3" xfId="4069" xr:uid="{00000000-0005-0000-0000-000082610000}"/>
    <cellStyle name="标题 1 2 18 6 4" xfId="24982" xr:uid="{00000000-0005-0000-0000-000083610000}"/>
    <cellStyle name="标题 1 2 18 6 5" xfId="24985" xr:uid="{00000000-0005-0000-0000-000084610000}"/>
    <cellStyle name="标题 1 2 18 6 6" xfId="31401" xr:uid="{00000000-0005-0000-0000-000085610000}"/>
    <cellStyle name="标题 1 2 18 6 7" xfId="31403" xr:uid="{00000000-0005-0000-0000-000086610000}"/>
    <cellStyle name="标题 1 2 18 6 8" xfId="31405" xr:uid="{00000000-0005-0000-0000-000087610000}"/>
    <cellStyle name="标题 1 2 18 7" xfId="12171" xr:uid="{00000000-0005-0000-0000-000088610000}"/>
    <cellStyle name="标题 1 2 18 8" xfId="12179" xr:uid="{00000000-0005-0000-0000-000089610000}"/>
    <cellStyle name="标题 1 2 18 9" xfId="12188" xr:uid="{00000000-0005-0000-0000-00008A610000}"/>
    <cellStyle name="标题 1 2 18 9 2" xfId="9825" xr:uid="{00000000-0005-0000-0000-00008B610000}"/>
    <cellStyle name="标题 1 2 18 9 3" xfId="9831" xr:uid="{00000000-0005-0000-0000-00008C610000}"/>
    <cellStyle name="标题 1 2 19" xfId="19909" xr:uid="{00000000-0005-0000-0000-00008D610000}"/>
    <cellStyle name="标题 1 2 19 10" xfId="31407" xr:uid="{00000000-0005-0000-0000-00008E610000}"/>
    <cellStyle name="标题 1 2 19 11" xfId="31409" xr:uid="{00000000-0005-0000-0000-00008F610000}"/>
    <cellStyle name="标题 1 2 19 12" xfId="31411" xr:uid="{00000000-0005-0000-0000-000090610000}"/>
    <cellStyle name="标题 1 2 19 13" xfId="31413" xr:uid="{00000000-0005-0000-0000-000091610000}"/>
    <cellStyle name="标题 1 2 19 14" xfId="31415" xr:uid="{00000000-0005-0000-0000-000092610000}"/>
    <cellStyle name="标题 1 2 19 2" xfId="1202" xr:uid="{00000000-0005-0000-0000-000093610000}"/>
    <cellStyle name="标题 1 2 19 3" xfId="525" xr:uid="{00000000-0005-0000-0000-000094610000}"/>
    <cellStyle name="标题 1 2 19 4" xfId="6036" xr:uid="{00000000-0005-0000-0000-000095610000}"/>
    <cellStyle name="标题 1 2 19 5" xfId="6042" xr:uid="{00000000-0005-0000-0000-000096610000}"/>
    <cellStyle name="标题 1 2 19 5 10" xfId="27779" xr:uid="{00000000-0005-0000-0000-000097610000}"/>
    <cellStyle name="标题 1 2 19 5 11" xfId="27781" xr:uid="{00000000-0005-0000-0000-000098610000}"/>
    <cellStyle name="标题 1 2 19 5 2" xfId="31416" xr:uid="{00000000-0005-0000-0000-000099610000}"/>
    <cellStyle name="标题 1 2 19 5 2 2" xfId="5685" xr:uid="{00000000-0005-0000-0000-00009A610000}"/>
    <cellStyle name="标题 1 2 19 5 2 2 2" xfId="14480" xr:uid="{00000000-0005-0000-0000-00009B610000}"/>
    <cellStyle name="标题 1 2 19 5 2 2 3" xfId="14483" xr:uid="{00000000-0005-0000-0000-00009C610000}"/>
    <cellStyle name="标题 1 2 19 5 2 3" xfId="5688" xr:uid="{00000000-0005-0000-0000-00009D610000}"/>
    <cellStyle name="标题 1 2 19 5 2 4" xfId="1705" xr:uid="{00000000-0005-0000-0000-00009E610000}"/>
    <cellStyle name="标题 1 2 19 5 2 5" xfId="1731" xr:uid="{00000000-0005-0000-0000-00009F610000}"/>
    <cellStyle name="标题 1 2 19 5 2 6" xfId="5691" xr:uid="{00000000-0005-0000-0000-0000A0610000}"/>
    <cellStyle name="标题 1 2 19 5 2 7" xfId="5695" xr:uid="{00000000-0005-0000-0000-0000A1610000}"/>
    <cellStyle name="标题 1 2 19 5 2 8" xfId="15882" xr:uid="{00000000-0005-0000-0000-0000A2610000}"/>
    <cellStyle name="标题 1 2 19 5 3" xfId="31417" xr:uid="{00000000-0005-0000-0000-0000A3610000}"/>
    <cellStyle name="标题 1 2 19 5 4" xfId="24560" xr:uid="{00000000-0005-0000-0000-0000A4610000}"/>
    <cellStyle name="标题 1 2 19 5 5" xfId="31419" xr:uid="{00000000-0005-0000-0000-0000A5610000}"/>
    <cellStyle name="标题 1 2 19 5 6" xfId="27472" xr:uid="{00000000-0005-0000-0000-0000A6610000}"/>
    <cellStyle name="标题 1 2 19 5 6 2" xfId="4089" xr:uid="{00000000-0005-0000-0000-0000A7610000}"/>
    <cellStyle name="标题 1 2 19 5 6 3" xfId="27474" xr:uid="{00000000-0005-0000-0000-0000A8610000}"/>
    <cellStyle name="标题 1 2 19 5 7" xfId="27476" xr:uid="{00000000-0005-0000-0000-0000A9610000}"/>
    <cellStyle name="标题 1 2 19 5 8" xfId="27478" xr:uid="{00000000-0005-0000-0000-0000AA610000}"/>
    <cellStyle name="标题 1 2 19 5 9" xfId="20229" xr:uid="{00000000-0005-0000-0000-0000AB610000}"/>
    <cellStyle name="标题 1 2 19 6" xfId="6049" xr:uid="{00000000-0005-0000-0000-0000AC610000}"/>
    <cellStyle name="标题 1 2 19 6 2" xfId="4197" xr:uid="{00000000-0005-0000-0000-0000AD610000}"/>
    <cellStyle name="标题 1 2 19 6 2 2" xfId="5804" xr:uid="{00000000-0005-0000-0000-0000AE610000}"/>
    <cellStyle name="标题 1 2 19 6 2 3" xfId="30588" xr:uid="{00000000-0005-0000-0000-0000AF610000}"/>
    <cellStyle name="标题 1 2 19 6 3" xfId="4200" xr:uid="{00000000-0005-0000-0000-0000B0610000}"/>
    <cellStyle name="标题 1 2 19 6 4" xfId="31420" xr:uid="{00000000-0005-0000-0000-0000B1610000}"/>
    <cellStyle name="标题 1 2 19 6 5" xfId="31422" xr:uid="{00000000-0005-0000-0000-0000B2610000}"/>
    <cellStyle name="标题 1 2 19 6 6" xfId="31424" xr:uid="{00000000-0005-0000-0000-0000B3610000}"/>
    <cellStyle name="标题 1 2 19 6 7" xfId="31426" xr:uid="{00000000-0005-0000-0000-0000B4610000}"/>
    <cellStyle name="标题 1 2 19 6 8" xfId="31427" xr:uid="{00000000-0005-0000-0000-0000B5610000}"/>
    <cellStyle name="标题 1 2 19 7" xfId="31429" xr:uid="{00000000-0005-0000-0000-0000B6610000}"/>
    <cellStyle name="标题 1 2 19 8" xfId="31430" xr:uid="{00000000-0005-0000-0000-0000B7610000}"/>
    <cellStyle name="标题 1 2 19 9" xfId="31431" xr:uid="{00000000-0005-0000-0000-0000B8610000}"/>
    <cellStyle name="标题 1 2 19 9 2" xfId="31432" xr:uid="{00000000-0005-0000-0000-0000B9610000}"/>
    <cellStyle name="标题 1 2 19 9 3" xfId="31433" xr:uid="{00000000-0005-0000-0000-0000BA610000}"/>
    <cellStyle name="标题 1 2 2" xfId="31434" xr:uid="{00000000-0005-0000-0000-0000BB610000}"/>
    <cellStyle name="标题 1 2 2 10" xfId="31435" xr:uid="{00000000-0005-0000-0000-0000BC610000}"/>
    <cellStyle name="标题 1 2 2 11" xfId="19662" xr:uid="{00000000-0005-0000-0000-0000BD610000}"/>
    <cellStyle name="标题 1 2 2 12" xfId="19664" xr:uid="{00000000-0005-0000-0000-0000BE610000}"/>
    <cellStyle name="标题 1 2 2 13" xfId="31436" xr:uid="{00000000-0005-0000-0000-0000BF610000}"/>
    <cellStyle name="标题 1 2 2 14" xfId="31437" xr:uid="{00000000-0005-0000-0000-0000C0610000}"/>
    <cellStyle name="标题 1 2 2 2" xfId="18903" xr:uid="{00000000-0005-0000-0000-0000C1610000}"/>
    <cellStyle name="标题 1 2 2 3" xfId="24616" xr:uid="{00000000-0005-0000-0000-0000C2610000}"/>
    <cellStyle name="标题 1 2 2 4" xfId="27549" xr:uid="{00000000-0005-0000-0000-0000C3610000}"/>
    <cellStyle name="标题 1 2 2 5" xfId="27551" xr:uid="{00000000-0005-0000-0000-0000C4610000}"/>
    <cellStyle name="标题 1 2 2 6" xfId="27553" xr:uid="{00000000-0005-0000-0000-0000C5610000}"/>
    <cellStyle name="标题 1 2 2 7" xfId="27555" xr:uid="{00000000-0005-0000-0000-0000C6610000}"/>
    <cellStyle name="标题 1 2 2 8" xfId="27557" xr:uid="{00000000-0005-0000-0000-0000C7610000}"/>
    <cellStyle name="标题 1 2 2 9" xfId="27559" xr:uid="{00000000-0005-0000-0000-0000C8610000}"/>
    <cellStyle name="标题 1 2 20" xfId="24622" xr:uid="{00000000-0005-0000-0000-0000C9610000}"/>
    <cellStyle name="标题 1 2 20 10" xfId="31439" xr:uid="{00000000-0005-0000-0000-0000CA610000}"/>
    <cellStyle name="标题 1 2 20 11" xfId="31441" xr:uid="{00000000-0005-0000-0000-0000CB610000}"/>
    <cellStyle name="标题 1 2 20 12" xfId="31443" xr:uid="{00000000-0005-0000-0000-0000CC610000}"/>
    <cellStyle name="标题 1 2 20 13" xfId="31445" xr:uid="{00000000-0005-0000-0000-0000CD610000}"/>
    <cellStyle name="标题 1 2 20 14" xfId="31447" xr:uid="{00000000-0005-0000-0000-0000CE610000}"/>
    <cellStyle name="标题 1 2 20 2" xfId="25467" xr:uid="{00000000-0005-0000-0000-0000CF610000}"/>
    <cellStyle name="标题 1 2 20 3" xfId="25483" xr:uid="{00000000-0005-0000-0000-0000D0610000}"/>
    <cellStyle name="标题 1 2 20 4" xfId="25499" xr:uid="{00000000-0005-0000-0000-0000D1610000}"/>
    <cellStyle name="标题 1 2 20 5" xfId="25501" xr:uid="{00000000-0005-0000-0000-0000D2610000}"/>
    <cellStyle name="标题 1 2 20 5 10" xfId="13438" xr:uid="{00000000-0005-0000-0000-0000D3610000}"/>
    <cellStyle name="标题 1 2 20 5 11" xfId="13442" xr:uid="{00000000-0005-0000-0000-0000D4610000}"/>
    <cellStyle name="标题 1 2 20 5 2" xfId="31448" xr:uid="{00000000-0005-0000-0000-0000D5610000}"/>
    <cellStyle name="标题 1 2 20 5 2 2" xfId="31450" xr:uid="{00000000-0005-0000-0000-0000D6610000}"/>
    <cellStyle name="标题 1 2 20 5 2 2 2" xfId="31451" xr:uid="{00000000-0005-0000-0000-0000D7610000}"/>
    <cellStyle name="标题 1 2 20 5 2 2 3" xfId="31453" xr:uid="{00000000-0005-0000-0000-0000D8610000}"/>
    <cellStyle name="标题 1 2 20 5 2 3" xfId="31455" xr:uid="{00000000-0005-0000-0000-0000D9610000}"/>
    <cellStyle name="标题 1 2 20 5 2 4" xfId="31457" xr:uid="{00000000-0005-0000-0000-0000DA610000}"/>
    <cellStyle name="标题 1 2 20 5 2 5" xfId="31460" xr:uid="{00000000-0005-0000-0000-0000DB610000}"/>
    <cellStyle name="标题 1 2 20 5 2 6" xfId="31462" xr:uid="{00000000-0005-0000-0000-0000DC610000}"/>
    <cellStyle name="标题 1 2 20 5 2 7" xfId="31464" xr:uid="{00000000-0005-0000-0000-0000DD610000}"/>
    <cellStyle name="标题 1 2 20 5 2 8" xfId="31466" xr:uid="{00000000-0005-0000-0000-0000DE610000}"/>
    <cellStyle name="标题 1 2 20 5 3" xfId="31467" xr:uid="{00000000-0005-0000-0000-0000DF610000}"/>
    <cellStyle name="标题 1 2 20 5 4" xfId="31468" xr:uid="{00000000-0005-0000-0000-0000E0610000}"/>
    <cellStyle name="标题 1 2 20 5 5" xfId="31469" xr:uid="{00000000-0005-0000-0000-0000E1610000}"/>
    <cellStyle name="标题 1 2 20 5 6" xfId="31470" xr:uid="{00000000-0005-0000-0000-0000E2610000}"/>
    <cellStyle name="标题 1 2 20 5 6 2" xfId="31471" xr:uid="{00000000-0005-0000-0000-0000E3610000}"/>
    <cellStyle name="标题 1 2 20 5 6 3" xfId="22024" xr:uid="{00000000-0005-0000-0000-0000E4610000}"/>
    <cellStyle name="标题 1 2 20 5 7" xfId="31472" xr:uid="{00000000-0005-0000-0000-0000E5610000}"/>
    <cellStyle name="标题 1 2 20 5 8" xfId="31473" xr:uid="{00000000-0005-0000-0000-0000E6610000}"/>
    <cellStyle name="标题 1 2 20 5 9" xfId="31474" xr:uid="{00000000-0005-0000-0000-0000E7610000}"/>
    <cellStyle name="标题 1 2 20 6" xfId="25503" xr:uid="{00000000-0005-0000-0000-0000E8610000}"/>
    <cellStyle name="标题 1 2 20 6 2" xfId="4611" xr:uid="{00000000-0005-0000-0000-0000E9610000}"/>
    <cellStyle name="标题 1 2 20 6 2 2" xfId="31475" xr:uid="{00000000-0005-0000-0000-0000EA610000}"/>
    <cellStyle name="标题 1 2 20 6 2 3" xfId="31476" xr:uid="{00000000-0005-0000-0000-0000EB610000}"/>
    <cellStyle name="标题 1 2 20 6 3" xfId="402" xr:uid="{00000000-0005-0000-0000-0000EC610000}"/>
    <cellStyle name="标题 1 2 20 6 4" xfId="31477" xr:uid="{00000000-0005-0000-0000-0000ED610000}"/>
    <cellStyle name="标题 1 2 20 6 5" xfId="31478" xr:uid="{00000000-0005-0000-0000-0000EE610000}"/>
    <cellStyle name="标题 1 2 20 6 6" xfId="13292" xr:uid="{00000000-0005-0000-0000-0000EF610000}"/>
    <cellStyle name="标题 1 2 20 6 7" xfId="351" xr:uid="{00000000-0005-0000-0000-0000F0610000}"/>
    <cellStyle name="标题 1 2 20 6 8" xfId="310" xr:uid="{00000000-0005-0000-0000-0000F1610000}"/>
    <cellStyle name="标题 1 2 20 7" xfId="31479" xr:uid="{00000000-0005-0000-0000-0000F2610000}"/>
    <cellStyle name="标题 1 2 20 8" xfId="20775" xr:uid="{00000000-0005-0000-0000-0000F3610000}"/>
    <cellStyle name="标题 1 2 20 9" xfId="31480" xr:uid="{00000000-0005-0000-0000-0000F4610000}"/>
    <cellStyle name="标题 1 2 20 9 2" xfId="31481" xr:uid="{00000000-0005-0000-0000-0000F5610000}"/>
    <cellStyle name="标题 1 2 20 9 3" xfId="31482" xr:uid="{00000000-0005-0000-0000-0000F6610000}"/>
    <cellStyle name="标题 1 2 3" xfId="25748" xr:uid="{00000000-0005-0000-0000-0000F7610000}"/>
    <cellStyle name="标题 1 2 3 10" xfId="16197" xr:uid="{00000000-0005-0000-0000-0000F8610000}"/>
    <cellStyle name="标题 1 2 3 11" xfId="14301" xr:uid="{00000000-0005-0000-0000-0000F9610000}"/>
    <cellStyle name="标题 1 2 3 12" xfId="14307" xr:uid="{00000000-0005-0000-0000-0000FA610000}"/>
    <cellStyle name="标题 1 2 3 13" xfId="16263" xr:uid="{00000000-0005-0000-0000-0000FB610000}"/>
    <cellStyle name="标题 1 2 3 14" xfId="16266" xr:uid="{00000000-0005-0000-0000-0000FC610000}"/>
    <cellStyle name="标题 1 2 3 2" xfId="31483" xr:uid="{00000000-0005-0000-0000-0000FD610000}"/>
    <cellStyle name="标题 1 2 3 3" xfId="31484" xr:uid="{00000000-0005-0000-0000-0000FE610000}"/>
    <cellStyle name="标题 1 2 3 4" xfId="31485" xr:uid="{00000000-0005-0000-0000-0000FF610000}"/>
    <cellStyle name="标题 1 2 3 5" xfId="31486" xr:uid="{00000000-0005-0000-0000-000000620000}"/>
    <cellStyle name="标题 1 2 3 6" xfId="31487" xr:uid="{00000000-0005-0000-0000-000001620000}"/>
    <cellStyle name="标题 1 2 3 7" xfId="31488" xr:uid="{00000000-0005-0000-0000-000002620000}"/>
    <cellStyle name="标题 1 2 3 8" xfId="31489" xr:uid="{00000000-0005-0000-0000-000003620000}"/>
    <cellStyle name="标题 1 2 3 9" xfId="31490" xr:uid="{00000000-0005-0000-0000-000004620000}"/>
    <cellStyle name="标题 1 2 4" xfId="31491" xr:uid="{00000000-0005-0000-0000-000005620000}"/>
    <cellStyle name="标题 1 2 4 10" xfId="13163" xr:uid="{00000000-0005-0000-0000-000006620000}"/>
    <cellStyle name="标题 1 2 4 11" xfId="13167" xr:uid="{00000000-0005-0000-0000-000007620000}"/>
    <cellStyle name="标题 1 2 4 12" xfId="13172" xr:uid="{00000000-0005-0000-0000-000008620000}"/>
    <cellStyle name="标题 1 2 4 13" xfId="13179" xr:uid="{00000000-0005-0000-0000-000009620000}"/>
    <cellStyle name="标题 1 2 4 14" xfId="5781" xr:uid="{00000000-0005-0000-0000-00000A620000}"/>
    <cellStyle name="标题 1 2 4 2" xfId="10115" xr:uid="{00000000-0005-0000-0000-00000B620000}"/>
    <cellStyle name="标题 1 2 4 3" xfId="15006" xr:uid="{00000000-0005-0000-0000-00000C620000}"/>
    <cellStyle name="标题 1 2 4 4" xfId="15008" xr:uid="{00000000-0005-0000-0000-00000D620000}"/>
    <cellStyle name="标题 1 2 4 5" xfId="15011" xr:uid="{00000000-0005-0000-0000-00000E620000}"/>
    <cellStyle name="标题 1 2 4 6" xfId="15014" xr:uid="{00000000-0005-0000-0000-00000F620000}"/>
    <cellStyle name="标题 1 2 4 7" xfId="15017" xr:uid="{00000000-0005-0000-0000-000010620000}"/>
    <cellStyle name="标题 1 2 4 8" xfId="15019" xr:uid="{00000000-0005-0000-0000-000011620000}"/>
    <cellStyle name="标题 1 2 4 9" xfId="15052" xr:uid="{00000000-0005-0000-0000-000012620000}"/>
    <cellStyle name="标题 1 2 5" xfId="31492" xr:uid="{00000000-0005-0000-0000-000013620000}"/>
    <cellStyle name="标题 1 2 6" xfId="31493" xr:uid="{00000000-0005-0000-0000-000014620000}"/>
    <cellStyle name="标题 1 2 7" xfId="578" xr:uid="{00000000-0005-0000-0000-000015620000}"/>
    <cellStyle name="标题 1 2 8" xfId="589" xr:uid="{00000000-0005-0000-0000-000016620000}"/>
    <cellStyle name="标题 1 2 9" xfId="512" xr:uid="{00000000-0005-0000-0000-000017620000}"/>
    <cellStyle name="标题 1 3" xfId="30418" xr:uid="{00000000-0005-0000-0000-000018620000}"/>
    <cellStyle name="标题 1 3 10" xfId="31496" xr:uid="{00000000-0005-0000-0000-000019620000}"/>
    <cellStyle name="标题 1 3 11" xfId="31499" xr:uid="{00000000-0005-0000-0000-00001A620000}"/>
    <cellStyle name="标题 1 3 12" xfId="31502" xr:uid="{00000000-0005-0000-0000-00001B620000}"/>
    <cellStyle name="标题 1 3 13" xfId="31504" xr:uid="{00000000-0005-0000-0000-00001C620000}"/>
    <cellStyle name="标题 1 3 14" xfId="31506" xr:uid="{00000000-0005-0000-0000-00001D620000}"/>
    <cellStyle name="标题 1 3 15" xfId="31508" xr:uid="{00000000-0005-0000-0000-00001E620000}"/>
    <cellStyle name="标题 1 3 16" xfId="1914" xr:uid="{00000000-0005-0000-0000-00001F620000}"/>
    <cellStyle name="标题 1 3 17" xfId="1939" xr:uid="{00000000-0005-0000-0000-000020620000}"/>
    <cellStyle name="标题 1 3 17 10" xfId="30595" xr:uid="{00000000-0005-0000-0000-000021620000}"/>
    <cellStyle name="标题 1 3 17 11" xfId="30597" xr:uid="{00000000-0005-0000-0000-000022620000}"/>
    <cellStyle name="标题 1 3 17 12" xfId="31510" xr:uid="{00000000-0005-0000-0000-000023620000}"/>
    <cellStyle name="标题 1 3 17 13" xfId="31511" xr:uid="{00000000-0005-0000-0000-000024620000}"/>
    <cellStyle name="标题 1 3 17 14" xfId="31512" xr:uid="{00000000-0005-0000-0000-000025620000}"/>
    <cellStyle name="标题 1 3 17 2" xfId="31513" xr:uid="{00000000-0005-0000-0000-000026620000}"/>
    <cellStyle name="标题 1 3 17 2 2" xfId="12774" xr:uid="{00000000-0005-0000-0000-000027620000}"/>
    <cellStyle name="标题 1 3 17 3" xfId="12405" xr:uid="{00000000-0005-0000-0000-000028620000}"/>
    <cellStyle name="标题 1 3 17 4" xfId="12412" xr:uid="{00000000-0005-0000-0000-000029620000}"/>
    <cellStyle name="标题 1 3 17 5" xfId="12414" xr:uid="{00000000-0005-0000-0000-00002A620000}"/>
    <cellStyle name="标题 1 3 17 5 10" xfId="31516" xr:uid="{00000000-0005-0000-0000-00002B620000}"/>
    <cellStyle name="标题 1 3 17 5 11" xfId="31521" xr:uid="{00000000-0005-0000-0000-00002C620000}"/>
    <cellStyle name="标题 1 3 17 5 2" xfId="31522" xr:uid="{00000000-0005-0000-0000-00002D620000}"/>
    <cellStyle name="标题 1 3 17 5 2 2" xfId="17333" xr:uid="{00000000-0005-0000-0000-00002E620000}"/>
    <cellStyle name="标题 1 3 17 5 2 2 2" xfId="18417" xr:uid="{00000000-0005-0000-0000-00002F620000}"/>
    <cellStyle name="标题 1 3 17 5 2 2 3" xfId="18420" xr:uid="{00000000-0005-0000-0000-000030620000}"/>
    <cellStyle name="标题 1 3 17 5 2 3" xfId="17336" xr:uid="{00000000-0005-0000-0000-000031620000}"/>
    <cellStyle name="标题 1 3 17 5 2 4" xfId="17339" xr:uid="{00000000-0005-0000-0000-000032620000}"/>
    <cellStyle name="标题 1 3 17 5 2 5" xfId="17342" xr:uid="{00000000-0005-0000-0000-000033620000}"/>
    <cellStyle name="标题 1 3 17 5 2 6" xfId="17346" xr:uid="{00000000-0005-0000-0000-000034620000}"/>
    <cellStyle name="标题 1 3 17 5 2 7" xfId="17351" xr:uid="{00000000-0005-0000-0000-000035620000}"/>
    <cellStyle name="标题 1 3 17 5 2 8" xfId="28909" xr:uid="{00000000-0005-0000-0000-000036620000}"/>
    <cellStyle name="标题 1 3 17 5 3" xfId="31523" xr:uid="{00000000-0005-0000-0000-000037620000}"/>
    <cellStyle name="标题 1 3 17 5 4" xfId="31524" xr:uid="{00000000-0005-0000-0000-000038620000}"/>
    <cellStyle name="标题 1 3 17 5 5" xfId="31525" xr:uid="{00000000-0005-0000-0000-000039620000}"/>
    <cellStyle name="标题 1 3 17 5 6" xfId="21780" xr:uid="{00000000-0005-0000-0000-00003A620000}"/>
    <cellStyle name="标题 1 3 17 5 6 2" xfId="17362" xr:uid="{00000000-0005-0000-0000-00003B620000}"/>
    <cellStyle name="标题 1 3 17 5 6 3" xfId="31527" xr:uid="{00000000-0005-0000-0000-00003C620000}"/>
    <cellStyle name="标题 1 3 17 5 7" xfId="19068" xr:uid="{00000000-0005-0000-0000-00003D620000}"/>
    <cellStyle name="标题 1 3 17 5 8" xfId="31528" xr:uid="{00000000-0005-0000-0000-00003E620000}"/>
    <cellStyle name="标题 1 3 17 5 9" xfId="31530" xr:uid="{00000000-0005-0000-0000-00003F620000}"/>
    <cellStyle name="标题 1 3 17 6" xfId="12416" xr:uid="{00000000-0005-0000-0000-000040620000}"/>
    <cellStyle name="标题 1 3 17 6 2" xfId="683" xr:uid="{00000000-0005-0000-0000-000041620000}"/>
    <cellStyle name="标题 1 3 17 6 2 2" xfId="17373" xr:uid="{00000000-0005-0000-0000-000042620000}"/>
    <cellStyle name="标题 1 3 17 6 2 3" xfId="31532" xr:uid="{00000000-0005-0000-0000-000043620000}"/>
    <cellStyle name="标题 1 3 17 6 3" xfId="715" xr:uid="{00000000-0005-0000-0000-000044620000}"/>
    <cellStyle name="标题 1 3 17 6 4" xfId="31533" xr:uid="{00000000-0005-0000-0000-000045620000}"/>
    <cellStyle name="标题 1 3 17 6 5" xfId="6386" xr:uid="{00000000-0005-0000-0000-000046620000}"/>
    <cellStyle name="标题 1 3 17 6 6" xfId="6393" xr:uid="{00000000-0005-0000-0000-000047620000}"/>
    <cellStyle name="标题 1 3 17 6 7" xfId="6400" xr:uid="{00000000-0005-0000-0000-000048620000}"/>
    <cellStyle name="标题 1 3 17 6 8" xfId="6406" xr:uid="{00000000-0005-0000-0000-000049620000}"/>
    <cellStyle name="标题 1 3 17 7" xfId="12419" xr:uid="{00000000-0005-0000-0000-00004A620000}"/>
    <cellStyle name="标题 1 3 17 8" xfId="12422" xr:uid="{00000000-0005-0000-0000-00004B620000}"/>
    <cellStyle name="标题 1 3 17 9" xfId="1847" xr:uid="{00000000-0005-0000-0000-00004C620000}"/>
    <cellStyle name="标题 1 3 17 9 2" xfId="31534" xr:uid="{00000000-0005-0000-0000-00004D620000}"/>
    <cellStyle name="标题 1 3 17 9 3" xfId="31535" xr:uid="{00000000-0005-0000-0000-00004E620000}"/>
    <cellStyle name="标题 1 3 18" xfId="31537" xr:uid="{00000000-0005-0000-0000-00004F620000}"/>
    <cellStyle name="标题 1 3 18 10" xfId="31538" xr:uid="{00000000-0005-0000-0000-000050620000}"/>
    <cellStyle name="标题 1 3 18 11" xfId="31539" xr:uid="{00000000-0005-0000-0000-000051620000}"/>
    <cellStyle name="标题 1 3 18 12" xfId="17751" xr:uid="{00000000-0005-0000-0000-000052620000}"/>
    <cellStyle name="标题 1 3 18 13" xfId="17753" xr:uid="{00000000-0005-0000-0000-000053620000}"/>
    <cellStyle name="标题 1 3 18 14" xfId="17755" xr:uid="{00000000-0005-0000-0000-000054620000}"/>
    <cellStyle name="标题 1 3 18 2" xfId="6318" xr:uid="{00000000-0005-0000-0000-000055620000}"/>
    <cellStyle name="标题 1 3 18 3" xfId="6322" xr:uid="{00000000-0005-0000-0000-000056620000}"/>
    <cellStyle name="标题 1 3 18 4" xfId="6328" xr:uid="{00000000-0005-0000-0000-000057620000}"/>
    <cellStyle name="标题 1 3 18 5" xfId="6334" xr:uid="{00000000-0005-0000-0000-000058620000}"/>
    <cellStyle name="标题 1 3 18 5 10" xfId="31540" xr:uid="{00000000-0005-0000-0000-000059620000}"/>
    <cellStyle name="标题 1 3 18 5 11" xfId="31541" xr:uid="{00000000-0005-0000-0000-00005A620000}"/>
    <cellStyle name="标题 1 3 18 5 2" xfId="31542" xr:uid="{00000000-0005-0000-0000-00005B620000}"/>
    <cellStyle name="标题 1 3 18 5 2 2" xfId="8107" xr:uid="{00000000-0005-0000-0000-00005C620000}"/>
    <cellStyle name="标题 1 3 18 5 2 2 2" xfId="12116" xr:uid="{00000000-0005-0000-0000-00005D620000}"/>
    <cellStyle name="标题 1 3 18 5 2 2 3" xfId="12193" xr:uid="{00000000-0005-0000-0000-00005E620000}"/>
    <cellStyle name="标题 1 3 18 5 2 3" xfId="8114" xr:uid="{00000000-0005-0000-0000-00005F620000}"/>
    <cellStyle name="标题 1 3 18 5 2 4" xfId="8120" xr:uid="{00000000-0005-0000-0000-000060620000}"/>
    <cellStyle name="标题 1 3 18 5 2 5" xfId="8125" xr:uid="{00000000-0005-0000-0000-000061620000}"/>
    <cellStyle name="标题 1 3 18 5 2 6" xfId="8131" xr:uid="{00000000-0005-0000-0000-000062620000}"/>
    <cellStyle name="标题 1 3 18 5 2 7" xfId="1811" xr:uid="{00000000-0005-0000-0000-000063620000}"/>
    <cellStyle name="标题 1 3 18 5 2 8" xfId="4080" xr:uid="{00000000-0005-0000-0000-000064620000}"/>
    <cellStyle name="标题 1 3 18 5 3" xfId="31543" xr:uid="{00000000-0005-0000-0000-000065620000}"/>
    <cellStyle name="标题 1 3 18 5 4" xfId="31544" xr:uid="{00000000-0005-0000-0000-000066620000}"/>
    <cellStyle name="标题 1 3 18 5 5" xfId="31545" xr:uid="{00000000-0005-0000-0000-000067620000}"/>
    <cellStyle name="标题 1 3 18 5 6" xfId="31546" xr:uid="{00000000-0005-0000-0000-000068620000}"/>
    <cellStyle name="标题 1 3 18 5 6 2" xfId="17421" xr:uid="{00000000-0005-0000-0000-000069620000}"/>
    <cellStyle name="标题 1 3 18 5 6 3" xfId="31547" xr:uid="{00000000-0005-0000-0000-00006A620000}"/>
    <cellStyle name="标题 1 3 18 5 7" xfId="31548" xr:uid="{00000000-0005-0000-0000-00006B620000}"/>
    <cellStyle name="标题 1 3 18 5 8" xfId="31549" xr:uid="{00000000-0005-0000-0000-00006C620000}"/>
    <cellStyle name="标题 1 3 18 5 9" xfId="31550" xr:uid="{00000000-0005-0000-0000-00006D620000}"/>
    <cellStyle name="标题 1 3 18 6" xfId="3402" xr:uid="{00000000-0005-0000-0000-00006E620000}"/>
    <cellStyle name="标题 1 3 18 6 2" xfId="5011" xr:uid="{00000000-0005-0000-0000-00006F620000}"/>
    <cellStyle name="标题 1 3 18 6 2 2" xfId="8194" xr:uid="{00000000-0005-0000-0000-000070620000}"/>
    <cellStyle name="标题 1 3 18 6 2 3" xfId="31551" xr:uid="{00000000-0005-0000-0000-000071620000}"/>
    <cellStyle name="标题 1 3 18 6 3" xfId="5013" xr:uid="{00000000-0005-0000-0000-000072620000}"/>
    <cellStyle name="标题 1 3 18 6 4" xfId="31552" xr:uid="{00000000-0005-0000-0000-000073620000}"/>
    <cellStyle name="标题 1 3 18 6 5" xfId="31553" xr:uid="{00000000-0005-0000-0000-000074620000}"/>
    <cellStyle name="标题 1 3 18 6 6" xfId="31554" xr:uid="{00000000-0005-0000-0000-000075620000}"/>
    <cellStyle name="标题 1 3 18 6 7" xfId="31555" xr:uid="{00000000-0005-0000-0000-000076620000}"/>
    <cellStyle name="标题 1 3 18 6 8" xfId="31556" xr:uid="{00000000-0005-0000-0000-000077620000}"/>
    <cellStyle name="标题 1 3 18 7" xfId="1436" xr:uid="{00000000-0005-0000-0000-000078620000}"/>
    <cellStyle name="标题 1 3 18 8" xfId="1468" xr:uid="{00000000-0005-0000-0000-000079620000}"/>
    <cellStyle name="标题 1 3 18 9" xfId="17497" xr:uid="{00000000-0005-0000-0000-00007A620000}"/>
    <cellStyle name="标题 1 3 18 9 2" xfId="11389" xr:uid="{00000000-0005-0000-0000-00007B620000}"/>
    <cellStyle name="标题 1 3 18 9 3" xfId="11391" xr:uid="{00000000-0005-0000-0000-00007C620000}"/>
    <cellStyle name="标题 1 3 19" xfId="31558" xr:uid="{00000000-0005-0000-0000-00007D620000}"/>
    <cellStyle name="标题 1 3 19 10" xfId="31559" xr:uid="{00000000-0005-0000-0000-00007E620000}"/>
    <cellStyle name="标题 1 3 19 11" xfId="31561" xr:uid="{00000000-0005-0000-0000-00007F620000}"/>
    <cellStyle name="标题 1 3 19 12" xfId="31563" xr:uid="{00000000-0005-0000-0000-000080620000}"/>
    <cellStyle name="标题 1 3 19 13" xfId="22698" xr:uid="{00000000-0005-0000-0000-000081620000}"/>
    <cellStyle name="标题 1 3 19 14" xfId="22701" xr:uid="{00000000-0005-0000-0000-000082620000}"/>
    <cellStyle name="标题 1 3 19 2" xfId="8422" xr:uid="{00000000-0005-0000-0000-000083620000}"/>
    <cellStyle name="标题 1 3 19 3" xfId="8433" xr:uid="{00000000-0005-0000-0000-000084620000}"/>
    <cellStyle name="标题 1 3 19 4" xfId="8443" xr:uid="{00000000-0005-0000-0000-000085620000}"/>
    <cellStyle name="标题 1 3 19 5" xfId="8446" xr:uid="{00000000-0005-0000-0000-000086620000}"/>
    <cellStyle name="标题 1 3 19 5 10" xfId="18018" xr:uid="{00000000-0005-0000-0000-000087620000}"/>
    <cellStyle name="标题 1 3 19 5 11" xfId="18021" xr:uid="{00000000-0005-0000-0000-000088620000}"/>
    <cellStyle name="标题 1 3 19 5 2" xfId="17771" xr:uid="{00000000-0005-0000-0000-000089620000}"/>
    <cellStyle name="标题 1 3 19 5 2 2" xfId="17463" xr:uid="{00000000-0005-0000-0000-00008A620000}"/>
    <cellStyle name="标题 1 3 19 5 2 2 2" xfId="4343" xr:uid="{00000000-0005-0000-0000-00008B620000}"/>
    <cellStyle name="标题 1 3 19 5 2 2 3" xfId="9963" xr:uid="{00000000-0005-0000-0000-00008C620000}"/>
    <cellStyle name="标题 1 3 19 5 2 3" xfId="17465" xr:uid="{00000000-0005-0000-0000-00008D620000}"/>
    <cellStyle name="标题 1 3 19 5 2 4" xfId="17467" xr:uid="{00000000-0005-0000-0000-00008E620000}"/>
    <cellStyle name="标题 1 3 19 5 2 5" xfId="17469" xr:uid="{00000000-0005-0000-0000-00008F620000}"/>
    <cellStyle name="标题 1 3 19 5 2 6" xfId="17472" xr:uid="{00000000-0005-0000-0000-000090620000}"/>
    <cellStyle name="标题 1 3 19 5 2 7" xfId="2248" xr:uid="{00000000-0005-0000-0000-000091620000}"/>
    <cellStyle name="标题 1 3 19 5 2 8" xfId="16584" xr:uid="{00000000-0005-0000-0000-000092620000}"/>
    <cellStyle name="标题 1 3 19 5 3" xfId="17773" xr:uid="{00000000-0005-0000-0000-000093620000}"/>
    <cellStyle name="标题 1 3 19 5 4" xfId="17775" xr:uid="{00000000-0005-0000-0000-000094620000}"/>
    <cellStyle name="标题 1 3 19 5 5" xfId="17777" xr:uid="{00000000-0005-0000-0000-000095620000}"/>
    <cellStyle name="标题 1 3 19 5 6" xfId="17780" xr:uid="{00000000-0005-0000-0000-000096620000}"/>
    <cellStyle name="标题 1 3 19 5 6 2" xfId="17478" xr:uid="{00000000-0005-0000-0000-000097620000}"/>
    <cellStyle name="标题 1 3 19 5 6 3" xfId="17956" xr:uid="{00000000-0005-0000-0000-000098620000}"/>
    <cellStyle name="标题 1 3 19 5 7" xfId="17783" xr:uid="{00000000-0005-0000-0000-000099620000}"/>
    <cellStyle name="标题 1 3 19 5 8" xfId="17786" xr:uid="{00000000-0005-0000-0000-00009A620000}"/>
    <cellStyle name="标题 1 3 19 5 9" xfId="17832" xr:uid="{00000000-0005-0000-0000-00009B620000}"/>
    <cellStyle name="标题 1 3 19 6" xfId="8453" xr:uid="{00000000-0005-0000-0000-00009C620000}"/>
    <cellStyle name="标题 1 3 19 6 2" xfId="5082" xr:uid="{00000000-0005-0000-0000-00009D620000}"/>
    <cellStyle name="标题 1 3 19 6 2 2" xfId="17483" xr:uid="{00000000-0005-0000-0000-00009E620000}"/>
    <cellStyle name="标题 1 3 19 6 2 3" xfId="31564" xr:uid="{00000000-0005-0000-0000-00009F620000}"/>
    <cellStyle name="标题 1 3 19 6 3" xfId="5086" xr:uid="{00000000-0005-0000-0000-0000A0620000}"/>
    <cellStyle name="标题 1 3 19 6 4" xfId="31565" xr:uid="{00000000-0005-0000-0000-0000A1620000}"/>
    <cellStyle name="标题 1 3 19 6 5" xfId="31566" xr:uid="{00000000-0005-0000-0000-0000A2620000}"/>
    <cellStyle name="标题 1 3 19 6 6" xfId="31567" xr:uid="{00000000-0005-0000-0000-0000A3620000}"/>
    <cellStyle name="标题 1 3 19 6 7" xfId="31568" xr:uid="{00000000-0005-0000-0000-0000A4620000}"/>
    <cellStyle name="标题 1 3 19 6 8" xfId="31569" xr:uid="{00000000-0005-0000-0000-0000A5620000}"/>
    <cellStyle name="标题 1 3 19 7" xfId="26618" xr:uid="{00000000-0005-0000-0000-0000A6620000}"/>
    <cellStyle name="标题 1 3 19 8" xfId="26620" xr:uid="{00000000-0005-0000-0000-0000A7620000}"/>
    <cellStyle name="标题 1 3 19 9" xfId="26623" xr:uid="{00000000-0005-0000-0000-0000A8620000}"/>
    <cellStyle name="标题 1 3 19 9 2" xfId="31570" xr:uid="{00000000-0005-0000-0000-0000A9620000}"/>
    <cellStyle name="标题 1 3 19 9 3" xfId="31571" xr:uid="{00000000-0005-0000-0000-0000AA620000}"/>
    <cellStyle name="标题 1 3 2" xfId="31572" xr:uid="{00000000-0005-0000-0000-0000AB620000}"/>
    <cellStyle name="标题 1 3 2 10" xfId="17542" xr:uid="{00000000-0005-0000-0000-0000AC620000}"/>
    <cellStyle name="标题 1 3 2 11" xfId="31573" xr:uid="{00000000-0005-0000-0000-0000AD620000}"/>
    <cellStyle name="标题 1 3 2 12" xfId="31574" xr:uid="{00000000-0005-0000-0000-0000AE620000}"/>
    <cellStyle name="标题 1 3 2 13" xfId="31575" xr:uid="{00000000-0005-0000-0000-0000AF620000}"/>
    <cellStyle name="标题 1 3 2 14" xfId="31576" xr:uid="{00000000-0005-0000-0000-0000B0620000}"/>
    <cellStyle name="标题 1 3 2 2" xfId="31577" xr:uid="{00000000-0005-0000-0000-0000B1620000}"/>
    <cellStyle name="标题 1 3 2 3" xfId="27572" xr:uid="{00000000-0005-0000-0000-0000B2620000}"/>
    <cellStyle name="标题 1 3 2 4" xfId="27574" xr:uid="{00000000-0005-0000-0000-0000B3620000}"/>
    <cellStyle name="标题 1 3 2 5" xfId="31578" xr:uid="{00000000-0005-0000-0000-0000B4620000}"/>
    <cellStyle name="标题 1 3 2 6" xfId="31579" xr:uid="{00000000-0005-0000-0000-0000B5620000}"/>
    <cellStyle name="标题 1 3 2 7" xfId="31580" xr:uid="{00000000-0005-0000-0000-0000B6620000}"/>
    <cellStyle name="标题 1 3 2 8" xfId="31581" xr:uid="{00000000-0005-0000-0000-0000B7620000}"/>
    <cellStyle name="标题 1 3 2 9" xfId="31582" xr:uid="{00000000-0005-0000-0000-0000B8620000}"/>
    <cellStyle name="标题 1 3 20" xfId="31509" xr:uid="{00000000-0005-0000-0000-0000B9620000}"/>
    <cellStyle name="标题 1 3 20 10" xfId="31583" xr:uid="{00000000-0005-0000-0000-0000BA620000}"/>
    <cellStyle name="标题 1 3 20 11" xfId="31584" xr:uid="{00000000-0005-0000-0000-0000BB620000}"/>
    <cellStyle name="标题 1 3 20 12" xfId="31585" xr:uid="{00000000-0005-0000-0000-0000BC620000}"/>
    <cellStyle name="标题 1 3 20 13" xfId="31586" xr:uid="{00000000-0005-0000-0000-0000BD620000}"/>
    <cellStyle name="标题 1 3 20 14" xfId="24646" xr:uid="{00000000-0005-0000-0000-0000BE620000}"/>
    <cellStyle name="标题 1 3 20 2" xfId="31587" xr:uid="{00000000-0005-0000-0000-0000BF620000}"/>
    <cellStyle name="标题 1 3 20 3" xfId="31588" xr:uid="{00000000-0005-0000-0000-0000C0620000}"/>
    <cellStyle name="标题 1 3 20 4" xfId="25525" xr:uid="{00000000-0005-0000-0000-0000C1620000}"/>
    <cellStyle name="标题 1 3 20 5" xfId="27064" xr:uid="{00000000-0005-0000-0000-0000C2620000}"/>
    <cellStyle name="标题 1 3 20 5 10" xfId="31591" xr:uid="{00000000-0005-0000-0000-0000C3620000}"/>
    <cellStyle name="标题 1 3 20 5 11" xfId="31594" xr:uid="{00000000-0005-0000-0000-0000C4620000}"/>
    <cellStyle name="标题 1 3 20 5 2" xfId="27066" xr:uid="{00000000-0005-0000-0000-0000C5620000}"/>
    <cellStyle name="标题 1 3 20 5 2 2" xfId="31595" xr:uid="{00000000-0005-0000-0000-0000C6620000}"/>
    <cellStyle name="标题 1 3 20 5 2 2 2" xfId="31597" xr:uid="{00000000-0005-0000-0000-0000C7620000}"/>
    <cellStyle name="标题 1 3 20 5 2 2 3" xfId="31599" xr:uid="{00000000-0005-0000-0000-0000C8620000}"/>
    <cellStyle name="标题 1 3 20 5 2 3" xfId="31600" xr:uid="{00000000-0005-0000-0000-0000C9620000}"/>
    <cellStyle name="标题 1 3 20 5 2 4" xfId="31601" xr:uid="{00000000-0005-0000-0000-0000CA620000}"/>
    <cellStyle name="标题 1 3 20 5 2 5" xfId="31602" xr:uid="{00000000-0005-0000-0000-0000CB620000}"/>
    <cellStyle name="标题 1 3 20 5 2 6" xfId="31603" xr:uid="{00000000-0005-0000-0000-0000CC620000}"/>
    <cellStyle name="标题 1 3 20 5 2 7" xfId="31604" xr:uid="{00000000-0005-0000-0000-0000CD620000}"/>
    <cellStyle name="标题 1 3 20 5 2 8" xfId="31605" xr:uid="{00000000-0005-0000-0000-0000CE620000}"/>
    <cellStyle name="标题 1 3 20 5 3" xfId="27068" xr:uid="{00000000-0005-0000-0000-0000CF620000}"/>
    <cellStyle name="标题 1 3 20 5 4" xfId="31606" xr:uid="{00000000-0005-0000-0000-0000D0620000}"/>
    <cellStyle name="标题 1 3 20 5 5" xfId="31607" xr:uid="{00000000-0005-0000-0000-0000D1620000}"/>
    <cellStyle name="标题 1 3 20 5 6" xfId="31608" xr:uid="{00000000-0005-0000-0000-0000D2620000}"/>
    <cellStyle name="标题 1 3 20 5 6 2" xfId="2465" xr:uid="{00000000-0005-0000-0000-0000D3620000}"/>
    <cellStyle name="标题 1 3 20 5 6 3" xfId="2482" xr:uid="{00000000-0005-0000-0000-0000D4620000}"/>
    <cellStyle name="标题 1 3 20 5 7" xfId="31609" xr:uid="{00000000-0005-0000-0000-0000D5620000}"/>
    <cellStyle name="标题 1 3 20 5 8" xfId="31610" xr:uid="{00000000-0005-0000-0000-0000D6620000}"/>
    <cellStyle name="标题 1 3 20 5 9" xfId="31611" xr:uid="{00000000-0005-0000-0000-0000D7620000}"/>
    <cellStyle name="标题 1 3 20 6" xfId="27070" xr:uid="{00000000-0005-0000-0000-0000D8620000}"/>
    <cellStyle name="标题 1 3 20 6 2" xfId="5181" xr:uid="{00000000-0005-0000-0000-0000D9620000}"/>
    <cellStyle name="标题 1 3 20 6 2 2" xfId="31612" xr:uid="{00000000-0005-0000-0000-0000DA620000}"/>
    <cellStyle name="标题 1 3 20 6 2 3" xfId="31613" xr:uid="{00000000-0005-0000-0000-0000DB620000}"/>
    <cellStyle name="标题 1 3 20 6 3" xfId="5187" xr:uid="{00000000-0005-0000-0000-0000DC620000}"/>
    <cellStyle name="标题 1 3 20 6 4" xfId="31614" xr:uid="{00000000-0005-0000-0000-0000DD620000}"/>
    <cellStyle name="标题 1 3 20 6 5" xfId="31615" xr:uid="{00000000-0005-0000-0000-0000DE620000}"/>
    <cellStyle name="标题 1 3 20 6 6" xfId="31616" xr:uid="{00000000-0005-0000-0000-0000DF620000}"/>
    <cellStyle name="标题 1 3 20 6 7" xfId="31617" xr:uid="{00000000-0005-0000-0000-0000E0620000}"/>
    <cellStyle name="标题 1 3 20 6 8" xfId="31618" xr:uid="{00000000-0005-0000-0000-0000E1620000}"/>
    <cellStyle name="标题 1 3 20 7" xfId="27073" xr:uid="{00000000-0005-0000-0000-0000E2620000}"/>
    <cellStyle name="标题 1 3 20 8" xfId="27076" xr:uid="{00000000-0005-0000-0000-0000E3620000}"/>
    <cellStyle name="标题 1 3 20 9" xfId="27079" xr:uid="{00000000-0005-0000-0000-0000E4620000}"/>
    <cellStyle name="标题 1 3 20 9 2" xfId="31619" xr:uid="{00000000-0005-0000-0000-0000E5620000}"/>
    <cellStyle name="标题 1 3 20 9 3" xfId="15191" xr:uid="{00000000-0005-0000-0000-0000E6620000}"/>
    <cellStyle name="标题 1 3 3" xfId="31620" xr:uid="{00000000-0005-0000-0000-0000E7620000}"/>
    <cellStyle name="标题 1 3 3 10" xfId="23487" xr:uid="{00000000-0005-0000-0000-0000E8620000}"/>
    <cellStyle name="标题 1 3 3 11" xfId="23489" xr:uid="{00000000-0005-0000-0000-0000E9620000}"/>
    <cellStyle name="标题 1 3 3 12" xfId="31621" xr:uid="{00000000-0005-0000-0000-0000EA620000}"/>
    <cellStyle name="标题 1 3 3 13" xfId="30771" xr:uid="{00000000-0005-0000-0000-0000EB620000}"/>
    <cellStyle name="标题 1 3 3 14" xfId="30773" xr:uid="{00000000-0005-0000-0000-0000EC620000}"/>
    <cellStyle name="标题 1 3 3 2" xfId="31622" xr:uid="{00000000-0005-0000-0000-0000ED620000}"/>
    <cellStyle name="标题 1 3 3 3" xfId="29853" xr:uid="{00000000-0005-0000-0000-0000EE620000}"/>
    <cellStyle name="标题 1 3 3 4" xfId="29856" xr:uid="{00000000-0005-0000-0000-0000EF620000}"/>
    <cellStyle name="标题 1 3 3 5" xfId="29859" xr:uid="{00000000-0005-0000-0000-0000F0620000}"/>
    <cellStyle name="标题 1 3 3 6" xfId="29862" xr:uid="{00000000-0005-0000-0000-0000F1620000}"/>
    <cellStyle name="标题 1 3 3 7" xfId="4630" xr:uid="{00000000-0005-0000-0000-0000F2620000}"/>
    <cellStyle name="标题 1 3 3 8" xfId="7602" xr:uid="{00000000-0005-0000-0000-0000F3620000}"/>
    <cellStyle name="标题 1 3 3 9" xfId="7609" xr:uid="{00000000-0005-0000-0000-0000F4620000}"/>
    <cellStyle name="标题 1 3 4" xfId="31624" xr:uid="{00000000-0005-0000-0000-0000F5620000}"/>
    <cellStyle name="标题 1 3 4 10" xfId="28998" xr:uid="{00000000-0005-0000-0000-0000F6620000}"/>
    <cellStyle name="标题 1 3 4 11" xfId="23323" xr:uid="{00000000-0005-0000-0000-0000F7620000}"/>
    <cellStyle name="标题 1 3 4 12" xfId="23337" xr:uid="{00000000-0005-0000-0000-0000F8620000}"/>
    <cellStyle name="标题 1 3 4 13" xfId="19674" xr:uid="{00000000-0005-0000-0000-0000F9620000}"/>
    <cellStyle name="标题 1 3 4 14" xfId="19678" xr:uid="{00000000-0005-0000-0000-0000FA620000}"/>
    <cellStyle name="标题 1 3 4 2" xfId="11280" xr:uid="{00000000-0005-0000-0000-0000FB620000}"/>
    <cellStyle name="标题 1 3 4 3" xfId="31625" xr:uid="{00000000-0005-0000-0000-0000FC620000}"/>
    <cellStyle name="标题 1 3 4 4" xfId="20737" xr:uid="{00000000-0005-0000-0000-0000FD620000}"/>
    <cellStyle name="标题 1 3 4 5" xfId="20740" xr:uid="{00000000-0005-0000-0000-0000FE620000}"/>
    <cellStyle name="标题 1 3 4 6" xfId="20743" xr:uid="{00000000-0005-0000-0000-0000FF620000}"/>
    <cellStyle name="标题 1 3 4 7" xfId="20749" xr:uid="{00000000-0005-0000-0000-000000630000}"/>
    <cellStyle name="标题 1 3 4 8" xfId="20754" xr:uid="{00000000-0005-0000-0000-000001630000}"/>
    <cellStyle name="标题 1 3 4 9" xfId="22925" xr:uid="{00000000-0005-0000-0000-000002630000}"/>
    <cellStyle name="标题 1 3 5" xfId="31626" xr:uid="{00000000-0005-0000-0000-000003630000}"/>
    <cellStyle name="标题 1 3 6" xfId="31627" xr:uid="{00000000-0005-0000-0000-000004630000}"/>
    <cellStyle name="标题 1 3 7" xfId="31628" xr:uid="{00000000-0005-0000-0000-000005630000}"/>
    <cellStyle name="标题 1 3 8" xfId="31629" xr:uid="{00000000-0005-0000-0000-000006630000}"/>
    <cellStyle name="标题 1 3 9" xfId="31630" xr:uid="{00000000-0005-0000-0000-000007630000}"/>
    <cellStyle name="标题 1 4" xfId="31631" xr:uid="{00000000-0005-0000-0000-000008630000}"/>
    <cellStyle name="标题 1 4 10" xfId="31632" xr:uid="{00000000-0005-0000-0000-000009630000}"/>
    <cellStyle name="标题 1 4 11" xfId="31633" xr:uid="{00000000-0005-0000-0000-00000A630000}"/>
    <cellStyle name="标题 1 4 12" xfId="27201" xr:uid="{00000000-0005-0000-0000-00000B630000}"/>
    <cellStyle name="标题 1 4 13" xfId="27212" xr:uid="{00000000-0005-0000-0000-00000C630000}"/>
    <cellStyle name="标题 1 4 14" xfId="431" xr:uid="{00000000-0005-0000-0000-00000D630000}"/>
    <cellStyle name="标题 1 4 15" xfId="19836" xr:uid="{00000000-0005-0000-0000-00000E630000}"/>
    <cellStyle name="标题 1 4 16" xfId="19840" xr:uid="{00000000-0005-0000-0000-00000F630000}"/>
    <cellStyle name="标题 1 4 17" xfId="19846" xr:uid="{00000000-0005-0000-0000-000010630000}"/>
    <cellStyle name="标题 1 4 17 10" xfId="31635" xr:uid="{00000000-0005-0000-0000-000011630000}"/>
    <cellStyle name="标题 1 4 17 11" xfId="31636" xr:uid="{00000000-0005-0000-0000-000012630000}"/>
    <cellStyle name="标题 1 4 17 12" xfId="31637" xr:uid="{00000000-0005-0000-0000-000013630000}"/>
    <cellStyle name="标题 1 4 17 13" xfId="31638" xr:uid="{00000000-0005-0000-0000-000014630000}"/>
    <cellStyle name="标题 1 4 17 14" xfId="31639" xr:uid="{00000000-0005-0000-0000-000015630000}"/>
    <cellStyle name="标题 1 4 17 2" xfId="19339" xr:uid="{00000000-0005-0000-0000-000016630000}"/>
    <cellStyle name="标题 1 4 17 3" xfId="23726" xr:uid="{00000000-0005-0000-0000-000017630000}"/>
    <cellStyle name="标题 1 4 17 4" xfId="23728" xr:uid="{00000000-0005-0000-0000-000018630000}"/>
    <cellStyle name="标题 1 4 17 5" xfId="31640" xr:uid="{00000000-0005-0000-0000-000019630000}"/>
    <cellStyle name="标题 1 4 17 5 10" xfId="21267" xr:uid="{00000000-0005-0000-0000-00001A630000}"/>
    <cellStyle name="标题 1 4 17 5 11" xfId="1550" xr:uid="{00000000-0005-0000-0000-00001B630000}"/>
    <cellStyle name="标题 1 4 17 5 2" xfId="18019" xr:uid="{00000000-0005-0000-0000-00001C630000}"/>
    <cellStyle name="标题 1 4 17 5 2 2" xfId="18389" xr:uid="{00000000-0005-0000-0000-00001D630000}"/>
    <cellStyle name="标题 1 4 17 5 2 2 2" xfId="13657" xr:uid="{00000000-0005-0000-0000-00001E630000}"/>
    <cellStyle name="标题 1 4 17 5 2 2 3" xfId="31641" xr:uid="{00000000-0005-0000-0000-00001F630000}"/>
    <cellStyle name="标题 1 4 17 5 2 3" xfId="18391" xr:uid="{00000000-0005-0000-0000-000020630000}"/>
    <cellStyle name="标题 1 4 17 5 2 4" xfId="18393" xr:uid="{00000000-0005-0000-0000-000021630000}"/>
    <cellStyle name="标题 1 4 17 5 2 5" xfId="18395" xr:uid="{00000000-0005-0000-0000-000022630000}"/>
    <cellStyle name="标题 1 4 17 5 2 6" xfId="18397" xr:uid="{00000000-0005-0000-0000-000023630000}"/>
    <cellStyle name="标题 1 4 17 5 2 7" xfId="18399" xr:uid="{00000000-0005-0000-0000-000024630000}"/>
    <cellStyle name="标题 1 4 17 5 2 8" xfId="31642" xr:uid="{00000000-0005-0000-0000-000025630000}"/>
    <cellStyle name="标题 1 4 17 5 3" xfId="18022" xr:uid="{00000000-0005-0000-0000-000026630000}"/>
    <cellStyle name="标题 1 4 17 5 4" xfId="6976" xr:uid="{00000000-0005-0000-0000-000027630000}"/>
    <cellStyle name="标题 1 4 17 5 5" xfId="6982" xr:uid="{00000000-0005-0000-0000-000028630000}"/>
    <cellStyle name="标题 1 4 17 5 6" xfId="6990" xr:uid="{00000000-0005-0000-0000-000029630000}"/>
    <cellStyle name="标题 1 4 17 5 6 2" xfId="18403" xr:uid="{00000000-0005-0000-0000-00002A630000}"/>
    <cellStyle name="标题 1 4 17 5 6 3" xfId="31643" xr:uid="{00000000-0005-0000-0000-00002B630000}"/>
    <cellStyle name="标题 1 4 17 5 7" xfId="6997" xr:uid="{00000000-0005-0000-0000-00002C630000}"/>
    <cellStyle name="标题 1 4 17 5 8" xfId="7005" xr:uid="{00000000-0005-0000-0000-00002D630000}"/>
    <cellStyle name="标题 1 4 17 5 9" xfId="2767" xr:uid="{00000000-0005-0000-0000-00002E630000}"/>
    <cellStyle name="标题 1 4 17 6" xfId="31644" xr:uid="{00000000-0005-0000-0000-00002F630000}"/>
    <cellStyle name="标题 1 4 17 6 2" xfId="31645" xr:uid="{00000000-0005-0000-0000-000030630000}"/>
    <cellStyle name="标题 1 4 17 6 2 2" xfId="18413" xr:uid="{00000000-0005-0000-0000-000031630000}"/>
    <cellStyle name="标题 1 4 17 6 2 3" xfId="21200" xr:uid="{00000000-0005-0000-0000-000032630000}"/>
    <cellStyle name="标题 1 4 17 6 3" xfId="25988" xr:uid="{00000000-0005-0000-0000-000033630000}"/>
    <cellStyle name="标题 1 4 17 6 4" xfId="31646" xr:uid="{00000000-0005-0000-0000-000034630000}"/>
    <cellStyle name="标题 1 4 17 6 5" xfId="7039" xr:uid="{00000000-0005-0000-0000-000035630000}"/>
    <cellStyle name="标题 1 4 17 6 6" xfId="7052" xr:uid="{00000000-0005-0000-0000-000036630000}"/>
    <cellStyle name="标题 1 4 17 6 7" xfId="7062" xr:uid="{00000000-0005-0000-0000-000037630000}"/>
    <cellStyle name="标题 1 4 17 6 8" xfId="7065" xr:uid="{00000000-0005-0000-0000-000038630000}"/>
    <cellStyle name="标题 1 4 17 7" xfId="31647" xr:uid="{00000000-0005-0000-0000-000039630000}"/>
    <cellStyle name="标题 1 4 17 8" xfId="16618" xr:uid="{00000000-0005-0000-0000-00003A630000}"/>
    <cellStyle name="标题 1 4 17 9" xfId="16621" xr:uid="{00000000-0005-0000-0000-00003B630000}"/>
    <cellStyle name="标题 1 4 17 9 2" xfId="28246" xr:uid="{00000000-0005-0000-0000-00003C630000}"/>
    <cellStyle name="标题 1 4 17 9 3" xfId="31648" xr:uid="{00000000-0005-0000-0000-00003D630000}"/>
    <cellStyle name="标题 1 4 18" xfId="19852" xr:uid="{00000000-0005-0000-0000-00003E630000}"/>
    <cellStyle name="标题 1 4 18 10" xfId="31650" xr:uid="{00000000-0005-0000-0000-00003F630000}"/>
    <cellStyle name="标题 1 4 18 11" xfId="31652" xr:uid="{00000000-0005-0000-0000-000040630000}"/>
    <cellStyle name="标题 1 4 18 12" xfId="16241" xr:uid="{00000000-0005-0000-0000-000041630000}"/>
    <cellStyle name="标题 1 4 18 13" xfId="18842" xr:uid="{00000000-0005-0000-0000-000042630000}"/>
    <cellStyle name="标题 1 4 18 14" xfId="18845" xr:uid="{00000000-0005-0000-0000-000043630000}"/>
    <cellStyle name="标题 1 4 18 2" xfId="18542" xr:uid="{00000000-0005-0000-0000-000044630000}"/>
    <cellStyle name="标题 1 4 18 3" xfId="18546" xr:uid="{00000000-0005-0000-0000-000045630000}"/>
    <cellStyle name="标题 1 4 18 4" xfId="18550" xr:uid="{00000000-0005-0000-0000-000046630000}"/>
    <cellStyle name="标题 1 4 18 5" xfId="18554" xr:uid="{00000000-0005-0000-0000-000047630000}"/>
    <cellStyle name="标题 1 4 18 5 10" xfId="21964" xr:uid="{00000000-0005-0000-0000-000048630000}"/>
    <cellStyle name="标题 1 4 18 5 11" xfId="21966" xr:uid="{00000000-0005-0000-0000-000049630000}"/>
    <cellStyle name="标题 1 4 18 5 2" xfId="31653" xr:uid="{00000000-0005-0000-0000-00004A630000}"/>
    <cellStyle name="标题 1 4 18 5 2 2" xfId="10422" xr:uid="{00000000-0005-0000-0000-00004B630000}"/>
    <cellStyle name="标题 1 4 18 5 2 2 2" xfId="27438" xr:uid="{00000000-0005-0000-0000-00004C630000}"/>
    <cellStyle name="标题 1 4 18 5 2 2 3" xfId="27441" xr:uid="{00000000-0005-0000-0000-00004D630000}"/>
    <cellStyle name="标题 1 4 18 5 2 3" xfId="18446" xr:uid="{00000000-0005-0000-0000-00004E630000}"/>
    <cellStyle name="标题 1 4 18 5 2 4" xfId="18449" xr:uid="{00000000-0005-0000-0000-00004F630000}"/>
    <cellStyle name="标题 1 4 18 5 2 5" xfId="18452" xr:uid="{00000000-0005-0000-0000-000050630000}"/>
    <cellStyle name="标题 1 4 18 5 2 6" xfId="18456" xr:uid="{00000000-0005-0000-0000-000051630000}"/>
    <cellStyle name="标题 1 4 18 5 2 7" xfId="6871" xr:uid="{00000000-0005-0000-0000-000052630000}"/>
    <cellStyle name="标题 1 4 18 5 2 8" xfId="6878" xr:uid="{00000000-0005-0000-0000-000053630000}"/>
    <cellStyle name="标题 1 4 18 5 3" xfId="25864" xr:uid="{00000000-0005-0000-0000-000054630000}"/>
    <cellStyle name="标题 1 4 18 5 4" xfId="26266" xr:uid="{00000000-0005-0000-0000-000055630000}"/>
    <cellStyle name="标题 1 4 18 5 5" xfId="8671" xr:uid="{00000000-0005-0000-0000-000056630000}"/>
    <cellStyle name="标题 1 4 18 5 6" xfId="8674" xr:uid="{00000000-0005-0000-0000-000057630000}"/>
    <cellStyle name="标题 1 4 18 5 6 2" xfId="18459" xr:uid="{00000000-0005-0000-0000-000058630000}"/>
    <cellStyle name="标题 1 4 18 5 6 3" xfId="31654" xr:uid="{00000000-0005-0000-0000-000059630000}"/>
    <cellStyle name="标题 1 4 18 5 7" xfId="8849" xr:uid="{00000000-0005-0000-0000-00005A630000}"/>
    <cellStyle name="标题 1 4 18 5 8" xfId="6627" xr:uid="{00000000-0005-0000-0000-00005B630000}"/>
    <cellStyle name="标题 1 4 18 5 9" xfId="6634" xr:uid="{00000000-0005-0000-0000-00005C630000}"/>
    <cellStyle name="标题 1 4 18 6" xfId="18557" xr:uid="{00000000-0005-0000-0000-00005D630000}"/>
    <cellStyle name="标题 1 4 18 6 2" xfId="31655" xr:uid="{00000000-0005-0000-0000-00005E630000}"/>
    <cellStyle name="标题 1 4 18 6 2 2" xfId="18468" xr:uid="{00000000-0005-0000-0000-00005F630000}"/>
    <cellStyle name="标题 1 4 18 6 2 3" xfId="16837" xr:uid="{00000000-0005-0000-0000-000060630000}"/>
    <cellStyle name="标题 1 4 18 6 3" xfId="31656" xr:uid="{00000000-0005-0000-0000-000061630000}"/>
    <cellStyle name="标题 1 4 18 6 4" xfId="31657" xr:uid="{00000000-0005-0000-0000-000062630000}"/>
    <cellStyle name="标题 1 4 18 6 5" xfId="8999" xr:uid="{00000000-0005-0000-0000-000063630000}"/>
    <cellStyle name="标题 1 4 18 6 6" xfId="9002" xr:uid="{00000000-0005-0000-0000-000064630000}"/>
    <cellStyle name="标题 1 4 18 6 7" xfId="9005" xr:uid="{00000000-0005-0000-0000-000065630000}"/>
    <cellStyle name="标题 1 4 18 6 8" xfId="9010" xr:uid="{00000000-0005-0000-0000-000066630000}"/>
    <cellStyle name="标题 1 4 18 7" xfId="18563" xr:uid="{00000000-0005-0000-0000-000067630000}"/>
    <cellStyle name="标题 1 4 18 8" xfId="16644" xr:uid="{00000000-0005-0000-0000-000068630000}"/>
    <cellStyle name="标题 1 4 18 9" xfId="16649" xr:uid="{00000000-0005-0000-0000-000069630000}"/>
    <cellStyle name="标题 1 4 18 9 2" xfId="18582" xr:uid="{00000000-0005-0000-0000-00006A630000}"/>
    <cellStyle name="标题 1 4 18 9 3" xfId="18587" xr:uid="{00000000-0005-0000-0000-00006B630000}"/>
    <cellStyle name="标题 1 4 19" xfId="2427" xr:uid="{00000000-0005-0000-0000-00006C630000}"/>
    <cellStyle name="标题 1 4 19 10" xfId="9393" xr:uid="{00000000-0005-0000-0000-00006D630000}"/>
    <cellStyle name="标题 1 4 19 11" xfId="9407" xr:uid="{00000000-0005-0000-0000-00006E630000}"/>
    <cellStyle name="标题 1 4 19 12" xfId="216" xr:uid="{00000000-0005-0000-0000-00006F630000}"/>
    <cellStyle name="标题 1 4 19 13" xfId="9412" xr:uid="{00000000-0005-0000-0000-000070630000}"/>
    <cellStyle name="标题 1 4 19 14" xfId="30504" xr:uid="{00000000-0005-0000-0000-000071630000}"/>
    <cellStyle name="标题 1 4 19 2" xfId="2432" xr:uid="{00000000-0005-0000-0000-000072630000}"/>
    <cellStyle name="标题 1 4 19 3" xfId="2454" xr:uid="{00000000-0005-0000-0000-000073630000}"/>
    <cellStyle name="标题 1 4 19 4" xfId="2470" xr:uid="{00000000-0005-0000-0000-000074630000}"/>
    <cellStyle name="标题 1 4 19 5" xfId="2494" xr:uid="{00000000-0005-0000-0000-000075630000}"/>
    <cellStyle name="标题 1 4 19 5 10" xfId="27638" xr:uid="{00000000-0005-0000-0000-000076630000}"/>
    <cellStyle name="标题 1 4 19 5 11" xfId="27641" xr:uid="{00000000-0005-0000-0000-000077630000}"/>
    <cellStyle name="标题 1 4 19 5 2" xfId="31658" xr:uid="{00000000-0005-0000-0000-000078630000}"/>
    <cellStyle name="标题 1 4 19 5 2 2" xfId="18511" xr:uid="{00000000-0005-0000-0000-000079630000}"/>
    <cellStyle name="标题 1 4 19 5 2 2 2" xfId="3703" xr:uid="{00000000-0005-0000-0000-00007A630000}"/>
    <cellStyle name="标题 1 4 19 5 2 2 3" xfId="3708" xr:uid="{00000000-0005-0000-0000-00007B630000}"/>
    <cellStyle name="标题 1 4 19 5 2 3" xfId="18514" xr:uid="{00000000-0005-0000-0000-00007C630000}"/>
    <cellStyle name="标题 1 4 19 5 2 4" xfId="18517" xr:uid="{00000000-0005-0000-0000-00007D630000}"/>
    <cellStyle name="标题 1 4 19 5 2 5" xfId="18520" xr:uid="{00000000-0005-0000-0000-00007E630000}"/>
    <cellStyle name="标题 1 4 19 5 2 6" xfId="18523" xr:uid="{00000000-0005-0000-0000-00007F630000}"/>
    <cellStyle name="标题 1 4 19 5 2 7" xfId="17545" xr:uid="{00000000-0005-0000-0000-000080630000}"/>
    <cellStyle name="标题 1 4 19 5 2 8" xfId="17548" xr:uid="{00000000-0005-0000-0000-000081630000}"/>
    <cellStyle name="标题 1 4 19 5 3" xfId="31659" xr:uid="{00000000-0005-0000-0000-000082630000}"/>
    <cellStyle name="标题 1 4 19 5 4" xfId="31660" xr:uid="{00000000-0005-0000-0000-000083630000}"/>
    <cellStyle name="标题 1 4 19 5 5" xfId="31661" xr:uid="{00000000-0005-0000-0000-000084630000}"/>
    <cellStyle name="标题 1 4 19 5 6" xfId="31662" xr:uid="{00000000-0005-0000-0000-000085630000}"/>
    <cellStyle name="标题 1 4 19 5 6 2" xfId="9387" xr:uid="{00000000-0005-0000-0000-000086630000}"/>
    <cellStyle name="标题 1 4 19 5 6 3" xfId="31663" xr:uid="{00000000-0005-0000-0000-000087630000}"/>
    <cellStyle name="标题 1 4 19 5 7" xfId="31665" xr:uid="{00000000-0005-0000-0000-000088630000}"/>
    <cellStyle name="标题 1 4 19 5 8" xfId="10195" xr:uid="{00000000-0005-0000-0000-000089630000}"/>
    <cellStyle name="标题 1 4 19 5 9" xfId="10202" xr:uid="{00000000-0005-0000-0000-00008A630000}"/>
    <cellStyle name="标题 1 4 19 6" xfId="31666" xr:uid="{00000000-0005-0000-0000-00008B630000}"/>
    <cellStyle name="标题 1 4 19 6 2" xfId="31667" xr:uid="{00000000-0005-0000-0000-00008C630000}"/>
    <cellStyle name="标题 1 4 19 6 2 2" xfId="10577" xr:uid="{00000000-0005-0000-0000-00008D630000}"/>
    <cellStyle name="标题 1 4 19 6 2 3" xfId="21236" xr:uid="{00000000-0005-0000-0000-00008E630000}"/>
    <cellStyle name="标题 1 4 19 6 3" xfId="31668" xr:uid="{00000000-0005-0000-0000-00008F630000}"/>
    <cellStyle name="标题 1 4 19 6 4" xfId="31669" xr:uid="{00000000-0005-0000-0000-000090630000}"/>
    <cellStyle name="标题 1 4 19 6 5" xfId="31670" xr:uid="{00000000-0005-0000-0000-000091630000}"/>
    <cellStyle name="标题 1 4 19 6 6" xfId="31671" xr:uid="{00000000-0005-0000-0000-000092630000}"/>
    <cellStyle name="标题 1 4 19 6 7" xfId="31672" xr:uid="{00000000-0005-0000-0000-000093630000}"/>
    <cellStyle name="标题 1 4 19 6 8" xfId="27541" xr:uid="{00000000-0005-0000-0000-000094630000}"/>
    <cellStyle name="标题 1 4 19 7" xfId="31673" xr:uid="{00000000-0005-0000-0000-000095630000}"/>
    <cellStyle name="标题 1 4 19 8" xfId="31674" xr:uid="{00000000-0005-0000-0000-000096630000}"/>
    <cellStyle name="标题 1 4 19 9" xfId="31675" xr:uid="{00000000-0005-0000-0000-000097630000}"/>
    <cellStyle name="标题 1 4 19 9 2" xfId="28338" xr:uid="{00000000-0005-0000-0000-000098630000}"/>
    <cellStyle name="标题 1 4 19 9 3" xfId="31676" xr:uid="{00000000-0005-0000-0000-000099630000}"/>
    <cellStyle name="标题 1 4 2" xfId="31677" xr:uid="{00000000-0005-0000-0000-00009A630000}"/>
    <cellStyle name="标题 1 4 20" xfId="19837" xr:uid="{00000000-0005-0000-0000-00009B630000}"/>
    <cellStyle name="标题 1 4 20 10" xfId="17157" xr:uid="{00000000-0005-0000-0000-00009C630000}"/>
    <cellStyle name="标题 1 4 20 11" xfId="17159" xr:uid="{00000000-0005-0000-0000-00009D630000}"/>
    <cellStyle name="标题 1 4 20 12" xfId="17161" xr:uid="{00000000-0005-0000-0000-00009E630000}"/>
    <cellStyle name="标题 1 4 20 13" xfId="31678" xr:uid="{00000000-0005-0000-0000-00009F630000}"/>
    <cellStyle name="标题 1 4 20 14" xfId="31679" xr:uid="{00000000-0005-0000-0000-0000A0630000}"/>
    <cellStyle name="标题 1 4 20 2" xfId="31680" xr:uid="{00000000-0005-0000-0000-0000A1630000}"/>
    <cellStyle name="标题 1 4 20 3" xfId="1893" xr:uid="{00000000-0005-0000-0000-0000A2630000}"/>
    <cellStyle name="标题 1 4 20 4" xfId="1916" xr:uid="{00000000-0005-0000-0000-0000A3630000}"/>
    <cellStyle name="标题 1 4 20 5" xfId="1941" xr:uid="{00000000-0005-0000-0000-0000A4630000}"/>
    <cellStyle name="标题 1 4 20 5 10" xfId="28043" xr:uid="{00000000-0005-0000-0000-0000A5630000}"/>
    <cellStyle name="标题 1 4 20 5 11" xfId="28046" xr:uid="{00000000-0005-0000-0000-0000A6630000}"/>
    <cellStyle name="标题 1 4 20 5 2" xfId="31681" xr:uid="{00000000-0005-0000-0000-0000A7630000}"/>
    <cellStyle name="标题 1 4 20 5 2 2" xfId="31682" xr:uid="{00000000-0005-0000-0000-0000A8630000}"/>
    <cellStyle name="标题 1 4 20 5 2 2 2" xfId="31683" xr:uid="{00000000-0005-0000-0000-0000A9630000}"/>
    <cellStyle name="标题 1 4 20 5 2 2 3" xfId="31684" xr:uid="{00000000-0005-0000-0000-0000AA630000}"/>
    <cellStyle name="标题 1 4 20 5 2 3" xfId="31685" xr:uid="{00000000-0005-0000-0000-0000AB630000}"/>
    <cellStyle name="标题 1 4 20 5 2 4" xfId="31686" xr:uid="{00000000-0005-0000-0000-0000AC630000}"/>
    <cellStyle name="标题 1 4 20 5 2 5" xfId="31687" xr:uid="{00000000-0005-0000-0000-0000AD630000}"/>
    <cellStyle name="标题 1 4 20 5 2 6" xfId="31688" xr:uid="{00000000-0005-0000-0000-0000AE630000}"/>
    <cellStyle name="标题 1 4 20 5 2 7" xfId="31689" xr:uid="{00000000-0005-0000-0000-0000AF630000}"/>
    <cellStyle name="标题 1 4 20 5 2 8" xfId="31690" xr:uid="{00000000-0005-0000-0000-0000B0630000}"/>
    <cellStyle name="标题 1 4 20 5 3" xfId="31691" xr:uid="{00000000-0005-0000-0000-0000B1630000}"/>
    <cellStyle name="标题 1 4 20 5 4" xfId="31692" xr:uid="{00000000-0005-0000-0000-0000B2630000}"/>
    <cellStyle name="标题 1 4 20 5 5" xfId="31693" xr:uid="{00000000-0005-0000-0000-0000B3630000}"/>
    <cellStyle name="标题 1 4 20 5 6" xfId="25171" xr:uid="{00000000-0005-0000-0000-0000B4630000}"/>
    <cellStyle name="标题 1 4 20 5 6 2" xfId="31695" xr:uid="{00000000-0005-0000-0000-0000B5630000}"/>
    <cellStyle name="标题 1 4 20 5 6 3" xfId="31697" xr:uid="{00000000-0005-0000-0000-0000B6630000}"/>
    <cellStyle name="标题 1 4 20 5 7" xfId="25173" xr:uid="{00000000-0005-0000-0000-0000B7630000}"/>
    <cellStyle name="标题 1 4 20 5 8" xfId="31698" xr:uid="{00000000-0005-0000-0000-0000B8630000}"/>
    <cellStyle name="标题 1 4 20 5 9" xfId="31699" xr:uid="{00000000-0005-0000-0000-0000B9630000}"/>
    <cellStyle name="标题 1 4 20 6" xfId="1830" xr:uid="{00000000-0005-0000-0000-0000BA630000}"/>
    <cellStyle name="标题 1 4 20 6 2" xfId="31700" xr:uid="{00000000-0005-0000-0000-0000BB630000}"/>
    <cellStyle name="标题 1 4 20 6 2 2" xfId="31701" xr:uid="{00000000-0005-0000-0000-0000BC630000}"/>
    <cellStyle name="标题 1 4 20 6 2 3" xfId="25343" xr:uid="{00000000-0005-0000-0000-0000BD630000}"/>
    <cellStyle name="标题 1 4 20 6 3" xfId="31702" xr:uid="{00000000-0005-0000-0000-0000BE630000}"/>
    <cellStyle name="标题 1 4 20 6 4" xfId="31703" xr:uid="{00000000-0005-0000-0000-0000BF630000}"/>
    <cellStyle name="标题 1 4 20 6 5" xfId="31704" xr:uid="{00000000-0005-0000-0000-0000C0630000}"/>
    <cellStyle name="标题 1 4 20 6 6" xfId="25645" xr:uid="{00000000-0005-0000-0000-0000C1630000}"/>
    <cellStyle name="标题 1 4 20 6 7" xfId="30482" xr:uid="{00000000-0005-0000-0000-0000C2630000}"/>
    <cellStyle name="标题 1 4 20 6 8" xfId="31705" xr:uid="{00000000-0005-0000-0000-0000C3630000}"/>
    <cellStyle name="标题 1 4 20 7" xfId="1861" xr:uid="{00000000-0005-0000-0000-0000C4630000}"/>
    <cellStyle name="标题 1 4 20 8" xfId="5061" xr:uid="{00000000-0005-0000-0000-0000C5630000}"/>
    <cellStyle name="标题 1 4 20 9" xfId="5070" xr:uid="{00000000-0005-0000-0000-0000C6630000}"/>
    <cellStyle name="标题 1 4 20 9 2" xfId="28379" xr:uid="{00000000-0005-0000-0000-0000C7630000}"/>
    <cellStyle name="标题 1 4 20 9 3" xfId="16050" xr:uid="{00000000-0005-0000-0000-0000C8630000}"/>
    <cellStyle name="标题 1 4 3" xfId="31706" xr:uid="{00000000-0005-0000-0000-0000C9630000}"/>
    <cellStyle name="标题 1 4 4" xfId="31707" xr:uid="{00000000-0005-0000-0000-0000CA630000}"/>
    <cellStyle name="标题 1 4 5" xfId="31708" xr:uid="{00000000-0005-0000-0000-0000CB630000}"/>
    <cellStyle name="标题 1 4 6" xfId="31709" xr:uid="{00000000-0005-0000-0000-0000CC630000}"/>
    <cellStyle name="标题 1 4 7" xfId="31710" xr:uid="{00000000-0005-0000-0000-0000CD630000}"/>
    <cellStyle name="标题 1 4 8" xfId="31711" xr:uid="{00000000-0005-0000-0000-0000CE630000}"/>
    <cellStyle name="标题 1 4 9" xfId="31712" xr:uid="{00000000-0005-0000-0000-0000CF630000}"/>
    <cellStyle name="标题 1 5" xfId="31713" xr:uid="{00000000-0005-0000-0000-0000D0630000}"/>
    <cellStyle name="标题 1 5 10" xfId="14172" xr:uid="{00000000-0005-0000-0000-0000D1630000}"/>
    <cellStyle name="标题 1 5 11" xfId="31715" xr:uid="{00000000-0005-0000-0000-0000D2630000}"/>
    <cellStyle name="标题 1 5 12" xfId="31717" xr:uid="{00000000-0005-0000-0000-0000D3630000}"/>
    <cellStyle name="标题 1 5 13" xfId="31719" xr:uid="{00000000-0005-0000-0000-0000D4630000}"/>
    <cellStyle name="标题 1 5 14" xfId="31721" xr:uid="{00000000-0005-0000-0000-0000D5630000}"/>
    <cellStyle name="标题 1 5 2" xfId="15294" xr:uid="{00000000-0005-0000-0000-0000D6630000}"/>
    <cellStyle name="标题 1 5 3" xfId="4172" xr:uid="{00000000-0005-0000-0000-0000D7630000}"/>
    <cellStyle name="标题 1 5 4" xfId="4182" xr:uid="{00000000-0005-0000-0000-0000D8630000}"/>
    <cellStyle name="标题 1 5 5" xfId="15298" xr:uid="{00000000-0005-0000-0000-0000D9630000}"/>
    <cellStyle name="标题 1 5 6" xfId="17503" xr:uid="{00000000-0005-0000-0000-0000DA630000}"/>
    <cellStyle name="标题 1 5 7" xfId="17508" xr:uid="{00000000-0005-0000-0000-0000DB630000}"/>
    <cellStyle name="标题 1 5 8" xfId="23471" xr:uid="{00000000-0005-0000-0000-0000DC630000}"/>
    <cellStyle name="标题 1 5 9" xfId="23480" xr:uid="{00000000-0005-0000-0000-0000DD630000}"/>
    <cellStyle name="标题 1 6" xfId="25188" xr:uid="{00000000-0005-0000-0000-0000DE630000}"/>
    <cellStyle name="标题 1 6 10" xfId="31722" xr:uid="{00000000-0005-0000-0000-0000DF630000}"/>
    <cellStyle name="标题 1 6 11" xfId="31723" xr:uid="{00000000-0005-0000-0000-0000E0630000}"/>
    <cellStyle name="标题 1 6 12" xfId="31724" xr:uid="{00000000-0005-0000-0000-0000E1630000}"/>
    <cellStyle name="标题 1 6 13" xfId="31725" xr:uid="{00000000-0005-0000-0000-0000E2630000}"/>
    <cellStyle name="标题 1 6 14" xfId="31727" xr:uid="{00000000-0005-0000-0000-0000E3630000}"/>
    <cellStyle name="标题 1 6 2" xfId="25190" xr:uid="{00000000-0005-0000-0000-0000E4630000}"/>
    <cellStyle name="标题 1 6 3" xfId="25192" xr:uid="{00000000-0005-0000-0000-0000E5630000}"/>
    <cellStyle name="标题 1 6 4" xfId="31728" xr:uid="{00000000-0005-0000-0000-0000E6630000}"/>
    <cellStyle name="标题 1 6 5" xfId="31729" xr:uid="{00000000-0005-0000-0000-0000E7630000}"/>
    <cellStyle name="标题 1 6 6" xfId="31730" xr:uid="{00000000-0005-0000-0000-0000E8630000}"/>
    <cellStyle name="标题 1 6 7" xfId="31731" xr:uid="{00000000-0005-0000-0000-0000E9630000}"/>
    <cellStyle name="标题 1 6 8" xfId="23492" xr:uid="{00000000-0005-0000-0000-0000EA630000}"/>
    <cellStyle name="标题 1 6 9" xfId="23499" xr:uid="{00000000-0005-0000-0000-0000EB630000}"/>
    <cellStyle name="标题 1 7" xfId="25195" xr:uid="{00000000-0005-0000-0000-0000EC630000}"/>
    <cellStyle name="标题 1 8" xfId="25198" xr:uid="{00000000-0005-0000-0000-0000ED630000}"/>
    <cellStyle name="标题 1 9" xfId="25200" xr:uid="{00000000-0005-0000-0000-0000EE630000}"/>
    <cellStyle name="标题 10" xfId="31732" xr:uid="{00000000-0005-0000-0000-0000EF630000}"/>
    <cellStyle name="标题 11" xfId="28791" xr:uid="{00000000-0005-0000-0000-0000F0630000}"/>
    <cellStyle name="标题 12" xfId="28793" xr:uid="{00000000-0005-0000-0000-0000F1630000}"/>
    <cellStyle name="标题 13" xfId="31733" xr:uid="{00000000-0005-0000-0000-0000F2630000}"/>
    <cellStyle name="标题 14" xfId="12940" xr:uid="{00000000-0005-0000-0000-0000F3630000}"/>
    <cellStyle name="标题 15" xfId="12945" xr:uid="{00000000-0005-0000-0000-0000F4630000}"/>
    <cellStyle name="标题 15 10" xfId="31734" xr:uid="{00000000-0005-0000-0000-0000F5630000}"/>
    <cellStyle name="标题 15 11" xfId="31737" xr:uid="{00000000-0005-0000-0000-0000F6630000}"/>
    <cellStyle name="标题 15 12" xfId="31741" xr:uid="{00000000-0005-0000-0000-0000F7630000}"/>
    <cellStyle name="标题 15 13" xfId="31745" xr:uid="{00000000-0005-0000-0000-0000F8630000}"/>
    <cellStyle name="标题 15 14" xfId="31748" xr:uid="{00000000-0005-0000-0000-0000F9630000}"/>
    <cellStyle name="标题 15 2" xfId="31752" xr:uid="{00000000-0005-0000-0000-0000FA630000}"/>
    <cellStyle name="标题 15 3" xfId="31755" xr:uid="{00000000-0005-0000-0000-0000FB630000}"/>
    <cellStyle name="标题 15 4" xfId="31758" xr:uid="{00000000-0005-0000-0000-0000FC630000}"/>
    <cellStyle name="标题 15 5" xfId="31761" xr:uid="{00000000-0005-0000-0000-0000FD630000}"/>
    <cellStyle name="标题 15 5 10" xfId="20448" xr:uid="{00000000-0005-0000-0000-0000FE630000}"/>
    <cellStyle name="标题 15 5 11" xfId="2350" xr:uid="{00000000-0005-0000-0000-0000FF630000}"/>
    <cellStyle name="标题 15 5 2" xfId="31763" xr:uid="{00000000-0005-0000-0000-000000640000}"/>
    <cellStyle name="标题 15 5 2 2" xfId="14316" xr:uid="{00000000-0005-0000-0000-000001640000}"/>
    <cellStyle name="标题 15 5 2 2 2" xfId="23774" xr:uid="{00000000-0005-0000-0000-000002640000}"/>
    <cellStyle name="标题 15 5 2 2 3" xfId="23779" xr:uid="{00000000-0005-0000-0000-000003640000}"/>
    <cellStyle name="标题 15 5 2 3" xfId="27233" xr:uid="{00000000-0005-0000-0000-000004640000}"/>
    <cellStyle name="标题 15 5 2 4" xfId="7754" xr:uid="{00000000-0005-0000-0000-000005640000}"/>
    <cellStyle name="标题 15 5 2 5" xfId="7781" xr:uid="{00000000-0005-0000-0000-000006640000}"/>
    <cellStyle name="标题 15 5 2 6" xfId="7787" xr:uid="{00000000-0005-0000-0000-000007640000}"/>
    <cellStyle name="标题 15 5 2 7" xfId="7793" xr:uid="{00000000-0005-0000-0000-000008640000}"/>
    <cellStyle name="标题 15 5 2 8" xfId="7798" xr:uid="{00000000-0005-0000-0000-000009640000}"/>
    <cellStyle name="标题 15 5 3" xfId="31765" xr:uid="{00000000-0005-0000-0000-00000A640000}"/>
    <cellStyle name="标题 15 5 4" xfId="31767" xr:uid="{00000000-0005-0000-0000-00000B640000}"/>
    <cellStyle name="标题 15 5 5" xfId="5365" xr:uid="{00000000-0005-0000-0000-00000C640000}"/>
    <cellStyle name="标题 15 5 6" xfId="5383" xr:uid="{00000000-0005-0000-0000-00000D640000}"/>
    <cellStyle name="标题 15 5 6 2" xfId="15002" xr:uid="{00000000-0005-0000-0000-00000E640000}"/>
    <cellStyle name="标题 15 5 6 3" xfId="15175" xr:uid="{00000000-0005-0000-0000-00000F640000}"/>
    <cellStyle name="标题 15 5 7" xfId="12516" xr:uid="{00000000-0005-0000-0000-000010640000}"/>
    <cellStyle name="标题 15 5 8" xfId="12526" xr:uid="{00000000-0005-0000-0000-000011640000}"/>
    <cellStyle name="标题 15 5 9" xfId="12536" xr:uid="{00000000-0005-0000-0000-000012640000}"/>
    <cellStyle name="标题 15 6" xfId="24360" xr:uid="{00000000-0005-0000-0000-000013640000}"/>
    <cellStyle name="标题 15 6 2" xfId="747" xr:uid="{00000000-0005-0000-0000-000014640000}"/>
    <cellStyle name="标题 15 6 2 2" xfId="22459" xr:uid="{00000000-0005-0000-0000-000015640000}"/>
    <cellStyle name="标题 15 6 2 3" xfId="22100" xr:uid="{00000000-0005-0000-0000-000016640000}"/>
    <cellStyle name="标题 15 6 3" xfId="1273" xr:uid="{00000000-0005-0000-0000-000017640000}"/>
    <cellStyle name="标题 15 6 4" xfId="6101" xr:uid="{00000000-0005-0000-0000-000018640000}"/>
    <cellStyle name="标题 15 6 5" xfId="6144" xr:uid="{00000000-0005-0000-0000-000019640000}"/>
    <cellStyle name="标题 15 6 6" xfId="6154" xr:uid="{00000000-0005-0000-0000-00001A640000}"/>
    <cellStyle name="标题 15 6 7" xfId="20263" xr:uid="{00000000-0005-0000-0000-00001B640000}"/>
    <cellStyle name="标题 15 6 8" xfId="20268" xr:uid="{00000000-0005-0000-0000-00001C640000}"/>
    <cellStyle name="标题 15 7" xfId="24365" xr:uid="{00000000-0005-0000-0000-00001D640000}"/>
    <cellStyle name="标题 15 8" xfId="24370" xr:uid="{00000000-0005-0000-0000-00001E640000}"/>
    <cellStyle name="标题 15 9" xfId="24374" xr:uid="{00000000-0005-0000-0000-00001F640000}"/>
    <cellStyle name="标题 15 9 2" xfId="31770" xr:uid="{00000000-0005-0000-0000-000020640000}"/>
    <cellStyle name="标题 15 9 3" xfId="31773" xr:uid="{00000000-0005-0000-0000-000021640000}"/>
    <cellStyle name="标题 16" xfId="12950" xr:uid="{00000000-0005-0000-0000-000022640000}"/>
    <cellStyle name="标题 17" xfId="12954" xr:uid="{00000000-0005-0000-0000-000023640000}"/>
    <cellStyle name="标题 18" xfId="12959" xr:uid="{00000000-0005-0000-0000-000024640000}"/>
    <cellStyle name="标题 19" xfId="26425" xr:uid="{00000000-0005-0000-0000-000025640000}"/>
    <cellStyle name="标题 19 10" xfId="19304" xr:uid="{00000000-0005-0000-0000-000026640000}"/>
    <cellStyle name="标题 19 11" xfId="19306" xr:uid="{00000000-0005-0000-0000-000027640000}"/>
    <cellStyle name="标题 19 12" xfId="24881" xr:uid="{00000000-0005-0000-0000-000028640000}"/>
    <cellStyle name="标题 19 13" xfId="24883" xr:uid="{00000000-0005-0000-0000-000029640000}"/>
    <cellStyle name="标题 19 14" xfId="24885" xr:uid="{00000000-0005-0000-0000-00002A640000}"/>
    <cellStyle name="标题 19 2" xfId="26122" xr:uid="{00000000-0005-0000-0000-00002B640000}"/>
    <cellStyle name="标题 19 3" xfId="26126" xr:uid="{00000000-0005-0000-0000-00002C640000}"/>
    <cellStyle name="标题 19 4" xfId="31776" xr:uid="{00000000-0005-0000-0000-00002D640000}"/>
    <cellStyle name="标题 19 5" xfId="31778" xr:uid="{00000000-0005-0000-0000-00002E640000}"/>
    <cellStyle name="标题 19 5 10" xfId="25287" xr:uid="{00000000-0005-0000-0000-00002F640000}"/>
    <cellStyle name="标题 19 5 11" xfId="2758" xr:uid="{00000000-0005-0000-0000-000030640000}"/>
    <cellStyle name="标题 19 5 2" xfId="25062" xr:uid="{00000000-0005-0000-0000-000031640000}"/>
    <cellStyle name="标题 19 5 2 2" xfId="20436" xr:uid="{00000000-0005-0000-0000-000032640000}"/>
    <cellStyle name="标题 19 5 2 2 2" xfId="31780" xr:uid="{00000000-0005-0000-0000-000033640000}"/>
    <cellStyle name="标题 19 5 2 2 3" xfId="31782" xr:uid="{00000000-0005-0000-0000-000034640000}"/>
    <cellStyle name="标题 19 5 2 3" xfId="20438" xr:uid="{00000000-0005-0000-0000-000035640000}"/>
    <cellStyle name="标题 19 5 2 4" xfId="31783" xr:uid="{00000000-0005-0000-0000-000036640000}"/>
    <cellStyle name="标题 19 5 2 5" xfId="31784" xr:uid="{00000000-0005-0000-0000-000037640000}"/>
    <cellStyle name="标题 19 5 2 6" xfId="31785" xr:uid="{00000000-0005-0000-0000-000038640000}"/>
    <cellStyle name="标题 19 5 2 7" xfId="31786" xr:uid="{00000000-0005-0000-0000-000039640000}"/>
    <cellStyle name="标题 19 5 2 8" xfId="31787" xr:uid="{00000000-0005-0000-0000-00003A640000}"/>
    <cellStyle name="标题 19 5 3" xfId="25066" xr:uid="{00000000-0005-0000-0000-00003B640000}"/>
    <cellStyle name="标题 19 5 4" xfId="31789" xr:uid="{00000000-0005-0000-0000-00003C640000}"/>
    <cellStyle name="标题 19 5 5" xfId="31790" xr:uid="{00000000-0005-0000-0000-00003D640000}"/>
    <cellStyle name="标题 19 5 6" xfId="31791" xr:uid="{00000000-0005-0000-0000-00003E640000}"/>
    <cellStyle name="标题 19 5 6 2" xfId="31792" xr:uid="{00000000-0005-0000-0000-00003F640000}"/>
    <cellStyle name="标题 19 5 6 3" xfId="31793" xr:uid="{00000000-0005-0000-0000-000040640000}"/>
    <cellStyle name="标题 19 5 7" xfId="31794" xr:uid="{00000000-0005-0000-0000-000041640000}"/>
    <cellStyle name="标题 19 5 8" xfId="31795" xr:uid="{00000000-0005-0000-0000-000042640000}"/>
    <cellStyle name="标题 19 5 9" xfId="20083" xr:uid="{00000000-0005-0000-0000-000043640000}"/>
    <cellStyle name="标题 19 6" xfId="10003" xr:uid="{00000000-0005-0000-0000-000044640000}"/>
    <cellStyle name="标题 19 6 2" xfId="11760" xr:uid="{00000000-0005-0000-0000-000045640000}"/>
    <cellStyle name="标题 19 6 2 2" xfId="20485" xr:uid="{00000000-0005-0000-0000-000046640000}"/>
    <cellStyle name="标题 19 6 2 3" xfId="20488" xr:uid="{00000000-0005-0000-0000-000047640000}"/>
    <cellStyle name="标题 19 6 3" xfId="11769" xr:uid="{00000000-0005-0000-0000-000048640000}"/>
    <cellStyle name="标题 19 6 4" xfId="10923" xr:uid="{00000000-0005-0000-0000-000049640000}"/>
    <cellStyle name="标题 19 6 5" xfId="10055" xr:uid="{00000000-0005-0000-0000-00004A640000}"/>
    <cellStyle name="标题 19 6 6" xfId="10062" xr:uid="{00000000-0005-0000-0000-00004B640000}"/>
    <cellStyle name="标题 19 6 7" xfId="2081" xr:uid="{00000000-0005-0000-0000-00004C640000}"/>
    <cellStyle name="标题 19 6 8" xfId="20218" xr:uid="{00000000-0005-0000-0000-00004D640000}"/>
    <cellStyle name="标题 19 7" xfId="9789" xr:uid="{00000000-0005-0000-0000-00004E640000}"/>
    <cellStyle name="标题 19 8" xfId="9804" xr:uid="{00000000-0005-0000-0000-00004F640000}"/>
    <cellStyle name="标题 19 9" xfId="9528" xr:uid="{00000000-0005-0000-0000-000050640000}"/>
    <cellStyle name="标题 19 9 2" xfId="31796" xr:uid="{00000000-0005-0000-0000-000051640000}"/>
    <cellStyle name="标题 19 9 3" xfId="31797" xr:uid="{00000000-0005-0000-0000-000052640000}"/>
    <cellStyle name="标题 2 10" xfId="15691" xr:uid="{00000000-0005-0000-0000-000053640000}"/>
    <cellStyle name="标题 2 11" xfId="15693" xr:uid="{00000000-0005-0000-0000-000054640000}"/>
    <cellStyle name="标题 2 12" xfId="31798" xr:uid="{00000000-0005-0000-0000-000055640000}"/>
    <cellStyle name="标题 2 12 10" xfId="26895" xr:uid="{00000000-0005-0000-0000-000056640000}"/>
    <cellStyle name="标题 2 12 11" xfId="26897" xr:uid="{00000000-0005-0000-0000-000057640000}"/>
    <cellStyle name="标题 2 12 12" xfId="26899" xr:uid="{00000000-0005-0000-0000-000058640000}"/>
    <cellStyle name="标题 2 12 13" xfId="26901" xr:uid="{00000000-0005-0000-0000-000059640000}"/>
    <cellStyle name="标题 2 12 14" xfId="26903" xr:uid="{00000000-0005-0000-0000-00005A640000}"/>
    <cellStyle name="标题 2 12 2" xfId="27505" xr:uid="{00000000-0005-0000-0000-00005B640000}"/>
    <cellStyle name="标题 2 12 3" xfId="27507" xr:uid="{00000000-0005-0000-0000-00005C640000}"/>
    <cellStyle name="标题 2 12 4" xfId="31799" xr:uid="{00000000-0005-0000-0000-00005D640000}"/>
    <cellStyle name="标题 2 12 5" xfId="31800" xr:uid="{00000000-0005-0000-0000-00005E640000}"/>
    <cellStyle name="标题 2 12 5 10" xfId="31801" xr:uid="{00000000-0005-0000-0000-00005F640000}"/>
    <cellStyle name="标题 2 12 5 11" xfId="31802" xr:uid="{00000000-0005-0000-0000-000060640000}"/>
    <cellStyle name="标题 2 12 5 2" xfId="31803" xr:uid="{00000000-0005-0000-0000-000061640000}"/>
    <cellStyle name="标题 2 12 5 2 2" xfId="31804" xr:uid="{00000000-0005-0000-0000-000062640000}"/>
    <cellStyle name="标题 2 12 5 2 2 2" xfId="31805" xr:uid="{00000000-0005-0000-0000-000063640000}"/>
    <cellStyle name="标题 2 12 5 2 2 3" xfId="31807" xr:uid="{00000000-0005-0000-0000-000064640000}"/>
    <cellStyle name="标题 2 12 5 2 3" xfId="31809" xr:uid="{00000000-0005-0000-0000-000065640000}"/>
    <cellStyle name="标题 2 12 5 2 4" xfId="31810" xr:uid="{00000000-0005-0000-0000-000066640000}"/>
    <cellStyle name="标题 2 12 5 2 5" xfId="31811" xr:uid="{00000000-0005-0000-0000-000067640000}"/>
    <cellStyle name="标题 2 12 5 2 6" xfId="18050" xr:uid="{00000000-0005-0000-0000-000068640000}"/>
    <cellStyle name="标题 2 12 5 2 7" xfId="18054" xr:uid="{00000000-0005-0000-0000-000069640000}"/>
    <cellStyle name="标题 2 12 5 2 8" xfId="30719" xr:uid="{00000000-0005-0000-0000-00006A640000}"/>
    <cellStyle name="标题 2 12 5 3" xfId="31812" xr:uid="{00000000-0005-0000-0000-00006B640000}"/>
    <cellStyle name="标题 2 12 5 4" xfId="31813" xr:uid="{00000000-0005-0000-0000-00006C640000}"/>
    <cellStyle name="标题 2 12 5 5" xfId="31814" xr:uid="{00000000-0005-0000-0000-00006D640000}"/>
    <cellStyle name="标题 2 12 5 6" xfId="31816" xr:uid="{00000000-0005-0000-0000-00006E640000}"/>
    <cellStyle name="标题 2 12 5 6 2" xfId="31818" xr:uid="{00000000-0005-0000-0000-00006F640000}"/>
    <cellStyle name="标题 2 12 5 6 3" xfId="31820" xr:uid="{00000000-0005-0000-0000-000070640000}"/>
    <cellStyle name="标题 2 12 5 7" xfId="7070" xr:uid="{00000000-0005-0000-0000-000071640000}"/>
    <cellStyle name="标题 2 12 5 8" xfId="7074" xr:uid="{00000000-0005-0000-0000-000072640000}"/>
    <cellStyle name="标题 2 12 5 9" xfId="31822" xr:uid="{00000000-0005-0000-0000-000073640000}"/>
    <cellStyle name="标题 2 12 6" xfId="31825" xr:uid="{00000000-0005-0000-0000-000074640000}"/>
    <cellStyle name="标题 2 12 6 2" xfId="31827" xr:uid="{00000000-0005-0000-0000-000075640000}"/>
    <cellStyle name="标题 2 12 6 2 2" xfId="31829" xr:uid="{00000000-0005-0000-0000-000076640000}"/>
    <cellStyle name="标题 2 12 6 2 3" xfId="31830" xr:uid="{00000000-0005-0000-0000-000077640000}"/>
    <cellStyle name="标题 2 12 6 3" xfId="31831" xr:uid="{00000000-0005-0000-0000-000078640000}"/>
    <cellStyle name="标题 2 12 6 4" xfId="31832" xr:uid="{00000000-0005-0000-0000-000079640000}"/>
    <cellStyle name="标题 2 12 6 5" xfId="31833" xr:uid="{00000000-0005-0000-0000-00007A640000}"/>
    <cellStyle name="标题 2 12 6 6" xfId="21169" xr:uid="{00000000-0005-0000-0000-00007B640000}"/>
    <cellStyle name="标题 2 12 6 7" xfId="21171" xr:uid="{00000000-0005-0000-0000-00007C640000}"/>
    <cellStyle name="标题 2 12 6 8" xfId="21173" xr:uid="{00000000-0005-0000-0000-00007D640000}"/>
    <cellStyle name="标题 2 12 7" xfId="31835" xr:uid="{00000000-0005-0000-0000-00007E640000}"/>
    <cellStyle name="标题 2 12 8" xfId="31837" xr:uid="{00000000-0005-0000-0000-00007F640000}"/>
    <cellStyle name="标题 2 12 9" xfId="31839" xr:uid="{00000000-0005-0000-0000-000080640000}"/>
    <cellStyle name="标题 2 12 9 2" xfId="23041" xr:uid="{00000000-0005-0000-0000-000081640000}"/>
    <cellStyle name="标题 2 12 9 3" xfId="23045" xr:uid="{00000000-0005-0000-0000-000082640000}"/>
    <cellStyle name="标题 2 13" xfId="31840" xr:uid="{00000000-0005-0000-0000-000083640000}"/>
    <cellStyle name="标题 2 14" xfId="19200" xr:uid="{00000000-0005-0000-0000-000084640000}"/>
    <cellStyle name="标题 2 15" xfId="19204" xr:uid="{00000000-0005-0000-0000-000085640000}"/>
    <cellStyle name="标题 2 16" xfId="31842" xr:uid="{00000000-0005-0000-0000-000086640000}"/>
    <cellStyle name="标题 2 16 10" xfId="11637" xr:uid="{00000000-0005-0000-0000-000087640000}"/>
    <cellStyle name="标题 2 16 11" xfId="11640" xr:uid="{00000000-0005-0000-0000-000088640000}"/>
    <cellStyle name="标题 2 16 12" xfId="11643" xr:uid="{00000000-0005-0000-0000-000089640000}"/>
    <cellStyle name="标题 2 16 13" xfId="8361" xr:uid="{00000000-0005-0000-0000-00008A640000}"/>
    <cellStyle name="标题 2 16 14" xfId="31843" xr:uid="{00000000-0005-0000-0000-00008B640000}"/>
    <cellStyle name="标题 2 16 2" xfId="31844" xr:uid="{00000000-0005-0000-0000-00008C640000}"/>
    <cellStyle name="标题 2 16 3" xfId="29184" xr:uid="{00000000-0005-0000-0000-00008D640000}"/>
    <cellStyle name="标题 2 16 4" xfId="29187" xr:uid="{00000000-0005-0000-0000-00008E640000}"/>
    <cellStyle name="标题 2 16 5" xfId="29190" xr:uid="{00000000-0005-0000-0000-00008F640000}"/>
    <cellStyle name="标题 2 16 5 10" xfId="1261" xr:uid="{00000000-0005-0000-0000-000090640000}"/>
    <cellStyle name="标题 2 16 5 11" xfId="31845" xr:uid="{00000000-0005-0000-0000-000091640000}"/>
    <cellStyle name="标题 2 16 5 2" xfId="21610" xr:uid="{00000000-0005-0000-0000-000092640000}"/>
    <cellStyle name="标题 2 16 5 2 2" xfId="5441" xr:uid="{00000000-0005-0000-0000-000093640000}"/>
    <cellStyle name="标题 2 16 5 2 2 2" xfId="1439" xr:uid="{00000000-0005-0000-0000-000094640000}"/>
    <cellStyle name="标题 2 16 5 2 2 3" xfId="1471" xr:uid="{00000000-0005-0000-0000-000095640000}"/>
    <cellStyle name="标题 2 16 5 2 3" xfId="5457" xr:uid="{00000000-0005-0000-0000-000096640000}"/>
    <cellStyle name="标题 2 16 5 2 4" xfId="5470" xr:uid="{00000000-0005-0000-0000-000097640000}"/>
    <cellStyle name="标题 2 16 5 2 5" xfId="5479" xr:uid="{00000000-0005-0000-0000-000098640000}"/>
    <cellStyle name="标题 2 16 5 2 6" xfId="6855" xr:uid="{00000000-0005-0000-0000-000099640000}"/>
    <cellStyle name="标题 2 16 5 2 7" xfId="2677" xr:uid="{00000000-0005-0000-0000-00009A640000}"/>
    <cellStyle name="标题 2 16 5 2 8" xfId="3270" xr:uid="{00000000-0005-0000-0000-00009B640000}"/>
    <cellStyle name="标题 2 16 5 3" xfId="31846" xr:uid="{00000000-0005-0000-0000-00009C640000}"/>
    <cellStyle name="标题 2 16 5 4" xfId="31847" xr:uid="{00000000-0005-0000-0000-00009D640000}"/>
    <cellStyle name="标题 2 16 5 5" xfId="25874" xr:uid="{00000000-0005-0000-0000-00009E640000}"/>
    <cellStyle name="标题 2 16 5 6" xfId="31850" xr:uid="{00000000-0005-0000-0000-00009F640000}"/>
    <cellStyle name="标题 2 16 5 6 2" xfId="11048" xr:uid="{00000000-0005-0000-0000-0000A0640000}"/>
    <cellStyle name="标题 2 16 5 6 3" xfId="11052" xr:uid="{00000000-0005-0000-0000-0000A1640000}"/>
    <cellStyle name="标题 2 16 5 7" xfId="31853" xr:uid="{00000000-0005-0000-0000-0000A2640000}"/>
    <cellStyle name="标题 2 16 5 8" xfId="31856" xr:uid="{00000000-0005-0000-0000-0000A3640000}"/>
    <cellStyle name="标题 2 16 5 9" xfId="31860" xr:uid="{00000000-0005-0000-0000-0000A4640000}"/>
    <cellStyle name="标题 2 16 6" xfId="29193" xr:uid="{00000000-0005-0000-0000-0000A5640000}"/>
    <cellStyle name="标题 2 16 6 2" xfId="31862" xr:uid="{00000000-0005-0000-0000-0000A6640000}"/>
    <cellStyle name="标题 2 16 6 2 2" xfId="5727" xr:uid="{00000000-0005-0000-0000-0000A7640000}"/>
    <cellStyle name="标题 2 16 6 2 3" xfId="5748" xr:uid="{00000000-0005-0000-0000-0000A8640000}"/>
    <cellStyle name="标题 2 16 6 3" xfId="31863" xr:uid="{00000000-0005-0000-0000-0000A9640000}"/>
    <cellStyle name="标题 2 16 6 4" xfId="31864" xr:uid="{00000000-0005-0000-0000-0000AA640000}"/>
    <cellStyle name="标题 2 16 6 5" xfId="31865" xr:uid="{00000000-0005-0000-0000-0000AB640000}"/>
    <cellStyle name="标题 2 16 6 6" xfId="31866" xr:uid="{00000000-0005-0000-0000-0000AC640000}"/>
    <cellStyle name="标题 2 16 6 7" xfId="31867" xr:uid="{00000000-0005-0000-0000-0000AD640000}"/>
    <cellStyle name="标题 2 16 6 8" xfId="31869" xr:uid="{00000000-0005-0000-0000-0000AE640000}"/>
    <cellStyle name="标题 2 16 7" xfId="29196" xr:uid="{00000000-0005-0000-0000-0000AF640000}"/>
    <cellStyle name="标题 2 16 8" xfId="29198" xr:uid="{00000000-0005-0000-0000-0000B0640000}"/>
    <cellStyle name="标题 2 16 9" xfId="29200" xr:uid="{00000000-0005-0000-0000-0000B1640000}"/>
    <cellStyle name="标题 2 16 9 2" xfId="13533" xr:uid="{00000000-0005-0000-0000-0000B2640000}"/>
    <cellStyle name="标题 2 16 9 3" xfId="13535" xr:uid="{00000000-0005-0000-0000-0000B3640000}"/>
    <cellStyle name="标题 2 17" xfId="31870" xr:uid="{00000000-0005-0000-0000-0000B4640000}"/>
    <cellStyle name="标题 2 17 10" xfId="30686" xr:uid="{00000000-0005-0000-0000-0000B5640000}"/>
    <cellStyle name="标题 2 17 11" xfId="30690" xr:uid="{00000000-0005-0000-0000-0000B6640000}"/>
    <cellStyle name="标题 2 17 12" xfId="30692" xr:uid="{00000000-0005-0000-0000-0000B7640000}"/>
    <cellStyle name="标题 2 17 13" xfId="30694" xr:uid="{00000000-0005-0000-0000-0000B8640000}"/>
    <cellStyle name="标题 2 17 14" xfId="30696" xr:uid="{00000000-0005-0000-0000-0000B9640000}"/>
    <cellStyle name="标题 2 17 2" xfId="27587" xr:uid="{00000000-0005-0000-0000-0000BA640000}"/>
    <cellStyle name="标题 2 17 3" xfId="27590" xr:uid="{00000000-0005-0000-0000-0000BB640000}"/>
    <cellStyle name="标题 2 17 4" xfId="29227" xr:uid="{00000000-0005-0000-0000-0000BC640000}"/>
    <cellStyle name="标题 2 17 5" xfId="29229" xr:uid="{00000000-0005-0000-0000-0000BD640000}"/>
    <cellStyle name="标题 2 17 5 10" xfId="1933" xr:uid="{00000000-0005-0000-0000-0000BE640000}"/>
    <cellStyle name="标题 2 17 5 11" xfId="30884" xr:uid="{00000000-0005-0000-0000-0000BF640000}"/>
    <cellStyle name="标题 2 17 5 2" xfId="7656" xr:uid="{00000000-0005-0000-0000-0000C0640000}"/>
    <cellStyle name="标题 2 17 5 2 2" xfId="7618" xr:uid="{00000000-0005-0000-0000-0000C1640000}"/>
    <cellStyle name="标题 2 17 5 2 2 2" xfId="563" xr:uid="{00000000-0005-0000-0000-0000C2640000}"/>
    <cellStyle name="标题 2 17 5 2 2 3" xfId="408" xr:uid="{00000000-0005-0000-0000-0000C3640000}"/>
    <cellStyle name="标题 2 17 5 2 3" xfId="7630" xr:uid="{00000000-0005-0000-0000-0000C4640000}"/>
    <cellStyle name="标题 2 17 5 2 4" xfId="8929" xr:uid="{00000000-0005-0000-0000-0000C5640000}"/>
    <cellStyle name="标题 2 17 5 2 5" xfId="916" xr:uid="{00000000-0005-0000-0000-0000C6640000}"/>
    <cellStyle name="标题 2 17 5 2 6" xfId="955" xr:uid="{00000000-0005-0000-0000-0000C7640000}"/>
    <cellStyle name="标题 2 17 5 2 7" xfId="991" xr:uid="{00000000-0005-0000-0000-0000C8640000}"/>
    <cellStyle name="标题 2 17 5 2 8" xfId="1013" xr:uid="{00000000-0005-0000-0000-0000C9640000}"/>
    <cellStyle name="标题 2 17 5 3" xfId="31871" xr:uid="{00000000-0005-0000-0000-0000CA640000}"/>
    <cellStyle name="标题 2 17 5 4" xfId="31872" xr:uid="{00000000-0005-0000-0000-0000CB640000}"/>
    <cellStyle name="标题 2 17 5 5" xfId="31873" xr:uid="{00000000-0005-0000-0000-0000CC640000}"/>
    <cellStyle name="标题 2 17 5 6" xfId="31874" xr:uid="{00000000-0005-0000-0000-0000CD640000}"/>
    <cellStyle name="标题 2 17 5 6 2" xfId="31875" xr:uid="{00000000-0005-0000-0000-0000CE640000}"/>
    <cellStyle name="标题 2 17 5 6 3" xfId="18612" xr:uid="{00000000-0005-0000-0000-0000CF640000}"/>
    <cellStyle name="标题 2 17 5 7" xfId="31876" xr:uid="{00000000-0005-0000-0000-0000D0640000}"/>
    <cellStyle name="标题 2 17 5 8" xfId="31877" xr:uid="{00000000-0005-0000-0000-0000D1640000}"/>
    <cellStyle name="标题 2 17 5 9" xfId="31879" xr:uid="{00000000-0005-0000-0000-0000D2640000}"/>
    <cellStyle name="标题 2 17 6" xfId="29232" xr:uid="{00000000-0005-0000-0000-0000D3640000}"/>
    <cellStyle name="标题 2 17 6 2" xfId="31880" xr:uid="{00000000-0005-0000-0000-0000D4640000}"/>
    <cellStyle name="标题 2 17 6 2 2" xfId="31884" xr:uid="{00000000-0005-0000-0000-0000D5640000}"/>
    <cellStyle name="标题 2 17 6 2 3" xfId="18630" xr:uid="{00000000-0005-0000-0000-0000D6640000}"/>
    <cellStyle name="标题 2 17 6 3" xfId="31885" xr:uid="{00000000-0005-0000-0000-0000D7640000}"/>
    <cellStyle name="标题 2 17 6 4" xfId="31886" xr:uid="{00000000-0005-0000-0000-0000D8640000}"/>
    <cellStyle name="标题 2 17 6 5" xfId="31887" xr:uid="{00000000-0005-0000-0000-0000D9640000}"/>
    <cellStyle name="标题 2 17 6 6" xfId="21913" xr:uid="{00000000-0005-0000-0000-0000DA640000}"/>
    <cellStyle name="标题 2 17 6 7" xfId="21915" xr:uid="{00000000-0005-0000-0000-0000DB640000}"/>
    <cellStyle name="标题 2 17 6 8" xfId="21917" xr:uid="{00000000-0005-0000-0000-0000DC640000}"/>
    <cellStyle name="标题 2 17 7" xfId="29235" xr:uid="{00000000-0005-0000-0000-0000DD640000}"/>
    <cellStyle name="标题 2 17 8" xfId="29238" xr:uid="{00000000-0005-0000-0000-0000DE640000}"/>
    <cellStyle name="标题 2 17 9" xfId="29242" xr:uid="{00000000-0005-0000-0000-0000DF640000}"/>
    <cellStyle name="标题 2 17 9 2" xfId="14406" xr:uid="{00000000-0005-0000-0000-0000E0640000}"/>
    <cellStyle name="标题 2 17 9 3" xfId="14408" xr:uid="{00000000-0005-0000-0000-0000E1640000}"/>
    <cellStyle name="标题 2 18" xfId="31888" xr:uid="{00000000-0005-0000-0000-0000E2640000}"/>
    <cellStyle name="标题 2 18 10" xfId="31889" xr:uid="{00000000-0005-0000-0000-0000E3640000}"/>
    <cellStyle name="标题 2 18 11" xfId="17839" xr:uid="{00000000-0005-0000-0000-0000E4640000}"/>
    <cellStyle name="标题 2 18 12" xfId="23275" xr:uid="{00000000-0005-0000-0000-0000E5640000}"/>
    <cellStyle name="标题 2 18 13" xfId="15211" xr:uid="{00000000-0005-0000-0000-0000E6640000}"/>
    <cellStyle name="标题 2 18 14" xfId="15238" xr:uid="{00000000-0005-0000-0000-0000E7640000}"/>
    <cellStyle name="标题 2 18 2" xfId="31891" xr:uid="{00000000-0005-0000-0000-0000E8640000}"/>
    <cellStyle name="标题 2 18 3" xfId="29249" xr:uid="{00000000-0005-0000-0000-0000E9640000}"/>
    <cellStyle name="标题 2 18 4" xfId="29251" xr:uid="{00000000-0005-0000-0000-0000EA640000}"/>
    <cellStyle name="标题 2 18 5" xfId="29253" xr:uid="{00000000-0005-0000-0000-0000EB640000}"/>
    <cellStyle name="标题 2 18 5 10" xfId="7311" xr:uid="{00000000-0005-0000-0000-0000EC640000}"/>
    <cellStyle name="标题 2 18 5 11" xfId="24579" xr:uid="{00000000-0005-0000-0000-0000ED640000}"/>
    <cellStyle name="标题 2 18 5 2" xfId="3881" xr:uid="{00000000-0005-0000-0000-0000EE640000}"/>
    <cellStyle name="标题 2 18 5 2 2" xfId="31893" xr:uid="{00000000-0005-0000-0000-0000EF640000}"/>
    <cellStyle name="标题 2 18 5 2 2 2" xfId="31895" xr:uid="{00000000-0005-0000-0000-0000F0640000}"/>
    <cellStyle name="标题 2 18 5 2 2 3" xfId="31897" xr:uid="{00000000-0005-0000-0000-0000F1640000}"/>
    <cellStyle name="标题 2 18 5 2 3" xfId="7683" xr:uid="{00000000-0005-0000-0000-0000F2640000}"/>
    <cellStyle name="标题 2 18 5 2 4" xfId="9668" xr:uid="{00000000-0005-0000-0000-0000F3640000}"/>
    <cellStyle name="标题 2 18 5 2 5" xfId="9673" xr:uid="{00000000-0005-0000-0000-0000F4640000}"/>
    <cellStyle name="标题 2 18 5 2 6" xfId="17885" xr:uid="{00000000-0005-0000-0000-0000F5640000}"/>
    <cellStyle name="标题 2 18 5 2 7" xfId="9064" xr:uid="{00000000-0005-0000-0000-0000F6640000}"/>
    <cellStyle name="标题 2 18 5 2 8" xfId="9072" xr:uid="{00000000-0005-0000-0000-0000F7640000}"/>
    <cellStyle name="标题 2 18 5 3" xfId="3889" xr:uid="{00000000-0005-0000-0000-0000F8640000}"/>
    <cellStyle name="标题 2 18 5 4" xfId="17890" xr:uid="{00000000-0005-0000-0000-0000F9640000}"/>
    <cellStyle name="标题 2 18 5 5" xfId="4565" xr:uid="{00000000-0005-0000-0000-0000FA640000}"/>
    <cellStyle name="标题 2 18 5 6" xfId="4590" xr:uid="{00000000-0005-0000-0000-0000FB640000}"/>
    <cellStyle name="标题 2 18 5 6 2" xfId="31899" xr:uid="{00000000-0005-0000-0000-0000FC640000}"/>
    <cellStyle name="标题 2 18 5 6 3" xfId="14664" xr:uid="{00000000-0005-0000-0000-0000FD640000}"/>
    <cellStyle name="标题 2 18 5 7" xfId="21220" xr:uid="{00000000-0005-0000-0000-0000FE640000}"/>
    <cellStyle name="标题 2 18 5 8" xfId="21223" xr:uid="{00000000-0005-0000-0000-0000FF640000}"/>
    <cellStyle name="标题 2 18 5 9" xfId="21226" xr:uid="{00000000-0005-0000-0000-000000650000}"/>
    <cellStyle name="标题 2 18 6" xfId="29255" xr:uid="{00000000-0005-0000-0000-000001650000}"/>
    <cellStyle name="标题 2 18 6 2" xfId="4108" xr:uid="{00000000-0005-0000-0000-000002650000}"/>
    <cellStyle name="标题 2 18 6 2 2" xfId="31901" xr:uid="{00000000-0005-0000-0000-000003650000}"/>
    <cellStyle name="标题 2 18 6 2 3" xfId="17928" xr:uid="{00000000-0005-0000-0000-000004650000}"/>
    <cellStyle name="标题 2 18 6 3" xfId="3750" xr:uid="{00000000-0005-0000-0000-000005650000}"/>
    <cellStyle name="标题 2 18 6 4" xfId="31902" xr:uid="{00000000-0005-0000-0000-000006650000}"/>
    <cellStyle name="标题 2 18 6 5" xfId="31903" xr:uid="{00000000-0005-0000-0000-000007650000}"/>
    <cellStyle name="标题 2 18 6 6" xfId="31904" xr:uid="{00000000-0005-0000-0000-000008650000}"/>
    <cellStyle name="标题 2 18 6 7" xfId="31906" xr:uid="{00000000-0005-0000-0000-000009650000}"/>
    <cellStyle name="标题 2 18 6 8" xfId="31908" xr:uid="{00000000-0005-0000-0000-00000A650000}"/>
    <cellStyle name="标题 2 18 7" xfId="29257" xr:uid="{00000000-0005-0000-0000-00000B650000}"/>
    <cellStyle name="标题 2 18 8" xfId="29259" xr:uid="{00000000-0005-0000-0000-00000C650000}"/>
    <cellStyle name="标题 2 18 9" xfId="29262" xr:uid="{00000000-0005-0000-0000-00000D650000}"/>
    <cellStyle name="标题 2 18 9 2" xfId="31909" xr:uid="{00000000-0005-0000-0000-00000E650000}"/>
    <cellStyle name="标题 2 18 9 3" xfId="25532" xr:uid="{00000000-0005-0000-0000-00000F650000}"/>
    <cellStyle name="标题 2 19" xfId="15057" xr:uid="{00000000-0005-0000-0000-000010650000}"/>
    <cellStyle name="标题 2 2" xfId="6740" xr:uid="{00000000-0005-0000-0000-000011650000}"/>
    <cellStyle name="标题 2 2 10" xfId="18579" xr:uid="{00000000-0005-0000-0000-000012650000}"/>
    <cellStyle name="标题 2 2 11" xfId="18584" xr:uid="{00000000-0005-0000-0000-000013650000}"/>
    <cellStyle name="标题 2 2 12" xfId="18588" xr:uid="{00000000-0005-0000-0000-000014650000}"/>
    <cellStyle name="标题 2 2 13" xfId="5368" xr:uid="{00000000-0005-0000-0000-000015650000}"/>
    <cellStyle name="标题 2 2 14" xfId="5386" xr:uid="{00000000-0005-0000-0000-000016650000}"/>
    <cellStyle name="标题 2 2 15" xfId="18646" xr:uid="{00000000-0005-0000-0000-000017650000}"/>
    <cellStyle name="标题 2 2 16" xfId="12519" xr:uid="{00000000-0005-0000-0000-000018650000}"/>
    <cellStyle name="标题 2 2 17" xfId="12531" xr:uid="{00000000-0005-0000-0000-000019650000}"/>
    <cellStyle name="标题 2 2 17 10" xfId="31910" xr:uid="{00000000-0005-0000-0000-00001A650000}"/>
    <cellStyle name="标题 2 2 17 11" xfId="3665" xr:uid="{00000000-0005-0000-0000-00001B650000}"/>
    <cellStyle name="标题 2 2 17 12" xfId="3674" xr:uid="{00000000-0005-0000-0000-00001C650000}"/>
    <cellStyle name="标题 2 2 17 13" xfId="3681" xr:uid="{00000000-0005-0000-0000-00001D650000}"/>
    <cellStyle name="标题 2 2 17 14" xfId="2559" xr:uid="{00000000-0005-0000-0000-00001E650000}"/>
    <cellStyle name="标题 2 2 17 2" xfId="18650" xr:uid="{00000000-0005-0000-0000-00001F650000}"/>
    <cellStyle name="标题 2 2 17 3" xfId="14170" xr:uid="{00000000-0005-0000-0000-000020650000}"/>
    <cellStyle name="标题 2 2 17 4" xfId="31714" xr:uid="{00000000-0005-0000-0000-000021650000}"/>
    <cellStyle name="标题 2 2 17 5" xfId="31716" xr:uid="{00000000-0005-0000-0000-000022650000}"/>
    <cellStyle name="标题 2 2 17 5 10" xfId="31911" xr:uid="{00000000-0005-0000-0000-000023650000}"/>
    <cellStyle name="标题 2 2 17 5 11" xfId="31912" xr:uid="{00000000-0005-0000-0000-000024650000}"/>
    <cellStyle name="标题 2 2 17 5 2" xfId="31913" xr:uid="{00000000-0005-0000-0000-000025650000}"/>
    <cellStyle name="标题 2 2 17 5 2 2" xfId="8215" xr:uid="{00000000-0005-0000-0000-000026650000}"/>
    <cellStyle name="标题 2 2 17 5 2 2 2" xfId="31914" xr:uid="{00000000-0005-0000-0000-000027650000}"/>
    <cellStyle name="标题 2 2 17 5 2 2 3" xfId="31915" xr:uid="{00000000-0005-0000-0000-000028650000}"/>
    <cellStyle name="标题 2 2 17 5 2 3" xfId="12084" xr:uid="{00000000-0005-0000-0000-000029650000}"/>
    <cellStyle name="标题 2 2 17 5 2 4" xfId="12088" xr:uid="{00000000-0005-0000-0000-00002A650000}"/>
    <cellStyle name="标题 2 2 17 5 2 5" xfId="12092" xr:uid="{00000000-0005-0000-0000-00002B650000}"/>
    <cellStyle name="标题 2 2 17 5 2 6" xfId="31916" xr:uid="{00000000-0005-0000-0000-00002C650000}"/>
    <cellStyle name="标题 2 2 17 5 2 7" xfId="31917" xr:uid="{00000000-0005-0000-0000-00002D650000}"/>
    <cellStyle name="标题 2 2 17 5 2 8" xfId="31918" xr:uid="{00000000-0005-0000-0000-00002E650000}"/>
    <cellStyle name="标题 2 2 17 5 3" xfId="31920" xr:uid="{00000000-0005-0000-0000-00002F650000}"/>
    <cellStyle name="标题 2 2 17 5 4" xfId="31922" xr:uid="{00000000-0005-0000-0000-000030650000}"/>
    <cellStyle name="标题 2 2 17 5 5" xfId="31923" xr:uid="{00000000-0005-0000-0000-000031650000}"/>
    <cellStyle name="标题 2 2 17 5 6" xfId="31924" xr:uid="{00000000-0005-0000-0000-000032650000}"/>
    <cellStyle name="标题 2 2 17 5 6 2" xfId="31925" xr:uid="{00000000-0005-0000-0000-000033650000}"/>
    <cellStyle name="标题 2 2 17 5 6 3" xfId="31926" xr:uid="{00000000-0005-0000-0000-000034650000}"/>
    <cellStyle name="标题 2 2 17 5 7" xfId="9391" xr:uid="{00000000-0005-0000-0000-000035650000}"/>
    <cellStyle name="标题 2 2 17 5 8" xfId="9404" xr:uid="{00000000-0005-0000-0000-000036650000}"/>
    <cellStyle name="标题 2 2 17 5 9" xfId="226" xr:uid="{00000000-0005-0000-0000-000037650000}"/>
    <cellStyle name="标题 2 2 17 6" xfId="31718" xr:uid="{00000000-0005-0000-0000-000038650000}"/>
    <cellStyle name="标题 2 2 17 6 2" xfId="1954" xr:uid="{00000000-0005-0000-0000-000039650000}"/>
    <cellStyle name="标题 2 2 17 6 2 2" xfId="6046" xr:uid="{00000000-0005-0000-0000-00003A650000}"/>
    <cellStyle name="标题 2 2 17 6 2 3" xfId="6054" xr:uid="{00000000-0005-0000-0000-00003B650000}"/>
    <cellStyle name="标题 2 2 17 6 3" xfId="1841" xr:uid="{00000000-0005-0000-0000-00003C650000}"/>
    <cellStyle name="标题 2 2 17 6 4" xfId="31927" xr:uid="{00000000-0005-0000-0000-00003D650000}"/>
    <cellStyle name="标题 2 2 17 6 5" xfId="31928" xr:uid="{00000000-0005-0000-0000-00003E650000}"/>
    <cellStyle name="标题 2 2 17 6 6" xfId="31929" xr:uid="{00000000-0005-0000-0000-00003F650000}"/>
    <cellStyle name="标题 2 2 17 6 7" xfId="7841" xr:uid="{00000000-0005-0000-0000-000040650000}"/>
    <cellStyle name="标题 2 2 17 6 8" xfId="7854" xr:uid="{00000000-0005-0000-0000-000041650000}"/>
    <cellStyle name="标题 2 2 17 7" xfId="31720" xr:uid="{00000000-0005-0000-0000-000042650000}"/>
    <cellStyle name="标题 2 2 17 8" xfId="31930" xr:uid="{00000000-0005-0000-0000-000043650000}"/>
    <cellStyle name="标题 2 2 17 9" xfId="31931" xr:uid="{00000000-0005-0000-0000-000044650000}"/>
    <cellStyle name="标题 2 2 17 9 2" xfId="18980" xr:uid="{00000000-0005-0000-0000-000045650000}"/>
    <cellStyle name="标题 2 2 17 9 3" xfId="7581" xr:uid="{00000000-0005-0000-0000-000046650000}"/>
    <cellStyle name="标题 2 2 18" xfId="31933" xr:uid="{00000000-0005-0000-0000-000047650000}"/>
    <cellStyle name="标题 2 2 18 10" xfId="28230" xr:uid="{00000000-0005-0000-0000-000048650000}"/>
    <cellStyle name="标题 2 2 18 11" xfId="5738" xr:uid="{00000000-0005-0000-0000-000049650000}"/>
    <cellStyle name="标题 2 2 18 12" xfId="5753" xr:uid="{00000000-0005-0000-0000-00004A650000}"/>
    <cellStyle name="标题 2 2 18 13" xfId="5764" xr:uid="{00000000-0005-0000-0000-00004B650000}"/>
    <cellStyle name="标题 2 2 18 14" xfId="5775" xr:uid="{00000000-0005-0000-0000-00004C650000}"/>
    <cellStyle name="标题 2 2 18 2" xfId="12544" xr:uid="{00000000-0005-0000-0000-00004D650000}"/>
    <cellStyle name="标题 2 2 18 3" xfId="12581" xr:uid="{00000000-0005-0000-0000-00004E650000}"/>
    <cellStyle name="标题 2 2 18 4" xfId="12586" xr:uid="{00000000-0005-0000-0000-00004F650000}"/>
    <cellStyle name="标题 2 2 18 5" xfId="12590" xr:uid="{00000000-0005-0000-0000-000050650000}"/>
    <cellStyle name="标题 2 2 18 5 10" xfId="23660" xr:uid="{00000000-0005-0000-0000-000051650000}"/>
    <cellStyle name="标题 2 2 18 5 11" xfId="23663" xr:uid="{00000000-0005-0000-0000-000052650000}"/>
    <cellStyle name="标题 2 2 18 5 2" xfId="31934" xr:uid="{00000000-0005-0000-0000-000053650000}"/>
    <cellStyle name="标题 2 2 18 5 2 2" xfId="12786" xr:uid="{00000000-0005-0000-0000-000054650000}"/>
    <cellStyle name="标题 2 2 18 5 2 2 2" xfId="25164" xr:uid="{00000000-0005-0000-0000-000055650000}"/>
    <cellStyle name="标题 2 2 18 5 2 2 3" xfId="31021" xr:uid="{00000000-0005-0000-0000-000056650000}"/>
    <cellStyle name="标题 2 2 18 5 2 3" xfId="12791" xr:uid="{00000000-0005-0000-0000-000057650000}"/>
    <cellStyle name="标题 2 2 18 5 2 4" xfId="12796" xr:uid="{00000000-0005-0000-0000-000058650000}"/>
    <cellStyle name="标题 2 2 18 5 2 5" xfId="12801" xr:uid="{00000000-0005-0000-0000-000059650000}"/>
    <cellStyle name="标题 2 2 18 5 2 6" xfId="12807" xr:uid="{00000000-0005-0000-0000-00005A650000}"/>
    <cellStyle name="标题 2 2 18 5 2 7" xfId="31035" xr:uid="{00000000-0005-0000-0000-00005B650000}"/>
    <cellStyle name="标题 2 2 18 5 2 8" xfId="31037" xr:uid="{00000000-0005-0000-0000-00005C650000}"/>
    <cellStyle name="标题 2 2 18 5 3" xfId="31935" xr:uid="{00000000-0005-0000-0000-00005D650000}"/>
    <cellStyle name="标题 2 2 18 5 4" xfId="31936" xr:uid="{00000000-0005-0000-0000-00005E650000}"/>
    <cellStyle name="标题 2 2 18 5 5" xfId="31937" xr:uid="{00000000-0005-0000-0000-00005F650000}"/>
    <cellStyle name="标题 2 2 18 5 6" xfId="31938" xr:uid="{00000000-0005-0000-0000-000060650000}"/>
    <cellStyle name="标题 2 2 18 5 6 2" xfId="31939" xr:uid="{00000000-0005-0000-0000-000061650000}"/>
    <cellStyle name="标题 2 2 18 5 6 3" xfId="31940" xr:uid="{00000000-0005-0000-0000-000062650000}"/>
    <cellStyle name="标题 2 2 18 5 7" xfId="4721" xr:uid="{00000000-0005-0000-0000-000063650000}"/>
    <cellStyle name="标题 2 2 18 5 8" xfId="4727" xr:uid="{00000000-0005-0000-0000-000064650000}"/>
    <cellStyle name="标题 2 2 18 5 9" xfId="4735" xr:uid="{00000000-0005-0000-0000-000065650000}"/>
    <cellStyle name="标题 2 2 18 6" xfId="12597" xr:uid="{00000000-0005-0000-0000-000066650000}"/>
    <cellStyle name="标题 2 2 18 6 2" xfId="6866" xr:uid="{00000000-0005-0000-0000-000067650000}"/>
    <cellStyle name="标题 2 2 18 6 2 2" xfId="27659" xr:uid="{00000000-0005-0000-0000-000068650000}"/>
    <cellStyle name="标题 2 2 18 6 2 3" xfId="27661" xr:uid="{00000000-0005-0000-0000-000069650000}"/>
    <cellStyle name="标题 2 2 18 6 3" xfId="2327" xr:uid="{00000000-0005-0000-0000-00006A650000}"/>
    <cellStyle name="标题 2 2 18 6 4" xfId="20302" xr:uid="{00000000-0005-0000-0000-00006B650000}"/>
    <cellStyle name="标题 2 2 18 6 5" xfId="20308" xr:uid="{00000000-0005-0000-0000-00006C650000}"/>
    <cellStyle name="标题 2 2 18 6 6" xfId="20314" xr:uid="{00000000-0005-0000-0000-00006D650000}"/>
    <cellStyle name="标题 2 2 18 6 7" xfId="4443" xr:uid="{00000000-0005-0000-0000-00006E650000}"/>
    <cellStyle name="标题 2 2 18 6 8" xfId="4459" xr:uid="{00000000-0005-0000-0000-00006F650000}"/>
    <cellStyle name="标题 2 2 18 7" xfId="12603" xr:uid="{00000000-0005-0000-0000-000070650000}"/>
    <cellStyle name="标题 2 2 18 8" xfId="23463" xr:uid="{00000000-0005-0000-0000-000071650000}"/>
    <cellStyle name="标题 2 2 18 9" xfId="23467" xr:uid="{00000000-0005-0000-0000-000072650000}"/>
    <cellStyle name="标题 2 2 18 9 2" xfId="15949" xr:uid="{00000000-0005-0000-0000-000073650000}"/>
    <cellStyle name="标题 2 2 18 9 3" xfId="15953" xr:uid="{00000000-0005-0000-0000-000074650000}"/>
    <cellStyle name="标题 2 2 19" xfId="30933" xr:uid="{00000000-0005-0000-0000-000075650000}"/>
    <cellStyle name="标题 2 2 19 10" xfId="31941" xr:uid="{00000000-0005-0000-0000-000076650000}"/>
    <cellStyle name="标题 2 2 19 11" xfId="10683" xr:uid="{00000000-0005-0000-0000-000077650000}"/>
    <cellStyle name="标题 2 2 19 12" xfId="10687" xr:uid="{00000000-0005-0000-0000-000078650000}"/>
    <cellStyle name="标题 2 2 19 13" xfId="10690" xr:uid="{00000000-0005-0000-0000-000079650000}"/>
    <cellStyle name="标题 2 2 19 14" xfId="10693" xr:uid="{00000000-0005-0000-0000-00007A650000}"/>
    <cellStyle name="标题 2 2 19 2" xfId="12613" xr:uid="{00000000-0005-0000-0000-00007B650000}"/>
    <cellStyle name="标题 2 2 19 3" xfId="12636" xr:uid="{00000000-0005-0000-0000-00007C650000}"/>
    <cellStyle name="标题 2 2 19 4" xfId="12643" xr:uid="{00000000-0005-0000-0000-00007D650000}"/>
    <cellStyle name="标题 2 2 19 5" xfId="12649" xr:uid="{00000000-0005-0000-0000-00007E650000}"/>
    <cellStyle name="标题 2 2 19 5 10" xfId="24927" xr:uid="{00000000-0005-0000-0000-00007F650000}"/>
    <cellStyle name="标题 2 2 19 5 11" xfId="24931" xr:uid="{00000000-0005-0000-0000-000080650000}"/>
    <cellStyle name="标题 2 2 19 5 2" xfId="31942" xr:uid="{00000000-0005-0000-0000-000081650000}"/>
    <cellStyle name="标题 2 2 19 5 2 2" xfId="7637" xr:uid="{00000000-0005-0000-0000-000082650000}"/>
    <cellStyle name="标题 2 2 19 5 2 2 2" xfId="5022" xr:uid="{00000000-0005-0000-0000-000083650000}"/>
    <cellStyle name="标题 2 2 19 5 2 2 3" xfId="5025" xr:uid="{00000000-0005-0000-0000-000084650000}"/>
    <cellStyle name="标题 2 2 19 5 2 3" xfId="7639" xr:uid="{00000000-0005-0000-0000-000085650000}"/>
    <cellStyle name="标题 2 2 19 5 2 4" xfId="7641" xr:uid="{00000000-0005-0000-0000-000086650000}"/>
    <cellStyle name="标题 2 2 19 5 2 5" xfId="6499" xr:uid="{00000000-0005-0000-0000-000087650000}"/>
    <cellStyle name="标题 2 2 19 5 2 6" xfId="5864" xr:uid="{00000000-0005-0000-0000-000088650000}"/>
    <cellStyle name="标题 2 2 19 5 2 7" xfId="31944" xr:uid="{00000000-0005-0000-0000-000089650000}"/>
    <cellStyle name="标题 2 2 19 5 2 8" xfId="31946" xr:uid="{00000000-0005-0000-0000-00008A650000}"/>
    <cellStyle name="标题 2 2 19 5 3" xfId="31947" xr:uid="{00000000-0005-0000-0000-00008B650000}"/>
    <cellStyle name="标题 2 2 19 5 4" xfId="31948" xr:uid="{00000000-0005-0000-0000-00008C650000}"/>
    <cellStyle name="标题 2 2 19 5 5" xfId="31949" xr:uid="{00000000-0005-0000-0000-00008D650000}"/>
    <cellStyle name="标题 2 2 19 5 6" xfId="27744" xr:uid="{00000000-0005-0000-0000-00008E650000}"/>
    <cellStyle name="标题 2 2 19 5 6 2" xfId="27746" xr:uid="{00000000-0005-0000-0000-00008F650000}"/>
    <cellStyle name="标题 2 2 19 5 6 3" xfId="27748" xr:uid="{00000000-0005-0000-0000-000090650000}"/>
    <cellStyle name="标题 2 2 19 5 7" xfId="10982" xr:uid="{00000000-0005-0000-0000-000091650000}"/>
    <cellStyle name="标题 2 2 19 5 8" xfId="10992" xr:uid="{00000000-0005-0000-0000-000092650000}"/>
    <cellStyle name="标题 2 2 19 5 9" xfId="11002" xr:uid="{00000000-0005-0000-0000-000093650000}"/>
    <cellStyle name="标题 2 2 19 6" xfId="12656" xr:uid="{00000000-0005-0000-0000-000094650000}"/>
    <cellStyle name="标题 2 2 19 6 2" xfId="7008" xr:uid="{00000000-0005-0000-0000-000095650000}"/>
    <cellStyle name="标题 2 2 19 6 2 2" xfId="7696" xr:uid="{00000000-0005-0000-0000-000096650000}"/>
    <cellStyle name="标题 2 2 19 6 2 3" xfId="7699" xr:uid="{00000000-0005-0000-0000-000097650000}"/>
    <cellStyle name="标题 2 2 19 6 3" xfId="2770" xr:uid="{00000000-0005-0000-0000-000098650000}"/>
    <cellStyle name="标题 2 2 19 6 4" xfId="31951" xr:uid="{00000000-0005-0000-0000-000099650000}"/>
    <cellStyle name="标题 2 2 19 6 5" xfId="31953" xr:uid="{00000000-0005-0000-0000-00009A650000}"/>
    <cellStyle name="标题 2 2 19 6 6" xfId="31955" xr:uid="{00000000-0005-0000-0000-00009B650000}"/>
    <cellStyle name="标题 2 2 19 6 7" xfId="13267" xr:uid="{00000000-0005-0000-0000-00009C650000}"/>
    <cellStyle name="标题 2 2 19 6 8" xfId="11203" xr:uid="{00000000-0005-0000-0000-00009D650000}"/>
    <cellStyle name="标题 2 2 19 7" xfId="31957" xr:uid="{00000000-0005-0000-0000-00009E650000}"/>
    <cellStyle name="标题 2 2 19 8" xfId="31959" xr:uid="{00000000-0005-0000-0000-00009F650000}"/>
    <cellStyle name="标题 2 2 19 9" xfId="31961" xr:uid="{00000000-0005-0000-0000-0000A0650000}"/>
    <cellStyle name="标题 2 2 19 9 2" xfId="18107" xr:uid="{00000000-0005-0000-0000-0000A1650000}"/>
    <cellStyle name="标题 2 2 19 9 3" xfId="18110" xr:uid="{00000000-0005-0000-0000-0000A2650000}"/>
    <cellStyle name="标题 2 2 2" xfId="8036" xr:uid="{00000000-0005-0000-0000-0000A3650000}"/>
    <cellStyle name="标题 2 2 2 10" xfId="31341" xr:uid="{00000000-0005-0000-0000-0000A4650000}"/>
    <cellStyle name="标题 2 2 2 11" xfId="19903" xr:uid="{00000000-0005-0000-0000-0000A5650000}"/>
    <cellStyle name="标题 2 2 2 12" xfId="19907" xr:uid="{00000000-0005-0000-0000-0000A6650000}"/>
    <cellStyle name="标题 2 2 2 13" xfId="31962" xr:uid="{00000000-0005-0000-0000-0000A7650000}"/>
    <cellStyle name="标题 2 2 2 14" xfId="31963" xr:uid="{00000000-0005-0000-0000-0000A8650000}"/>
    <cellStyle name="标题 2 2 2 2" xfId="7582" xr:uid="{00000000-0005-0000-0000-0000A9650000}"/>
    <cellStyle name="标题 2 2 2 3" xfId="7395" xr:uid="{00000000-0005-0000-0000-0000AA650000}"/>
    <cellStyle name="标题 2 2 2 4" xfId="31964" xr:uid="{00000000-0005-0000-0000-0000AB650000}"/>
    <cellStyle name="标题 2 2 2 5" xfId="26038" xr:uid="{00000000-0005-0000-0000-0000AC650000}"/>
    <cellStyle name="标题 2 2 2 6" xfId="26041" xr:uid="{00000000-0005-0000-0000-0000AD650000}"/>
    <cellStyle name="标题 2 2 2 7" xfId="26044" xr:uid="{00000000-0005-0000-0000-0000AE650000}"/>
    <cellStyle name="标题 2 2 2 8" xfId="26046" xr:uid="{00000000-0005-0000-0000-0000AF650000}"/>
    <cellStyle name="标题 2 2 2 9" xfId="26048" xr:uid="{00000000-0005-0000-0000-0000B0650000}"/>
    <cellStyle name="标题 2 2 20" xfId="18647" xr:uid="{00000000-0005-0000-0000-0000B1650000}"/>
    <cellStyle name="标题 2 2 20 10" xfId="21910" xr:uid="{00000000-0005-0000-0000-0000B2650000}"/>
    <cellStyle name="标题 2 2 20 11" xfId="698" xr:uid="{00000000-0005-0000-0000-0000B3650000}"/>
    <cellStyle name="标题 2 2 20 12" xfId="732" xr:uid="{00000000-0005-0000-0000-0000B4650000}"/>
    <cellStyle name="标题 2 2 20 13" xfId="756" xr:uid="{00000000-0005-0000-0000-0000B5650000}"/>
    <cellStyle name="标题 2 2 20 14" xfId="1282" xr:uid="{00000000-0005-0000-0000-0000B6650000}"/>
    <cellStyle name="标题 2 2 20 2" xfId="31965" xr:uid="{00000000-0005-0000-0000-0000B7650000}"/>
    <cellStyle name="标题 2 2 20 3" xfId="31966" xr:uid="{00000000-0005-0000-0000-0000B8650000}"/>
    <cellStyle name="标题 2 2 20 4" xfId="31967" xr:uid="{00000000-0005-0000-0000-0000B9650000}"/>
    <cellStyle name="标题 2 2 20 5" xfId="31968" xr:uid="{00000000-0005-0000-0000-0000BA650000}"/>
    <cellStyle name="标题 2 2 20 5 10" xfId="28172" xr:uid="{00000000-0005-0000-0000-0000BB650000}"/>
    <cellStyle name="标题 2 2 20 5 11" xfId="28180" xr:uid="{00000000-0005-0000-0000-0000BC650000}"/>
    <cellStyle name="标题 2 2 20 5 2" xfId="31452" xr:uid="{00000000-0005-0000-0000-0000BD650000}"/>
    <cellStyle name="标题 2 2 20 5 2 2" xfId="31969" xr:uid="{00000000-0005-0000-0000-0000BE650000}"/>
    <cellStyle name="标题 2 2 20 5 2 2 2" xfId="31970" xr:uid="{00000000-0005-0000-0000-0000BF650000}"/>
    <cellStyle name="标题 2 2 20 5 2 2 3" xfId="31971" xr:uid="{00000000-0005-0000-0000-0000C0650000}"/>
    <cellStyle name="标题 2 2 20 5 2 3" xfId="31972" xr:uid="{00000000-0005-0000-0000-0000C1650000}"/>
    <cellStyle name="标题 2 2 20 5 2 4" xfId="31973" xr:uid="{00000000-0005-0000-0000-0000C2650000}"/>
    <cellStyle name="标题 2 2 20 5 2 5" xfId="31974" xr:uid="{00000000-0005-0000-0000-0000C3650000}"/>
    <cellStyle name="标题 2 2 20 5 2 6" xfId="31975" xr:uid="{00000000-0005-0000-0000-0000C4650000}"/>
    <cellStyle name="标题 2 2 20 5 2 7" xfId="31976" xr:uid="{00000000-0005-0000-0000-0000C5650000}"/>
    <cellStyle name="标题 2 2 20 5 2 8" xfId="26173" xr:uid="{00000000-0005-0000-0000-0000C6650000}"/>
    <cellStyle name="标题 2 2 20 5 3" xfId="31977" xr:uid="{00000000-0005-0000-0000-0000C7650000}"/>
    <cellStyle name="标题 2 2 20 5 4" xfId="31978" xr:uid="{00000000-0005-0000-0000-0000C8650000}"/>
    <cellStyle name="标题 2 2 20 5 5" xfId="31979" xr:uid="{00000000-0005-0000-0000-0000C9650000}"/>
    <cellStyle name="标题 2 2 20 5 6" xfId="31980" xr:uid="{00000000-0005-0000-0000-0000CA650000}"/>
    <cellStyle name="标题 2 2 20 5 6 2" xfId="31981" xr:uid="{00000000-0005-0000-0000-0000CB650000}"/>
    <cellStyle name="标题 2 2 20 5 6 3" xfId="24657" xr:uid="{00000000-0005-0000-0000-0000CC650000}"/>
    <cellStyle name="标题 2 2 20 5 7" xfId="3963" xr:uid="{00000000-0005-0000-0000-0000CD650000}"/>
    <cellStyle name="标题 2 2 20 5 8" xfId="3988" xr:uid="{00000000-0005-0000-0000-0000CE650000}"/>
    <cellStyle name="标题 2 2 20 5 9" xfId="4920" xr:uid="{00000000-0005-0000-0000-0000CF650000}"/>
    <cellStyle name="标题 2 2 20 6" xfId="31982" xr:uid="{00000000-0005-0000-0000-0000D0650000}"/>
    <cellStyle name="标题 2 2 20 6 2" xfId="7245" xr:uid="{00000000-0005-0000-0000-0000D1650000}"/>
    <cellStyle name="标题 2 2 20 6 2 2" xfId="31983" xr:uid="{00000000-0005-0000-0000-0000D2650000}"/>
    <cellStyle name="标题 2 2 20 6 2 3" xfId="6262" xr:uid="{00000000-0005-0000-0000-0000D3650000}"/>
    <cellStyle name="标题 2 2 20 6 3" xfId="7256" xr:uid="{00000000-0005-0000-0000-0000D4650000}"/>
    <cellStyle name="标题 2 2 20 6 4" xfId="31984" xr:uid="{00000000-0005-0000-0000-0000D5650000}"/>
    <cellStyle name="标题 2 2 20 6 5" xfId="31985" xr:uid="{00000000-0005-0000-0000-0000D6650000}"/>
    <cellStyle name="标题 2 2 20 6 6" xfId="31986" xr:uid="{00000000-0005-0000-0000-0000D7650000}"/>
    <cellStyle name="标题 2 2 20 6 7" xfId="2959" xr:uid="{00000000-0005-0000-0000-0000D8650000}"/>
    <cellStyle name="标题 2 2 20 6 8" xfId="2980" xr:uid="{00000000-0005-0000-0000-0000D9650000}"/>
    <cellStyle name="标题 2 2 20 7" xfId="31987" xr:uid="{00000000-0005-0000-0000-0000DA650000}"/>
    <cellStyle name="标题 2 2 20 8" xfId="31988" xr:uid="{00000000-0005-0000-0000-0000DB650000}"/>
    <cellStyle name="标题 2 2 20 9" xfId="31989" xr:uid="{00000000-0005-0000-0000-0000DC650000}"/>
    <cellStyle name="标题 2 2 20 9 2" xfId="31990" xr:uid="{00000000-0005-0000-0000-0000DD650000}"/>
    <cellStyle name="标题 2 2 20 9 3" xfId="31993" xr:uid="{00000000-0005-0000-0000-0000DE650000}"/>
    <cellStyle name="标题 2 2 3" xfId="8041" xr:uid="{00000000-0005-0000-0000-0000DF650000}"/>
    <cellStyle name="标题 2 2 3 10" xfId="1937" xr:uid="{00000000-0005-0000-0000-0000E0650000}"/>
    <cellStyle name="标题 2 2 3 11" xfId="31536" xr:uid="{00000000-0005-0000-0000-0000E1650000}"/>
    <cellStyle name="标题 2 2 3 12" xfId="31557" xr:uid="{00000000-0005-0000-0000-0000E2650000}"/>
    <cellStyle name="标题 2 2 3 13" xfId="31994" xr:uid="{00000000-0005-0000-0000-0000E3650000}"/>
    <cellStyle name="标题 2 2 3 14" xfId="31995" xr:uid="{00000000-0005-0000-0000-0000E4650000}"/>
    <cellStyle name="标题 2 2 3 2" xfId="31996" xr:uid="{00000000-0005-0000-0000-0000E5650000}"/>
    <cellStyle name="标题 2 2 3 3" xfId="31997" xr:uid="{00000000-0005-0000-0000-0000E6650000}"/>
    <cellStyle name="标题 2 2 3 4" xfId="31998" xr:uid="{00000000-0005-0000-0000-0000E7650000}"/>
    <cellStyle name="标题 2 2 3 5" xfId="31999" xr:uid="{00000000-0005-0000-0000-0000E8650000}"/>
    <cellStyle name="标题 2 2 3 6" xfId="32000" xr:uid="{00000000-0005-0000-0000-0000E9650000}"/>
    <cellStyle name="标题 2 2 3 7" xfId="32001" xr:uid="{00000000-0005-0000-0000-0000EA650000}"/>
    <cellStyle name="标题 2 2 3 8" xfId="32002" xr:uid="{00000000-0005-0000-0000-0000EB650000}"/>
    <cellStyle name="标题 2 2 3 9" xfId="32003" xr:uid="{00000000-0005-0000-0000-0000EC650000}"/>
    <cellStyle name="标题 2 2 4" xfId="8047" xr:uid="{00000000-0005-0000-0000-0000ED650000}"/>
    <cellStyle name="标题 2 2 4 10" xfId="19844" xr:uid="{00000000-0005-0000-0000-0000EE650000}"/>
    <cellStyle name="标题 2 2 4 11" xfId="19850" xr:uid="{00000000-0005-0000-0000-0000EF650000}"/>
    <cellStyle name="标题 2 2 4 12" xfId="2425" xr:uid="{00000000-0005-0000-0000-0000F0650000}"/>
    <cellStyle name="标题 2 2 4 13" xfId="2536" xr:uid="{00000000-0005-0000-0000-0000F1650000}"/>
    <cellStyle name="标题 2 2 4 14" xfId="2545" xr:uid="{00000000-0005-0000-0000-0000F2650000}"/>
    <cellStyle name="标题 2 2 4 2" xfId="18566" xr:uid="{00000000-0005-0000-0000-0000F3650000}"/>
    <cellStyle name="标题 2 2 4 3" xfId="18570" xr:uid="{00000000-0005-0000-0000-0000F4650000}"/>
    <cellStyle name="标题 2 2 4 4" xfId="18574" xr:uid="{00000000-0005-0000-0000-0000F5650000}"/>
    <cellStyle name="标题 2 2 4 5" xfId="19619" xr:uid="{00000000-0005-0000-0000-0000F6650000}"/>
    <cellStyle name="标题 2 2 4 6" xfId="19621" xr:uid="{00000000-0005-0000-0000-0000F7650000}"/>
    <cellStyle name="标题 2 2 4 7" xfId="19627" xr:uid="{00000000-0005-0000-0000-0000F8650000}"/>
    <cellStyle name="标题 2 2 4 8" xfId="19631" xr:uid="{00000000-0005-0000-0000-0000F9650000}"/>
    <cellStyle name="标题 2 2 4 9" xfId="19669" xr:uid="{00000000-0005-0000-0000-0000FA650000}"/>
    <cellStyle name="标题 2 2 5" xfId="8054" xr:uid="{00000000-0005-0000-0000-0000FB650000}"/>
    <cellStyle name="标题 2 2 6" xfId="9881" xr:uid="{00000000-0005-0000-0000-0000FC650000}"/>
    <cellStyle name="标题 2 2 7" xfId="8776" xr:uid="{00000000-0005-0000-0000-0000FD650000}"/>
    <cellStyle name="标题 2 2 8" xfId="8785" xr:uid="{00000000-0005-0000-0000-0000FE650000}"/>
    <cellStyle name="标题 2 2 9" xfId="25306" xr:uid="{00000000-0005-0000-0000-0000FF650000}"/>
    <cellStyle name="标题 2 3" xfId="6749" xr:uid="{00000000-0005-0000-0000-000000660000}"/>
    <cellStyle name="标题 2 3 10" xfId="32005" xr:uid="{00000000-0005-0000-0000-000001660000}"/>
    <cellStyle name="标题 2 3 11" xfId="23687" xr:uid="{00000000-0005-0000-0000-000002660000}"/>
    <cellStyle name="标题 2 3 12" xfId="23695" xr:uid="{00000000-0005-0000-0000-000003660000}"/>
    <cellStyle name="标题 2 3 13" xfId="23698" xr:uid="{00000000-0005-0000-0000-000004660000}"/>
    <cellStyle name="标题 2 3 14" xfId="23700" xr:uid="{00000000-0005-0000-0000-000005660000}"/>
    <cellStyle name="标题 2 3 15" xfId="23702" xr:uid="{00000000-0005-0000-0000-000006660000}"/>
    <cellStyle name="标题 2 3 16" xfId="7300" xr:uid="{00000000-0005-0000-0000-000007660000}"/>
    <cellStyle name="标题 2 3 17" xfId="7318" xr:uid="{00000000-0005-0000-0000-000008660000}"/>
    <cellStyle name="标题 2 3 17 10" xfId="15218" xr:uid="{00000000-0005-0000-0000-000009660000}"/>
    <cellStyle name="标题 2 3 17 11" xfId="15222" xr:uid="{00000000-0005-0000-0000-00000A660000}"/>
    <cellStyle name="标题 2 3 17 12" xfId="15226" xr:uid="{00000000-0005-0000-0000-00000B660000}"/>
    <cellStyle name="标题 2 3 17 13" xfId="15229" xr:uid="{00000000-0005-0000-0000-00000C660000}"/>
    <cellStyle name="标题 2 3 17 14" xfId="15232" xr:uid="{00000000-0005-0000-0000-00000D660000}"/>
    <cellStyle name="标题 2 3 17 2" xfId="29239" xr:uid="{00000000-0005-0000-0000-00000E660000}"/>
    <cellStyle name="标题 2 3 17 2 2" xfId="14405" xr:uid="{00000000-0005-0000-0000-00000F660000}"/>
    <cellStyle name="标题 2 3 17 3" xfId="29243" xr:uid="{00000000-0005-0000-0000-000010660000}"/>
    <cellStyle name="标题 2 3 17 4" xfId="32008" xr:uid="{00000000-0005-0000-0000-000011660000}"/>
    <cellStyle name="标题 2 3 17 5" xfId="32010" xr:uid="{00000000-0005-0000-0000-000012660000}"/>
    <cellStyle name="标题 2 3 17 5 10" xfId="25776" xr:uid="{00000000-0005-0000-0000-000013660000}"/>
    <cellStyle name="标题 2 3 17 5 11" xfId="32012" xr:uid="{00000000-0005-0000-0000-000014660000}"/>
    <cellStyle name="标题 2 3 17 5 2" xfId="32014" xr:uid="{00000000-0005-0000-0000-000015660000}"/>
    <cellStyle name="标题 2 3 17 5 2 2" xfId="13762" xr:uid="{00000000-0005-0000-0000-000016660000}"/>
    <cellStyle name="标题 2 3 17 5 2 2 2" xfId="32016" xr:uid="{00000000-0005-0000-0000-000017660000}"/>
    <cellStyle name="标题 2 3 17 5 2 2 3" xfId="32017" xr:uid="{00000000-0005-0000-0000-000018660000}"/>
    <cellStyle name="标题 2 3 17 5 2 3" xfId="13767" xr:uid="{00000000-0005-0000-0000-000019660000}"/>
    <cellStyle name="标题 2 3 17 5 2 4" xfId="3755" xr:uid="{00000000-0005-0000-0000-00001A660000}"/>
    <cellStyle name="标题 2 3 17 5 2 5" xfId="3763" xr:uid="{00000000-0005-0000-0000-00001B660000}"/>
    <cellStyle name="标题 2 3 17 5 2 6" xfId="32018" xr:uid="{00000000-0005-0000-0000-00001C660000}"/>
    <cellStyle name="标题 2 3 17 5 2 7" xfId="32019" xr:uid="{00000000-0005-0000-0000-00001D660000}"/>
    <cellStyle name="标题 2 3 17 5 2 8" xfId="13922" xr:uid="{00000000-0005-0000-0000-00001E660000}"/>
    <cellStyle name="标题 2 3 17 5 3" xfId="32021" xr:uid="{00000000-0005-0000-0000-00001F660000}"/>
    <cellStyle name="标题 2 3 17 5 4" xfId="32024" xr:uid="{00000000-0005-0000-0000-000020660000}"/>
    <cellStyle name="标题 2 3 17 5 5" xfId="32026" xr:uid="{00000000-0005-0000-0000-000021660000}"/>
    <cellStyle name="标题 2 3 17 5 6" xfId="1379" xr:uid="{00000000-0005-0000-0000-000022660000}"/>
    <cellStyle name="标题 2 3 17 5 6 2" xfId="32028" xr:uid="{00000000-0005-0000-0000-000023660000}"/>
    <cellStyle name="标题 2 3 17 5 6 3" xfId="32029" xr:uid="{00000000-0005-0000-0000-000024660000}"/>
    <cellStyle name="标题 2 3 17 5 7" xfId="1391" xr:uid="{00000000-0005-0000-0000-000025660000}"/>
    <cellStyle name="标题 2 3 17 5 8" xfId="1405" xr:uid="{00000000-0005-0000-0000-000026660000}"/>
    <cellStyle name="标题 2 3 17 5 9" xfId="1420" xr:uid="{00000000-0005-0000-0000-000027660000}"/>
    <cellStyle name="标题 2 3 17 6" xfId="32031" xr:uid="{00000000-0005-0000-0000-000028660000}"/>
    <cellStyle name="标题 2 3 17 6 2" xfId="7511" xr:uid="{00000000-0005-0000-0000-000029660000}"/>
    <cellStyle name="标题 2 3 17 6 2 2" xfId="13898" xr:uid="{00000000-0005-0000-0000-00002A660000}"/>
    <cellStyle name="标题 2 3 17 6 2 3" xfId="13902" xr:uid="{00000000-0005-0000-0000-00002B660000}"/>
    <cellStyle name="标题 2 3 17 6 3" xfId="5587" xr:uid="{00000000-0005-0000-0000-00002C660000}"/>
    <cellStyle name="标题 2 3 17 6 4" xfId="32032" xr:uid="{00000000-0005-0000-0000-00002D660000}"/>
    <cellStyle name="标题 2 3 17 6 5" xfId="32034" xr:uid="{00000000-0005-0000-0000-00002E660000}"/>
    <cellStyle name="标题 2 3 17 6 6" xfId="32036" xr:uid="{00000000-0005-0000-0000-00002F660000}"/>
    <cellStyle name="标题 2 3 17 6 7" xfId="32037" xr:uid="{00000000-0005-0000-0000-000030660000}"/>
    <cellStyle name="标题 2 3 17 6 8" xfId="1991" xr:uid="{00000000-0005-0000-0000-000031660000}"/>
    <cellStyle name="标题 2 3 17 7" xfId="18221" xr:uid="{00000000-0005-0000-0000-000032660000}"/>
    <cellStyle name="标题 2 3 17 8" xfId="18223" xr:uid="{00000000-0005-0000-0000-000033660000}"/>
    <cellStyle name="标题 2 3 17 9" xfId="32038" xr:uid="{00000000-0005-0000-0000-000034660000}"/>
    <cellStyle name="标题 2 3 17 9 2" xfId="32039" xr:uid="{00000000-0005-0000-0000-000035660000}"/>
    <cellStyle name="标题 2 3 17 9 3" xfId="32041" xr:uid="{00000000-0005-0000-0000-000036660000}"/>
    <cellStyle name="标题 2 3 18" xfId="23707" xr:uid="{00000000-0005-0000-0000-000037660000}"/>
    <cellStyle name="标题 2 3 18 10" xfId="32042" xr:uid="{00000000-0005-0000-0000-000038660000}"/>
    <cellStyle name="标题 2 3 18 11" xfId="32043" xr:uid="{00000000-0005-0000-0000-000039660000}"/>
    <cellStyle name="标题 2 3 18 12" xfId="32044" xr:uid="{00000000-0005-0000-0000-00003A660000}"/>
    <cellStyle name="标题 2 3 18 13" xfId="32048" xr:uid="{00000000-0005-0000-0000-00003B660000}"/>
    <cellStyle name="标题 2 3 18 14" xfId="32052" xr:uid="{00000000-0005-0000-0000-00003C660000}"/>
    <cellStyle name="标题 2 3 18 2" xfId="29260" xr:uid="{00000000-0005-0000-0000-00003D660000}"/>
    <cellStyle name="标题 2 3 18 3" xfId="29263" xr:uid="{00000000-0005-0000-0000-00003E660000}"/>
    <cellStyle name="标题 2 3 18 4" xfId="32053" xr:uid="{00000000-0005-0000-0000-00003F660000}"/>
    <cellStyle name="标题 2 3 18 5" xfId="32054" xr:uid="{00000000-0005-0000-0000-000040660000}"/>
    <cellStyle name="标题 2 3 18 5 10" xfId="14614" xr:uid="{00000000-0005-0000-0000-000041660000}"/>
    <cellStyle name="标题 2 3 18 5 11" xfId="14619" xr:uid="{00000000-0005-0000-0000-000042660000}"/>
    <cellStyle name="标题 2 3 18 5 2" xfId="32055" xr:uid="{00000000-0005-0000-0000-000043660000}"/>
    <cellStyle name="标题 2 3 18 5 2 2" xfId="1214" xr:uid="{00000000-0005-0000-0000-000044660000}"/>
    <cellStyle name="标题 2 3 18 5 2 2 2" xfId="32058" xr:uid="{00000000-0005-0000-0000-000045660000}"/>
    <cellStyle name="标题 2 3 18 5 2 2 3" xfId="25049" xr:uid="{00000000-0005-0000-0000-000046660000}"/>
    <cellStyle name="标题 2 3 18 5 2 3" xfId="537" xr:uid="{00000000-0005-0000-0000-000047660000}"/>
    <cellStyle name="标题 2 3 18 5 2 4" xfId="15248" xr:uid="{00000000-0005-0000-0000-000048660000}"/>
    <cellStyle name="标题 2 3 18 5 2 5" xfId="15291" xr:uid="{00000000-0005-0000-0000-000049660000}"/>
    <cellStyle name="标题 2 3 18 5 2 6" xfId="26210" xr:uid="{00000000-0005-0000-0000-00004A660000}"/>
    <cellStyle name="标题 2 3 18 5 2 7" xfId="26227" xr:uid="{00000000-0005-0000-0000-00004B660000}"/>
    <cellStyle name="标题 2 3 18 5 2 8" xfId="26229" xr:uid="{00000000-0005-0000-0000-00004C660000}"/>
    <cellStyle name="标题 2 3 18 5 3" xfId="32059" xr:uid="{00000000-0005-0000-0000-00004D660000}"/>
    <cellStyle name="标题 2 3 18 5 4" xfId="32060" xr:uid="{00000000-0005-0000-0000-00004E660000}"/>
    <cellStyle name="标题 2 3 18 5 5" xfId="32061" xr:uid="{00000000-0005-0000-0000-00004F660000}"/>
    <cellStyle name="标题 2 3 18 5 6" xfId="25848" xr:uid="{00000000-0005-0000-0000-000050660000}"/>
    <cellStyle name="标题 2 3 18 5 6 2" xfId="32062" xr:uid="{00000000-0005-0000-0000-000051660000}"/>
    <cellStyle name="标题 2 3 18 5 6 3" xfId="32063" xr:uid="{00000000-0005-0000-0000-000052660000}"/>
    <cellStyle name="标题 2 3 18 5 7" xfId="32064" xr:uid="{00000000-0005-0000-0000-000053660000}"/>
    <cellStyle name="标题 2 3 18 5 8" xfId="32065" xr:uid="{00000000-0005-0000-0000-000054660000}"/>
    <cellStyle name="标题 2 3 18 5 9" xfId="32066" xr:uid="{00000000-0005-0000-0000-000055660000}"/>
    <cellStyle name="标题 2 3 18 6" xfId="32067" xr:uid="{00000000-0005-0000-0000-000056660000}"/>
    <cellStyle name="标题 2 3 18 6 2" xfId="6498" xr:uid="{00000000-0005-0000-0000-000057660000}"/>
    <cellStyle name="标题 2 3 18 6 2 2" xfId="28418" xr:uid="{00000000-0005-0000-0000-000058660000}"/>
    <cellStyle name="标题 2 3 18 6 2 3" xfId="28420" xr:uid="{00000000-0005-0000-0000-000059660000}"/>
    <cellStyle name="标题 2 3 18 6 3" xfId="5863" xr:uid="{00000000-0005-0000-0000-00005A660000}"/>
    <cellStyle name="标题 2 3 18 6 4" xfId="31943" xr:uid="{00000000-0005-0000-0000-00005B660000}"/>
    <cellStyle name="标题 2 3 18 6 5" xfId="31945" xr:uid="{00000000-0005-0000-0000-00005C660000}"/>
    <cellStyle name="标题 2 3 18 6 6" xfId="32068" xr:uid="{00000000-0005-0000-0000-00005D660000}"/>
    <cellStyle name="标题 2 3 18 6 7" xfId="11791" xr:uid="{00000000-0005-0000-0000-00005E660000}"/>
    <cellStyle name="标题 2 3 18 6 8" xfId="11795" xr:uid="{00000000-0005-0000-0000-00005F660000}"/>
    <cellStyle name="标题 2 3 18 7" xfId="32069" xr:uid="{00000000-0005-0000-0000-000060660000}"/>
    <cellStyle name="标题 2 3 18 8" xfId="32070" xr:uid="{00000000-0005-0000-0000-000061660000}"/>
    <cellStyle name="标题 2 3 18 9" xfId="32071" xr:uid="{00000000-0005-0000-0000-000062660000}"/>
    <cellStyle name="标题 2 3 18 9 2" xfId="16709" xr:uid="{00000000-0005-0000-0000-000063660000}"/>
    <cellStyle name="标题 2 3 18 9 3" xfId="16713" xr:uid="{00000000-0005-0000-0000-000064660000}"/>
    <cellStyle name="标题 2 3 19" xfId="32073" xr:uid="{00000000-0005-0000-0000-000065660000}"/>
    <cellStyle name="标题 2 3 19 10" xfId="8936" xr:uid="{00000000-0005-0000-0000-000066660000}"/>
    <cellStyle name="标题 2 3 19 11" xfId="8945" xr:uid="{00000000-0005-0000-0000-000067660000}"/>
    <cellStyle name="标题 2 3 19 12" xfId="8951" xr:uid="{00000000-0005-0000-0000-000068660000}"/>
    <cellStyle name="标题 2 3 19 13" xfId="8992" xr:uid="{00000000-0005-0000-0000-000069660000}"/>
    <cellStyle name="标题 2 3 19 14" xfId="9032" xr:uid="{00000000-0005-0000-0000-00006A660000}"/>
    <cellStyle name="标题 2 3 19 2" xfId="12898" xr:uid="{00000000-0005-0000-0000-00006B660000}"/>
    <cellStyle name="标题 2 3 19 3" xfId="12903" xr:uid="{00000000-0005-0000-0000-00006C660000}"/>
    <cellStyle name="标题 2 3 19 4" xfId="12908" xr:uid="{00000000-0005-0000-0000-00006D660000}"/>
    <cellStyle name="标题 2 3 19 5" xfId="12910" xr:uid="{00000000-0005-0000-0000-00006E660000}"/>
    <cellStyle name="标题 2 3 19 5 10" xfId="32074" xr:uid="{00000000-0005-0000-0000-00006F660000}"/>
    <cellStyle name="标题 2 3 19 5 11" xfId="32075" xr:uid="{00000000-0005-0000-0000-000070660000}"/>
    <cellStyle name="标题 2 3 19 5 2" xfId="32076" xr:uid="{00000000-0005-0000-0000-000071660000}"/>
    <cellStyle name="标题 2 3 19 5 2 2" xfId="10013" xr:uid="{00000000-0005-0000-0000-000072660000}"/>
    <cellStyle name="标题 2 3 19 5 2 2 2" xfId="32077" xr:uid="{00000000-0005-0000-0000-000073660000}"/>
    <cellStyle name="标题 2 3 19 5 2 2 3" xfId="32078" xr:uid="{00000000-0005-0000-0000-000074660000}"/>
    <cellStyle name="标题 2 3 19 5 2 3" xfId="10017" xr:uid="{00000000-0005-0000-0000-000075660000}"/>
    <cellStyle name="标题 2 3 19 5 2 4" xfId="10021" xr:uid="{00000000-0005-0000-0000-000076660000}"/>
    <cellStyle name="标题 2 3 19 5 2 5" xfId="10027" xr:uid="{00000000-0005-0000-0000-000077660000}"/>
    <cellStyle name="标题 2 3 19 5 2 6" xfId="10031" xr:uid="{00000000-0005-0000-0000-000078660000}"/>
    <cellStyle name="标题 2 3 19 5 2 7" xfId="26341" xr:uid="{00000000-0005-0000-0000-000079660000}"/>
    <cellStyle name="标题 2 3 19 5 2 8" xfId="26344" xr:uid="{00000000-0005-0000-0000-00007A660000}"/>
    <cellStyle name="标题 2 3 19 5 3" xfId="32079" xr:uid="{00000000-0005-0000-0000-00007B660000}"/>
    <cellStyle name="标题 2 3 19 5 4" xfId="32080" xr:uid="{00000000-0005-0000-0000-00007C660000}"/>
    <cellStyle name="标题 2 3 19 5 5" xfId="32081" xr:uid="{00000000-0005-0000-0000-00007D660000}"/>
    <cellStyle name="标题 2 3 19 5 6" xfId="26849" xr:uid="{00000000-0005-0000-0000-00007E660000}"/>
    <cellStyle name="标题 2 3 19 5 6 2" xfId="32082" xr:uid="{00000000-0005-0000-0000-00007F660000}"/>
    <cellStyle name="标题 2 3 19 5 6 3" xfId="32083" xr:uid="{00000000-0005-0000-0000-000080660000}"/>
    <cellStyle name="标题 2 3 19 5 7" xfId="26851" xr:uid="{00000000-0005-0000-0000-000081660000}"/>
    <cellStyle name="标题 2 3 19 5 8" xfId="32084" xr:uid="{00000000-0005-0000-0000-000082660000}"/>
    <cellStyle name="标题 2 3 19 5 9" xfId="32085" xr:uid="{00000000-0005-0000-0000-000083660000}"/>
    <cellStyle name="标题 2 3 19 6" xfId="12912" xr:uid="{00000000-0005-0000-0000-000084660000}"/>
    <cellStyle name="标题 2 3 19 6 2" xfId="7703" xr:uid="{00000000-0005-0000-0000-000085660000}"/>
    <cellStyle name="标题 2 3 19 6 2 2" xfId="10089" xr:uid="{00000000-0005-0000-0000-000086660000}"/>
    <cellStyle name="标题 2 3 19 6 2 3" xfId="10092" xr:uid="{00000000-0005-0000-0000-000087660000}"/>
    <cellStyle name="标题 2 3 19 6 3" xfId="6014" xr:uid="{00000000-0005-0000-0000-000088660000}"/>
    <cellStyle name="标题 2 3 19 6 4" xfId="32086" xr:uid="{00000000-0005-0000-0000-000089660000}"/>
    <cellStyle name="标题 2 3 19 6 5" xfId="32087" xr:uid="{00000000-0005-0000-0000-00008A660000}"/>
    <cellStyle name="标题 2 3 19 6 6" xfId="32088" xr:uid="{00000000-0005-0000-0000-00008B660000}"/>
    <cellStyle name="标题 2 3 19 6 7" xfId="32089" xr:uid="{00000000-0005-0000-0000-00008C660000}"/>
    <cellStyle name="标题 2 3 19 6 8" xfId="32090" xr:uid="{00000000-0005-0000-0000-00008D660000}"/>
    <cellStyle name="标题 2 3 19 7" xfId="32091" xr:uid="{00000000-0005-0000-0000-00008E660000}"/>
    <cellStyle name="标题 2 3 19 8" xfId="25700" xr:uid="{00000000-0005-0000-0000-00008F660000}"/>
    <cellStyle name="标题 2 3 19 9" xfId="32092" xr:uid="{00000000-0005-0000-0000-000090660000}"/>
    <cellStyle name="标题 2 3 19 9 2" xfId="22672" xr:uid="{00000000-0005-0000-0000-000091660000}"/>
    <cellStyle name="标题 2 3 19 9 3" xfId="22674" xr:uid="{00000000-0005-0000-0000-000092660000}"/>
    <cellStyle name="标题 2 3 2" xfId="32094" xr:uid="{00000000-0005-0000-0000-000093660000}"/>
    <cellStyle name="标题 2 3 2 10" xfId="12530" xr:uid="{00000000-0005-0000-0000-000094660000}"/>
    <cellStyle name="标题 2 3 2 11" xfId="31932" xr:uid="{00000000-0005-0000-0000-000095660000}"/>
    <cellStyle name="标题 2 3 2 12" xfId="30932" xr:uid="{00000000-0005-0000-0000-000096660000}"/>
    <cellStyle name="标题 2 3 2 13" xfId="30935" xr:uid="{00000000-0005-0000-0000-000097660000}"/>
    <cellStyle name="标题 2 3 2 14" xfId="30937" xr:uid="{00000000-0005-0000-0000-000098660000}"/>
    <cellStyle name="标题 2 3 2 2" xfId="15954" xr:uid="{00000000-0005-0000-0000-000099660000}"/>
    <cellStyle name="标题 2 3 2 3" xfId="15957" xr:uid="{00000000-0005-0000-0000-00009A660000}"/>
    <cellStyle name="标题 2 3 2 4" xfId="15960" xr:uid="{00000000-0005-0000-0000-00009B660000}"/>
    <cellStyle name="标题 2 3 2 5" xfId="21994" xr:uid="{00000000-0005-0000-0000-00009C660000}"/>
    <cellStyle name="标题 2 3 2 6" xfId="21996" xr:uid="{00000000-0005-0000-0000-00009D660000}"/>
    <cellStyle name="标题 2 3 2 7" xfId="21998" xr:uid="{00000000-0005-0000-0000-00009E660000}"/>
    <cellStyle name="标题 2 3 2 8" xfId="9912" xr:uid="{00000000-0005-0000-0000-00009F660000}"/>
    <cellStyle name="标题 2 3 2 9" xfId="9919" xr:uid="{00000000-0005-0000-0000-0000A0660000}"/>
    <cellStyle name="标题 2 3 20" xfId="23703" xr:uid="{00000000-0005-0000-0000-0000A1660000}"/>
    <cellStyle name="标题 2 3 20 10" xfId="32095" xr:uid="{00000000-0005-0000-0000-0000A2660000}"/>
    <cellStyle name="标题 2 3 20 11" xfId="32096" xr:uid="{00000000-0005-0000-0000-0000A3660000}"/>
    <cellStyle name="标题 2 3 20 12" xfId="2648" xr:uid="{00000000-0005-0000-0000-0000A4660000}"/>
    <cellStyle name="标题 2 3 20 13" xfId="2667" xr:uid="{00000000-0005-0000-0000-0000A5660000}"/>
    <cellStyle name="标题 2 3 20 14" xfId="3287" xr:uid="{00000000-0005-0000-0000-0000A6660000}"/>
    <cellStyle name="标题 2 3 20 2" xfId="20988" xr:uid="{00000000-0005-0000-0000-0000A7660000}"/>
    <cellStyle name="标题 2 3 20 3" xfId="20992" xr:uid="{00000000-0005-0000-0000-0000A8660000}"/>
    <cellStyle name="标题 2 3 20 4" xfId="32097" xr:uid="{00000000-0005-0000-0000-0000A9660000}"/>
    <cellStyle name="标题 2 3 20 5" xfId="32098" xr:uid="{00000000-0005-0000-0000-0000AA660000}"/>
    <cellStyle name="标题 2 3 20 5 10" xfId="17506" xr:uid="{00000000-0005-0000-0000-0000AB660000}"/>
    <cellStyle name="标题 2 3 20 5 11" xfId="23468" xr:uid="{00000000-0005-0000-0000-0000AC660000}"/>
    <cellStyle name="标题 2 3 20 5 2" xfId="27224" xr:uid="{00000000-0005-0000-0000-0000AD660000}"/>
    <cellStyle name="标题 2 3 20 5 2 2" xfId="27226" xr:uid="{00000000-0005-0000-0000-0000AE660000}"/>
    <cellStyle name="标题 2 3 20 5 2 2 2" xfId="32099" xr:uid="{00000000-0005-0000-0000-0000AF660000}"/>
    <cellStyle name="标题 2 3 20 5 2 2 3" xfId="32100" xr:uid="{00000000-0005-0000-0000-0000B0660000}"/>
    <cellStyle name="标题 2 3 20 5 2 3" xfId="27228" xr:uid="{00000000-0005-0000-0000-0000B1660000}"/>
    <cellStyle name="标题 2 3 20 5 2 4" xfId="32101" xr:uid="{00000000-0005-0000-0000-0000B2660000}"/>
    <cellStyle name="标题 2 3 20 5 2 5" xfId="32102" xr:uid="{00000000-0005-0000-0000-0000B3660000}"/>
    <cellStyle name="标题 2 3 20 5 2 6" xfId="32103" xr:uid="{00000000-0005-0000-0000-0000B4660000}"/>
    <cellStyle name="标题 2 3 20 5 2 7" xfId="32104" xr:uid="{00000000-0005-0000-0000-0000B5660000}"/>
    <cellStyle name="标题 2 3 20 5 2 8" xfId="8542" xr:uid="{00000000-0005-0000-0000-0000B6660000}"/>
    <cellStyle name="标题 2 3 20 5 3" xfId="32105" xr:uid="{00000000-0005-0000-0000-0000B7660000}"/>
    <cellStyle name="标题 2 3 20 5 4" xfId="32106" xr:uid="{00000000-0005-0000-0000-0000B8660000}"/>
    <cellStyle name="标题 2 3 20 5 5" xfId="32107" xr:uid="{00000000-0005-0000-0000-0000B9660000}"/>
    <cellStyle name="标题 2 3 20 5 6" xfId="32108" xr:uid="{00000000-0005-0000-0000-0000BA660000}"/>
    <cellStyle name="标题 2 3 20 5 6 2" xfId="32109" xr:uid="{00000000-0005-0000-0000-0000BB660000}"/>
    <cellStyle name="标题 2 3 20 5 6 3" xfId="25405" xr:uid="{00000000-0005-0000-0000-0000BC660000}"/>
    <cellStyle name="标题 2 3 20 5 7" xfId="32110" xr:uid="{00000000-0005-0000-0000-0000BD660000}"/>
    <cellStyle name="标题 2 3 20 5 8" xfId="32111" xr:uid="{00000000-0005-0000-0000-0000BE660000}"/>
    <cellStyle name="标题 2 3 20 5 9" xfId="32112" xr:uid="{00000000-0005-0000-0000-0000BF660000}"/>
    <cellStyle name="标题 2 3 20 6" xfId="29163" xr:uid="{00000000-0005-0000-0000-0000C0660000}"/>
    <cellStyle name="标题 2 3 20 6 2" xfId="7817" xr:uid="{00000000-0005-0000-0000-0000C1660000}"/>
    <cellStyle name="标题 2 3 20 6 2 2" xfId="17059" xr:uid="{00000000-0005-0000-0000-0000C2660000}"/>
    <cellStyle name="标题 2 3 20 6 2 3" xfId="27253" xr:uid="{00000000-0005-0000-0000-0000C3660000}"/>
    <cellStyle name="标题 2 3 20 6 3" xfId="7824" xr:uid="{00000000-0005-0000-0000-0000C4660000}"/>
    <cellStyle name="标题 2 3 20 6 4" xfId="32113" xr:uid="{00000000-0005-0000-0000-0000C5660000}"/>
    <cellStyle name="标题 2 3 20 6 5" xfId="32114" xr:uid="{00000000-0005-0000-0000-0000C6660000}"/>
    <cellStyle name="标题 2 3 20 6 6" xfId="32115" xr:uid="{00000000-0005-0000-0000-0000C7660000}"/>
    <cellStyle name="标题 2 3 20 6 7" xfId="32116" xr:uid="{00000000-0005-0000-0000-0000C8660000}"/>
    <cellStyle name="标题 2 3 20 6 8" xfId="32117" xr:uid="{00000000-0005-0000-0000-0000C9660000}"/>
    <cellStyle name="标题 2 3 20 7" xfId="29165" xr:uid="{00000000-0005-0000-0000-0000CA660000}"/>
    <cellStyle name="标题 2 3 20 8" xfId="32118" xr:uid="{00000000-0005-0000-0000-0000CB660000}"/>
    <cellStyle name="标题 2 3 20 9" xfId="32120" xr:uid="{00000000-0005-0000-0000-0000CC660000}"/>
    <cellStyle name="标题 2 3 20 9 2" xfId="32122" xr:uid="{00000000-0005-0000-0000-0000CD660000}"/>
    <cellStyle name="标题 2 3 20 9 3" xfId="32123" xr:uid="{00000000-0005-0000-0000-0000CE660000}"/>
    <cellStyle name="标题 2 3 3" xfId="32124" xr:uid="{00000000-0005-0000-0000-0000CF660000}"/>
    <cellStyle name="标题 2 3 3 10" xfId="7315" xr:uid="{00000000-0005-0000-0000-0000D0660000}"/>
    <cellStyle name="标题 2 3 3 11" xfId="23704" xr:uid="{00000000-0005-0000-0000-0000D1660000}"/>
    <cellStyle name="标题 2 3 3 12" xfId="32072" xr:uid="{00000000-0005-0000-0000-0000D2660000}"/>
    <cellStyle name="标题 2 3 3 13" xfId="32125" xr:uid="{00000000-0005-0000-0000-0000D3660000}"/>
    <cellStyle name="标题 2 3 3 14" xfId="32126" xr:uid="{00000000-0005-0000-0000-0000D4660000}"/>
    <cellStyle name="标题 2 3 3 2" xfId="22002" xr:uid="{00000000-0005-0000-0000-0000D5660000}"/>
    <cellStyle name="标题 2 3 3 3" xfId="22004" xr:uid="{00000000-0005-0000-0000-0000D6660000}"/>
    <cellStyle name="标题 2 3 3 4" xfId="22008" xr:uid="{00000000-0005-0000-0000-0000D7660000}"/>
    <cellStyle name="标题 2 3 3 5" xfId="22012" xr:uid="{00000000-0005-0000-0000-0000D8660000}"/>
    <cellStyle name="标题 2 3 3 6" xfId="22015" xr:uid="{00000000-0005-0000-0000-0000D9660000}"/>
    <cellStyle name="标题 2 3 3 7" xfId="4758" xr:uid="{00000000-0005-0000-0000-0000DA660000}"/>
    <cellStyle name="标题 2 3 3 8" xfId="4767" xr:uid="{00000000-0005-0000-0000-0000DB660000}"/>
    <cellStyle name="标题 2 3 3 9" xfId="4779" xr:uid="{00000000-0005-0000-0000-0000DC660000}"/>
    <cellStyle name="标题 2 3 4" xfId="32127" xr:uid="{00000000-0005-0000-0000-0000DD660000}"/>
    <cellStyle name="标题 2 3 4 10" xfId="15659" xr:uid="{00000000-0005-0000-0000-0000DE660000}"/>
    <cellStyle name="标题 2 3 4 11" xfId="10882" xr:uid="{00000000-0005-0000-0000-0000DF660000}"/>
    <cellStyle name="标题 2 3 4 12" xfId="10892" xr:uid="{00000000-0005-0000-0000-0000E0660000}"/>
    <cellStyle name="标题 2 3 4 13" xfId="20545" xr:uid="{00000000-0005-0000-0000-0000E1660000}"/>
    <cellStyle name="标题 2 3 4 14" xfId="23973" xr:uid="{00000000-0005-0000-0000-0000E2660000}"/>
    <cellStyle name="标题 2 3 4 2" xfId="32128" xr:uid="{00000000-0005-0000-0000-0000E3660000}"/>
    <cellStyle name="标题 2 3 4 3" xfId="32129" xr:uid="{00000000-0005-0000-0000-0000E4660000}"/>
    <cellStyle name="标题 2 3 4 4" xfId="11781" xr:uid="{00000000-0005-0000-0000-0000E5660000}"/>
    <cellStyle name="标题 2 3 4 5" xfId="11787" xr:uid="{00000000-0005-0000-0000-0000E6660000}"/>
    <cellStyle name="标题 2 3 4 6" xfId="20942" xr:uid="{00000000-0005-0000-0000-0000E7660000}"/>
    <cellStyle name="标题 2 3 4 7" xfId="32131" xr:uid="{00000000-0005-0000-0000-0000E8660000}"/>
    <cellStyle name="标题 2 3 4 8" xfId="32133" xr:uid="{00000000-0005-0000-0000-0000E9660000}"/>
    <cellStyle name="标题 2 3 4 9" xfId="32134" xr:uid="{00000000-0005-0000-0000-0000EA660000}"/>
    <cellStyle name="标题 2 3 5" xfId="25929" xr:uid="{00000000-0005-0000-0000-0000EB660000}"/>
    <cellStyle name="标题 2 3 6" xfId="32135" xr:uid="{00000000-0005-0000-0000-0000EC660000}"/>
    <cellStyle name="标题 2 3 7" xfId="32136" xr:uid="{00000000-0005-0000-0000-0000ED660000}"/>
    <cellStyle name="标题 2 3 8" xfId="32137" xr:uid="{00000000-0005-0000-0000-0000EE660000}"/>
    <cellStyle name="标题 2 3 9" xfId="32138" xr:uid="{00000000-0005-0000-0000-0000EF660000}"/>
    <cellStyle name="标题 2 4" xfId="6761" xr:uid="{00000000-0005-0000-0000-0000F0660000}"/>
    <cellStyle name="标题 2 4 10" xfId="32140" xr:uid="{00000000-0005-0000-0000-0000F1660000}"/>
    <cellStyle name="标题 2 4 11" xfId="32141" xr:uid="{00000000-0005-0000-0000-0000F2660000}"/>
    <cellStyle name="标题 2 4 12" xfId="32142" xr:uid="{00000000-0005-0000-0000-0000F3660000}"/>
    <cellStyle name="标题 2 4 13" xfId="15637" xr:uid="{00000000-0005-0000-0000-0000F4660000}"/>
    <cellStyle name="标题 2 4 14" xfId="15642" xr:uid="{00000000-0005-0000-0000-0000F5660000}"/>
    <cellStyle name="标题 2 4 15" xfId="15647" xr:uid="{00000000-0005-0000-0000-0000F6660000}"/>
    <cellStyle name="标题 2 4 16" xfId="15653" xr:uid="{00000000-0005-0000-0000-0000F7660000}"/>
    <cellStyle name="标题 2 4 17" xfId="15658" xr:uid="{00000000-0005-0000-0000-0000F8660000}"/>
    <cellStyle name="标题 2 4 17 10" xfId="9447" xr:uid="{00000000-0005-0000-0000-0000F9660000}"/>
    <cellStyle name="标题 2 4 17 11" xfId="9457" xr:uid="{00000000-0005-0000-0000-0000FA660000}"/>
    <cellStyle name="标题 2 4 17 12" xfId="13253" xr:uid="{00000000-0005-0000-0000-0000FB660000}"/>
    <cellStyle name="标题 2 4 17 13" xfId="15256" xr:uid="{00000000-0005-0000-0000-0000FC660000}"/>
    <cellStyle name="标题 2 4 17 14" xfId="15259" xr:uid="{00000000-0005-0000-0000-0000FD660000}"/>
    <cellStyle name="标题 2 4 17 2" xfId="20528" xr:uid="{00000000-0005-0000-0000-0000FE660000}"/>
    <cellStyle name="标题 2 4 17 3" xfId="20531" xr:uid="{00000000-0005-0000-0000-0000FF660000}"/>
    <cellStyle name="标题 2 4 17 4" xfId="20534" xr:uid="{00000000-0005-0000-0000-000000670000}"/>
    <cellStyle name="标题 2 4 17 5" xfId="20537" xr:uid="{00000000-0005-0000-0000-000001670000}"/>
    <cellStyle name="标题 2 4 17 5 10" xfId="32143" xr:uid="{00000000-0005-0000-0000-000002670000}"/>
    <cellStyle name="标题 2 4 17 5 11" xfId="30099" xr:uid="{00000000-0005-0000-0000-000003670000}"/>
    <cellStyle name="标题 2 4 17 5 2" xfId="19374" xr:uid="{00000000-0005-0000-0000-000004670000}"/>
    <cellStyle name="标题 2 4 17 5 2 2" xfId="32145" xr:uid="{00000000-0005-0000-0000-000005670000}"/>
    <cellStyle name="标题 2 4 17 5 2 2 2" xfId="17347" xr:uid="{00000000-0005-0000-0000-000006670000}"/>
    <cellStyle name="标题 2 4 17 5 2 2 3" xfId="17352" xr:uid="{00000000-0005-0000-0000-000007670000}"/>
    <cellStyle name="标题 2 4 17 5 2 3" xfId="25951" xr:uid="{00000000-0005-0000-0000-000008670000}"/>
    <cellStyle name="标题 2 4 17 5 2 4" xfId="32147" xr:uid="{00000000-0005-0000-0000-000009670000}"/>
    <cellStyle name="标题 2 4 17 5 2 5" xfId="32149" xr:uid="{00000000-0005-0000-0000-00000A670000}"/>
    <cellStyle name="标题 2 4 17 5 2 6" xfId="25592" xr:uid="{00000000-0005-0000-0000-00000B670000}"/>
    <cellStyle name="标题 2 4 17 5 2 7" xfId="26305" xr:uid="{00000000-0005-0000-0000-00000C670000}"/>
    <cellStyle name="标题 2 4 17 5 2 8" xfId="26307" xr:uid="{00000000-0005-0000-0000-00000D670000}"/>
    <cellStyle name="标题 2 4 17 5 3" xfId="19376" xr:uid="{00000000-0005-0000-0000-00000E670000}"/>
    <cellStyle name="标题 2 4 17 5 4" xfId="19379" xr:uid="{00000000-0005-0000-0000-00000F670000}"/>
    <cellStyle name="标题 2 4 17 5 5" xfId="19382" xr:uid="{00000000-0005-0000-0000-000010670000}"/>
    <cellStyle name="标题 2 4 17 5 6" xfId="19385" xr:uid="{00000000-0005-0000-0000-000011670000}"/>
    <cellStyle name="标题 2 4 17 5 6 2" xfId="32150" xr:uid="{00000000-0005-0000-0000-000012670000}"/>
    <cellStyle name="标题 2 4 17 5 6 3" xfId="32151" xr:uid="{00000000-0005-0000-0000-000013670000}"/>
    <cellStyle name="标题 2 4 17 5 7" xfId="19388" xr:uid="{00000000-0005-0000-0000-000014670000}"/>
    <cellStyle name="标题 2 4 17 5 8" xfId="26470" xr:uid="{00000000-0005-0000-0000-000015670000}"/>
    <cellStyle name="标题 2 4 17 5 9" xfId="26472" xr:uid="{00000000-0005-0000-0000-000016670000}"/>
    <cellStyle name="标题 2 4 17 6" xfId="20540" xr:uid="{00000000-0005-0000-0000-000017670000}"/>
    <cellStyle name="标题 2 4 17 6 2" xfId="19401" xr:uid="{00000000-0005-0000-0000-000018670000}"/>
    <cellStyle name="标题 2 4 17 6 2 2" xfId="32154" xr:uid="{00000000-0005-0000-0000-000019670000}"/>
    <cellStyle name="标题 2 4 17 6 2 3" xfId="32157" xr:uid="{00000000-0005-0000-0000-00001A670000}"/>
    <cellStyle name="标题 2 4 17 6 3" xfId="19403" xr:uid="{00000000-0005-0000-0000-00001B670000}"/>
    <cellStyle name="标题 2 4 17 6 4" xfId="19405" xr:uid="{00000000-0005-0000-0000-00001C670000}"/>
    <cellStyle name="标题 2 4 17 6 5" xfId="19407" xr:uid="{00000000-0005-0000-0000-00001D670000}"/>
    <cellStyle name="标题 2 4 17 6 6" xfId="19409" xr:uid="{00000000-0005-0000-0000-00001E670000}"/>
    <cellStyle name="标题 2 4 17 6 7" xfId="19411" xr:uid="{00000000-0005-0000-0000-00001F670000}"/>
    <cellStyle name="标题 2 4 17 6 8" xfId="32158" xr:uid="{00000000-0005-0000-0000-000020670000}"/>
    <cellStyle name="标题 2 4 17 7" xfId="20543" xr:uid="{00000000-0005-0000-0000-000021670000}"/>
    <cellStyle name="标题 2 4 17 8" xfId="16848" xr:uid="{00000000-0005-0000-0000-000022670000}"/>
    <cellStyle name="标题 2 4 17 9" xfId="16852" xr:uid="{00000000-0005-0000-0000-000023670000}"/>
    <cellStyle name="标题 2 4 17 9 2" xfId="28939" xr:uid="{00000000-0005-0000-0000-000024670000}"/>
    <cellStyle name="标题 2 4 17 9 3" xfId="32159" xr:uid="{00000000-0005-0000-0000-000025670000}"/>
    <cellStyle name="标题 2 4 18" xfId="10880" xr:uid="{00000000-0005-0000-0000-000026670000}"/>
    <cellStyle name="标题 2 4 18 10" xfId="32160" xr:uid="{00000000-0005-0000-0000-000027670000}"/>
    <cellStyle name="标题 2 4 18 11" xfId="32161" xr:uid="{00000000-0005-0000-0000-000028670000}"/>
    <cellStyle name="标题 2 4 18 12" xfId="32162" xr:uid="{00000000-0005-0000-0000-000029670000}"/>
    <cellStyle name="标题 2 4 18 13" xfId="32163" xr:uid="{00000000-0005-0000-0000-00002A670000}"/>
    <cellStyle name="标题 2 4 18 14" xfId="32164" xr:uid="{00000000-0005-0000-0000-00002B670000}"/>
    <cellStyle name="标题 2 4 18 2" xfId="3521" xr:uid="{00000000-0005-0000-0000-00002C670000}"/>
    <cellStyle name="标题 2 4 18 3" xfId="20412" xr:uid="{00000000-0005-0000-0000-00002D670000}"/>
    <cellStyle name="标题 2 4 18 4" xfId="20415" xr:uid="{00000000-0005-0000-0000-00002E670000}"/>
    <cellStyle name="标题 2 4 18 5" xfId="20418" xr:uid="{00000000-0005-0000-0000-00002F670000}"/>
    <cellStyle name="标题 2 4 18 5 10" xfId="1349" xr:uid="{00000000-0005-0000-0000-000030670000}"/>
    <cellStyle name="标题 2 4 18 5 11" xfId="279" xr:uid="{00000000-0005-0000-0000-000031670000}"/>
    <cellStyle name="标题 2 4 18 5 2" xfId="20276" xr:uid="{00000000-0005-0000-0000-000032670000}"/>
    <cellStyle name="标题 2 4 18 5 2 2" xfId="6234" xr:uid="{00000000-0005-0000-0000-000033670000}"/>
    <cellStyle name="标题 2 4 18 5 2 2 2" xfId="29586" xr:uid="{00000000-0005-0000-0000-000034670000}"/>
    <cellStyle name="标题 2 4 18 5 2 2 3" xfId="29588" xr:uid="{00000000-0005-0000-0000-000035670000}"/>
    <cellStyle name="标题 2 4 18 5 2 3" xfId="6237" xr:uid="{00000000-0005-0000-0000-000036670000}"/>
    <cellStyle name="标题 2 4 18 5 2 4" xfId="21063" xr:uid="{00000000-0005-0000-0000-000037670000}"/>
    <cellStyle name="标题 2 4 18 5 2 5" xfId="32165" xr:uid="{00000000-0005-0000-0000-000038670000}"/>
    <cellStyle name="标题 2 4 18 5 2 6" xfId="32166" xr:uid="{00000000-0005-0000-0000-000039670000}"/>
    <cellStyle name="标题 2 4 18 5 2 7" xfId="26355" xr:uid="{00000000-0005-0000-0000-00003A670000}"/>
    <cellStyle name="标题 2 4 18 5 2 8" xfId="26357" xr:uid="{00000000-0005-0000-0000-00003B670000}"/>
    <cellStyle name="标题 2 4 18 5 3" xfId="20279" xr:uid="{00000000-0005-0000-0000-00003C670000}"/>
    <cellStyle name="标题 2 4 18 5 4" xfId="20283" xr:uid="{00000000-0005-0000-0000-00003D670000}"/>
    <cellStyle name="标题 2 4 18 5 5" xfId="9784" xr:uid="{00000000-0005-0000-0000-00003E670000}"/>
    <cellStyle name="标题 2 4 18 5 6" xfId="9798" xr:uid="{00000000-0005-0000-0000-00003F670000}"/>
    <cellStyle name="标题 2 4 18 5 6 2" xfId="32167" xr:uid="{00000000-0005-0000-0000-000040670000}"/>
    <cellStyle name="标题 2 4 18 5 6 3" xfId="32168" xr:uid="{00000000-0005-0000-0000-000041670000}"/>
    <cellStyle name="标题 2 4 18 5 7" xfId="9524" xr:uid="{00000000-0005-0000-0000-000042670000}"/>
    <cellStyle name="标题 2 4 18 5 8" xfId="9536" xr:uid="{00000000-0005-0000-0000-000043670000}"/>
    <cellStyle name="标题 2 4 18 5 9" xfId="9811" xr:uid="{00000000-0005-0000-0000-000044670000}"/>
    <cellStyle name="标题 2 4 18 6" xfId="20421" xr:uid="{00000000-0005-0000-0000-000045670000}"/>
    <cellStyle name="标题 2 4 18 6 2" xfId="20291" xr:uid="{00000000-0005-0000-0000-000046670000}"/>
    <cellStyle name="标题 2 4 18 6 2 2" xfId="6396" xr:uid="{00000000-0005-0000-0000-000047670000}"/>
    <cellStyle name="标题 2 4 18 6 2 3" xfId="6403" xr:uid="{00000000-0005-0000-0000-000048670000}"/>
    <cellStyle name="标题 2 4 18 6 3" xfId="20294" xr:uid="{00000000-0005-0000-0000-000049670000}"/>
    <cellStyle name="标题 2 4 18 6 4" xfId="20297" xr:uid="{00000000-0005-0000-0000-00004A670000}"/>
    <cellStyle name="标题 2 4 18 6 5" xfId="10989" xr:uid="{00000000-0005-0000-0000-00004B670000}"/>
    <cellStyle name="标题 2 4 18 6 6" xfId="10999" xr:uid="{00000000-0005-0000-0000-00004C670000}"/>
    <cellStyle name="标题 2 4 18 6 7" xfId="11010" xr:uid="{00000000-0005-0000-0000-00004D670000}"/>
    <cellStyle name="标题 2 4 18 6 8" xfId="11019" xr:uid="{00000000-0005-0000-0000-00004E670000}"/>
    <cellStyle name="标题 2 4 18 7" xfId="23316" xr:uid="{00000000-0005-0000-0000-00004F670000}"/>
    <cellStyle name="标题 2 4 18 8" xfId="16863" xr:uid="{00000000-0005-0000-0000-000050670000}"/>
    <cellStyle name="标题 2 4 18 9" xfId="16869" xr:uid="{00000000-0005-0000-0000-000051670000}"/>
    <cellStyle name="标题 2 4 18 9 2" xfId="3490" xr:uid="{00000000-0005-0000-0000-000052670000}"/>
    <cellStyle name="标题 2 4 18 9 3" xfId="17656" xr:uid="{00000000-0005-0000-0000-000053670000}"/>
    <cellStyle name="标题 2 4 19" xfId="10890" xr:uid="{00000000-0005-0000-0000-000054670000}"/>
    <cellStyle name="标题 2 4 19 10" xfId="31623" xr:uid="{00000000-0005-0000-0000-000055670000}"/>
    <cellStyle name="标题 2 4 19 11" xfId="29854" xr:uid="{00000000-0005-0000-0000-000056670000}"/>
    <cellStyle name="标题 2 4 19 12" xfId="29857" xr:uid="{00000000-0005-0000-0000-000057670000}"/>
    <cellStyle name="标题 2 4 19 13" xfId="29860" xr:uid="{00000000-0005-0000-0000-000058670000}"/>
    <cellStyle name="标题 2 4 19 14" xfId="29863" xr:uid="{00000000-0005-0000-0000-000059670000}"/>
    <cellStyle name="标题 2 4 19 2" xfId="22911" xr:uid="{00000000-0005-0000-0000-00005A670000}"/>
    <cellStyle name="标题 2 4 19 3" xfId="22913" xr:uid="{00000000-0005-0000-0000-00005B670000}"/>
    <cellStyle name="标题 2 4 19 4" xfId="15805" xr:uid="{00000000-0005-0000-0000-00005C670000}"/>
    <cellStyle name="标题 2 4 19 5" xfId="15808" xr:uid="{00000000-0005-0000-0000-00005D670000}"/>
    <cellStyle name="标题 2 4 19 5 10" xfId="32169" xr:uid="{00000000-0005-0000-0000-00005E670000}"/>
    <cellStyle name="标题 2 4 19 5 11" xfId="4548" xr:uid="{00000000-0005-0000-0000-00005F670000}"/>
    <cellStyle name="标题 2 4 19 5 2" xfId="32170" xr:uid="{00000000-0005-0000-0000-000060670000}"/>
    <cellStyle name="标题 2 4 19 5 2 2" xfId="11484" xr:uid="{00000000-0005-0000-0000-000061670000}"/>
    <cellStyle name="标题 2 4 19 5 2 2 2" xfId="30064" xr:uid="{00000000-0005-0000-0000-000062670000}"/>
    <cellStyle name="标题 2 4 19 5 2 2 3" xfId="28668" xr:uid="{00000000-0005-0000-0000-000063670000}"/>
    <cellStyle name="标题 2 4 19 5 2 3" xfId="11486" xr:uid="{00000000-0005-0000-0000-000064670000}"/>
    <cellStyle name="标题 2 4 19 5 2 4" xfId="11488" xr:uid="{00000000-0005-0000-0000-000065670000}"/>
    <cellStyle name="标题 2 4 19 5 2 5" xfId="11492" xr:uid="{00000000-0005-0000-0000-000066670000}"/>
    <cellStyle name="标题 2 4 19 5 2 6" xfId="11495" xr:uid="{00000000-0005-0000-0000-000067670000}"/>
    <cellStyle name="标题 2 4 19 5 2 7" xfId="32172" xr:uid="{00000000-0005-0000-0000-000068670000}"/>
    <cellStyle name="标题 2 4 19 5 2 8" xfId="32174" xr:uid="{00000000-0005-0000-0000-000069670000}"/>
    <cellStyle name="标题 2 4 19 5 3" xfId="32175" xr:uid="{00000000-0005-0000-0000-00006A670000}"/>
    <cellStyle name="标题 2 4 19 5 4" xfId="32176" xr:uid="{00000000-0005-0000-0000-00006B670000}"/>
    <cellStyle name="标题 2 4 19 5 5" xfId="30814" xr:uid="{00000000-0005-0000-0000-00006C670000}"/>
    <cellStyle name="标题 2 4 19 5 6" xfId="30816" xr:uid="{00000000-0005-0000-0000-00006D670000}"/>
    <cellStyle name="标题 2 4 19 5 6 2" xfId="32177" xr:uid="{00000000-0005-0000-0000-00006E670000}"/>
    <cellStyle name="标题 2 4 19 5 6 3" xfId="32178" xr:uid="{00000000-0005-0000-0000-00006F670000}"/>
    <cellStyle name="标题 2 4 19 5 7" xfId="32179" xr:uid="{00000000-0005-0000-0000-000070670000}"/>
    <cellStyle name="标题 2 4 19 5 8" xfId="32180" xr:uid="{00000000-0005-0000-0000-000071670000}"/>
    <cellStyle name="标题 2 4 19 5 9" xfId="32181" xr:uid="{00000000-0005-0000-0000-000072670000}"/>
    <cellStyle name="标题 2 4 19 6" xfId="17714" xr:uid="{00000000-0005-0000-0000-000073670000}"/>
    <cellStyle name="标题 2 4 19 6 2" xfId="32182" xr:uid="{00000000-0005-0000-0000-000074670000}"/>
    <cellStyle name="标题 2 4 19 6 2 2" xfId="11574" xr:uid="{00000000-0005-0000-0000-000075670000}"/>
    <cellStyle name="标题 2 4 19 6 2 3" xfId="11578" xr:uid="{00000000-0005-0000-0000-000076670000}"/>
    <cellStyle name="标题 2 4 19 6 3" xfId="32183" xr:uid="{00000000-0005-0000-0000-000077670000}"/>
    <cellStyle name="标题 2 4 19 6 4" xfId="32184" xr:uid="{00000000-0005-0000-0000-000078670000}"/>
    <cellStyle name="标题 2 4 19 6 5" xfId="32185" xr:uid="{00000000-0005-0000-0000-000079670000}"/>
    <cellStyle name="标题 2 4 19 6 6" xfId="32186" xr:uid="{00000000-0005-0000-0000-00007A670000}"/>
    <cellStyle name="标题 2 4 19 6 7" xfId="32187" xr:uid="{00000000-0005-0000-0000-00007B670000}"/>
    <cellStyle name="标题 2 4 19 6 8" xfId="32188" xr:uid="{00000000-0005-0000-0000-00007C670000}"/>
    <cellStyle name="标题 2 4 19 7" xfId="32189" xr:uid="{00000000-0005-0000-0000-00007D670000}"/>
    <cellStyle name="标题 2 4 19 8" xfId="25703" xr:uid="{00000000-0005-0000-0000-00007E670000}"/>
    <cellStyle name="标题 2 4 19 9" xfId="32191" xr:uid="{00000000-0005-0000-0000-00007F670000}"/>
    <cellStyle name="标题 2 4 19 9 2" xfId="23338" xr:uid="{00000000-0005-0000-0000-000080670000}"/>
    <cellStyle name="标题 2 4 19 9 3" xfId="19675" xr:uid="{00000000-0005-0000-0000-000081670000}"/>
    <cellStyle name="标题 2 4 2" xfId="32192" xr:uid="{00000000-0005-0000-0000-000082670000}"/>
    <cellStyle name="标题 2 4 20" xfId="15648" xr:uid="{00000000-0005-0000-0000-000083670000}"/>
    <cellStyle name="标题 2 4 20 10" xfId="32193" xr:uid="{00000000-0005-0000-0000-000084670000}"/>
    <cellStyle name="标题 2 4 20 11" xfId="32194" xr:uid="{00000000-0005-0000-0000-000085670000}"/>
    <cellStyle name="标题 2 4 20 12" xfId="32195" xr:uid="{00000000-0005-0000-0000-000086670000}"/>
    <cellStyle name="标题 2 4 20 13" xfId="32196" xr:uid="{00000000-0005-0000-0000-000087670000}"/>
    <cellStyle name="标题 2 4 20 14" xfId="32197" xr:uid="{00000000-0005-0000-0000-000088670000}"/>
    <cellStyle name="标题 2 4 20 2" xfId="32198" xr:uid="{00000000-0005-0000-0000-000089670000}"/>
    <cellStyle name="标题 2 4 20 3" xfId="32199" xr:uid="{00000000-0005-0000-0000-00008A670000}"/>
    <cellStyle name="标题 2 4 20 4" xfId="3319" xr:uid="{00000000-0005-0000-0000-00008B670000}"/>
    <cellStyle name="标题 2 4 20 5" xfId="3329" xr:uid="{00000000-0005-0000-0000-00008C670000}"/>
    <cellStyle name="标题 2 4 20 5 10" xfId="32200" xr:uid="{00000000-0005-0000-0000-00008D670000}"/>
    <cellStyle name="标题 2 4 20 5 11" xfId="32201" xr:uid="{00000000-0005-0000-0000-00008E670000}"/>
    <cellStyle name="标题 2 4 20 5 2" xfId="17231" xr:uid="{00000000-0005-0000-0000-00008F670000}"/>
    <cellStyle name="标题 2 4 20 5 2 2" xfId="32202" xr:uid="{00000000-0005-0000-0000-000090670000}"/>
    <cellStyle name="标题 2 4 20 5 2 2 2" xfId="9140" xr:uid="{00000000-0005-0000-0000-000091670000}"/>
    <cellStyle name="标题 2 4 20 5 2 2 3" xfId="9150" xr:uid="{00000000-0005-0000-0000-000092670000}"/>
    <cellStyle name="标题 2 4 20 5 2 3" xfId="32203" xr:uid="{00000000-0005-0000-0000-000093670000}"/>
    <cellStyle name="标题 2 4 20 5 2 4" xfId="32204" xr:uid="{00000000-0005-0000-0000-000094670000}"/>
    <cellStyle name="标题 2 4 20 5 2 5" xfId="32206" xr:uid="{00000000-0005-0000-0000-000095670000}"/>
    <cellStyle name="标题 2 4 20 5 2 6" xfId="32208" xr:uid="{00000000-0005-0000-0000-000096670000}"/>
    <cellStyle name="标题 2 4 20 5 2 7" xfId="32210" xr:uid="{00000000-0005-0000-0000-000097670000}"/>
    <cellStyle name="标题 2 4 20 5 2 8" xfId="32212" xr:uid="{00000000-0005-0000-0000-000098670000}"/>
    <cellStyle name="标题 2 4 20 5 3" xfId="17233" xr:uid="{00000000-0005-0000-0000-000099670000}"/>
    <cellStyle name="标题 2 4 20 5 4" xfId="17235" xr:uid="{00000000-0005-0000-0000-00009A670000}"/>
    <cellStyle name="标题 2 4 20 5 5" xfId="7733" xr:uid="{00000000-0005-0000-0000-00009B670000}"/>
    <cellStyle name="标题 2 4 20 5 6" xfId="7889" xr:uid="{00000000-0005-0000-0000-00009C670000}"/>
    <cellStyle name="标题 2 4 20 5 6 2" xfId="32214" xr:uid="{00000000-0005-0000-0000-00009D670000}"/>
    <cellStyle name="标题 2 4 20 5 6 3" xfId="32216" xr:uid="{00000000-0005-0000-0000-00009E670000}"/>
    <cellStyle name="标题 2 4 20 5 7" xfId="7895" xr:uid="{00000000-0005-0000-0000-00009F670000}"/>
    <cellStyle name="标题 2 4 20 5 8" xfId="32218" xr:uid="{00000000-0005-0000-0000-0000A0670000}"/>
    <cellStyle name="标题 2 4 20 5 9" xfId="5621" xr:uid="{00000000-0005-0000-0000-0000A1670000}"/>
    <cellStyle name="标题 2 4 20 6" xfId="3342" xr:uid="{00000000-0005-0000-0000-0000A2670000}"/>
    <cellStyle name="标题 2 4 20 6 2" xfId="17255" xr:uid="{00000000-0005-0000-0000-0000A3670000}"/>
    <cellStyle name="标题 2 4 20 6 2 2" xfId="13867" xr:uid="{00000000-0005-0000-0000-0000A4670000}"/>
    <cellStyle name="标题 2 4 20 6 2 3" xfId="13909" xr:uid="{00000000-0005-0000-0000-0000A5670000}"/>
    <cellStyle name="标题 2 4 20 6 3" xfId="17260" xr:uid="{00000000-0005-0000-0000-0000A6670000}"/>
    <cellStyle name="标题 2 4 20 6 4" xfId="17262" xr:uid="{00000000-0005-0000-0000-0000A7670000}"/>
    <cellStyle name="标题 2 4 20 6 5" xfId="6957" xr:uid="{00000000-0005-0000-0000-0000A8670000}"/>
    <cellStyle name="标题 2 4 20 6 6" xfId="6966" xr:uid="{00000000-0005-0000-0000-0000A9670000}"/>
    <cellStyle name="标题 2 4 20 6 7" xfId="7596" xr:uid="{00000000-0005-0000-0000-0000AA670000}"/>
    <cellStyle name="标题 2 4 20 6 8" xfId="32219" xr:uid="{00000000-0005-0000-0000-0000AB670000}"/>
    <cellStyle name="标题 2 4 20 7" xfId="3355" xr:uid="{00000000-0005-0000-0000-0000AC670000}"/>
    <cellStyle name="标题 2 4 20 8" xfId="3370" xr:uid="{00000000-0005-0000-0000-0000AD670000}"/>
    <cellStyle name="标题 2 4 20 9" xfId="15772" xr:uid="{00000000-0005-0000-0000-0000AE670000}"/>
    <cellStyle name="标题 2 4 20 9 2" xfId="15343" xr:uid="{00000000-0005-0000-0000-0000AF670000}"/>
    <cellStyle name="标题 2 4 20 9 3" xfId="15350" xr:uid="{00000000-0005-0000-0000-0000B0670000}"/>
    <cellStyle name="标题 2 4 3" xfId="32221" xr:uid="{00000000-0005-0000-0000-0000B1670000}"/>
    <cellStyle name="标题 2 4 4" xfId="32223" xr:uid="{00000000-0005-0000-0000-0000B2670000}"/>
    <cellStyle name="标题 2 4 5" xfId="32224" xr:uid="{00000000-0005-0000-0000-0000B3670000}"/>
    <cellStyle name="标题 2 4 6" xfId="32225" xr:uid="{00000000-0005-0000-0000-0000B4670000}"/>
    <cellStyle name="标题 2 4 7" xfId="32226" xr:uid="{00000000-0005-0000-0000-0000B5670000}"/>
    <cellStyle name="标题 2 4 8" xfId="32227" xr:uid="{00000000-0005-0000-0000-0000B6670000}"/>
    <cellStyle name="标题 2 4 9" xfId="32228" xr:uid="{00000000-0005-0000-0000-0000B7670000}"/>
    <cellStyle name="标题 2 5" xfId="15696" xr:uid="{00000000-0005-0000-0000-0000B8670000}"/>
    <cellStyle name="标题 2 5 10" xfId="29246" xr:uid="{00000000-0005-0000-0000-0000B9670000}"/>
    <cellStyle name="标题 2 5 11" xfId="32007" xr:uid="{00000000-0005-0000-0000-0000BA670000}"/>
    <cellStyle name="标题 2 5 12" xfId="32009" xr:uid="{00000000-0005-0000-0000-0000BB670000}"/>
    <cellStyle name="标题 2 5 13" xfId="32030" xr:uid="{00000000-0005-0000-0000-0000BC670000}"/>
    <cellStyle name="标题 2 5 14" xfId="18219" xr:uid="{00000000-0005-0000-0000-0000BD670000}"/>
    <cellStyle name="标题 2 5 2" xfId="17368" xr:uid="{00000000-0005-0000-0000-0000BE670000}"/>
    <cellStyle name="标题 2 5 3" xfId="17379" xr:uid="{00000000-0005-0000-0000-0000BF670000}"/>
    <cellStyle name="标题 2 5 4" xfId="17382" xr:uid="{00000000-0005-0000-0000-0000C0670000}"/>
    <cellStyle name="标题 2 5 5" xfId="17384" xr:uid="{00000000-0005-0000-0000-0000C1670000}"/>
    <cellStyle name="标题 2 5 6" xfId="32229" xr:uid="{00000000-0005-0000-0000-0000C2670000}"/>
    <cellStyle name="标题 2 5 7" xfId="32231" xr:uid="{00000000-0005-0000-0000-0000C3670000}"/>
    <cellStyle name="标题 2 5 8" xfId="32233" xr:uid="{00000000-0005-0000-0000-0000C4670000}"/>
    <cellStyle name="标题 2 5 9" xfId="32235" xr:uid="{00000000-0005-0000-0000-0000C5670000}"/>
    <cellStyle name="标题 2 6" xfId="15701" xr:uid="{00000000-0005-0000-0000-0000C6670000}"/>
    <cellStyle name="标题 2 6 10" xfId="32238" xr:uid="{00000000-0005-0000-0000-0000C7670000}"/>
    <cellStyle name="标题 2 6 11" xfId="32239" xr:uid="{00000000-0005-0000-0000-0000C8670000}"/>
    <cellStyle name="标题 2 6 12" xfId="32240" xr:uid="{00000000-0005-0000-0000-0000C9670000}"/>
    <cellStyle name="标题 2 6 13" xfId="32241" xr:uid="{00000000-0005-0000-0000-0000CA670000}"/>
    <cellStyle name="标题 2 6 14" xfId="32242" xr:uid="{00000000-0005-0000-0000-0000CB670000}"/>
    <cellStyle name="标题 2 6 2" xfId="3063" xr:uid="{00000000-0005-0000-0000-0000CC670000}"/>
    <cellStyle name="标题 2 6 3" xfId="3077" xr:uid="{00000000-0005-0000-0000-0000CD670000}"/>
    <cellStyle name="标题 2 6 4" xfId="17429" xr:uid="{00000000-0005-0000-0000-0000CE670000}"/>
    <cellStyle name="标题 2 6 5" xfId="17432" xr:uid="{00000000-0005-0000-0000-0000CF670000}"/>
    <cellStyle name="标题 2 6 6" xfId="18271" xr:uid="{00000000-0005-0000-0000-0000D0670000}"/>
    <cellStyle name="标题 2 6 7" xfId="18275" xr:uid="{00000000-0005-0000-0000-0000D1670000}"/>
    <cellStyle name="标题 2 6 8" xfId="18279" xr:uid="{00000000-0005-0000-0000-0000D2670000}"/>
    <cellStyle name="标题 2 6 9" xfId="18284" xr:uid="{00000000-0005-0000-0000-0000D3670000}"/>
    <cellStyle name="标题 2 7" xfId="15707" xr:uid="{00000000-0005-0000-0000-0000D4670000}"/>
    <cellStyle name="标题 2 8" xfId="15711" xr:uid="{00000000-0005-0000-0000-0000D5670000}"/>
    <cellStyle name="标题 2 9" xfId="15715" xr:uid="{00000000-0005-0000-0000-0000D6670000}"/>
    <cellStyle name="标题 20" xfId="12946" xr:uid="{00000000-0005-0000-0000-0000D7670000}"/>
    <cellStyle name="标题 20 10" xfId="31735" xr:uid="{00000000-0005-0000-0000-0000D8670000}"/>
    <cellStyle name="标题 20 11" xfId="31738" xr:uid="{00000000-0005-0000-0000-0000D9670000}"/>
    <cellStyle name="标题 20 12" xfId="31742" xr:uid="{00000000-0005-0000-0000-0000DA670000}"/>
    <cellStyle name="标题 20 13" xfId="31746" xr:uid="{00000000-0005-0000-0000-0000DB670000}"/>
    <cellStyle name="标题 20 14" xfId="31749" xr:uid="{00000000-0005-0000-0000-0000DC670000}"/>
    <cellStyle name="标题 20 2" xfId="31753" xr:uid="{00000000-0005-0000-0000-0000DD670000}"/>
    <cellStyle name="标题 20 3" xfId="31756" xr:uid="{00000000-0005-0000-0000-0000DE670000}"/>
    <cellStyle name="标题 20 4" xfId="31759" xr:uid="{00000000-0005-0000-0000-0000DF670000}"/>
    <cellStyle name="标题 20 5" xfId="31762" xr:uid="{00000000-0005-0000-0000-0000E0670000}"/>
    <cellStyle name="标题 20 5 10" xfId="20449" xr:uid="{00000000-0005-0000-0000-0000E1670000}"/>
    <cellStyle name="标题 20 5 11" xfId="2351" xr:uid="{00000000-0005-0000-0000-0000E2670000}"/>
    <cellStyle name="标题 20 5 2" xfId="31764" xr:uid="{00000000-0005-0000-0000-0000E3670000}"/>
    <cellStyle name="标题 20 5 2 2" xfId="14317" xr:uid="{00000000-0005-0000-0000-0000E4670000}"/>
    <cellStyle name="标题 20 5 2 2 2" xfId="23775" xr:uid="{00000000-0005-0000-0000-0000E5670000}"/>
    <cellStyle name="标题 20 5 2 2 3" xfId="23780" xr:uid="{00000000-0005-0000-0000-0000E6670000}"/>
    <cellStyle name="标题 20 5 2 3" xfId="27234" xr:uid="{00000000-0005-0000-0000-0000E7670000}"/>
    <cellStyle name="标题 20 5 2 4" xfId="7755" xr:uid="{00000000-0005-0000-0000-0000E8670000}"/>
    <cellStyle name="标题 20 5 2 5" xfId="7782" xr:uid="{00000000-0005-0000-0000-0000E9670000}"/>
    <cellStyle name="标题 20 5 2 6" xfId="7788" xr:uid="{00000000-0005-0000-0000-0000EA670000}"/>
    <cellStyle name="标题 20 5 2 7" xfId="7794" xr:uid="{00000000-0005-0000-0000-0000EB670000}"/>
    <cellStyle name="标题 20 5 2 8" xfId="7799" xr:uid="{00000000-0005-0000-0000-0000EC670000}"/>
    <cellStyle name="标题 20 5 3" xfId="31766" xr:uid="{00000000-0005-0000-0000-0000ED670000}"/>
    <cellStyle name="标题 20 5 4" xfId="31768" xr:uid="{00000000-0005-0000-0000-0000EE670000}"/>
    <cellStyle name="标题 20 5 5" xfId="5366" xr:uid="{00000000-0005-0000-0000-0000EF670000}"/>
    <cellStyle name="标题 20 5 6" xfId="5384" xr:uid="{00000000-0005-0000-0000-0000F0670000}"/>
    <cellStyle name="标题 20 5 6 2" xfId="15003" xr:uid="{00000000-0005-0000-0000-0000F1670000}"/>
    <cellStyle name="标题 20 5 6 3" xfId="15176" xr:uid="{00000000-0005-0000-0000-0000F2670000}"/>
    <cellStyle name="标题 20 5 7" xfId="12517" xr:uid="{00000000-0005-0000-0000-0000F3670000}"/>
    <cellStyle name="标题 20 5 8" xfId="12527" xr:uid="{00000000-0005-0000-0000-0000F4670000}"/>
    <cellStyle name="标题 20 5 9" xfId="12537" xr:uid="{00000000-0005-0000-0000-0000F5670000}"/>
    <cellStyle name="标题 20 6" xfId="24361" xr:uid="{00000000-0005-0000-0000-0000F6670000}"/>
    <cellStyle name="标题 20 6 2" xfId="748" xr:uid="{00000000-0005-0000-0000-0000F7670000}"/>
    <cellStyle name="标题 20 6 2 2" xfId="22460" xr:uid="{00000000-0005-0000-0000-0000F8670000}"/>
    <cellStyle name="标题 20 6 2 3" xfId="22101" xr:uid="{00000000-0005-0000-0000-0000F9670000}"/>
    <cellStyle name="标题 20 6 3" xfId="1274" xr:uid="{00000000-0005-0000-0000-0000FA670000}"/>
    <cellStyle name="标题 20 6 4" xfId="6102" xr:uid="{00000000-0005-0000-0000-0000FB670000}"/>
    <cellStyle name="标题 20 6 5" xfId="6145" xr:uid="{00000000-0005-0000-0000-0000FC670000}"/>
    <cellStyle name="标题 20 6 6" xfId="6155" xr:uid="{00000000-0005-0000-0000-0000FD670000}"/>
    <cellStyle name="标题 20 6 7" xfId="20264" xr:uid="{00000000-0005-0000-0000-0000FE670000}"/>
    <cellStyle name="标题 20 6 8" xfId="20269" xr:uid="{00000000-0005-0000-0000-0000FF670000}"/>
    <cellStyle name="标题 20 7" xfId="24366" xr:uid="{00000000-0005-0000-0000-000000680000}"/>
    <cellStyle name="标题 20 8" xfId="24371" xr:uid="{00000000-0005-0000-0000-000001680000}"/>
    <cellStyle name="标题 20 9" xfId="24375" xr:uid="{00000000-0005-0000-0000-000002680000}"/>
    <cellStyle name="标题 20 9 2" xfId="31771" xr:uid="{00000000-0005-0000-0000-000003680000}"/>
    <cellStyle name="标题 20 9 3" xfId="31774" xr:uid="{00000000-0005-0000-0000-000004680000}"/>
    <cellStyle name="标题 21" xfId="12951" xr:uid="{00000000-0005-0000-0000-000005680000}"/>
    <cellStyle name="标题 21 10" xfId="1957" xr:uid="{00000000-0005-0000-0000-000006680000}"/>
    <cellStyle name="标题 21 11" xfId="1844" xr:uid="{00000000-0005-0000-0000-000007680000}"/>
    <cellStyle name="标题 21 12" xfId="1870" xr:uid="{00000000-0005-0000-0000-000008680000}"/>
    <cellStyle name="标题 21 13" xfId="7741" xr:uid="{00000000-0005-0000-0000-000009680000}"/>
    <cellStyle name="标题 21 14" xfId="7827" xr:uid="{00000000-0005-0000-0000-00000A680000}"/>
    <cellStyle name="标题 21 2" xfId="2504" xr:uid="{00000000-0005-0000-0000-00000B680000}"/>
    <cellStyle name="标题 21 3" xfId="2512" xr:uid="{00000000-0005-0000-0000-00000C680000}"/>
    <cellStyle name="标题 21 4" xfId="2522" xr:uid="{00000000-0005-0000-0000-00000D680000}"/>
    <cellStyle name="标题 21 5" xfId="5127" xr:uid="{00000000-0005-0000-0000-00000E680000}"/>
    <cellStyle name="标题 21 5 10" xfId="10651" xr:uid="{00000000-0005-0000-0000-00000F680000}"/>
    <cellStyle name="标题 21 5 11" xfId="9193" xr:uid="{00000000-0005-0000-0000-000010680000}"/>
    <cellStyle name="标题 21 5 2" xfId="10268" xr:uid="{00000000-0005-0000-0000-000011680000}"/>
    <cellStyle name="标题 21 5 2 2" xfId="32244" xr:uid="{00000000-0005-0000-0000-000012680000}"/>
    <cellStyle name="标题 21 5 2 2 2" xfId="13618" xr:uid="{00000000-0005-0000-0000-000013680000}"/>
    <cellStyle name="标题 21 5 2 2 3" xfId="2526" xr:uid="{00000000-0005-0000-0000-000014680000}"/>
    <cellStyle name="标题 21 5 2 3" xfId="32245" xr:uid="{00000000-0005-0000-0000-000015680000}"/>
    <cellStyle name="标题 21 5 2 4" xfId="32246" xr:uid="{00000000-0005-0000-0000-000016680000}"/>
    <cellStyle name="标题 21 5 2 5" xfId="32247" xr:uid="{00000000-0005-0000-0000-000017680000}"/>
    <cellStyle name="标题 21 5 2 6" xfId="32248" xr:uid="{00000000-0005-0000-0000-000018680000}"/>
    <cellStyle name="标题 21 5 2 7" xfId="32249" xr:uid="{00000000-0005-0000-0000-000019680000}"/>
    <cellStyle name="标题 21 5 2 8" xfId="32250" xr:uid="{00000000-0005-0000-0000-00001A680000}"/>
    <cellStyle name="标题 21 5 3" xfId="10273" xr:uid="{00000000-0005-0000-0000-00001B680000}"/>
    <cellStyle name="标题 21 5 4" xfId="10278" xr:uid="{00000000-0005-0000-0000-00001C680000}"/>
    <cellStyle name="标题 21 5 5" xfId="5502" xr:uid="{00000000-0005-0000-0000-00001D680000}"/>
    <cellStyle name="标题 21 5 6" xfId="5516" xr:uid="{00000000-0005-0000-0000-00001E680000}"/>
    <cellStyle name="标题 21 5 6 2" xfId="10174" xr:uid="{00000000-0005-0000-0000-00001F680000}"/>
    <cellStyle name="标题 21 5 6 3" xfId="10180" xr:uid="{00000000-0005-0000-0000-000020680000}"/>
    <cellStyle name="标题 21 5 7" xfId="2228" xr:uid="{00000000-0005-0000-0000-000021680000}"/>
    <cellStyle name="标题 21 5 8" xfId="2254" xr:uid="{00000000-0005-0000-0000-000022680000}"/>
    <cellStyle name="标题 21 5 9" xfId="2270" xr:uid="{00000000-0005-0000-0000-000023680000}"/>
    <cellStyle name="标题 21 6" xfId="10728" xr:uid="{00000000-0005-0000-0000-000024680000}"/>
    <cellStyle name="标题 21 6 2" xfId="10738" xr:uid="{00000000-0005-0000-0000-000025680000}"/>
    <cellStyle name="标题 21 6 2 2" xfId="19423" xr:uid="{00000000-0005-0000-0000-000026680000}"/>
    <cellStyle name="标题 21 6 2 3" xfId="19472" xr:uid="{00000000-0005-0000-0000-000027680000}"/>
    <cellStyle name="标题 21 6 3" xfId="10741" xr:uid="{00000000-0005-0000-0000-000028680000}"/>
    <cellStyle name="标题 21 6 4" xfId="10746" xr:uid="{00000000-0005-0000-0000-000029680000}"/>
    <cellStyle name="标题 21 6 5" xfId="10750" xr:uid="{00000000-0005-0000-0000-00002A680000}"/>
    <cellStyle name="标题 21 6 6" xfId="10766" xr:uid="{00000000-0005-0000-0000-00002B680000}"/>
    <cellStyle name="标题 21 6 7" xfId="10797" xr:uid="{00000000-0005-0000-0000-00002C680000}"/>
    <cellStyle name="标题 21 6 8" xfId="9132" xr:uid="{00000000-0005-0000-0000-00002D680000}"/>
    <cellStyle name="标题 21 7" xfId="10800" xr:uid="{00000000-0005-0000-0000-00002E680000}"/>
    <cellStyle name="标题 21 8" xfId="24387" xr:uid="{00000000-0005-0000-0000-00002F680000}"/>
    <cellStyle name="标题 21 9" xfId="24389" xr:uid="{00000000-0005-0000-0000-000030680000}"/>
    <cellStyle name="标题 21 9 2" xfId="32251" xr:uid="{00000000-0005-0000-0000-000031680000}"/>
    <cellStyle name="标题 21 9 3" xfId="32253" xr:uid="{00000000-0005-0000-0000-000032680000}"/>
    <cellStyle name="标题 22" xfId="12955" xr:uid="{00000000-0005-0000-0000-000033680000}"/>
    <cellStyle name="标题 3 10" xfId="32255" xr:uid="{00000000-0005-0000-0000-000034680000}"/>
    <cellStyle name="标题 3 11" xfId="32256" xr:uid="{00000000-0005-0000-0000-000035680000}"/>
    <cellStyle name="标题 3 12" xfId="32257" xr:uid="{00000000-0005-0000-0000-000036680000}"/>
    <cellStyle name="标题 3 12 10" xfId="15316" xr:uid="{00000000-0005-0000-0000-000037680000}"/>
    <cellStyle name="标题 3 12 11" xfId="15322" xr:uid="{00000000-0005-0000-0000-000038680000}"/>
    <cellStyle name="标题 3 12 12" xfId="22711" xr:uid="{00000000-0005-0000-0000-000039680000}"/>
    <cellStyle name="标题 3 12 13" xfId="22714" xr:uid="{00000000-0005-0000-0000-00003A680000}"/>
    <cellStyle name="标题 3 12 14" xfId="22716" xr:uid="{00000000-0005-0000-0000-00003B680000}"/>
    <cellStyle name="标题 3 12 2" xfId="27769" xr:uid="{00000000-0005-0000-0000-00003C680000}"/>
    <cellStyle name="标题 3 12 3" xfId="27771" xr:uid="{00000000-0005-0000-0000-00003D680000}"/>
    <cellStyle name="标题 3 12 4" xfId="32258" xr:uid="{00000000-0005-0000-0000-00003E680000}"/>
    <cellStyle name="标题 3 12 5" xfId="32259" xr:uid="{00000000-0005-0000-0000-00003F680000}"/>
    <cellStyle name="标题 3 12 5 10" xfId="32260" xr:uid="{00000000-0005-0000-0000-000040680000}"/>
    <cellStyle name="标题 3 12 5 11" xfId="32261" xr:uid="{00000000-0005-0000-0000-000041680000}"/>
    <cellStyle name="标题 3 12 5 2" xfId="31376" xr:uid="{00000000-0005-0000-0000-000042680000}"/>
    <cellStyle name="标题 3 12 5 2 2" xfId="32262" xr:uid="{00000000-0005-0000-0000-000043680000}"/>
    <cellStyle name="标题 3 12 5 2 2 2" xfId="32263" xr:uid="{00000000-0005-0000-0000-000044680000}"/>
    <cellStyle name="标题 3 12 5 2 2 3" xfId="32264" xr:uid="{00000000-0005-0000-0000-000045680000}"/>
    <cellStyle name="标题 3 12 5 2 3" xfId="32265" xr:uid="{00000000-0005-0000-0000-000046680000}"/>
    <cellStyle name="标题 3 12 5 2 4" xfId="32266" xr:uid="{00000000-0005-0000-0000-000047680000}"/>
    <cellStyle name="标题 3 12 5 2 5" xfId="32267" xr:uid="{00000000-0005-0000-0000-000048680000}"/>
    <cellStyle name="标题 3 12 5 2 6" xfId="22935" xr:uid="{00000000-0005-0000-0000-000049680000}"/>
    <cellStyle name="标题 3 12 5 2 7" xfId="22938" xr:uid="{00000000-0005-0000-0000-00004A680000}"/>
    <cellStyle name="标题 3 12 5 2 8" xfId="30896" xr:uid="{00000000-0005-0000-0000-00004B680000}"/>
    <cellStyle name="标题 3 12 5 3" xfId="31378" xr:uid="{00000000-0005-0000-0000-00004C680000}"/>
    <cellStyle name="标题 3 12 5 4" xfId="9493" xr:uid="{00000000-0005-0000-0000-00004D680000}"/>
    <cellStyle name="标题 3 12 5 5" xfId="9557" xr:uid="{00000000-0005-0000-0000-00004E680000}"/>
    <cellStyle name="标题 3 12 5 6" xfId="9588" xr:uid="{00000000-0005-0000-0000-00004F680000}"/>
    <cellStyle name="标题 3 12 5 6 2" xfId="22899" xr:uid="{00000000-0005-0000-0000-000050680000}"/>
    <cellStyle name="标题 3 12 5 6 3" xfId="22902" xr:uid="{00000000-0005-0000-0000-000051680000}"/>
    <cellStyle name="标题 3 12 5 7" xfId="9595" xr:uid="{00000000-0005-0000-0000-000052680000}"/>
    <cellStyle name="标题 3 12 5 8" xfId="9602" xr:uid="{00000000-0005-0000-0000-000053680000}"/>
    <cellStyle name="标题 3 12 5 9" xfId="11517" xr:uid="{00000000-0005-0000-0000-000054680000}"/>
    <cellStyle name="标题 3 12 6" xfId="26085" xr:uid="{00000000-0005-0000-0000-000055680000}"/>
    <cellStyle name="标题 3 12 6 2" xfId="19810" xr:uid="{00000000-0005-0000-0000-000056680000}"/>
    <cellStyle name="标题 3 12 6 2 2" xfId="32268" xr:uid="{00000000-0005-0000-0000-000057680000}"/>
    <cellStyle name="标题 3 12 6 2 3" xfId="32269" xr:uid="{00000000-0005-0000-0000-000058680000}"/>
    <cellStyle name="标题 3 12 6 3" xfId="32270" xr:uid="{00000000-0005-0000-0000-000059680000}"/>
    <cellStyle name="标题 3 12 6 4" xfId="32271" xr:uid="{00000000-0005-0000-0000-00005A680000}"/>
    <cellStyle name="标题 3 12 6 5" xfId="32272" xr:uid="{00000000-0005-0000-0000-00005B680000}"/>
    <cellStyle name="标题 3 12 6 6" xfId="32273" xr:uid="{00000000-0005-0000-0000-00005C680000}"/>
    <cellStyle name="标题 3 12 6 7" xfId="25738" xr:uid="{00000000-0005-0000-0000-00005D680000}"/>
    <cellStyle name="标题 3 12 6 8" xfId="6969" xr:uid="{00000000-0005-0000-0000-00005E680000}"/>
    <cellStyle name="标题 3 12 7" xfId="32274" xr:uid="{00000000-0005-0000-0000-00005F680000}"/>
    <cellStyle name="标题 3 12 8" xfId="32275" xr:uid="{00000000-0005-0000-0000-000060680000}"/>
    <cellStyle name="标题 3 12 9" xfId="32276" xr:uid="{00000000-0005-0000-0000-000061680000}"/>
    <cellStyle name="标题 3 12 9 2" xfId="32277" xr:uid="{00000000-0005-0000-0000-000062680000}"/>
    <cellStyle name="标题 3 12 9 3" xfId="32278" xr:uid="{00000000-0005-0000-0000-000063680000}"/>
    <cellStyle name="标题 3 13" xfId="32279" xr:uid="{00000000-0005-0000-0000-000064680000}"/>
    <cellStyle name="标题 3 14" xfId="4225" xr:uid="{00000000-0005-0000-0000-000065680000}"/>
    <cellStyle name="标题 3 15" xfId="4231" xr:uid="{00000000-0005-0000-0000-000066680000}"/>
    <cellStyle name="标题 3 16" xfId="2064" xr:uid="{00000000-0005-0000-0000-000067680000}"/>
    <cellStyle name="标题 3 16 10" xfId="23453" xr:uid="{00000000-0005-0000-0000-000068680000}"/>
    <cellStyle name="标题 3 16 11" xfId="32280" xr:uid="{00000000-0005-0000-0000-000069680000}"/>
    <cellStyle name="标题 3 16 12" xfId="25687" xr:uid="{00000000-0005-0000-0000-00006A680000}"/>
    <cellStyle name="标题 3 16 13" xfId="32282" xr:uid="{00000000-0005-0000-0000-00006B680000}"/>
    <cellStyle name="标题 3 16 14" xfId="32284" xr:uid="{00000000-0005-0000-0000-00006C680000}"/>
    <cellStyle name="标题 3 16 2" xfId="32285" xr:uid="{00000000-0005-0000-0000-00006D680000}"/>
    <cellStyle name="标题 3 16 3" xfId="32286" xr:uid="{00000000-0005-0000-0000-00006E680000}"/>
    <cellStyle name="标题 3 16 4" xfId="32287" xr:uid="{00000000-0005-0000-0000-00006F680000}"/>
    <cellStyle name="标题 3 16 5" xfId="32289" xr:uid="{00000000-0005-0000-0000-000070680000}"/>
    <cellStyle name="标题 3 16 5 10" xfId="32291" xr:uid="{00000000-0005-0000-0000-000071680000}"/>
    <cellStyle name="标题 3 16 5 11" xfId="3598" xr:uid="{00000000-0005-0000-0000-000072680000}"/>
    <cellStyle name="标题 3 16 5 2" xfId="21808" xr:uid="{00000000-0005-0000-0000-000073680000}"/>
    <cellStyle name="标题 3 16 5 2 2" xfId="32292" xr:uid="{00000000-0005-0000-0000-000074680000}"/>
    <cellStyle name="标题 3 16 5 2 2 2" xfId="32293" xr:uid="{00000000-0005-0000-0000-000075680000}"/>
    <cellStyle name="标题 3 16 5 2 2 3" xfId="32294" xr:uid="{00000000-0005-0000-0000-000076680000}"/>
    <cellStyle name="标题 3 16 5 2 3" xfId="32295" xr:uid="{00000000-0005-0000-0000-000077680000}"/>
    <cellStyle name="标题 3 16 5 2 4" xfId="32296" xr:uid="{00000000-0005-0000-0000-000078680000}"/>
    <cellStyle name="标题 3 16 5 2 5" xfId="32297" xr:uid="{00000000-0005-0000-0000-000079680000}"/>
    <cellStyle name="标题 3 16 5 2 6" xfId="32298" xr:uid="{00000000-0005-0000-0000-00007A680000}"/>
    <cellStyle name="标题 3 16 5 2 7" xfId="32299" xr:uid="{00000000-0005-0000-0000-00007B680000}"/>
    <cellStyle name="标题 3 16 5 2 8" xfId="32300" xr:uid="{00000000-0005-0000-0000-00007C680000}"/>
    <cellStyle name="标题 3 16 5 3" xfId="2918" xr:uid="{00000000-0005-0000-0000-00007D680000}"/>
    <cellStyle name="标题 3 16 5 4" xfId="2944" xr:uid="{00000000-0005-0000-0000-00007E680000}"/>
    <cellStyle name="标题 3 16 5 5" xfId="2961" xr:uid="{00000000-0005-0000-0000-00007F680000}"/>
    <cellStyle name="标题 3 16 5 6" xfId="2985" xr:uid="{00000000-0005-0000-0000-000080680000}"/>
    <cellStyle name="标题 3 16 5 6 2" xfId="32302" xr:uid="{00000000-0005-0000-0000-000081680000}"/>
    <cellStyle name="标题 3 16 5 6 3" xfId="3802" xr:uid="{00000000-0005-0000-0000-000082680000}"/>
    <cellStyle name="标题 3 16 5 7" xfId="3011" xr:uid="{00000000-0005-0000-0000-000083680000}"/>
    <cellStyle name="标题 3 16 5 8" xfId="3020" xr:uid="{00000000-0005-0000-0000-000084680000}"/>
    <cellStyle name="标题 3 16 5 9" xfId="3028" xr:uid="{00000000-0005-0000-0000-000085680000}"/>
    <cellStyle name="标题 3 16 6" xfId="32304" xr:uid="{00000000-0005-0000-0000-000086680000}"/>
    <cellStyle name="标题 3 16 6 2" xfId="19750" xr:uid="{00000000-0005-0000-0000-000087680000}"/>
    <cellStyle name="标题 3 16 6 2 2" xfId="29100" xr:uid="{00000000-0005-0000-0000-000088680000}"/>
    <cellStyle name="标题 3 16 6 2 3" xfId="29102" xr:uid="{00000000-0005-0000-0000-000089680000}"/>
    <cellStyle name="标题 3 16 6 3" xfId="32305" xr:uid="{00000000-0005-0000-0000-00008A680000}"/>
    <cellStyle name="标题 3 16 6 4" xfId="32306" xr:uid="{00000000-0005-0000-0000-00008B680000}"/>
    <cellStyle name="标题 3 16 6 5" xfId="32307" xr:uid="{00000000-0005-0000-0000-00008C680000}"/>
    <cellStyle name="标题 3 16 6 6" xfId="32308" xr:uid="{00000000-0005-0000-0000-00008D680000}"/>
    <cellStyle name="标题 3 16 6 7" xfId="32309" xr:uid="{00000000-0005-0000-0000-00008E680000}"/>
    <cellStyle name="标题 3 16 6 8" xfId="32311" xr:uid="{00000000-0005-0000-0000-00008F680000}"/>
    <cellStyle name="标题 3 16 7" xfId="32313" xr:uid="{00000000-0005-0000-0000-000090680000}"/>
    <cellStyle name="标题 3 16 8" xfId="32314" xr:uid="{00000000-0005-0000-0000-000091680000}"/>
    <cellStyle name="标题 3 16 9" xfId="20518" xr:uid="{00000000-0005-0000-0000-000092680000}"/>
    <cellStyle name="标题 3 16 9 2" xfId="20105" xr:uid="{00000000-0005-0000-0000-000093680000}"/>
    <cellStyle name="标题 3 16 9 3" xfId="3070" xr:uid="{00000000-0005-0000-0000-000094680000}"/>
    <cellStyle name="标题 3 17" xfId="2087" xr:uid="{00000000-0005-0000-0000-000095680000}"/>
    <cellStyle name="标题 3 17 10" xfId="30720" xr:uid="{00000000-0005-0000-0000-000096680000}"/>
    <cellStyle name="标题 3 17 11" xfId="30722" xr:uid="{00000000-0005-0000-0000-000097680000}"/>
    <cellStyle name="标题 3 17 12" xfId="30724" xr:uid="{00000000-0005-0000-0000-000098680000}"/>
    <cellStyle name="标题 3 17 13" xfId="30726" xr:uid="{00000000-0005-0000-0000-000099680000}"/>
    <cellStyle name="标题 3 17 14" xfId="30728" xr:uid="{00000000-0005-0000-0000-00009A680000}"/>
    <cellStyle name="标题 3 17 2" xfId="27865" xr:uid="{00000000-0005-0000-0000-00009B680000}"/>
    <cellStyle name="标题 3 17 3" xfId="27867" xr:uid="{00000000-0005-0000-0000-00009C680000}"/>
    <cellStyle name="标题 3 17 4" xfId="32315" xr:uid="{00000000-0005-0000-0000-00009D680000}"/>
    <cellStyle name="标题 3 17 5" xfId="32316" xr:uid="{00000000-0005-0000-0000-00009E680000}"/>
    <cellStyle name="标题 3 17 5 10" xfId="4651" xr:uid="{00000000-0005-0000-0000-00009F680000}"/>
    <cellStyle name="标题 3 17 5 11" xfId="4659" xr:uid="{00000000-0005-0000-0000-0000A0680000}"/>
    <cellStyle name="标题 3 17 5 2" xfId="10064" xr:uid="{00000000-0005-0000-0000-0000A1680000}"/>
    <cellStyle name="标题 3 17 5 2 2" xfId="32317" xr:uid="{00000000-0005-0000-0000-0000A2680000}"/>
    <cellStyle name="标题 3 17 5 2 2 2" xfId="32319" xr:uid="{00000000-0005-0000-0000-0000A3680000}"/>
    <cellStyle name="标题 3 17 5 2 2 3" xfId="32320" xr:uid="{00000000-0005-0000-0000-0000A4680000}"/>
    <cellStyle name="标题 3 17 5 2 3" xfId="18895" xr:uid="{00000000-0005-0000-0000-0000A5680000}"/>
    <cellStyle name="标题 3 17 5 2 4" xfId="18898" xr:uid="{00000000-0005-0000-0000-0000A6680000}"/>
    <cellStyle name="标题 3 17 5 2 5" xfId="5719" xr:uid="{00000000-0005-0000-0000-0000A7680000}"/>
    <cellStyle name="标题 3 17 5 2 6" xfId="5740" xr:uid="{00000000-0005-0000-0000-0000A8680000}"/>
    <cellStyle name="标题 3 17 5 2 7" xfId="18900" xr:uid="{00000000-0005-0000-0000-0000A9680000}"/>
    <cellStyle name="标题 3 17 5 2 8" xfId="18902" xr:uid="{00000000-0005-0000-0000-0000AA680000}"/>
    <cellStyle name="标题 3 17 5 3" xfId="2084" xr:uid="{00000000-0005-0000-0000-0000AB680000}"/>
    <cellStyle name="标题 3 17 5 4" xfId="3121" xr:uid="{00000000-0005-0000-0000-0000AC680000}"/>
    <cellStyle name="标题 3 17 5 5" xfId="32322" xr:uid="{00000000-0005-0000-0000-0000AD680000}"/>
    <cellStyle name="标题 3 17 5 6" xfId="32323" xr:uid="{00000000-0005-0000-0000-0000AE680000}"/>
    <cellStyle name="标题 3 17 5 6 2" xfId="23572" xr:uid="{00000000-0005-0000-0000-0000AF680000}"/>
    <cellStyle name="标题 3 17 5 6 3" xfId="18914" xr:uid="{00000000-0005-0000-0000-0000B0680000}"/>
    <cellStyle name="标题 3 17 5 7" xfId="32324" xr:uid="{00000000-0005-0000-0000-0000B1680000}"/>
    <cellStyle name="标题 3 17 5 8" xfId="32325" xr:uid="{00000000-0005-0000-0000-0000B2680000}"/>
    <cellStyle name="标题 3 17 5 9" xfId="32326" xr:uid="{00000000-0005-0000-0000-0000B3680000}"/>
    <cellStyle name="标题 3 17 6" xfId="32327" xr:uid="{00000000-0005-0000-0000-0000B4680000}"/>
    <cellStyle name="标题 3 17 6 2" xfId="32328" xr:uid="{00000000-0005-0000-0000-0000B5680000}"/>
    <cellStyle name="标题 3 17 6 2 2" xfId="32329" xr:uid="{00000000-0005-0000-0000-0000B6680000}"/>
    <cellStyle name="标题 3 17 6 2 3" xfId="18924" xr:uid="{00000000-0005-0000-0000-0000B7680000}"/>
    <cellStyle name="标题 3 17 6 3" xfId="32330" xr:uid="{00000000-0005-0000-0000-0000B8680000}"/>
    <cellStyle name="标题 3 17 6 4" xfId="32331" xr:uid="{00000000-0005-0000-0000-0000B9680000}"/>
    <cellStyle name="标题 3 17 6 5" xfId="32332" xr:uid="{00000000-0005-0000-0000-0000BA680000}"/>
    <cellStyle name="标题 3 17 6 6" xfId="32333" xr:uid="{00000000-0005-0000-0000-0000BB680000}"/>
    <cellStyle name="标题 3 17 6 7" xfId="25740" xr:uid="{00000000-0005-0000-0000-0000BC680000}"/>
    <cellStyle name="标题 3 17 6 8" xfId="32335" xr:uid="{00000000-0005-0000-0000-0000BD680000}"/>
    <cellStyle name="标题 3 17 7" xfId="32336" xr:uid="{00000000-0005-0000-0000-0000BE680000}"/>
    <cellStyle name="标题 3 17 8" xfId="32337" xr:uid="{00000000-0005-0000-0000-0000BF680000}"/>
    <cellStyle name="标题 3 17 9" xfId="20526" xr:uid="{00000000-0005-0000-0000-0000C0680000}"/>
    <cellStyle name="标题 3 17 9 2" xfId="14717" xr:uid="{00000000-0005-0000-0000-0000C1680000}"/>
    <cellStyle name="标题 3 17 9 3" xfId="14720" xr:uid="{00000000-0005-0000-0000-0000C2680000}"/>
    <cellStyle name="标题 3 18" xfId="4239" xr:uid="{00000000-0005-0000-0000-0000C3680000}"/>
    <cellStyle name="标题 3 18 10" xfId="32338" xr:uid="{00000000-0005-0000-0000-0000C4680000}"/>
    <cellStyle name="标题 3 18 11" xfId="32339" xr:uid="{00000000-0005-0000-0000-0000C5680000}"/>
    <cellStyle name="标题 3 18 12" xfId="32340" xr:uid="{00000000-0005-0000-0000-0000C6680000}"/>
    <cellStyle name="标题 3 18 13" xfId="25554" xr:uid="{00000000-0005-0000-0000-0000C7680000}"/>
    <cellStyle name="标题 3 18 14" xfId="32341" xr:uid="{00000000-0005-0000-0000-0000C8680000}"/>
    <cellStyle name="标题 3 18 2" xfId="20236" xr:uid="{00000000-0005-0000-0000-0000C9680000}"/>
    <cellStyle name="标题 3 18 3" xfId="20239" xr:uid="{00000000-0005-0000-0000-0000CA680000}"/>
    <cellStyle name="标题 3 18 4" xfId="20241" xr:uid="{00000000-0005-0000-0000-0000CB680000}"/>
    <cellStyle name="标题 3 18 5" xfId="20243" xr:uid="{00000000-0005-0000-0000-0000CC680000}"/>
    <cellStyle name="标题 3 18 5 10" xfId="32342" xr:uid="{00000000-0005-0000-0000-0000CD680000}"/>
    <cellStyle name="标题 3 18 5 11" xfId="32343" xr:uid="{00000000-0005-0000-0000-0000CE680000}"/>
    <cellStyle name="标题 3 18 5 2" xfId="5066" xr:uid="{00000000-0005-0000-0000-0000CF680000}"/>
    <cellStyle name="标题 3 18 5 2 2" xfId="18993" xr:uid="{00000000-0005-0000-0000-0000D0680000}"/>
    <cellStyle name="标题 3 18 5 2 2 2" xfId="18997" xr:uid="{00000000-0005-0000-0000-0000D1680000}"/>
    <cellStyle name="标题 3 18 5 2 2 3" xfId="19001" xr:uid="{00000000-0005-0000-0000-0000D2680000}"/>
    <cellStyle name="标题 3 18 5 2 3" xfId="18960" xr:uid="{00000000-0005-0000-0000-0000D3680000}"/>
    <cellStyle name="标题 3 18 5 2 4" xfId="18966" xr:uid="{00000000-0005-0000-0000-0000D4680000}"/>
    <cellStyle name="标题 3 18 5 2 5" xfId="18970" xr:uid="{00000000-0005-0000-0000-0000D5680000}"/>
    <cellStyle name="标题 3 18 5 2 6" xfId="18973" xr:uid="{00000000-0005-0000-0000-0000D6680000}"/>
    <cellStyle name="标题 3 18 5 2 7" xfId="18976" xr:uid="{00000000-0005-0000-0000-0000D7680000}"/>
    <cellStyle name="标题 3 18 5 2 8" xfId="18979" xr:uid="{00000000-0005-0000-0000-0000D8680000}"/>
    <cellStyle name="标题 3 18 5 3" xfId="5077" xr:uid="{00000000-0005-0000-0000-0000D9680000}"/>
    <cellStyle name="标题 3 18 5 4" xfId="29638" xr:uid="{00000000-0005-0000-0000-0000DA680000}"/>
    <cellStyle name="标题 3 18 5 5" xfId="32345" xr:uid="{00000000-0005-0000-0000-0000DB680000}"/>
    <cellStyle name="标题 3 18 5 6" xfId="32347" xr:uid="{00000000-0005-0000-0000-0000DC680000}"/>
    <cellStyle name="标题 3 18 5 6 2" xfId="27297" xr:uid="{00000000-0005-0000-0000-0000DD680000}"/>
    <cellStyle name="标题 3 18 5 6 3" xfId="18986" xr:uid="{00000000-0005-0000-0000-0000DE680000}"/>
    <cellStyle name="标题 3 18 5 7" xfId="31590" xr:uid="{00000000-0005-0000-0000-0000DF680000}"/>
    <cellStyle name="标题 3 18 5 8" xfId="31593" xr:uid="{00000000-0005-0000-0000-0000E0680000}"/>
    <cellStyle name="标题 3 18 5 9" xfId="32349" xr:uid="{00000000-0005-0000-0000-0000E1680000}"/>
    <cellStyle name="标题 3 18 6" xfId="20245" xr:uid="{00000000-0005-0000-0000-0000E2680000}"/>
    <cellStyle name="标题 3 18 6 2" xfId="6893" xr:uid="{00000000-0005-0000-0000-0000E3680000}"/>
    <cellStyle name="标题 3 18 6 2 2" xfId="32350" xr:uid="{00000000-0005-0000-0000-0000E4680000}"/>
    <cellStyle name="标题 3 18 6 2 3" xfId="19000" xr:uid="{00000000-0005-0000-0000-0000E5680000}"/>
    <cellStyle name="标题 3 18 6 3" xfId="6897" xr:uid="{00000000-0005-0000-0000-0000E6680000}"/>
    <cellStyle name="标题 3 18 6 4" xfId="32352" xr:uid="{00000000-0005-0000-0000-0000E7680000}"/>
    <cellStyle name="标题 3 18 6 5" xfId="32354" xr:uid="{00000000-0005-0000-0000-0000E8680000}"/>
    <cellStyle name="标题 3 18 6 6" xfId="32356" xr:uid="{00000000-0005-0000-0000-0000E9680000}"/>
    <cellStyle name="标题 3 18 6 7" xfId="32358" xr:uid="{00000000-0005-0000-0000-0000EA680000}"/>
    <cellStyle name="标题 3 18 6 8" xfId="32361" xr:uid="{00000000-0005-0000-0000-0000EB680000}"/>
    <cellStyle name="标题 3 18 7" xfId="20249" xr:uid="{00000000-0005-0000-0000-0000EC680000}"/>
    <cellStyle name="标题 3 18 8" xfId="32362" xr:uid="{00000000-0005-0000-0000-0000ED680000}"/>
    <cellStyle name="标题 3 18 9" xfId="3520" xr:uid="{00000000-0005-0000-0000-0000EE680000}"/>
    <cellStyle name="标题 3 18 9 2" xfId="2529" xr:uid="{00000000-0005-0000-0000-0000EF680000}"/>
    <cellStyle name="标题 3 18 9 3" xfId="5135" xr:uid="{00000000-0005-0000-0000-0000F0680000}"/>
    <cellStyle name="标题 3 19" xfId="4249" xr:uid="{00000000-0005-0000-0000-0000F1680000}"/>
    <cellStyle name="标题 3 2" xfId="7564" xr:uid="{00000000-0005-0000-0000-0000F2680000}"/>
    <cellStyle name="标题 3 2 10" xfId="18881" xr:uid="{00000000-0005-0000-0000-0000F3680000}"/>
    <cellStyle name="标题 3 2 11" xfId="18884" xr:uid="{00000000-0005-0000-0000-0000F4680000}"/>
    <cellStyle name="标题 3 2 12" xfId="18887" xr:uid="{00000000-0005-0000-0000-0000F5680000}"/>
    <cellStyle name="标题 3 2 13" xfId="13846" xr:uid="{00000000-0005-0000-0000-0000F6680000}"/>
    <cellStyle name="标题 3 2 14" xfId="13849" xr:uid="{00000000-0005-0000-0000-0000F7680000}"/>
    <cellStyle name="标题 3 2 15" xfId="18930" xr:uid="{00000000-0005-0000-0000-0000F8680000}"/>
    <cellStyle name="标题 3 2 16" xfId="18933" xr:uid="{00000000-0005-0000-0000-0000F9680000}"/>
    <cellStyle name="标题 3 2 17" xfId="18935" xr:uid="{00000000-0005-0000-0000-0000FA680000}"/>
    <cellStyle name="标题 3 2 17 10" xfId="32363" xr:uid="{00000000-0005-0000-0000-0000FB680000}"/>
    <cellStyle name="标题 3 2 17 11" xfId="32364" xr:uid="{00000000-0005-0000-0000-0000FC680000}"/>
    <cellStyle name="标题 3 2 17 12" xfId="32365" xr:uid="{00000000-0005-0000-0000-0000FD680000}"/>
    <cellStyle name="标题 3 2 17 13" xfId="30266" xr:uid="{00000000-0005-0000-0000-0000FE680000}"/>
    <cellStyle name="标题 3 2 17 14" xfId="30269" xr:uid="{00000000-0005-0000-0000-0000FF680000}"/>
    <cellStyle name="标题 3 2 17 2" xfId="18937" xr:uid="{00000000-0005-0000-0000-000000690000}"/>
    <cellStyle name="标题 3 2 17 3" xfId="18940" xr:uid="{00000000-0005-0000-0000-000001690000}"/>
    <cellStyle name="标题 3 2 17 4" xfId="32366" xr:uid="{00000000-0005-0000-0000-000002690000}"/>
    <cellStyle name="标题 3 2 17 5" xfId="32367" xr:uid="{00000000-0005-0000-0000-000003690000}"/>
    <cellStyle name="标题 3 2 17 5 10" xfId="2419" xr:uid="{00000000-0005-0000-0000-000004690000}"/>
    <cellStyle name="标题 3 2 17 5 11" xfId="2587" xr:uid="{00000000-0005-0000-0000-000005690000}"/>
    <cellStyle name="标题 3 2 17 5 2" xfId="32368" xr:uid="{00000000-0005-0000-0000-000006690000}"/>
    <cellStyle name="标题 3 2 17 5 2 2" xfId="32369" xr:uid="{00000000-0005-0000-0000-000007690000}"/>
    <cellStyle name="标题 3 2 17 5 2 2 2" xfId="32370" xr:uid="{00000000-0005-0000-0000-000008690000}"/>
    <cellStyle name="标题 3 2 17 5 2 2 3" xfId="32371" xr:uid="{00000000-0005-0000-0000-000009690000}"/>
    <cellStyle name="标题 3 2 17 5 2 3" xfId="32372" xr:uid="{00000000-0005-0000-0000-00000A690000}"/>
    <cellStyle name="标题 3 2 17 5 2 4" xfId="32373" xr:uid="{00000000-0005-0000-0000-00000B690000}"/>
    <cellStyle name="标题 3 2 17 5 2 5" xfId="19822" xr:uid="{00000000-0005-0000-0000-00000C690000}"/>
    <cellStyle name="标题 3 2 17 5 2 6" xfId="19826" xr:uid="{00000000-0005-0000-0000-00000D690000}"/>
    <cellStyle name="标题 3 2 17 5 2 7" xfId="19829" xr:uid="{00000000-0005-0000-0000-00000E690000}"/>
    <cellStyle name="标题 3 2 17 5 2 8" xfId="19832" xr:uid="{00000000-0005-0000-0000-00000F690000}"/>
    <cellStyle name="标题 3 2 17 5 3" xfId="32374" xr:uid="{00000000-0005-0000-0000-000010690000}"/>
    <cellStyle name="标题 3 2 17 5 4" xfId="14074" xr:uid="{00000000-0005-0000-0000-000011690000}"/>
    <cellStyle name="标题 3 2 17 5 5" xfId="14079" xr:uid="{00000000-0005-0000-0000-000012690000}"/>
    <cellStyle name="标题 3 2 17 5 6" xfId="32375" xr:uid="{00000000-0005-0000-0000-000013690000}"/>
    <cellStyle name="标题 3 2 17 5 6 2" xfId="5356" xr:uid="{00000000-0005-0000-0000-000014690000}"/>
    <cellStyle name="标题 3 2 17 5 6 3" xfId="5406" xr:uid="{00000000-0005-0000-0000-000015690000}"/>
    <cellStyle name="标题 3 2 17 5 7" xfId="32376" xr:uid="{00000000-0005-0000-0000-000016690000}"/>
    <cellStyle name="标题 3 2 17 5 8" xfId="32377" xr:uid="{00000000-0005-0000-0000-000017690000}"/>
    <cellStyle name="标题 3 2 17 5 9" xfId="32378" xr:uid="{00000000-0005-0000-0000-000018690000}"/>
    <cellStyle name="标题 3 2 17 6" xfId="32379" xr:uid="{00000000-0005-0000-0000-000019690000}"/>
    <cellStyle name="标题 3 2 17 6 2" xfId="7899" xr:uid="{00000000-0005-0000-0000-00001A690000}"/>
    <cellStyle name="标题 3 2 17 6 2 2" xfId="32380" xr:uid="{00000000-0005-0000-0000-00001B690000}"/>
    <cellStyle name="标题 3 2 17 6 2 3" xfId="32381" xr:uid="{00000000-0005-0000-0000-00001C690000}"/>
    <cellStyle name="标题 3 2 17 6 3" xfId="5616" xr:uid="{00000000-0005-0000-0000-00001D690000}"/>
    <cellStyle name="标题 3 2 17 6 4" xfId="32382" xr:uid="{00000000-0005-0000-0000-00001E690000}"/>
    <cellStyle name="标题 3 2 17 6 5" xfId="26012" xr:uid="{00000000-0005-0000-0000-00001F690000}"/>
    <cellStyle name="标题 3 2 17 6 6" xfId="32383" xr:uid="{00000000-0005-0000-0000-000020690000}"/>
    <cellStyle name="标题 3 2 17 6 7" xfId="32384" xr:uid="{00000000-0005-0000-0000-000021690000}"/>
    <cellStyle name="标题 3 2 17 6 8" xfId="32385" xr:uid="{00000000-0005-0000-0000-000022690000}"/>
    <cellStyle name="标题 3 2 17 7" xfId="32386" xr:uid="{00000000-0005-0000-0000-000023690000}"/>
    <cellStyle name="标题 3 2 17 8" xfId="32387" xr:uid="{00000000-0005-0000-0000-000024690000}"/>
    <cellStyle name="标题 3 2 17 9" xfId="32388" xr:uid="{00000000-0005-0000-0000-000025690000}"/>
    <cellStyle name="标题 3 2 17 9 2" xfId="19269" xr:uid="{00000000-0005-0000-0000-000026690000}"/>
    <cellStyle name="标题 3 2 17 9 3" xfId="1505" xr:uid="{00000000-0005-0000-0000-000027690000}"/>
    <cellStyle name="标题 3 2 18" xfId="32389" xr:uid="{00000000-0005-0000-0000-000028690000}"/>
    <cellStyle name="标题 3 2 18 10" xfId="23077" xr:uid="{00000000-0005-0000-0000-000029690000}"/>
    <cellStyle name="标题 3 2 18 11" xfId="23080" xr:uid="{00000000-0005-0000-0000-00002A690000}"/>
    <cellStyle name="标题 3 2 18 12" xfId="23082" xr:uid="{00000000-0005-0000-0000-00002B690000}"/>
    <cellStyle name="标题 3 2 18 13" xfId="23084" xr:uid="{00000000-0005-0000-0000-00002C690000}"/>
    <cellStyle name="标题 3 2 18 14" xfId="23086" xr:uid="{00000000-0005-0000-0000-00002D690000}"/>
    <cellStyle name="标题 3 2 18 2" xfId="13074" xr:uid="{00000000-0005-0000-0000-00002E690000}"/>
    <cellStyle name="标题 3 2 18 3" xfId="13099" xr:uid="{00000000-0005-0000-0000-00002F690000}"/>
    <cellStyle name="标题 3 2 18 4" xfId="13102" xr:uid="{00000000-0005-0000-0000-000030690000}"/>
    <cellStyle name="标题 3 2 18 5" xfId="13106" xr:uid="{00000000-0005-0000-0000-000031690000}"/>
    <cellStyle name="标题 3 2 18 5 10" xfId="23981" xr:uid="{00000000-0005-0000-0000-000032690000}"/>
    <cellStyle name="标题 3 2 18 5 11" xfId="23983" xr:uid="{00000000-0005-0000-0000-000033690000}"/>
    <cellStyle name="标题 3 2 18 5 2" xfId="32390" xr:uid="{00000000-0005-0000-0000-000034690000}"/>
    <cellStyle name="标题 3 2 18 5 2 2" xfId="20512" xr:uid="{00000000-0005-0000-0000-000035690000}"/>
    <cellStyle name="标题 3 2 18 5 2 2 2" xfId="32391" xr:uid="{00000000-0005-0000-0000-000036690000}"/>
    <cellStyle name="标题 3 2 18 5 2 2 3" xfId="32392" xr:uid="{00000000-0005-0000-0000-000037690000}"/>
    <cellStyle name="标题 3 2 18 5 2 3" xfId="20514" xr:uid="{00000000-0005-0000-0000-000038690000}"/>
    <cellStyle name="标题 3 2 18 5 2 4" xfId="20516" xr:uid="{00000000-0005-0000-0000-000039690000}"/>
    <cellStyle name="标题 3 2 18 5 2 5" xfId="32393" xr:uid="{00000000-0005-0000-0000-00003A690000}"/>
    <cellStyle name="标题 3 2 18 5 2 6" xfId="32394" xr:uid="{00000000-0005-0000-0000-00003B690000}"/>
    <cellStyle name="标题 3 2 18 5 2 7" xfId="32396" xr:uid="{00000000-0005-0000-0000-00003C690000}"/>
    <cellStyle name="标题 3 2 18 5 2 8" xfId="32398" xr:uid="{00000000-0005-0000-0000-00003D690000}"/>
    <cellStyle name="标题 3 2 18 5 3" xfId="32399" xr:uid="{00000000-0005-0000-0000-00003E690000}"/>
    <cellStyle name="标题 3 2 18 5 4" xfId="32400" xr:uid="{00000000-0005-0000-0000-00003F690000}"/>
    <cellStyle name="标题 3 2 18 5 5" xfId="32401" xr:uid="{00000000-0005-0000-0000-000040690000}"/>
    <cellStyle name="标题 3 2 18 5 6" xfId="32402" xr:uid="{00000000-0005-0000-0000-000041690000}"/>
    <cellStyle name="标题 3 2 18 5 6 2" xfId="29616" xr:uid="{00000000-0005-0000-0000-000042690000}"/>
    <cellStyle name="标题 3 2 18 5 6 3" xfId="29618" xr:uid="{00000000-0005-0000-0000-000043690000}"/>
    <cellStyle name="标题 3 2 18 5 7" xfId="32403" xr:uid="{00000000-0005-0000-0000-000044690000}"/>
    <cellStyle name="标题 3 2 18 5 8" xfId="32404" xr:uid="{00000000-0005-0000-0000-000045690000}"/>
    <cellStyle name="标题 3 2 18 5 9" xfId="32405" xr:uid="{00000000-0005-0000-0000-000046690000}"/>
    <cellStyle name="标题 3 2 18 6" xfId="13109" xr:uid="{00000000-0005-0000-0000-000047690000}"/>
    <cellStyle name="标题 3 2 18 6 2" xfId="9332" xr:uid="{00000000-0005-0000-0000-000048690000}"/>
    <cellStyle name="标题 3 2 18 6 2 2" xfId="20692" xr:uid="{00000000-0005-0000-0000-000049690000}"/>
    <cellStyle name="标题 3 2 18 6 2 3" xfId="32406" xr:uid="{00000000-0005-0000-0000-00004A690000}"/>
    <cellStyle name="标题 3 2 18 6 3" xfId="9340" xr:uid="{00000000-0005-0000-0000-00004B690000}"/>
    <cellStyle name="标题 3 2 18 6 4" xfId="32407" xr:uid="{00000000-0005-0000-0000-00004C690000}"/>
    <cellStyle name="标题 3 2 18 6 5" xfId="32408" xr:uid="{00000000-0005-0000-0000-00004D690000}"/>
    <cellStyle name="标题 3 2 18 6 6" xfId="32409" xr:uid="{00000000-0005-0000-0000-00004E690000}"/>
    <cellStyle name="标题 3 2 18 6 7" xfId="32410" xr:uid="{00000000-0005-0000-0000-00004F690000}"/>
    <cellStyle name="标题 3 2 18 6 8" xfId="32411" xr:uid="{00000000-0005-0000-0000-000050690000}"/>
    <cellStyle name="标题 3 2 18 7" xfId="1244" xr:uid="{00000000-0005-0000-0000-000051690000}"/>
    <cellStyle name="标题 3 2 18 8" xfId="1259" xr:uid="{00000000-0005-0000-0000-000052690000}"/>
    <cellStyle name="标题 3 2 18 9" xfId="32413" xr:uid="{00000000-0005-0000-0000-000053690000}"/>
    <cellStyle name="标题 3 2 18 9 2" xfId="30555" xr:uid="{00000000-0005-0000-0000-000054690000}"/>
    <cellStyle name="标题 3 2 18 9 3" xfId="30557" xr:uid="{00000000-0005-0000-0000-000055690000}"/>
    <cellStyle name="标题 3 2 19" xfId="32414" xr:uid="{00000000-0005-0000-0000-000056690000}"/>
    <cellStyle name="标题 3 2 19 10" xfId="17568" xr:uid="{00000000-0005-0000-0000-000057690000}"/>
    <cellStyle name="标题 3 2 19 11" xfId="17570" xr:uid="{00000000-0005-0000-0000-000058690000}"/>
    <cellStyle name="标题 3 2 19 12" xfId="17572" xr:uid="{00000000-0005-0000-0000-000059690000}"/>
    <cellStyle name="标题 3 2 19 13" xfId="17577" xr:uid="{00000000-0005-0000-0000-00005A690000}"/>
    <cellStyle name="标题 3 2 19 14" xfId="17579" xr:uid="{00000000-0005-0000-0000-00005B690000}"/>
    <cellStyle name="标题 3 2 19 2" xfId="13120" xr:uid="{00000000-0005-0000-0000-00005C690000}"/>
    <cellStyle name="标题 3 2 19 3" xfId="13129" xr:uid="{00000000-0005-0000-0000-00005D690000}"/>
    <cellStyle name="标题 3 2 19 4" xfId="13134" xr:uid="{00000000-0005-0000-0000-00005E690000}"/>
    <cellStyle name="标题 3 2 19 5" xfId="13139" xr:uid="{00000000-0005-0000-0000-00005F690000}"/>
    <cellStyle name="标题 3 2 19 5 10" xfId="20492" xr:uid="{00000000-0005-0000-0000-000060690000}"/>
    <cellStyle name="标题 3 2 19 5 11" xfId="20494" xr:uid="{00000000-0005-0000-0000-000061690000}"/>
    <cellStyle name="标题 3 2 19 5 2" xfId="5644" xr:uid="{00000000-0005-0000-0000-000062690000}"/>
    <cellStyle name="标题 3 2 19 5 2 2" xfId="4469" xr:uid="{00000000-0005-0000-0000-000063690000}"/>
    <cellStyle name="标题 3 2 19 5 2 2 2" xfId="22286" xr:uid="{00000000-0005-0000-0000-000064690000}"/>
    <cellStyle name="标题 3 2 19 5 2 2 3" xfId="22289" xr:uid="{00000000-0005-0000-0000-000065690000}"/>
    <cellStyle name="标题 3 2 19 5 2 3" xfId="4482" xr:uid="{00000000-0005-0000-0000-000066690000}"/>
    <cellStyle name="标题 3 2 19 5 2 4" xfId="4496" xr:uid="{00000000-0005-0000-0000-000067690000}"/>
    <cellStyle name="标题 3 2 19 5 2 5" xfId="4506" xr:uid="{00000000-0005-0000-0000-000068690000}"/>
    <cellStyle name="标题 3 2 19 5 2 6" xfId="11654" xr:uid="{00000000-0005-0000-0000-000069690000}"/>
    <cellStyle name="标题 3 2 19 5 2 7" xfId="11657" xr:uid="{00000000-0005-0000-0000-00006A690000}"/>
    <cellStyle name="标题 3 2 19 5 2 8" xfId="10410" xr:uid="{00000000-0005-0000-0000-00006B690000}"/>
    <cellStyle name="标题 3 2 19 5 3" xfId="5650" xr:uid="{00000000-0005-0000-0000-00006C690000}"/>
    <cellStyle name="标题 3 2 19 5 4" xfId="11226" xr:uid="{00000000-0005-0000-0000-00006D690000}"/>
    <cellStyle name="标题 3 2 19 5 5" xfId="11233" xr:uid="{00000000-0005-0000-0000-00006E690000}"/>
    <cellStyle name="标题 3 2 19 5 6" xfId="11240" xr:uid="{00000000-0005-0000-0000-00006F690000}"/>
    <cellStyle name="标题 3 2 19 5 6 2" xfId="4774" xr:uid="{00000000-0005-0000-0000-000070690000}"/>
    <cellStyle name="标题 3 2 19 5 6 3" xfId="27563" xr:uid="{00000000-0005-0000-0000-000071690000}"/>
    <cellStyle name="标题 3 2 19 5 7" xfId="11245" xr:uid="{00000000-0005-0000-0000-000072690000}"/>
    <cellStyle name="标题 3 2 19 5 8" xfId="9275" xr:uid="{00000000-0005-0000-0000-000073690000}"/>
    <cellStyle name="标题 3 2 19 5 9" xfId="9284" xr:uid="{00000000-0005-0000-0000-000074690000}"/>
    <cellStyle name="标题 3 2 19 6" xfId="13144" xr:uid="{00000000-0005-0000-0000-000075690000}"/>
    <cellStyle name="标题 3 2 19 6 2" xfId="9546" xr:uid="{00000000-0005-0000-0000-000076690000}"/>
    <cellStyle name="标题 3 2 19 6 2 2" xfId="11205" xr:uid="{00000000-0005-0000-0000-000077690000}"/>
    <cellStyle name="标题 3 2 19 6 2 3" xfId="11211" xr:uid="{00000000-0005-0000-0000-000078690000}"/>
    <cellStyle name="标题 3 2 19 6 3" xfId="9551" xr:uid="{00000000-0005-0000-0000-000079690000}"/>
    <cellStyle name="标题 3 2 19 6 4" xfId="32415" xr:uid="{00000000-0005-0000-0000-00007A690000}"/>
    <cellStyle name="标题 3 2 19 6 5" xfId="32416" xr:uid="{00000000-0005-0000-0000-00007B690000}"/>
    <cellStyle name="标题 3 2 19 6 6" xfId="26297" xr:uid="{00000000-0005-0000-0000-00007C690000}"/>
    <cellStyle name="标题 3 2 19 6 7" xfId="26299" xr:uid="{00000000-0005-0000-0000-00007D690000}"/>
    <cellStyle name="标题 3 2 19 6 8" xfId="25851" xr:uid="{00000000-0005-0000-0000-00007E690000}"/>
    <cellStyle name="标题 3 2 19 7" xfId="32417" xr:uid="{00000000-0005-0000-0000-00007F690000}"/>
    <cellStyle name="标题 3 2 19 8" xfId="32418" xr:uid="{00000000-0005-0000-0000-000080690000}"/>
    <cellStyle name="标题 3 2 19 9" xfId="32419" xr:uid="{00000000-0005-0000-0000-000081690000}"/>
    <cellStyle name="标题 3 2 19 9 2" xfId="7141" xr:uid="{00000000-0005-0000-0000-000082690000}"/>
    <cellStyle name="标题 3 2 19 9 3" xfId="11422" xr:uid="{00000000-0005-0000-0000-000083690000}"/>
    <cellStyle name="标题 3 2 2" xfId="15720" xr:uid="{00000000-0005-0000-0000-000084690000}"/>
    <cellStyle name="标题 3 2 2 10" xfId="32421" xr:uid="{00000000-0005-0000-0000-000085690000}"/>
    <cellStyle name="标题 3 2 2 11" xfId="20162" xr:uid="{00000000-0005-0000-0000-000086690000}"/>
    <cellStyle name="标题 3 2 2 12" xfId="20165" xr:uid="{00000000-0005-0000-0000-000087690000}"/>
    <cellStyle name="标题 3 2 2 13" xfId="22811" xr:uid="{00000000-0005-0000-0000-000088690000}"/>
    <cellStyle name="标题 3 2 2 14" xfId="22814" xr:uid="{00000000-0005-0000-0000-000089690000}"/>
    <cellStyle name="标题 3 2 2 2" xfId="19027" xr:uid="{00000000-0005-0000-0000-00008A690000}"/>
    <cellStyle name="标题 3 2 2 3" xfId="27386" xr:uid="{00000000-0005-0000-0000-00008B690000}"/>
    <cellStyle name="标题 3 2 2 4" xfId="27388" xr:uid="{00000000-0005-0000-0000-00008C690000}"/>
    <cellStyle name="标题 3 2 2 5" xfId="23193" xr:uid="{00000000-0005-0000-0000-00008D690000}"/>
    <cellStyle name="标题 3 2 2 6" xfId="23210" xr:uid="{00000000-0005-0000-0000-00008E690000}"/>
    <cellStyle name="标题 3 2 2 7" xfId="23213" xr:uid="{00000000-0005-0000-0000-00008F690000}"/>
    <cellStyle name="标题 3 2 2 8" xfId="23216" xr:uid="{00000000-0005-0000-0000-000090690000}"/>
    <cellStyle name="标题 3 2 2 9" xfId="23219" xr:uid="{00000000-0005-0000-0000-000091690000}"/>
    <cellStyle name="标题 3 2 20" xfId="18931" xr:uid="{00000000-0005-0000-0000-000092690000}"/>
    <cellStyle name="标题 3 2 20 10" xfId="28171" xr:uid="{00000000-0005-0000-0000-000093690000}"/>
    <cellStyle name="标题 3 2 20 11" xfId="32422" xr:uid="{00000000-0005-0000-0000-000094690000}"/>
    <cellStyle name="标题 3 2 20 12" xfId="32423" xr:uid="{00000000-0005-0000-0000-000095690000}"/>
    <cellStyle name="标题 3 2 20 13" xfId="32424" xr:uid="{00000000-0005-0000-0000-000096690000}"/>
    <cellStyle name="标题 3 2 20 14" xfId="32425" xr:uid="{00000000-0005-0000-0000-000097690000}"/>
    <cellStyle name="标题 3 2 20 2" xfId="32426" xr:uid="{00000000-0005-0000-0000-000098690000}"/>
    <cellStyle name="标题 3 2 20 3" xfId="32427" xr:uid="{00000000-0005-0000-0000-000099690000}"/>
    <cellStyle name="标题 3 2 20 4" xfId="32428" xr:uid="{00000000-0005-0000-0000-00009A690000}"/>
    <cellStyle name="标题 3 2 20 5" xfId="18497" xr:uid="{00000000-0005-0000-0000-00009B690000}"/>
    <cellStyle name="标题 3 2 20 5 10" xfId="6821" xr:uid="{00000000-0005-0000-0000-00009C690000}"/>
    <cellStyle name="标题 3 2 20 5 11" xfId="14864" xr:uid="{00000000-0005-0000-0000-00009D690000}"/>
    <cellStyle name="标题 3 2 20 5 2" xfId="19825" xr:uid="{00000000-0005-0000-0000-00009E690000}"/>
    <cellStyle name="标题 3 2 20 5 2 2" xfId="32429" xr:uid="{00000000-0005-0000-0000-00009F690000}"/>
    <cellStyle name="标题 3 2 20 5 2 2 2" xfId="32431" xr:uid="{00000000-0005-0000-0000-0000A0690000}"/>
    <cellStyle name="标题 3 2 20 5 2 2 3" xfId="32432" xr:uid="{00000000-0005-0000-0000-0000A1690000}"/>
    <cellStyle name="标题 3 2 20 5 2 3" xfId="32433" xr:uid="{00000000-0005-0000-0000-0000A2690000}"/>
    <cellStyle name="标题 3 2 20 5 2 4" xfId="32435" xr:uid="{00000000-0005-0000-0000-0000A3690000}"/>
    <cellStyle name="标题 3 2 20 5 2 5" xfId="32437" xr:uid="{00000000-0005-0000-0000-0000A4690000}"/>
    <cellStyle name="标题 3 2 20 5 2 6" xfId="32438" xr:uid="{00000000-0005-0000-0000-0000A5690000}"/>
    <cellStyle name="标题 3 2 20 5 2 7" xfId="24337" xr:uid="{00000000-0005-0000-0000-0000A6690000}"/>
    <cellStyle name="标题 3 2 20 5 2 8" xfId="24340" xr:uid="{00000000-0005-0000-0000-0000A7690000}"/>
    <cellStyle name="标题 3 2 20 5 3" xfId="19828" xr:uid="{00000000-0005-0000-0000-0000A8690000}"/>
    <cellStyle name="标题 3 2 20 5 4" xfId="19831" xr:uid="{00000000-0005-0000-0000-0000A9690000}"/>
    <cellStyle name="标题 3 2 20 5 5" xfId="19834" xr:uid="{00000000-0005-0000-0000-0000AA690000}"/>
    <cellStyle name="标题 3 2 20 5 6" xfId="32439" xr:uid="{00000000-0005-0000-0000-0000AB690000}"/>
    <cellStyle name="标题 3 2 20 5 6 2" xfId="32440" xr:uid="{00000000-0005-0000-0000-0000AC690000}"/>
    <cellStyle name="标题 3 2 20 5 6 3" xfId="32441" xr:uid="{00000000-0005-0000-0000-0000AD690000}"/>
    <cellStyle name="标题 3 2 20 5 7" xfId="32442" xr:uid="{00000000-0005-0000-0000-0000AE690000}"/>
    <cellStyle name="标题 3 2 20 5 8" xfId="29907" xr:uid="{00000000-0005-0000-0000-0000AF690000}"/>
    <cellStyle name="标题 3 2 20 5 9" xfId="29909" xr:uid="{00000000-0005-0000-0000-0000B0690000}"/>
    <cellStyle name="标题 3 2 20 6" xfId="18502" xr:uid="{00000000-0005-0000-0000-0000B1690000}"/>
    <cellStyle name="标题 3 2 20 6 2" xfId="2410" xr:uid="{00000000-0005-0000-0000-0000B2690000}"/>
    <cellStyle name="标题 3 2 20 6 2 2" xfId="2561" xr:uid="{00000000-0005-0000-0000-0000B3690000}"/>
    <cellStyle name="标题 3 2 20 6 2 3" xfId="14393" xr:uid="{00000000-0005-0000-0000-0000B4690000}"/>
    <cellStyle name="标题 3 2 20 6 3" xfId="9060" xr:uid="{00000000-0005-0000-0000-0000B5690000}"/>
    <cellStyle name="标题 3 2 20 6 4" xfId="32444" xr:uid="{00000000-0005-0000-0000-0000B6690000}"/>
    <cellStyle name="标题 3 2 20 6 5" xfId="32446" xr:uid="{00000000-0005-0000-0000-0000B7690000}"/>
    <cellStyle name="标题 3 2 20 6 6" xfId="32448" xr:uid="{00000000-0005-0000-0000-0000B8690000}"/>
    <cellStyle name="标题 3 2 20 6 7" xfId="32450" xr:uid="{00000000-0005-0000-0000-0000B9690000}"/>
    <cellStyle name="标题 3 2 20 6 8" xfId="32452" xr:uid="{00000000-0005-0000-0000-0000BA690000}"/>
    <cellStyle name="标题 3 2 20 7" xfId="1114" xr:uid="{00000000-0005-0000-0000-0000BB690000}"/>
    <cellStyle name="标题 3 2 20 8" xfId="1161" xr:uid="{00000000-0005-0000-0000-0000BC690000}"/>
    <cellStyle name="标题 3 2 20 9" xfId="1177" xr:uid="{00000000-0005-0000-0000-0000BD690000}"/>
    <cellStyle name="标题 3 2 20 9 2" xfId="5451" xr:uid="{00000000-0005-0000-0000-0000BE690000}"/>
    <cellStyle name="标题 3 2 20 9 3" xfId="32454" xr:uid="{00000000-0005-0000-0000-0000BF690000}"/>
    <cellStyle name="标题 3 2 3" xfId="15723" xr:uid="{00000000-0005-0000-0000-0000C0690000}"/>
    <cellStyle name="标题 3 2 3 10" xfId="21713" xr:uid="{00000000-0005-0000-0000-0000C1690000}"/>
    <cellStyle name="标题 3 2 3 11" xfId="21715" xr:uid="{00000000-0005-0000-0000-0000C2690000}"/>
    <cellStyle name="标题 3 2 3 12" xfId="21717" xr:uid="{00000000-0005-0000-0000-0000C3690000}"/>
    <cellStyle name="标题 3 2 3 13" xfId="32455" xr:uid="{00000000-0005-0000-0000-0000C4690000}"/>
    <cellStyle name="标题 3 2 3 14" xfId="32456" xr:uid="{00000000-0005-0000-0000-0000C5690000}"/>
    <cellStyle name="标题 3 2 3 2" xfId="32457" xr:uid="{00000000-0005-0000-0000-0000C6690000}"/>
    <cellStyle name="标题 3 2 3 3" xfId="32458" xr:uid="{00000000-0005-0000-0000-0000C7690000}"/>
    <cellStyle name="标题 3 2 3 4" xfId="7910" xr:uid="{00000000-0005-0000-0000-0000C8690000}"/>
    <cellStyle name="标题 3 2 3 5" xfId="7913" xr:uid="{00000000-0005-0000-0000-0000C9690000}"/>
    <cellStyle name="标题 3 2 3 6" xfId="7916" xr:uid="{00000000-0005-0000-0000-0000CA690000}"/>
    <cellStyle name="标题 3 2 3 7" xfId="23229" xr:uid="{00000000-0005-0000-0000-0000CB690000}"/>
    <cellStyle name="标题 3 2 3 8" xfId="23231" xr:uid="{00000000-0005-0000-0000-0000CC690000}"/>
    <cellStyle name="标题 3 2 3 9" xfId="23233" xr:uid="{00000000-0005-0000-0000-0000CD690000}"/>
    <cellStyle name="标题 3 2 4" xfId="25322" xr:uid="{00000000-0005-0000-0000-0000CE690000}"/>
    <cellStyle name="标题 3 2 4 10" xfId="22040" xr:uid="{00000000-0005-0000-0000-0000CF690000}"/>
    <cellStyle name="标题 3 2 4 11" xfId="22042" xr:uid="{00000000-0005-0000-0000-0000D0690000}"/>
    <cellStyle name="标题 3 2 4 12" xfId="3595" xr:uid="{00000000-0005-0000-0000-0000D1690000}"/>
    <cellStyle name="标题 3 2 4 13" xfId="3607" xr:uid="{00000000-0005-0000-0000-0000D2690000}"/>
    <cellStyle name="标题 3 2 4 14" xfId="5938" xr:uid="{00000000-0005-0000-0000-0000D3690000}"/>
    <cellStyle name="标题 3 2 4 2" xfId="18870" xr:uid="{00000000-0005-0000-0000-0000D4690000}"/>
    <cellStyle name="标题 3 2 4 3" xfId="18873" xr:uid="{00000000-0005-0000-0000-0000D5690000}"/>
    <cellStyle name="标题 3 2 4 4" xfId="18880" xr:uid="{00000000-0005-0000-0000-0000D6690000}"/>
    <cellStyle name="标题 3 2 4 5" xfId="23244" xr:uid="{00000000-0005-0000-0000-0000D7690000}"/>
    <cellStyle name="标题 3 2 4 6" xfId="767" xr:uid="{00000000-0005-0000-0000-0000D8690000}"/>
    <cellStyle name="标题 3 2 4 7" xfId="497" xr:uid="{00000000-0005-0000-0000-0000D9690000}"/>
    <cellStyle name="标题 3 2 4 8" xfId="773" xr:uid="{00000000-0005-0000-0000-0000DA690000}"/>
    <cellStyle name="标题 3 2 4 9" xfId="780" xr:uid="{00000000-0005-0000-0000-0000DB690000}"/>
    <cellStyle name="标题 3 2 5" xfId="25325" xr:uid="{00000000-0005-0000-0000-0000DC690000}"/>
    <cellStyle name="标题 3 2 6" xfId="32459" xr:uid="{00000000-0005-0000-0000-0000DD690000}"/>
    <cellStyle name="标题 3 2 7" xfId="32460" xr:uid="{00000000-0005-0000-0000-0000DE690000}"/>
    <cellStyle name="标题 3 2 8" xfId="15503" xr:uid="{00000000-0005-0000-0000-0000DF690000}"/>
    <cellStyle name="标题 3 2 9" xfId="15506" xr:uid="{00000000-0005-0000-0000-0000E0690000}"/>
    <cellStyle name="标题 3 3" xfId="7574" xr:uid="{00000000-0005-0000-0000-0000E1690000}"/>
    <cellStyle name="标题 3 3 10" xfId="13595" xr:uid="{00000000-0005-0000-0000-0000E2690000}"/>
    <cellStyle name="标题 3 3 11" xfId="13598" xr:uid="{00000000-0005-0000-0000-0000E3690000}"/>
    <cellStyle name="标题 3 3 12" xfId="13603" xr:uid="{00000000-0005-0000-0000-0000E4690000}"/>
    <cellStyle name="标题 3 3 13" xfId="13612" xr:uid="{00000000-0005-0000-0000-0000E5690000}"/>
    <cellStyle name="标题 3 3 14" xfId="25147" xr:uid="{00000000-0005-0000-0000-0000E6690000}"/>
    <cellStyle name="标题 3 3 15" xfId="5137" xr:uid="{00000000-0005-0000-0000-0000E7690000}"/>
    <cellStyle name="标题 3 3 16" xfId="17573" xr:uid="{00000000-0005-0000-0000-0000E8690000}"/>
    <cellStyle name="标题 3 3 17" xfId="25151" xr:uid="{00000000-0005-0000-0000-0000E9690000}"/>
    <cellStyle name="标题 3 3 17 10" xfId="32461" xr:uid="{00000000-0005-0000-0000-0000EA690000}"/>
    <cellStyle name="标题 3 3 17 11" xfId="3593" xr:uid="{00000000-0005-0000-0000-0000EB690000}"/>
    <cellStyle name="标题 3 3 17 12" xfId="3605" xr:uid="{00000000-0005-0000-0000-0000EC690000}"/>
    <cellStyle name="标题 3 3 17 13" xfId="5933" xr:uid="{00000000-0005-0000-0000-0000ED690000}"/>
    <cellStyle name="标题 3 3 17 14" xfId="5945" xr:uid="{00000000-0005-0000-0000-0000EE690000}"/>
    <cellStyle name="标题 3 3 17 2" xfId="32462" xr:uid="{00000000-0005-0000-0000-0000EF690000}"/>
    <cellStyle name="标题 3 3 17 2 2" xfId="32463" xr:uid="{00000000-0005-0000-0000-0000F0690000}"/>
    <cellStyle name="标题 3 3 17 3" xfId="27729" xr:uid="{00000000-0005-0000-0000-0000F1690000}"/>
    <cellStyle name="标题 3 3 17 4" xfId="27731" xr:uid="{00000000-0005-0000-0000-0000F2690000}"/>
    <cellStyle name="标题 3 3 17 5" xfId="27733" xr:uid="{00000000-0005-0000-0000-0000F3690000}"/>
    <cellStyle name="标题 3 3 17 5 10" xfId="10811" xr:uid="{00000000-0005-0000-0000-0000F4690000}"/>
    <cellStyle name="标题 3 3 17 5 11" xfId="32464" xr:uid="{00000000-0005-0000-0000-0000F5690000}"/>
    <cellStyle name="标题 3 3 17 5 2" xfId="6807" xr:uid="{00000000-0005-0000-0000-0000F6690000}"/>
    <cellStyle name="标题 3 3 17 5 2 2" xfId="32465" xr:uid="{00000000-0005-0000-0000-0000F7690000}"/>
    <cellStyle name="标题 3 3 17 5 2 2 2" xfId="32467" xr:uid="{00000000-0005-0000-0000-0000F8690000}"/>
    <cellStyle name="标题 3 3 17 5 2 2 3" xfId="32468" xr:uid="{00000000-0005-0000-0000-0000F9690000}"/>
    <cellStyle name="标题 3 3 17 5 2 3" xfId="32469" xr:uid="{00000000-0005-0000-0000-0000FA690000}"/>
    <cellStyle name="标题 3 3 17 5 2 4" xfId="14088" xr:uid="{00000000-0005-0000-0000-0000FB690000}"/>
    <cellStyle name="标题 3 3 17 5 2 5" xfId="14091" xr:uid="{00000000-0005-0000-0000-0000FC690000}"/>
    <cellStyle name="标题 3 3 17 5 2 6" xfId="32472" xr:uid="{00000000-0005-0000-0000-0000FD690000}"/>
    <cellStyle name="标题 3 3 17 5 2 7" xfId="10536" xr:uid="{00000000-0005-0000-0000-0000FE690000}"/>
    <cellStyle name="标题 3 3 17 5 2 8" xfId="10540" xr:uid="{00000000-0005-0000-0000-0000FF690000}"/>
    <cellStyle name="标题 3 3 17 5 3" xfId="32473" xr:uid="{00000000-0005-0000-0000-0000006A0000}"/>
    <cellStyle name="标题 3 3 17 5 4" xfId="32474" xr:uid="{00000000-0005-0000-0000-0000016A0000}"/>
    <cellStyle name="标题 3 3 17 5 5" xfId="32475" xr:uid="{00000000-0005-0000-0000-0000026A0000}"/>
    <cellStyle name="标题 3 3 17 5 6" xfId="32476" xr:uid="{00000000-0005-0000-0000-0000036A0000}"/>
    <cellStyle name="标题 3 3 17 5 6 2" xfId="32477" xr:uid="{00000000-0005-0000-0000-0000046A0000}"/>
    <cellStyle name="标题 3 3 17 5 6 3" xfId="32478" xr:uid="{00000000-0005-0000-0000-0000056A0000}"/>
    <cellStyle name="标题 3 3 17 5 7" xfId="32479" xr:uid="{00000000-0005-0000-0000-0000066A0000}"/>
    <cellStyle name="标题 3 3 17 5 8" xfId="32480" xr:uid="{00000000-0005-0000-0000-0000076A0000}"/>
    <cellStyle name="标题 3 3 17 5 9" xfId="32482" xr:uid="{00000000-0005-0000-0000-0000086A0000}"/>
    <cellStyle name="标题 3 3 17 6" xfId="27735" xr:uid="{00000000-0005-0000-0000-0000096A0000}"/>
    <cellStyle name="标题 3 3 17 6 2" xfId="9954" xr:uid="{00000000-0005-0000-0000-00000A6A0000}"/>
    <cellStyle name="标题 3 3 17 6 2 2" xfId="32484" xr:uid="{00000000-0005-0000-0000-00000B6A0000}"/>
    <cellStyle name="标题 3 3 17 6 2 3" xfId="16019" xr:uid="{00000000-0005-0000-0000-00000C6A0000}"/>
    <cellStyle name="标题 3 3 17 6 3" xfId="9959" xr:uid="{00000000-0005-0000-0000-00000D6A0000}"/>
    <cellStyle name="标题 3 3 17 6 4" xfId="32485" xr:uid="{00000000-0005-0000-0000-00000E6A0000}"/>
    <cellStyle name="标题 3 3 17 6 5" xfId="32486" xr:uid="{00000000-0005-0000-0000-00000F6A0000}"/>
    <cellStyle name="标题 3 3 17 6 6" xfId="32487" xr:uid="{00000000-0005-0000-0000-0000106A0000}"/>
    <cellStyle name="标题 3 3 17 6 7" xfId="8955" xr:uid="{00000000-0005-0000-0000-0000116A0000}"/>
    <cellStyle name="标题 3 3 17 6 8" xfId="8960" xr:uid="{00000000-0005-0000-0000-0000126A0000}"/>
    <cellStyle name="标题 3 3 17 7" xfId="27737" xr:uid="{00000000-0005-0000-0000-0000136A0000}"/>
    <cellStyle name="标题 3 3 17 8" xfId="25922" xr:uid="{00000000-0005-0000-0000-0000146A0000}"/>
    <cellStyle name="标题 3 3 17 9" xfId="32488" xr:uid="{00000000-0005-0000-0000-0000156A0000}"/>
    <cellStyle name="标题 3 3 17 9 2" xfId="32489" xr:uid="{00000000-0005-0000-0000-0000166A0000}"/>
    <cellStyle name="标题 3 3 17 9 3" xfId="32490" xr:uid="{00000000-0005-0000-0000-0000176A0000}"/>
    <cellStyle name="标题 3 3 18" xfId="25154" xr:uid="{00000000-0005-0000-0000-0000186A0000}"/>
    <cellStyle name="标题 3 3 18 10" xfId="32491" xr:uid="{00000000-0005-0000-0000-0000196A0000}"/>
    <cellStyle name="标题 3 3 18 11" xfId="32492" xr:uid="{00000000-0005-0000-0000-00001A6A0000}"/>
    <cellStyle name="标题 3 3 18 12" xfId="32493" xr:uid="{00000000-0005-0000-0000-00001B6A0000}"/>
    <cellStyle name="标题 3 3 18 13" xfId="32495" xr:uid="{00000000-0005-0000-0000-00001C6A0000}"/>
    <cellStyle name="标题 3 3 18 14" xfId="32497" xr:uid="{00000000-0005-0000-0000-00001D6A0000}"/>
    <cellStyle name="标题 3 3 18 2" xfId="32498" xr:uid="{00000000-0005-0000-0000-00001E6A0000}"/>
    <cellStyle name="标题 3 3 18 3" xfId="32499" xr:uid="{00000000-0005-0000-0000-00001F6A0000}"/>
    <cellStyle name="标题 3 3 18 4" xfId="32500" xr:uid="{00000000-0005-0000-0000-0000206A0000}"/>
    <cellStyle name="标题 3 3 18 5" xfId="32501" xr:uid="{00000000-0005-0000-0000-0000216A0000}"/>
    <cellStyle name="标题 3 3 18 5 10" xfId="32502" xr:uid="{00000000-0005-0000-0000-0000226A0000}"/>
    <cellStyle name="标题 3 3 18 5 11" xfId="32503" xr:uid="{00000000-0005-0000-0000-0000236A0000}"/>
    <cellStyle name="标题 3 3 18 5 2" xfId="32504" xr:uid="{00000000-0005-0000-0000-0000246A0000}"/>
    <cellStyle name="标题 3 3 18 5 2 2" xfId="32505" xr:uid="{00000000-0005-0000-0000-0000256A0000}"/>
    <cellStyle name="标题 3 3 18 5 2 2 2" xfId="32506" xr:uid="{00000000-0005-0000-0000-0000266A0000}"/>
    <cellStyle name="标题 3 3 18 5 2 2 3" xfId="20641" xr:uid="{00000000-0005-0000-0000-0000276A0000}"/>
    <cellStyle name="标题 3 3 18 5 2 3" xfId="32507" xr:uid="{00000000-0005-0000-0000-0000286A0000}"/>
    <cellStyle name="标题 3 3 18 5 2 4" xfId="32508" xr:uid="{00000000-0005-0000-0000-0000296A0000}"/>
    <cellStyle name="标题 3 3 18 5 2 5" xfId="32509" xr:uid="{00000000-0005-0000-0000-00002A6A0000}"/>
    <cellStyle name="标题 3 3 18 5 2 6" xfId="32510" xr:uid="{00000000-0005-0000-0000-00002B6A0000}"/>
    <cellStyle name="标题 3 3 18 5 2 7" xfId="32512" xr:uid="{00000000-0005-0000-0000-00002C6A0000}"/>
    <cellStyle name="标题 3 3 18 5 2 8" xfId="32514" xr:uid="{00000000-0005-0000-0000-00002D6A0000}"/>
    <cellStyle name="标题 3 3 18 5 3" xfId="3570" xr:uid="{00000000-0005-0000-0000-00002E6A0000}"/>
    <cellStyle name="标题 3 3 18 5 4" xfId="3826" xr:uid="{00000000-0005-0000-0000-00002F6A0000}"/>
    <cellStyle name="标题 3 3 18 5 5" xfId="32515" xr:uid="{00000000-0005-0000-0000-0000306A0000}"/>
    <cellStyle name="标题 3 3 18 5 6" xfId="32516" xr:uid="{00000000-0005-0000-0000-0000316A0000}"/>
    <cellStyle name="标题 3 3 18 5 6 2" xfId="32517" xr:uid="{00000000-0005-0000-0000-0000326A0000}"/>
    <cellStyle name="标题 3 3 18 5 6 3" xfId="32518" xr:uid="{00000000-0005-0000-0000-0000336A0000}"/>
    <cellStyle name="标题 3 3 18 5 7" xfId="32519" xr:uid="{00000000-0005-0000-0000-0000346A0000}"/>
    <cellStyle name="标题 3 3 18 5 8" xfId="32520" xr:uid="{00000000-0005-0000-0000-0000356A0000}"/>
    <cellStyle name="标题 3 3 18 5 9" xfId="32521" xr:uid="{00000000-0005-0000-0000-0000366A0000}"/>
    <cellStyle name="标题 3 3 18 6" xfId="32522" xr:uid="{00000000-0005-0000-0000-0000376A0000}"/>
    <cellStyle name="标题 3 3 18 6 2" xfId="10024" xr:uid="{00000000-0005-0000-0000-0000386A0000}"/>
    <cellStyle name="标题 3 3 18 6 2 2" xfId="9252" xr:uid="{00000000-0005-0000-0000-0000396A0000}"/>
    <cellStyle name="标题 3 3 18 6 2 3" xfId="9257" xr:uid="{00000000-0005-0000-0000-00003A6A0000}"/>
    <cellStyle name="标题 3 3 18 6 3" xfId="10029" xr:uid="{00000000-0005-0000-0000-00003B6A0000}"/>
    <cellStyle name="标题 3 3 18 6 4" xfId="26339" xr:uid="{00000000-0005-0000-0000-00003C6A0000}"/>
    <cellStyle name="标题 3 3 18 6 5" xfId="26342" xr:uid="{00000000-0005-0000-0000-00003D6A0000}"/>
    <cellStyle name="标题 3 3 18 6 6" xfId="27298" xr:uid="{00000000-0005-0000-0000-00003E6A0000}"/>
    <cellStyle name="标题 3 3 18 6 7" xfId="27300" xr:uid="{00000000-0005-0000-0000-00003F6A0000}"/>
    <cellStyle name="标题 3 3 18 6 8" xfId="25838" xr:uid="{00000000-0005-0000-0000-0000406A0000}"/>
    <cellStyle name="标题 3 3 18 7" xfId="2331" xr:uid="{00000000-0005-0000-0000-0000416A0000}"/>
    <cellStyle name="标题 3 3 18 8" xfId="2335" xr:uid="{00000000-0005-0000-0000-0000426A0000}"/>
    <cellStyle name="标题 3 3 18 9" xfId="32523" xr:uid="{00000000-0005-0000-0000-0000436A0000}"/>
    <cellStyle name="标题 3 3 18 9 2" xfId="32524" xr:uid="{00000000-0005-0000-0000-0000446A0000}"/>
    <cellStyle name="标题 3 3 18 9 3" xfId="32525" xr:uid="{00000000-0005-0000-0000-0000456A0000}"/>
    <cellStyle name="标题 3 3 19" xfId="25156" xr:uid="{00000000-0005-0000-0000-0000466A0000}"/>
    <cellStyle name="标题 3 3 19 10" xfId="8710" xr:uid="{00000000-0005-0000-0000-0000476A0000}"/>
    <cellStyle name="标题 3 3 19 11" xfId="8714" xr:uid="{00000000-0005-0000-0000-0000486A0000}"/>
    <cellStyle name="标题 3 3 19 12" xfId="8718" xr:uid="{00000000-0005-0000-0000-0000496A0000}"/>
    <cellStyle name="标题 3 3 19 13" xfId="8722" xr:uid="{00000000-0005-0000-0000-00004A6A0000}"/>
    <cellStyle name="标题 3 3 19 14" xfId="8726" xr:uid="{00000000-0005-0000-0000-00004B6A0000}"/>
    <cellStyle name="标题 3 3 19 2" xfId="32526" xr:uid="{00000000-0005-0000-0000-00004C6A0000}"/>
    <cellStyle name="标题 3 3 19 3" xfId="32527" xr:uid="{00000000-0005-0000-0000-00004D6A0000}"/>
    <cellStyle name="标题 3 3 19 4" xfId="32528" xr:uid="{00000000-0005-0000-0000-00004E6A0000}"/>
    <cellStyle name="标题 3 3 19 5" xfId="32529" xr:uid="{00000000-0005-0000-0000-00004F6A0000}"/>
    <cellStyle name="标题 3 3 19 5 10" xfId="16257" xr:uid="{00000000-0005-0000-0000-0000506A0000}"/>
    <cellStyle name="标题 3 3 19 5 11" xfId="26395" xr:uid="{00000000-0005-0000-0000-0000516A0000}"/>
    <cellStyle name="标题 3 3 19 5 2" xfId="32530" xr:uid="{00000000-0005-0000-0000-0000526A0000}"/>
    <cellStyle name="标题 3 3 19 5 2 2" xfId="22856" xr:uid="{00000000-0005-0000-0000-0000536A0000}"/>
    <cellStyle name="标题 3 3 19 5 2 2 2" xfId="22858" xr:uid="{00000000-0005-0000-0000-0000546A0000}"/>
    <cellStyle name="标题 3 3 19 5 2 2 3" xfId="22860" xr:uid="{00000000-0005-0000-0000-0000556A0000}"/>
    <cellStyle name="标题 3 3 19 5 2 3" xfId="22862" xr:uid="{00000000-0005-0000-0000-0000566A0000}"/>
    <cellStyle name="标题 3 3 19 5 2 4" xfId="22864" xr:uid="{00000000-0005-0000-0000-0000576A0000}"/>
    <cellStyle name="标题 3 3 19 5 2 5" xfId="22866" xr:uid="{00000000-0005-0000-0000-0000586A0000}"/>
    <cellStyle name="标题 3 3 19 5 2 6" xfId="14845" xr:uid="{00000000-0005-0000-0000-0000596A0000}"/>
    <cellStyle name="标题 3 3 19 5 2 7" xfId="14850" xr:uid="{00000000-0005-0000-0000-00005A6A0000}"/>
    <cellStyle name="标题 3 3 19 5 2 8" xfId="11816" xr:uid="{00000000-0005-0000-0000-00005B6A0000}"/>
    <cellStyle name="标题 3 3 19 5 3" xfId="32531" xr:uid="{00000000-0005-0000-0000-00005C6A0000}"/>
    <cellStyle name="标题 3 3 19 5 4" xfId="7668" xr:uid="{00000000-0005-0000-0000-00005D6A0000}"/>
    <cellStyle name="标题 3 3 19 5 5" xfId="7671" xr:uid="{00000000-0005-0000-0000-00005E6A0000}"/>
    <cellStyle name="标题 3 3 19 5 6" xfId="15380" xr:uid="{00000000-0005-0000-0000-00005F6A0000}"/>
    <cellStyle name="标题 3 3 19 5 6 2" xfId="3696" xr:uid="{00000000-0005-0000-0000-0000606A0000}"/>
    <cellStyle name="标题 3 3 19 5 6 3" xfId="3700" xr:uid="{00000000-0005-0000-0000-0000616A0000}"/>
    <cellStyle name="标题 3 3 19 5 7" xfId="12733" xr:uid="{00000000-0005-0000-0000-0000626A0000}"/>
    <cellStyle name="标题 3 3 19 5 8" xfId="12746" xr:uid="{00000000-0005-0000-0000-0000636A0000}"/>
    <cellStyle name="标题 3 3 19 5 9" xfId="12752" xr:uid="{00000000-0005-0000-0000-0000646A0000}"/>
    <cellStyle name="标题 3 3 19 6" xfId="32532" xr:uid="{00000000-0005-0000-0000-0000656A0000}"/>
    <cellStyle name="标题 3 3 19 6 2" xfId="10111" xr:uid="{00000000-0005-0000-0000-0000666A0000}"/>
    <cellStyle name="标题 3 3 19 6 2 2" xfId="24244" xr:uid="{00000000-0005-0000-0000-0000676A0000}"/>
    <cellStyle name="标题 3 3 19 6 2 3" xfId="17730" xr:uid="{00000000-0005-0000-0000-0000686A0000}"/>
    <cellStyle name="标题 3 3 19 6 3" xfId="10114" xr:uid="{00000000-0005-0000-0000-0000696A0000}"/>
    <cellStyle name="标题 3 3 19 6 4" xfId="32533" xr:uid="{00000000-0005-0000-0000-00006A6A0000}"/>
    <cellStyle name="标题 3 3 19 6 5" xfId="32534" xr:uid="{00000000-0005-0000-0000-00006B6A0000}"/>
    <cellStyle name="标题 3 3 19 6 6" xfId="32535" xr:uid="{00000000-0005-0000-0000-00006C6A0000}"/>
    <cellStyle name="标题 3 3 19 6 7" xfId="32536" xr:uid="{00000000-0005-0000-0000-00006D6A0000}"/>
    <cellStyle name="标题 3 3 19 6 8" xfId="32538" xr:uid="{00000000-0005-0000-0000-00006E6A0000}"/>
    <cellStyle name="标题 3 3 19 7" xfId="28191" xr:uid="{00000000-0005-0000-0000-00006F6A0000}"/>
    <cellStyle name="标题 3 3 19 8" xfId="28193" xr:uid="{00000000-0005-0000-0000-0000706A0000}"/>
    <cellStyle name="标题 3 3 19 9" xfId="32539" xr:uid="{00000000-0005-0000-0000-0000716A0000}"/>
    <cellStyle name="标题 3 3 19 9 2" xfId="12932" xr:uid="{00000000-0005-0000-0000-0000726A0000}"/>
    <cellStyle name="标题 3 3 19 9 3" xfId="12934" xr:uid="{00000000-0005-0000-0000-0000736A0000}"/>
    <cellStyle name="标题 3 3 2" xfId="32540" xr:uid="{00000000-0005-0000-0000-0000746A0000}"/>
    <cellStyle name="标题 3 3 2 10" xfId="19661" xr:uid="{00000000-0005-0000-0000-0000756A0000}"/>
    <cellStyle name="标题 3 3 2 11" xfId="32541" xr:uid="{00000000-0005-0000-0000-0000766A0000}"/>
    <cellStyle name="标题 3 3 2 12" xfId="32543" xr:uid="{00000000-0005-0000-0000-0000776A0000}"/>
    <cellStyle name="标题 3 3 2 13" xfId="32545" xr:uid="{00000000-0005-0000-0000-0000786A0000}"/>
    <cellStyle name="标题 3 3 2 14" xfId="32547" xr:uid="{00000000-0005-0000-0000-0000796A0000}"/>
    <cellStyle name="标题 3 3 2 2" xfId="32548" xr:uid="{00000000-0005-0000-0000-00007A6A0000}"/>
    <cellStyle name="标题 3 3 2 3" xfId="27399" xr:uid="{00000000-0005-0000-0000-00007B6A0000}"/>
    <cellStyle name="标题 3 3 2 4" xfId="27401" xr:uid="{00000000-0005-0000-0000-00007C6A0000}"/>
    <cellStyle name="标题 3 3 2 5" xfId="23884" xr:uid="{00000000-0005-0000-0000-00007D6A0000}"/>
    <cellStyle name="标题 3 3 2 6" xfId="737" xr:uid="{00000000-0005-0000-0000-00007E6A0000}"/>
    <cellStyle name="标题 3 3 2 7" xfId="1263" xr:uid="{00000000-0005-0000-0000-00007F6A0000}"/>
    <cellStyle name="标题 3 3 2 8" xfId="23890" xr:uid="{00000000-0005-0000-0000-0000806A0000}"/>
    <cellStyle name="标题 3 3 2 9" xfId="23892" xr:uid="{00000000-0005-0000-0000-0000816A0000}"/>
    <cellStyle name="标题 3 3 20" xfId="5138" xr:uid="{00000000-0005-0000-0000-0000826A0000}"/>
    <cellStyle name="标题 3 3 20 10" xfId="32549" xr:uid="{00000000-0005-0000-0000-0000836A0000}"/>
    <cellStyle name="标题 3 3 20 11" xfId="32550" xr:uid="{00000000-0005-0000-0000-0000846A0000}"/>
    <cellStyle name="标题 3 3 20 12" xfId="32551" xr:uid="{00000000-0005-0000-0000-0000856A0000}"/>
    <cellStyle name="标题 3 3 20 13" xfId="32552" xr:uid="{00000000-0005-0000-0000-0000866A0000}"/>
    <cellStyle name="标题 3 3 20 14" xfId="32553" xr:uid="{00000000-0005-0000-0000-0000876A0000}"/>
    <cellStyle name="标题 3 3 20 2" xfId="31249" xr:uid="{00000000-0005-0000-0000-0000886A0000}"/>
    <cellStyle name="标题 3 3 20 3" xfId="31251" xr:uid="{00000000-0005-0000-0000-0000896A0000}"/>
    <cellStyle name="标题 3 3 20 4" xfId="31253" xr:uid="{00000000-0005-0000-0000-00008A6A0000}"/>
    <cellStyle name="标题 3 3 20 5" xfId="5510" xr:uid="{00000000-0005-0000-0000-00008B6A0000}"/>
    <cellStyle name="标题 3 3 20 5 10" xfId="8150" xr:uid="{00000000-0005-0000-0000-00008C6A0000}"/>
    <cellStyle name="标题 3 3 20 5 11" xfId="8159" xr:uid="{00000000-0005-0000-0000-00008D6A0000}"/>
    <cellStyle name="标题 3 3 20 5 2" xfId="19345" xr:uid="{00000000-0005-0000-0000-00008E6A0000}"/>
    <cellStyle name="标题 3 3 20 5 2 2" xfId="32555" xr:uid="{00000000-0005-0000-0000-00008F6A0000}"/>
    <cellStyle name="标题 3 3 20 5 2 2 2" xfId="32556" xr:uid="{00000000-0005-0000-0000-0000906A0000}"/>
    <cellStyle name="标题 3 3 20 5 2 2 3" xfId="32557" xr:uid="{00000000-0005-0000-0000-0000916A0000}"/>
    <cellStyle name="标题 3 3 20 5 2 3" xfId="32559" xr:uid="{00000000-0005-0000-0000-0000926A0000}"/>
    <cellStyle name="标题 3 3 20 5 2 4" xfId="32560" xr:uid="{00000000-0005-0000-0000-0000936A0000}"/>
    <cellStyle name="标题 3 3 20 5 2 5" xfId="32561" xr:uid="{00000000-0005-0000-0000-0000946A0000}"/>
    <cellStyle name="标题 3 3 20 5 2 6" xfId="14784" xr:uid="{00000000-0005-0000-0000-0000956A0000}"/>
    <cellStyle name="标题 3 3 20 5 2 7" xfId="14793" xr:uid="{00000000-0005-0000-0000-0000966A0000}"/>
    <cellStyle name="标题 3 3 20 5 2 8" xfId="10696" xr:uid="{00000000-0005-0000-0000-0000976A0000}"/>
    <cellStyle name="标题 3 3 20 5 3" xfId="19347" xr:uid="{00000000-0005-0000-0000-0000986A0000}"/>
    <cellStyle name="标题 3 3 20 5 4" xfId="32562" xr:uid="{00000000-0005-0000-0000-0000996A0000}"/>
    <cellStyle name="标题 3 3 20 5 5" xfId="32564" xr:uid="{00000000-0005-0000-0000-00009A6A0000}"/>
    <cellStyle name="标题 3 3 20 5 6" xfId="32566" xr:uid="{00000000-0005-0000-0000-00009B6A0000}"/>
    <cellStyle name="标题 3 3 20 5 6 2" xfId="25816" xr:uid="{00000000-0005-0000-0000-00009C6A0000}"/>
    <cellStyle name="标题 3 3 20 5 6 3" xfId="32568" xr:uid="{00000000-0005-0000-0000-00009D6A0000}"/>
    <cellStyle name="标题 3 3 20 5 7" xfId="32570" xr:uid="{00000000-0005-0000-0000-00009E6A0000}"/>
    <cellStyle name="标题 3 3 20 5 8" xfId="32572" xr:uid="{00000000-0005-0000-0000-00009F6A0000}"/>
    <cellStyle name="标题 3 3 20 5 9" xfId="26062" xr:uid="{00000000-0005-0000-0000-0000A06A0000}"/>
    <cellStyle name="标题 3 3 20 6" xfId="5527" xr:uid="{00000000-0005-0000-0000-0000A16A0000}"/>
    <cellStyle name="标题 3 3 20 6 2" xfId="10172" xr:uid="{00000000-0005-0000-0000-0000A26A0000}"/>
    <cellStyle name="标题 3 3 20 6 2 2" xfId="17009" xr:uid="{00000000-0005-0000-0000-0000A36A0000}"/>
    <cellStyle name="标题 3 3 20 6 2 3" xfId="17013" xr:uid="{00000000-0005-0000-0000-0000A46A0000}"/>
    <cellStyle name="标题 3 3 20 6 3" xfId="10178" xr:uid="{00000000-0005-0000-0000-0000A56A0000}"/>
    <cellStyle name="标题 3 3 20 6 4" xfId="32573" xr:uid="{00000000-0005-0000-0000-0000A66A0000}"/>
    <cellStyle name="标题 3 3 20 6 5" xfId="25594" xr:uid="{00000000-0005-0000-0000-0000A76A0000}"/>
    <cellStyle name="标题 3 3 20 6 6" xfId="25598" xr:uid="{00000000-0005-0000-0000-0000A86A0000}"/>
    <cellStyle name="标题 3 3 20 6 7" xfId="25601" xr:uid="{00000000-0005-0000-0000-0000A96A0000}"/>
    <cellStyle name="标题 3 3 20 6 8" xfId="24188" xr:uid="{00000000-0005-0000-0000-0000AA6A0000}"/>
    <cellStyle name="标题 3 3 20 7" xfId="2237" xr:uid="{00000000-0005-0000-0000-0000AB6A0000}"/>
    <cellStyle name="标题 3 3 20 8" xfId="2261" xr:uid="{00000000-0005-0000-0000-0000AC6A0000}"/>
    <cellStyle name="标题 3 3 20 9" xfId="2277" xr:uid="{00000000-0005-0000-0000-0000AD6A0000}"/>
    <cellStyle name="标题 3 3 20 9 2" xfId="32575" xr:uid="{00000000-0005-0000-0000-0000AE6A0000}"/>
    <cellStyle name="标题 3 3 20 9 3" xfId="32577" xr:uid="{00000000-0005-0000-0000-0000AF6A0000}"/>
    <cellStyle name="标题 3 3 3" xfId="32578" xr:uid="{00000000-0005-0000-0000-0000B06A0000}"/>
    <cellStyle name="标题 3 3 3 10" xfId="13905" xr:uid="{00000000-0005-0000-0000-0000B16A0000}"/>
    <cellStyle name="标题 3 3 3 11" xfId="23863" xr:uid="{00000000-0005-0000-0000-0000B26A0000}"/>
    <cellStyle name="标题 3 3 3 12" xfId="32579" xr:uid="{00000000-0005-0000-0000-0000B36A0000}"/>
    <cellStyle name="标题 3 3 3 13" xfId="32580" xr:uid="{00000000-0005-0000-0000-0000B46A0000}"/>
    <cellStyle name="标题 3 3 3 14" xfId="32582" xr:uid="{00000000-0005-0000-0000-0000B56A0000}"/>
    <cellStyle name="标题 3 3 3 2" xfId="32584" xr:uid="{00000000-0005-0000-0000-0000B66A0000}"/>
    <cellStyle name="标题 3 3 3 3" xfId="32585" xr:uid="{00000000-0005-0000-0000-0000B76A0000}"/>
    <cellStyle name="标题 3 3 3 4" xfId="32586" xr:uid="{00000000-0005-0000-0000-0000B86A0000}"/>
    <cellStyle name="标题 3 3 3 5" xfId="15844" xr:uid="{00000000-0005-0000-0000-0000B96A0000}"/>
    <cellStyle name="标题 3 3 3 6" xfId="14003" xr:uid="{00000000-0005-0000-0000-0000BA6A0000}"/>
    <cellStyle name="标题 3 3 3 7" xfId="14010" xr:uid="{00000000-0005-0000-0000-0000BB6A0000}"/>
    <cellStyle name="标题 3 3 3 8" xfId="23904" xr:uid="{00000000-0005-0000-0000-0000BC6A0000}"/>
    <cellStyle name="标题 3 3 3 9" xfId="23906" xr:uid="{00000000-0005-0000-0000-0000BD6A0000}"/>
    <cellStyle name="标题 3 3 4" xfId="32587" xr:uid="{00000000-0005-0000-0000-0000BE6A0000}"/>
    <cellStyle name="标题 3 3 4 10" xfId="29361" xr:uid="{00000000-0005-0000-0000-0000BF6A0000}"/>
    <cellStyle name="标题 3 3 4 11" xfId="22187" xr:uid="{00000000-0005-0000-0000-0000C06A0000}"/>
    <cellStyle name="标题 3 3 4 12" xfId="22190" xr:uid="{00000000-0005-0000-0000-0000C16A0000}"/>
    <cellStyle name="标题 3 3 4 13" xfId="22193" xr:uid="{00000000-0005-0000-0000-0000C26A0000}"/>
    <cellStyle name="标题 3 3 4 14" xfId="22195" xr:uid="{00000000-0005-0000-0000-0000C36A0000}"/>
    <cellStyle name="标题 3 3 4 2" xfId="6466" xr:uid="{00000000-0005-0000-0000-0000C46A0000}"/>
    <cellStyle name="标题 3 3 4 3" xfId="6476" xr:uid="{00000000-0005-0000-0000-0000C56A0000}"/>
    <cellStyle name="标题 3 3 4 4" xfId="27359" xr:uid="{00000000-0005-0000-0000-0000C66A0000}"/>
    <cellStyle name="标题 3 3 4 5" xfId="6291" xr:uid="{00000000-0005-0000-0000-0000C76A0000}"/>
    <cellStyle name="标题 3 3 4 6" xfId="628" xr:uid="{00000000-0005-0000-0000-0000C86A0000}"/>
    <cellStyle name="标题 3 3 4 7" xfId="658" xr:uid="{00000000-0005-0000-0000-0000C96A0000}"/>
    <cellStyle name="标题 3 3 4 8" xfId="1899" xr:uid="{00000000-0005-0000-0000-0000CA6A0000}"/>
    <cellStyle name="标题 3 3 4 9" xfId="1925" xr:uid="{00000000-0005-0000-0000-0000CB6A0000}"/>
    <cellStyle name="标题 3 3 5" xfId="32588" xr:uid="{00000000-0005-0000-0000-0000CC6A0000}"/>
    <cellStyle name="标题 3 3 6" xfId="32589" xr:uid="{00000000-0005-0000-0000-0000CD6A0000}"/>
    <cellStyle name="标题 3 3 7" xfId="32590" xr:uid="{00000000-0005-0000-0000-0000CE6A0000}"/>
    <cellStyle name="标题 3 3 8" xfId="32591" xr:uid="{00000000-0005-0000-0000-0000CF6A0000}"/>
    <cellStyle name="标题 3 3 9" xfId="32592" xr:uid="{00000000-0005-0000-0000-0000D06A0000}"/>
    <cellStyle name="标题 3 4" xfId="15726" xr:uid="{00000000-0005-0000-0000-0000D16A0000}"/>
    <cellStyle name="标题 3 4 10" xfId="32593" xr:uid="{00000000-0005-0000-0000-0000D26A0000}"/>
    <cellStyle name="标题 3 4 11" xfId="32594" xr:uid="{00000000-0005-0000-0000-0000D36A0000}"/>
    <cellStyle name="标题 3 4 12" xfId="31059" xr:uid="{00000000-0005-0000-0000-0000D46A0000}"/>
    <cellStyle name="标题 3 4 13" xfId="20319" xr:uid="{00000000-0005-0000-0000-0000D56A0000}"/>
    <cellStyle name="标题 3 4 14" xfId="20323" xr:uid="{00000000-0005-0000-0000-0000D66A0000}"/>
    <cellStyle name="标题 3 4 15" xfId="20327" xr:uid="{00000000-0005-0000-0000-0000D76A0000}"/>
    <cellStyle name="标题 3 4 16" xfId="20333" xr:uid="{00000000-0005-0000-0000-0000D86A0000}"/>
    <cellStyle name="标题 3 4 17" xfId="20338" xr:uid="{00000000-0005-0000-0000-0000D96A0000}"/>
    <cellStyle name="标题 3 4 17 10" xfId="445" xr:uid="{00000000-0005-0000-0000-0000DA6A0000}"/>
    <cellStyle name="标题 3 4 17 11" xfId="13466" xr:uid="{00000000-0005-0000-0000-0000DB6A0000}"/>
    <cellStyle name="标题 3 4 17 12" xfId="13472" xr:uid="{00000000-0005-0000-0000-0000DC6A0000}"/>
    <cellStyle name="标题 3 4 17 13" xfId="21506" xr:uid="{00000000-0005-0000-0000-0000DD6A0000}"/>
    <cellStyle name="标题 3 4 17 14" xfId="21511" xr:uid="{00000000-0005-0000-0000-0000DE6A0000}"/>
    <cellStyle name="标题 3 4 17 2" xfId="21289" xr:uid="{00000000-0005-0000-0000-0000DF6A0000}"/>
    <cellStyle name="标题 3 4 17 3" xfId="21295" xr:uid="{00000000-0005-0000-0000-0000E06A0000}"/>
    <cellStyle name="标题 3 4 17 4" xfId="11116" xr:uid="{00000000-0005-0000-0000-0000E16A0000}"/>
    <cellStyle name="标题 3 4 17 5" xfId="11122" xr:uid="{00000000-0005-0000-0000-0000E26A0000}"/>
    <cellStyle name="标题 3 4 17 5 10" xfId="32595" xr:uid="{00000000-0005-0000-0000-0000E36A0000}"/>
    <cellStyle name="标题 3 4 17 5 11" xfId="32600" xr:uid="{00000000-0005-0000-0000-0000E46A0000}"/>
    <cellStyle name="标题 3 4 17 5 2" xfId="17330" xr:uid="{00000000-0005-0000-0000-0000E56A0000}"/>
    <cellStyle name="标题 3 4 17 5 2 2" xfId="32604" xr:uid="{00000000-0005-0000-0000-0000E66A0000}"/>
    <cellStyle name="标题 3 4 17 5 2 2 2" xfId="32605" xr:uid="{00000000-0005-0000-0000-0000E76A0000}"/>
    <cellStyle name="标题 3 4 17 5 2 2 3" xfId="32606" xr:uid="{00000000-0005-0000-0000-0000E86A0000}"/>
    <cellStyle name="标题 3 4 17 5 2 3" xfId="32607" xr:uid="{00000000-0005-0000-0000-0000E96A0000}"/>
    <cellStyle name="标题 3 4 17 5 2 4" xfId="32608" xr:uid="{00000000-0005-0000-0000-0000EA6A0000}"/>
    <cellStyle name="标题 3 4 17 5 2 5" xfId="32609" xr:uid="{00000000-0005-0000-0000-0000EB6A0000}"/>
    <cellStyle name="标题 3 4 17 5 2 6" xfId="32610" xr:uid="{00000000-0005-0000-0000-0000EC6A0000}"/>
    <cellStyle name="标题 3 4 17 5 2 7" xfId="32612" xr:uid="{00000000-0005-0000-0000-0000ED6A0000}"/>
    <cellStyle name="标题 3 4 17 5 2 8" xfId="32614" xr:uid="{00000000-0005-0000-0000-0000EE6A0000}"/>
    <cellStyle name="标题 3 4 17 5 3" xfId="32615" xr:uid="{00000000-0005-0000-0000-0000EF6A0000}"/>
    <cellStyle name="标题 3 4 17 5 4" xfId="26711" xr:uid="{00000000-0005-0000-0000-0000F06A0000}"/>
    <cellStyle name="标题 3 4 17 5 5" xfId="26713" xr:uid="{00000000-0005-0000-0000-0000F16A0000}"/>
    <cellStyle name="标题 3 4 17 5 6" xfId="26715" xr:uid="{00000000-0005-0000-0000-0000F26A0000}"/>
    <cellStyle name="标题 3 4 17 5 6 2" xfId="23165" xr:uid="{00000000-0005-0000-0000-0000F36A0000}"/>
    <cellStyle name="标题 3 4 17 5 6 3" xfId="23167" xr:uid="{00000000-0005-0000-0000-0000F46A0000}"/>
    <cellStyle name="标题 3 4 17 5 7" xfId="26717" xr:uid="{00000000-0005-0000-0000-0000F56A0000}"/>
    <cellStyle name="标题 3 4 17 5 8" xfId="26719" xr:uid="{00000000-0005-0000-0000-0000F66A0000}"/>
    <cellStyle name="标题 3 4 17 5 9" xfId="22335" xr:uid="{00000000-0005-0000-0000-0000F76A0000}"/>
    <cellStyle name="标题 3 4 17 6" xfId="21298" xr:uid="{00000000-0005-0000-0000-0000F86A0000}"/>
    <cellStyle name="标题 3 4 17 6 2" xfId="32616" xr:uid="{00000000-0005-0000-0000-0000F96A0000}"/>
    <cellStyle name="标题 3 4 17 6 2 2" xfId="32617" xr:uid="{00000000-0005-0000-0000-0000FA6A0000}"/>
    <cellStyle name="标题 3 4 17 6 2 3" xfId="32618" xr:uid="{00000000-0005-0000-0000-0000FB6A0000}"/>
    <cellStyle name="标题 3 4 17 6 3" xfId="32619" xr:uid="{00000000-0005-0000-0000-0000FC6A0000}"/>
    <cellStyle name="标题 3 4 17 6 4" xfId="26089" xr:uid="{00000000-0005-0000-0000-0000FD6A0000}"/>
    <cellStyle name="标题 3 4 17 6 5" xfId="32621" xr:uid="{00000000-0005-0000-0000-0000FE6A0000}"/>
    <cellStyle name="标题 3 4 17 6 6" xfId="32622" xr:uid="{00000000-0005-0000-0000-0000FF6A0000}"/>
    <cellStyle name="标题 3 4 17 6 7" xfId="32623" xr:uid="{00000000-0005-0000-0000-0000006B0000}"/>
    <cellStyle name="标题 3 4 17 6 8" xfId="2822" xr:uid="{00000000-0005-0000-0000-0000016B0000}"/>
    <cellStyle name="标题 3 4 17 7" xfId="21300" xr:uid="{00000000-0005-0000-0000-0000026B0000}"/>
    <cellStyle name="标题 3 4 17 8" xfId="14931" xr:uid="{00000000-0005-0000-0000-0000036B0000}"/>
    <cellStyle name="标题 3 4 17 9" xfId="17085" xr:uid="{00000000-0005-0000-0000-0000046B0000}"/>
    <cellStyle name="标题 3 4 17 9 2" xfId="29605" xr:uid="{00000000-0005-0000-0000-0000056B0000}"/>
    <cellStyle name="标题 3 4 17 9 3" xfId="32624" xr:uid="{00000000-0005-0000-0000-0000066B0000}"/>
    <cellStyle name="标题 3 4 18" xfId="20343" xr:uid="{00000000-0005-0000-0000-0000076B0000}"/>
    <cellStyle name="标题 3 4 18 10" xfId="4692" xr:uid="{00000000-0005-0000-0000-0000086B0000}"/>
    <cellStyle name="标题 3 4 18 11" xfId="4697" xr:uid="{00000000-0005-0000-0000-0000096B0000}"/>
    <cellStyle name="标题 3 4 18 12" xfId="27155" xr:uid="{00000000-0005-0000-0000-00000A6B0000}"/>
    <cellStyle name="标题 3 4 18 13" xfId="27157" xr:uid="{00000000-0005-0000-0000-00000B6B0000}"/>
    <cellStyle name="标题 3 4 18 14" xfId="32625" xr:uid="{00000000-0005-0000-0000-00000C6B0000}"/>
    <cellStyle name="标题 3 4 18 2" xfId="28442" xr:uid="{00000000-0005-0000-0000-00000D6B0000}"/>
    <cellStyle name="标题 3 4 18 3" xfId="28445" xr:uid="{00000000-0005-0000-0000-00000E6B0000}"/>
    <cellStyle name="标题 3 4 18 4" xfId="28448" xr:uid="{00000000-0005-0000-0000-00000F6B0000}"/>
    <cellStyle name="标题 3 4 18 5" xfId="24546" xr:uid="{00000000-0005-0000-0000-0000106B0000}"/>
    <cellStyle name="标题 3 4 18 5 10" xfId="13627" xr:uid="{00000000-0005-0000-0000-0000116B0000}"/>
    <cellStyle name="标题 3 4 18 5 11" xfId="13639" xr:uid="{00000000-0005-0000-0000-0000126B0000}"/>
    <cellStyle name="标题 3 4 18 5 2" xfId="32627" xr:uid="{00000000-0005-0000-0000-0000136B0000}"/>
    <cellStyle name="标题 3 4 18 5 2 2" xfId="7352" xr:uid="{00000000-0005-0000-0000-0000146B0000}"/>
    <cellStyle name="标题 3 4 18 5 2 2 2" xfId="7533" xr:uid="{00000000-0005-0000-0000-0000156B0000}"/>
    <cellStyle name="标题 3 4 18 5 2 2 3" xfId="7545" xr:uid="{00000000-0005-0000-0000-0000166B0000}"/>
    <cellStyle name="标题 3 4 18 5 2 3" xfId="7359" xr:uid="{00000000-0005-0000-0000-0000176B0000}"/>
    <cellStyle name="标题 3 4 18 5 2 4" xfId="25060" xr:uid="{00000000-0005-0000-0000-0000186B0000}"/>
    <cellStyle name="标题 3 4 18 5 2 5" xfId="32628" xr:uid="{00000000-0005-0000-0000-0000196B0000}"/>
    <cellStyle name="标题 3 4 18 5 2 6" xfId="6182" xr:uid="{00000000-0005-0000-0000-00001A6B0000}"/>
    <cellStyle name="标题 3 4 18 5 2 7" xfId="1248" xr:uid="{00000000-0005-0000-0000-00001B6B0000}"/>
    <cellStyle name="标题 3 4 18 5 2 8" xfId="32629" xr:uid="{00000000-0005-0000-0000-00001C6B0000}"/>
    <cellStyle name="标题 3 4 18 5 3" xfId="32631" xr:uid="{00000000-0005-0000-0000-00001D6B0000}"/>
    <cellStyle name="标题 3 4 18 5 4" xfId="26733" xr:uid="{00000000-0005-0000-0000-00001E6B0000}"/>
    <cellStyle name="标题 3 4 18 5 5" xfId="12257" xr:uid="{00000000-0005-0000-0000-00001F6B0000}"/>
    <cellStyle name="标题 3 4 18 5 6" xfId="12273" xr:uid="{00000000-0005-0000-0000-0000206B0000}"/>
    <cellStyle name="标题 3 4 18 5 6 2" xfId="11982" xr:uid="{00000000-0005-0000-0000-0000216B0000}"/>
    <cellStyle name="标题 3 4 18 5 6 3" xfId="12029" xr:uid="{00000000-0005-0000-0000-0000226B0000}"/>
    <cellStyle name="标题 3 4 18 5 7" xfId="10100" xr:uid="{00000000-0005-0000-0000-0000236B0000}"/>
    <cellStyle name="标题 3 4 18 5 8" xfId="10107" xr:uid="{00000000-0005-0000-0000-0000246B0000}"/>
    <cellStyle name="标题 3 4 18 5 9" xfId="11953" xr:uid="{00000000-0005-0000-0000-0000256B0000}"/>
    <cellStyle name="标题 3 4 18 6" xfId="28451" xr:uid="{00000000-0005-0000-0000-0000266B0000}"/>
    <cellStyle name="标题 3 4 18 6 2" xfId="32632" xr:uid="{00000000-0005-0000-0000-0000276B0000}"/>
    <cellStyle name="标题 3 4 18 6 2 2" xfId="25103" xr:uid="{00000000-0005-0000-0000-0000286B0000}"/>
    <cellStyle name="标题 3 4 18 6 2 3" xfId="25105" xr:uid="{00000000-0005-0000-0000-0000296B0000}"/>
    <cellStyle name="标题 3 4 18 6 3" xfId="32633" xr:uid="{00000000-0005-0000-0000-00002A6B0000}"/>
    <cellStyle name="标题 3 4 18 6 4" xfId="32634" xr:uid="{00000000-0005-0000-0000-00002B6B0000}"/>
    <cellStyle name="标题 3 4 18 6 5" xfId="11250" xr:uid="{00000000-0005-0000-0000-00002C6B0000}"/>
    <cellStyle name="标题 3 4 18 6 6" xfId="9281" xr:uid="{00000000-0005-0000-0000-00002D6B0000}"/>
    <cellStyle name="标题 3 4 18 6 7" xfId="9290" xr:uid="{00000000-0005-0000-0000-00002E6B0000}"/>
    <cellStyle name="标题 3 4 18 6 8" xfId="12298" xr:uid="{00000000-0005-0000-0000-00002F6B0000}"/>
    <cellStyle name="标题 3 4 18 7" xfId="28454" xr:uid="{00000000-0005-0000-0000-0000306B0000}"/>
    <cellStyle name="标题 3 4 18 8" xfId="16077" xr:uid="{00000000-0005-0000-0000-0000316B0000}"/>
    <cellStyle name="标题 3 4 18 9" xfId="16083" xr:uid="{00000000-0005-0000-0000-0000326B0000}"/>
    <cellStyle name="标题 3 4 18 9 2" xfId="4510" xr:uid="{00000000-0005-0000-0000-0000336B0000}"/>
    <cellStyle name="标题 3 4 18 9 3" xfId="27900" xr:uid="{00000000-0005-0000-0000-0000346B0000}"/>
    <cellStyle name="标题 3 4 19" xfId="20347" xr:uid="{00000000-0005-0000-0000-0000356B0000}"/>
    <cellStyle name="标题 3 4 19 10" xfId="27175" xr:uid="{00000000-0005-0000-0000-0000366B0000}"/>
    <cellStyle name="标题 3 4 19 11" xfId="27177" xr:uid="{00000000-0005-0000-0000-0000376B0000}"/>
    <cellStyle name="标题 3 4 19 12" xfId="27179" xr:uid="{00000000-0005-0000-0000-0000386B0000}"/>
    <cellStyle name="标题 3 4 19 13" xfId="27181" xr:uid="{00000000-0005-0000-0000-0000396B0000}"/>
    <cellStyle name="标题 3 4 19 14" xfId="13195" xr:uid="{00000000-0005-0000-0000-00003A6B0000}"/>
    <cellStyle name="标题 3 4 19 2" xfId="32636" xr:uid="{00000000-0005-0000-0000-00003B6B0000}"/>
    <cellStyle name="标题 3 4 19 3" xfId="32638" xr:uid="{00000000-0005-0000-0000-00003C6B0000}"/>
    <cellStyle name="标题 3 4 19 4" xfId="16538" xr:uid="{00000000-0005-0000-0000-00003D6B0000}"/>
    <cellStyle name="标题 3 4 19 5" xfId="16542" xr:uid="{00000000-0005-0000-0000-00003E6B0000}"/>
    <cellStyle name="标题 3 4 19 5 10" xfId="27813" xr:uid="{00000000-0005-0000-0000-00003F6B0000}"/>
    <cellStyle name="标题 3 4 19 5 11" xfId="30105" xr:uid="{00000000-0005-0000-0000-0000406B0000}"/>
    <cellStyle name="标题 3 4 19 5 2" xfId="32640" xr:uid="{00000000-0005-0000-0000-0000416B0000}"/>
    <cellStyle name="标题 3 4 19 5 2 2" xfId="23533" xr:uid="{00000000-0005-0000-0000-0000426B0000}"/>
    <cellStyle name="标题 3 4 19 5 2 2 2" xfId="9006" xr:uid="{00000000-0005-0000-0000-0000436B0000}"/>
    <cellStyle name="标题 3 4 19 5 2 2 3" xfId="9014" xr:uid="{00000000-0005-0000-0000-0000446B0000}"/>
    <cellStyle name="标题 3 4 19 5 2 3" xfId="23537" xr:uid="{00000000-0005-0000-0000-0000456B0000}"/>
    <cellStyle name="标题 3 4 19 5 2 4" xfId="799" xr:uid="{00000000-0005-0000-0000-0000466B0000}"/>
    <cellStyle name="标题 3 4 19 5 2 5" xfId="368" xr:uid="{00000000-0005-0000-0000-0000476B0000}"/>
    <cellStyle name="标题 3 4 19 5 2 6" xfId="15760" xr:uid="{00000000-0005-0000-0000-0000486B0000}"/>
    <cellStyle name="标题 3 4 19 5 2 7" xfId="15769" xr:uid="{00000000-0005-0000-0000-0000496B0000}"/>
    <cellStyle name="标题 3 4 19 5 2 8" xfId="13417" xr:uid="{00000000-0005-0000-0000-00004A6B0000}"/>
    <cellStyle name="标题 3 4 19 5 3" xfId="32642" xr:uid="{00000000-0005-0000-0000-00004B6B0000}"/>
    <cellStyle name="标题 3 4 19 5 4" xfId="32644" xr:uid="{00000000-0005-0000-0000-00004C6B0000}"/>
    <cellStyle name="标题 3 4 19 5 5" xfId="15564" xr:uid="{00000000-0005-0000-0000-00004D6B0000}"/>
    <cellStyle name="标题 3 4 19 5 6" xfId="15567" xr:uid="{00000000-0005-0000-0000-00004E6B0000}"/>
    <cellStyle name="标题 3 4 19 5 6 2" xfId="15393" xr:uid="{00000000-0005-0000-0000-00004F6B0000}"/>
    <cellStyle name="标题 3 4 19 5 6 3" xfId="15396" xr:uid="{00000000-0005-0000-0000-0000506B0000}"/>
    <cellStyle name="标题 3 4 19 5 7" xfId="13207" xr:uid="{00000000-0005-0000-0000-0000516B0000}"/>
    <cellStyle name="标题 3 4 19 5 8" xfId="13229" xr:uid="{00000000-0005-0000-0000-0000526B0000}"/>
    <cellStyle name="标题 3 4 19 5 9" xfId="13233" xr:uid="{00000000-0005-0000-0000-0000536B0000}"/>
    <cellStyle name="标题 3 4 19 6" xfId="32647" xr:uid="{00000000-0005-0000-0000-0000546B0000}"/>
    <cellStyle name="标题 3 4 19 6 2" xfId="11947" xr:uid="{00000000-0005-0000-0000-0000556B0000}"/>
    <cellStyle name="标题 3 4 19 6 2 2" xfId="32648" xr:uid="{00000000-0005-0000-0000-0000566B0000}"/>
    <cellStyle name="标题 3 4 19 6 2 3" xfId="32649" xr:uid="{00000000-0005-0000-0000-0000576B0000}"/>
    <cellStyle name="标题 3 4 19 6 3" xfId="32650" xr:uid="{00000000-0005-0000-0000-0000586B0000}"/>
    <cellStyle name="标题 3 4 19 6 4" xfId="32651" xr:uid="{00000000-0005-0000-0000-0000596B0000}"/>
    <cellStyle name="标题 3 4 19 6 5" xfId="32652" xr:uid="{00000000-0005-0000-0000-00005A6B0000}"/>
    <cellStyle name="标题 3 4 19 6 6" xfId="32653" xr:uid="{00000000-0005-0000-0000-00005B6B0000}"/>
    <cellStyle name="标题 3 4 19 6 7" xfId="32654" xr:uid="{00000000-0005-0000-0000-00005C6B0000}"/>
    <cellStyle name="标题 3 4 19 6 8" xfId="32655" xr:uid="{00000000-0005-0000-0000-00005D6B0000}"/>
    <cellStyle name="标题 3 4 19 7" xfId="32658" xr:uid="{00000000-0005-0000-0000-00005E6B0000}"/>
    <cellStyle name="标题 3 4 19 8" xfId="32661" xr:uid="{00000000-0005-0000-0000-00005F6B0000}"/>
    <cellStyle name="标题 3 4 19 9" xfId="32665" xr:uid="{00000000-0005-0000-0000-0000606B0000}"/>
    <cellStyle name="标题 3 4 19 9 2" xfId="14525" xr:uid="{00000000-0005-0000-0000-0000616B0000}"/>
    <cellStyle name="标题 3 4 19 9 3" xfId="14528" xr:uid="{00000000-0005-0000-0000-0000626B0000}"/>
    <cellStyle name="标题 3 4 2" xfId="32666" xr:uid="{00000000-0005-0000-0000-0000636B0000}"/>
    <cellStyle name="标题 3 4 20" xfId="20328" xr:uid="{00000000-0005-0000-0000-0000646B0000}"/>
    <cellStyle name="标题 3 4 20 10" xfId="32667" xr:uid="{00000000-0005-0000-0000-0000656B0000}"/>
    <cellStyle name="标题 3 4 20 11" xfId="32668" xr:uid="{00000000-0005-0000-0000-0000666B0000}"/>
    <cellStyle name="标题 3 4 20 12" xfId="32669" xr:uid="{00000000-0005-0000-0000-0000676B0000}"/>
    <cellStyle name="标题 3 4 20 13" xfId="32670" xr:uid="{00000000-0005-0000-0000-0000686B0000}"/>
    <cellStyle name="标题 3 4 20 14" xfId="32671" xr:uid="{00000000-0005-0000-0000-0000696B0000}"/>
    <cellStyle name="标题 3 4 20 2" xfId="24775" xr:uid="{00000000-0005-0000-0000-00006A6B0000}"/>
    <cellStyle name="标题 3 4 20 3" xfId="24777" xr:uid="{00000000-0005-0000-0000-00006B6B0000}"/>
    <cellStyle name="标题 3 4 20 4" xfId="6413" xr:uid="{00000000-0005-0000-0000-00006C6B0000}"/>
    <cellStyle name="标题 3 4 20 5" xfId="6422" xr:uid="{00000000-0005-0000-0000-00006D6B0000}"/>
    <cellStyle name="标题 3 4 20 5 10" xfId="32672" xr:uid="{00000000-0005-0000-0000-00006E6B0000}"/>
    <cellStyle name="标题 3 4 20 5 11" xfId="25963" xr:uid="{00000000-0005-0000-0000-00006F6B0000}"/>
    <cellStyle name="标题 3 4 20 5 2" xfId="17306" xr:uid="{00000000-0005-0000-0000-0000706B0000}"/>
    <cellStyle name="标题 3 4 20 5 2 2" xfId="32674" xr:uid="{00000000-0005-0000-0000-0000716B0000}"/>
    <cellStyle name="标题 3 4 20 5 2 2 2" xfId="31919" xr:uid="{00000000-0005-0000-0000-0000726B0000}"/>
    <cellStyle name="标题 3 4 20 5 2 2 3" xfId="31921" xr:uid="{00000000-0005-0000-0000-0000736B0000}"/>
    <cellStyle name="标题 3 4 20 5 2 3" xfId="32675" xr:uid="{00000000-0005-0000-0000-0000746B0000}"/>
    <cellStyle name="标题 3 4 20 5 2 4" xfId="32676" xr:uid="{00000000-0005-0000-0000-0000756B0000}"/>
    <cellStyle name="标题 3 4 20 5 2 5" xfId="32677" xr:uid="{00000000-0005-0000-0000-0000766B0000}"/>
    <cellStyle name="标题 3 4 20 5 2 6" xfId="8034" xr:uid="{00000000-0005-0000-0000-0000776B0000}"/>
    <cellStyle name="标题 3 4 20 5 2 7" xfId="8039" xr:uid="{00000000-0005-0000-0000-0000786B0000}"/>
    <cellStyle name="标题 3 4 20 5 2 8" xfId="8045" xr:uid="{00000000-0005-0000-0000-0000796B0000}"/>
    <cellStyle name="标题 3 4 20 5 3" xfId="17309" xr:uid="{00000000-0005-0000-0000-00007A6B0000}"/>
    <cellStyle name="标题 3 4 20 5 4" xfId="17312" xr:uid="{00000000-0005-0000-0000-00007B6B0000}"/>
    <cellStyle name="标题 3 4 20 5 5" xfId="17315" xr:uid="{00000000-0005-0000-0000-00007C6B0000}"/>
    <cellStyle name="标题 3 4 20 5 6" xfId="17399" xr:uid="{00000000-0005-0000-0000-00007D6B0000}"/>
    <cellStyle name="标题 3 4 20 5 6 2" xfId="17404" xr:uid="{00000000-0005-0000-0000-00007E6B0000}"/>
    <cellStyle name="标题 3 4 20 5 6 3" xfId="17407" xr:uid="{00000000-0005-0000-0000-00007F6B0000}"/>
    <cellStyle name="标题 3 4 20 5 7" xfId="17446" xr:uid="{00000000-0005-0000-0000-0000806B0000}"/>
    <cellStyle name="标题 3 4 20 5 8" xfId="17494" xr:uid="{00000000-0005-0000-0000-0000816B0000}"/>
    <cellStyle name="标题 3 4 20 5 9" xfId="32678" xr:uid="{00000000-0005-0000-0000-0000826B0000}"/>
    <cellStyle name="标题 3 4 20 6" xfId="6434" xr:uid="{00000000-0005-0000-0000-0000836B0000}"/>
    <cellStyle name="标题 3 4 20 6 2" xfId="32679" xr:uid="{00000000-0005-0000-0000-0000846B0000}"/>
    <cellStyle name="标题 3 4 20 6 2 2" xfId="17975" xr:uid="{00000000-0005-0000-0000-0000856B0000}"/>
    <cellStyle name="标题 3 4 20 6 2 3" xfId="17977" xr:uid="{00000000-0005-0000-0000-0000866B0000}"/>
    <cellStyle name="标题 3 4 20 6 3" xfId="32680" xr:uid="{00000000-0005-0000-0000-0000876B0000}"/>
    <cellStyle name="标题 3 4 20 6 4" xfId="32682" xr:uid="{00000000-0005-0000-0000-0000886B0000}"/>
    <cellStyle name="标题 3 4 20 6 5" xfId="32684" xr:uid="{00000000-0005-0000-0000-0000896B0000}"/>
    <cellStyle name="标题 3 4 20 6 6" xfId="28072" xr:uid="{00000000-0005-0000-0000-00008A6B0000}"/>
    <cellStyle name="标题 3 4 20 6 7" xfId="28074" xr:uid="{00000000-0005-0000-0000-00008B6B0000}"/>
    <cellStyle name="标题 3 4 20 6 8" xfId="28076" xr:uid="{00000000-0005-0000-0000-00008C6B0000}"/>
    <cellStyle name="标题 3 4 20 7" xfId="6441" xr:uid="{00000000-0005-0000-0000-00008D6B0000}"/>
    <cellStyle name="标题 3 4 20 8" xfId="6450" xr:uid="{00000000-0005-0000-0000-00008E6B0000}"/>
    <cellStyle name="标题 3 4 20 9" xfId="6548" xr:uid="{00000000-0005-0000-0000-00008F6B0000}"/>
    <cellStyle name="标题 3 4 20 9 2" xfId="29680" xr:uid="{00000000-0005-0000-0000-0000906B0000}"/>
    <cellStyle name="标题 3 4 20 9 3" xfId="32686" xr:uid="{00000000-0005-0000-0000-0000916B0000}"/>
    <cellStyle name="标题 3 4 3" xfId="32687" xr:uid="{00000000-0005-0000-0000-0000926B0000}"/>
    <cellStyle name="标题 3 4 4" xfId="32689" xr:uid="{00000000-0005-0000-0000-0000936B0000}"/>
    <cellStyle name="标题 3 4 5" xfId="32691" xr:uid="{00000000-0005-0000-0000-0000946B0000}"/>
    <cellStyle name="标题 3 4 6" xfId="32693" xr:uid="{00000000-0005-0000-0000-0000956B0000}"/>
    <cellStyle name="标题 3 4 7" xfId="32695" xr:uid="{00000000-0005-0000-0000-0000966B0000}"/>
    <cellStyle name="标题 3 4 8" xfId="32697" xr:uid="{00000000-0005-0000-0000-0000976B0000}"/>
    <cellStyle name="标题 3 4 9" xfId="32698" xr:uid="{00000000-0005-0000-0000-0000986B0000}"/>
    <cellStyle name="标题 3 5" xfId="15729" xr:uid="{00000000-0005-0000-0000-0000996B0000}"/>
    <cellStyle name="标题 3 5 10" xfId="20529" xr:uid="{00000000-0005-0000-0000-00009A6B0000}"/>
    <cellStyle name="标题 3 5 11" xfId="20532" xr:uid="{00000000-0005-0000-0000-00009B6B0000}"/>
    <cellStyle name="标题 3 5 12" xfId="20535" xr:uid="{00000000-0005-0000-0000-00009C6B0000}"/>
    <cellStyle name="标题 3 5 13" xfId="20538" xr:uid="{00000000-0005-0000-0000-00009D6B0000}"/>
    <cellStyle name="标题 3 5 14" xfId="20541" xr:uid="{00000000-0005-0000-0000-00009E6B0000}"/>
    <cellStyle name="标题 3 5 2" xfId="32699" xr:uid="{00000000-0005-0000-0000-00009F6B0000}"/>
    <cellStyle name="标题 3 5 3" xfId="32700" xr:uid="{00000000-0005-0000-0000-0000A06B0000}"/>
    <cellStyle name="标题 3 5 4" xfId="32701" xr:uid="{00000000-0005-0000-0000-0000A16B0000}"/>
    <cellStyle name="标题 3 5 5" xfId="32702" xr:uid="{00000000-0005-0000-0000-0000A26B0000}"/>
    <cellStyle name="标题 3 5 6" xfId="32703" xr:uid="{00000000-0005-0000-0000-0000A36B0000}"/>
    <cellStyle name="标题 3 5 7" xfId="32704" xr:uid="{00000000-0005-0000-0000-0000A46B0000}"/>
    <cellStyle name="标题 3 5 8" xfId="13630" xr:uid="{00000000-0005-0000-0000-0000A56B0000}"/>
    <cellStyle name="标题 3 5 9" xfId="13633" xr:uid="{00000000-0005-0000-0000-0000A66B0000}"/>
    <cellStyle name="标题 3 6" xfId="15732" xr:uid="{00000000-0005-0000-0000-0000A76B0000}"/>
    <cellStyle name="标题 3 6 10" xfId="23978" xr:uid="{00000000-0005-0000-0000-0000A86B0000}"/>
    <cellStyle name="标题 3 6 11" xfId="29509" xr:uid="{00000000-0005-0000-0000-0000A96B0000}"/>
    <cellStyle name="标题 3 6 12" xfId="29515" xr:uid="{00000000-0005-0000-0000-0000AA6B0000}"/>
    <cellStyle name="标题 3 6 13" xfId="29517" xr:uid="{00000000-0005-0000-0000-0000AB6B0000}"/>
    <cellStyle name="标题 3 6 14" xfId="29519" xr:uid="{00000000-0005-0000-0000-0000AC6B0000}"/>
    <cellStyle name="标题 3 6 2" xfId="32705" xr:uid="{00000000-0005-0000-0000-0000AD6B0000}"/>
    <cellStyle name="标题 3 6 3" xfId="32706" xr:uid="{00000000-0005-0000-0000-0000AE6B0000}"/>
    <cellStyle name="标题 3 6 4" xfId="32708" xr:uid="{00000000-0005-0000-0000-0000AF6B0000}"/>
    <cellStyle name="标题 3 6 5" xfId="21615" xr:uid="{00000000-0005-0000-0000-0000B06B0000}"/>
    <cellStyle name="标题 3 6 6" xfId="21621" xr:uid="{00000000-0005-0000-0000-0000B16B0000}"/>
    <cellStyle name="标题 3 6 7" xfId="21623" xr:uid="{00000000-0005-0000-0000-0000B26B0000}"/>
    <cellStyle name="标题 3 6 8" xfId="21626" xr:uid="{00000000-0005-0000-0000-0000B36B0000}"/>
    <cellStyle name="标题 3 6 9" xfId="21629" xr:uid="{00000000-0005-0000-0000-0000B46B0000}"/>
    <cellStyle name="标题 3 7" xfId="15734" xr:uid="{00000000-0005-0000-0000-0000B56B0000}"/>
    <cellStyle name="标题 3 8" xfId="15737" xr:uid="{00000000-0005-0000-0000-0000B66B0000}"/>
    <cellStyle name="标题 3 9" xfId="10477" xr:uid="{00000000-0005-0000-0000-0000B76B0000}"/>
    <cellStyle name="标题 4 10" xfId="3168" xr:uid="{00000000-0005-0000-0000-0000B86B0000}"/>
    <cellStyle name="标题 4 11" xfId="32709" xr:uid="{00000000-0005-0000-0000-0000B96B0000}"/>
    <cellStyle name="标题 4 12" xfId="28778" xr:uid="{00000000-0005-0000-0000-0000BA6B0000}"/>
    <cellStyle name="标题 4 12 10" xfId="17536" xr:uid="{00000000-0005-0000-0000-0000BB6B0000}"/>
    <cellStyle name="标题 4 12 11" xfId="22745" xr:uid="{00000000-0005-0000-0000-0000BC6B0000}"/>
    <cellStyle name="标题 4 12 12" xfId="22747" xr:uid="{00000000-0005-0000-0000-0000BD6B0000}"/>
    <cellStyle name="标题 4 12 13" xfId="22749" xr:uid="{00000000-0005-0000-0000-0000BE6B0000}"/>
    <cellStyle name="标题 4 12 14" xfId="22751" xr:uid="{00000000-0005-0000-0000-0000BF6B0000}"/>
    <cellStyle name="标题 4 12 2" xfId="30237" xr:uid="{00000000-0005-0000-0000-0000C06B0000}"/>
    <cellStyle name="标题 4 12 3" xfId="30622" xr:uid="{00000000-0005-0000-0000-0000C16B0000}"/>
    <cellStyle name="标题 4 12 4" xfId="30624" xr:uid="{00000000-0005-0000-0000-0000C26B0000}"/>
    <cellStyle name="标题 4 12 5" xfId="2874" xr:uid="{00000000-0005-0000-0000-0000C36B0000}"/>
    <cellStyle name="标题 4 12 5 10" xfId="32711" xr:uid="{00000000-0005-0000-0000-0000C46B0000}"/>
    <cellStyle name="标题 4 12 5 11" xfId="32713" xr:uid="{00000000-0005-0000-0000-0000C56B0000}"/>
    <cellStyle name="标题 4 12 5 2" xfId="32714" xr:uid="{00000000-0005-0000-0000-0000C66B0000}"/>
    <cellStyle name="标题 4 12 5 2 2" xfId="32716" xr:uid="{00000000-0005-0000-0000-0000C76B0000}"/>
    <cellStyle name="标题 4 12 5 2 2 2" xfId="32717" xr:uid="{00000000-0005-0000-0000-0000C86B0000}"/>
    <cellStyle name="标题 4 12 5 2 2 3" xfId="32718" xr:uid="{00000000-0005-0000-0000-0000C96B0000}"/>
    <cellStyle name="标题 4 12 5 2 3" xfId="32719" xr:uid="{00000000-0005-0000-0000-0000CA6B0000}"/>
    <cellStyle name="标题 4 12 5 2 4" xfId="32720" xr:uid="{00000000-0005-0000-0000-0000CB6B0000}"/>
    <cellStyle name="标题 4 12 5 2 5" xfId="32721" xr:uid="{00000000-0005-0000-0000-0000CC6B0000}"/>
    <cellStyle name="标题 4 12 5 2 6" xfId="23124" xr:uid="{00000000-0005-0000-0000-0000CD6B0000}"/>
    <cellStyle name="标题 4 12 5 2 7" xfId="23126" xr:uid="{00000000-0005-0000-0000-0000CE6B0000}"/>
    <cellStyle name="标题 4 12 5 2 8" xfId="31079" xr:uid="{00000000-0005-0000-0000-0000CF6B0000}"/>
    <cellStyle name="标题 4 12 5 3" xfId="32722" xr:uid="{00000000-0005-0000-0000-0000D06B0000}"/>
    <cellStyle name="标题 4 12 5 4" xfId="32723" xr:uid="{00000000-0005-0000-0000-0000D16B0000}"/>
    <cellStyle name="标题 4 12 5 5" xfId="32725" xr:uid="{00000000-0005-0000-0000-0000D26B0000}"/>
    <cellStyle name="标题 4 12 5 6" xfId="32728" xr:uid="{00000000-0005-0000-0000-0000D36B0000}"/>
    <cellStyle name="标题 4 12 5 6 2" xfId="32731" xr:uid="{00000000-0005-0000-0000-0000D46B0000}"/>
    <cellStyle name="标题 4 12 5 6 3" xfId="32734" xr:uid="{00000000-0005-0000-0000-0000D56B0000}"/>
    <cellStyle name="标题 4 12 5 7" xfId="32735" xr:uid="{00000000-0005-0000-0000-0000D66B0000}"/>
    <cellStyle name="标题 4 12 5 8" xfId="32736" xr:uid="{00000000-0005-0000-0000-0000D76B0000}"/>
    <cellStyle name="标题 4 12 5 9" xfId="31348" xr:uid="{00000000-0005-0000-0000-0000D86B0000}"/>
    <cellStyle name="标题 4 12 6" xfId="14418" xr:uid="{00000000-0005-0000-0000-0000D96B0000}"/>
    <cellStyle name="标题 4 12 6 2" xfId="20038" xr:uid="{00000000-0005-0000-0000-0000DA6B0000}"/>
    <cellStyle name="标题 4 12 6 2 2" xfId="32738" xr:uid="{00000000-0005-0000-0000-0000DB6B0000}"/>
    <cellStyle name="标题 4 12 6 2 3" xfId="25589" xr:uid="{00000000-0005-0000-0000-0000DC6B0000}"/>
    <cellStyle name="标题 4 12 6 3" xfId="32739" xr:uid="{00000000-0005-0000-0000-0000DD6B0000}"/>
    <cellStyle name="标题 4 12 6 4" xfId="32740" xr:uid="{00000000-0005-0000-0000-0000DE6B0000}"/>
    <cellStyle name="标题 4 12 6 5" xfId="32741" xr:uid="{00000000-0005-0000-0000-0000DF6B0000}"/>
    <cellStyle name="标题 4 12 6 6" xfId="32742" xr:uid="{00000000-0005-0000-0000-0000E06B0000}"/>
    <cellStyle name="标题 4 12 6 7" xfId="32743" xr:uid="{00000000-0005-0000-0000-0000E16B0000}"/>
    <cellStyle name="标题 4 12 6 8" xfId="32744" xr:uid="{00000000-0005-0000-0000-0000E26B0000}"/>
    <cellStyle name="标题 4 12 7" xfId="32746" xr:uid="{00000000-0005-0000-0000-0000E36B0000}"/>
    <cellStyle name="标题 4 12 8" xfId="32748" xr:uid="{00000000-0005-0000-0000-0000E46B0000}"/>
    <cellStyle name="标题 4 12 9" xfId="32015" xr:uid="{00000000-0005-0000-0000-0000E56B0000}"/>
    <cellStyle name="标题 4 12 9 2" xfId="13763" xr:uid="{00000000-0005-0000-0000-0000E66B0000}"/>
    <cellStyle name="标题 4 12 9 3" xfId="13768" xr:uid="{00000000-0005-0000-0000-0000E76B0000}"/>
    <cellStyle name="标题 4 13" xfId="28780" xr:uid="{00000000-0005-0000-0000-0000E86B0000}"/>
    <cellStyle name="标题 4 14" xfId="32749" xr:uid="{00000000-0005-0000-0000-0000E96B0000}"/>
    <cellStyle name="标题 4 15" xfId="28492" xr:uid="{00000000-0005-0000-0000-0000EA6B0000}"/>
    <cellStyle name="标题 4 16" xfId="28494" xr:uid="{00000000-0005-0000-0000-0000EB6B0000}"/>
    <cellStyle name="标题 4 16 10" xfId="28351" xr:uid="{00000000-0005-0000-0000-0000EC6B0000}"/>
    <cellStyle name="标题 4 16 11" xfId="28353" xr:uid="{00000000-0005-0000-0000-0000ED6B0000}"/>
    <cellStyle name="标题 4 16 12" xfId="32750" xr:uid="{00000000-0005-0000-0000-0000EE6B0000}"/>
    <cellStyle name="标题 4 16 13" xfId="32751" xr:uid="{00000000-0005-0000-0000-0000EF6B0000}"/>
    <cellStyle name="标题 4 16 14" xfId="32752" xr:uid="{00000000-0005-0000-0000-0000F06B0000}"/>
    <cellStyle name="标题 4 16 2" xfId="20710" xr:uid="{00000000-0005-0000-0000-0000F16B0000}"/>
    <cellStyle name="标题 4 16 3" xfId="19278" xr:uid="{00000000-0005-0000-0000-0000F26B0000}"/>
    <cellStyle name="标题 4 16 4" xfId="19291" xr:uid="{00000000-0005-0000-0000-0000F36B0000}"/>
    <cellStyle name="标题 4 16 5" xfId="19295" xr:uid="{00000000-0005-0000-0000-0000F46B0000}"/>
    <cellStyle name="标题 4 16 5 10" xfId="14026" xr:uid="{00000000-0005-0000-0000-0000F56B0000}"/>
    <cellStyle name="标题 4 16 5 11" xfId="14031" xr:uid="{00000000-0005-0000-0000-0000F66B0000}"/>
    <cellStyle name="标题 4 16 5 2" xfId="32753" xr:uid="{00000000-0005-0000-0000-0000F76B0000}"/>
    <cellStyle name="标题 4 16 5 2 2" xfId="29575" xr:uid="{00000000-0005-0000-0000-0000F86B0000}"/>
    <cellStyle name="标题 4 16 5 2 2 2" xfId="32754" xr:uid="{00000000-0005-0000-0000-0000F96B0000}"/>
    <cellStyle name="标题 4 16 5 2 2 3" xfId="32755" xr:uid="{00000000-0005-0000-0000-0000FA6B0000}"/>
    <cellStyle name="标题 4 16 5 2 3" xfId="29577" xr:uid="{00000000-0005-0000-0000-0000FB6B0000}"/>
    <cellStyle name="标题 4 16 5 2 4" xfId="32756" xr:uid="{00000000-0005-0000-0000-0000FC6B0000}"/>
    <cellStyle name="标题 4 16 5 2 5" xfId="32757" xr:uid="{00000000-0005-0000-0000-0000FD6B0000}"/>
    <cellStyle name="标题 4 16 5 2 6" xfId="32758" xr:uid="{00000000-0005-0000-0000-0000FE6B0000}"/>
    <cellStyle name="标题 4 16 5 2 7" xfId="32759" xr:uid="{00000000-0005-0000-0000-0000FF6B0000}"/>
    <cellStyle name="标题 4 16 5 2 8" xfId="32760" xr:uid="{00000000-0005-0000-0000-0000006C0000}"/>
    <cellStyle name="标题 4 16 5 3" xfId="32761" xr:uid="{00000000-0005-0000-0000-0000016C0000}"/>
    <cellStyle name="标题 4 16 5 4" xfId="32762" xr:uid="{00000000-0005-0000-0000-0000026C0000}"/>
    <cellStyle name="标题 4 16 5 5" xfId="32763" xr:uid="{00000000-0005-0000-0000-0000036C0000}"/>
    <cellStyle name="标题 4 16 5 6" xfId="32766" xr:uid="{00000000-0005-0000-0000-0000046C0000}"/>
    <cellStyle name="标题 4 16 5 6 2" xfId="32769" xr:uid="{00000000-0005-0000-0000-0000056C0000}"/>
    <cellStyle name="标题 4 16 5 6 3" xfId="32772" xr:uid="{00000000-0005-0000-0000-0000066C0000}"/>
    <cellStyle name="标题 4 16 5 7" xfId="32775" xr:uid="{00000000-0005-0000-0000-0000076C0000}"/>
    <cellStyle name="标题 4 16 5 8" xfId="32778" xr:uid="{00000000-0005-0000-0000-0000086C0000}"/>
    <cellStyle name="标题 4 16 5 9" xfId="32781" xr:uid="{00000000-0005-0000-0000-0000096C0000}"/>
    <cellStyle name="标题 4 16 6" xfId="19299" xr:uid="{00000000-0005-0000-0000-00000A6C0000}"/>
    <cellStyle name="标题 4 16 6 2" xfId="20001" xr:uid="{00000000-0005-0000-0000-00000B6C0000}"/>
    <cellStyle name="标题 4 16 6 2 2" xfId="32782" xr:uid="{00000000-0005-0000-0000-00000C6C0000}"/>
    <cellStyle name="标题 4 16 6 2 3" xfId="32784" xr:uid="{00000000-0005-0000-0000-00000D6C0000}"/>
    <cellStyle name="标题 4 16 6 3" xfId="32786" xr:uid="{00000000-0005-0000-0000-00000E6C0000}"/>
    <cellStyle name="标题 4 16 6 4" xfId="32788" xr:uid="{00000000-0005-0000-0000-00000F6C0000}"/>
    <cellStyle name="标题 4 16 6 5" xfId="32790" xr:uid="{00000000-0005-0000-0000-0000106C0000}"/>
    <cellStyle name="标题 4 16 6 6" xfId="32791" xr:uid="{00000000-0005-0000-0000-0000116C0000}"/>
    <cellStyle name="标题 4 16 6 7" xfId="32792" xr:uid="{00000000-0005-0000-0000-0000126C0000}"/>
    <cellStyle name="标题 4 16 6 8" xfId="32793" xr:uid="{00000000-0005-0000-0000-0000136C0000}"/>
    <cellStyle name="标题 4 16 7" xfId="32794" xr:uid="{00000000-0005-0000-0000-0000146C0000}"/>
    <cellStyle name="标题 4 16 8" xfId="32795" xr:uid="{00000000-0005-0000-0000-0000156C0000}"/>
    <cellStyle name="标题 4 16 9" xfId="32040" xr:uid="{00000000-0005-0000-0000-0000166C0000}"/>
    <cellStyle name="标题 4 16 9 2" xfId="32796" xr:uid="{00000000-0005-0000-0000-0000176C0000}"/>
    <cellStyle name="标题 4 16 9 3" xfId="32798" xr:uid="{00000000-0005-0000-0000-0000186C0000}"/>
    <cellStyle name="标题 4 17" xfId="32799" xr:uid="{00000000-0005-0000-0000-0000196C0000}"/>
    <cellStyle name="标题 4 17 10" xfId="30768" xr:uid="{00000000-0005-0000-0000-00001A6C0000}"/>
    <cellStyle name="标题 4 17 11" xfId="30774" xr:uid="{00000000-0005-0000-0000-00001B6C0000}"/>
    <cellStyle name="标题 4 17 12" xfId="30776" xr:uid="{00000000-0005-0000-0000-00001C6C0000}"/>
    <cellStyle name="标题 4 17 13" xfId="30778" xr:uid="{00000000-0005-0000-0000-00001D6C0000}"/>
    <cellStyle name="标题 4 17 14" xfId="24636" xr:uid="{00000000-0005-0000-0000-00001E6C0000}"/>
    <cellStyle name="标题 4 17 2" xfId="20727" xr:uid="{00000000-0005-0000-0000-00001F6C0000}"/>
    <cellStyle name="标题 4 17 3" xfId="7539" xr:uid="{00000000-0005-0000-0000-0000206C0000}"/>
    <cellStyle name="标题 4 17 4" xfId="7551" xr:uid="{00000000-0005-0000-0000-0000216C0000}"/>
    <cellStyle name="标题 4 17 5" xfId="20729" xr:uid="{00000000-0005-0000-0000-0000226C0000}"/>
    <cellStyle name="标题 4 17 5 10" xfId="32800" xr:uid="{00000000-0005-0000-0000-0000236C0000}"/>
    <cellStyle name="标题 4 17 5 11" xfId="32801" xr:uid="{00000000-0005-0000-0000-0000246C0000}"/>
    <cellStyle name="标题 4 17 5 2" xfId="32802" xr:uid="{00000000-0005-0000-0000-0000256C0000}"/>
    <cellStyle name="标题 4 17 5 2 2" xfId="32803" xr:uid="{00000000-0005-0000-0000-0000266C0000}"/>
    <cellStyle name="标题 4 17 5 2 2 2" xfId="32804" xr:uid="{00000000-0005-0000-0000-0000276C0000}"/>
    <cellStyle name="标题 4 17 5 2 2 3" xfId="32805" xr:uid="{00000000-0005-0000-0000-0000286C0000}"/>
    <cellStyle name="标题 4 17 5 2 3" xfId="15745" xr:uid="{00000000-0005-0000-0000-0000296C0000}"/>
    <cellStyle name="标题 4 17 5 2 4" xfId="16271" xr:uid="{00000000-0005-0000-0000-00002A6C0000}"/>
    <cellStyle name="标题 4 17 5 2 5" xfId="16278" xr:uid="{00000000-0005-0000-0000-00002B6C0000}"/>
    <cellStyle name="标题 4 17 5 2 6" xfId="16283" xr:uid="{00000000-0005-0000-0000-00002C6C0000}"/>
    <cellStyle name="标题 4 17 5 2 7" xfId="16287" xr:uid="{00000000-0005-0000-0000-00002D6C0000}"/>
    <cellStyle name="标题 4 17 5 2 8" xfId="16290" xr:uid="{00000000-0005-0000-0000-00002E6C0000}"/>
    <cellStyle name="标题 4 17 5 3" xfId="32806" xr:uid="{00000000-0005-0000-0000-00002F6C0000}"/>
    <cellStyle name="标题 4 17 5 4" xfId="32807" xr:uid="{00000000-0005-0000-0000-0000306C0000}"/>
    <cellStyle name="标题 4 17 5 5" xfId="32809" xr:uid="{00000000-0005-0000-0000-0000316C0000}"/>
    <cellStyle name="标题 4 17 5 6" xfId="32811" xr:uid="{00000000-0005-0000-0000-0000326C0000}"/>
    <cellStyle name="标题 4 17 5 6 2" xfId="32812" xr:uid="{00000000-0005-0000-0000-0000336C0000}"/>
    <cellStyle name="标题 4 17 5 6 3" xfId="15803" xr:uid="{00000000-0005-0000-0000-0000346C0000}"/>
    <cellStyle name="标题 4 17 5 7" xfId="32813" xr:uid="{00000000-0005-0000-0000-0000356C0000}"/>
    <cellStyle name="标题 4 17 5 8" xfId="32814" xr:uid="{00000000-0005-0000-0000-0000366C0000}"/>
    <cellStyle name="标题 4 17 5 9" xfId="31380" xr:uid="{00000000-0005-0000-0000-0000376C0000}"/>
    <cellStyle name="标题 4 17 6" xfId="32815" xr:uid="{00000000-0005-0000-0000-0000386C0000}"/>
    <cellStyle name="标题 4 17 6 2" xfId="24507" xr:uid="{00000000-0005-0000-0000-0000396C0000}"/>
    <cellStyle name="标题 4 17 6 2 2" xfId="31841" xr:uid="{00000000-0005-0000-0000-00003A6C0000}"/>
    <cellStyle name="标题 4 17 6 2 3" xfId="19201" xr:uid="{00000000-0005-0000-0000-00003B6C0000}"/>
    <cellStyle name="标题 4 17 6 3" xfId="4562" xr:uid="{00000000-0005-0000-0000-00003C6C0000}"/>
    <cellStyle name="标题 4 17 6 4" xfId="4585" xr:uid="{00000000-0005-0000-0000-00003D6C0000}"/>
    <cellStyle name="标题 4 17 6 5" xfId="19495" xr:uid="{00000000-0005-0000-0000-00003E6C0000}"/>
    <cellStyle name="标题 4 17 6 6" xfId="19497" xr:uid="{00000000-0005-0000-0000-00003F6C0000}"/>
    <cellStyle name="标题 4 17 6 7" xfId="19499" xr:uid="{00000000-0005-0000-0000-0000406C0000}"/>
    <cellStyle name="标题 4 17 6 8" xfId="19501" xr:uid="{00000000-0005-0000-0000-0000416C0000}"/>
    <cellStyle name="标题 4 17 7" xfId="32817" xr:uid="{00000000-0005-0000-0000-0000426C0000}"/>
    <cellStyle name="标题 4 17 8" xfId="32819" xr:uid="{00000000-0005-0000-0000-0000436C0000}"/>
    <cellStyle name="标题 4 17 9" xfId="32821" xr:uid="{00000000-0005-0000-0000-0000446C0000}"/>
    <cellStyle name="标题 4 17 9 2" xfId="32822" xr:uid="{00000000-0005-0000-0000-0000456C0000}"/>
    <cellStyle name="标题 4 17 9 3" xfId="32823" xr:uid="{00000000-0005-0000-0000-0000466C0000}"/>
    <cellStyle name="标题 4 18" xfId="32824" xr:uid="{00000000-0005-0000-0000-0000476C0000}"/>
    <cellStyle name="标题 4 18 10" xfId="28221" xr:uid="{00000000-0005-0000-0000-0000486C0000}"/>
    <cellStyle name="标题 4 18 11" xfId="28225" xr:uid="{00000000-0005-0000-0000-0000496C0000}"/>
    <cellStyle name="标题 4 18 12" xfId="29989" xr:uid="{00000000-0005-0000-0000-00004A6C0000}"/>
    <cellStyle name="标题 4 18 13" xfId="29992" xr:uid="{00000000-0005-0000-0000-00004B6C0000}"/>
    <cellStyle name="标题 4 18 14" xfId="29994" xr:uid="{00000000-0005-0000-0000-00004C6C0000}"/>
    <cellStyle name="标题 4 18 2" xfId="32825" xr:uid="{00000000-0005-0000-0000-00004D6C0000}"/>
    <cellStyle name="标题 4 18 3" xfId="32826" xr:uid="{00000000-0005-0000-0000-00004E6C0000}"/>
    <cellStyle name="标题 4 18 4" xfId="32828" xr:uid="{00000000-0005-0000-0000-00004F6C0000}"/>
    <cellStyle name="标题 4 18 5" xfId="32830" xr:uid="{00000000-0005-0000-0000-0000506C0000}"/>
    <cellStyle name="标题 4 18 5 10" xfId="32832" xr:uid="{00000000-0005-0000-0000-0000516C0000}"/>
    <cellStyle name="标题 4 18 5 11" xfId="32833" xr:uid="{00000000-0005-0000-0000-0000526C0000}"/>
    <cellStyle name="标题 4 18 5 2" xfId="3366" xr:uid="{00000000-0005-0000-0000-0000536C0000}"/>
    <cellStyle name="标题 4 18 5 2 2" xfId="25293" xr:uid="{00000000-0005-0000-0000-0000546C0000}"/>
    <cellStyle name="标题 4 18 5 2 2 2" xfId="19935" xr:uid="{00000000-0005-0000-0000-0000556C0000}"/>
    <cellStyle name="标题 4 18 5 2 2 3" xfId="19940" xr:uid="{00000000-0005-0000-0000-0000566C0000}"/>
    <cellStyle name="标题 4 18 5 2 3" xfId="19243" xr:uid="{00000000-0005-0000-0000-0000576C0000}"/>
    <cellStyle name="标题 4 18 5 2 4" xfId="19252" xr:uid="{00000000-0005-0000-0000-0000586C0000}"/>
    <cellStyle name="标题 4 18 5 2 5" xfId="19256" xr:uid="{00000000-0005-0000-0000-0000596C0000}"/>
    <cellStyle name="标题 4 18 5 2 6" xfId="19260" xr:uid="{00000000-0005-0000-0000-00005A6C0000}"/>
    <cellStyle name="标题 4 18 5 2 7" xfId="19264" xr:uid="{00000000-0005-0000-0000-00005B6C0000}"/>
    <cellStyle name="标题 4 18 5 2 8" xfId="19268" xr:uid="{00000000-0005-0000-0000-00005C6C0000}"/>
    <cellStyle name="标题 4 18 5 3" xfId="9204" xr:uid="{00000000-0005-0000-0000-00005D6C0000}"/>
    <cellStyle name="标题 4 18 5 4" xfId="32834" xr:uid="{00000000-0005-0000-0000-00005E6C0000}"/>
    <cellStyle name="标题 4 18 5 5" xfId="32835" xr:uid="{00000000-0005-0000-0000-00005F6C0000}"/>
    <cellStyle name="标题 4 18 5 6" xfId="32836" xr:uid="{00000000-0005-0000-0000-0000606C0000}"/>
    <cellStyle name="标题 4 18 5 6 2" xfId="28094" xr:uid="{00000000-0005-0000-0000-0000616C0000}"/>
    <cellStyle name="标题 4 18 5 6 3" xfId="19275" xr:uid="{00000000-0005-0000-0000-0000626C0000}"/>
    <cellStyle name="标题 4 18 5 7" xfId="32837" xr:uid="{00000000-0005-0000-0000-0000636C0000}"/>
    <cellStyle name="标题 4 18 5 8" xfId="32838" xr:uid="{00000000-0005-0000-0000-0000646C0000}"/>
    <cellStyle name="标题 4 18 5 9" xfId="16586" xr:uid="{00000000-0005-0000-0000-0000656C0000}"/>
    <cellStyle name="标题 4 18 6" xfId="10927" xr:uid="{00000000-0005-0000-0000-0000666C0000}"/>
    <cellStyle name="标题 4 18 6 2" xfId="9428" xr:uid="{00000000-0005-0000-0000-0000676C0000}"/>
    <cellStyle name="标题 4 18 6 2 2" xfId="19986" xr:uid="{00000000-0005-0000-0000-0000686C0000}"/>
    <cellStyle name="标题 4 18 6 2 3" xfId="19284" xr:uid="{00000000-0005-0000-0000-0000696C0000}"/>
    <cellStyle name="标题 4 18 6 3" xfId="9437" xr:uid="{00000000-0005-0000-0000-00006A6C0000}"/>
    <cellStyle name="标题 4 18 6 4" xfId="16393" xr:uid="{00000000-0005-0000-0000-00006B6C0000}"/>
    <cellStyle name="标题 4 18 6 5" xfId="16401" xr:uid="{00000000-0005-0000-0000-00006C6C0000}"/>
    <cellStyle name="标题 4 18 6 6" xfId="32839" xr:uid="{00000000-0005-0000-0000-00006D6C0000}"/>
    <cellStyle name="标题 4 18 6 7" xfId="32840" xr:uid="{00000000-0005-0000-0000-00006E6C0000}"/>
    <cellStyle name="标题 4 18 6 8" xfId="32841" xr:uid="{00000000-0005-0000-0000-00006F6C0000}"/>
    <cellStyle name="标题 4 18 7" xfId="10933" xr:uid="{00000000-0005-0000-0000-0000706C0000}"/>
    <cellStyle name="标题 4 18 8" xfId="32842" xr:uid="{00000000-0005-0000-0000-0000716C0000}"/>
    <cellStyle name="标题 4 18 9" xfId="32845" xr:uid="{00000000-0005-0000-0000-0000726C0000}"/>
    <cellStyle name="标题 4 18 9 2" xfId="23053" xr:uid="{00000000-0005-0000-0000-0000736C0000}"/>
    <cellStyle name="标题 4 18 9 3" xfId="23056" xr:uid="{00000000-0005-0000-0000-0000746C0000}"/>
    <cellStyle name="标题 4 19" xfId="32847" xr:uid="{00000000-0005-0000-0000-0000756C0000}"/>
    <cellStyle name="标题 4 2" xfId="20779" xr:uid="{00000000-0005-0000-0000-0000766C0000}"/>
    <cellStyle name="标题 4 2 10" xfId="19165" xr:uid="{00000000-0005-0000-0000-0000776C0000}"/>
    <cellStyle name="标题 4 2 11" xfId="19171" xr:uid="{00000000-0005-0000-0000-0000786C0000}"/>
    <cellStyle name="标题 4 2 12" xfId="19176" xr:uid="{00000000-0005-0000-0000-0000796C0000}"/>
    <cellStyle name="标题 4 2 13" xfId="19180" xr:uid="{00000000-0005-0000-0000-00007A6C0000}"/>
    <cellStyle name="标题 4 2 14" xfId="19193" xr:uid="{00000000-0005-0000-0000-00007B6C0000}"/>
    <cellStyle name="标题 4 2 15" xfId="19215" xr:uid="{00000000-0005-0000-0000-00007C6C0000}"/>
    <cellStyle name="标题 4 2 16" xfId="19219" xr:uid="{00000000-0005-0000-0000-00007D6C0000}"/>
    <cellStyle name="标题 4 2 17" xfId="19223" xr:uid="{00000000-0005-0000-0000-00007E6C0000}"/>
    <cellStyle name="标题 4 2 17 10" xfId="26705" xr:uid="{00000000-0005-0000-0000-00007F6C0000}"/>
    <cellStyle name="标题 4 2 17 11" xfId="26707" xr:uid="{00000000-0005-0000-0000-0000806C0000}"/>
    <cellStyle name="标题 4 2 17 12" xfId="26728" xr:uid="{00000000-0005-0000-0000-0000816C0000}"/>
    <cellStyle name="标题 4 2 17 13" xfId="26744" xr:uid="{00000000-0005-0000-0000-0000826C0000}"/>
    <cellStyle name="标题 4 2 17 14" xfId="16480" xr:uid="{00000000-0005-0000-0000-0000836C0000}"/>
    <cellStyle name="标题 4 2 17 2" xfId="19226" xr:uid="{00000000-0005-0000-0000-0000846C0000}"/>
    <cellStyle name="标题 4 2 17 3" xfId="19229" xr:uid="{00000000-0005-0000-0000-0000856C0000}"/>
    <cellStyle name="标题 4 2 17 4" xfId="32848" xr:uid="{00000000-0005-0000-0000-0000866C0000}"/>
    <cellStyle name="标题 4 2 17 5" xfId="32850" xr:uid="{00000000-0005-0000-0000-0000876C0000}"/>
    <cellStyle name="标题 4 2 17 5 10" xfId="30581" xr:uid="{00000000-0005-0000-0000-0000886C0000}"/>
    <cellStyle name="标题 4 2 17 5 11" xfId="30584" xr:uid="{00000000-0005-0000-0000-0000896C0000}"/>
    <cellStyle name="标题 4 2 17 5 2" xfId="16246" xr:uid="{00000000-0005-0000-0000-00008A6C0000}"/>
    <cellStyle name="标题 4 2 17 5 2 2" xfId="28563" xr:uid="{00000000-0005-0000-0000-00008B6C0000}"/>
    <cellStyle name="标题 4 2 17 5 2 2 2" xfId="28566" xr:uid="{00000000-0005-0000-0000-00008C6C0000}"/>
    <cellStyle name="标题 4 2 17 5 2 2 3" xfId="28568" xr:uid="{00000000-0005-0000-0000-00008D6C0000}"/>
    <cellStyle name="标题 4 2 17 5 2 3" xfId="28571" xr:uid="{00000000-0005-0000-0000-00008E6C0000}"/>
    <cellStyle name="标题 4 2 17 5 2 4" xfId="28575" xr:uid="{00000000-0005-0000-0000-00008F6C0000}"/>
    <cellStyle name="标题 4 2 17 5 2 5" xfId="28578" xr:uid="{00000000-0005-0000-0000-0000906C0000}"/>
    <cellStyle name="标题 4 2 17 5 2 6" xfId="32853" xr:uid="{00000000-0005-0000-0000-0000916C0000}"/>
    <cellStyle name="标题 4 2 17 5 2 7" xfId="32855" xr:uid="{00000000-0005-0000-0000-0000926C0000}"/>
    <cellStyle name="标题 4 2 17 5 2 8" xfId="32857" xr:uid="{00000000-0005-0000-0000-0000936C0000}"/>
    <cellStyle name="标题 4 2 17 5 3" xfId="16248" xr:uid="{00000000-0005-0000-0000-0000946C0000}"/>
    <cellStyle name="标题 4 2 17 5 4" xfId="1622" xr:uid="{00000000-0005-0000-0000-0000956C0000}"/>
    <cellStyle name="标题 4 2 17 5 5" xfId="441" xr:uid="{00000000-0005-0000-0000-0000966C0000}"/>
    <cellStyle name="标题 4 2 17 5 6" xfId="13463" xr:uid="{00000000-0005-0000-0000-0000976C0000}"/>
    <cellStyle name="标题 4 2 17 5 6 2" xfId="28500" xr:uid="{00000000-0005-0000-0000-0000986C0000}"/>
    <cellStyle name="标题 4 2 17 5 6 3" xfId="28511" xr:uid="{00000000-0005-0000-0000-0000996C0000}"/>
    <cellStyle name="标题 4 2 17 5 7" xfId="30969" xr:uid="{00000000-0005-0000-0000-00009A6C0000}"/>
    <cellStyle name="标题 4 2 17 5 8" xfId="30972" xr:uid="{00000000-0005-0000-0000-00009B6C0000}"/>
    <cellStyle name="标题 4 2 17 5 9" xfId="30975" xr:uid="{00000000-0005-0000-0000-00009C6C0000}"/>
    <cellStyle name="标题 4 2 17 6" xfId="32858" xr:uid="{00000000-0005-0000-0000-00009D6C0000}"/>
    <cellStyle name="标题 4 2 17 6 2" xfId="8327" xr:uid="{00000000-0005-0000-0000-00009E6C0000}"/>
    <cellStyle name="标题 4 2 17 6 2 2" xfId="32859" xr:uid="{00000000-0005-0000-0000-00009F6C0000}"/>
    <cellStyle name="标题 4 2 17 6 2 3" xfId="32860" xr:uid="{00000000-0005-0000-0000-0000A06C0000}"/>
    <cellStyle name="标题 4 2 17 6 3" xfId="8409" xr:uid="{00000000-0005-0000-0000-0000A16C0000}"/>
    <cellStyle name="标题 4 2 17 6 4" xfId="16250" xr:uid="{00000000-0005-0000-0000-0000A26C0000}"/>
    <cellStyle name="标题 4 2 17 6 5" xfId="16254" xr:uid="{00000000-0005-0000-0000-0000A36C0000}"/>
    <cellStyle name="标题 4 2 17 6 6" xfId="16258" xr:uid="{00000000-0005-0000-0000-0000A46C0000}"/>
    <cellStyle name="标题 4 2 17 6 7" xfId="26396" xr:uid="{00000000-0005-0000-0000-0000A56C0000}"/>
    <cellStyle name="标题 4 2 17 6 8" xfId="26398" xr:uid="{00000000-0005-0000-0000-0000A66C0000}"/>
    <cellStyle name="标题 4 2 17 7" xfId="32861" xr:uid="{00000000-0005-0000-0000-0000A76C0000}"/>
    <cellStyle name="标题 4 2 17 8" xfId="32863" xr:uid="{00000000-0005-0000-0000-0000A86C0000}"/>
    <cellStyle name="标题 4 2 17 9" xfId="24854" xr:uid="{00000000-0005-0000-0000-0000A96C0000}"/>
    <cellStyle name="标题 4 2 17 9 2" xfId="32865" xr:uid="{00000000-0005-0000-0000-0000AA6C0000}"/>
    <cellStyle name="标题 4 2 17 9 3" xfId="32866" xr:uid="{00000000-0005-0000-0000-0000AB6C0000}"/>
    <cellStyle name="标题 4 2 18" xfId="32868" xr:uid="{00000000-0005-0000-0000-0000AC6C0000}"/>
    <cellStyle name="标题 4 2 18 10" xfId="12019" xr:uid="{00000000-0005-0000-0000-0000AD6C0000}"/>
    <cellStyle name="标题 4 2 18 11" xfId="8484" xr:uid="{00000000-0005-0000-0000-0000AE6C0000}"/>
    <cellStyle name="标题 4 2 18 12" xfId="8489" xr:uid="{00000000-0005-0000-0000-0000AF6C0000}"/>
    <cellStyle name="标题 4 2 18 13" xfId="12024" xr:uid="{00000000-0005-0000-0000-0000B06C0000}"/>
    <cellStyle name="标题 4 2 18 14" xfId="32869" xr:uid="{00000000-0005-0000-0000-0000B16C0000}"/>
    <cellStyle name="标题 4 2 18 2" xfId="32870" xr:uid="{00000000-0005-0000-0000-0000B26C0000}"/>
    <cellStyle name="标题 4 2 18 3" xfId="32871" xr:uid="{00000000-0005-0000-0000-0000B36C0000}"/>
    <cellStyle name="标题 4 2 18 4" xfId="32872" xr:uid="{00000000-0005-0000-0000-0000B46C0000}"/>
    <cellStyle name="标题 4 2 18 5" xfId="32873" xr:uid="{00000000-0005-0000-0000-0000B56C0000}"/>
    <cellStyle name="标题 4 2 18 5 10" xfId="26995" xr:uid="{00000000-0005-0000-0000-0000B66C0000}"/>
    <cellStyle name="标题 4 2 18 5 11" xfId="26998" xr:uid="{00000000-0005-0000-0000-0000B76C0000}"/>
    <cellStyle name="标题 4 2 18 5 2" xfId="12944" xr:uid="{00000000-0005-0000-0000-0000B86C0000}"/>
    <cellStyle name="标题 4 2 18 5 2 2" xfId="31751" xr:uid="{00000000-0005-0000-0000-0000B96C0000}"/>
    <cellStyle name="标题 4 2 18 5 2 2 2" xfId="24558" xr:uid="{00000000-0005-0000-0000-0000BA6C0000}"/>
    <cellStyle name="标题 4 2 18 5 2 2 3" xfId="31418" xr:uid="{00000000-0005-0000-0000-0000BB6C0000}"/>
    <cellStyle name="标题 4 2 18 5 2 3" xfId="31754" xr:uid="{00000000-0005-0000-0000-0000BC6C0000}"/>
    <cellStyle name="标题 4 2 18 5 2 4" xfId="31757" xr:uid="{00000000-0005-0000-0000-0000BD6C0000}"/>
    <cellStyle name="标题 4 2 18 5 2 5" xfId="31760" xr:uid="{00000000-0005-0000-0000-0000BE6C0000}"/>
    <cellStyle name="标题 4 2 18 5 2 6" xfId="24357" xr:uid="{00000000-0005-0000-0000-0000BF6C0000}"/>
    <cellStyle name="标题 4 2 18 5 2 7" xfId="24362" xr:uid="{00000000-0005-0000-0000-0000C06C0000}"/>
    <cellStyle name="标题 4 2 18 5 2 8" xfId="24367" xr:uid="{00000000-0005-0000-0000-0000C16C0000}"/>
    <cellStyle name="标题 4 2 18 5 3" xfId="12949" xr:uid="{00000000-0005-0000-0000-0000C26C0000}"/>
    <cellStyle name="标题 4 2 18 5 4" xfId="12953" xr:uid="{00000000-0005-0000-0000-0000C36C0000}"/>
    <cellStyle name="标题 4 2 18 5 5" xfId="12957" xr:uid="{00000000-0005-0000-0000-0000C46C0000}"/>
    <cellStyle name="标题 4 2 18 5 6" xfId="26423" xr:uid="{00000000-0005-0000-0000-0000C56C0000}"/>
    <cellStyle name="标题 4 2 18 5 6 2" xfId="26120" xr:uid="{00000000-0005-0000-0000-0000C66C0000}"/>
    <cellStyle name="标题 4 2 18 5 6 3" xfId="26124" xr:uid="{00000000-0005-0000-0000-0000C76C0000}"/>
    <cellStyle name="标题 4 2 18 5 7" xfId="26426" xr:uid="{00000000-0005-0000-0000-0000C86C0000}"/>
    <cellStyle name="标题 4 2 18 5 8" xfId="26428" xr:uid="{00000000-0005-0000-0000-0000C96C0000}"/>
    <cellStyle name="标题 4 2 18 5 9" xfId="26430" xr:uid="{00000000-0005-0000-0000-0000CA6C0000}"/>
    <cellStyle name="标题 4 2 18 6" xfId="32874" xr:uid="{00000000-0005-0000-0000-0000CB6C0000}"/>
    <cellStyle name="标题 4 2 18 6 2" xfId="11125" xr:uid="{00000000-0005-0000-0000-0000CC6C0000}"/>
    <cellStyle name="标题 4 2 18 6 2 2" xfId="32876" xr:uid="{00000000-0005-0000-0000-0000CD6C0000}"/>
    <cellStyle name="标题 4 2 18 6 2 3" xfId="32877" xr:uid="{00000000-0005-0000-0000-0000CE6C0000}"/>
    <cellStyle name="标题 4 2 18 6 3" xfId="11128" xr:uid="{00000000-0005-0000-0000-0000CF6C0000}"/>
    <cellStyle name="标题 4 2 18 6 4" xfId="26411" xr:uid="{00000000-0005-0000-0000-0000D06C0000}"/>
    <cellStyle name="标题 4 2 18 6 5" xfId="25819" xr:uid="{00000000-0005-0000-0000-0000D16C0000}"/>
    <cellStyle name="标题 4 2 18 6 6" xfId="32878" xr:uid="{00000000-0005-0000-0000-0000D26C0000}"/>
    <cellStyle name="标题 4 2 18 6 7" xfId="32880" xr:uid="{00000000-0005-0000-0000-0000D36C0000}"/>
    <cellStyle name="标题 4 2 18 6 8" xfId="32883" xr:uid="{00000000-0005-0000-0000-0000D46C0000}"/>
    <cellStyle name="标题 4 2 18 7" xfId="5321" xr:uid="{00000000-0005-0000-0000-0000D56C0000}"/>
    <cellStyle name="标题 4 2 18 8" xfId="5326" xr:uid="{00000000-0005-0000-0000-0000D66C0000}"/>
    <cellStyle name="标题 4 2 18 9" xfId="8807" xr:uid="{00000000-0005-0000-0000-0000D76C0000}"/>
    <cellStyle name="标题 4 2 18 9 2" xfId="28814" xr:uid="{00000000-0005-0000-0000-0000D86C0000}"/>
    <cellStyle name="标题 4 2 18 9 3" xfId="28817" xr:uid="{00000000-0005-0000-0000-0000D96C0000}"/>
    <cellStyle name="标题 4 2 19" xfId="32885" xr:uid="{00000000-0005-0000-0000-0000DA6C0000}"/>
    <cellStyle name="标题 4 2 19 10" xfId="4198" xr:uid="{00000000-0005-0000-0000-0000DB6C0000}"/>
    <cellStyle name="标题 4 2 19 11" xfId="4201" xr:uid="{00000000-0005-0000-0000-0000DC6C0000}"/>
    <cellStyle name="标题 4 2 19 12" xfId="31421" xr:uid="{00000000-0005-0000-0000-0000DD6C0000}"/>
    <cellStyle name="标题 4 2 19 13" xfId="31423" xr:uid="{00000000-0005-0000-0000-0000DE6C0000}"/>
    <cellStyle name="标题 4 2 19 14" xfId="31425" xr:uid="{00000000-0005-0000-0000-0000DF6C0000}"/>
    <cellStyle name="标题 4 2 19 2" xfId="32886" xr:uid="{00000000-0005-0000-0000-0000E06C0000}"/>
    <cellStyle name="标题 4 2 19 3" xfId="29694" xr:uid="{00000000-0005-0000-0000-0000E16C0000}"/>
    <cellStyle name="标题 4 2 19 4" xfId="29696" xr:uid="{00000000-0005-0000-0000-0000E26C0000}"/>
    <cellStyle name="标题 4 2 19 5" xfId="32887" xr:uid="{00000000-0005-0000-0000-0000E36C0000}"/>
    <cellStyle name="标题 4 2 19 5 10" xfId="23985" xr:uid="{00000000-0005-0000-0000-0000E46C0000}"/>
    <cellStyle name="标题 4 2 19 5 11" xfId="23987" xr:uid="{00000000-0005-0000-0000-0000E56C0000}"/>
    <cellStyle name="标题 4 2 19 5 2" xfId="32889" xr:uid="{00000000-0005-0000-0000-0000E66C0000}"/>
    <cellStyle name="标题 4 2 19 5 2 2" xfId="18354" xr:uid="{00000000-0005-0000-0000-0000E76C0000}"/>
    <cellStyle name="标题 4 2 19 5 2 2 2" xfId="32890" xr:uid="{00000000-0005-0000-0000-0000E86C0000}"/>
    <cellStyle name="标题 4 2 19 5 2 2 3" xfId="14066" xr:uid="{00000000-0005-0000-0000-0000E96C0000}"/>
    <cellStyle name="标题 4 2 19 5 2 3" xfId="18356" xr:uid="{00000000-0005-0000-0000-0000EA6C0000}"/>
    <cellStyle name="标题 4 2 19 5 2 4" xfId="344" xr:uid="{00000000-0005-0000-0000-0000EB6C0000}"/>
    <cellStyle name="标题 4 2 19 5 2 5" xfId="332" xr:uid="{00000000-0005-0000-0000-0000EC6C0000}"/>
    <cellStyle name="标题 4 2 19 5 2 6" xfId="607" xr:uid="{00000000-0005-0000-0000-0000ED6C0000}"/>
    <cellStyle name="标题 4 2 19 5 2 7" xfId="624" xr:uid="{00000000-0005-0000-0000-0000EE6C0000}"/>
    <cellStyle name="标题 4 2 19 5 2 8" xfId="654" xr:uid="{00000000-0005-0000-0000-0000EF6C0000}"/>
    <cellStyle name="标题 4 2 19 5 3" xfId="32891" xr:uid="{00000000-0005-0000-0000-0000F06C0000}"/>
    <cellStyle name="标题 4 2 19 5 4" xfId="16910" xr:uid="{00000000-0005-0000-0000-0000F16C0000}"/>
    <cellStyle name="标题 4 2 19 5 5" xfId="15995" xr:uid="{00000000-0005-0000-0000-0000F26C0000}"/>
    <cellStyle name="标题 4 2 19 5 6" xfId="16000" xr:uid="{00000000-0005-0000-0000-0000F36C0000}"/>
    <cellStyle name="标题 4 2 19 5 6 2" xfId="26182" xr:uid="{00000000-0005-0000-0000-0000F46C0000}"/>
    <cellStyle name="标题 4 2 19 5 6 3" xfId="26184" xr:uid="{00000000-0005-0000-0000-0000F56C0000}"/>
    <cellStyle name="标题 4 2 19 5 7" xfId="13966" xr:uid="{00000000-0005-0000-0000-0000F66C0000}"/>
    <cellStyle name="标题 4 2 19 5 8" xfId="13985" xr:uid="{00000000-0005-0000-0000-0000F76C0000}"/>
    <cellStyle name="标题 4 2 19 5 9" xfId="13995" xr:uid="{00000000-0005-0000-0000-0000F86C0000}"/>
    <cellStyle name="标题 4 2 19 6" xfId="32892" xr:uid="{00000000-0005-0000-0000-0000F96C0000}"/>
    <cellStyle name="标题 4 2 19 6 2" xfId="11184" xr:uid="{00000000-0005-0000-0000-0000FA6C0000}"/>
    <cellStyle name="标题 4 2 19 6 2 2" xfId="32893" xr:uid="{00000000-0005-0000-0000-0000FB6C0000}"/>
    <cellStyle name="标题 4 2 19 6 2 3" xfId="25901" xr:uid="{00000000-0005-0000-0000-0000FC6C0000}"/>
    <cellStyle name="标题 4 2 19 6 3" xfId="11186" xr:uid="{00000000-0005-0000-0000-0000FD6C0000}"/>
    <cellStyle name="标题 4 2 19 6 4" xfId="32894" xr:uid="{00000000-0005-0000-0000-0000FE6C0000}"/>
    <cellStyle name="标题 4 2 19 6 5" xfId="32895" xr:uid="{00000000-0005-0000-0000-0000FF6C0000}"/>
    <cellStyle name="标题 4 2 19 6 6" xfId="26518" xr:uid="{00000000-0005-0000-0000-0000006D0000}"/>
    <cellStyle name="标题 4 2 19 6 7" xfId="22791" xr:uid="{00000000-0005-0000-0000-0000016D0000}"/>
    <cellStyle name="标题 4 2 19 6 8" xfId="22794" xr:uid="{00000000-0005-0000-0000-0000026D0000}"/>
    <cellStyle name="标题 4 2 19 7" xfId="31736" xr:uid="{00000000-0005-0000-0000-0000036D0000}"/>
    <cellStyle name="标题 4 2 19 8" xfId="31739" xr:uid="{00000000-0005-0000-0000-0000046D0000}"/>
    <cellStyle name="标题 4 2 19 9" xfId="31743" xr:uid="{00000000-0005-0000-0000-0000056D0000}"/>
    <cellStyle name="标题 4 2 19 9 2" xfId="28852" xr:uid="{00000000-0005-0000-0000-0000066D0000}"/>
    <cellStyle name="标题 4 2 19 9 3" xfId="28854" xr:uid="{00000000-0005-0000-0000-0000076D0000}"/>
    <cellStyle name="标题 4 2 2" xfId="6092" xr:uid="{00000000-0005-0000-0000-0000086D0000}"/>
    <cellStyle name="标题 4 2 2 10" xfId="21059" xr:uid="{00000000-0005-0000-0000-0000096D0000}"/>
    <cellStyle name="标题 4 2 2 11" xfId="21061" xr:uid="{00000000-0005-0000-0000-00000A6D0000}"/>
    <cellStyle name="标题 4 2 2 12" xfId="32896" xr:uid="{00000000-0005-0000-0000-00000B6D0000}"/>
    <cellStyle name="标题 4 2 2 13" xfId="32897" xr:uid="{00000000-0005-0000-0000-00000C6D0000}"/>
    <cellStyle name="标题 4 2 2 14" xfId="32898" xr:uid="{00000000-0005-0000-0000-00000D6D0000}"/>
    <cellStyle name="标题 4 2 2 2" xfId="32900" xr:uid="{00000000-0005-0000-0000-00000E6D0000}"/>
    <cellStyle name="标题 4 2 2 3" xfId="27430" xr:uid="{00000000-0005-0000-0000-00000F6D0000}"/>
    <cellStyle name="标题 4 2 2 4" xfId="27435" xr:uid="{00000000-0005-0000-0000-0000106D0000}"/>
    <cellStyle name="标题 4 2 2 5" xfId="27439" xr:uid="{00000000-0005-0000-0000-0000116D0000}"/>
    <cellStyle name="标题 4 2 2 6" xfId="27442" xr:uid="{00000000-0005-0000-0000-0000126D0000}"/>
    <cellStyle name="标题 4 2 2 7" xfId="27444" xr:uid="{00000000-0005-0000-0000-0000136D0000}"/>
    <cellStyle name="标题 4 2 2 8" xfId="27446" xr:uid="{00000000-0005-0000-0000-0000146D0000}"/>
    <cellStyle name="标题 4 2 2 9" xfId="27448" xr:uid="{00000000-0005-0000-0000-0000156D0000}"/>
    <cellStyle name="标题 4 2 20" xfId="19216" xr:uid="{00000000-0005-0000-0000-0000166D0000}"/>
    <cellStyle name="标题 4 2 20 10" xfId="16673" xr:uid="{00000000-0005-0000-0000-0000176D0000}"/>
    <cellStyle name="标题 4 2 20 11" xfId="16677" xr:uid="{00000000-0005-0000-0000-0000186D0000}"/>
    <cellStyle name="标题 4 2 20 12" xfId="16630" xr:uid="{00000000-0005-0000-0000-0000196D0000}"/>
    <cellStyle name="标题 4 2 20 13" xfId="16059" xr:uid="{00000000-0005-0000-0000-00001A6D0000}"/>
    <cellStyle name="标题 4 2 20 14" xfId="16104" xr:uid="{00000000-0005-0000-0000-00001B6D0000}"/>
    <cellStyle name="标题 4 2 20 2" xfId="32902" xr:uid="{00000000-0005-0000-0000-00001C6D0000}"/>
    <cellStyle name="标题 4 2 20 3" xfId="32904" xr:uid="{00000000-0005-0000-0000-00001D6D0000}"/>
    <cellStyle name="标题 4 2 20 4" xfId="32906" xr:uid="{00000000-0005-0000-0000-00001E6D0000}"/>
    <cellStyle name="标题 4 2 20 5" xfId="32908" xr:uid="{00000000-0005-0000-0000-00001F6D0000}"/>
    <cellStyle name="标题 4 2 20 5 10" xfId="12835" xr:uid="{00000000-0005-0000-0000-0000206D0000}"/>
    <cellStyle name="标题 4 2 20 5 11" xfId="12839" xr:uid="{00000000-0005-0000-0000-0000216D0000}"/>
    <cellStyle name="标题 4 2 20 5 2" xfId="32471" xr:uid="{00000000-0005-0000-0000-0000226D0000}"/>
    <cellStyle name="标题 4 2 20 5 2 2" xfId="6603" xr:uid="{00000000-0005-0000-0000-0000236D0000}"/>
    <cellStyle name="标题 4 2 20 5 2 2 2" xfId="32909" xr:uid="{00000000-0005-0000-0000-0000246D0000}"/>
    <cellStyle name="标题 4 2 20 5 2 2 3" xfId="32911" xr:uid="{00000000-0005-0000-0000-0000256D0000}"/>
    <cellStyle name="标题 4 2 20 5 2 3" xfId="6617" xr:uid="{00000000-0005-0000-0000-0000266D0000}"/>
    <cellStyle name="标题 4 2 20 5 2 4" xfId="32913" xr:uid="{00000000-0005-0000-0000-0000276D0000}"/>
    <cellStyle name="标题 4 2 20 5 2 5" xfId="6671" xr:uid="{00000000-0005-0000-0000-0000286D0000}"/>
    <cellStyle name="标题 4 2 20 5 2 6" xfId="6677" xr:uid="{00000000-0005-0000-0000-0000296D0000}"/>
    <cellStyle name="标题 4 2 20 5 2 7" xfId="6683" xr:uid="{00000000-0005-0000-0000-00002A6D0000}"/>
    <cellStyle name="标题 4 2 20 5 2 8" xfId="6689" xr:uid="{00000000-0005-0000-0000-00002B6D0000}"/>
    <cellStyle name="标题 4 2 20 5 3" xfId="10535" xr:uid="{00000000-0005-0000-0000-00002C6D0000}"/>
    <cellStyle name="标题 4 2 20 5 4" xfId="10539" xr:uid="{00000000-0005-0000-0000-00002D6D0000}"/>
    <cellStyle name="标题 4 2 20 5 5" xfId="4629" xr:uid="{00000000-0005-0000-0000-00002E6D0000}"/>
    <cellStyle name="标题 4 2 20 5 6" xfId="7601" xr:uid="{00000000-0005-0000-0000-00002F6D0000}"/>
    <cellStyle name="标题 4 2 20 5 6 2" xfId="7943" xr:uid="{00000000-0005-0000-0000-0000306D0000}"/>
    <cellStyle name="标题 4 2 20 5 6 3" xfId="7951" xr:uid="{00000000-0005-0000-0000-0000316D0000}"/>
    <cellStyle name="标题 4 2 20 5 7" xfId="7607" xr:uid="{00000000-0005-0000-0000-0000326D0000}"/>
    <cellStyle name="标题 4 2 20 5 8" xfId="6766" xr:uid="{00000000-0005-0000-0000-0000336D0000}"/>
    <cellStyle name="标题 4 2 20 5 9" xfId="6783" xr:uid="{00000000-0005-0000-0000-0000346D0000}"/>
    <cellStyle name="标题 4 2 20 6" xfId="32915" xr:uid="{00000000-0005-0000-0000-0000356D0000}"/>
    <cellStyle name="标题 4 2 20 6 2" xfId="11295" xr:uid="{00000000-0005-0000-0000-0000366D0000}"/>
    <cellStyle name="标题 4 2 20 6 2 2" xfId="17762" xr:uid="{00000000-0005-0000-0000-0000376D0000}"/>
    <cellStyle name="标题 4 2 20 6 2 3" xfId="17764" xr:uid="{00000000-0005-0000-0000-0000386D0000}"/>
    <cellStyle name="标题 4 2 20 6 3" xfId="10585" xr:uid="{00000000-0005-0000-0000-0000396D0000}"/>
    <cellStyle name="标题 4 2 20 6 4" xfId="10587" xr:uid="{00000000-0005-0000-0000-00003A6D0000}"/>
    <cellStyle name="标题 4 2 20 6 5" xfId="10589" xr:uid="{00000000-0005-0000-0000-00003B6D0000}"/>
    <cellStyle name="标题 4 2 20 6 6" xfId="10591" xr:uid="{00000000-0005-0000-0000-00003C6D0000}"/>
    <cellStyle name="标题 4 2 20 6 7" xfId="10605" xr:uid="{00000000-0005-0000-0000-00003D6D0000}"/>
    <cellStyle name="标题 4 2 20 6 8" xfId="10643" xr:uid="{00000000-0005-0000-0000-00003E6D0000}"/>
    <cellStyle name="标题 4 2 20 7" xfId="4383" xr:uid="{00000000-0005-0000-0000-00003F6D0000}"/>
    <cellStyle name="标题 4 2 20 8" xfId="4396" xr:uid="{00000000-0005-0000-0000-0000406D0000}"/>
    <cellStyle name="标题 4 2 20 9" xfId="4407" xr:uid="{00000000-0005-0000-0000-0000416D0000}"/>
    <cellStyle name="标题 4 2 20 9 2" xfId="17183" xr:uid="{00000000-0005-0000-0000-0000426D0000}"/>
    <cellStyle name="标题 4 2 20 9 3" xfId="17185" xr:uid="{00000000-0005-0000-0000-0000436D0000}"/>
    <cellStyle name="标题 4 2 3" xfId="6094" xr:uid="{00000000-0005-0000-0000-0000446D0000}"/>
    <cellStyle name="标题 4 2 3 10" xfId="32916" xr:uid="{00000000-0005-0000-0000-0000456D0000}"/>
    <cellStyle name="标题 4 2 3 11" xfId="32917" xr:uid="{00000000-0005-0000-0000-0000466D0000}"/>
    <cellStyle name="标题 4 2 3 12" xfId="32918" xr:uid="{00000000-0005-0000-0000-0000476D0000}"/>
    <cellStyle name="标题 4 2 3 13" xfId="29511" xr:uid="{00000000-0005-0000-0000-0000486D0000}"/>
    <cellStyle name="标题 4 2 3 14" xfId="29513" xr:uid="{00000000-0005-0000-0000-0000496D0000}"/>
    <cellStyle name="标题 4 2 3 2" xfId="32919" xr:uid="{00000000-0005-0000-0000-00004A6D0000}"/>
    <cellStyle name="标题 4 2 3 3" xfId="32920" xr:uid="{00000000-0005-0000-0000-00004B6D0000}"/>
    <cellStyle name="标题 4 2 3 4" xfId="32921" xr:uid="{00000000-0005-0000-0000-00004C6D0000}"/>
    <cellStyle name="标题 4 2 3 5" xfId="32922" xr:uid="{00000000-0005-0000-0000-00004D6D0000}"/>
    <cellStyle name="标题 4 2 3 6" xfId="32923" xr:uid="{00000000-0005-0000-0000-00004E6D0000}"/>
    <cellStyle name="标题 4 2 3 7" xfId="32924" xr:uid="{00000000-0005-0000-0000-00004F6D0000}"/>
    <cellStyle name="标题 4 2 3 8" xfId="32925" xr:uid="{00000000-0005-0000-0000-0000506D0000}"/>
    <cellStyle name="标题 4 2 3 9" xfId="32926" xr:uid="{00000000-0005-0000-0000-0000516D0000}"/>
    <cellStyle name="标题 4 2 4" xfId="32927" xr:uid="{00000000-0005-0000-0000-0000526D0000}"/>
    <cellStyle name="标题 4 2 4 10" xfId="32928" xr:uid="{00000000-0005-0000-0000-0000536D0000}"/>
    <cellStyle name="标题 4 2 4 11" xfId="32929" xr:uid="{00000000-0005-0000-0000-0000546D0000}"/>
    <cellStyle name="标题 4 2 4 12" xfId="32930" xr:uid="{00000000-0005-0000-0000-0000556D0000}"/>
    <cellStyle name="标题 4 2 4 13" xfId="32931" xr:uid="{00000000-0005-0000-0000-0000566D0000}"/>
    <cellStyle name="标题 4 2 4 14" xfId="8372" xr:uid="{00000000-0005-0000-0000-0000576D0000}"/>
    <cellStyle name="标题 4 2 4 2" xfId="19158" xr:uid="{00000000-0005-0000-0000-0000586D0000}"/>
    <cellStyle name="标题 4 2 4 3" xfId="19161" xr:uid="{00000000-0005-0000-0000-0000596D0000}"/>
    <cellStyle name="标题 4 2 4 4" xfId="19164" xr:uid="{00000000-0005-0000-0000-00005A6D0000}"/>
    <cellStyle name="标题 4 2 4 5" xfId="32933" xr:uid="{00000000-0005-0000-0000-00005B6D0000}"/>
    <cellStyle name="标题 4 2 4 6" xfId="5258" xr:uid="{00000000-0005-0000-0000-00005C6D0000}"/>
    <cellStyle name="标题 4 2 4 7" xfId="472" xr:uid="{00000000-0005-0000-0000-00005D6D0000}"/>
    <cellStyle name="标题 4 2 4 8" xfId="202" xr:uid="{00000000-0005-0000-0000-00005E6D0000}"/>
    <cellStyle name="标题 4 2 4 9" xfId="3788" xr:uid="{00000000-0005-0000-0000-00005F6D0000}"/>
    <cellStyle name="标题 4 2 5" xfId="22405" xr:uid="{00000000-0005-0000-0000-0000606D0000}"/>
    <cellStyle name="标题 4 2 6" xfId="22407" xr:uid="{00000000-0005-0000-0000-0000616D0000}"/>
    <cellStyle name="标题 4 2 7" xfId="22409" xr:uid="{00000000-0005-0000-0000-0000626D0000}"/>
    <cellStyle name="标题 4 2 8" xfId="22412" xr:uid="{00000000-0005-0000-0000-0000636D0000}"/>
    <cellStyle name="标题 4 2 9" xfId="22432" xr:uid="{00000000-0005-0000-0000-0000646D0000}"/>
    <cellStyle name="标题 4 3" xfId="26980" xr:uid="{00000000-0005-0000-0000-0000656D0000}"/>
    <cellStyle name="标题 4 3 10" xfId="32935" xr:uid="{00000000-0005-0000-0000-0000666D0000}"/>
    <cellStyle name="标题 4 3 11" xfId="32937" xr:uid="{00000000-0005-0000-0000-0000676D0000}"/>
    <cellStyle name="标题 4 3 12" xfId="31449" xr:uid="{00000000-0005-0000-0000-0000686D0000}"/>
    <cellStyle name="标题 4 3 13" xfId="31454" xr:uid="{00000000-0005-0000-0000-0000696D0000}"/>
    <cellStyle name="标题 4 3 14" xfId="31456" xr:uid="{00000000-0005-0000-0000-00006A6D0000}"/>
    <cellStyle name="标题 4 3 15" xfId="31458" xr:uid="{00000000-0005-0000-0000-00006B6D0000}"/>
    <cellStyle name="标题 4 3 16" xfId="31461" xr:uid="{00000000-0005-0000-0000-00006C6D0000}"/>
    <cellStyle name="标题 4 3 17" xfId="31463" xr:uid="{00000000-0005-0000-0000-00006D6D0000}"/>
    <cellStyle name="标题 4 3 17 10" xfId="32938" xr:uid="{00000000-0005-0000-0000-00006E6D0000}"/>
    <cellStyle name="标题 4 3 17 11" xfId="32939" xr:uid="{00000000-0005-0000-0000-00006F6D0000}"/>
    <cellStyle name="标题 4 3 17 12" xfId="32940" xr:uid="{00000000-0005-0000-0000-0000706D0000}"/>
    <cellStyle name="标题 4 3 17 13" xfId="32941" xr:uid="{00000000-0005-0000-0000-0000716D0000}"/>
    <cellStyle name="标题 4 3 17 14" xfId="32942" xr:uid="{00000000-0005-0000-0000-0000726D0000}"/>
    <cellStyle name="标题 4 3 17 2" xfId="32943" xr:uid="{00000000-0005-0000-0000-0000736D0000}"/>
    <cellStyle name="标题 4 3 17 2 2" xfId="32944" xr:uid="{00000000-0005-0000-0000-0000746D0000}"/>
    <cellStyle name="标题 4 3 17 3" xfId="32945" xr:uid="{00000000-0005-0000-0000-0000756D0000}"/>
    <cellStyle name="标题 4 3 17 4" xfId="32946" xr:uid="{00000000-0005-0000-0000-0000766D0000}"/>
    <cellStyle name="标题 4 3 17 5" xfId="32947" xr:uid="{00000000-0005-0000-0000-0000776D0000}"/>
    <cellStyle name="标题 4 3 17 5 10" xfId="32948" xr:uid="{00000000-0005-0000-0000-0000786D0000}"/>
    <cellStyle name="标题 4 3 17 5 11" xfId="32949" xr:uid="{00000000-0005-0000-0000-0000796D0000}"/>
    <cellStyle name="标题 4 3 17 5 2" xfId="32950" xr:uid="{00000000-0005-0000-0000-00007A6D0000}"/>
    <cellStyle name="标题 4 3 17 5 2 2" xfId="32951" xr:uid="{00000000-0005-0000-0000-00007B6D0000}"/>
    <cellStyle name="标题 4 3 17 5 2 2 2" xfId="16055" xr:uid="{00000000-0005-0000-0000-00007C6D0000}"/>
    <cellStyle name="标题 4 3 17 5 2 2 3" xfId="16115" xr:uid="{00000000-0005-0000-0000-00007D6D0000}"/>
    <cellStyle name="标题 4 3 17 5 2 3" xfId="32952" xr:uid="{00000000-0005-0000-0000-00007E6D0000}"/>
    <cellStyle name="标题 4 3 17 5 2 4" xfId="32954" xr:uid="{00000000-0005-0000-0000-00007F6D0000}"/>
    <cellStyle name="标题 4 3 17 5 2 5" xfId="32956" xr:uid="{00000000-0005-0000-0000-0000806D0000}"/>
    <cellStyle name="标题 4 3 17 5 2 6" xfId="32958" xr:uid="{00000000-0005-0000-0000-0000816D0000}"/>
    <cellStyle name="标题 4 3 17 5 2 7" xfId="32960" xr:uid="{00000000-0005-0000-0000-0000826D0000}"/>
    <cellStyle name="标题 4 3 17 5 2 8" xfId="32962" xr:uid="{00000000-0005-0000-0000-0000836D0000}"/>
    <cellStyle name="标题 4 3 17 5 3" xfId="32963" xr:uid="{00000000-0005-0000-0000-0000846D0000}"/>
    <cellStyle name="标题 4 3 17 5 4" xfId="32964" xr:uid="{00000000-0005-0000-0000-0000856D0000}"/>
    <cellStyle name="标题 4 3 17 5 5" xfId="32965" xr:uid="{00000000-0005-0000-0000-0000866D0000}"/>
    <cellStyle name="标题 4 3 17 5 6" xfId="32966" xr:uid="{00000000-0005-0000-0000-0000876D0000}"/>
    <cellStyle name="标题 4 3 17 5 6 2" xfId="32967" xr:uid="{00000000-0005-0000-0000-0000886D0000}"/>
    <cellStyle name="标题 4 3 17 5 6 3" xfId="32968" xr:uid="{00000000-0005-0000-0000-0000896D0000}"/>
    <cellStyle name="标题 4 3 17 5 7" xfId="32969" xr:uid="{00000000-0005-0000-0000-00008A6D0000}"/>
    <cellStyle name="标题 4 3 17 5 8" xfId="32970" xr:uid="{00000000-0005-0000-0000-00008B6D0000}"/>
    <cellStyle name="标题 4 3 17 5 9" xfId="27288" xr:uid="{00000000-0005-0000-0000-00008C6D0000}"/>
    <cellStyle name="标题 4 3 17 6" xfId="32972" xr:uid="{00000000-0005-0000-0000-00008D6D0000}"/>
    <cellStyle name="标题 4 3 17 6 2" xfId="1210" xr:uid="{00000000-0005-0000-0000-00008E6D0000}"/>
    <cellStyle name="标题 4 3 17 6 2 2" xfId="32973" xr:uid="{00000000-0005-0000-0000-00008F6D0000}"/>
    <cellStyle name="标题 4 3 17 6 2 3" xfId="32974" xr:uid="{00000000-0005-0000-0000-0000906D0000}"/>
    <cellStyle name="标题 4 3 17 6 3" xfId="532" xr:uid="{00000000-0005-0000-0000-0000916D0000}"/>
    <cellStyle name="标题 4 3 17 6 4" xfId="32975" xr:uid="{00000000-0005-0000-0000-0000926D0000}"/>
    <cellStyle name="标题 4 3 17 6 5" xfId="32977" xr:uid="{00000000-0005-0000-0000-0000936D0000}"/>
    <cellStyle name="标题 4 3 17 6 6" xfId="32978" xr:uid="{00000000-0005-0000-0000-0000946D0000}"/>
    <cellStyle name="标题 4 3 17 6 7" xfId="32980" xr:uid="{00000000-0005-0000-0000-0000956D0000}"/>
    <cellStyle name="标题 4 3 17 6 8" xfId="32982" xr:uid="{00000000-0005-0000-0000-0000966D0000}"/>
    <cellStyle name="标题 4 3 17 7" xfId="32983" xr:uid="{00000000-0005-0000-0000-0000976D0000}"/>
    <cellStyle name="标题 4 3 17 8" xfId="32985" xr:uid="{00000000-0005-0000-0000-0000986D0000}"/>
    <cellStyle name="标题 4 3 17 9" xfId="18477" xr:uid="{00000000-0005-0000-0000-0000996D0000}"/>
    <cellStyle name="标题 4 3 17 9 2" xfId="13540" xr:uid="{00000000-0005-0000-0000-00009A6D0000}"/>
    <cellStyle name="标题 4 3 17 9 3" xfId="32986" xr:uid="{00000000-0005-0000-0000-00009B6D0000}"/>
    <cellStyle name="标题 4 3 18" xfId="31465" xr:uid="{00000000-0005-0000-0000-00009C6D0000}"/>
    <cellStyle name="标题 4 3 18 10" xfId="27819" xr:uid="{00000000-0005-0000-0000-00009D6D0000}"/>
    <cellStyle name="标题 4 3 18 11" xfId="27823" xr:uid="{00000000-0005-0000-0000-00009E6D0000}"/>
    <cellStyle name="标题 4 3 18 12" xfId="27135" xr:uid="{00000000-0005-0000-0000-00009F6D0000}"/>
    <cellStyle name="标题 4 3 18 13" xfId="27141" xr:uid="{00000000-0005-0000-0000-0000A06D0000}"/>
    <cellStyle name="标题 4 3 18 14" xfId="27830" xr:uid="{00000000-0005-0000-0000-0000A16D0000}"/>
    <cellStyle name="标题 4 3 18 2" xfId="32987" xr:uid="{00000000-0005-0000-0000-0000A26D0000}"/>
    <cellStyle name="标题 4 3 18 3" xfId="32988" xr:uid="{00000000-0005-0000-0000-0000A36D0000}"/>
    <cellStyle name="标题 4 3 18 4" xfId="32989" xr:uid="{00000000-0005-0000-0000-0000A46D0000}"/>
    <cellStyle name="标题 4 3 18 5" xfId="32990" xr:uid="{00000000-0005-0000-0000-0000A56D0000}"/>
    <cellStyle name="标题 4 3 18 5 10" xfId="32991" xr:uid="{00000000-0005-0000-0000-0000A66D0000}"/>
    <cellStyle name="标题 4 3 18 5 11" xfId="32992" xr:uid="{00000000-0005-0000-0000-0000A76D0000}"/>
    <cellStyle name="标题 4 3 18 5 2" xfId="32993" xr:uid="{00000000-0005-0000-0000-0000A86D0000}"/>
    <cellStyle name="标题 4 3 18 5 2 2" xfId="32334" xr:uid="{00000000-0005-0000-0000-0000A96D0000}"/>
    <cellStyle name="标题 4 3 18 5 2 2 2" xfId="32994" xr:uid="{00000000-0005-0000-0000-0000AA6D0000}"/>
    <cellStyle name="标题 4 3 18 5 2 2 3" xfId="32995" xr:uid="{00000000-0005-0000-0000-0000AB6D0000}"/>
    <cellStyle name="标题 4 3 18 5 2 3" xfId="32996" xr:uid="{00000000-0005-0000-0000-0000AC6D0000}"/>
    <cellStyle name="标题 4 3 18 5 2 4" xfId="32997" xr:uid="{00000000-0005-0000-0000-0000AD6D0000}"/>
    <cellStyle name="标题 4 3 18 5 2 5" xfId="32998" xr:uid="{00000000-0005-0000-0000-0000AE6D0000}"/>
    <cellStyle name="标题 4 3 18 5 2 6" xfId="33000" xr:uid="{00000000-0005-0000-0000-0000AF6D0000}"/>
    <cellStyle name="标题 4 3 18 5 2 7" xfId="33002" xr:uid="{00000000-0005-0000-0000-0000B06D0000}"/>
    <cellStyle name="标题 4 3 18 5 2 8" xfId="31202" xr:uid="{00000000-0005-0000-0000-0000B16D0000}"/>
    <cellStyle name="标题 4 3 18 5 3" xfId="33004" xr:uid="{00000000-0005-0000-0000-0000B26D0000}"/>
    <cellStyle name="标题 4 3 18 5 4" xfId="33005" xr:uid="{00000000-0005-0000-0000-0000B36D0000}"/>
    <cellStyle name="标题 4 3 18 5 5" xfId="33006" xr:uid="{00000000-0005-0000-0000-0000B46D0000}"/>
    <cellStyle name="标题 4 3 18 5 6" xfId="33007" xr:uid="{00000000-0005-0000-0000-0000B56D0000}"/>
    <cellStyle name="标题 4 3 18 5 6 2" xfId="33008" xr:uid="{00000000-0005-0000-0000-0000B66D0000}"/>
    <cellStyle name="标题 4 3 18 5 6 3" xfId="33009" xr:uid="{00000000-0005-0000-0000-0000B76D0000}"/>
    <cellStyle name="标题 4 3 18 5 7" xfId="32430" xr:uid="{00000000-0005-0000-0000-0000B86D0000}"/>
    <cellStyle name="标题 4 3 18 5 8" xfId="32434" xr:uid="{00000000-0005-0000-0000-0000B96D0000}"/>
    <cellStyle name="标题 4 3 18 5 9" xfId="32436" xr:uid="{00000000-0005-0000-0000-0000BA6D0000}"/>
    <cellStyle name="标题 4 3 18 6" xfId="6500" xr:uid="{00000000-0005-0000-0000-0000BB6D0000}"/>
    <cellStyle name="标题 4 3 18 6 2" xfId="11491" xr:uid="{00000000-0005-0000-0000-0000BC6D0000}"/>
    <cellStyle name="标题 4 3 18 6 2 2" xfId="32359" xr:uid="{00000000-0005-0000-0000-0000BD6D0000}"/>
    <cellStyle name="标题 4 3 18 6 2 3" xfId="33010" xr:uid="{00000000-0005-0000-0000-0000BE6D0000}"/>
    <cellStyle name="标题 4 3 18 6 3" xfId="11494" xr:uid="{00000000-0005-0000-0000-0000BF6D0000}"/>
    <cellStyle name="标题 4 3 18 6 4" xfId="32171" xr:uid="{00000000-0005-0000-0000-0000C06D0000}"/>
    <cellStyle name="标题 4 3 18 6 5" xfId="32173" xr:uid="{00000000-0005-0000-0000-0000C16D0000}"/>
    <cellStyle name="标题 4 3 18 6 6" xfId="28095" xr:uid="{00000000-0005-0000-0000-0000C26D0000}"/>
    <cellStyle name="标题 4 3 18 6 7" xfId="28097" xr:uid="{00000000-0005-0000-0000-0000C36D0000}"/>
    <cellStyle name="标题 4 3 18 6 8" xfId="24553" xr:uid="{00000000-0005-0000-0000-0000C46D0000}"/>
    <cellStyle name="标题 4 3 18 7" xfId="5867" xr:uid="{00000000-0005-0000-0000-0000C56D0000}"/>
    <cellStyle name="标题 4 3 18 8" xfId="5872" xr:uid="{00000000-0005-0000-0000-0000C66D0000}"/>
    <cellStyle name="标题 4 3 18 9" xfId="33011" xr:uid="{00000000-0005-0000-0000-0000C76D0000}"/>
    <cellStyle name="标题 4 3 18 9 2" xfId="29484" xr:uid="{00000000-0005-0000-0000-0000C86D0000}"/>
    <cellStyle name="标题 4 3 18 9 3" xfId="29486" xr:uid="{00000000-0005-0000-0000-0000C96D0000}"/>
    <cellStyle name="标题 4 3 19" xfId="33012" xr:uid="{00000000-0005-0000-0000-0000CA6D0000}"/>
    <cellStyle name="标题 4 3 19 10" xfId="33013" xr:uid="{00000000-0005-0000-0000-0000CB6D0000}"/>
    <cellStyle name="标题 4 3 19 11" xfId="33014" xr:uid="{00000000-0005-0000-0000-0000CC6D0000}"/>
    <cellStyle name="标题 4 3 19 12" xfId="33015" xr:uid="{00000000-0005-0000-0000-0000CD6D0000}"/>
    <cellStyle name="标题 4 3 19 13" xfId="33016" xr:uid="{00000000-0005-0000-0000-0000CE6D0000}"/>
    <cellStyle name="标题 4 3 19 14" xfId="33017" xr:uid="{00000000-0005-0000-0000-0000CF6D0000}"/>
    <cellStyle name="标题 4 3 19 2" xfId="33018" xr:uid="{00000000-0005-0000-0000-0000D06D0000}"/>
    <cellStyle name="标题 4 3 19 3" xfId="29709" xr:uid="{00000000-0005-0000-0000-0000D16D0000}"/>
    <cellStyle name="标题 4 3 19 4" xfId="29711" xr:uid="{00000000-0005-0000-0000-0000D26D0000}"/>
    <cellStyle name="标题 4 3 19 5" xfId="33019" xr:uid="{00000000-0005-0000-0000-0000D36D0000}"/>
    <cellStyle name="标题 4 3 19 5 10" xfId="33020" xr:uid="{00000000-0005-0000-0000-0000D46D0000}"/>
    <cellStyle name="标题 4 3 19 5 11" xfId="33021" xr:uid="{00000000-0005-0000-0000-0000D56D0000}"/>
    <cellStyle name="标题 4 3 19 5 2" xfId="33022" xr:uid="{00000000-0005-0000-0000-0000D66D0000}"/>
    <cellStyle name="标题 4 3 19 5 2 2" xfId="19442" xr:uid="{00000000-0005-0000-0000-0000D76D0000}"/>
    <cellStyle name="标题 4 3 19 5 2 2 2" xfId="26966" xr:uid="{00000000-0005-0000-0000-0000D86D0000}"/>
    <cellStyle name="标题 4 3 19 5 2 2 3" xfId="26968" xr:uid="{00000000-0005-0000-0000-0000D96D0000}"/>
    <cellStyle name="标题 4 3 19 5 2 3" xfId="17672" xr:uid="{00000000-0005-0000-0000-0000DA6D0000}"/>
    <cellStyle name="标题 4 3 19 5 2 4" xfId="7767" xr:uid="{00000000-0005-0000-0000-0000DB6D0000}"/>
    <cellStyle name="标题 4 3 19 5 2 5" xfId="7778" xr:uid="{00000000-0005-0000-0000-0000DC6D0000}"/>
    <cellStyle name="标题 4 3 19 5 2 6" xfId="8751" xr:uid="{00000000-0005-0000-0000-0000DD6D0000}"/>
    <cellStyle name="标题 4 3 19 5 2 7" xfId="8757" xr:uid="{00000000-0005-0000-0000-0000DE6D0000}"/>
    <cellStyle name="标题 4 3 19 5 2 8" xfId="8762" xr:uid="{00000000-0005-0000-0000-0000DF6D0000}"/>
    <cellStyle name="标题 4 3 19 5 3" xfId="33023" xr:uid="{00000000-0005-0000-0000-0000E06D0000}"/>
    <cellStyle name="标题 4 3 19 5 4" xfId="33024" xr:uid="{00000000-0005-0000-0000-0000E16D0000}"/>
    <cellStyle name="标题 4 3 19 5 5" xfId="4806" xr:uid="{00000000-0005-0000-0000-0000E26D0000}"/>
    <cellStyle name="标题 4 3 19 5 6" xfId="4937" xr:uid="{00000000-0005-0000-0000-0000E36D0000}"/>
    <cellStyle name="标题 4 3 19 5 6 2" xfId="20223" xr:uid="{00000000-0005-0000-0000-0000E46D0000}"/>
    <cellStyle name="标题 4 3 19 5 6 3" xfId="20226" xr:uid="{00000000-0005-0000-0000-0000E56D0000}"/>
    <cellStyle name="标题 4 3 19 5 7" xfId="2562" xr:uid="{00000000-0005-0000-0000-0000E66D0000}"/>
    <cellStyle name="标题 4 3 19 5 8" xfId="14394" xr:uid="{00000000-0005-0000-0000-0000E76D0000}"/>
    <cellStyle name="标题 4 3 19 5 9" xfId="14397" xr:uid="{00000000-0005-0000-0000-0000E86D0000}"/>
    <cellStyle name="标题 4 3 19 6" xfId="33025" xr:uid="{00000000-0005-0000-0000-0000E96D0000}"/>
    <cellStyle name="标题 4 3 19 6 2" xfId="11582" xr:uid="{00000000-0005-0000-0000-0000EA6D0000}"/>
    <cellStyle name="标题 4 3 19 6 2 2" xfId="33026" xr:uid="{00000000-0005-0000-0000-0000EB6D0000}"/>
    <cellStyle name="标题 4 3 19 6 2 3" xfId="33027" xr:uid="{00000000-0005-0000-0000-0000EC6D0000}"/>
    <cellStyle name="标题 4 3 19 6 3" xfId="11584" xr:uid="{00000000-0005-0000-0000-0000ED6D0000}"/>
    <cellStyle name="标题 4 3 19 6 4" xfId="33028" xr:uid="{00000000-0005-0000-0000-0000EE6D0000}"/>
    <cellStyle name="标题 4 3 19 6 5" xfId="33029" xr:uid="{00000000-0005-0000-0000-0000EF6D0000}"/>
    <cellStyle name="标题 4 3 19 6 6" xfId="33030" xr:uid="{00000000-0005-0000-0000-0000F06D0000}"/>
    <cellStyle name="标题 4 3 19 6 7" xfId="33031" xr:uid="{00000000-0005-0000-0000-0000F16D0000}"/>
    <cellStyle name="标题 4 3 19 6 8" xfId="33032" xr:uid="{00000000-0005-0000-0000-0000F26D0000}"/>
    <cellStyle name="标题 4 3 19 7" xfId="33033" xr:uid="{00000000-0005-0000-0000-0000F36D0000}"/>
    <cellStyle name="标题 4 3 19 8" xfId="33034" xr:uid="{00000000-0005-0000-0000-0000F46D0000}"/>
    <cellStyle name="标题 4 3 19 9" xfId="33035" xr:uid="{00000000-0005-0000-0000-0000F56D0000}"/>
    <cellStyle name="标题 4 3 19 9 2" xfId="16443" xr:uid="{00000000-0005-0000-0000-0000F66D0000}"/>
    <cellStyle name="标题 4 3 19 9 3" xfId="29535" xr:uid="{00000000-0005-0000-0000-0000F76D0000}"/>
    <cellStyle name="标题 4 3 2" xfId="26982" xr:uid="{00000000-0005-0000-0000-0000F86D0000}"/>
    <cellStyle name="标题 4 3 2 10" xfId="33036" xr:uid="{00000000-0005-0000-0000-0000F96D0000}"/>
    <cellStyle name="标题 4 3 2 11" xfId="33037" xr:uid="{00000000-0005-0000-0000-0000FA6D0000}"/>
    <cellStyle name="标题 4 3 2 12" xfId="33039" xr:uid="{00000000-0005-0000-0000-0000FB6D0000}"/>
    <cellStyle name="标题 4 3 2 13" xfId="33041" xr:uid="{00000000-0005-0000-0000-0000FC6D0000}"/>
    <cellStyle name="标题 4 3 2 14" xfId="33043" xr:uid="{00000000-0005-0000-0000-0000FD6D0000}"/>
    <cellStyle name="标题 4 3 2 2" xfId="33044" xr:uid="{00000000-0005-0000-0000-0000FE6D0000}"/>
    <cellStyle name="标题 4 3 2 3" xfId="27454" xr:uid="{00000000-0005-0000-0000-0000FF6D0000}"/>
    <cellStyle name="标题 4 3 2 4" xfId="4820" xr:uid="{00000000-0005-0000-0000-0000006E0000}"/>
    <cellStyle name="标题 4 3 2 5" xfId="4823" xr:uid="{00000000-0005-0000-0000-0000016E0000}"/>
    <cellStyle name="标题 4 3 2 6" xfId="33045" xr:uid="{00000000-0005-0000-0000-0000026E0000}"/>
    <cellStyle name="标题 4 3 2 7" xfId="33046" xr:uid="{00000000-0005-0000-0000-0000036E0000}"/>
    <cellStyle name="标题 4 3 2 8" xfId="33047" xr:uid="{00000000-0005-0000-0000-0000046E0000}"/>
    <cellStyle name="标题 4 3 2 9" xfId="33048" xr:uid="{00000000-0005-0000-0000-0000056E0000}"/>
    <cellStyle name="标题 4 3 20" xfId="31459" xr:uid="{00000000-0005-0000-0000-0000066E0000}"/>
    <cellStyle name="标题 4 3 20 10" xfId="33049" xr:uid="{00000000-0005-0000-0000-0000076E0000}"/>
    <cellStyle name="标题 4 3 20 11" xfId="33051" xr:uid="{00000000-0005-0000-0000-0000086E0000}"/>
    <cellStyle name="标题 4 3 20 12" xfId="33053" xr:uid="{00000000-0005-0000-0000-0000096E0000}"/>
    <cellStyle name="标题 4 3 20 13" xfId="33055" xr:uid="{00000000-0005-0000-0000-00000A6E0000}"/>
    <cellStyle name="标题 4 3 20 14" xfId="33056" xr:uid="{00000000-0005-0000-0000-00000B6E0000}"/>
    <cellStyle name="标题 4 3 20 2" xfId="28690" xr:uid="{00000000-0005-0000-0000-00000C6E0000}"/>
    <cellStyle name="标题 4 3 20 3" xfId="33058" xr:uid="{00000000-0005-0000-0000-00000D6E0000}"/>
    <cellStyle name="标题 4 3 20 4" xfId="33060" xr:uid="{00000000-0005-0000-0000-00000E6E0000}"/>
    <cellStyle name="标题 4 3 20 5" xfId="33062" xr:uid="{00000000-0005-0000-0000-00000F6E0000}"/>
    <cellStyle name="标题 4 3 20 5 10" xfId="17767" xr:uid="{00000000-0005-0000-0000-0000106E0000}"/>
    <cellStyle name="标题 4 3 20 5 11" xfId="18030" xr:uid="{00000000-0005-0000-0000-0000116E0000}"/>
    <cellStyle name="标题 4 3 20 5 2" xfId="28058" xr:uid="{00000000-0005-0000-0000-0000126E0000}"/>
    <cellStyle name="标题 4 3 20 5 2 2" xfId="33064" xr:uid="{00000000-0005-0000-0000-0000136E0000}"/>
    <cellStyle name="标题 4 3 20 5 2 2 2" xfId="33065" xr:uid="{00000000-0005-0000-0000-0000146E0000}"/>
    <cellStyle name="标题 4 3 20 5 2 2 3" xfId="33066" xr:uid="{00000000-0005-0000-0000-0000156E0000}"/>
    <cellStyle name="标题 4 3 20 5 2 3" xfId="33068" xr:uid="{00000000-0005-0000-0000-0000166E0000}"/>
    <cellStyle name="标题 4 3 20 5 2 4" xfId="33071" xr:uid="{00000000-0005-0000-0000-0000176E0000}"/>
    <cellStyle name="标题 4 3 20 5 2 5" xfId="33074" xr:uid="{00000000-0005-0000-0000-0000186E0000}"/>
    <cellStyle name="标题 4 3 20 5 2 6" xfId="33076" xr:uid="{00000000-0005-0000-0000-0000196E0000}"/>
    <cellStyle name="标题 4 3 20 5 2 7" xfId="33078" xr:uid="{00000000-0005-0000-0000-00001A6E0000}"/>
    <cellStyle name="标题 4 3 20 5 2 8" xfId="33081" xr:uid="{00000000-0005-0000-0000-00001B6E0000}"/>
    <cellStyle name="标题 4 3 20 5 3" xfId="28060" xr:uid="{00000000-0005-0000-0000-00001C6E0000}"/>
    <cellStyle name="标题 4 3 20 5 4" xfId="28062" xr:uid="{00000000-0005-0000-0000-00001D6E0000}"/>
    <cellStyle name="标题 4 3 20 5 5" xfId="28064" xr:uid="{00000000-0005-0000-0000-00001E6E0000}"/>
    <cellStyle name="标题 4 3 20 5 6" xfId="28105" xr:uid="{00000000-0005-0000-0000-00001F6E0000}"/>
    <cellStyle name="标题 4 3 20 5 6 2" xfId="28112" xr:uid="{00000000-0005-0000-0000-0000206E0000}"/>
    <cellStyle name="标题 4 3 20 5 6 3" xfId="28114" xr:uid="{00000000-0005-0000-0000-0000216E0000}"/>
    <cellStyle name="标题 4 3 20 5 7" xfId="28163" xr:uid="{00000000-0005-0000-0000-0000226E0000}"/>
    <cellStyle name="标题 4 3 20 5 8" xfId="28202" xr:uid="{00000000-0005-0000-0000-0000236E0000}"/>
    <cellStyle name="标题 4 3 20 5 9" xfId="33082" xr:uid="{00000000-0005-0000-0000-0000246E0000}"/>
    <cellStyle name="标题 4 3 20 6" xfId="33084" xr:uid="{00000000-0005-0000-0000-0000256E0000}"/>
    <cellStyle name="标题 4 3 20 6 2" xfId="11619" xr:uid="{00000000-0005-0000-0000-0000266E0000}"/>
    <cellStyle name="标题 4 3 20 6 2 2" xfId="33086" xr:uid="{00000000-0005-0000-0000-0000276E0000}"/>
    <cellStyle name="标题 4 3 20 6 2 3" xfId="33088" xr:uid="{00000000-0005-0000-0000-0000286E0000}"/>
    <cellStyle name="标题 4 3 20 6 3" xfId="11627" xr:uid="{00000000-0005-0000-0000-0000296E0000}"/>
    <cellStyle name="标题 4 3 20 6 4" xfId="33089" xr:uid="{00000000-0005-0000-0000-00002A6E0000}"/>
    <cellStyle name="标题 4 3 20 6 5" xfId="33091" xr:uid="{00000000-0005-0000-0000-00002B6E0000}"/>
    <cellStyle name="标题 4 3 20 6 6" xfId="33093" xr:uid="{00000000-0005-0000-0000-00002C6E0000}"/>
    <cellStyle name="标题 4 3 20 6 7" xfId="33094" xr:uid="{00000000-0005-0000-0000-00002D6E0000}"/>
    <cellStyle name="标题 4 3 20 6 8" xfId="31828" xr:uid="{00000000-0005-0000-0000-00002E6E0000}"/>
    <cellStyle name="标题 4 3 20 7" xfId="5788" xr:uid="{00000000-0005-0000-0000-00002F6E0000}"/>
    <cellStyle name="标题 4 3 20 8" xfId="5816" xr:uid="{00000000-0005-0000-0000-0000306E0000}"/>
    <cellStyle name="标题 4 3 20 9" xfId="5825" xr:uid="{00000000-0005-0000-0000-0000316E0000}"/>
    <cellStyle name="标题 4 3 20 9 2" xfId="33095" xr:uid="{00000000-0005-0000-0000-0000326E0000}"/>
    <cellStyle name="标题 4 3 20 9 3" xfId="33096" xr:uid="{00000000-0005-0000-0000-0000336E0000}"/>
    <cellStyle name="标题 4 3 3" xfId="26984" xr:uid="{00000000-0005-0000-0000-0000346E0000}"/>
    <cellStyle name="标题 4 3 3 10" xfId="7111" xr:uid="{00000000-0005-0000-0000-0000356E0000}"/>
    <cellStyle name="标题 4 3 3 11" xfId="19157" xr:uid="{00000000-0005-0000-0000-0000366E0000}"/>
    <cellStyle name="标题 4 3 3 12" xfId="19160" xr:uid="{00000000-0005-0000-0000-0000376E0000}"/>
    <cellStyle name="标题 4 3 3 13" xfId="19163" xr:uid="{00000000-0005-0000-0000-0000386E0000}"/>
    <cellStyle name="标题 4 3 3 14" xfId="32932" xr:uid="{00000000-0005-0000-0000-0000396E0000}"/>
    <cellStyle name="标题 4 3 3 2" xfId="27426" xr:uid="{00000000-0005-0000-0000-00003A6E0000}"/>
    <cellStyle name="标题 4 3 3 3" xfId="5261" xr:uid="{00000000-0005-0000-0000-00003B6E0000}"/>
    <cellStyle name="标题 4 3 3 4" xfId="3555" xr:uid="{00000000-0005-0000-0000-00003C6E0000}"/>
    <cellStyle name="标题 4 3 3 5" xfId="3560" xr:uid="{00000000-0005-0000-0000-00003D6E0000}"/>
    <cellStyle name="标题 4 3 3 6" xfId="3821" xr:uid="{00000000-0005-0000-0000-00003E6E0000}"/>
    <cellStyle name="标题 4 3 3 7" xfId="5278" xr:uid="{00000000-0005-0000-0000-00003F6E0000}"/>
    <cellStyle name="标题 4 3 3 8" xfId="5297" xr:uid="{00000000-0005-0000-0000-0000406E0000}"/>
    <cellStyle name="标题 4 3 3 9" xfId="5309" xr:uid="{00000000-0005-0000-0000-0000416E0000}"/>
    <cellStyle name="标题 4 3 4" xfId="33097" xr:uid="{00000000-0005-0000-0000-0000426E0000}"/>
    <cellStyle name="标题 4 3 4 10" xfId="4921" xr:uid="{00000000-0005-0000-0000-0000436E0000}"/>
    <cellStyle name="标题 4 3 4 11" xfId="5222" xr:uid="{00000000-0005-0000-0000-0000446E0000}"/>
    <cellStyle name="标题 4 3 4 12" xfId="2843" xr:uid="{00000000-0005-0000-0000-0000456E0000}"/>
    <cellStyle name="标题 4 3 4 13" xfId="2865" xr:uid="{00000000-0005-0000-0000-0000466E0000}"/>
    <cellStyle name="标题 4 3 4 14" xfId="2882" xr:uid="{00000000-0005-0000-0000-0000476E0000}"/>
    <cellStyle name="标题 4 3 4 2" xfId="7186" xr:uid="{00000000-0005-0000-0000-0000486E0000}"/>
    <cellStyle name="标题 4 3 4 3" xfId="7189" xr:uid="{00000000-0005-0000-0000-0000496E0000}"/>
    <cellStyle name="标题 4 3 4 4" xfId="33098" xr:uid="{00000000-0005-0000-0000-00004A6E0000}"/>
    <cellStyle name="标题 4 3 4 5" xfId="33099" xr:uid="{00000000-0005-0000-0000-00004B6E0000}"/>
    <cellStyle name="标题 4 3 4 6" xfId="5613" xr:uid="{00000000-0005-0000-0000-00004C6E0000}"/>
    <cellStyle name="标题 4 3 4 7" xfId="3939" xr:uid="{00000000-0005-0000-0000-00004D6E0000}"/>
    <cellStyle name="标题 4 3 4 8" xfId="4023" xr:uid="{00000000-0005-0000-0000-00004E6E0000}"/>
    <cellStyle name="标题 4 3 4 9" xfId="4032" xr:uid="{00000000-0005-0000-0000-00004F6E0000}"/>
    <cellStyle name="标题 4 3 5" xfId="22439" xr:uid="{00000000-0005-0000-0000-0000506E0000}"/>
    <cellStyle name="标题 4 3 6" xfId="13398" xr:uid="{00000000-0005-0000-0000-0000516E0000}"/>
    <cellStyle name="标题 4 3 7" xfId="13402" xr:uid="{00000000-0005-0000-0000-0000526E0000}"/>
    <cellStyle name="标题 4 3 8" xfId="13407" xr:uid="{00000000-0005-0000-0000-0000536E0000}"/>
    <cellStyle name="标题 4 3 9" xfId="13413" xr:uid="{00000000-0005-0000-0000-0000546E0000}"/>
    <cellStyle name="标题 4 4" xfId="26986" xr:uid="{00000000-0005-0000-0000-0000556E0000}"/>
    <cellStyle name="标题 4 4 10" xfId="32022" xr:uid="{00000000-0005-0000-0000-0000566E0000}"/>
    <cellStyle name="标题 4 4 11" xfId="32025" xr:uid="{00000000-0005-0000-0000-0000576E0000}"/>
    <cellStyle name="标题 4 4 12" xfId="32027" xr:uid="{00000000-0005-0000-0000-0000586E0000}"/>
    <cellStyle name="标题 4 4 13" xfId="1380" xr:uid="{00000000-0005-0000-0000-0000596E0000}"/>
    <cellStyle name="标题 4 4 14" xfId="1392" xr:uid="{00000000-0005-0000-0000-00005A6E0000}"/>
    <cellStyle name="标题 4 4 15" xfId="1406" xr:uid="{00000000-0005-0000-0000-00005B6E0000}"/>
    <cellStyle name="标题 4 4 16" xfId="1421" xr:uid="{00000000-0005-0000-0000-00005C6E0000}"/>
    <cellStyle name="标题 4 4 17" xfId="1684" xr:uid="{00000000-0005-0000-0000-00005D6E0000}"/>
    <cellStyle name="标题 4 4 17 10" xfId="33100" xr:uid="{00000000-0005-0000-0000-00005E6E0000}"/>
    <cellStyle name="标题 4 4 17 11" xfId="33101" xr:uid="{00000000-0005-0000-0000-00005F6E0000}"/>
    <cellStyle name="标题 4 4 17 12" xfId="33102" xr:uid="{00000000-0005-0000-0000-0000606E0000}"/>
    <cellStyle name="标题 4 4 17 13" xfId="32934" xr:uid="{00000000-0005-0000-0000-0000616E0000}"/>
    <cellStyle name="标题 4 4 17 14" xfId="32936" xr:uid="{00000000-0005-0000-0000-0000626E0000}"/>
    <cellStyle name="标题 4 4 17 2" xfId="1695" xr:uid="{00000000-0005-0000-0000-0000636E0000}"/>
    <cellStyle name="标题 4 4 17 3" xfId="1748" xr:uid="{00000000-0005-0000-0000-0000646E0000}"/>
    <cellStyle name="标题 4 4 17 4" xfId="1758" xr:uid="{00000000-0005-0000-0000-0000656E0000}"/>
    <cellStyle name="标题 4 4 17 5" xfId="1768" xr:uid="{00000000-0005-0000-0000-0000666E0000}"/>
    <cellStyle name="标题 4 4 17 5 10" xfId="5716" xr:uid="{00000000-0005-0000-0000-0000676E0000}"/>
    <cellStyle name="标题 4 4 17 5 11" xfId="5730" xr:uid="{00000000-0005-0000-0000-0000686E0000}"/>
    <cellStyle name="标题 4 4 17 5 2" xfId="33103" xr:uid="{00000000-0005-0000-0000-0000696E0000}"/>
    <cellStyle name="标题 4 4 17 5 2 2" xfId="33104" xr:uid="{00000000-0005-0000-0000-00006A6E0000}"/>
    <cellStyle name="标题 4 4 17 5 2 2 2" xfId="32310" xr:uid="{00000000-0005-0000-0000-00006B6E0000}"/>
    <cellStyle name="标题 4 4 17 5 2 2 3" xfId="32312" xr:uid="{00000000-0005-0000-0000-00006C6E0000}"/>
    <cellStyle name="标题 4 4 17 5 2 3" xfId="2058" xr:uid="{00000000-0005-0000-0000-00006D6E0000}"/>
    <cellStyle name="标题 4 4 17 5 2 4" xfId="2128" xr:uid="{00000000-0005-0000-0000-00006E6E0000}"/>
    <cellStyle name="标题 4 4 17 5 2 5" xfId="33106" xr:uid="{00000000-0005-0000-0000-00006F6E0000}"/>
    <cellStyle name="标题 4 4 17 5 2 6" xfId="33109" xr:uid="{00000000-0005-0000-0000-0000706E0000}"/>
    <cellStyle name="标题 4 4 17 5 2 7" xfId="33112" xr:uid="{00000000-0005-0000-0000-0000716E0000}"/>
    <cellStyle name="标题 4 4 17 5 2 8" xfId="33116" xr:uid="{00000000-0005-0000-0000-0000726E0000}"/>
    <cellStyle name="标题 4 4 17 5 3" xfId="33117" xr:uid="{00000000-0005-0000-0000-0000736E0000}"/>
    <cellStyle name="标题 4 4 17 5 4" xfId="33118" xr:uid="{00000000-0005-0000-0000-0000746E0000}"/>
    <cellStyle name="标题 4 4 17 5 5" xfId="33119" xr:uid="{00000000-0005-0000-0000-0000756E0000}"/>
    <cellStyle name="标题 4 4 17 5 6" xfId="33120" xr:uid="{00000000-0005-0000-0000-0000766E0000}"/>
    <cellStyle name="标题 4 4 17 5 6 2" xfId="33121" xr:uid="{00000000-0005-0000-0000-0000776E0000}"/>
    <cellStyle name="标题 4 4 17 5 6 3" xfId="33122" xr:uid="{00000000-0005-0000-0000-0000786E0000}"/>
    <cellStyle name="标题 4 4 17 5 7" xfId="33123" xr:uid="{00000000-0005-0000-0000-0000796E0000}"/>
    <cellStyle name="标题 4 4 17 5 8" xfId="33124" xr:uid="{00000000-0005-0000-0000-00007A6E0000}"/>
    <cellStyle name="标题 4 4 17 5 9" xfId="33125" xr:uid="{00000000-0005-0000-0000-00007B6E0000}"/>
    <cellStyle name="标题 4 4 17 6" xfId="390" xr:uid="{00000000-0005-0000-0000-00007C6E0000}"/>
    <cellStyle name="标题 4 4 17 6 2" xfId="33126" xr:uid="{00000000-0005-0000-0000-00007D6E0000}"/>
    <cellStyle name="标题 4 4 17 6 2 2" xfId="33127" xr:uid="{00000000-0005-0000-0000-00007E6E0000}"/>
    <cellStyle name="标题 4 4 17 6 2 3" xfId="33128" xr:uid="{00000000-0005-0000-0000-00007F6E0000}"/>
    <cellStyle name="标题 4 4 17 6 3" xfId="33129" xr:uid="{00000000-0005-0000-0000-0000806E0000}"/>
    <cellStyle name="标题 4 4 17 6 4" xfId="27362" xr:uid="{00000000-0005-0000-0000-0000816E0000}"/>
    <cellStyle name="标题 4 4 17 6 5" xfId="27364" xr:uid="{00000000-0005-0000-0000-0000826E0000}"/>
    <cellStyle name="标题 4 4 17 6 6" xfId="33130" xr:uid="{00000000-0005-0000-0000-0000836E0000}"/>
    <cellStyle name="标题 4 4 17 6 7" xfId="33131" xr:uid="{00000000-0005-0000-0000-0000846E0000}"/>
    <cellStyle name="标题 4 4 17 6 8" xfId="14380" xr:uid="{00000000-0005-0000-0000-0000856E0000}"/>
    <cellStyle name="标题 4 4 17 7" xfId="1777" xr:uid="{00000000-0005-0000-0000-0000866E0000}"/>
    <cellStyle name="标题 4 4 17 8" xfId="1781" xr:uid="{00000000-0005-0000-0000-0000876E0000}"/>
    <cellStyle name="标题 4 4 17 9" xfId="33132" xr:uid="{00000000-0005-0000-0000-0000886E0000}"/>
    <cellStyle name="标题 4 4 17 9 2" xfId="7906" xr:uid="{00000000-0005-0000-0000-0000896E0000}"/>
    <cellStyle name="标题 4 4 17 9 3" xfId="7911" xr:uid="{00000000-0005-0000-0000-00008A6E0000}"/>
    <cellStyle name="标题 4 4 18" xfId="1793" xr:uid="{00000000-0005-0000-0000-00008B6E0000}"/>
    <cellStyle name="标题 4 4 18 10" xfId="32745" xr:uid="{00000000-0005-0000-0000-00008C6E0000}"/>
    <cellStyle name="标题 4 4 18 11" xfId="32747" xr:uid="{00000000-0005-0000-0000-00008D6E0000}"/>
    <cellStyle name="标题 4 4 18 12" xfId="32013" xr:uid="{00000000-0005-0000-0000-00008E6E0000}"/>
    <cellStyle name="标题 4 4 18 13" xfId="32020" xr:uid="{00000000-0005-0000-0000-00008F6E0000}"/>
    <cellStyle name="标题 4 4 18 14" xfId="32023" xr:uid="{00000000-0005-0000-0000-0000906E0000}"/>
    <cellStyle name="标题 4 4 18 2" xfId="15236" xr:uid="{00000000-0005-0000-0000-0000916E0000}"/>
    <cellStyle name="标题 4 4 18 3" xfId="33133" xr:uid="{00000000-0005-0000-0000-0000926E0000}"/>
    <cellStyle name="标题 4 4 18 4" xfId="33135" xr:uid="{00000000-0005-0000-0000-0000936E0000}"/>
    <cellStyle name="标题 4 4 18 5" xfId="33137" xr:uid="{00000000-0005-0000-0000-0000946E0000}"/>
    <cellStyle name="标题 4 4 18 5 10" xfId="33138" xr:uid="{00000000-0005-0000-0000-0000956E0000}"/>
    <cellStyle name="标题 4 4 18 5 11" xfId="33140" xr:uid="{00000000-0005-0000-0000-0000966E0000}"/>
    <cellStyle name="标题 4 4 18 5 2" xfId="20656" xr:uid="{00000000-0005-0000-0000-0000976E0000}"/>
    <cellStyle name="标题 4 4 18 5 2 2" xfId="20658" xr:uid="{00000000-0005-0000-0000-0000986E0000}"/>
    <cellStyle name="标题 4 4 18 5 2 2 2" xfId="20662" xr:uid="{00000000-0005-0000-0000-0000996E0000}"/>
    <cellStyle name="标题 4 4 18 5 2 2 3" xfId="20664" xr:uid="{00000000-0005-0000-0000-00009A6E0000}"/>
    <cellStyle name="标题 4 4 18 5 2 3" xfId="20667" xr:uid="{00000000-0005-0000-0000-00009B6E0000}"/>
    <cellStyle name="标题 4 4 18 5 2 4" xfId="20670" xr:uid="{00000000-0005-0000-0000-00009C6E0000}"/>
    <cellStyle name="标题 4 4 18 5 2 5" xfId="20673" xr:uid="{00000000-0005-0000-0000-00009D6E0000}"/>
    <cellStyle name="标题 4 4 18 5 2 6" xfId="20675" xr:uid="{00000000-0005-0000-0000-00009E6E0000}"/>
    <cellStyle name="标题 4 4 18 5 2 7" xfId="20677" xr:uid="{00000000-0005-0000-0000-00009F6E0000}"/>
    <cellStyle name="标题 4 4 18 5 2 8" xfId="20679" xr:uid="{00000000-0005-0000-0000-0000A06E0000}"/>
    <cellStyle name="标题 4 4 18 5 3" xfId="20682" xr:uid="{00000000-0005-0000-0000-0000A16E0000}"/>
    <cellStyle name="标题 4 4 18 5 4" xfId="20684" xr:uid="{00000000-0005-0000-0000-0000A26E0000}"/>
    <cellStyle name="标题 4 4 18 5 5" xfId="1323" xr:uid="{00000000-0005-0000-0000-0000A36E0000}"/>
    <cellStyle name="标题 4 4 18 5 6" xfId="1334" xr:uid="{00000000-0005-0000-0000-0000A46E0000}"/>
    <cellStyle name="标题 4 4 18 5 6 2" xfId="33142" xr:uid="{00000000-0005-0000-0000-0000A56E0000}"/>
    <cellStyle name="标题 4 4 18 5 6 3" xfId="33144" xr:uid="{00000000-0005-0000-0000-0000A66E0000}"/>
    <cellStyle name="标题 4 4 18 5 7" xfId="1346" xr:uid="{00000000-0005-0000-0000-0000A76E0000}"/>
    <cellStyle name="标题 4 4 18 5 8" xfId="262" xr:uid="{00000000-0005-0000-0000-0000A86E0000}"/>
    <cellStyle name="标题 4 4 18 5 9" xfId="1365" xr:uid="{00000000-0005-0000-0000-0000A96E0000}"/>
    <cellStyle name="标题 4 4 18 6" xfId="33147" xr:uid="{00000000-0005-0000-0000-0000AA6E0000}"/>
    <cellStyle name="标题 4 4 18 6 2" xfId="20714" xr:uid="{00000000-0005-0000-0000-0000AB6E0000}"/>
    <cellStyle name="标题 4 4 18 6 2 2" xfId="20717" xr:uid="{00000000-0005-0000-0000-0000AC6E0000}"/>
    <cellStyle name="标题 4 4 18 6 2 3" xfId="20724" xr:uid="{00000000-0005-0000-0000-0000AD6E0000}"/>
    <cellStyle name="标题 4 4 18 6 3" xfId="20731" xr:uid="{00000000-0005-0000-0000-0000AE6E0000}"/>
    <cellStyle name="标题 4 4 18 6 4" xfId="20735" xr:uid="{00000000-0005-0000-0000-0000AF6E0000}"/>
    <cellStyle name="标题 4 4 18 6 5" xfId="13972" xr:uid="{00000000-0005-0000-0000-0000B06E0000}"/>
    <cellStyle name="标题 4 4 18 6 6" xfId="13991" xr:uid="{00000000-0005-0000-0000-0000B16E0000}"/>
    <cellStyle name="标题 4 4 18 6 7" xfId="14002" xr:uid="{00000000-0005-0000-0000-0000B26E0000}"/>
    <cellStyle name="标题 4 4 18 6 8" xfId="12362" xr:uid="{00000000-0005-0000-0000-0000B36E0000}"/>
    <cellStyle name="标题 4 4 18 7" xfId="33149" xr:uid="{00000000-0005-0000-0000-0000B46E0000}"/>
    <cellStyle name="标题 4 4 18 8" xfId="33151" xr:uid="{00000000-0005-0000-0000-0000B56E0000}"/>
    <cellStyle name="标题 4 4 18 9" xfId="33153" xr:uid="{00000000-0005-0000-0000-0000B66E0000}"/>
    <cellStyle name="标题 4 4 18 9 2" xfId="1080" xr:uid="{00000000-0005-0000-0000-0000B76E0000}"/>
    <cellStyle name="标题 4 4 18 9 3" xfId="21904" xr:uid="{00000000-0005-0000-0000-0000B86E0000}"/>
    <cellStyle name="标题 4 4 19" xfId="1807" xr:uid="{00000000-0005-0000-0000-0000B96E0000}"/>
    <cellStyle name="标题 4 4 19 10" xfId="32816" xr:uid="{00000000-0005-0000-0000-0000BA6E0000}"/>
    <cellStyle name="标题 4 4 19 11" xfId="32818" xr:uid="{00000000-0005-0000-0000-0000BB6E0000}"/>
    <cellStyle name="标题 4 4 19 12" xfId="32820" xr:uid="{00000000-0005-0000-0000-0000BC6E0000}"/>
    <cellStyle name="标题 4 4 19 13" xfId="33155" xr:uid="{00000000-0005-0000-0000-0000BD6E0000}"/>
    <cellStyle name="标题 4 4 19 14" xfId="33157" xr:uid="{00000000-0005-0000-0000-0000BE6E0000}"/>
    <cellStyle name="标题 4 4 19 2" xfId="33159" xr:uid="{00000000-0005-0000-0000-0000BF6E0000}"/>
    <cellStyle name="标题 4 4 19 3" xfId="29732" xr:uid="{00000000-0005-0000-0000-0000C06E0000}"/>
    <cellStyle name="标题 4 4 19 4" xfId="17390" xr:uid="{00000000-0005-0000-0000-0000C16E0000}"/>
    <cellStyle name="标题 4 4 19 5" xfId="17394" xr:uid="{00000000-0005-0000-0000-0000C26E0000}"/>
    <cellStyle name="标题 4 4 19 5 10" xfId="28773" xr:uid="{00000000-0005-0000-0000-0000C36E0000}"/>
    <cellStyle name="标题 4 4 19 5 11" xfId="28775" xr:uid="{00000000-0005-0000-0000-0000C46E0000}"/>
    <cellStyle name="标题 4 4 19 5 2" xfId="4851" xr:uid="{00000000-0005-0000-0000-0000C56E0000}"/>
    <cellStyle name="标题 4 4 19 5 2 2" xfId="33160" xr:uid="{00000000-0005-0000-0000-0000C66E0000}"/>
    <cellStyle name="标题 4 4 19 5 2 2 2" xfId="33161" xr:uid="{00000000-0005-0000-0000-0000C76E0000}"/>
    <cellStyle name="标题 4 4 19 5 2 2 3" xfId="33162" xr:uid="{00000000-0005-0000-0000-0000C86E0000}"/>
    <cellStyle name="标题 4 4 19 5 2 3" xfId="33163" xr:uid="{00000000-0005-0000-0000-0000C96E0000}"/>
    <cellStyle name="标题 4 4 19 5 2 4" xfId="10772" xr:uid="{00000000-0005-0000-0000-0000CA6E0000}"/>
    <cellStyle name="标题 4 4 19 5 2 5" xfId="10777" xr:uid="{00000000-0005-0000-0000-0000CB6E0000}"/>
    <cellStyle name="标题 4 4 19 5 2 6" xfId="10782" xr:uid="{00000000-0005-0000-0000-0000CC6E0000}"/>
    <cellStyle name="标题 4 4 19 5 2 7" xfId="10786" xr:uid="{00000000-0005-0000-0000-0000CD6E0000}"/>
    <cellStyle name="标题 4 4 19 5 2 8" xfId="10789" xr:uid="{00000000-0005-0000-0000-0000CE6E0000}"/>
    <cellStyle name="标题 4 4 19 5 3" xfId="19523" xr:uid="{00000000-0005-0000-0000-0000CF6E0000}"/>
    <cellStyle name="标题 4 4 19 5 4" xfId="19530" xr:uid="{00000000-0005-0000-0000-0000D06E0000}"/>
    <cellStyle name="标题 4 4 19 5 5" xfId="11861" xr:uid="{00000000-0005-0000-0000-0000D16E0000}"/>
    <cellStyle name="标题 4 4 19 5 6" xfId="11453" xr:uid="{00000000-0005-0000-0000-0000D26E0000}"/>
    <cellStyle name="标题 4 4 19 5 6 2" xfId="2413" xr:uid="{00000000-0005-0000-0000-0000D36E0000}"/>
    <cellStyle name="标题 4 4 19 5 6 3" xfId="33164" xr:uid="{00000000-0005-0000-0000-0000D46E0000}"/>
    <cellStyle name="标题 4 4 19 5 7" xfId="11464" xr:uid="{00000000-0005-0000-0000-0000D56E0000}"/>
    <cellStyle name="标题 4 4 19 5 8" xfId="11877" xr:uid="{00000000-0005-0000-0000-0000D66E0000}"/>
    <cellStyle name="标题 4 4 19 5 9" xfId="14709" xr:uid="{00000000-0005-0000-0000-0000D76E0000}"/>
    <cellStyle name="标题 4 4 19 6" xfId="33165" xr:uid="{00000000-0005-0000-0000-0000D86E0000}"/>
    <cellStyle name="标题 4 4 19 6 2" xfId="19554" xr:uid="{00000000-0005-0000-0000-0000D96E0000}"/>
    <cellStyle name="标题 4 4 19 6 2 2" xfId="33167" xr:uid="{00000000-0005-0000-0000-0000DA6E0000}"/>
    <cellStyle name="标题 4 4 19 6 2 3" xfId="24609" xr:uid="{00000000-0005-0000-0000-0000DB6E0000}"/>
    <cellStyle name="标题 4 4 19 6 3" xfId="19556" xr:uid="{00000000-0005-0000-0000-0000DC6E0000}"/>
    <cellStyle name="标题 4 4 19 6 4" xfId="19560" xr:uid="{00000000-0005-0000-0000-0000DD6E0000}"/>
    <cellStyle name="标题 4 4 19 6 5" xfId="19594" xr:uid="{00000000-0005-0000-0000-0000DE6E0000}"/>
    <cellStyle name="标题 4 4 19 6 6" xfId="19602" xr:uid="{00000000-0005-0000-0000-0000DF6E0000}"/>
    <cellStyle name="标题 4 4 19 6 7" xfId="19608" xr:uid="{00000000-0005-0000-0000-0000E06E0000}"/>
    <cellStyle name="标题 4 4 19 6 8" xfId="19613" xr:uid="{00000000-0005-0000-0000-0000E16E0000}"/>
    <cellStyle name="标题 4 4 19 7" xfId="33168" xr:uid="{00000000-0005-0000-0000-0000E26E0000}"/>
    <cellStyle name="标题 4 4 19 8" xfId="33170" xr:uid="{00000000-0005-0000-0000-0000E36E0000}"/>
    <cellStyle name="标题 4 4 19 9" xfId="33173" xr:uid="{00000000-0005-0000-0000-0000E46E0000}"/>
    <cellStyle name="标题 4 4 19 9 2" xfId="30004" xr:uid="{00000000-0005-0000-0000-0000E56E0000}"/>
    <cellStyle name="标题 4 4 19 9 3" xfId="30008" xr:uid="{00000000-0005-0000-0000-0000E66E0000}"/>
    <cellStyle name="标题 4 4 2" xfId="33176" xr:uid="{00000000-0005-0000-0000-0000E76E0000}"/>
    <cellStyle name="标题 4 4 20" xfId="1407" xr:uid="{00000000-0005-0000-0000-0000E86E0000}"/>
    <cellStyle name="标题 4 4 20 10" xfId="21492" xr:uid="{00000000-0005-0000-0000-0000E96E0000}"/>
    <cellStyle name="标题 4 4 20 11" xfId="21496" xr:uid="{00000000-0005-0000-0000-0000EA6E0000}"/>
    <cellStyle name="标题 4 4 20 12" xfId="21500" xr:uid="{00000000-0005-0000-0000-0000EB6E0000}"/>
    <cellStyle name="标题 4 4 20 13" xfId="21504" xr:uid="{00000000-0005-0000-0000-0000EC6E0000}"/>
    <cellStyle name="标题 4 4 20 14" xfId="24035" xr:uid="{00000000-0005-0000-0000-0000ED6E0000}"/>
    <cellStyle name="标题 4 4 20 2" xfId="33177" xr:uid="{00000000-0005-0000-0000-0000EE6E0000}"/>
    <cellStyle name="标题 4 4 20 3" xfId="33178" xr:uid="{00000000-0005-0000-0000-0000EF6E0000}"/>
    <cellStyle name="标题 4 4 20 4" xfId="8891" xr:uid="{00000000-0005-0000-0000-0000F06E0000}"/>
    <cellStyle name="标题 4 4 20 5" xfId="8896" xr:uid="{00000000-0005-0000-0000-0000F16E0000}"/>
    <cellStyle name="标题 4 4 20 5 10" xfId="33179" xr:uid="{00000000-0005-0000-0000-0000F26E0000}"/>
    <cellStyle name="标题 4 4 20 5 11" xfId="33180" xr:uid="{00000000-0005-0000-0000-0000F36E0000}"/>
    <cellStyle name="标题 4 4 20 5 2" xfId="33181" xr:uid="{00000000-0005-0000-0000-0000F46E0000}"/>
    <cellStyle name="标题 4 4 20 5 2 2" xfId="33184" xr:uid="{00000000-0005-0000-0000-0000F56E0000}"/>
    <cellStyle name="标题 4 4 20 5 2 2 2" xfId="33188" xr:uid="{00000000-0005-0000-0000-0000F66E0000}"/>
    <cellStyle name="标题 4 4 20 5 2 2 3" xfId="33192" xr:uid="{00000000-0005-0000-0000-0000F76E0000}"/>
    <cellStyle name="标题 4 4 20 5 2 3" xfId="33195" xr:uid="{00000000-0005-0000-0000-0000F86E0000}"/>
    <cellStyle name="标题 4 4 20 5 2 4" xfId="33198" xr:uid="{00000000-0005-0000-0000-0000F96E0000}"/>
    <cellStyle name="标题 4 4 20 5 2 5" xfId="33200" xr:uid="{00000000-0005-0000-0000-0000FA6E0000}"/>
    <cellStyle name="标题 4 4 20 5 2 6" xfId="33202" xr:uid="{00000000-0005-0000-0000-0000FB6E0000}"/>
    <cellStyle name="标题 4 4 20 5 2 7" xfId="33204" xr:uid="{00000000-0005-0000-0000-0000FC6E0000}"/>
    <cellStyle name="标题 4 4 20 5 2 8" xfId="33206" xr:uid="{00000000-0005-0000-0000-0000FD6E0000}"/>
    <cellStyle name="标题 4 4 20 5 3" xfId="33207" xr:uid="{00000000-0005-0000-0000-0000FE6E0000}"/>
    <cellStyle name="标题 4 4 20 5 4" xfId="25680" xr:uid="{00000000-0005-0000-0000-0000FF6E0000}"/>
    <cellStyle name="标题 4 4 20 5 5" xfId="33208" xr:uid="{00000000-0005-0000-0000-0000006F0000}"/>
    <cellStyle name="标题 4 4 20 5 6" xfId="33209" xr:uid="{00000000-0005-0000-0000-0000016F0000}"/>
    <cellStyle name="标题 4 4 20 5 6 2" xfId="33210" xr:uid="{00000000-0005-0000-0000-0000026F0000}"/>
    <cellStyle name="标题 4 4 20 5 6 3" xfId="33211" xr:uid="{00000000-0005-0000-0000-0000036F0000}"/>
    <cellStyle name="标题 4 4 20 5 7" xfId="33213" xr:uid="{00000000-0005-0000-0000-0000046F0000}"/>
    <cellStyle name="标题 4 4 20 5 8" xfId="33215" xr:uid="{00000000-0005-0000-0000-0000056F0000}"/>
    <cellStyle name="标题 4 4 20 5 9" xfId="33216" xr:uid="{00000000-0005-0000-0000-0000066F0000}"/>
    <cellStyle name="标题 4 4 20 6" xfId="8901" xr:uid="{00000000-0005-0000-0000-0000076F0000}"/>
    <cellStyle name="标题 4 4 20 6 2" xfId="33219" xr:uid="{00000000-0005-0000-0000-0000086F0000}"/>
    <cellStyle name="标题 4 4 20 6 2 2" xfId="33222" xr:uid="{00000000-0005-0000-0000-0000096F0000}"/>
    <cellStyle name="标题 4 4 20 6 2 3" xfId="33225" xr:uid="{00000000-0005-0000-0000-00000A6F0000}"/>
    <cellStyle name="标题 4 4 20 6 3" xfId="33228" xr:uid="{00000000-0005-0000-0000-00000B6F0000}"/>
    <cellStyle name="标题 4 4 20 6 4" xfId="33231" xr:uid="{00000000-0005-0000-0000-00000C6F0000}"/>
    <cellStyle name="标题 4 4 20 6 5" xfId="32598" xr:uid="{00000000-0005-0000-0000-00000D6F0000}"/>
    <cellStyle name="标题 4 4 20 6 6" xfId="32603" xr:uid="{00000000-0005-0000-0000-00000E6F0000}"/>
    <cellStyle name="标题 4 4 20 6 7" xfId="33233" xr:uid="{00000000-0005-0000-0000-00000F6F0000}"/>
    <cellStyle name="标题 4 4 20 6 8" xfId="31882" xr:uid="{00000000-0005-0000-0000-0000106F0000}"/>
    <cellStyle name="标题 4 4 20 7" xfId="8906" xr:uid="{00000000-0005-0000-0000-0000116F0000}"/>
    <cellStyle name="标题 4 4 20 8" xfId="8182" xr:uid="{00000000-0005-0000-0000-0000126F0000}"/>
    <cellStyle name="标题 4 4 20 9" xfId="17364" xr:uid="{00000000-0005-0000-0000-0000136F0000}"/>
    <cellStyle name="标题 4 4 20 9 2" xfId="30133" xr:uid="{00000000-0005-0000-0000-0000146F0000}"/>
    <cellStyle name="标题 4 4 20 9 3" xfId="33235" xr:uid="{00000000-0005-0000-0000-0000156F0000}"/>
    <cellStyle name="标题 4 4 3" xfId="33236" xr:uid="{00000000-0005-0000-0000-0000166F0000}"/>
    <cellStyle name="标题 4 4 4" xfId="33237" xr:uid="{00000000-0005-0000-0000-0000176F0000}"/>
    <cellStyle name="标题 4 4 5" xfId="33238" xr:uid="{00000000-0005-0000-0000-0000186F0000}"/>
    <cellStyle name="标题 4 4 6" xfId="33239" xr:uid="{00000000-0005-0000-0000-0000196F0000}"/>
    <cellStyle name="标题 4 4 7" xfId="33240" xr:uid="{00000000-0005-0000-0000-00001A6F0000}"/>
    <cellStyle name="标题 4 4 8" xfId="33241" xr:uid="{00000000-0005-0000-0000-00001B6F0000}"/>
    <cellStyle name="标题 4 4 9" xfId="33242" xr:uid="{00000000-0005-0000-0000-00001C6F0000}"/>
    <cellStyle name="标题 4 5" xfId="26988" xr:uid="{00000000-0005-0000-0000-00001D6F0000}"/>
    <cellStyle name="标题 4 5 10" xfId="33154" xr:uid="{00000000-0005-0000-0000-00001E6F0000}"/>
    <cellStyle name="标题 4 5 11" xfId="33156" xr:uid="{00000000-0005-0000-0000-00001F6F0000}"/>
    <cellStyle name="标题 4 5 12" xfId="33243" xr:uid="{00000000-0005-0000-0000-0000206F0000}"/>
    <cellStyle name="标题 4 5 13" xfId="33244" xr:uid="{00000000-0005-0000-0000-0000216F0000}"/>
    <cellStyle name="标题 4 5 14" xfId="18063" xr:uid="{00000000-0005-0000-0000-0000226F0000}"/>
    <cellStyle name="标题 4 5 2" xfId="33245" xr:uid="{00000000-0005-0000-0000-0000236F0000}"/>
    <cellStyle name="标题 4 5 3" xfId="33246" xr:uid="{00000000-0005-0000-0000-0000246F0000}"/>
    <cellStyle name="标题 4 5 4" xfId="33247" xr:uid="{00000000-0005-0000-0000-0000256F0000}"/>
    <cellStyle name="标题 4 5 5" xfId="33248" xr:uid="{00000000-0005-0000-0000-0000266F0000}"/>
    <cellStyle name="标题 4 5 6" xfId="33250" xr:uid="{00000000-0005-0000-0000-0000276F0000}"/>
    <cellStyle name="标题 4 5 7" xfId="33252" xr:uid="{00000000-0005-0000-0000-0000286F0000}"/>
    <cellStyle name="标题 4 5 8" xfId="13511" xr:uid="{00000000-0005-0000-0000-0000296F0000}"/>
    <cellStyle name="标题 4 5 9" xfId="13515" xr:uid="{00000000-0005-0000-0000-00002A6F0000}"/>
    <cellStyle name="标题 4 6" xfId="25214" xr:uid="{00000000-0005-0000-0000-00002B6F0000}"/>
    <cellStyle name="标题 4 6 10" xfId="2122" xr:uid="{00000000-0005-0000-0000-00002C6F0000}"/>
    <cellStyle name="标题 4 6 11" xfId="24064" xr:uid="{00000000-0005-0000-0000-00002D6F0000}"/>
    <cellStyle name="标题 4 6 12" xfId="24067" xr:uid="{00000000-0005-0000-0000-00002E6F0000}"/>
    <cellStyle name="标题 4 6 13" xfId="24069" xr:uid="{00000000-0005-0000-0000-00002F6F0000}"/>
    <cellStyle name="标题 4 6 14" xfId="24071" xr:uid="{00000000-0005-0000-0000-0000306F0000}"/>
    <cellStyle name="标题 4 6 2" xfId="33254" xr:uid="{00000000-0005-0000-0000-0000316F0000}"/>
    <cellStyle name="标题 4 6 3" xfId="33255" xr:uid="{00000000-0005-0000-0000-0000326F0000}"/>
    <cellStyle name="标题 4 6 4" xfId="33256" xr:uid="{00000000-0005-0000-0000-0000336F0000}"/>
    <cellStyle name="标题 4 6 5" xfId="21633" xr:uid="{00000000-0005-0000-0000-0000346F0000}"/>
    <cellStyle name="标题 4 6 6" xfId="21636" xr:uid="{00000000-0005-0000-0000-0000356F0000}"/>
    <cellStyle name="标题 4 6 7" xfId="33257" xr:uid="{00000000-0005-0000-0000-0000366F0000}"/>
    <cellStyle name="标题 4 6 8" xfId="33259" xr:uid="{00000000-0005-0000-0000-0000376F0000}"/>
    <cellStyle name="标题 4 6 9" xfId="33261" xr:uid="{00000000-0005-0000-0000-0000386F0000}"/>
    <cellStyle name="标题 4 7" xfId="25216" xr:uid="{00000000-0005-0000-0000-0000396F0000}"/>
    <cellStyle name="标题 4 8" xfId="33263" xr:uid="{00000000-0005-0000-0000-00003A6F0000}"/>
    <cellStyle name="标题 4 9" xfId="33264" xr:uid="{00000000-0005-0000-0000-00003B6F0000}"/>
    <cellStyle name="标题 5" xfId="15743" xr:uid="{00000000-0005-0000-0000-00003C6F0000}"/>
    <cellStyle name="标题 5 10" xfId="30920" xr:uid="{00000000-0005-0000-0000-00003D6F0000}"/>
    <cellStyle name="标题 5 11" xfId="30923" xr:uid="{00000000-0005-0000-0000-00003E6F0000}"/>
    <cellStyle name="标题 5 12" xfId="33265" xr:uid="{00000000-0005-0000-0000-00003F6F0000}"/>
    <cellStyle name="标题 5 13" xfId="33267" xr:uid="{00000000-0005-0000-0000-0000406F0000}"/>
    <cellStyle name="标题 5 14" xfId="33268" xr:uid="{00000000-0005-0000-0000-0000416F0000}"/>
    <cellStyle name="标题 5 15" xfId="33269" xr:uid="{00000000-0005-0000-0000-0000426F0000}"/>
    <cellStyle name="标题 5 16" xfId="33271" xr:uid="{00000000-0005-0000-0000-0000436F0000}"/>
    <cellStyle name="标题 5 17" xfId="13208" xr:uid="{00000000-0005-0000-0000-0000446F0000}"/>
    <cellStyle name="标题 5 17 10" xfId="18257" xr:uid="{00000000-0005-0000-0000-0000456F0000}"/>
    <cellStyle name="标题 5 17 11" xfId="18262" xr:uid="{00000000-0005-0000-0000-0000466F0000}"/>
    <cellStyle name="标题 5 17 12" xfId="20174" xr:uid="{00000000-0005-0000-0000-0000476F0000}"/>
    <cellStyle name="标题 5 17 13" xfId="11380" xr:uid="{00000000-0005-0000-0000-0000486F0000}"/>
    <cellStyle name="标题 5 17 14" xfId="26198" xr:uid="{00000000-0005-0000-0000-0000496F0000}"/>
    <cellStyle name="标题 5 17 2" xfId="13216" xr:uid="{00000000-0005-0000-0000-00004A6F0000}"/>
    <cellStyle name="标题 5 17 3" xfId="13225" xr:uid="{00000000-0005-0000-0000-00004B6F0000}"/>
    <cellStyle name="标题 5 17 4" xfId="18920" xr:uid="{00000000-0005-0000-0000-00004C6F0000}"/>
    <cellStyle name="标题 5 17 5" xfId="15418" xr:uid="{00000000-0005-0000-0000-00004D6F0000}"/>
    <cellStyle name="标题 5 17 5 10" xfId="23548" xr:uid="{00000000-0005-0000-0000-00004E6F0000}"/>
    <cellStyle name="标题 5 17 5 11" xfId="29020" xr:uid="{00000000-0005-0000-0000-00004F6F0000}"/>
    <cellStyle name="标题 5 17 5 2" xfId="13058" xr:uid="{00000000-0005-0000-0000-0000506F0000}"/>
    <cellStyle name="标题 5 17 5 2 2" xfId="33272" xr:uid="{00000000-0005-0000-0000-0000516F0000}"/>
    <cellStyle name="标题 5 17 5 2 2 2" xfId="24600" xr:uid="{00000000-0005-0000-0000-0000526F0000}"/>
    <cellStyle name="标题 5 17 5 2 2 3" xfId="24603" xr:uid="{00000000-0005-0000-0000-0000536F0000}"/>
    <cellStyle name="标题 5 17 5 2 3" xfId="33273" xr:uid="{00000000-0005-0000-0000-0000546F0000}"/>
    <cellStyle name="标题 5 17 5 2 4" xfId="29029" xr:uid="{00000000-0005-0000-0000-0000556F0000}"/>
    <cellStyle name="标题 5 17 5 2 5" xfId="29031" xr:uid="{00000000-0005-0000-0000-0000566F0000}"/>
    <cellStyle name="标题 5 17 5 2 6" xfId="33274" xr:uid="{00000000-0005-0000-0000-0000576F0000}"/>
    <cellStyle name="标题 5 17 5 2 7" xfId="33275" xr:uid="{00000000-0005-0000-0000-0000586F0000}"/>
    <cellStyle name="标题 5 17 5 2 8" xfId="16734" xr:uid="{00000000-0005-0000-0000-0000596F0000}"/>
    <cellStyle name="标题 5 17 5 3" xfId="13063" xr:uid="{00000000-0005-0000-0000-00005A6F0000}"/>
    <cellStyle name="标题 5 17 5 4" xfId="13068" xr:uid="{00000000-0005-0000-0000-00005B6F0000}"/>
    <cellStyle name="标题 5 17 5 5" xfId="13116" xr:uid="{00000000-0005-0000-0000-00005C6F0000}"/>
    <cellStyle name="标题 5 17 5 6" xfId="33276" xr:uid="{00000000-0005-0000-0000-00005D6F0000}"/>
    <cellStyle name="标题 5 17 5 6 2" xfId="23379" xr:uid="{00000000-0005-0000-0000-00005E6F0000}"/>
    <cellStyle name="标题 5 17 5 6 3" xfId="33277" xr:uid="{00000000-0005-0000-0000-00005F6F0000}"/>
    <cellStyle name="标题 5 17 5 7" xfId="6524" xr:uid="{00000000-0005-0000-0000-0000606F0000}"/>
    <cellStyle name="标题 5 17 5 8" xfId="1098" xr:uid="{00000000-0005-0000-0000-0000616F0000}"/>
    <cellStyle name="标题 5 17 5 9" xfId="1154" xr:uid="{00000000-0005-0000-0000-0000626F0000}"/>
    <cellStyle name="标题 5 17 6" xfId="33278" xr:uid="{00000000-0005-0000-0000-0000636F0000}"/>
    <cellStyle name="标题 5 17 6 2" xfId="33279" xr:uid="{00000000-0005-0000-0000-0000646F0000}"/>
    <cellStyle name="标题 5 17 6 2 2" xfId="33280" xr:uid="{00000000-0005-0000-0000-0000656F0000}"/>
    <cellStyle name="标题 5 17 6 2 3" xfId="33281" xr:uid="{00000000-0005-0000-0000-0000666F0000}"/>
    <cellStyle name="标题 5 17 6 3" xfId="33282" xr:uid="{00000000-0005-0000-0000-0000676F0000}"/>
    <cellStyle name="标题 5 17 6 4" xfId="33283" xr:uid="{00000000-0005-0000-0000-0000686F0000}"/>
    <cellStyle name="标题 5 17 6 5" xfId="33284" xr:uid="{00000000-0005-0000-0000-0000696F0000}"/>
    <cellStyle name="标题 5 17 6 6" xfId="33285" xr:uid="{00000000-0005-0000-0000-00006A6F0000}"/>
    <cellStyle name="标题 5 17 6 7" xfId="33286" xr:uid="{00000000-0005-0000-0000-00006B6F0000}"/>
    <cellStyle name="标题 5 17 6 8" xfId="17608" xr:uid="{00000000-0005-0000-0000-00006C6F0000}"/>
    <cellStyle name="标题 5 17 7" xfId="33287" xr:uid="{00000000-0005-0000-0000-00006D6F0000}"/>
    <cellStyle name="标题 5 17 8" xfId="33288" xr:uid="{00000000-0005-0000-0000-00006E6F0000}"/>
    <cellStyle name="标题 5 17 9" xfId="33289" xr:uid="{00000000-0005-0000-0000-00006F6F0000}"/>
    <cellStyle name="标题 5 17 9 2" xfId="33291" xr:uid="{00000000-0005-0000-0000-0000706F0000}"/>
    <cellStyle name="标题 5 17 9 3" xfId="33293" xr:uid="{00000000-0005-0000-0000-0000716F0000}"/>
    <cellStyle name="标题 5 18" xfId="13230" xr:uid="{00000000-0005-0000-0000-0000726F0000}"/>
    <cellStyle name="标题 5 18 10" xfId="25545" xr:uid="{00000000-0005-0000-0000-0000736F0000}"/>
    <cellStyle name="标题 5 18 11" xfId="28399" xr:uid="{00000000-0005-0000-0000-0000746F0000}"/>
    <cellStyle name="标题 5 18 12" xfId="33294" xr:uid="{00000000-0005-0000-0000-0000756F0000}"/>
    <cellStyle name="标题 5 18 13" xfId="17527" xr:uid="{00000000-0005-0000-0000-0000766F0000}"/>
    <cellStyle name="标题 5 18 14" xfId="17529" xr:uid="{00000000-0005-0000-0000-0000776F0000}"/>
    <cellStyle name="标题 5 18 2" xfId="18929" xr:uid="{00000000-0005-0000-0000-0000786F0000}"/>
    <cellStyle name="标题 5 18 3" xfId="822" xr:uid="{00000000-0005-0000-0000-0000796F0000}"/>
    <cellStyle name="标题 5 18 4" xfId="928" xr:uid="{00000000-0005-0000-0000-00007A6F0000}"/>
    <cellStyle name="标题 5 18 5" xfId="964" xr:uid="{00000000-0005-0000-0000-00007B6F0000}"/>
    <cellStyle name="标题 5 18 5 10" xfId="33295" xr:uid="{00000000-0005-0000-0000-00007C6F0000}"/>
    <cellStyle name="标题 5 18 5 11" xfId="33296" xr:uid="{00000000-0005-0000-0000-00007D6F0000}"/>
    <cellStyle name="标题 5 18 5 2" xfId="6444" xr:uid="{00000000-0005-0000-0000-00007E6F0000}"/>
    <cellStyle name="标题 5 18 5 2 2" xfId="2862" xr:uid="{00000000-0005-0000-0000-00007F6F0000}"/>
    <cellStyle name="标题 5 18 5 2 2 2" xfId="33297" xr:uid="{00000000-0005-0000-0000-0000806F0000}"/>
    <cellStyle name="标题 5 18 5 2 2 3" xfId="33298" xr:uid="{00000000-0005-0000-0000-0000816F0000}"/>
    <cellStyle name="标题 5 18 5 2 3" xfId="2880" xr:uid="{00000000-0005-0000-0000-0000826F0000}"/>
    <cellStyle name="标题 5 18 5 2 4" xfId="2897" xr:uid="{00000000-0005-0000-0000-0000836F0000}"/>
    <cellStyle name="标题 5 18 5 2 5" xfId="33299" xr:uid="{00000000-0005-0000-0000-0000846F0000}"/>
    <cellStyle name="标题 5 18 5 2 6" xfId="33300" xr:uid="{00000000-0005-0000-0000-0000856F0000}"/>
    <cellStyle name="标题 5 18 5 2 7" xfId="33301" xr:uid="{00000000-0005-0000-0000-0000866F0000}"/>
    <cellStyle name="标题 5 18 5 2 8" xfId="32864" xr:uid="{00000000-0005-0000-0000-0000876F0000}"/>
    <cellStyle name="标题 5 18 5 3" xfId="6543" xr:uid="{00000000-0005-0000-0000-0000886F0000}"/>
    <cellStyle name="标题 5 18 5 4" xfId="33302" xr:uid="{00000000-0005-0000-0000-0000896F0000}"/>
    <cellStyle name="标题 5 18 5 5" xfId="33303" xr:uid="{00000000-0005-0000-0000-00008A6F0000}"/>
    <cellStyle name="标题 5 18 5 6" xfId="33304" xr:uid="{00000000-0005-0000-0000-00008B6F0000}"/>
    <cellStyle name="标题 5 18 5 6 2" xfId="23591" xr:uid="{00000000-0005-0000-0000-00008C6F0000}"/>
    <cellStyle name="标题 5 18 5 6 3" xfId="33305" xr:uid="{00000000-0005-0000-0000-00008D6F0000}"/>
    <cellStyle name="标题 5 18 5 7" xfId="33306" xr:uid="{00000000-0005-0000-0000-00008E6F0000}"/>
    <cellStyle name="标题 5 18 5 8" xfId="33307" xr:uid="{00000000-0005-0000-0000-00008F6F0000}"/>
    <cellStyle name="标题 5 18 5 9" xfId="33308" xr:uid="{00000000-0005-0000-0000-0000906F0000}"/>
    <cellStyle name="标题 5 18 6" xfId="999" xr:uid="{00000000-0005-0000-0000-0000916F0000}"/>
    <cellStyle name="标题 5 18 6 2" xfId="11131" xr:uid="{00000000-0005-0000-0000-0000926F0000}"/>
    <cellStyle name="标题 5 18 6 2 2" xfId="33309" xr:uid="{00000000-0005-0000-0000-0000936F0000}"/>
    <cellStyle name="标题 5 18 6 2 3" xfId="33310" xr:uid="{00000000-0005-0000-0000-0000946F0000}"/>
    <cellStyle name="标题 5 18 6 3" xfId="11133" xr:uid="{00000000-0005-0000-0000-0000956F0000}"/>
    <cellStyle name="标题 5 18 6 4" xfId="33311" xr:uid="{00000000-0005-0000-0000-0000966F0000}"/>
    <cellStyle name="标题 5 18 6 5" xfId="33312" xr:uid="{00000000-0005-0000-0000-0000976F0000}"/>
    <cellStyle name="标题 5 18 6 6" xfId="33313" xr:uid="{00000000-0005-0000-0000-0000986F0000}"/>
    <cellStyle name="标题 5 18 6 7" xfId="33314" xr:uid="{00000000-0005-0000-0000-0000996F0000}"/>
    <cellStyle name="标题 5 18 6 8" xfId="27255" xr:uid="{00000000-0005-0000-0000-00009A6F0000}"/>
    <cellStyle name="标题 5 18 7" xfId="1018" xr:uid="{00000000-0005-0000-0000-00009B6F0000}"/>
    <cellStyle name="标题 5 18 8" xfId="1053" xr:uid="{00000000-0005-0000-0000-00009C6F0000}"/>
    <cellStyle name="标题 5 18 9" xfId="1074" xr:uid="{00000000-0005-0000-0000-00009D6F0000}"/>
    <cellStyle name="标题 5 18 9 2" xfId="33317" xr:uid="{00000000-0005-0000-0000-00009E6F0000}"/>
    <cellStyle name="标题 5 18 9 3" xfId="33320" xr:uid="{00000000-0005-0000-0000-00009F6F0000}"/>
    <cellStyle name="标题 5 19" xfId="13236" xr:uid="{00000000-0005-0000-0000-0000A06F0000}"/>
    <cellStyle name="标题 5 19 10" xfId="28434" xr:uid="{00000000-0005-0000-0000-0000A16F0000}"/>
    <cellStyle name="标题 5 19 11" xfId="28436" xr:uid="{00000000-0005-0000-0000-0000A26F0000}"/>
    <cellStyle name="标题 5 19 12" xfId="25653" xr:uid="{00000000-0005-0000-0000-0000A36F0000}"/>
    <cellStyle name="标题 5 19 13" xfId="33321" xr:uid="{00000000-0005-0000-0000-0000A46F0000}"/>
    <cellStyle name="标题 5 19 14" xfId="9866" xr:uid="{00000000-0005-0000-0000-0000A56F0000}"/>
    <cellStyle name="标题 5 19 2" xfId="18501" xr:uid="{00000000-0005-0000-0000-0000A66F0000}"/>
    <cellStyle name="标题 5 19 3" xfId="1113" xr:uid="{00000000-0005-0000-0000-0000A76F0000}"/>
    <cellStyle name="标题 5 19 4" xfId="1160" xr:uid="{00000000-0005-0000-0000-0000A86F0000}"/>
    <cellStyle name="标题 5 19 5" xfId="1176" xr:uid="{00000000-0005-0000-0000-0000A96F0000}"/>
    <cellStyle name="标题 5 19 5 10" xfId="33322" xr:uid="{00000000-0005-0000-0000-0000AA6F0000}"/>
    <cellStyle name="标题 5 19 5 11" xfId="33323" xr:uid="{00000000-0005-0000-0000-0000AB6F0000}"/>
    <cellStyle name="标题 5 19 5 2" xfId="5449" xr:uid="{00000000-0005-0000-0000-0000AC6F0000}"/>
    <cellStyle name="标题 5 19 5 2 2" xfId="14198" xr:uid="{00000000-0005-0000-0000-0000AD6F0000}"/>
    <cellStyle name="标题 5 19 5 2 2 2" xfId="33324" xr:uid="{00000000-0005-0000-0000-0000AE6F0000}"/>
    <cellStyle name="标题 5 19 5 2 2 3" xfId="33325" xr:uid="{00000000-0005-0000-0000-0000AF6F0000}"/>
    <cellStyle name="标题 5 19 5 2 3" xfId="14212" xr:uid="{00000000-0005-0000-0000-0000B06F0000}"/>
    <cellStyle name="标题 5 19 5 2 4" xfId="14218" xr:uid="{00000000-0005-0000-0000-0000B16F0000}"/>
    <cellStyle name="标题 5 19 5 2 5" xfId="3745" xr:uid="{00000000-0005-0000-0000-0000B26F0000}"/>
    <cellStyle name="标题 5 19 5 2 6" xfId="7145" xr:uid="{00000000-0005-0000-0000-0000B36F0000}"/>
    <cellStyle name="标题 5 19 5 2 7" xfId="33326" xr:uid="{00000000-0005-0000-0000-0000B46F0000}"/>
    <cellStyle name="标题 5 19 5 2 8" xfId="7154" xr:uid="{00000000-0005-0000-0000-0000B56F0000}"/>
    <cellStyle name="标题 5 19 5 3" xfId="32453" xr:uid="{00000000-0005-0000-0000-0000B66F0000}"/>
    <cellStyle name="标题 5 19 5 4" xfId="33327" xr:uid="{00000000-0005-0000-0000-0000B76F0000}"/>
    <cellStyle name="标题 5 19 5 5" xfId="33328" xr:uid="{00000000-0005-0000-0000-0000B86F0000}"/>
    <cellStyle name="标题 5 19 5 6" xfId="33329" xr:uid="{00000000-0005-0000-0000-0000B96F0000}"/>
    <cellStyle name="标题 5 19 5 6 2" xfId="15575" xr:uid="{00000000-0005-0000-0000-0000BA6F0000}"/>
    <cellStyle name="标题 5 19 5 6 3" xfId="15581" xr:uid="{00000000-0005-0000-0000-0000BB6F0000}"/>
    <cellStyle name="标题 5 19 5 7" xfId="33330" xr:uid="{00000000-0005-0000-0000-0000BC6F0000}"/>
    <cellStyle name="标题 5 19 5 8" xfId="33331" xr:uid="{00000000-0005-0000-0000-0000BD6F0000}"/>
    <cellStyle name="标题 5 19 5 9" xfId="33332" xr:uid="{00000000-0005-0000-0000-0000BE6F0000}"/>
    <cellStyle name="标题 5 19 6" xfId="1194" xr:uid="{00000000-0005-0000-0000-0000BF6F0000}"/>
    <cellStyle name="标题 5 19 6 2" xfId="32542" xr:uid="{00000000-0005-0000-0000-0000C06F0000}"/>
    <cellStyle name="标题 5 19 6 2 2" xfId="14288" xr:uid="{00000000-0005-0000-0000-0000C16F0000}"/>
    <cellStyle name="标题 5 19 6 2 3" xfId="3436" xr:uid="{00000000-0005-0000-0000-0000C26F0000}"/>
    <cellStyle name="标题 5 19 6 3" xfId="32544" xr:uid="{00000000-0005-0000-0000-0000C36F0000}"/>
    <cellStyle name="标题 5 19 6 4" xfId="32546" xr:uid="{00000000-0005-0000-0000-0000C46F0000}"/>
    <cellStyle name="标题 5 19 6 5" xfId="33333" xr:uid="{00000000-0005-0000-0000-0000C56F0000}"/>
    <cellStyle name="标题 5 19 6 6" xfId="33334" xr:uid="{00000000-0005-0000-0000-0000C66F0000}"/>
    <cellStyle name="标题 5 19 6 7" xfId="23261" xr:uid="{00000000-0005-0000-0000-0000C76F0000}"/>
    <cellStyle name="标题 5 19 6 8" xfId="23263" xr:uid="{00000000-0005-0000-0000-0000C86F0000}"/>
    <cellStyle name="标题 5 19 7" xfId="1199" xr:uid="{00000000-0005-0000-0000-0000C96F0000}"/>
    <cellStyle name="标题 5 19 8" xfId="1216" xr:uid="{00000000-0005-0000-0000-0000CA6F0000}"/>
    <cellStyle name="标题 5 19 9" xfId="539" xr:uid="{00000000-0005-0000-0000-0000CB6F0000}"/>
    <cellStyle name="标题 5 19 9 2" xfId="33335" xr:uid="{00000000-0005-0000-0000-0000CC6F0000}"/>
    <cellStyle name="标题 5 19 9 3" xfId="21658" xr:uid="{00000000-0005-0000-0000-0000CD6F0000}"/>
    <cellStyle name="标题 5 2" xfId="27001" xr:uid="{00000000-0005-0000-0000-0000CE6F0000}"/>
    <cellStyle name="标题 5 2 10" xfId="20115" xr:uid="{00000000-0005-0000-0000-0000CF6F0000}"/>
    <cellStyle name="标题 5 2 11" xfId="20121" xr:uid="{00000000-0005-0000-0000-0000D06F0000}"/>
    <cellStyle name="标题 5 2 12" xfId="20133" xr:uid="{00000000-0005-0000-0000-0000D16F0000}"/>
    <cellStyle name="标题 5 2 13" xfId="9143" xr:uid="{00000000-0005-0000-0000-0000D26F0000}"/>
    <cellStyle name="标题 5 2 14" xfId="9154" xr:uid="{00000000-0005-0000-0000-0000D36F0000}"/>
    <cellStyle name="标题 5 2 2" xfId="17825" xr:uid="{00000000-0005-0000-0000-0000D46F0000}"/>
    <cellStyle name="标题 5 2 3" xfId="25882" xr:uid="{00000000-0005-0000-0000-0000D56F0000}"/>
    <cellStyle name="标题 5 2 4" xfId="33336" xr:uid="{00000000-0005-0000-0000-0000D66F0000}"/>
    <cellStyle name="标题 5 2 5" xfId="33337" xr:uid="{00000000-0005-0000-0000-0000D76F0000}"/>
    <cellStyle name="标题 5 2 6" xfId="33338" xr:uid="{00000000-0005-0000-0000-0000D86F0000}"/>
    <cellStyle name="标题 5 2 7" xfId="33339" xr:uid="{00000000-0005-0000-0000-0000D96F0000}"/>
    <cellStyle name="标题 5 2 8" xfId="33340" xr:uid="{00000000-0005-0000-0000-0000DA6F0000}"/>
    <cellStyle name="标题 5 2 9" xfId="33341" xr:uid="{00000000-0005-0000-0000-0000DB6F0000}"/>
    <cellStyle name="标题 5 20" xfId="33270" xr:uid="{00000000-0005-0000-0000-0000DC6F0000}"/>
    <cellStyle name="标题 5 20 10" xfId="33342" xr:uid="{00000000-0005-0000-0000-0000DD6F0000}"/>
    <cellStyle name="标题 5 20 11" xfId="33343" xr:uid="{00000000-0005-0000-0000-0000DE6F0000}"/>
    <cellStyle name="标题 5 20 12" xfId="33344" xr:uid="{00000000-0005-0000-0000-0000DF6F0000}"/>
    <cellStyle name="标题 5 20 13" xfId="6012" xr:uid="{00000000-0005-0000-0000-0000E06F0000}"/>
    <cellStyle name="标题 5 20 14" xfId="18115" xr:uid="{00000000-0005-0000-0000-0000E16F0000}"/>
    <cellStyle name="标题 5 20 2" xfId="774" xr:uid="{00000000-0005-0000-0000-0000E26F0000}"/>
    <cellStyle name="标题 5 20 3" xfId="781" xr:uid="{00000000-0005-0000-0000-0000E36F0000}"/>
    <cellStyle name="标题 5 20 4" xfId="795" xr:uid="{00000000-0005-0000-0000-0000E46F0000}"/>
    <cellStyle name="标题 5 20 5" xfId="23245" xr:uid="{00000000-0005-0000-0000-0000E56F0000}"/>
    <cellStyle name="标题 5 20 5 10" xfId="29449" xr:uid="{00000000-0005-0000-0000-0000E66F0000}"/>
    <cellStyle name="标题 5 20 5 11" xfId="33345" xr:uid="{00000000-0005-0000-0000-0000E76F0000}"/>
    <cellStyle name="标题 5 20 5 2" xfId="3956" xr:uid="{00000000-0005-0000-0000-0000E86F0000}"/>
    <cellStyle name="标题 5 20 5 2 2" xfId="33346" xr:uid="{00000000-0005-0000-0000-0000E96F0000}"/>
    <cellStyle name="标题 5 20 5 2 2 2" xfId="29840" xr:uid="{00000000-0005-0000-0000-0000EA6F0000}"/>
    <cellStyle name="标题 5 20 5 2 2 3" xfId="29842" xr:uid="{00000000-0005-0000-0000-0000EB6F0000}"/>
    <cellStyle name="标题 5 20 5 2 3" xfId="33347" xr:uid="{00000000-0005-0000-0000-0000EC6F0000}"/>
    <cellStyle name="标题 5 20 5 2 4" xfId="33348" xr:uid="{00000000-0005-0000-0000-0000ED6F0000}"/>
    <cellStyle name="标题 5 20 5 2 5" xfId="33349" xr:uid="{00000000-0005-0000-0000-0000EE6F0000}"/>
    <cellStyle name="标题 5 20 5 2 6" xfId="33350" xr:uid="{00000000-0005-0000-0000-0000EF6F0000}"/>
    <cellStyle name="标题 5 20 5 2 7" xfId="33351" xr:uid="{00000000-0005-0000-0000-0000F06F0000}"/>
    <cellStyle name="标题 5 20 5 2 8" xfId="33352" xr:uid="{00000000-0005-0000-0000-0000F16F0000}"/>
    <cellStyle name="标题 5 20 5 3" xfId="3975" xr:uid="{00000000-0005-0000-0000-0000F26F0000}"/>
    <cellStyle name="标题 5 20 5 4" xfId="4902" xr:uid="{00000000-0005-0000-0000-0000F36F0000}"/>
    <cellStyle name="标题 5 20 5 5" xfId="33353" xr:uid="{00000000-0005-0000-0000-0000F46F0000}"/>
    <cellStyle name="标题 5 20 5 6" xfId="33354" xr:uid="{00000000-0005-0000-0000-0000F56F0000}"/>
    <cellStyle name="标题 5 20 5 6 2" xfId="33355" xr:uid="{00000000-0005-0000-0000-0000F66F0000}"/>
    <cellStyle name="标题 5 20 5 6 3" xfId="33356" xr:uid="{00000000-0005-0000-0000-0000F76F0000}"/>
    <cellStyle name="标题 5 20 5 7" xfId="33357" xr:uid="{00000000-0005-0000-0000-0000F86F0000}"/>
    <cellStyle name="标题 5 20 5 8" xfId="33358" xr:uid="{00000000-0005-0000-0000-0000F96F0000}"/>
    <cellStyle name="标题 5 20 5 9" xfId="33359" xr:uid="{00000000-0005-0000-0000-0000FA6F0000}"/>
    <cellStyle name="标题 5 20 6" xfId="23248" xr:uid="{00000000-0005-0000-0000-0000FB6F0000}"/>
    <cellStyle name="标题 5 20 6 2" xfId="2948" xr:uid="{00000000-0005-0000-0000-0000FC6F0000}"/>
    <cellStyle name="标题 5 20 6 2 2" xfId="26952" xr:uid="{00000000-0005-0000-0000-0000FD6F0000}"/>
    <cellStyle name="标题 5 20 6 2 3" xfId="26955" xr:uid="{00000000-0005-0000-0000-0000FE6F0000}"/>
    <cellStyle name="标题 5 20 6 3" xfId="2965" xr:uid="{00000000-0005-0000-0000-0000FF6F0000}"/>
    <cellStyle name="标题 5 20 6 4" xfId="2988" xr:uid="{00000000-0005-0000-0000-000000700000}"/>
    <cellStyle name="标题 5 20 6 5" xfId="33360" xr:uid="{00000000-0005-0000-0000-000001700000}"/>
    <cellStyle name="标题 5 20 6 6" xfId="33361" xr:uid="{00000000-0005-0000-0000-000002700000}"/>
    <cellStyle name="标题 5 20 6 7" xfId="33362" xr:uid="{00000000-0005-0000-0000-000003700000}"/>
    <cellStyle name="标题 5 20 6 8" xfId="17499" xr:uid="{00000000-0005-0000-0000-000004700000}"/>
    <cellStyle name="标题 5 20 7" xfId="27321" xr:uid="{00000000-0005-0000-0000-000005700000}"/>
    <cellStyle name="标题 5 20 8" xfId="33363" xr:uid="{00000000-0005-0000-0000-000006700000}"/>
    <cellStyle name="标题 5 20 9" xfId="33364" xr:uid="{00000000-0005-0000-0000-000007700000}"/>
    <cellStyle name="标题 5 20 9 2" xfId="33365" xr:uid="{00000000-0005-0000-0000-000008700000}"/>
    <cellStyle name="标题 5 20 9 3" xfId="33366" xr:uid="{00000000-0005-0000-0000-000009700000}"/>
    <cellStyle name="标题 5 3" xfId="27004" xr:uid="{00000000-0005-0000-0000-00000A700000}"/>
    <cellStyle name="标题 5 3 10" xfId="33367" xr:uid="{00000000-0005-0000-0000-00000B700000}"/>
    <cellStyle name="标题 5 3 11" xfId="33368" xr:uid="{00000000-0005-0000-0000-00000C700000}"/>
    <cellStyle name="标题 5 3 12" xfId="33369" xr:uid="{00000000-0005-0000-0000-00000D700000}"/>
    <cellStyle name="标题 5 3 13" xfId="33370" xr:uid="{00000000-0005-0000-0000-00000E700000}"/>
    <cellStyle name="标题 5 3 14" xfId="33371" xr:uid="{00000000-0005-0000-0000-00000F700000}"/>
    <cellStyle name="标题 5 3 2" xfId="33372" xr:uid="{00000000-0005-0000-0000-000010700000}"/>
    <cellStyle name="标题 5 3 3" xfId="33373" xr:uid="{00000000-0005-0000-0000-000011700000}"/>
    <cellStyle name="标题 5 3 4" xfId="33374" xr:uid="{00000000-0005-0000-0000-000012700000}"/>
    <cellStyle name="标题 5 3 5" xfId="33375" xr:uid="{00000000-0005-0000-0000-000013700000}"/>
    <cellStyle name="标题 5 3 6" xfId="33376" xr:uid="{00000000-0005-0000-0000-000014700000}"/>
    <cellStyle name="标题 5 3 7" xfId="33377" xr:uid="{00000000-0005-0000-0000-000015700000}"/>
    <cellStyle name="标题 5 3 8" xfId="31806" xr:uid="{00000000-0005-0000-0000-000016700000}"/>
    <cellStyle name="标题 5 3 9" xfId="31808" xr:uid="{00000000-0005-0000-0000-000017700000}"/>
    <cellStyle name="标题 5 4" xfId="27007" xr:uid="{00000000-0005-0000-0000-000018700000}"/>
    <cellStyle name="标题 5 4 10" xfId="7288" xr:uid="{00000000-0005-0000-0000-000019700000}"/>
    <cellStyle name="标题 5 4 11" xfId="7368" xr:uid="{00000000-0005-0000-0000-00001A700000}"/>
    <cellStyle name="标题 5 4 12" xfId="7437" xr:uid="{00000000-0005-0000-0000-00001B700000}"/>
    <cellStyle name="标题 5 4 13" xfId="2383" xr:uid="{00000000-0005-0000-0000-00001C700000}"/>
    <cellStyle name="标题 5 4 14" xfId="2615" xr:uid="{00000000-0005-0000-0000-00001D700000}"/>
    <cellStyle name="标题 5 4 2" xfId="33378" xr:uid="{00000000-0005-0000-0000-00001E700000}"/>
    <cellStyle name="标题 5 4 3" xfId="33379" xr:uid="{00000000-0005-0000-0000-00001F700000}"/>
    <cellStyle name="标题 5 4 4" xfId="33380" xr:uid="{00000000-0005-0000-0000-000020700000}"/>
    <cellStyle name="标题 5 4 5" xfId="33381" xr:uid="{00000000-0005-0000-0000-000021700000}"/>
    <cellStyle name="标题 5 4 6" xfId="33382" xr:uid="{00000000-0005-0000-0000-000022700000}"/>
    <cellStyle name="标题 5 4 7" xfId="13375" xr:uid="{00000000-0005-0000-0000-000023700000}"/>
    <cellStyle name="标题 5 4 8" xfId="13379" xr:uid="{00000000-0005-0000-0000-000024700000}"/>
    <cellStyle name="标题 5 4 9" xfId="13385" xr:uid="{00000000-0005-0000-0000-000025700000}"/>
    <cellStyle name="标题 5 5" xfId="27009" xr:uid="{00000000-0005-0000-0000-000026700000}"/>
    <cellStyle name="标题 5 6" xfId="33383" xr:uid="{00000000-0005-0000-0000-000027700000}"/>
    <cellStyle name="标题 5 7" xfId="33384" xr:uid="{00000000-0005-0000-0000-000028700000}"/>
    <cellStyle name="标题 5 8" xfId="32554" xr:uid="{00000000-0005-0000-0000-000029700000}"/>
    <cellStyle name="标题 5 9" xfId="32558" xr:uid="{00000000-0005-0000-0000-00002A700000}"/>
    <cellStyle name="标题 6" xfId="15748" xr:uid="{00000000-0005-0000-0000-00002B700000}"/>
    <cellStyle name="标题 6 10" xfId="33385" xr:uid="{00000000-0005-0000-0000-00002C700000}"/>
    <cellStyle name="标题 6 11" xfId="33386" xr:uid="{00000000-0005-0000-0000-00002D700000}"/>
    <cellStyle name="标题 6 12" xfId="29329" xr:uid="{00000000-0005-0000-0000-00002E700000}"/>
    <cellStyle name="标题 6 13" xfId="29331" xr:uid="{00000000-0005-0000-0000-00002F700000}"/>
    <cellStyle name="标题 6 14" xfId="29333" xr:uid="{00000000-0005-0000-0000-000030700000}"/>
    <cellStyle name="标题 6 15" xfId="25887" xr:uid="{00000000-0005-0000-0000-000031700000}"/>
    <cellStyle name="标题 6 16" xfId="29356" xr:uid="{00000000-0005-0000-0000-000032700000}"/>
    <cellStyle name="标题 6 17" xfId="29364" xr:uid="{00000000-0005-0000-0000-000033700000}"/>
    <cellStyle name="标题 6 17 10" xfId="13002" xr:uid="{00000000-0005-0000-0000-000034700000}"/>
    <cellStyle name="标题 6 17 11" xfId="13016" xr:uid="{00000000-0005-0000-0000-000035700000}"/>
    <cellStyle name="标题 6 17 12" xfId="21441" xr:uid="{00000000-0005-0000-0000-000036700000}"/>
    <cellStyle name="标题 6 17 13" xfId="29380" xr:uid="{00000000-0005-0000-0000-000037700000}"/>
    <cellStyle name="标题 6 17 14" xfId="33388" xr:uid="{00000000-0005-0000-0000-000038700000}"/>
    <cellStyle name="标题 6 17 2" xfId="33389" xr:uid="{00000000-0005-0000-0000-000039700000}"/>
    <cellStyle name="标题 6 17 2 2" xfId="19011" xr:uid="{00000000-0005-0000-0000-00003A700000}"/>
    <cellStyle name="标题 6 17 3" xfId="33390" xr:uid="{00000000-0005-0000-0000-00003B700000}"/>
    <cellStyle name="标题 6 17 4" xfId="33391" xr:uid="{00000000-0005-0000-0000-00003C700000}"/>
    <cellStyle name="标题 6 17 5" xfId="33392" xr:uid="{00000000-0005-0000-0000-00003D700000}"/>
    <cellStyle name="标题 6 17 5 10" xfId="33393" xr:uid="{00000000-0005-0000-0000-00003E700000}"/>
    <cellStyle name="标题 6 17 5 11" xfId="33394" xr:uid="{00000000-0005-0000-0000-00003F700000}"/>
    <cellStyle name="标题 6 17 5 2" xfId="33395" xr:uid="{00000000-0005-0000-0000-000040700000}"/>
    <cellStyle name="标题 6 17 5 2 2" xfId="8094" xr:uid="{00000000-0005-0000-0000-000041700000}"/>
    <cellStyle name="标题 6 17 5 2 2 2" xfId="33397" xr:uid="{00000000-0005-0000-0000-000042700000}"/>
    <cellStyle name="标题 6 17 5 2 2 3" xfId="33399" xr:uid="{00000000-0005-0000-0000-000043700000}"/>
    <cellStyle name="标题 6 17 5 2 3" xfId="6194" xr:uid="{00000000-0005-0000-0000-000044700000}"/>
    <cellStyle name="标题 6 17 5 2 4" xfId="6204" xr:uid="{00000000-0005-0000-0000-000045700000}"/>
    <cellStyle name="标题 6 17 5 2 5" xfId="12096" xr:uid="{00000000-0005-0000-0000-000046700000}"/>
    <cellStyle name="标题 6 17 5 2 6" xfId="12102" xr:uid="{00000000-0005-0000-0000-000047700000}"/>
    <cellStyle name="标题 6 17 5 2 7" xfId="23164" xr:uid="{00000000-0005-0000-0000-000048700000}"/>
    <cellStyle name="标题 6 17 5 2 8" xfId="16972" xr:uid="{00000000-0005-0000-0000-000049700000}"/>
    <cellStyle name="标题 6 17 5 3" xfId="33400" xr:uid="{00000000-0005-0000-0000-00004A700000}"/>
    <cellStyle name="标题 6 17 5 4" xfId="33401" xr:uid="{00000000-0005-0000-0000-00004B700000}"/>
    <cellStyle name="标题 6 17 5 5" xfId="33402" xr:uid="{00000000-0005-0000-0000-00004C700000}"/>
    <cellStyle name="标题 6 17 5 6" xfId="25610" xr:uid="{00000000-0005-0000-0000-00004D700000}"/>
    <cellStyle name="标题 6 17 5 6 2" xfId="33403" xr:uid="{00000000-0005-0000-0000-00004E700000}"/>
    <cellStyle name="标题 6 17 5 6 3" xfId="33404" xr:uid="{00000000-0005-0000-0000-00004F700000}"/>
    <cellStyle name="标题 6 17 5 7" xfId="33405" xr:uid="{00000000-0005-0000-0000-000050700000}"/>
    <cellStyle name="标题 6 17 5 8" xfId="33406" xr:uid="{00000000-0005-0000-0000-000051700000}"/>
    <cellStyle name="标题 6 17 5 9" xfId="33407" xr:uid="{00000000-0005-0000-0000-000052700000}"/>
    <cellStyle name="标题 6 17 6" xfId="33408" xr:uid="{00000000-0005-0000-0000-000053700000}"/>
    <cellStyle name="标题 6 17 6 2" xfId="33409" xr:uid="{00000000-0005-0000-0000-000054700000}"/>
    <cellStyle name="标题 6 17 6 2 2" xfId="33410" xr:uid="{00000000-0005-0000-0000-000055700000}"/>
    <cellStyle name="标题 6 17 6 2 3" xfId="33411" xr:uid="{00000000-0005-0000-0000-000056700000}"/>
    <cellStyle name="标题 6 17 6 3" xfId="33412" xr:uid="{00000000-0005-0000-0000-000057700000}"/>
    <cellStyle name="标题 6 17 6 4" xfId="33413" xr:uid="{00000000-0005-0000-0000-000058700000}"/>
    <cellStyle name="标题 6 17 6 5" xfId="33414" xr:uid="{00000000-0005-0000-0000-000059700000}"/>
    <cellStyle name="标题 6 17 6 6" xfId="33415" xr:uid="{00000000-0005-0000-0000-00005A700000}"/>
    <cellStyle name="标题 6 17 6 7" xfId="24410" xr:uid="{00000000-0005-0000-0000-00005B700000}"/>
    <cellStyle name="标题 6 17 6 8" xfId="17906" xr:uid="{00000000-0005-0000-0000-00005C700000}"/>
    <cellStyle name="标题 6 17 7" xfId="33416" xr:uid="{00000000-0005-0000-0000-00005D700000}"/>
    <cellStyle name="标题 6 17 8" xfId="33417" xr:uid="{00000000-0005-0000-0000-00005E700000}"/>
    <cellStyle name="标题 6 17 9" xfId="33418" xr:uid="{00000000-0005-0000-0000-00005F700000}"/>
    <cellStyle name="标题 6 17 9 2" xfId="33419" xr:uid="{00000000-0005-0000-0000-000060700000}"/>
    <cellStyle name="标题 6 17 9 3" xfId="33420" xr:uid="{00000000-0005-0000-0000-000061700000}"/>
    <cellStyle name="标题 6 18" xfId="29366" xr:uid="{00000000-0005-0000-0000-000062700000}"/>
    <cellStyle name="标题 6 18 10" xfId="28626" xr:uid="{00000000-0005-0000-0000-000063700000}"/>
    <cellStyle name="标题 6 18 11" xfId="28628" xr:uid="{00000000-0005-0000-0000-000064700000}"/>
    <cellStyle name="标题 6 18 12" xfId="33421" xr:uid="{00000000-0005-0000-0000-000065700000}"/>
    <cellStyle name="标题 6 18 13" xfId="20965" xr:uid="{00000000-0005-0000-0000-000066700000}"/>
    <cellStyle name="标题 6 18 14" xfId="20969" xr:uid="{00000000-0005-0000-0000-000067700000}"/>
    <cellStyle name="标题 6 18 2" xfId="33422" xr:uid="{00000000-0005-0000-0000-000068700000}"/>
    <cellStyle name="标题 6 18 3" xfId="2054" xr:uid="{00000000-0005-0000-0000-000069700000}"/>
    <cellStyle name="标题 6 18 4" xfId="2119" xr:uid="{00000000-0005-0000-0000-00006A700000}"/>
    <cellStyle name="标题 6 18 5" xfId="2146" xr:uid="{00000000-0005-0000-0000-00006B700000}"/>
    <cellStyle name="标题 6 18 5 10" xfId="18023" xr:uid="{00000000-0005-0000-0000-00006C700000}"/>
    <cellStyle name="标题 6 18 5 11" xfId="18025" xr:uid="{00000000-0005-0000-0000-00006D700000}"/>
    <cellStyle name="标题 6 18 5 2" xfId="8188" xr:uid="{00000000-0005-0000-0000-00006E700000}"/>
    <cellStyle name="标题 6 18 5 2 2" xfId="33423" xr:uid="{00000000-0005-0000-0000-00006F700000}"/>
    <cellStyle name="标题 6 18 5 2 2 2" xfId="32849" xr:uid="{00000000-0005-0000-0000-000070700000}"/>
    <cellStyle name="标题 6 18 5 2 2 3" xfId="32851" xr:uid="{00000000-0005-0000-0000-000071700000}"/>
    <cellStyle name="标题 6 18 5 2 3" xfId="6352" xr:uid="{00000000-0005-0000-0000-000072700000}"/>
    <cellStyle name="标题 6 18 5 2 4" xfId="6354" xr:uid="{00000000-0005-0000-0000-000073700000}"/>
    <cellStyle name="标题 6 18 5 2 5" xfId="33424" xr:uid="{00000000-0005-0000-0000-000074700000}"/>
    <cellStyle name="标题 6 18 5 2 6" xfId="33425" xr:uid="{00000000-0005-0000-0000-000075700000}"/>
    <cellStyle name="标题 6 18 5 2 7" xfId="33426" xr:uid="{00000000-0005-0000-0000-000076700000}"/>
    <cellStyle name="标题 6 18 5 2 8" xfId="33427" xr:uid="{00000000-0005-0000-0000-000077700000}"/>
    <cellStyle name="标题 6 18 5 3" xfId="8197" xr:uid="{00000000-0005-0000-0000-000078700000}"/>
    <cellStyle name="标题 6 18 5 4" xfId="33429" xr:uid="{00000000-0005-0000-0000-000079700000}"/>
    <cellStyle name="标题 6 18 5 5" xfId="33431" xr:uid="{00000000-0005-0000-0000-00007A700000}"/>
    <cellStyle name="标题 6 18 5 6" xfId="33433" xr:uid="{00000000-0005-0000-0000-00007B700000}"/>
    <cellStyle name="标题 6 18 5 6 2" xfId="29471" xr:uid="{00000000-0005-0000-0000-00007C700000}"/>
    <cellStyle name="标题 6 18 5 6 3" xfId="33434" xr:uid="{00000000-0005-0000-0000-00007D700000}"/>
    <cellStyle name="标题 6 18 5 7" xfId="33436" xr:uid="{00000000-0005-0000-0000-00007E700000}"/>
    <cellStyle name="标题 6 18 5 8" xfId="33437" xr:uid="{00000000-0005-0000-0000-00007F700000}"/>
    <cellStyle name="标题 6 18 5 9" xfId="4234" xr:uid="{00000000-0005-0000-0000-000080700000}"/>
    <cellStyle name="标题 6 18 6" xfId="2164" xr:uid="{00000000-0005-0000-0000-000081700000}"/>
    <cellStyle name="标题 6 18 6 2" xfId="1650" xr:uid="{00000000-0005-0000-0000-000082700000}"/>
    <cellStyle name="标题 6 18 6 2 2" xfId="33438" xr:uid="{00000000-0005-0000-0000-000083700000}"/>
    <cellStyle name="标题 6 18 6 2 3" xfId="33439" xr:uid="{00000000-0005-0000-0000-000084700000}"/>
    <cellStyle name="标题 6 18 6 3" xfId="1665" xr:uid="{00000000-0005-0000-0000-000085700000}"/>
    <cellStyle name="标题 6 18 6 4" xfId="33440" xr:uid="{00000000-0005-0000-0000-000086700000}"/>
    <cellStyle name="标题 6 18 6 5" xfId="33441" xr:uid="{00000000-0005-0000-0000-000087700000}"/>
    <cellStyle name="标题 6 18 6 6" xfId="22245" xr:uid="{00000000-0005-0000-0000-000088700000}"/>
    <cellStyle name="标题 6 18 6 7" xfId="22247" xr:uid="{00000000-0005-0000-0000-000089700000}"/>
    <cellStyle name="标题 6 18 6 8" xfId="22250" xr:uid="{00000000-0005-0000-0000-00008A700000}"/>
    <cellStyle name="标题 6 18 7" xfId="2173" xr:uid="{00000000-0005-0000-0000-00008B700000}"/>
    <cellStyle name="标题 6 18 8" xfId="2190" xr:uid="{00000000-0005-0000-0000-00008C700000}"/>
    <cellStyle name="标题 6 18 9" xfId="2202" xr:uid="{00000000-0005-0000-0000-00008D700000}"/>
    <cellStyle name="标题 6 18 9 2" xfId="33442" xr:uid="{00000000-0005-0000-0000-00008E700000}"/>
    <cellStyle name="标题 6 18 9 3" xfId="33443" xr:uid="{00000000-0005-0000-0000-00008F700000}"/>
    <cellStyle name="标题 6 19" xfId="4067" xr:uid="{00000000-0005-0000-0000-000090700000}"/>
    <cellStyle name="标题 6 19 10" xfId="21323" xr:uid="{00000000-0005-0000-0000-000091700000}"/>
    <cellStyle name="标题 6 19 11" xfId="14342" xr:uid="{00000000-0005-0000-0000-000092700000}"/>
    <cellStyle name="标题 6 19 12" xfId="14350" xr:uid="{00000000-0005-0000-0000-000093700000}"/>
    <cellStyle name="标题 6 19 13" xfId="14359" xr:uid="{00000000-0005-0000-0000-000094700000}"/>
    <cellStyle name="标题 6 19 14" xfId="14364" xr:uid="{00000000-0005-0000-0000-000095700000}"/>
    <cellStyle name="标题 6 19 2" xfId="5525" xr:uid="{00000000-0005-0000-0000-000096700000}"/>
    <cellStyle name="标题 6 19 3" xfId="2236" xr:uid="{00000000-0005-0000-0000-000097700000}"/>
    <cellStyle name="标题 6 19 4" xfId="2260" xr:uid="{00000000-0005-0000-0000-000098700000}"/>
    <cellStyle name="标题 6 19 5" xfId="2276" xr:uid="{00000000-0005-0000-0000-000099700000}"/>
    <cellStyle name="标题 6 19 5 10" xfId="33444" xr:uid="{00000000-0005-0000-0000-00009A700000}"/>
    <cellStyle name="标题 6 19 5 11" xfId="33445" xr:uid="{00000000-0005-0000-0000-00009B700000}"/>
    <cellStyle name="标题 6 19 5 2" xfId="32574" xr:uid="{00000000-0005-0000-0000-00009C700000}"/>
    <cellStyle name="标题 6 19 5 2 2" xfId="16872" xr:uid="{00000000-0005-0000-0000-00009D700000}"/>
    <cellStyle name="标题 6 19 5 2 2 2" xfId="3352" xr:uid="{00000000-0005-0000-0000-00009E700000}"/>
    <cellStyle name="标题 6 19 5 2 2 3" xfId="3368" xr:uid="{00000000-0005-0000-0000-00009F700000}"/>
    <cellStyle name="标题 6 19 5 2 3" xfId="16875" xr:uid="{00000000-0005-0000-0000-0000A0700000}"/>
    <cellStyle name="标题 6 19 5 2 4" xfId="16878" xr:uid="{00000000-0005-0000-0000-0000A1700000}"/>
    <cellStyle name="标题 6 19 5 2 5" xfId="16881" xr:uid="{00000000-0005-0000-0000-0000A2700000}"/>
    <cellStyle name="标题 6 19 5 2 6" xfId="16884" xr:uid="{00000000-0005-0000-0000-0000A3700000}"/>
    <cellStyle name="标题 6 19 5 2 7" xfId="33446" xr:uid="{00000000-0005-0000-0000-0000A4700000}"/>
    <cellStyle name="标题 6 19 5 2 8" xfId="16786" xr:uid="{00000000-0005-0000-0000-0000A5700000}"/>
    <cellStyle name="标题 6 19 5 3" xfId="32576" xr:uid="{00000000-0005-0000-0000-0000A6700000}"/>
    <cellStyle name="标题 6 19 5 4" xfId="33448" xr:uid="{00000000-0005-0000-0000-0000A7700000}"/>
    <cellStyle name="标题 6 19 5 5" xfId="33449" xr:uid="{00000000-0005-0000-0000-0000A8700000}"/>
    <cellStyle name="标题 6 19 5 6" xfId="33450" xr:uid="{00000000-0005-0000-0000-0000A9700000}"/>
    <cellStyle name="标题 6 19 5 6 2" xfId="29524" xr:uid="{00000000-0005-0000-0000-0000AA700000}"/>
    <cellStyle name="标题 6 19 5 6 3" xfId="33451" xr:uid="{00000000-0005-0000-0000-0000AB700000}"/>
    <cellStyle name="标题 6 19 5 7" xfId="33452" xr:uid="{00000000-0005-0000-0000-0000AC700000}"/>
    <cellStyle name="标题 6 19 5 8" xfId="33453" xr:uid="{00000000-0005-0000-0000-0000AD700000}"/>
    <cellStyle name="标题 6 19 5 9" xfId="33454" xr:uid="{00000000-0005-0000-0000-0000AE700000}"/>
    <cellStyle name="标题 6 19 6" xfId="2289" xr:uid="{00000000-0005-0000-0000-0000AF700000}"/>
    <cellStyle name="标题 6 19 6 2" xfId="33038" xr:uid="{00000000-0005-0000-0000-0000B0700000}"/>
    <cellStyle name="标题 6 19 6 2 2" xfId="16933" xr:uid="{00000000-0005-0000-0000-0000B1700000}"/>
    <cellStyle name="标题 6 19 6 2 3" xfId="16936" xr:uid="{00000000-0005-0000-0000-0000B2700000}"/>
    <cellStyle name="标题 6 19 6 3" xfId="33040" xr:uid="{00000000-0005-0000-0000-0000B3700000}"/>
    <cellStyle name="标题 6 19 6 4" xfId="33042" xr:uid="{00000000-0005-0000-0000-0000B4700000}"/>
    <cellStyle name="标题 6 19 6 5" xfId="33455" xr:uid="{00000000-0005-0000-0000-0000B5700000}"/>
    <cellStyle name="标题 6 19 6 6" xfId="22444" xr:uid="{00000000-0005-0000-0000-0000B6700000}"/>
    <cellStyle name="标题 6 19 6 7" xfId="22446" xr:uid="{00000000-0005-0000-0000-0000B7700000}"/>
    <cellStyle name="标题 6 19 6 8" xfId="22449" xr:uid="{00000000-0005-0000-0000-0000B8700000}"/>
    <cellStyle name="标题 6 19 7" xfId="838" xr:uid="{00000000-0005-0000-0000-0000B9700000}"/>
    <cellStyle name="标题 6 19 8" xfId="865" xr:uid="{00000000-0005-0000-0000-0000BA700000}"/>
    <cellStyle name="标题 6 19 9" xfId="850" xr:uid="{00000000-0005-0000-0000-0000BB700000}"/>
    <cellStyle name="标题 6 19 9 2" xfId="27431" xr:uid="{00000000-0005-0000-0000-0000BC700000}"/>
    <cellStyle name="标题 6 19 9 3" xfId="27436" xr:uid="{00000000-0005-0000-0000-0000BD700000}"/>
    <cellStyle name="标题 6 2" xfId="13010" xr:uid="{00000000-0005-0000-0000-0000BE700000}"/>
    <cellStyle name="标题 6 2 10" xfId="32443" xr:uid="{00000000-0005-0000-0000-0000BF700000}"/>
    <cellStyle name="标题 6 2 11" xfId="32445" xr:uid="{00000000-0005-0000-0000-0000C0700000}"/>
    <cellStyle name="标题 6 2 12" xfId="32447" xr:uid="{00000000-0005-0000-0000-0000C1700000}"/>
    <cellStyle name="标题 6 2 13" xfId="32449" xr:uid="{00000000-0005-0000-0000-0000C2700000}"/>
    <cellStyle name="标题 6 2 14" xfId="32451" xr:uid="{00000000-0005-0000-0000-0000C3700000}"/>
    <cellStyle name="标题 6 2 2" xfId="9076" xr:uid="{00000000-0005-0000-0000-0000C4700000}"/>
    <cellStyle name="标题 6 2 3" xfId="33456" xr:uid="{00000000-0005-0000-0000-0000C5700000}"/>
    <cellStyle name="标题 6 2 4" xfId="9089" xr:uid="{00000000-0005-0000-0000-0000C6700000}"/>
    <cellStyle name="标题 6 2 5" xfId="3917" xr:uid="{00000000-0005-0000-0000-0000C7700000}"/>
    <cellStyle name="标题 6 2 6" xfId="3921" xr:uid="{00000000-0005-0000-0000-0000C8700000}"/>
    <cellStyle name="标题 6 2 7" xfId="3923" xr:uid="{00000000-0005-0000-0000-0000C9700000}"/>
    <cellStyle name="标题 6 2 8" xfId="3928" xr:uid="{00000000-0005-0000-0000-0000CA700000}"/>
    <cellStyle name="标题 6 2 9" xfId="4075" xr:uid="{00000000-0005-0000-0000-0000CB700000}"/>
    <cellStyle name="标题 6 20" xfId="25888" xr:uid="{00000000-0005-0000-0000-0000CC700000}"/>
    <cellStyle name="标题 6 20 10" xfId="29335" xr:uid="{00000000-0005-0000-0000-0000CD700000}"/>
    <cellStyle name="标题 6 20 11" xfId="29339" xr:uid="{00000000-0005-0000-0000-0000CE700000}"/>
    <cellStyle name="标题 6 20 12" xfId="26097" xr:uid="{00000000-0005-0000-0000-0000CF700000}"/>
    <cellStyle name="标题 6 20 13" xfId="33459" xr:uid="{00000000-0005-0000-0000-0000D0700000}"/>
    <cellStyle name="标题 6 20 14" xfId="33461" xr:uid="{00000000-0005-0000-0000-0000D1700000}"/>
    <cellStyle name="标题 6 20 2" xfId="29341" xr:uid="{00000000-0005-0000-0000-0000D2700000}"/>
    <cellStyle name="标题 6 20 3" xfId="29349" xr:uid="{00000000-0005-0000-0000-0000D3700000}"/>
    <cellStyle name="标题 6 20 4" xfId="29351" xr:uid="{00000000-0005-0000-0000-0000D4700000}"/>
    <cellStyle name="标题 6 20 5" xfId="29354" xr:uid="{00000000-0005-0000-0000-0000D5700000}"/>
    <cellStyle name="标题 6 20 5 10" xfId="7219" xr:uid="{00000000-0005-0000-0000-0000D6700000}"/>
    <cellStyle name="标题 6 20 5 11" xfId="7224" xr:uid="{00000000-0005-0000-0000-0000D7700000}"/>
    <cellStyle name="标题 6 20 5 2" xfId="7330" xr:uid="{00000000-0005-0000-0000-0000D8700000}"/>
    <cellStyle name="标题 6 20 5 2 2" xfId="33462" xr:uid="{00000000-0005-0000-0000-0000D9700000}"/>
    <cellStyle name="标题 6 20 5 2 2 2" xfId="19239" xr:uid="{00000000-0005-0000-0000-0000DA700000}"/>
    <cellStyle name="标题 6 20 5 2 2 3" xfId="19248" xr:uid="{00000000-0005-0000-0000-0000DB700000}"/>
    <cellStyle name="标题 6 20 5 2 3" xfId="33463" xr:uid="{00000000-0005-0000-0000-0000DC700000}"/>
    <cellStyle name="标题 6 20 5 2 4" xfId="33464" xr:uid="{00000000-0005-0000-0000-0000DD700000}"/>
    <cellStyle name="标题 6 20 5 2 5" xfId="27282" xr:uid="{00000000-0005-0000-0000-0000DE700000}"/>
    <cellStyle name="标题 6 20 5 2 6" xfId="27284" xr:uid="{00000000-0005-0000-0000-0000DF700000}"/>
    <cellStyle name="标题 6 20 5 2 7" xfId="33465" xr:uid="{00000000-0005-0000-0000-0000E0700000}"/>
    <cellStyle name="标题 6 20 5 2 8" xfId="9896" xr:uid="{00000000-0005-0000-0000-0000E1700000}"/>
    <cellStyle name="标题 6 20 5 3" xfId="7339" xr:uid="{00000000-0005-0000-0000-0000E2700000}"/>
    <cellStyle name="标题 6 20 5 4" xfId="7347" xr:uid="{00000000-0005-0000-0000-0000E3700000}"/>
    <cellStyle name="标题 6 20 5 5" xfId="33466" xr:uid="{00000000-0005-0000-0000-0000E4700000}"/>
    <cellStyle name="标题 6 20 5 6" xfId="33467" xr:uid="{00000000-0005-0000-0000-0000E5700000}"/>
    <cellStyle name="标题 6 20 5 6 2" xfId="33468" xr:uid="{00000000-0005-0000-0000-0000E6700000}"/>
    <cellStyle name="标题 6 20 5 6 3" xfId="33469" xr:uid="{00000000-0005-0000-0000-0000E7700000}"/>
    <cellStyle name="标题 6 20 5 7" xfId="33470" xr:uid="{00000000-0005-0000-0000-0000E8700000}"/>
    <cellStyle name="标题 6 20 5 8" xfId="33471" xr:uid="{00000000-0005-0000-0000-0000E9700000}"/>
    <cellStyle name="标题 6 20 5 9" xfId="33472" xr:uid="{00000000-0005-0000-0000-0000EA700000}"/>
    <cellStyle name="标题 6 20 6" xfId="27349" xr:uid="{00000000-0005-0000-0000-0000EB700000}"/>
    <cellStyle name="标题 6 20 6 2" xfId="243" xr:uid="{00000000-0005-0000-0000-0000EC700000}"/>
    <cellStyle name="标题 6 20 6 2 2" xfId="33473" xr:uid="{00000000-0005-0000-0000-0000ED700000}"/>
    <cellStyle name="标题 6 20 6 2 3" xfId="24915" xr:uid="{00000000-0005-0000-0000-0000EE700000}"/>
    <cellStyle name="标题 6 20 6 3" xfId="5921" xr:uid="{00000000-0005-0000-0000-0000EF700000}"/>
    <cellStyle name="标题 6 20 6 4" xfId="7426" xr:uid="{00000000-0005-0000-0000-0000F0700000}"/>
    <cellStyle name="标题 6 20 6 5" xfId="33474" xr:uid="{00000000-0005-0000-0000-0000F1700000}"/>
    <cellStyle name="标题 6 20 6 6" xfId="33475" xr:uid="{00000000-0005-0000-0000-0000F2700000}"/>
    <cellStyle name="标题 6 20 6 7" xfId="33476" xr:uid="{00000000-0005-0000-0000-0000F3700000}"/>
    <cellStyle name="标题 6 20 6 8" xfId="17093" xr:uid="{00000000-0005-0000-0000-0000F4700000}"/>
    <cellStyle name="标题 6 20 7" xfId="21911" xr:uid="{00000000-0005-0000-0000-0000F5700000}"/>
    <cellStyle name="标题 6 20 8" xfId="699" xr:uid="{00000000-0005-0000-0000-0000F6700000}"/>
    <cellStyle name="标题 6 20 9" xfId="733" xr:uid="{00000000-0005-0000-0000-0000F7700000}"/>
    <cellStyle name="标题 6 20 9 2" xfId="33477" xr:uid="{00000000-0005-0000-0000-0000F8700000}"/>
    <cellStyle name="标题 6 20 9 3" xfId="33478" xr:uid="{00000000-0005-0000-0000-0000F9700000}"/>
    <cellStyle name="标题 6 3" xfId="13023" xr:uid="{00000000-0005-0000-0000-0000FA700000}"/>
    <cellStyle name="标题 6 3 10" xfId="33479" xr:uid="{00000000-0005-0000-0000-0000FB700000}"/>
    <cellStyle name="标题 6 3 11" xfId="33480" xr:uid="{00000000-0005-0000-0000-0000FC700000}"/>
    <cellStyle name="标题 6 3 12" xfId="33481" xr:uid="{00000000-0005-0000-0000-0000FD700000}"/>
    <cellStyle name="标题 6 3 13" xfId="33482" xr:uid="{00000000-0005-0000-0000-0000FE700000}"/>
    <cellStyle name="标题 6 3 14" xfId="33483" xr:uid="{00000000-0005-0000-0000-0000FF700000}"/>
    <cellStyle name="标题 6 3 2" xfId="33484" xr:uid="{00000000-0005-0000-0000-000000710000}"/>
    <cellStyle name="标题 6 3 3" xfId="33486" xr:uid="{00000000-0005-0000-0000-000001710000}"/>
    <cellStyle name="标题 6 3 4" xfId="33488" xr:uid="{00000000-0005-0000-0000-000002710000}"/>
    <cellStyle name="标题 6 3 5" xfId="33490" xr:uid="{00000000-0005-0000-0000-000003710000}"/>
    <cellStyle name="标题 6 3 6" xfId="31201" xr:uid="{00000000-0005-0000-0000-000004710000}"/>
    <cellStyle name="标题 6 3 7" xfId="31211" xr:uid="{00000000-0005-0000-0000-000005710000}"/>
    <cellStyle name="标题 6 3 8" xfId="31215" xr:uid="{00000000-0005-0000-0000-000006710000}"/>
    <cellStyle name="标题 6 3 9" xfId="31219" xr:uid="{00000000-0005-0000-0000-000007710000}"/>
    <cellStyle name="标题 6 4" xfId="13025" xr:uid="{00000000-0005-0000-0000-000008710000}"/>
    <cellStyle name="标题 6 4 10" xfId="33491" xr:uid="{00000000-0005-0000-0000-000009710000}"/>
    <cellStyle name="标题 6 4 11" xfId="24525" xr:uid="{00000000-0005-0000-0000-00000A710000}"/>
    <cellStyle name="标题 6 4 12" xfId="33492" xr:uid="{00000000-0005-0000-0000-00000B710000}"/>
    <cellStyle name="标题 6 4 13" xfId="277" xr:uid="{00000000-0005-0000-0000-00000C710000}"/>
    <cellStyle name="标题 6 4 14" xfId="1355" xr:uid="{00000000-0005-0000-0000-00000D710000}"/>
    <cellStyle name="标题 6 4 2" xfId="33493" xr:uid="{00000000-0005-0000-0000-00000E710000}"/>
    <cellStyle name="标题 6 4 3" xfId="33495" xr:uid="{00000000-0005-0000-0000-00000F710000}"/>
    <cellStyle name="标题 6 4 4" xfId="33497" xr:uid="{00000000-0005-0000-0000-000010710000}"/>
    <cellStyle name="标题 6 4 5" xfId="30033" xr:uid="{00000000-0005-0000-0000-000011710000}"/>
    <cellStyle name="标题 6 4 6" xfId="30036" xr:uid="{00000000-0005-0000-0000-000012710000}"/>
    <cellStyle name="标题 6 4 7" xfId="31229" xr:uid="{00000000-0005-0000-0000-000013710000}"/>
    <cellStyle name="标题 6 4 8" xfId="31232" xr:uid="{00000000-0005-0000-0000-000014710000}"/>
    <cellStyle name="标题 6 4 9" xfId="31235" xr:uid="{00000000-0005-0000-0000-000015710000}"/>
    <cellStyle name="标题 6 5" xfId="33498" xr:uid="{00000000-0005-0000-0000-000016710000}"/>
    <cellStyle name="标题 6 6" xfId="33499" xr:uid="{00000000-0005-0000-0000-000017710000}"/>
    <cellStyle name="标题 6 7" xfId="28800" xr:uid="{00000000-0005-0000-0000-000018710000}"/>
    <cellStyle name="标题 6 8" xfId="28802" xr:uid="{00000000-0005-0000-0000-000019710000}"/>
    <cellStyle name="标题 6 9" xfId="33500" xr:uid="{00000000-0005-0000-0000-00001A710000}"/>
    <cellStyle name="标题 7" xfId="16274" xr:uid="{00000000-0005-0000-0000-00001B710000}"/>
    <cellStyle name="标题 7 10" xfId="28873" xr:uid="{00000000-0005-0000-0000-00001C710000}"/>
    <cellStyle name="标题 7 11" xfId="28876" xr:uid="{00000000-0005-0000-0000-00001D710000}"/>
    <cellStyle name="标题 7 12" xfId="28879" xr:uid="{00000000-0005-0000-0000-00001E710000}"/>
    <cellStyle name="标题 7 13" xfId="28882" xr:uid="{00000000-0005-0000-0000-00001F710000}"/>
    <cellStyle name="标题 7 14" xfId="28884" xr:uid="{00000000-0005-0000-0000-000020710000}"/>
    <cellStyle name="标题 7 15" xfId="28249" xr:uid="{00000000-0005-0000-0000-000021710000}"/>
    <cellStyle name="标题 7 16" xfId="28253" xr:uid="{00000000-0005-0000-0000-000022710000}"/>
    <cellStyle name="标题 7 17" xfId="33501" xr:uid="{00000000-0005-0000-0000-000023710000}"/>
    <cellStyle name="标题 7 17 10" xfId="3271" xr:uid="{00000000-0005-0000-0000-000024710000}"/>
    <cellStyle name="标题 7 17 11" xfId="3633" xr:uid="{00000000-0005-0000-0000-000025710000}"/>
    <cellStyle name="标题 7 17 12" xfId="3636" xr:uid="{00000000-0005-0000-0000-000026710000}"/>
    <cellStyle name="标题 7 17 13" xfId="3640" xr:uid="{00000000-0005-0000-0000-000027710000}"/>
    <cellStyle name="标题 7 17 14" xfId="3643" xr:uid="{00000000-0005-0000-0000-000028710000}"/>
    <cellStyle name="标题 7 17 2" xfId="33502" xr:uid="{00000000-0005-0000-0000-000029710000}"/>
    <cellStyle name="标题 7 17 3" xfId="29779" xr:uid="{00000000-0005-0000-0000-00002A710000}"/>
    <cellStyle name="标题 7 17 4" xfId="25349" xr:uid="{00000000-0005-0000-0000-00002B710000}"/>
    <cellStyle name="标题 7 17 5" xfId="25361" xr:uid="{00000000-0005-0000-0000-00002C710000}"/>
    <cellStyle name="标题 7 17 5 10" xfId="32581" xr:uid="{00000000-0005-0000-0000-00002D710000}"/>
    <cellStyle name="标题 7 17 5 11" xfId="32583" xr:uid="{00000000-0005-0000-0000-00002E710000}"/>
    <cellStyle name="标题 7 17 5 2" xfId="27630" xr:uid="{00000000-0005-0000-0000-00002F710000}"/>
    <cellStyle name="标题 7 17 5 2 2" xfId="5474" xr:uid="{00000000-0005-0000-0000-000030710000}"/>
    <cellStyle name="标题 7 17 5 2 2 2" xfId="32047" xr:uid="{00000000-0005-0000-0000-000031710000}"/>
    <cellStyle name="标题 7 17 5 2 2 3" xfId="32051" xr:uid="{00000000-0005-0000-0000-000032710000}"/>
    <cellStyle name="标题 7 17 5 2 3" xfId="5483" xr:uid="{00000000-0005-0000-0000-000033710000}"/>
    <cellStyle name="标题 7 17 5 2 4" xfId="6859" xr:uid="{00000000-0005-0000-0000-000034710000}"/>
    <cellStyle name="标题 7 17 5 2 5" xfId="2681" xr:uid="{00000000-0005-0000-0000-000035710000}"/>
    <cellStyle name="标题 7 17 5 2 6" xfId="3274" xr:uid="{00000000-0005-0000-0000-000036710000}"/>
    <cellStyle name="标题 7 17 5 2 7" xfId="33503" xr:uid="{00000000-0005-0000-0000-000037710000}"/>
    <cellStyle name="标题 7 17 5 2 8" xfId="3639" xr:uid="{00000000-0005-0000-0000-000038710000}"/>
    <cellStyle name="标题 7 17 5 3" xfId="27632" xr:uid="{00000000-0005-0000-0000-000039710000}"/>
    <cellStyle name="标题 7 17 5 4" xfId="27652" xr:uid="{00000000-0005-0000-0000-00003A710000}"/>
    <cellStyle name="标题 7 17 5 5" xfId="27666" xr:uid="{00000000-0005-0000-0000-00003B710000}"/>
    <cellStyle name="标题 7 17 5 6" xfId="27668" xr:uid="{00000000-0005-0000-0000-00003C710000}"/>
    <cellStyle name="标题 7 17 5 6 2" xfId="33504" xr:uid="{00000000-0005-0000-0000-00003D710000}"/>
    <cellStyle name="标题 7 17 5 6 3" xfId="33505" xr:uid="{00000000-0005-0000-0000-00003E710000}"/>
    <cellStyle name="标题 7 17 5 7" xfId="27670" xr:uid="{00000000-0005-0000-0000-00003F710000}"/>
    <cellStyle name="标题 7 17 5 8" xfId="33506" xr:uid="{00000000-0005-0000-0000-000040710000}"/>
    <cellStyle name="标题 7 17 5 9" xfId="33507" xr:uid="{00000000-0005-0000-0000-000041710000}"/>
    <cellStyle name="标题 7 17 6" xfId="25364" xr:uid="{00000000-0005-0000-0000-000042710000}"/>
    <cellStyle name="标题 7 17 6 2" xfId="27685" xr:uid="{00000000-0005-0000-0000-000043710000}"/>
    <cellStyle name="标题 7 17 6 2 2" xfId="5761" xr:uid="{00000000-0005-0000-0000-000044710000}"/>
    <cellStyle name="标题 7 17 6 2 3" xfId="5772" xr:uid="{00000000-0005-0000-0000-000045710000}"/>
    <cellStyle name="标题 7 17 6 3" xfId="25997" xr:uid="{00000000-0005-0000-0000-000046710000}"/>
    <cellStyle name="标题 7 17 6 4" xfId="27705" xr:uid="{00000000-0005-0000-0000-000047710000}"/>
    <cellStyle name="标题 7 17 6 5" xfId="27721" xr:uid="{00000000-0005-0000-0000-000048710000}"/>
    <cellStyle name="标题 7 17 6 6" xfId="27723" xr:uid="{00000000-0005-0000-0000-000049710000}"/>
    <cellStyle name="标题 7 17 6 7" xfId="27725" xr:uid="{00000000-0005-0000-0000-00004A710000}"/>
    <cellStyle name="标题 7 17 6 8" xfId="18177" xr:uid="{00000000-0005-0000-0000-00004B710000}"/>
    <cellStyle name="标题 7 17 7" xfId="25367" xr:uid="{00000000-0005-0000-0000-00004C710000}"/>
    <cellStyle name="标题 7 17 8" xfId="25370" xr:uid="{00000000-0005-0000-0000-00004D710000}"/>
    <cellStyle name="标题 7 17 9" xfId="25375" xr:uid="{00000000-0005-0000-0000-00004E710000}"/>
    <cellStyle name="标题 7 17 9 2" xfId="577" xr:uid="{00000000-0005-0000-0000-00004F710000}"/>
    <cellStyle name="标题 7 17 9 3" xfId="587" xr:uid="{00000000-0005-0000-0000-000050710000}"/>
    <cellStyle name="标题 7 18" xfId="33508" xr:uid="{00000000-0005-0000-0000-000051710000}"/>
    <cellStyle name="标题 7 18 10" xfId="22277" xr:uid="{00000000-0005-0000-0000-000052710000}"/>
    <cellStyle name="标题 7 18 11" xfId="22281" xr:uid="{00000000-0005-0000-0000-000053710000}"/>
    <cellStyle name="标题 7 18 12" xfId="22283" xr:uid="{00000000-0005-0000-0000-000054710000}"/>
    <cellStyle name="标题 7 18 13" xfId="15451" xr:uid="{00000000-0005-0000-0000-000055710000}"/>
    <cellStyle name="标题 7 18 14" xfId="15463" xr:uid="{00000000-0005-0000-0000-000056710000}"/>
    <cellStyle name="标题 7 18 2" xfId="18752" xr:uid="{00000000-0005-0000-0000-000057710000}"/>
    <cellStyle name="标题 7 18 3" xfId="24768" xr:uid="{00000000-0005-0000-0000-000058710000}"/>
    <cellStyle name="标题 7 18 4" xfId="25381" xr:uid="{00000000-0005-0000-0000-000059710000}"/>
    <cellStyle name="标题 7 18 5" xfId="25387" xr:uid="{00000000-0005-0000-0000-00005A710000}"/>
    <cellStyle name="标题 7 18 5 10" xfId="33509" xr:uid="{00000000-0005-0000-0000-00005B710000}"/>
    <cellStyle name="标题 7 18 5 11" xfId="33510" xr:uid="{00000000-0005-0000-0000-00005C710000}"/>
    <cellStyle name="标题 7 18 5 2" xfId="14151" xr:uid="{00000000-0005-0000-0000-00005D710000}"/>
    <cellStyle name="标题 7 18 5 2 2" xfId="8925" xr:uid="{00000000-0005-0000-0000-00005E710000}"/>
    <cellStyle name="标题 7 18 5 2 2 2" xfId="32494" xr:uid="{00000000-0005-0000-0000-00005F710000}"/>
    <cellStyle name="标题 7 18 5 2 2 3" xfId="32496" xr:uid="{00000000-0005-0000-0000-000060710000}"/>
    <cellStyle name="标题 7 18 5 2 3" xfId="922" xr:uid="{00000000-0005-0000-0000-000061710000}"/>
    <cellStyle name="标题 7 18 5 2 4" xfId="960" xr:uid="{00000000-0005-0000-0000-000062710000}"/>
    <cellStyle name="标题 7 18 5 2 5" xfId="33511" xr:uid="{00000000-0005-0000-0000-000063710000}"/>
    <cellStyle name="标题 7 18 5 2 6" xfId="33512" xr:uid="{00000000-0005-0000-0000-000064710000}"/>
    <cellStyle name="标题 7 18 5 2 7" xfId="33513" xr:uid="{00000000-0005-0000-0000-000065710000}"/>
    <cellStyle name="标题 7 18 5 2 8" xfId="33514" xr:uid="{00000000-0005-0000-0000-000066710000}"/>
    <cellStyle name="标题 7 18 5 3" xfId="14154" xr:uid="{00000000-0005-0000-0000-000067710000}"/>
    <cellStyle name="标题 7 18 5 4" xfId="33516" xr:uid="{00000000-0005-0000-0000-000068710000}"/>
    <cellStyle name="标题 7 18 5 5" xfId="33518" xr:uid="{00000000-0005-0000-0000-000069710000}"/>
    <cellStyle name="标题 7 18 5 6" xfId="33520" xr:uid="{00000000-0005-0000-0000-00006A710000}"/>
    <cellStyle name="标题 7 18 5 6 2" xfId="18618" xr:uid="{00000000-0005-0000-0000-00006B710000}"/>
    <cellStyle name="标题 7 18 5 6 3" xfId="19416" xr:uid="{00000000-0005-0000-0000-00006C710000}"/>
    <cellStyle name="标题 7 18 5 7" xfId="33522" xr:uid="{00000000-0005-0000-0000-00006D710000}"/>
    <cellStyle name="标题 7 18 5 8" xfId="33524" xr:uid="{00000000-0005-0000-0000-00006E710000}"/>
    <cellStyle name="标题 7 18 5 9" xfId="33526" xr:uid="{00000000-0005-0000-0000-00006F710000}"/>
    <cellStyle name="标题 7 18 6" xfId="25390" xr:uid="{00000000-0005-0000-0000-000070710000}"/>
    <cellStyle name="标题 7 18 6 2" xfId="14222" xr:uid="{00000000-0005-0000-0000-000071710000}"/>
    <cellStyle name="标题 7 18 6 2 2" xfId="18632" xr:uid="{00000000-0005-0000-0000-000072710000}"/>
    <cellStyle name="标题 7 18 6 2 3" xfId="21547" xr:uid="{00000000-0005-0000-0000-000073710000}"/>
    <cellStyle name="标题 7 18 6 3" xfId="14226" xr:uid="{00000000-0005-0000-0000-000074710000}"/>
    <cellStyle name="标题 7 18 6 4" xfId="24730" xr:uid="{00000000-0005-0000-0000-000075710000}"/>
    <cellStyle name="标题 7 18 6 5" xfId="24733" xr:uid="{00000000-0005-0000-0000-000076710000}"/>
    <cellStyle name="标题 7 18 6 6" xfId="24736" xr:uid="{00000000-0005-0000-0000-000077710000}"/>
    <cellStyle name="标题 7 18 6 7" xfId="24739" xr:uid="{00000000-0005-0000-0000-000078710000}"/>
    <cellStyle name="标题 7 18 6 8" xfId="24743" xr:uid="{00000000-0005-0000-0000-000079710000}"/>
    <cellStyle name="标题 7 18 7" xfId="25393" xr:uid="{00000000-0005-0000-0000-00007A710000}"/>
    <cellStyle name="标题 7 18 8" xfId="25396" xr:uid="{00000000-0005-0000-0000-00007B710000}"/>
    <cellStyle name="标题 7 18 9" xfId="25399" xr:uid="{00000000-0005-0000-0000-00007C710000}"/>
    <cellStyle name="标题 7 18 9 2" xfId="33528" xr:uid="{00000000-0005-0000-0000-00007D710000}"/>
    <cellStyle name="标题 7 18 9 3" xfId="33530" xr:uid="{00000000-0005-0000-0000-00007E710000}"/>
    <cellStyle name="标题 7 19" xfId="33531" xr:uid="{00000000-0005-0000-0000-00007F710000}"/>
    <cellStyle name="标题 7 19 10" xfId="21555" xr:uid="{00000000-0005-0000-0000-000080710000}"/>
    <cellStyle name="标题 7 19 11" xfId="21558" xr:uid="{00000000-0005-0000-0000-000081710000}"/>
    <cellStyle name="标题 7 19 12" xfId="21561" xr:uid="{00000000-0005-0000-0000-000082710000}"/>
    <cellStyle name="标题 7 19 13" xfId="2790" xr:uid="{00000000-0005-0000-0000-000083710000}"/>
    <cellStyle name="标题 7 19 14" xfId="12107" xr:uid="{00000000-0005-0000-0000-000084710000}"/>
    <cellStyle name="标题 7 19 2" xfId="6432" xr:uid="{00000000-0005-0000-0000-000085710000}"/>
    <cellStyle name="标题 7 19 3" xfId="6440" xr:uid="{00000000-0005-0000-0000-000086710000}"/>
    <cellStyle name="标题 7 19 4" xfId="6449" xr:uid="{00000000-0005-0000-0000-000087710000}"/>
    <cellStyle name="标题 7 19 5" xfId="6547" xr:uid="{00000000-0005-0000-0000-000088710000}"/>
    <cellStyle name="标题 7 19 5 10" xfId="33533" xr:uid="{00000000-0005-0000-0000-000089710000}"/>
    <cellStyle name="标题 7 19 5 11" xfId="33535" xr:uid="{00000000-0005-0000-0000-00008A710000}"/>
    <cellStyle name="标题 7 19 5 2" xfId="29679" xr:uid="{00000000-0005-0000-0000-00008B710000}"/>
    <cellStyle name="标题 7 19 5 2 2" xfId="9662" xr:uid="{00000000-0005-0000-0000-00008C710000}"/>
    <cellStyle name="标题 7 19 5 2 2 2" xfId="27136" xr:uid="{00000000-0005-0000-0000-00008D710000}"/>
    <cellStyle name="标题 7 19 5 2 2 3" xfId="27826" xr:uid="{00000000-0005-0000-0000-00008E710000}"/>
    <cellStyle name="标题 7 19 5 2 3" xfId="9675" xr:uid="{00000000-0005-0000-0000-00008F710000}"/>
    <cellStyle name="标题 7 19 5 2 4" xfId="17887" xr:uid="{00000000-0005-0000-0000-000090710000}"/>
    <cellStyle name="标题 7 19 5 2 5" xfId="9067" xr:uid="{00000000-0005-0000-0000-000091710000}"/>
    <cellStyle name="标题 7 19 5 2 6" xfId="9077" xr:uid="{00000000-0005-0000-0000-000092710000}"/>
    <cellStyle name="标题 7 19 5 2 7" xfId="33457" xr:uid="{00000000-0005-0000-0000-000093710000}"/>
    <cellStyle name="标题 7 19 5 2 8" xfId="9090" xr:uid="{00000000-0005-0000-0000-000094710000}"/>
    <cellStyle name="标题 7 19 5 3" xfId="32685" xr:uid="{00000000-0005-0000-0000-000095710000}"/>
    <cellStyle name="标题 7 19 5 4" xfId="33536" xr:uid="{00000000-0005-0000-0000-000096710000}"/>
    <cellStyle name="标题 7 19 5 5" xfId="33537" xr:uid="{00000000-0005-0000-0000-000097710000}"/>
    <cellStyle name="标题 7 19 5 6" xfId="33538" xr:uid="{00000000-0005-0000-0000-000098710000}"/>
    <cellStyle name="标题 7 19 5 6 2" xfId="29986" xr:uid="{00000000-0005-0000-0000-000099710000}"/>
    <cellStyle name="标题 7 19 5 6 3" xfId="33539" xr:uid="{00000000-0005-0000-0000-00009A710000}"/>
    <cellStyle name="标题 7 19 5 7" xfId="33540" xr:uid="{00000000-0005-0000-0000-00009B710000}"/>
    <cellStyle name="标题 7 19 5 8" xfId="33541" xr:uid="{00000000-0005-0000-0000-00009C710000}"/>
    <cellStyle name="标题 7 19 5 9" xfId="33542" xr:uid="{00000000-0005-0000-0000-00009D710000}"/>
    <cellStyle name="标题 7 19 6" xfId="6555" xr:uid="{00000000-0005-0000-0000-00009E710000}"/>
    <cellStyle name="标题 7 19 6 2" xfId="18372" xr:uid="{00000000-0005-0000-0000-00009F710000}"/>
    <cellStyle name="标题 7 19 6 2 2" xfId="17933" xr:uid="{00000000-0005-0000-0000-0000A0710000}"/>
    <cellStyle name="标题 7 19 6 2 3" xfId="17935" xr:uid="{00000000-0005-0000-0000-0000A1710000}"/>
    <cellStyle name="标题 7 19 6 3" xfId="18374" xr:uid="{00000000-0005-0000-0000-0000A2710000}"/>
    <cellStyle name="标题 7 19 6 4" xfId="18376" xr:uid="{00000000-0005-0000-0000-0000A3710000}"/>
    <cellStyle name="标题 7 19 6 5" xfId="18378" xr:uid="{00000000-0005-0000-0000-0000A4710000}"/>
    <cellStyle name="标题 7 19 6 6" xfId="18426" xr:uid="{00000000-0005-0000-0000-0000A5710000}"/>
    <cellStyle name="标题 7 19 6 7" xfId="18482" xr:uid="{00000000-0005-0000-0000-0000A6710000}"/>
    <cellStyle name="标题 7 19 6 8" xfId="18539" xr:uid="{00000000-0005-0000-0000-0000A7710000}"/>
    <cellStyle name="标题 7 19 7" xfId="16531" xr:uid="{00000000-0005-0000-0000-0000A8710000}"/>
    <cellStyle name="标题 7 19 8" xfId="33543" xr:uid="{00000000-0005-0000-0000-0000A9710000}"/>
    <cellStyle name="标题 7 19 9" xfId="33544" xr:uid="{00000000-0005-0000-0000-0000AA710000}"/>
    <cellStyle name="标题 7 19 9 2" xfId="33546" xr:uid="{00000000-0005-0000-0000-0000AB710000}"/>
    <cellStyle name="标题 7 19 9 3" xfId="33548" xr:uid="{00000000-0005-0000-0000-0000AC710000}"/>
    <cellStyle name="标题 7 2" xfId="12185" xr:uid="{00000000-0005-0000-0000-0000AD710000}"/>
    <cellStyle name="标题 7 20" xfId="28250" xr:uid="{00000000-0005-0000-0000-0000AE710000}"/>
    <cellStyle name="标题 7 20 10" xfId="16343" xr:uid="{00000000-0005-0000-0000-0000AF710000}"/>
    <cellStyle name="标题 7 20 11" xfId="932" xr:uid="{00000000-0005-0000-0000-0000B0710000}"/>
    <cellStyle name="标题 7 20 12" xfId="970" xr:uid="{00000000-0005-0000-0000-0000B1710000}"/>
    <cellStyle name="标题 7 20 13" xfId="33549" xr:uid="{00000000-0005-0000-0000-0000B2710000}"/>
    <cellStyle name="标题 7 20 14" xfId="33550" xr:uid="{00000000-0005-0000-0000-0000B3710000}"/>
    <cellStyle name="标题 7 20 2" xfId="33551" xr:uid="{00000000-0005-0000-0000-0000B4710000}"/>
    <cellStyle name="标题 7 20 3" xfId="33552" xr:uid="{00000000-0005-0000-0000-0000B5710000}"/>
    <cellStyle name="标题 7 20 4" xfId="576" xr:uid="{00000000-0005-0000-0000-0000B6710000}"/>
    <cellStyle name="标题 7 20 5" xfId="419" xr:uid="{00000000-0005-0000-0000-0000B7710000}"/>
    <cellStyle name="标题 7 20 5 10" xfId="33553" xr:uid="{00000000-0005-0000-0000-0000B8710000}"/>
    <cellStyle name="标题 7 20 5 11" xfId="33554" xr:uid="{00000000-0005-0000-0000-0000B9710000}"/>
    <cellStyle name="标题 7 20 5 2" xfId="487" xr:uid="{00000000-0005-0000-0000-0000BA710000}"/>
    <cellStyle name="标题 7 20 5 2 2" xfId="18211" xr:uid="{00000000-0005-0000-0000-0000BB710000}"/>
    <cellStyle name="标题 7 20 5 2 2 2" xfId="27518" xr:uid="{00000000-0005-0000-0000-0000BC710000}"/>
    <cellStyle name="标题 7 20 5 2 2 3" xfId="27522" xr:uid="{00000000-0005-0000-0000-0000BD710000}"/>
    <cellStyle name="标题 7 20 5 2 3" xfId="18217" xr:uid="{00000000-0005-0000-0000-0000BE710000}"/>
    <cellStyle name="标题 7 20 5 2 4" xfId="18237" xr:uid="{00000000-0005-0000-0000-0000BF710000}"/>
    <cellStyle name="标题 7 20 5 2 5" xfId="18255" xr:uid="{00000000-0005-0000-0000-0000C0710000}"/>
    <cellStyle name="标题 7 20 5 2 6" xfId="18260" xr:uid="{00000000-0005-0000-0000-0000C1710000}"/>
    <cellStyle name="标题 7 20 5 2 7" xfId="18264" xr:uid="{00000000-0005-0000-0000-0000C2710000}"/>
    <cellStyle name="标题 7 20 5 2 8" xfId="33555" xr:uid="{00000000-0005-0000-0000-0000C3710000}"/>
    <cellStyle name="标题 7 20 5 3" xfId="4346" xr:uid="{00000000-0005-0000-0000-0000C4710000}"/>
    <cellStyle name="标题 7 20 5 4" xfId="9967" xr:uid="{00000000-0005-0000-0000-0000C5710000}"/>
    <cellStyle name="标题 7 20 5 5" xfId="33556" xr:uid="{00000000-0005-0000-0000-0000C6710000}"/>
    <cellStyle name="标题 7 20 5 6" xfId="33557" xr:uid="{00000000-0005-0000-0000-0000C7710000}"/>
    <cellStyle name="标题 7 20 5 6 2" xfId="2922" xr:uid="{00000000-0005-0000-0000-0000C8710000}"/>
    <cellStyle name="标题 7 20 5 6 3" xfId="2949" xr:uid="{00000000-0005-0000-0000-0000C9710000}"/>
    <cellStyle name="标题 7 20 5 7" xfId="33558" xr:uid="{00000000-0005-0000-0000-0000CA710000}"/>
    <cellStyle name="标题 7 20 5 8" xfId="33559" xr:uid="{00000000-0005-0000-0000-0000CB710000}"/>
    <cellStyle name="标题 7 20 5 9" xfId="33560" xr:uid="{00000000-0005-0000-0000-0000CC710000}"/>
    <cellStyle name="标题 7 20 6" xfId="292" xr:uid="{00000000-0005-0000-0000-0000CD710000}"/>
    <cellStyle name="标题 7 20 6 2" xfId="10040" xr:uid="{00000000-0005-0000-0000-0000CE710000}"/>
    <cellStyle name="标题 7 20 6 2 2" xfId="33561" xr:uid="{00000000-0005-0000-0000-0000CF710000}"/>
    <cellStyle name="标题 7 20 6 2 3" xfId="33562" xr:uid="{00000000-0005-0000-0000-0000D0710000}"/>
    <cellStyle name="标题 7 20 6 3" xfId="10045" xr:uid="{00000000-0005-0000-0000-0000D1710000}"/>
    <cellStyle name="标题 7 20 6 4" xfId="7196" xr:uid="{00000000-0005-0000-0000-0000D2710000}"/>
    <cellStyle name="标题 7 20 6 5" xfId="33563" xr:uid="{00000000-0005-0000-0000-0000D3710000}"/>
    <cellStyle name="标题 7 20 6 6" xfId="33564" xr:uid="{00000000-0005-0000-0000-0000D4710000}"/>
    <cellStyle name="标题 7 20 6 7" xfId="33565" xr:uid="{00000000-0005-0000-0000-0000D5710000}"/>
    <cellStyle name="标题 7 20 6 8" xfId="18067" xr:uid="{00000000-0005-0000-0000-0000D6710000}"/>
    <cellStyle name="标题 7 20 7" xfId="640" xr:uid="{00000000-0005-0000-0000-0000D7710000}"/>
    <cellStyle name="标题 7 20 8" xfId="671" xr:uid="{00000000-0005-0000-0000-0000D8710000}"/>
    <cellStyle name="标题 7 20 9" xfId="33566" xr:uid="{00000000-0005-0000-0000-0000D9710000}"/>
    <cellStyle name="标题 7 20 9 2" xfId="33567" xr:uid="{00000000-0005-0000-0000-0000DA710000}"/>
    <cellStyle name="标题 7 20 9 3" xfId="33568" xr:uid="{00000000-0005-0000-0000-0000DB710000}"/>
    <cellStyle name="标题 7 3" xfId="13036" xr:uid="{00000000-0005-0000-0000-0000DC710000}"/>
    <cellStyle name="标题 7 4" xfId="33570" xr:uid="{00000000-0005-0000-0000-0000DD710000}"/>
    <cellStyle name="标题 7 5" xfId="33571" xr:uid="{00000000-0005-0000-0000-0000DE710000}"/>
    <cellStyle name="标题 7 6" xfId="33572" xr:uid="{00000000-0005-0000-0000-0000DF710000}"/>
    <cellStyle name="标题 7 7" xfId="33573" xr:uid="{00000000-0005-0000-0000-0000E0710000}"/>
    <cellStyle name="标题 7 8" xfId="33574" xr:uid="{00000000-0005-0000-0000-0000E1710000}"/>
    <cellStyle name="标题 7 9" xfId="23650" xr:uid="{00000000-0005-0000-0000-0000E2710000}"/>
    <cellStyle name="标题 8" xfId="16280" xr:uid="{00000000-0005-0000-0000-0000E3710000}"/>
    <cellStyle name="标题 8 10" xfId="668" xr:uid="{00000000-0005-0000-0000-0000E4710000}"/>
    <cellStyle name="标题 8 11" xfId="11299" xr:uid="{00000000-0005-0000-0000-0000E5710000}"/>
    <cellStyle name="标题 8 12" xfId="11301" xr:uid="{00000000-0005-0000-0000-0000E6710000}"/>
    <cellStyle name="标题 8 13" xfId="11303" xr:uid="{00000000-0005-0000-0000-0000E7710000}"/>
    <cellStyle name="标题 8 14" xfId="5281" xr:uid="{00000000-0005-0000-0000-0000E8710000}"/>
    <cellStyle name="标题 8 2" xfId="33576" xr:uid="{00000000-0005-0000-0000-0000E9710000}"/>
    <cellStyle name="标题 8 3" xfId="33578" xr:uid="{00000000-0005-0000-0000-0000EA710000}"/>
    <cellStyle name="标题 8 4" xfId="33580" xr:uid="{00000000-0005-0000-0000-0000EB710000}"/>
    <cellStyle name="标题 8 5" xfId="33581" xr:uid="{00000000-0005-0000-0000-0000EC710000}"/>
    <cellStyle name="标题 8 6" xfId="20209" xr:uid="{00000000-0005-0000-0000-0000ED710000}"/>
    <cellStyle name="标题 8 7" xfId="20211" xr:uid="{00000000-0005-0000-0000-0000EE710000}"/>
    <cellStyle name="标题 8 8" xfId="33582" xr:uid="{00000000-0005-0000-0000-0000EF710000}"/>
    <cellStyle name="标题 8 9" xfId="33583" xr:uid="{00000000-0005-0000-0000-0000F0710000}"/>
    <cellStyle name="标题 9" xfId="16285" xr:uid="{00000000-0005-0000-0000-0000F1710000}"/>
    <cellStyle name="标题 9 10" xfId="33584" xr:uid="{00000000-0005-0000-0000-0000F2710000}"/>
    <cellStyle name="标题 9 11" xfId="33585" xr:uid="{00000000-0005-0000-0000-0000F3710000}"/>
    <cellStyle name="标题 9 12" xfId="33586" xr:uid="{00000000-0005-0000-0000-0000F4710000}"/>
    <cellStyle name="标题 9 13" xfId="33587" xr:uid="{00000000-0005-0000-0000-0000F5710000}"/>
    <cellStyle name="标题 9 14" xfId="33588" xr:uid="{00000000-0005-0000-0000-0000F6710000}"/>
    <cellStyle name="标题 9 2" xfId="33589" xr:uid="{00000000-0005-0000-0000-0000F7710000}"/>
    <cellStyle name="标题 9 3" xfId="33590" xr:uid="{00000000-0005-0000-0000-0000F8710000}"/>
    <cellStyle name="标题 9 4" xfId="33591" xr:uid="{00000000-0005-0000-0000-0000F9710000}"/>
    <cellStyle name="标题 9 5" xfId="33592" xr:uid="{00000000-0005-0000-0000-0000FA710000}"/>
    <cellStyle name="标题 9 6" xfId="33593" xr:uid="{00000000-0005-0000-0000-0000FB710000}"/>
    <cellStyle name="标题 9 7" xfId="33594" xr:uid="{00000000-0005-0000-0000-0000FC710000}"/>
    <cellStyle name="标题 9 8" xfId="25814" xr:uid="{00000000-0005-0000-0000-0000FD710000}"/>
    <cellStyle name="标题 9 9" xfId="32567" xr:uid="{00000000-0005-0000-0000-0000FE710000}"/>
    <cellStyle name="检查单元格 10" xfId="2188" xr:uid="{00000000-0005-0000-0000-0000FF710000}"/>
    <cellStyle name="检查单元格 11" xfId="2199" xr:uid="{00000000-0005-0000-0000-000000720000}"/>
    <cellStyle name="检查单元格 12" xfId="2211" xr:uid="{00000000-0005-0000-0000-000001720000}"/>
    <cellStyle name="检查单元格 12 10" xfId="25004" xr:uid="{00000000-0005-0000-0000-000002720000}"/>
    <cellStyle name="检查单元格 12 11" xfId="25006" xr:uid="{00000000-0005-0000-0000-000003720000}"/>
    <cellStyle name="检查单元格 12 12" xfId="25008" xr:uid="{00000000-0005-0000-0000-000004720000}"/>
    <cellStyle name="检查单元格 12 13" xfId="25010" xr:uid="{00000000-0005-0000-0000-000005720000}"/>
    <cellStyle name="检查单元格 12 14" xfId="33595" xr:uid="{00000000-0005-0000-0000-000006720000}"/>
    <cellStyle name="检查单元格 12 2" xfId="26860" xr:uid="{00000000-0005-0000-0000-000007720000}"/>
    <cellStyle name="检查单元格 12 3" xfId="26862" xr:uid="{00000000-0005-0000-0000-000008720000}"/>
    <cellStyle name="检查单元格 12 4" xfId="33596" xr:uid="{00000000-0005-0000-0000-000009720000}"/>
    <cellStyle name="检查单元格 12 5" xfId="33597" xr:uid="{00000000-0005-0000-0000-00000A720000}"/>
    <cellStyle name="检查单元格 12 5 10" xfId="33598" xr:uid="{00000000-0005-0000-0000-00000B720000}"/>
    <cellStyle name="检查单元格 12 5 11" xfId="33599" xr:uid="{00000000-0005-0000-0000-00000C720000}"/>
    <cellStyle name="检查单元格 12 5 2" xfId="31388" xr:uid="{00000000-0005-0000-0000-00000D720000}"/>
    <cellStyle name="检查单元格 12 5 2 2" xfId="27077" xr:uid="{00000000-0005-0000-0000-00000E720000}"/>
    <cellStyle name="检查单元格 12 5 2 2 2" xfId="33600" xr:uid="{00000000-0005-0000-0000-00000F720000}"/>
    <cellStyle name="检查单元格 12 5 2 2 3" xfId="32056" xr:uid="{00000000-0005-0000-0000-000010720000}"/>
    <cellStyle name="检查单元格 12 5 2 3" xfId="27080" xr:uid="{00000000-0005-0000-0000-000011720000}"/>
    <cellStyle name="检查单元格 12 5 2 4" xfId="27082" xr:uid="{00000000-0005-0000-0000-000012720000}"/>
    <cellStyle name="检查单元格 12 5 2 5" xfId="27084" xr:uid="{00000000-0005-0000-0000-000013720000}"/>
    <cellStyle name="检查单元格 12 5 2 6" xfId="33602" xr:uid="{00000000-0005-0000-0000-000014720000}"/>
    <cellStyle name="检查单元格 12 5 2 7" xfId="33603" xr:uid="{00000000-0005-0000-0000-000015720000}"/>
    <cellStyle name="检查单元格 12 5 2 8" xfId="33604" xr:uid="{00000000-0005-0000-0000-000016720000}"/>
    <cellStyle name="检查单元格 12 5 3" xfId="31390" xr:uid="{00000000-0005-0000-0000-000017720000}"/>
    <cellStyle name="检查单元格 12 5 4" xfId="31392" xr:uid="{00000000-0005-0000-0000-000018720000}"/>
    <cellStyle name="检查单元格 12 5 5" xfId="31394" xr:uid="{00000000-0005-0000-0000-000019720000}"/>
    <cellStyle name="检查单元格 12 5 6" xfId="31396" xr:uid="{00000000-0005-0000-0000-00001A720000}"/>
    <cellStyle name="检查单元格 12 5 6 2" xfId="26621" xr:uid="{00000000-0005-0000-0000-00001B720000}"/>
    <cellStyle name="检查单元格 12 5 6 3" xfId="26624" xr:uid="{00000000-0005-0000-0000-00001C720000}"/>
    <cellStyle name="检查单元格 12 5 7" xfId="31398" xr:uid="{00000000-0005-0000-0000-00001D720000}"/>
    <cellStyle name="检查单元格 12 5 8" xfId="31400" xr:uid="{00000000-0005-0000-0000-00001E720000}"/>
    <cellStyle name="检查单元格 12 5 9" xfId="33606" xr:uid="{00000000-0005-0000-0000-00001F720000}"/>
    <cellStyle name="检查单元格 12 6" xfId="33607" xr:uid="{00000000-0005-0000-0000-000020720000}"/>
    <cellStyle name="检查单元格 12 6 2" xfId="4070" xr:uid="{00000000-0005-0000-0000-000021720000}"/>
    <cellStyle name="检查单元格 12 6 2 2" xfId="14804" xr:uid="{00000000-0005-0000-0000-000022720000}"/>
    <cellStyle name="检查单元格 12 6 2 3" xfId="14809" xr:uid="{00000000-0005-0000-0000-000023720000}"/>
    <cellStyle name="检查单元格 12 6 3" xfId="24983" xr:uid="{00000000-0005-0000-0000-000024720000}"/>
    <cellStyle name="检查单元格 12 6 4" xfId="24986" xr:uid="{00000000-0005-0000-0000-000025720000}"/>
    <cellStyle name="检查单元格 12 6 5" xfId="31402" xr:uid="{00000000-0005-0000-0000-000026720000}"/>
    <cellStyle name="检查单元格 12 6 6" xfId="31404" xr:uid="{00000000-0005-0000-0000-000027720000}"/>
    <cellStyle name="检查单元格 12 6 7" xfId="31406" xr:uid="{00000000-0005-0000-0000-000028720000}"/>
    <cellStyle name="检查单元格 12 6 8" xfId="33608" xr:uid="{00000000-0005-0000-0000-000029720000}"/>
    <cellStyle name="检查单元格 12 7" xfId="33609" xr:uid="{00000000-0005-0000-0000-00002A720000}"/>
    <cellStyle name="检查单元格 12 8" xfId="33610" xr:uid="{00000000-0005-0000-0000-00002B720000}"/>
    <cellStyle name="检查单元格 12 9" xfId="33611" xr:uid="{00000000-0005-0000-0000-00002C720000}"/>
    <cellStyle name="检查单元格 12 9 2" xfId="9832" xr:uid="{00000000-0005-0000-0000-00002D720000}"/>
    <cellStyle name="检查单元格 12 9 3" xfId="9840" xr:uid="{00000000-0005-0000-0000-00002E720000}"/>
    <cellStyle name="检查单元格 13" xfId="210" xr:uid="{00000000-0005-0000-0000-00002F720000}"/>
    <cellStyle name="检查单元格 14" xfId="26865" xr:uid="{00000000-0005-0000-0000-000030720000}"/>
    <cellStyle name="检查单元格 15" xfId="1453" xr:uid="{00000000-0005-0000-0000-000031720000}"/>
    <cellStyle name="检查单元格 16" xfId="22783" xr:uid="{00000000-0005-0000-0000-000032720000}"/>
    <cellStyle name="检查单元格 16 10" xfId="19049" xr:uid="{00000000-0005-0000-0000-000033720000}"/>
    <cellStyle name="检查单元格 16 11" xfId="19052" xr:uid="{00000000-0005-0000-0000-000034720000}"/>
    <cellStyle name="检查单元格 16 12" xfId="33612" xr:uid="{00000000-0005-0000-0000-000035720000}"/>
    <cellStyle name="检查单元格 16 13" xfId="33614" xr:uid="{00000000-0005-0000-0000-000036720000}"/>
    <cellStyle name="检查单元格 16 14" xfId="33616" xr:uid="{00000000-0005-0000-0000-000037720000}"/>
    <cellStyle name="检查单元格 16 2" xfId="33618" xr:uid="{00000000-0005-0000-0000-000038720000}"/>
    <cellStyle name="检查单元格 16 3" xfId="33619" xr:uid="{00000000-0005-0000-0000-000039720000}"/>
    <cellStyle name="检查单元格 16 4" xfId="33620" xr:uid="{00000000-0005-0000-0000-00003A720000}"/>
    <cellStyle name="检查单元格 16 5" xfId="33621" xr:uid="{00000000-0005-0000-0000-00003B720000}"/>
    <cellStyle name="检查单元格 16 5 10" xfId="23570" xr:uid="{00000000-0005-0000-0000-00003C720000}"/>
    <cellStyle name="检查单元格 16 5 11" xfId="23574" xr:uid="{00000000-0005-0000-0000-00003D720000}"/>
    <cellStyle name="检查单元格 16 5 2" xfId="21181" xr:uid="{00000000-0005-0000-0000-00003E720000}"/>
    <cellStyle name="检查单元格 16 5 2 2" xfId="33622" xr:uid="{00000000-0005-0000-0000-00003F720000}"/>
    <cellStyle name="检查单元格 16 5 2 2 2" xfId="1120" xr:uid="{00000000-0005-0000-0000-000040720000}"/>
    <cellStyle name="检查单元格 16 5 2 2 3" xfId="1142" xr:uid="{00000000-0005-0000-0000-000041720000}"/>
    <cellStyle name="检查单元格 16 5 2 3" xfId="33623" xr:uid="{00000000-0005-0000-0000-000042720000}"/>
    <cellStyle name="检查单元格 16 5 2 4" xfId="33624" xr:uid="{00000000-0005-0000-0000-000043720000}"/>
    <cellStyle name="检查单元格 16 5 2 5" xfId="15098" xr:uid="{00000000-0005-0000-0000-000044720000}"/>
    <cellStyle name="检查单元格 16 5 2 6" xfId="15105" xr:uid="{00000000-0005-0000-0000-000045720000}"/>
    <cellStyle name="检查单元格 16 5 2 7" xfId="1203" xr:uid="{00000000-0005-0000-0000-000046720000}"/>
    <cellStyle name="检查单元格 16 5 2 8" xfId="526" xr:uid="{00000000-0005-0000-0000-000047720000}"/>
    <cellStyle name="检查单元格 16 5 3" xfId="21183" xr:uid="{00000000-0005-0000-0000-000048720000}"/>
    <cellStyle name="检查单元格 16 5 4" xfId="21185" xr:uid="{00000000-0005-0000-0000-000049720000}"/>
    <cellStyle name="检查单元格 16 5 5" xfId="33625" xr:uid="{00000000-0005-0000-0000-00004A720000}"/>
    <cellStyle name="检查单元格 16 5 6" xfId="33626" xr:uid="{00000000-0005-0000-0000-00004B720000}"/>
    <cellStyle name="检查单元格 16 5 6 2" xfId="26570" xr:uid="{00000000-0005-0000-0000-00004C720000}"/>
    <cellStyle name="检查单元格 16 5 6 3" xfId="24590" xr:uid="{00000000-0005-0000-0000-00004D720000}"/>
    <cellStyle name="检查单元格 16 5 7" xfId="33627" xr:uid="{00000000-0005-0000-0000-00004E720000}"/>
    <cellStyle name="检查单元格 16 5 8" xfId="18214" xr:uid="{00000000-0005-0000-0000-00004F720000}"/>
    <cellStyle name="检查单元格 16 5 9" xfId="18216" xr:uid="{00000000-0005-0000-0000-000050720000}"/>
    <cellStyle name="检查单元格 16 6" xfId="33628" xr:uid="{00000000-0005-0000-0000-000051720000}"/>
    <cellStyle name="检查单元格 16 6 2" xfId="17287" xr:uid="{00000000-0005-0000-0000-000052720000}"/>
    <cellStyle name="检查单元格 16 6 2 2" xfId="33629" xr:uid="{00000000-0005-0000-0000-000053720000}"/>
    <cellStyle name="检查单元格 16 6 2 3" xfId="33630" xr:uid="{00000000-0005-0000-0000-000054720000}"/>
    <cellStyle name="检查单元格 16 6 3" xfId="17290" xr:uid="{00000000-0005-0000-0000-000055720000}"/>
    <cellStyle name="检查单元格 16 6 4" xfId="2661" xr:uid="{00000000-0005-0000-0000-000056720000}"/>
    <cellStyle name="检查单元格 16 6 5" xfId="3279" xr:uid="{00000000-0005-0000-0000-000057720000}"/>
    <cellStyle name="检查单元格 16 6 6" xfId="3871" xr:uid="{00000000-0005-0000-0000-000058720000}"/>
    <cellStyle name="检查单元格 16 6 7" xfId="3879" xr:uid="{00000000-0005-0000-0000-000059720000}"/>
    <cellStyle name="检查单元格 16 6 8" xfId="3887" xr:uid="{00000000-0005-0000-0000-00005A720000}"/>
    <cellStyle name="检查单元格 16 7" xfId="33631" xr:uid="{00000000-0005-0000-0000-00005B720000}"/>
    <cellStyle name="检查单元格 16 8" xfId="33632" xr:uid="{00000000-0005-0000-0000-00005C720000}"/>
    <cellStyle name="检查单元格 16 9" xfId="33633" xr:uid="{00000000-0005-0000-0000-00005D720000}"/>
    <cellStyle name="检查单元格 16 9 2" xfId="26161" xr:uid="{00000000-0005-0000-0000-00005E720000}"/>
    <cellStyle name="检查单元格 16 9 3" xfId="26163" xr:uid="{00000000-0005-0000-0000-00005F720000}"/>
    <cellStyle name="检查单元格 17" xfId="26868" xr:uid="{00000000-0005-0000-0000-000060720000}"/>
    <cellStyle name="检查单元格 17 10" xfId="25240" xr:uid="{00000000-0005-0000-0000-000061720000}"/>
    <cellStyle name="检查单元格 17 11" xfId="25242" xr:uid="{00000000-0005-0000-0000-000062720000}"/>
    <cellStyle name="检查单元格 17 12" xfId="25244" xr:uid="{00000000-0005-0000-0000-000063720000}"/>
    <cellStyle name="检查单元格 17 13" xfId="25246" xr:uid="{00000000-0005-0000-0000-000064720000}"/>
    <cellStyle name="检查单元格 17 14" xfId="33634" xr:uid="{00000000-0005-0000-0000-000065720000}"/>
    <cellStyle name="检查单元格 17 2" xfId="33636" xr:uid="{00000000-0005-0000-0000-000066720000}"/>
    <cellStyle name="检查单元格 17 3" xfId="33637" xr:uid="{00000000-0005-0000-0000-000067720000}"/>
    <cellStyle name="检查单元格 17 4" xfId="33638" xr:uid="{00000000-0005-0000-0000-000068720000}"/>
    <cellStyle name="检查单元格 17 5" xfId="21408" xr:uid="{00000000-0005-0000-0000-000069720000}"/>
    <cellStyle name="检查单元格 17 5 10" xfId="9308" xr:uid="{00000000-0005-0000-0000-00006A720000}"/>
    <cellStyle name="检查单元格 17 5 11" xfId="9320" xr:uid="{00000000-0005-0000-0000-00006B720000}"/>
    <cellStyle name="检查单元格 17 5 2" xfId="33639" xr:uid="{00000000-0005-0000-0000-00006C720000}"/>
    <cellStyle name="检查单元格 17 5 2 2" xfId="32119" xr:uid="{00000000-0005-0000-0000-00006D720000}"/>
    <cellStyle name="检查单元格 17 5 2 2 2" xfId="33640" xr:uid="{00000000-0005-0000-0000-00006E720000}"/>
    <cellStyle name="检查单元格 17 5 2 2 3" xfId="33641" xr:uid="{00000000-0005-0000-0000-00006F720000}"/>
    <cellStyle name="检查单元格 17 5 2 3" xfId="32121" xr:uid="{00000000-0005-0000-0000-000070720000}"/>
    <cellStyle name="检查单元格 17 5 2 4" xfId="33642" xr:uid="{00000000-0005-0000-0000-000071720000}"/>
    <cellStyle name="检查单元格 17 5 2 5" xfId="33643" xr:uid="{00000000-0005-0000-0000-000072720000}"/>
    <cellStyle name="检查单元格 17 5 2 6" xfId="33644" xr:uid="{00000000-0005-0000-0000-000073720000}"/>
    <cellStyle name="检查单元格 17 5 2 7" xfId="33645" xr:uid="{00000000-0005-0000-0000-000074720000}"/>
    <cellStyle name="检查单元格 17 5 2 8" xfId="17129" xr:uid="{00000000-0005-0000-0000-000075720000}"/>
    <cellStyle name="检查单元格 17 5 3" xfId="33646" xr:uid="{00000000-0005-0000-0000-000076720000}"/>
    <cellStyle name="检查单元格 17 5 4" xfId="33647" xr:uid="{00000000-0005-0000-0000-000077720000}"/>
    <cellStyle name="检查单元格 17 5 5" xfId="33648" xr:uid="{00000000-0005-0000-0000-000078720000}"/>
    <cellStyle name="检查单元格 17 5 6" xfId="33649" xr:uid="{00000000-0005-0000-0000-000079720000}"/>
    <cellStyle name="检查单元格 17 5 6 2" xfId="25701" xr:uid="{00000000-0005-0000-0000-00007A720000}"/>
    <cellStyle name="检查单元格 17 5 6 3" xfId="32093" xr:uid="{00000000-0005-0000-0000-00007B720000}"/>
    <cellStyle name="检查单元格 17 5 7" xfId="33650" xr:uid="{00000000-0005-0000-0000-00007C720000}"/>
    <cellStyle name="检查单元格 17 5 8" xfId="20195" xr:uid="{00000000-0005-0000-0000-00007D720000}"/>
    <cellStyle name="检查单元格 17 5 9" xfId="20200" xr:uid="{00000000-0005-0000-0000-00007E720000}"/>
    <cellStyle name="检查单元格 17 6" xfId="21412" xr:uid="{00000000-0005-0000-0000-00007F720000}"/>
    <cellStyle name="检查单元格 17 6 2" xfId="25204" xr:uid="{00000000-0005-0000-0000-000080720000}"/>
    <cellStyle name="检查单元格 17 6 2 2" xfId="15698" xr:uid="{00000000-0005-0000-0000-000081720000}"/>
    <cellStyle name="检查单元格 17 6 2 3" xfId="15704" xr:uid="{00000000-0005-0000-0000-000082720000}"/>
    <cellStyle name="检查单元格 17 6 3" xfId="25207" xr:uid="{00000000-0005-0000-0000-000083720000}"/>
    <cellStyle name="检查单元格 17 6 4" xfId="25210" xr:uid="{00000000-0005-0000-0000-000084720000}"/>
    <cellStyle name="检查单元格 17 6 5" xfId="33651" xr:uid="{00000000-0005-0000-0000-000085720000}"/>
    <cellStyle name="检查单元格 17 6 6" xfId="33652" xr:uid="{00000000-0005-0000-0000-000086720000}"/>
    <cellStyle name="检查单元格 17 6 7" xfId="33653" xr:uid="{00000000-0005-0000-0000-000087720000}"/>
    <cellStyle name="检查单元格 17 6 8" xfId="14546" xr:uid="{00000000-0005-0000-0000-000088720000}"/>
    <cellStyle name="检查单元格 17 7" xfId="33654" xr:uid="{00000000-0005-0000-0000-000089720000}"/>
    <cellStyle name="检查单元格 17 8" xfId="33655" xr:uid="{00000000-0005-0000-0000-00008A720000}"/>
    <cellStyle name="检查单元格 17 9" xfId="33656" xr:uid="{00000000-0005-0000-0000-00008B720000}"/>
    <cellStyle name="检查单元格 17 9 2" xfId="11751" xr:uid="{00000000-0005-0000-0000-00008C720000}"/>
    <cellStyle name="检查单元格 17 9 3" xfId="11761" xr:uid="{00000000-0005-0000-0000-00008D720000}"/>
    <cellStyle name="检查单元格 18" xfId="26870" xr:uid="{00000000-0005-0000-0000-00008E720000}"/>
    <cellStyle name="检查单元格 18 10" xfId="25131" xr:uid="{00000000-0005-0000-0000-00008F720000}"/>
    <cellStyle name="检查单元格 18 11" xfId="25133" xr:uid="{00000000-0005-0000-0000-000090720000}"/>
    <cellStyle name="检查单元格 18 12" xfId="25135" xr:uid="{00000000-0005-0000-0000-000091720000}"/>
    <cellStyle name="检查单元格 18 13" xfId="25137" xr:uid="{00000000-0005-0000-0000-000092720000}"/>
    <cellStyle name="检查单元格 18 14" xfId="25139" xr:uid="{00000000-0005-0000-0000-000093720000}"/>
    <cellStyle name="检查单元格 18 2" xfId="33657" xr:uid="{00000000-0005-0000-0000-000094720000}"/>
    <cellStyle name="检查单元格 18 3" xfId="33658" xr:uid="{00000000-0005-0000-0000-000095720000}"/>
    <cellStyle name="检查单元格 18 4" xfId="33659" xr:uid="{00000000-0005-0000-0000-000096720000}"/>
    <cellStyle name="检查单元格 18 5" xfId="25584" xr:uid="{00000000-0005-0000-0000-000097720000}"/>
    <cellStyle name="检查单元格 18 5 10" xfId="33660" xr:uid="{00000000-0005-0000-0000-000098720000}"/>
    <cellStyle name="检查单元格 18 5 11" xfId="33661" xr:uid="{00000000-0005-0000-0000-000099720000}"/>
    <cellStyle name="检查单元格 18 5 2" xfId="33662" xr:uid="{00000000-0005-0000-0000-00009A720000}"/>
    <cellStyle name="检查单元格 18 5 2 2" xfId="28522" xr:uid="{00000000-0005-0000-0000-00009B720000}"/>
    <cellStyle name="检查单元格 18 5 2 2 2" xfId="33663" xr:uid="{00000000-0005-0000-0000-00009C720000}"/>
    <cellStyle name="检查单元格 18 5 2 2 3" xfId="33664" xr:uid="{00000000-0005-0000-0000-00009D720000}"/>
    <cellStyle name="检查单元格 18 5 2 3" xfId="28524" xr:uid="{00000000-0005-0000-0000-00009E720000}"/>
    <cellStyle name="检查单元格 18 5 2 4" xfId="28526" xr:uid="{00000000-0005-0000-0000-00009F720000}"/>
    <cellStyle name="检查单元格 18 5 2 5" xfId="33665" xr:uid="{00000000-0005-0000-0000-0000A0720000}"/>
    <cellStyle name="检查单元格 18 5 2 6" xfId="33666" xr:uid="{00000000-0005-0000-0000-0000A1720000}"/>
    <cellStyle name="检查单元格 18 5 2 7" xfId="32783" xr:uid="{00000000-0005-0000-0000-0000A2720000}"/>
    <cellStyle name="检查单元格 18 5 2 8" xfId="32785" xr:uid="{00000000-0005-0000-0000-0000A3720000}"/>
    <cellStyle name="检查单元格 18 5 3" xfId="33667" xr:uid="{00000000-0005-0000-0000-0000A4720000}"/>
    <cellStyle name="检查单元格 18 5 4" xfId="33668" xr:uid="{00000000-0005-0000-0000-0000A5720000}"/>
    <cellStyle name="检查单元格 18 5 5" xfId="33669" xr:uid="{00000000-0005-0000-0000-0000A6720000}"/>
    <cellStyle name="检查单元格 18 5 6" xfId="23567" xr:uid="{00000000-0005-0000-0000-0000A7720000}"/>
    <cellStyle name="检查单元格 18 5 6 2" xfId="33670" xr:uid="{00000000-0005-0000-0000-0000A8720000}"/>
    <cellStyle name="检查单元格 18 5 6 3" xfId="33671" xr:uid="{00000000-0005-0000-0000-0000A9720000}"/>
    <cellStyle name="检查单元格 18 5 7" xfId="23569" xr:uid="{00000000-0005-0000-0000-0000AA720000}"/>
    <cellStyle name="检查单元格 18 5 8" xfId="23573" xr:uid="{00000000-0005-0000-0000-0000AB720000}"/>
    <cellStyle name="检查单元格 18 5 9" xfId="18915" xr:uid="{00000000-0005-0000-0000-0000AC720000}"/>
    <cellStyle name="检查单元格 18 6" xfId="3146" xr:uid="{00000000-0005-0000-0000-0000AD720000}"/>
    <cellStyle name="检查单元格 18 6 2" xfId="33672" xr:uid="{00000000-0005-0000-0000-0000AE720000}"/>
    <cellStyle name="检查单元格 18 6 2 2" xfId="13555" xr:uid="{00000000-0005-0000-0000-0000AF720000}"/>
    <cellStyle name="检查单元格 18 6 2 3" xfId="28839" xr:uid="{00000000-0005-0000-0000-0000B0720000}"/>
    <cellStyle name="检查单元格 18 6 3" xfId="33673" xr:uid="{00000000-0005-0000-0000-0000B1720000}"/>
    <cellStyle name="检查单元格 18 6 4" xfId="33674" xr:uid="{00000000-0005-0000-0000-0000B2720000}"/>
    <cellStyle name="检查单元格 18 6 5" xfId="33675" xr:uid="{00000000-0005-0000-0000-0000B3720000}"/>
    <cellStyle name="检查单元格 18 6 6" xfId="14579" xr:uid="{00000000-0005-0000-0000-0000B4720000}"/>
    <cellStyle name="检查单元格 18 6 7" xfId="14583" xr:uid="{00000000-0005-0000-0000-0000B5720000}"/>
    <cellStyle name="检查单元格 18 6 8" xfId="33676" xr:uid="{00000000-0005-0000-0000-0000B6720000}"/>
    <cellStyle name="检查单元格 18 7" xfId="3158" xr:uid="{00000000-0005-0000-0000-0000B7720000}"/>
    <cellStyle name="检查单元格 18 8" xfId="3374" xr:uid="{00000000-0005-0000-0000-0000B8720000}"/>
    <cellStyle name="检查单元格 18 9" xfId="3378" xr:uid="{00000000-0005-0000-0000-0000B9720000}"/>
    <cellStyle name="检查单元格 18 9 2" xfId="26231" xr:uid="{00000000-0005-0000-0000-0000BA720000}"/>
    <cellStyle name="检查单元格 18 9 3" xfId="26233" xr:uid="{00000000-0005-0000-0000-0000BB720000}"/>
    <cellStyle name="检查单元格 19" xfId="33677" xr:uid="{00000000-0005-0000-0000-0000BC720000}"/>
    <cellStyle name="检查单元格 2" xfId="27603" xr:uid="{00000000-0005-0000-0000-0000BD720000}"/>
    <cellStyle name="检查单元格 2 10" xfId="11616" xr:uid="{00000000-0005-0000-0000-0000BE720000}"/>
    <cellStyle name="检查单元格 2 11" xfId="11624" xr:uid="{00000000-0005-0000-0000-0000BF720000}"/>
    <cellStyle name="检查单元格 2 12" xfId="10491" xr:uid="{00000000-0005-0000-0000-0000C0720000}"/>
    <cellStyle name="检查单元格 2 13" xfId="10499" xr:uid="{00000000-0005-0000-0000-0000C1720000}"/>
    <cellStyle name="检查单元格 2 14" xfId="10511" xr:uid="{00000000-0005-0000-0000-0000C2720000}"/>
    <cellStyle name="检查单元格 2 15" xfId="10518" xr:uid="{00000000-0005-0000-0000-0000C3720000}"/>
    <cellStyle name="检查单元格 2 16" xfId="10531" xr:uid="{00000000-0005-0000-0000-0000C4720000}"/>
    <cellStyle name="检查单元格 2 17" xfId="28825" xr:uid="{00000000-0005-0000-0000-0000C5720000}"/>
    <cellStyle name="检查单元格 2 17 10" xfId="21402" xr:uid="{00000000-0005-0000-0000-0000C6720000}"/>
    <cellStyle name="检查单元格 2 17 11" xfId="21413" xr:uid="{00000000-0005-0000-0000-0000C7720000}"/>
    <cellStyle name="检查单元格 2 17 12" xfId="21415" xr:uid="{00000000-0005-0000-0000-0000C8720000}"/>
    <cellStyle name="检查单元格 2 17 13" xfId="21418" xr:uid="{00000000-0005-0000-0000-0000C9720000}"/>
    <cellStyle name="检查单元格 2 17 14" xfId="21421" xr:uid="{00000000-0005-0000-0000-0000CA720000}"/>
    <cellStyle name="检查单元格 2 17 2" xfId="33678" xr:uid="{00000000-0005-0000-0000-0000CB720000}"/>
    <cellStyle name="检查单元格 2 17 3" xfId="33679" xr:uid="{00000000-0005-0000-0000-0000CC720000}"/>
    <cellStyle name="检查单元格 2 17 4" xfId="33680" xr:uid="{00000000-0005-0000-0000-0000CD720000}"/>
    <cellStyle name="检查单元格 2 17 5" xfId="33681" xr:uid="{00000000-0005-0000-0000-0000CE720000}"/>
    <cellStyle name="检查单元格 2 17 5 10" xfId="19102" xr:uid="{00000000-0005-0000-0000-0000CF720000}"/>
    <cellStyle name="检查单元格 2 17 5 11" xfId="33682" xr:uid="{00000000-0005-0000-0000-0000D0720000}"/>
    <cellStyle name="检查单元格 2 17 5 2" xfId="3980" xr:uid="{00000000-0005-0000-0000-0000D1720000}"/>
    <cellStyle name="检查单元格 2 17 5 2 2" xfId="33683" xr:uid="{00000000-0005-0000-0000-0000D2720000}"/>
    <cellStyle name="检查单元格 2 17 5 2 2 2" xfId="32288" xr:uid="{00000000-0005-0000-0000-0000D3720000}"/>
    <cellStyle name="检查单元格 2 17 5 2 2 3" xfId="32303" xr:uid="{00000000-0005-0000-0000-0000D4720000}"/>
    <cellStyle name="检查单元格 2 17 5 2 3" xfId="20803" xr:uid="{00000000-0005-0000-0000-0000D5720000}"/>
    <cellStyle name="检查单元格 2 17 5 2 4" xfId="8246" xr:uid="{00000000-0005-0000-0000-0000D6720000}"/>
    <cellStyle name="检查单元格 2 17 5 2 5" xfId="33684" xr:uid="{00000000-0005-0000-0000-0000D7720000}"/>
    <cellStyle name="检查单元格 2 17 5 2 6" xfId="33685" xr:uid="{00000000-0005-0000-0000-0000D8720000}"/>
    <cellStyle name="检查单元格 2 17 5 2 7" xfId="33686" xr:uid="{00000000-0005-0000-0000-0000D9720000}"/>
    <cellStyle name="检查单元格 2 17 5 2 8" xfId="33687" xr:uid="{00000000-0005-0000-0000-0000DA720000}"/>
    <cellStyle name="检查单元格 2 17 5 3" xfId="4912" xr:uid="{00000000-0005-0000-0000-0000DB720000}"/>
    <cellStyle name="检查单元格 2 17 5 4" xfId="5214" xr:uid="{00000000-0005-0000-0000-0000DC720000}"/>
    <cellStyle name="检查单元格 2 17 5 5" xfId="2837" xr:uid="{00000000-0005-0000-0000-0000DD720000}"/>
    <cellStyle name="检查单元格 2 17 5 6" xfId="2858" xr:uid="{00000000-0005-0000-0000-0000DE720000}"/>
    <cellStyle name="检查单元格 2 17 5 6 2" xfId="33689" xr:uid="{00000000-0005-0000-0000-0000DF720000}"/>
    <cellStyle name="检查单元格 2 17 5 6 3" xfId="31283" xr:uid="{00000000-0005-0000-0000-0000E0720000}"/>
    <cellStyle name="检查单元格 2 17 5 7" xfId="12032" xr:uid="{00000000-0005-0000-0000-0000E1720000}"/>
    <cellStyle name="检查单元格 2 17 5 8" xfId="12040" xr:uid="{00000000-0005-0000-0000-0000E2720000}"/>
    <cellStyle name="检查单元格 2 17 5 9" xfId="12042" xr:uid="{00000000-0005-0000-0000-0000E3720000}"/>
    <cellStyle name="检查单元格 2 17 6" xfId="405" xr:uid="{00000000-0005-0000-0000-0000E4720000}"/>
    <cellStyle name="检查单元格 2 17 6 2" xfId="26540" xr:uid="{00000000-0005-0000-0000-0000E5720000}"/>
    <cellStyle name="检查单元格 2 17 6 2 2" xfId="26548" xr:uid="{00000000-0005-0000-0000-0000E6720000}"/>
    <cellStyle name="检查单元格 2 17 6 2 3" xfId="26552" xr:uid="{00000000-0005-0000-0000-0000E7720000}"/>
    <cellStyle name="检查单元格 2 17 6 3" xfId="33690" xr:uid="{00000000-0005-0000-0000-0000E8720000}"/>
    <cellStyle name="检查单元格 2 17 6 4" xfId="33691" xr:uid="{00000000-0005-0000-0000-0000E9720000}"/>
    <cellStyle name="检查单元格 2 17 6 5" xfId="33692" xr:uid="{00000000-0005-0000-0000-0000EA720000}"/>
    <cellStyle name="检查单元格 2 17 6 6" xfId="33693" xr:uid="{00000000-0005-0000-0000-0000EB720000}"/>
    <cellStyle name="检查单元格 2 17 6 7" xfId="33694" xr:uid="{00000000-0005-0000-0000-0000EC720000}"/>
    <cellStyle name="检查单元格 2 17 6 8" xfId="33695" xr:uid="{00000000-0005-0000-0000-0000ED720000}"/>
    <cellStyle name="检查单元格 2 17 7" xfId="33696" xr:uid="{00000000-0005-0000-0000-0000EE720000}"/>
    <cellStyle name="检查单元格 2 17 8" xfId="33697" xr:uid="{00000000-0005-0000-0000-0000EF720000}"/>
    <cellStyle name="检查单元格 2 17 9" xfId="33698" xr:uid="{00000000-0005-0000-0000-0000F0720000}"/>
    <cellStyle name="检查单元格 2 17 9 2" xfId="33699" xr:uid="{00000000-0005-0000-0000-0000F1720000}"/>
    <cellStyle name="检查单元格 2 17 9 3" xfId="33701" xr:uid="{00000000-0005-0000-0000-0000F2720000}"/>
    <cellStyle name="检查单元格 2 18" xfId="28827" xr:uid="{00000000-0005-0000-0000-0000F3720000}"/>
    <cellStyle name="检查单元格 2 18 10" xfId="27872" xr:uid="{00000000-0005-0000-0000-0000F4720000}"/>
    <cellStyle name="检查单元格 2 18 11" xfId="27874" xr:uid="{00000000-0005-0000-0000-0000F5720000}"/>
    <cellStyle name="检查单元格 2 18 12" xfId="27876" xr:uid="{00000000-0005-0000-0000-0000F6720000}"/>
    <cellStyle name="检查单元格 2 18 13" xfId="27878" xr:uid="{00000000-0005-0000-0000-0000F7720000}"/>
    <cellStyle name="检查单元格 2 18 14" xfId="27880" xr:uid="{00000000-0005-0000-0000-0000F8720000}"/>
    <cellStyle name="检查单元格 2 18 2" xfId="28829" xr:uid="{00000000-0005-0000-0000-0000F9720000}"/>
    <cellStyle name="检查单元格 2 18 3" xfId="28831" xr:uid="{00000000-0005-0000-0000-0000FA720000}"/>
    <cellStyle name="检查单元格 2 18 4" xfId="33702" xr:uid="{00000000-0005-0000-0000-0000FB720000}"/>
    <cellStyle name="检查单元格 2 18 5" xfId="25794" xr:uid="{00000000-0005-0000-0000-0000FC720000}"/>
    <cellStyle name="检查单元格 2 18 5 10" xfId="33703" xr:uid="{00000000-0005-0000-0000-0000FD720000}"/>
    <cellStyle name="检查单元格 2 18 5 11" xfId="33704" xr:uid="{00000000-0005-0000-0000-0000FE720000}"/>
    <cellStyle name="检查单元格 2 18 5 2" xfId="16867" xr:uid="{00000000-0005-0000-0000-0000FF720000}"/>
    <cellStyle name="检查单元格 2 18 5 2 2" xfId="3487" xr:uid="{00000000-0005-0000-0000-000000730000}"/>
    <cellStyle name="检查单元格 2 18 5 2 2 2" xfId="33705" xr:uid="{00000000-0005-0000-0000-000001730000}"/>
    <cellStyle name="检查单元格 2 18 5 2 2 3" xfId="33706" xr:uid="{00000000-0005-0000-0000-000002730000}"/>
    <cellStyle name="检查单元格 2 18 5 2 3" xfId="17653" xr:uid="{00000000-0005-0000-0000-000003730000}"/>
    <cellStyle name="检查单元格 2 18 5 2 4" xfId="17657" xr:uid="{00000000-0005-0000-0000-000004730000}"/>
    <cellStyle name="检查单元格 2 18 5 2 5" xfId="8085" xr:uid="{00000000-0005-0000-0000-000005730000}"/>
    <cellStyle name="检查单元格 2 18 5 2 6" xfId="8103" xr:uid="{00000000-0005-0000-0000-000006730000}"/>
    <cellStyle name="检查单元格 2 18 5 2 7" xfId="23300" xr:uid="{00000000-0005-0000-0000-000007730000}"/>
    <cellStyle name="检查单元格 2 18 5 2 8" xfId="23302" xr:uid="{00000000-0005-0000-0000-000008730000}"/>
    <cellStyle name="检查单元格 2 18 5 3" xfId="16873" xr:uid="{00000000-0005-0000-0000-000009730000}"/>
    <cellStyle name="检查单元格 2 18 5 4" xfId="16876" xr:uid="{00000000-0005-0000-0000-00000A730000}"/>
    <cellStyle name="检查单元格 2 18 5 5" xfId="16879" xr:uid="{00000000-0005-0000-0000-00000B730000}"/>
    <cellStyle name="检查单元格 2 18 5 6" xfId="16882" xr:uid="{00000000-0005-0000-0000-00000C730000}"/>
    <cellStyle name="检查单元格 2 18 5 6 2" xfId="23313" xr:uid="{00000000-0005-0000-0000-00000D730000}"/>
    <cellStyle name="检查单元格 2 18 5 6 3" xfId="31317" xr:uid="{00000000-0005-0000-0000-00000E730000}"/>
    <cellStyle name="检查单元格 2 18 5 7" xfId="16885" xr:uid="{00000000-0005-0000-0000-00000F730000}"/>
    <cellStyle name="检查单元格 2 18 5 8" xfId="33447" xr:uid="{00000000-0005-0000-0000-000010730000}"/>
    <cellStyle name="检查单元格 2 18 5 9" xfId="16787" xr:uid="{00000000-0005-0000-0000-000011730000}"/>
    <cellStyle name="检查单元格 2 18 6" xfId="27614" xr:uid="{00000000-0005-0000-0000-000012730000}"/>
    <cellStyle name="检查单元格 2 18 6 2" xfId="32190" xr:uid="{00000000-0005-0000-0000-000013730000}"/>
    <cellStyle name="检查单元格 2 18 6 2 2" xfId="23335" xr:uid="{00000000-0005-0000-0000-000014730000}"/>
    <cellStyle name="检查单元格 2 18 6 2 3" xfId="19672" xr:uid="{00000000-0005-0000-0000-000015730000}"/>
    <cellStyle name="检查单元格 2 18 6 3" xfId="33707" xr:uid="{00000000-0005-0000-0000-000016730000}"/>
    <cellStyle name="检查单元格 2 18 6 4" xfId="33708" xr:uid="{00000000-0005-0000-0000-000017730000}"/>
    <cellStyle name="检查单元格 2 18 6 5" xfId="27985" xr:uid="{00000000-0005-0000-0000-000018730000}"/>
    <cellStyle name="检查单元格 2 18 6 6" xfId="27987" xr:uid="{00000000-0005-0000-0000-000019730000}"/>
    <cellStyle name="检查单元格 2 18 6 7" xfId="33709" xr:uid="{00000000-0005-0000-0000-00001A730000}"/>
    <cellStyle name="检查单元格 2 18 6 8" xfId="33710" xr:uid="{00000000-0005-0000-0000-00001B730000}"/>
    <cellStyle name="检查单元格 2 18 7" xfId="27616" xr:uid="{00000000-0005-0000-0000-00001C730000}"/>
    <cellStyle name="检查单元格 2 18 8" xfId="27618" xr:uid="{00000000-0005-0000-0000-00001D730000}"/>
    <cellStyle name="检查单元格 2 18 9" xfId="27620" xr:uid="{00000000-0005-0000-0000-00001E730000}"/>
    <cellStyle name="检查单元格 2 18 9 2" xfId="29522" xr:uid="{00000000-0005-0000-0000-00001F730000}"/>
    <cellStyle name="检查单元格 2 18 9 3" xfId="29525" xr:uid="{00000000-0005-0000-0000-000020730000}"/>
    <cellStyle name="检查单元格 2 19" xfId="33711" xr:uid="{00000000-0005-0000-0000-000021730000}"/>
    <cellStyle name="检查单元格 2 19 10" xfId="33712" xr:uid="{00000000-0005-0000-0000-000022730000}"/>
    <cellStyle name="检查单元格 2 19 11" xfId="33713" xr:uid="{00000000-0005-0000-0000-000023730000}"/>
    <cellStyle name="检查单元格 2 19 12" xfId="33714" xr:uid="{00000000-0005-0000-0000-000024730000}"/>
    <cellStyle name="检查单元格 2 19 13" xfId="24569" xr:uid="{00000000-0005-0000-0000-000025730000}"/>
    <cellStyle name="检查单元格 2 19 14" xfId="32888" xr:uid="{00000000-0005-0000-0000-000026730000}"/>
    <cellStyle name="检查单元格 2 19 2" xfId="26390" xr:uid="{00000000-0005-0000-0000-000027730000}"/>
    <cellStyle name="检查单元格 2 19 3" xfId="26410" xr:uid="{00000000-0005-0000-0000-000028730000}"/>
    <cellStyle name="检查单元格 2 19 4" xfId="26414" xr:uid="{00000000-0005-0000-0000-000029730000}"/>
    <cellStyle name="检查单元格 2 19 5" xfId="26416" xr:uid="{00000000-0005-0000-0000-00002A730000}"/>
    <cellStyle name="检查单元格 2 19 5 10" xfId="10936" xr:uid="{00000000-0005-0000-0000-00002B730000}"/>
    <cellStyle name="检查单元格 2 19 5 11" xfId="10940" xr:uid="{00000000-0005-0000-0000-00002C730000}"/>
    <cellStyle name="检查单元格 2 19 5 2" xfId="16931" xr:uid="{00000000-0005-0000-0000-00002D730000}"/>
    <cellStyle name="检查单元格 2 19 5 2 2" xfId="11961" xr:uid="{00000000-0005-0000-0000-00002E730000}"/>
    <cellStyle name="检查单元格 2 19 5 2 2 2" xfId="33715" xr:uid="{00000000-0005-0000-0000-00002F730000}"/>
    <cellStyle name="检查单元格 2 19 5 2 2 3" xfId="33716" xr:uid="{00000000-0005-0000-0000-000030730000}"/>
    <cellStyle name="检查单元格 2 19 5 2 3" xfId="11968" xr:uid="{00000000-0005-0000-0000-000031730000}"/>
    <cellStyle name="检查单元格 2 19 5 2 4" xfId="11975" xr:uid="{00000000-0005-0000-0000-000032730000}"/>
    <cellStyle name="检查单元格 2 19 5 2 5" xfId="8252" xr:uid="{00000000-0005-0000-0000-000033730000}"/>
    <cellStyle name="检查单元格 2 19 5 2 6" xfId="8256" xr:uid="{00000000-0005-0000-0000-000034730000}"/>
    <cellStyle name="检查单元格 2 19 5 2 7" xfId="8262" xr:uid="{00000000-0005-0000-0000-000035730000}"/>
    <cellStyle name="检查单元格 2 19 5 2 8" xfId="5498" xr:uid="{00000000-0005-0000-0000-000036730000}"/>
    <cellStyle name="检查单元格 2 19 5 3" xfId="16934" xr:uid="{00000000-0005-0000-0000-000037730000}"/>
    <cellStyle name="检查单元格 2 19 5 4" xfId="16937" xr:uid="{00000000-0005-0000-0000-000038730000}"/>
    <cellStyle name="检查单元格 2 19 5 5" xfId="16939" xr:uid="{00000000-0005-0000-0000-000039730000}"/>
    <cellStyle name="检查单元格 2 19 5 6" xfId="16941" xr:uid="{00000000-0005-0000-0000-00003A730000}"/>
    <cellStyle name="检查单元格 2 19 5 6 2" xfId="10447" xr:uid="{00000000-0005-0000-0000-00003B730000}"/>
    <cellStyle name="检查单元格 2 19 5 6 3" xfId="6875" xr:uid="{00000000-0005-0000-0000-00003C730000}"/>
    <cellStyle name="检查单元格 2 19 5 7" xfId="16943" xr:uid="{00000000-0005-0000-0000-00003D730000}"/>
    <cellStyle name="检查单元格 2 19 5 8" xfId="33717" xr:uid="{00000000-0005-0000-0000-00003E730000}"/>
    <cellStyle name="检查单元格 2 19 5 9" xfId="16813" xr:uid="{00000000-0005-0000-0000-00003F730000}"/>
    <cellStyle name="检查单元格 2 19 6" xfId="26418" xr:uid="{00000000-0005-0000-0000-000040730000}"/>
    <cellStyle name="检查单元格 2 19 6 2" xfId="26420" xr:uid="{00000000-0005-0000-0000-000041730000}"/>
    <cellStyle name="检查单元格 2 19 6 2 2" xfId="25756" xr:uid="{00000000-0005-0000-0000-000042730000}"/>
    <cellStyle name="检查单元格 2 19 6 2 3" xfId="33718" xr:uid="{00000000-0005-0000-0000-000043730000}"/>
    <cellStyle name="检查单元格 2 19 6 3" xfId="26422" xr:uid="{00000000-0005-0000-0000-000044730000}"/>
    <cellStyle name="检查单元格 2 19 6 4" xfId="33719" xr:uid="{00000000-0005-0000-0000-000045730000}"/>
    <cellStyle name="检查单元格 2 19 6 5" xfId="33720" xr:uid="{00000000-0005-0000-0000-000046730000}"/>
    <cellStyle name="检查单元格 2 19 6 6" xfId="33721" xr:uid="{00000000-0005-0000-0000-000047730000}"/>
    <cellStyle name="检查单元格 2 19 6 7" xfId="33722" xr:uid="{00000000-0005-0000-0000-000048730000}"/>
    <cellStyle name="检查单元格 2 19 6 8" xfId="33723" xr:uid="{00000000-0005-0000-0000-000049730000}"/>
    <cellStyle name="检查单元格 2 19 7" xfId="33724" xr:uid="{00000000-0005-0000-0000-00004A730000}"/>
    <cellStyle name="检查单元格 2 19 8" xfId="25829" xr:uid="{00000000-0005-0000-0000-00004B730000}"/>
    <cellStyle name="检查单元格 2 19 9" xfId="33725" xr:uid="{00000000-0005-0000-0000-00004C730000}"/>
    <cellStyle name="检查单元格 2 19 9 2" xfId="33726" xr:uid="{00000000-0005-0000-0000-00004D730000}"/>
    <cellStyle name="检查单元格 2 19 9 3" xfId="33727" xr:uid="{00000000-0005-0000-0000-00004E730000}"/>
    <cellStyle name="检查单元格 2 2" xfId="33728" xr:uid="{00000000-0005-0000-0000-00004F730000}"/>
    <cellStyle name="检查单元格 2 2 10" xfId="33729" xr:uid="{00000000-0005-0000-0000-000050730000}"/>
    <cellStyle name="检查单元格 2 2 11" xfId="24951" xr:uid="{00000000-0005-0000-0000-000051730000}"/>
    <cellStyle name="检查单元格 2 2 12" xfId="24953" xr:uid="{00000000-0005-0000-0000-000052730000}"/>
    <cellStyle name="检查单元格 2 2 13" xfId="13932" xr:uid="{00000000-0005-0000-0000-000053730000}"/>
    <cellStyle name="检查单元格 2 2 14" xfId="7813" xr:uid="{00000000-0005-0000-0000-000054730000}"/>
    <cellStyle name="检查单元格 2 2 2" xfId="32879" xr:uid="{00000000-0005-0000-0000-000055730000}"/>
    <cellStyle name="检查单元格 2 2 3" xfId="32881" xr:uid="{00000000-0005-0000-0000-000056730000}"/>
    <cellStyle name="检查单元格 2 2 4" xfId="33730" xr:uid="{00000000-0005-0000-0000-000057730000}"/>
    <cellStyle name="检查单元格 2 2 5" xfId="33732" xr:uid="{00000000-0005-0000-0000-000058730000}"/>
    <cellStyle name="检查单元格 2 2 6" xfId="801" xr:uid="{00000000-0005-0000-0000-000059730000}"/>
    <cellStyle name="检查单元格 2 2 7" xfId="370" xr:uid="{00000000-0005-0000-0000-00005A730000}"/>
    <cellStyle name="检查单元格 2 2 8" xfId="33734" xr:uid="{00000000-0005-0000-0000-00005B730000}"/>
    <cellStyle name="检查单元格 2 2 9" xfId="33735" xr:uid="{00000000-0005-0000-0000-00005C730000}"/>
    <cellStyle name="检查单元格 2 20" xfId="10519" xr:uid="{00000000-0005-0000-0000-00005D730000}"/>
    <cellStyle name="检查单元格 2 20 10" xfId="29836" xr:uid="{00000000-0005-0000-0000-00005E730000}"/>
    <cellStyle name="检查单元格 2 20 11" xfId="29838" xr:uid="{00000000-0005-0000-0000-00005F730000}"/>
    <cellStyle name="检查单元格 2 20 12" xfId="33736" xr:uid="{00000000-0005-0000-0000-000060730000}"/>
    <cellStyle name="检查单元格 2 20 13" xfId="13045" xr:uid="{00000000-0005-0000-0000-000061730000}"/>
    <cellStyle name="检查单元格 2 20 14" xfId="13047" xr:uid="{00000000-0005-0000-0000-000062730000}"/>
    <cellStyle name="检查单元格 2 20 2" xfId="28808" xr:uid="{00000000-0005-0000-0000-000063730000}"/>
    <cellStyle name="检查单元格 2 20 3" xfId="28811" xr:uid="{00000000-0005-0000-0000-000064730000}"/>
    <cellStyle name="检查单元格 2 20 4" xfId="28813" xr:uid="{00000000-0005-0000-0000-000065730000}"/>
    <cellStyle name="检查单元格 2 20 5" xfId="28816" xr:uid="{00000000-0005-0000-0000-000066730000}"/>
    <cellStyle name="检查单元格 2 20 5 10" xfId="33737" xr:uid="{00000000-0005-0000-0000-000067730000}"/>
    <cellStyle name="检查单元格 2 20 5 11" xfId="33739" xr:uid="{00000000-0005-0000-0000-000068730000}"/>
    <cellStyle name="检查单元格 2 20 5 2" xfId="17003" xr:uid="{00000000-0005-0000-0000-000069730000}"/>
    <cellStyle name="检查单元格 2 20 5 2 2" xfId="31858" xr:uid="{00000000-0005-0000-0000-00006A730000}"/>
    <cellStyle name="检查单元格 2 20 5 2 2 2" xfId="26663" xr:uid="{00000000-0005-0000-0000-00006B730000}"/>
    <cellStyle name="检查单元格 2 20 5 2 2 3" xfId="26665" xr:uid="{00000000-0005-0000-0000-00006C730000}"/>
    <cellStyle name="检查单元格 2 20 5 2 3" xfId="33741" xr:uid="{00000000-0005-0000-0000-00006D730000}"/>
    <cellStyle name="检查单元格 2 20 5 2 4" xfId="33743" xr:uid="{00000000-0005-0000-0000-00006E730000}"/>
    <cellStyle name="检查单元格 2 20 5 2 5" xfId="24561" xr:uid="{00000000-0005-0000-0000-00006F730000}"/>
    <cellStyle name="检查单元格 2 20 5 2 6" xfId="33745" xr:uid="{00000000-0005-0000-0000-000070730000}"/>
    <cellStyle name="检查单元格 2 20 5 2 7" xfId="33746" xr:uid="{00000000-0005-0000-0000-000071730000}"/>
    <cellStyle name="检查单元格 2 20 5 2 8" xfId="33747" xr:uid="{00000000-0005-0000-0000-000072730000}"/>
    <cellStyle name="检查单元格 2 20 5 3" xfId="17007" xr:uid="{00000000-0005-0000-0000-000073730000}"/>
    <cellStyle name="检查单元格 2 20 5 4" xfId="17011" xr:uid="{00000000-0005-0000-0000-000074730000}"/>
    <cellStyle name="检查单元格 2 20 5 5" xfId="17016" xr:uid="{00000000-0005-0000-0000-000075730000}"/>
    <cellStyle name="检查单元格 2 20 5 6" xfId="17020" xr:uid="{00000000-0005-0000-0000-000076730000}"/>
    <cellStyle name="检查单元格 2 20 5 6 2" xfId="10362" xr:uid="{00000000-0005-0000-0000-000077730000}"/>
    <cellStyle name="检查单元格 2 20 5 6 3" xfId="10364" xr:uid="{00000000-0005-0000-0000-000078730000}"/>
    <cellStyle name="检查单元格 2 20 5 7" xfId="14815" xr:uid="{00000000-0005-0000-0000-000079730000}"/>
    <cellStyle name="检查单元格 2 20 5 8" xfId="14818" xr:uid="{00000000-0005-0000-0000-00007A730000}"/>
    <cellStyle name="检查单元格 2 20 5 9" xfId="25094" xr:uid="{00000000-0005-0000-0000-00007B730000}"/>
    <cellStyle name="检查单元格 2 20 6" xfId="28819" xr:uid="{00000000-0005-0000-0000-00007C730000}"/>
    <cellStyle name="检查单元格 2 20 6 2" xfId="33748" xr:uid="{00000000-0005-0000-0000-00007D730000}"/>
    <cellStyle name="检查单元格 2 20 6 2 2" xfId="31878" xr:uid="{00000000-0005-0000-0000-00007E730000}"/>
    <cellStyle name="检查单元格 2 20 6 2 3" xfId="33749" xr:uid="{00000000-0005-0000-0000-00007F730000}"/>
    <cellStyle name="检查单元格 2 20 6 3" xfId="33750" xr:uid="{00000000-0005-0000-0000-000080730000}"/>
    <cellStyle name="检查单元格 2 20 6 4" xfId="33751" xr:uid="{00000000-0005-0000-0000-000081730000}"/>
    <cellStyle name="检查单元格 2 20 6 5" xfId="33752" xr:uid="{00000000-0005-0000-0000-000082730000}"/>
    <cellStyle name="检查单元格 2 20 6 6" xfId="33753" xr:uid="{00000000-0005-0000-0000-000083730000}"/>
    <cellStyle name="检查单元格 2 20 6 7" xfId="33754" xr:uid="{00000000-0005-0000-0000-000084730000}"/>
    <cellStyle name="检查单元格 2 20 6 8" xfId="27263" xr:uid="{00000000-0005-0000-0000-000085730000}"/>
    <cellStyle name="检查单元格 2 20 7" xfId="28821" xr:uid="{00000000-0005-0000-0000-000086730000}"/>
    <cellStyle name="检查单元格 2 20 8" xfId="28823" xr:uid="{00000000-0005-0000-0000-000087730000}"/>
    <cellStyle name="检查单元格 2 20 9" xfId="33755" xr:uid="{00000000-0005-0000-0000-000088730000}"/>
    <cellStyle name="检查单元格 2 20 9 2" xfId="33756" xr:uid="{00000000-0005-0000-0000-000089730000}"/>
    <cellStyle name="检查单元格 2 20 9 3" xfId="33757" xr:uid="{00000000-0005-0000-0000-00008A730000}"/>
    <cellStyle name="检查单元格 2 3" xfId="33758" xr:uid="{00000000-0005-0000-0000-00008B730000}"/>
    <cellStyle name="检查单元格 2 3 10" xfId="33759" xr:uid="{00000000-0005-0000-0000-00008C730000}"/>
    <cellStyle name="检查单元格 2 3 11" xfId="33760" xr:uid="{00000000-0005-0000-0000-00008D730000}"/>
    <cellStyle name="检查单元格 2 3 12" xfId="14336" xr:uid="{00000000-0005-0000-0000-00008E730000}"/>
    <cellStyle name="检查单元格 2 3 13" xfId="14345" xr:uid="{00000000-0005-0000-0000-00008F730000}"/>
    <cellStyle name="检查单元格 2 3 14" xfId="14355" xr:uid="{00000000-0005-0000-0000-000090730000}"/>
    <cellStyle name="检查单元格 2 3 2" xfId="16224" xr:uid="{00000000-0005-0000-0000-000091730000}"/>
    <cellStyle name="检查单元格 2 3 3" xfId="16227" xr:uid="{00000000-0005-0000-0000-000092730000}"/>
    <cellStyle name="检查单元格 2 3 4" xfId="27377" xr:uid="{00000000-0005-0000-0000-000093730000}"/>
    <cellStyle name="检查单元格 2 3 5" xfId="27380" xr:uid="{00000000-0005-0000-0000-000094730000}"/>
    <cellStyle name="检查单元格 2 3 6" xfId="27382" xr:uid="{00000000-0005-0000-0000-000095730000}"/>
    <cellStyle name="检查单元格 2 3 7" xfId="27412" xr:uid="{00000000-0005-0000-0000-000096730000}"/>
    <cellStyle name="检查单元格 2 3 8" xfId="27460" xr:uid="{00000000-0005-0000-0000-000097730000}"/>
    <cellStyle name="检查单元格 2 3 9" xfId="33761" xr:uid="{00000000-0005-0000-0000-000098730000}"/>
    <cellStyle name="检查单元格 2 4" xfId="33762" xr:uid="{00000000-0005-0000-0000-000099730000}"/>
    <cellStyle name="检查单元格 2 4 10" xfId="32882" xr:uid="{00000000-0005-0000-0000-00009A730000}"/>
    <cellStyle name="检查单元格 2 4 11" xfId="33731" xr:uid="{00000000-0005-0000-0000-00009B730000}"/>
    <cellStyle name="检查单元格 2 4 12" xfId="33733" xr:uid="{00000000-0005-0000-0000-00009C730000}"/>
    <cellStyle name="检查单元格 2 4 13" xfId="802" xr:uid="{00000000-0005-0000-0000-00009D730000}"/>
    <cellStyle name="检查单元格 2 4 14" xfId="371" xr:uid="{00000000-0005-0000-0000-00009E730000}"/>
    <cellStyle name="检查单元格 2 4 2" xfId="28806" xr:uid="{00000000-0005-0000-0000-00009F730000}"/>
    <cellStyle name="检查单元格 2 4 3" xfId="33763" xr:uid="{00000000-0005-0000-0000-0000A0730000}"/>
    <cellStyle name="检查单元格 2 4 4" xfId="33764" xr:uid="{00000000-0005-0000-0000-0000A1730000}"/>
    <cellStyle name="检查单元格 2 4 5" xfId="28785" xr:uid="{00000000-0005-0000-0000-0000A2730000}"/>
    <cellStyle name="检查单元格 2 4 6" xfId="28787" xr:uid="{00000000-0005-0000-0000-0000A3730000}"/>
    <cellStyle name="检查单元格 2 4 7" xfId="28789" xr:uid="{00000000-0005-0000-0000-0000A4730000}"/>
    <cellStyle name="检查单元格 2 4 8" xfId="17253" xr:uid="{00000000-0005-0000-0000-0000A5730000}"/>
    <cellStyle name="检查单元格 2 4 9" xfId="17258" xr:uid="{00000000-0005-0000-0000-0000A6730000}"/>
    <cellStyle name="检查单元格 2 5" xfId="33765" xr:uid="{00000000-0005-0000-0000-0000A7730000}"/>
    <cellStyle name="检查单元格 2 6" xfId="33766" xr:uid="{00000000-0005-0000-0000-0000A8730000}"/>
    <cellStyle name="检查单元格 2 7" xfId="27024" xr:uid="{00000000-0005-0000-0000-0000A9730000}"/>
    <cellStyle name="检查单元格 2 8" xfId="27026" xr:uid="{00000000-0005-0000-0000-0000AA730000}"/>
    <cellStyle name="检查单元格 2 9" xfId="27028" xr:uid="{00000000-0005-0000-0000-0000AB730000}"/>
    <cellStyle name="检查单元格 3" xfId="22785" xr:uid="{00000000-0005-0000-0000-0000AC730000}"/>
    <cellStyle name="检查单元格 3 10" xfId="2065" xr:uid="{00000000-0005-0000-0000-0000AD730000}"/>
    <cellStyle name="检查单元格 3 11" xfId="2092" xr:uid="{00000000-0005-0000-0000-0000AE730000}"/>
    <cellStyle name="检查单元格 3 12" xfId="4243" xr:uid="{00000000-0005-0000-0000-0000AF730000}"/>
    <cellStyle name="检查单元格 3 13" xfId="4253" xr:uid="{00000000-0005-0000-0000-0000B0730000}"/>
    <cellStyle name="检查单元格 3 14" xfId="4261" xr:uid="{00000000-0005-0000-0000-0000B1730000}"/>
    <cellStyle name="检查单元格 3 15" xfId="33767" xr:uid="{00000000-0005-0000-0000-0000B2730000}"/>
    <cellStyle name="检查单元格 3 16" xfId="33769" xr:uid="{00000000-0005-0000-0000-0000B3730000}"/>
    <cellStyle name="检查单元格 3 17" xfId="33770" xr:uid="{00000000-0005-0000-0000-0000B4730000}"/>
    <cellStyle name="检查单元格 3 17 10" xfId="33771" xr:uid="{00000000-0005-0000-0000-0000B5730000}"/>
    <cellStyle name="检查单元格 3 17 11" xfId="5866" xr:uid="{00000000-0005-0000-0000-0000B6730000}"/>
    <cellStyle name="检查单元格 3 17 12" xfId="5871" xr:uid="{00000000-0005-0000-0000-0000B7730000}"/>
    <cellStyle name="检查单元格 3 17 13" xfId="33772" xr:uid="{00000000-0005-0000-0000-0000B8730000}"/>
    <cellStyle name="检查单元格 3 17 14" xfId="21566" xr:uid="{00000000-0005-0000-0000-0000B9730000}"/>
    <cellStyle name="检查单元格 3 17 2" xfId="33773" xr:uid="{00000000-0005-0000-0000-0000BA730000}"/>
    <cellStyle name="检查单元格 3 17 2 2" xfId="33774" xr:uid="{00000000-0005-0000-0000-0000BB730000}"/>
    <cellStyle name="检查单元格 3 17 3" xfId="33775" xr:uid="{00000000-0005-0000-0000-0000BC730000}"/>
    <cellStyle name="检查单元格 3 17 4" xfId="33776" xr:uid="{00000000-0005-0000-0000-0000BD730000}"/>
    <cellStyle name="检查单元格 3 17 5" xfId="33777" xr:uid="{00000000-0005-0000-0000-0000BE730000}"/>
    <cellStyle name="检查单元格 3 17 5 10" xfId="4381" xr:uid="{00000000-0005-0000-0000-0000BF730000}"/>
    <cellStyle name="检查单元格 3 17 5 11" xfId="4394" xr:uid="{00000000-0005-0000-0000-0000C0730000}"/>
    <cellStyle name="检查单元格 3 17 5 2" xfId="5973" xr:uid="{00000000-0005-0000-0000-0000C1730000}"/>
    <cellStyle name="检查单元格 3 17 5 2 2" xfId="16604" xr:uid="{00000000-0005-0000-0000-0000C2730000}"/>
    <cellStyle name="检查单元格 3 17 5 2 2 2" xfId="33778" xr:uid="{00000000-0005-0000-0000-0000C3730000}"/>
    <cellStyle name="检查单元格 3 17 5 2 2 3" xfId="33779" xr:uid="{00000000-0005-0000-0000-0000C4730000}"/>
    <cellStyle name="检查单元格 3 17 5 2 3" xfId="16610" xr:uid="{00000000-0005-0000-0000-0000C5730000}"/>
    <cellStyle name="检查单元格 3 17 5 2 4" xfId="16638" xr:uid="{00000000-0005-0000-0000-0000C6730000}"/>
    <cellStyle name="检查单元格 3 17 5 2 5" xfId="16659" xr:uid="{00000000-0005-0000-0000-0000C7730000}"/>
    <cellStyle name="检查单元格 3 17 5 2 6" xfId="6942" xr:uid="{00000000-0005-0000-0000-0000C8730000}"/>
    <cellStyle name="检查单元格 3 17 5 2 7" xfId="6947" xr:uid="{00000000-0005-0000-0000-0000C9730000}"/>
    <cellStyle name="检查单元格 3 17 5 2 8" xfId="6952" xr:uid="{00000000-0005-0000-0000-0000CA730000}"/>
    <cellStyle name="检查单元格 3 17 5 3" xfId="9746" xr:uid="{00000000-0005-0000-0000-0000CB730000}"/>
    <cellStyle name="检查单元格 3 17 5 4" xfId="9751" xr:uid="{00000000-0005-0000-0000-0000CC730000}"/>
    <cellStyle name="检查单元格 3 17 5 5" xfId="9756" xr:uid="{00000000-0005-0000-0000-0000CD730000}"/>
    <cellStyle name="检查单元格 3 17 5 6" xfId="9761" xr:uid="{00000000-0005-0000-0000-0000CE730000}"/>
    <cellStyle name="检查单元格 3 17 5 6 2" xfId="6781" xr:uid="{00000000-0005-0000-0000-0000CF730000}"/>
    <cellStyle name="检查单元格 3 17 5 6 3" xfId="7619" xr:uid="{00000000-0005-0000-0000-0000D0730000}"/>
    <cellStyle name="检查单元格 3 17 5 7" xfId="17050" xr:uid="{00000000-0005-0000-0000-0000D1730000}"/>
    <cellStyle name="检查单元格 3 17 5 8" xfId="33780" xr:uid="{00000000-0005-0000-0000-0000D2730000}"/>
    <cellStyle name="检查单元格 3 17 5 9" xfId="33781" xr:uid="{00000000-0005-0000-0000-0000D3730000}"/>
    <cellStyle name="检查单元格 3 17 6" xfId="33782" xr:uid="{00000000-0005-0000-0000-0000D4730000}"/>
    <cellStyle name="检查单元格 3 17 6 2" xfId="33783" xr:uid="{00000000-0005-0000-0000-0000D5730000}"/>
    <cellStyle name="检查单元格 3 17 6 2 2" xfId="33784" xr:uid="{00000000-0005-0000-0000-0000D6730000}"/>
    <cellStyle name="检查单元格 3 17 6 2 3" xfId="33785" xr:uid="{00000000-0005-0000-0000-0000D7730000}"/>
    <cellStyle name="检查单元格 3 17 6 3" xfId="33786" xr:uid="{00000000-0005-0000-0000-0000D8730000}"/>
    <cellStyle name="检查单元格 3 17 6 4" xfId="32144" xr:uid="{00000000-0005-0000-0000-0000D9730000}"/>
    <cellStyle name="检查单元格 3 17 6 5" xfId="25949" xr:uid="{00000000-0005-0000-0000-0000DA730000}"/>
    <cellStyle name="检查单元格 3 17 6 6" xfId="32146" xr:uid="{00000000-0005-0000-0000-0000DB730000}"/>
    <cellStyle name="检查单元格 3 17 6 7" xfId="32148" xr:uid="{00000000-0005-0000-0000-0000DC730000}"/>
    <cellStyle name="检查单元格 3 17 6 8" xfId="25591" xr:uid="{00000000-0005-0000-0000-0000DD730000}"/>
    <cellStyle name="检查单元格 3 17 7" xfId="33787" xr:uid="{00000000-0005-0000-0000-0000DE730000}"/>
    <cellStyle name="检查单元格 3 17 8" xfId="33788" xr:uid="{00000000-0005-0000-0000-0000DF730000}"/>
    <cellStyle name="检查单元格 3 17 9" xfId="1106" xr:uid="{00000000-0005-0000-0000-0000E0730000}"/>
    <cellStyle name="检查单元格 3 17 9 2" xfId="33789" xr:uid="{00000000-0005-0000-0000-0000E1730000}"/>
    <cellStyle name="检查单元格 3 17 9 3" xfId="33790" xr:uid="{00000000-0005-0000-0000-0000E2730000}"/>
    <cellStyle name="检查单元格 3 18" xfId="33791" xr:uid="{00000000-0005-0000-0000-0000E3730000}"/>
    <cellStyle name="检查单元格 3 18 10" xfId="28589" xr:uid="{00000000-0005-0000-0000-0000E4730000}"/>
    <cellStyle name="检查单元格 3 18 11" xfId="28591" xr:uid="{00000000-0005-0000-0000-0000E5730000}"/>
    <cellStyle name="检查单元格 3 18 12" xfId="28593" xr:uid="{00000000-0005-0000-0000-0000E6730000}"/>
    <cellStyle name="检查单元格 3 18 13" xfId="28595" xr:uid="{00000000-0005-0000-0000-0000E7730000}"/>
    <cellStyle name="检查单元格 3 18 14" xfId="28597" xr:uid="{00000000-0005-0000-0000-0000E8730000}"/>
    <cellStyle name="检查单元格 3 18 2" xfId="29760" xr:uid="{00000000-0005-0000-0000-0000E9730000}"/>
    <cellStyle name="检查单元格 3 18 3" xfId="29762" xr:uid="{00000000-0005-0000-0000-0000EA730000}"/>
    <cellStyle name="检查单元格 3 18 4" xfId="29343" xr:uid="{00000000-0005-0000-0000-0000EB730000}"/>
    <cellStyle name="检查单元格 3 18 5" xfId="29346" xr:uid="{00000000-0005-0000-0000-0000EC730000}"/>
    <cellStyle name="检查单元格 3 18 5 10" xfId="5785" xr:uid="{00000000-0005-0000-0000-0000ED730000}"/>
    <cellStyle name="检查单元格 3 18 5 11" xfId="5814" xr:uid="{00000000-0005-0000-0000-0000EE730000}"/>
    <cellStyle name="检查单元格 3 18 5 2" xfId="16081" xr:uid="{00000000-0005-0000-0000-0000EF730000}"/>
    <cellStyle name="检查单元格 3 18 5 2 2" xfId="4515" xr:uid="{00000000-0005-0000-0000-0000F0730000}"/>
    <cellStyle name="检查单元格 3 18 5 2 2 2" xfId="8174" xr:uid="{00000000-0005-0000-0000-0000F1730000}"/>
    <cellStyle name="检查单元格 3 18 5 2 2 3" xfId="8179" xr:uid="{00000000-0005-0000-0000-0000F2730000}"/>
    <cellStyle name="检查单元格 3 18 5 2 3" xfId="27899" xr:uid="{00000000-0005-0000-0000-0000F3730000}"/>
    <cellStyle name="检查单元格 3 18 5 2 4" xfId="27912" xr:uid="{00000000-0005-0000-0000-0000F4730000}"/>
    <cellStyle name="检查单元格 3 18 5 2 5" xfId="10408" xr:uid="{00000000-0005-0000-0000-0000F5730000}"/>
    <cellStyle name="检查单元格 3 18 5 2 6" xfId="10420" xr:uid="{00000000-0005-0000-0000-0000F6730000}"/>
    <cellStyle name="检查单元格 3 18 5 2 7" xfId="27930" xr:uid="{00000000-0005-0000-0000-0000F7730000}"/>
    <cellStyle name="检查单元格 3 18 5 2 8" xfId="33793" xr:uid="{00000000-0005-0000-0000-0000F8730000}"/>
    <cellStyle name="检查单元格 3 18 5 3" xfId="16087" xr:uid="{00000000-0005-0000-0000-0000F9730000}"/>
    <cellStyle name="检查单元格 3 18 5 4" xfId="16093" xr:uid="{00000000-0005-0000-0000-0000FA730000}"/>
    <cellStyle name="检查单元格 3 18 5 5" xfId="16099" xr:uid="{00000000-0005-0000-0000-0000FB730000}"/>
    <cellStyle name="检查单元格 3 18 5 6" xfId="16679" xr:uid="{00000000-0005-0000-0000-0000FC730000}"/>
    <cellStyle name="检查单元格 3 18 5 6 2" xfId="33795" xr:uid="{00000000-0005-0000-0000-0000FD730000}"/>
    <cellStyle name="检查单元格 3 18 5 6 3" xfId="31894" xr:uid="{00000000-0005-0000-0000-0000FE730000}"/>
    <cellStyle name="检查单元格 3 18 5 7" xfId="17098" xr:uid="{00000000-0005-0000-0000-0000FF730000}"/>
    <cellStyle name="检查单元格 3 18 5 8" xfId="33796" xr:uid="{00000000-0005-0000-0000-000000740000}"/>
    <cellStyle name="检查单元格 3 18 5 9" xfId="33797" xr:uid="{00000000-0005-0000-0000-000001740000}"/>
    <cellStyle name="检查单元格 3 18 6" xfId="28385" xr:uid="{00000000-0005-0000-0000-000002740000}"/>
    <cellStyle name="检查单元格 3 18 6 2" xfId="32662" xr:uid="{00000000-0005-0000-0000-000003740000}"/>
    <cellStyle name="检查单元格 3 18 6 2 2" xfId="14523" xr:uid="{00000000-0005-0000-0000-000004740000}"/>
    <cellStyle name="检查单元格 3 18 6 2 3" xfId="14526" xr:uid="{00000000-0005-0000-0000-000005740000}"/>
    <cellStyle name="检查单元格 3 18 6 3" xfId="33798" xr:uid="{00000000-0005-0000-0000-000006740000}"/>
    <cellStyle name="检查单元格 3 18 6 4" xfId="32152" xr:uid="{00000000-0005-0000-0000-000007740000}"/>
    <cellStyle name="检查单元格 3 18 6 5" xfId="32155" xr:uid="{00000000-0005-0000-0000-000008740000}"/>
    <cellStyle name="检查单元格 3 18 6 6" xfId="24629" xr:uid="{00000000-0005-0000-0000-000009740000}"/>
    <cellStyle name="检查单元格 3 18 6 7" xfId="33799" xr:uid="{00000000-0005-0000-0000-00000A740000}"/>
    <cellStyle name="检查单元格 3 18 6 8" xfId="33800" xr:uid="{00000000-0005-0000-0000-00000B740000}"/>
    <cellStyle name="检查单元格 3 18 7" xfId="28389" xr:uid="{00000000-0005-0000-0000-00000C740000}"/>
    <cellStyle name="检查单元格 3 18 8" xfId="28391" xr:uid="{00000000-0005-0000-0000-00000D740000}"/>
    <cellStyle name="检查单元格 3 18 9" xfId="28393" xr:uid="{00000000-0005-0000-0000-00000E740000}"/>
    <cellStyle name="检查单元格 3 18 9 2" xfId="23522" xr:uid="{00000000-0005-0000-0000-00000F740000}"/>
    <cellStyle name="检查单元格 3 18 9 3" xfId="23524" xr:uid="{00000000-0005-0000-0000-000010740000}"/>
    <cellStyle name="检查单元格 3 19" xfId="33801" xr:uid="{00000000-0005-0000-0000-000011740000}"/>
    <cellStyle name="检查单元格 3 19 10" xfId="13691" xr:uid="{00000000-0005-0000-0000-000012740000}"/>
    <cellStyle name="检查单元格 3 19 11" xfId="13741" xr:uid="{00000000-0005-0000-0000-000013740000}"/>
    <cellStyle name="检查单元格 3 19 12" xfId="13770" xr:uid="{00000000-0005-0000-0000-000014740000}"/>
    <cellStyle name="检查单元格 3 19 13" xfId="13776" xr:uid="{00000000-0005-0000-0000-000015740000}"/>
    <cellStyle name="检查单元格 3 19 14" xfId="13782" xr:uid="{00000000-0005-0000-0000-000016740000}"/>
    <cellStyle name="检查单元格 3 19 2" xfId="26614" xr:uid="{00000000-0005-0000-0000-000017740000}"/>
    <cellStyle name="检查单元格 3 19 3" xfId="26637" xr:uid="{00000000-0005-0000-0000-000018740000}"/>
    <cellStyle name="检查单元格 3 19 4" xfId="26647" xr:uid="{00000000-0005-0000-0000-000019740000}"/>
    <cellStyle name="检查单元格 3 19 5" xfId="26650" xr:uid="{00000000-0005-0000-0000-00001A740000}"/>
    <cellStyle name="检查单元格 3 19 5 10" xfId="33802" xr:uid="{00000000-0005-0000-0000-00001B740000}"/>
    <cellStyle name="检查单元格 3 19 5 11" xfId="8180" xr:uid="{00000000-0005-0000-0000-00001C740000}"/>
    <cellStyle name="检查单元格 3 19 5 2" xfId="17143" xr:uid="{00000000-0005-0000-0000-00001D740000}"/>
    <cellStyle name="检查单元格 3 19 5 2 2" xfId="31740" xr:uid="{00000000-0005-0000-0000-00001E740000}"/>
    <cellStyle name="检查单元格 3 19 5 2 2 2" xfId="28843" xr:uid="{00000000-0005-0000-0000-00001F740000}"/>
    <cellStyle name="检查单元格 3 19 5 2 2 3" xfId="28845" xr:uid="{00000000-0005-0000-0000-000020740000}"/>
    <cellStyle name="检查单元格 3 19 5 2 3" xfId="31744" xr:uid="{00000000-0005-0000-0000-000021740000}"/>
    <cellStyle name="检查单元格 3 19 5 2 4" xfId="31747" xr:uid="{00000000-0005-0000-0000-000022740000}"/>
    <cellStyle name="检查单元格 3 19 5 2 5" xfId="31750" xr:uid="{00000000-0005-0000-0000-000023740000}"/>
    <cellStyle name="检查单元格 3 19 5 2 6" xfId="33803" xr:uid="{00000000-0005-0000-0000-000024740000}"/>
    <cellStyle name="检查单元格 3 19 5 2 7" xfId="29407" xr:uid="{00000000-0005-0000-0000-000025740000}"/>
    <cellStyle name="检查单元格 3 19 5 2 8" xfId="29409" xr:uid="{00000000-0005-0000-0000-000026740000}"/>
    <cellStyle name="检查单元格 3 19 5 3" xfId="17146" xr:uid="{00000000-0005-0000-0000-000027740000}"/>
    <cellStyle name="检查单元格 3 19 5 4" xfId="17150" xr:uid="{00000000-0005-0000-0000-000028740000}"/>
    <cellStyle name="检查单元格 3 19 5 5" xfId="17155" xr:uid="{00000000-0005-0000-0000-000029740000}"/>
    <cellStyle name="检查单元格 3 19 5 6" xfId="1799" xr:uid="{00000000-0005-0000-0000-00002A740000}"/>
    <cellStyle name="检查单元格 3 19 5 6 2" xfId="10147" xr:uid="{00000000-0005-0000-0000-00002B740000}"/>
    <cellStyle name="检查单元格 3 19 5 6 3" xfId="9358" xr:uid="{00000000-0005-0000-0000-00002C740000}"/>
    <cellStyle name="检查单元格 3 19 5 7" xfId="1819" xr:uid="{00000000-0005-0000-0000-00002D740000}"/>
    <cellStyle name="检查单元格 3 19 5 8" xfId="8004" xr:uid="{00000000-0005-0000-0000-00002E740000}"/>
    <cellStyle name="检查单元格 3 19 5 9" xfId="8007" xr:uid="{00000000-0005-0000-0000-00002F740000}"/>
    <cellStyle name="检查单元格 3 19 6" xfId="26652" xr:uid="{00000000-0005-0000-0000-000030740000}"/>
    <cellStyle name="检查单元格 3 19 6 2" xfId="26654" xr:uid="{00000000-0005-0000-0000-000031740000}"/>
    <cellStyle name="检查单元格 3 19 6 2 2" xfId="33804" xr:uid="{00000000-0005-0000-0000-000032740000}"/>
    <cellStyle name="检查单元格 3 19 6 2 3" xfId="33805" xr:uid="{00000000-0005-0000-0000-000033740000}"/>
    <cellStyle name="检查单元格 3 19 6 3" xfId="2000" xr:uid="{00000000-0005-0000-0000-000034740000}"/>
    <cellStyle name="检查单元格 3 19 6 4" xfId="2215" xr:uid="{00000000-0005-0000-0000-000035740000}"/>
    <cellStyle name="检查单元格 3 19 6 5" xfId="2295" xr:uid="{00000000-0005-0000-0000-000036740000}"/>
    <cellStyle name="检查单元格 3 19 6 6" xfId="2304" xr:uid="{00000000-0005-0000-0000-000037740000}"/>
    <cellStyle name="检查单元格 3 19 6 7" xfId="2312" xr:uid="{00000000-0005-0000-0000-000038740000}"/>
    <cellStyle name="检查单元格 3 19 6 8" xfId="3229" xr:uid="{00000000-0005-0000-0000-000039740000}"/>
    <cellStyle name="检查单元格 3 19 7" xfId="33806" xr:uid="{00000000-0005-0000-0000-00003A740000}"/>
    <cellStyle name="检查单元格 3 19 8" xfId="33807" xr:uid="{00000000-0005-0000-0000-00003B740000}"/>
    <cellStyle name="检查单元格 3 19 9" xfId="19365" xr:uid="{00000000-0005-0000-0000-00003C740000}"/>
    <cellStyle name="检查单元格 3 19 9 2" xfId="22613" xr:uid="{00000000-0005-0000-0000-00003D740000}"/>
    <cellStyle name="检查单元格 3 19 9 3" xfId="22616" xr:uid="{00000000-0005-0000-0000-00003E740000}"/>
    <cellStyle name="检查单元格 3 2" xfId="20110" xr:uid="{00000000-0005-0000-0000-00003F740000}"/>
    <cellStyle name="检查单元格 3 2 10" xfId="33808" xr:uid="{00000000-0005-0000-0000-000040740000}"/>
    <cellStyle name="检查单元格 3 2 11" xfId="33809" xr:uid="{00000000-0005-0000-0000-000041740000}"/>
    <cellStyle name="检查单元格 3 2 12" xfId="33810" xr:uid="{00000000-0005-0000-0000-000042740000}"/>
    <cellStyle name="检查单元格 3 2 13" xfId="9711" xr:uid="{00000000-0005-0000-0000-000043740000}"/>
    <cellStyle name="检查单元格 3 2 14" xfId="9051" xr:uid="{00000000-0005-0000-0000-000044740000}"/>
    <cellStyle name="检查单元格 3 2 2" xfId="22788" xr:uid="{00000000-0005-0000-0000-000045740000}"/>
    <cellStyle name="检查单元格 3 2 3" xfId="22792" xr:uid="{00000000-0005-0000-0000-000046740000}"/>
    <cellStyle name="检查单元格 3 2 4" xfId="24487" xr:uid="{00000000-0005-0000-0000-000047740000}"/>
    <cellStyle name="检查单元格 3 2 5" xfId="33811" xr:uid="{00000000-0005-0000-0000-000048740000}"/>
    <cellStyle name="检查单元格 3 2 6" xfId="33812" xr:uid="{00000000-0005-0000-0000-000049740000}"/>
    <cellStyle name="检查单元格 3 2 7" xfId="33813" xr:uid="{00000000-0005-0000-0000-00004A740000}"/>
    <cellStyle name="检查单元格 3 2 8" xfId="33814" xr:uid="{00000000-0005-0000-0000-00004B740000}"/>
    <cellStyle name="检查单元格 3 2 9" xfId="33815" xr:uid="{00000000-0005-0000-0000-00004C740000}"/>
    <cellStyle name="检查单元格 3 20" xfId="33768" xr:uid="{00000000-0005-0000-0000-00004D740000}"/>
    <cellStyle name="检查单元格 3 20 10" xfId="33816" xr:uid="{00000000-0005-0000-0000-00004E740000}"/>
    <cellStyle name="检查单元格 3 20 11" xfId="32215" xr:uid="{00000000-0005-0000-0000-00004F740000}"/>
    <cellStyle name="检查单元格 3 20 12" xfId="32217" xr:uid="{00000000-0005-0000-0000-000050740000}"/>
    <cellStyle name="检查单元格 3 20 13" xfId="33817" xr:uid="{00000000-0005-0000-0000-000051740000}"/>
    <cellStyle name="检查单元格 3 20 14" xfId="33818" xr:uid="{00000000-0005-0000-0000-000052740000}"/>
    <cellStyle name="检查单元格 3 20 2" xfId="30325" xr:uid="{00000000-0005-0000-0000-000053740000}"/>
    <cellStyle name="检查单元格 3 20 3" xfId="26778" xr:uid="{00000000-0005-0000-0000-000054740000}"/>
    <cellStyle name="检查单元格 3 20 4" xfId="26785" xr:uid="{00000000-0005-0000-0000-000055740000}"/>
    <cellStyle name="检查单元格 3 20 5" xfId="26787" xr:uid="{00000000-0005-0000-0000-000056740000}"/>
    <cellStyle name="检查单元格 3 20 5 10" xfId="27116" xr:uid="{00000000-0005-0000-0000-000057740000}"/>
    <cellStyle name="检查单元格 3 20 5 11" xfId="20379" xr:uid="{00000000-0005-0000-0000-000058740000}"/>
    <cellStyle name="检查单元格 3 20 5 2" xfId="12824" xr:uid="{00000000-0005-0000-0000-000059740000}"/>
    <cellStyle name="检查单元格 3 20 5 2 2" xfId="27700" xr:uid="{00000000-0005-0000-0000-00005A740000}"/>
    <cellStyle name="检查单元格 3 20 5 2 2 2" xfId="22959" xr:uid="{00000000-0005-0000-0000-00005B740000}"/>
    <cellStyle name="检查单元格 3 20 5 2 2 3" xfId="22961" xr:uid="{00000000-0005-0000-0000-00005C740000}"/>
    <cellStyle name="检查单元格 3 20 5 2 3" xfId="27702" xr:uid="{00000000-0005-0000-0000-00005D740000}"/>
    <cellStyle name="检查单元格 3 20 5 2 4" xfId="33819" xr:uid="{00000000-0005-0000-0000-00005E740000}"/>
    <cellStyle name="检查单元格 3 20 5 2 5" xfId="33820" xr:uid="{00000000-0005-0000-0000-00005F740000}"/>
    <cellStyle name="检查单元格 3 20 5 2 6" xfId="33821" xr:uid="{00000000-0005-0000-0000-000060740000}"/>
    <cellStyle name="检查单元格 3 20 5 2 7" xfId="33822" xr:uid="{00000000-0005-0000-0000-000061740000}"/>
    <cellStyle name="检查单元格 3 20 5 2 8" xfId="33823" xr:uid="{00000000-0005-0000-0000-000062740000}"/>
    <cellStyle name="检查单元格 3 20 5 3" xfId="17200" xr:uid="{00000000-0005-0000-0000-000063740000}"/>
    <cellStyle name="检查单元格 3 20 5 4" xfId="17204" xr:uid="{00000000-0005-0000-0000-000064740000}"/>
    <cellStyle name="检查单元格 3 20 5 5" xfId="17209" xr:uid="{00000000-0005-0000-0000-000065740000}"/>
    <cellStyle name="检查单元格 3 20 5 6" xfId="17214" xr:uid="{00000000-0005-0000-0000-000066740000}"/>
    <cellStyle name="检查单元格 3 20 5 6 2" xfId="11735" xr:uid="{00000000-0005-0000-0000-000067740000}"/>
    <cellStyle name="检查单元格 3 20 5 6 3" xfId="11741" xr:uid="{00000000-0005-0000-0000-000068740000}"/>
    <cellStyle name="检查单元格 3 20 5 7" xfId="14917" xr:uid="{00000000-0005-0000-0000-000069740000}"/>
    <cellStyle name="检查单元格 3 20 5 8" xfId="14922" xr:uid="{00000000-0005-0000-0000-00006A740000}"/>
    <cellStyle name="检查单元格 3 20 5 9" xfId="18823" xr:uid="{00000000-0005-0000-0000-00006B740000}"/>
    <cellStyle name="检查单元格 3 20 6" xfId="26789" xr:uid="{00000000-0005-0000-0000-00006C740000}"/>
    <cellStyle name="检查单元格 3 20 6 2" xfId="31649" xr:uid="{00000000-0005-0000-0000-00006D740000}"/>
    <cellStyle name="检查单元格 3 20 6 2 2" xfId="27751" xr:uid="{00000000-0005-0000-0000-00006E740000}"/>
    <cellStyle name="检查单元格 3 20 6 2 3" xfId="27753" xr:uid="{00000000-0005-0000-0000-00006F740000}"/>
    <cellStyle name="检查单元格 3 20 6 3" xfId="31651" xr:uid="{00000000-0005-0000-0000-000070740000}"/>
    <cellStyle name="检查单元格 3 20 6 4" xfId="16239" xr:uid="{00000000-0005-0000-0000-000071740000}"/>
    <cellStyle name="检查单元格 3 20 6 5" xfId="18840" xr:uid="{00000000-0005-0000-0000-000072740000}"/>
    <cellStyle name="检查单元格 3 20 6 6" xfId="18843" xr:uid="{00000000-0005-0000-0000-000073740000}"/>
    <cellStyle name="检查单元格 3 20 6 7" xfId="18846" xr:uid="{00000000-0005-0000-0000-000074740000}"/>
    <cellStyle name="检查单元格 3 20 6 8" xfId="18848" xr:uid="{00000000-0005-0000-0000-000075740000}"/>
    <cellStyle name="检查单元格 3 20 7" xfId="26791" xr:uid="{00000000-0005-0000-0000-000076740000}"/>
    <cellStyle name="检查单元格 3 20 8" xfId="26793" xr:uid="{00000000-0005-0000-0000-000077740000}"/>
    <cellStyle name="检查单元格 3 20 9" xfId="26795" xr:uid="{00000000-0005-0000-0000-000078740000}"/>
    <cellStyle name="检查单元格 3 20 9 2" xfId="33824" xr:uid="{00000000-0005-0000-0000-000079740000}"/>
    <cellStyle name="检查单元格 3 20 9 3" xfId="33825" xr:uid="{00000000-0005-0000-0000-00007A740000}"/>
    <cellStyle name="检查单元格 3 3" xfId="20116" xr:uid="{00000000-0005-0000-0000-00007B740000}"/>
    <cellStyle name="检查单元格 3 3 10" xfId="8573" xr:uid="{00000000-0005-0000-0000-00007C740000}"/>
    <cellStyle name="检查单元格 3 3 11" xfId="8620" xr:uid="{00000000-0005-0000-0000-00007D740000}"/>
    <cellStyle name="检查单元格 3 3 12" xfId="8627" xr:uid="{00000000-0005-0000-0000-00007E740000}"/>
    <cellStyle name="检查单元格 3 3 13" xfId="8634" xr:uid="{00000000-0005-0000-0000-00007F740000}"/>
    <cellStyle name="检查单元格 3 3 14" xfId="33826" xr:uid="{00000000-0005-0000-0000-000080740000}"/>
    <cellStyle name="检查单元格 3 3 2" xfId="33830" xr:uid="{00000000-0005-0000-0000-000081740000}"/>
    <cellStyle name="检查单元格 3 3 3" xfId="33831" xr:uid="{00000000-0005-0000-0000-000082740000}"/>
    <cellStyle name="检查单元格 3 3 4" xfId="33832" xr:uid="{00000000-0005-0000-0000-000083740000}"/>
    <cellStyle name="检查单元格 3 3 5" xfId="33833" xr:uid="{00000000-0005-0000-0000-000084740000}"/>
    <cellStyle name="检查单元格 3 3 6" xfId="33834" xr:uid="{00000000-0005-0000-0000-000085740000}"/>
    <cellStyle name="检查单元格 3 3 7" xfId="33835" xr:uid="{00000000-0005-0000-0000-000086740000}"/>
    <cellStyle name="检查单元格 3 3 8" xfId="33836" xr:uid="{00000000-0005-0000-0000-000087740000}"/>
    <cellStyle name="检查单元格 3 3 9" xfId="25024" xr:uid="{00000000-0005-0000-0000-000088740000}"/>
    <cellStyle name="检查单元格 3 4" xfId="20122" xr:uid="{00000000-0005-0000-0000-000089740000}"/>
    <cellStyle name="检查单元格 3 4 10" xfId="13579" xr:uid="{00000000-0005-0000-0000-00008A740000}"/>
    <cellStyle name="检查单元格 3 4 11" xfId="13582" xr:uid="{00000000-0005-0000-0000-00008B740000}"/>
    <cellStyle name="检查单元格 3 4 12" xfId="13585" xr:uid="{00000000-0005-0000-0000-00008C740000}"/>
    <cellStyle name="检查单元格 3 4 13" xfId="3206" xr:uid="{00000000-0005-0000-0000-00008D740000}"/>
    <cellStyle name="检查单元格 3 4 14" xfId="3210" xr:uid="{00000000-0005-0000-0000-00008E740000}"/>
    <cellStyle name="检查单元格 3 4 2" xfId="20127" xr:uid="{00000000-0005-0000-0000-00008F740000}"/>
    <cellStyle name="检查单元格 3 4 3" xfId="20130" xr:uid="{00000000-0005-0000-0000-000090740000}"/>
    <cellStyle name="检查单元格 3 4 4" xfId="30292" xr:uid="{00000000-0005-0000-0000-000091740000}"/>
    <cellStyle name="检查单元格 3 4 5" xfId="30294" xr:uid="{00000000-0005-0000-0000-000092740000}"/>
    <cellStyle name="检查单元格 3 4 6" xfId="30296" xr:uid="{00000000-0005-0000-0000-000093740000}"/>
    <cellStyle name="检查单元格 3 4 7" xfId="30298" xr:uid="{00000000-0005-0000-0000-000094740000}"/>
    <cellStyle name="检查单元格 3 4 8" xfId="30300" xr:uid="{00000000-0005-0000-0000-000095740000}"/>
    <cellStyle name="检查单元格 3 4 9" xfId="28560" xr:uid="{00000000-0005-0000-0000-000096740000}"/>
    <cellStyle name="检查单元格 3 5" xfId="20134" xr:uid="{00000000-0005-0000-0000-000097740000}"/>
    <cellStyle name="检查单元格 3 6" xfId="9144" xr:uid="{00000000-0005-0000-0000-000098740000}"/>
    <cellStyle name="检查单元格 3 7" xfId="9155" xr:uid="{00000000-0005-0000-0000-000099740000}"/>
    <cellStyle name="检查单元格 3 8" xfId="22796" xr:uid="{00000000-0005-0000-0000-00009A740000}"/>
    <cellStyle name="检查单元格 3 9" xfId="8738" xr:uid="{00000000-0005-0000-0000-00009B740000}"/>
    <cellStyle name="检查单元格 4" xfId="22799" xr:uid="{00000000-0005-0000-0000-00009C740000}"/>
    <cellStyle name="检查单元格 4 10" xfId="33837" xr:uid="{00000000-0005-0000-0000-00009D740000}"/>
    <cellStyle name="检查单元格 4 11" xfId="33838" xr:uid="{00000000-0005-0000-0000-00009E740000}"/>
    <cellStyle name="检查单元格 4 12" xfId="33839" xr:uid="{00000000-0005-0000-0000-00009F740000}"/>
    <cellStyle name="检查单元格 4 13" xfId="26016" xr:uid="{00000000-0005-0000-0000-0000A0740000}"/>
    <cellStyle name="检查单元格 4 14" xfId="24573" xr:uid="{00000000-0005-0000-0000-0000A1740000}"/>
    <cellStyle name="检查单元格 4 15" xfId="33840" xr:uid="{00000000-0005-0000-0000-0000A2740000}"/>
    <cellStyle name="检查单元格 4 16" xfId="31769" xr:uid="{00000000-0005-0000-0000-0000A3740000}"/>
    <cellStyle name="检查单元格 4 17" xfId="31772" xr:uid="{00000000-0005-0000-0000-0000A4740000}"/>
    <cellStyle name="检查单元格 4 17 10" xfId="31824" xr:uid="{00000000-0005-0000-0000-0000A5740000}"/>
    <cellStyle name="检查单元格 4 17 11" xfId="31834" xr:uid="{00000000-0005-0000-0000-0000A6740000}"/>
    <cellStyle name="检查单元格 4 17 12" xfId="31836" xr:uid="{00000000-0005-0000-0000-0000A7740000}"/>
    <cellStyle name="检查单元格 4 17 13" xfId="31838" xr:uid="{00000000-0005-0000-0000-0000A8740000}"/>
    <cellStyle name="检查单元格 4 17 14" xfId="32139" xr:uid="{00000000-0005-0000-0000-0000A9740000}"/>
    <cellStyle name="检查单元格 4 17 2" xfId="21129" xr:uid="{00000000-0005-0000-0000-0000AA740000}"/>
    <cellStyle name="检查单元格 4 17 3" xfId="21133" xr:uid="{00000000-0005-0000-0000-0000AB740000}"/>
    <cellStyle name="检查单元格 4 17 4" xfId="7706" xr:uid="{00000000-0005-0000-0000-0000AC740000}"/>
    <cellStyle name="检查单元格 4 17 5" xfId="7710" xr:uid="{00000000-0005-0000-0000-0000AD740000}"/>
    <cellStyle name="检查单元格 4 17 5 10" xfId="25122" xr:uid="{00000000-0005-0000-0000-0000AE740000}"/>
    <cellStyle name="检查单元格 4 17 5 11" xfId="25124" xr:uid="{00000000-0005-0000-0000-0000AF740000}"/>
    <cellStyle name="检查单元格 4 17 5 2" xfId="33842" xr:uid="{00000000-0005-0000-0000-0000B0740000}"/>
    <cellStyle name="检查单元格 4 17 5 2 2" xfId="33843" xr:uid="{00000000-0005-0000-0000-0000B1740000}"/>
    <cellStyle name="检查单元格 4 17 5 2 2 2" xfId="27581" xr:uid="{00000000-0005-0000-0000-0000B2740000}"/>
    <cellStyle name="检查单元格 4 17 5 2 2 3" xfId="33844" xr:uid="{00000000-0005-0000-0000-0000B3740000}"/>
    <cellStyle name="检查单元格 4 17 5 2 3" xfId="22006" xr:uid="{00000000-0005-0000-0000-0000B4740000}"/>
    <cellStyle name="检查单元格 4 17 5 2 4" xfId="22010" xr:uid="{00000000-0005-0000-0000-0000B5740000}"/>
    <cellStyle name="检查单元格 4 17 5 2 5" xfId="27546" xr:uid="{00000000-0005-0000-0000-0000B6740000}"/>
    <cellStyle name="检查单元格 4 17 5 2 6" xfId="4761" xr:uid="{00000000-0005-0000-0000-0000B7740000}"/>
    <cellStyle name="检查单元格 4 17 5 2 7" xfId="4772" xr:uid="{00000000-0005-0000-0000-0000B8740000}"/>
    <cellStyle name="检查单元格 4 17 5 2 8" xfId="27562" xr:uid="{00000000-0005-0000-0000-0000B9740000}"/>
    <cellStyle name="检查单元格 4 17 5 3" xfId="33845" xr:uid="{00000000-0005-0000-0000-0000BA740000}"/>
    <cellStyle name="检查单元格 4 17 5 4" xfId="33846" xr:uid="{00000000-0005-0000-0000-0000BB740000}"/>
    <cellStyle name="检查单元格 4 17 5 5" xfId="33847" xr:uid="{00000000-0005-0000-0000-0000BC740000}"/>
    <cellStyle name="检查单元格 4 17 5 6" xfId="33848" xr:uid="{00000000-0005-0000-0000-0000BD740000}"/>
    <cellStyle name="检查单元格 4 17 5 6 2" xfId="33849" xr:uid="{00000000-0005-0000-0000-0000BE740000}"/>
    <cellStyle name="检查单元格 4 17 5 6 3" xfId="32318" xr:uid="{00000000-0005-0000-0000-0000BF740000}"/>
    <cellStyle name="检查单元格 4 17 5 7" xfId="27958" xr:uid="{00000000-0005-0000-0000-0000C0740000}"/>
    <cellStyle name="检查单元格 4 17 5 8" xfId="27960" xr:uid="{00000000-0005-0000-0000-0000C1740000}"/>
    <cellStyle name="检查单元格 4 17 5 9" xfId="27962" xr:uid="{00000000-0005-0000-0000-0000C2740000}"/>
    <cellStyle name="检查单元格 4 17 6" xfId="7714" xr:uid="{00000000-0005-0000-0000-0000C3740000}"/>
    <cellStyle name="检查单元格 4 17 6 2" xfId="33850" xr:uid="{00000000-0005-0000-0000-0000C4740000}"/>
    <cellStyle name="检查单元格 4 17 6 2 2" xfId="33851" xr:uid="{00000000-0005-0000-0000-0000C5740000}"/>
    <cellStyle name="检查单元格 4 17 6 2 3" xfId="33852" xr:uid="{00000000-0005-0000-0000-0000C6740000}"/>
    <cellStyle name="检查单元格 4 17 6 3" xfId="33853" xr:uid="{00000000-0005-0000-0000-0000C7740000}"/>
    <cellStyle name="检查单元格 4 17 6 4" xfId="33854" xr:uid="{00000000-0005-0000-0000-0000C8740000}"/>
    <cellStyle name="检查单元格 4 17 6 5" xfId="33855" xr:uid="{00000000-0005-0000-0000-0000C9740000}"/>
    <cellStyle name="检查单元格 4 17 6 6" xfId="33856" xr:uid="{00000000-0005-0000-0000-0000CA740000}"/>
    <cellStyle name="检查单元格 4 17 6 7" xfId="33857" xr:uid="{00000000-0005-0000-0000-0000CB740000}"/>
    <cellStyle name="检查单元格 4 17 6 8" xfId="33858" xr:uid="{00000000-0005-0000-0000-0000CC740000}"/>
    <cellStyle name="检查单元格 4 17 7" xfId="7718" xr:uid="{00000000-0005-0000-0000-0000CD740000}"/>
    <cellStyle name="检查单元格 4 17 8" xfId="3631" xr:uid="{00000000-0005-0000-0000-0000CE740000}"/>
    <cellStyle name="检查单元格 4 17 9" xfId="2241" xr:uid="{00000000-0005-0000-0000-0000CF740000}"/>
    <cellStyle name="检查单元格 4 17 9 2" xfId="33859" xr:uid="{00000000-0005-0000-0000-0000D0740000}"/>
    <cellStyle name="检查单元格 4 17 9 3" xfId="33860" xr:uid="{00000000-0005-0000-0000-0000D1740000}"/>
    <cellStyle name="检查单元格 4 18" xfId="33861" xr:uid="{00000000-0005-0000-0000-0000D2740000}"/>
    <cellStyle name="检查单元格 4 18 10" xfId="29230" xr:uid="{00000000-0005-0000-0000-0000D3740000}"/>
    <cellStyle name="检查单元格 4 18 11" xfId="29233" xr:uid="{00000000-0005-0000-0000-0000D4740000}"/>
    <cellStyle name="检查单元格 4 18 12" xfId="29236" xr:uid="{00000000-0005-0000-0000-0000D5740000}"/>
    <cellStyle name="检查单元格 4 18 13" xfId="29240" xr:uid="{00000000-0005-0000-0000-0000D6740000}"/>
    <cellStyle name="检查单元格 4 18 14" xfId="29244" xr:uid="{00000000-0005-0000-0000-0000D7740000}"/>
    <cellStyle name="检查单元格 4 18 2" xfId="21147" xr:uid="{00000000-0005-0000-0000-0000D8740000}"/>
    <cellStyle name="检查单元格 4 18 3" xfId="21151" xr:uid="{00000000-0005-0000-0000-0000D9740000}"/>
    <cellStyle name="检查单元格 4 18 4" xfId="21155" xr:uid="{00000000-0005-0000-0000-0000DA740000}"/>
    <cellStyle name="检查单元格 4 18 5" xfId="18607" xr:uid="{00000000-0005-0000-0000-0000DB740000}"/>
    <cellStyle name="检查单元格 4 18 5 10" xfId="2223" xr:uid="{00000000-0005-0000-0000-0000DC740000}"/>
    <cellStyle name="检查单元格 4 18 5 11" xfId="2302" xr:uid="{00000000-0005-0000-0000-0000DD740000}"/>
    <cellStyle name="检查单元格 4 18 5 2" xfId="33152" xr:uid="{00000000-0005-0000-0000-0000DE740000}"/>
    <cellStyle name="检查单元格 4 18 5 2 2" xfId="1079" xr:uid="{00000000-0005-0000-0000-0000DF740000}"/>
    <cellStyle name="检查单元格 4 18 5 2 2 2" xfId="3653" xr:uid="{00000000-0005-0000-0000-0000E0740000}"/>
    <cellStyle name="检查单元格 4 18 5 2 2 3" xfId="17189" xr:uid="{00000000-0005-0000-0000-0000E1740000}"/>
    <cellStyle name="检查单元格 4 18 5 2 3" xfId="21902" xr:uid="{00000000-0005-0000-0000-0000E2740000}"/>
    <cellStyle name="检查单元格 4 18 5 2 4" xfId="28271" xr:uid="{00000000-0005-0000-0000-0000E3740000}"/>
    <cellStyle name="检查单元格 4 18 5 2 5" xfId="14008" xr:uid="{00000000-0005-0000-0000-0000E4740000}"/>
    <cellStyle name="检查单元格 4 18 5 2 6" xfId="14014" xr:uid="{00000000-0005-0000-0000-0000E5740000}"/>
    <cellStyle name="检查单元格 4 18 5 2 7" xfId="33862" xr:uid="{00000000-0005-0000-0000-0000E6740000}"/>
    <cellStyle name="检查单元格 4 18 5 2 8" xfId="33863" xr:uid="{00000000-0005-0000-0000-0000E7740000}"/>
    <cellStyle name="检查单元格 4 18 5 3" xfId="33864" xr:uid="{00000000-0005-0000-0000-0000E8740000}"/>
    <cellStyle name="检查单元格 4 18 5 4" xfId="33865" xr:uid="{00000000-0005-0000-0000-0000E9740000}"/>
    <cellStyle name="检查单元格 4 18 5 5" xfId="33866" xr:uid="{00000000-0005-0000-0000-0000EA740000}"/>
    <cellStyle name="检查单元格 4 18 5 6" xfId="33867" xr:uid="{00000000-0005-0000-0000-0000EB740000}"/>
    <cellStyle name="检查单元格 4 18 5 6 2" xfId="24482" xr:uid="{00000000-0005-0000-0000-0000EC740000}"/>
    <cellStyle name="检查单元格 4 18 5 6 3" xfId="18994" xr:uid="{00000000-0005-0000-0000-0000ED740000}"/>
    <cellStyle name="检查单元格 4 18 5 7" xfId="33868" xr:uid="{00000000-0005-0000-0000-0000EE740000}"/>
    <cellStyle name="检查单元格 4 18 5 8" xfId="15194" xr:uid="{00000000-0005-0000-0000-0000EF740000}"/>
    <cellStyle name="检查单元格 4 18 5 9" xfId="20688" xr:uid="{00000000-0005-0000-0000-0000F0740000}"/>
    <cellStyle name="检查单元格 4 18 6" xfId="18613" xr:uid="{00000000-0005-0000-0000-0000F1740000}"/>
    <cellStyle name="检查单元格 4 18 6 2" xfId="33175" xr:uid="{00000000-0005-0000-0000-0000F2740000}"/>
    <cellStyle name="检查单元格 4 18 6 2 2" xfId="30002" xr:uid="{00000000-0005-0000-0000-0000F3740000}"/>
    <cellStyle name="检查单元格 4 18 6 2 3" xfId="30006" xr:uid="{00000000-0005-0000-0000-0000F4740000}"/>
    <cellStyle name="检查单元格 4 18 6 3" xfId="33871" xr:uid="{00000000-0005-0000-0000-0000F5740000}"/>
    <cellStyle name="检查单元格 4 18 6 4" xfId="33872" xr:uid="{00000000-0005-0000-0000-0000F6740000}"/>
    <cellStyle name="检查单元格 4 18 6 5" xfId="33873" xr:uid="{00000000-0005-0000-0000-0000F7740000}"/>
    <cellStyle name="检查单元格 4 18 6 6" xfId="33874" xr:uid="{00000000-0005-0000-0000-0000F8740000}"/>
    <cellStyle name="检查单元格 4 18 6 7" xfId="33875" xr:uid="{00000000-0005-0000-0000-0000F9740000}"/>
    <cellStyle name="检查单元格 4 18 6 8" xfId="33876" xr:uid="{00000000-0005-0000-0000-0000FA740000}"/>
    <cellStyle name="检查单元格 4 18 7" xfId="19412" xr:uid="{00000000-0005-0000-0000-0000FB740000}"/>
    <cellStyle name="检查单元格 4 18 8" xfId="17615" xr:uid="{00000000-0005-0000-0000-0000FC740000}"/>
    <cellStyle name="检查单元格 4 18 9" xfId="17620" xr:uid="{00000000-0005-0000-0000-0000FD740000}"/>
    <cellStyle name="检查单元格 4 18 9 2" xfId="33877" xr:uid="{00000000-0005-0000-0000-0000FE740000}"/>
    <cellStyle name="检查单元格 4 18 9 3" xfId="33878" xr:uid="{00000000-0005-0000-0000-0000FF740000}"/>
    <cellStyle name="检查单元格 4 19" xfId="14200" xr:uid="{00000000-0005-0000-0000-000000750000}"/>
    <cellStyle name="检查单元格 4 19 10" xfId="22806" xr:uid="{00000000-0005-0000-0000-000001750000}"/>
    <cellStyle name="检查单元格 4 19 11" xfId="22815" xr:uid="{00000000-0005-0000-0000-000002750000}"/>
    <cellStyle name="检查单元格 4 19 12" xfId="22818" xr:uid="{00000000-0005-0000-0000-000003750000}"/>
    <cellStyle name="检查单元格 4 19 13" xfId="22821" xr:uid="{00000000-0005-0000-0000-000004750000}"/>
    <cellStyle name="检查单元格 4 19 14" xfId="32237" xr:uid="{00000000-0005-0000-0000-000005750000}"/>
    <cellStyle name="检查单元格 4 19 2" xfId="14203" xr:uid="{00000000-0005-0000-0000-000006750000}"/>
    <cellStyle name="检查单元格 4 19 3" xfId="14206" xr:uid="{00000000-0005-0000-0000-000007750000}"/>
    <cellStyle name="检查单元格 4 19 4" xfId="26872" xr:uid="{00000000-0005-0000-0000-000008750000}"/>
    <cellStyle name="检查单元格 4 19 5" xfId="26874" xr:uid="{00000000-0005-0000-0000-000009750000}"/>
    <cellStyle name="检查单元格 4 19 5 10" xfId="33879" xr:uid="{00000000-0005-0000-0000-00000A750000}"/>
    <cellStyle name="检查单元格 4 19 5 11" xfId="3047" xr:uid="{00000000-0005-0000-0000-00000B750000}"/>
    <cellStyle name="检查单元格 4 19 5 2" xfId="5253" xr:uid="{00000000-0005-0000-0000-00000C750000}"/>
    <cellStyle name="检查单元格 4 19 5 2 2" xfId="5264" xr:uid="{00000000-0005-0000-0000-00000D750000}"/>
    <cellStyle name="检查单元格 4 19 5 2 2 2" xfId="33881" xr:uid="{00000000-0005-0000-0000-00000E750000}"/>
    <cellStyle name="检查单元格 4 19 5 2 2 3" xfId="33882" xr:uid="{00000000-0005-0000-0000-00000F750000}"/>
    <cellStyle name="检查单元格 4 19 5 2 3" xfId="3558" xr:uid="{00000000-0005-0000-0000-000010750000}"/>
    <cellStyle name="检查单元格 4 19 5 2 4" xfId="25861" xr:uid="{00000000-0005-0000-0000-000011750000}"/>
    <cellStyle name="检查单元格 4 19 5 2 5" xfId="33883" xr:uid="{00000000-0005-0000-0000-000012750000}"/>
    <cellStyle name="检查单元格 4 19 5 2 6" xfId="33884" xr:uid="{00000000-0005-0000-0000-000013750000}"/>
    <cellStyle name="检查单元格 4 19 5 2 7" xfId="33885" xr:uid="{00000000-0005-0000-0000-000014750000}"/>
    <cellStyle name="检查单元格 4 19 5 2 8" xfId="33886" xr:uid="{00000000-0005-0000-0000-000015750000}"/>
    <cellStyle name="检查单元格 4 19 5 3" xfId="5336" xr:uid="{00000000-0005-0000-0000-000016750000}"/>
    <cellStyle name="检查单元格 4 19 5 4" xfId="5349" xr:uid="{00000000-0005-0000-0000-000017750000}"/>
    <cellStyle name="检查单元格 4 19 5 5" xfId="3221" xr:uid="{00000000-0005-0000-0000-000018750000}"/>
    <cellStyle name="检查单元格 4 19 5 6" xfId="3240" xr:uid="{00000000-0005-0000-0000-000019750000}"/>
    <cellStyle name="检查单元格 4 19 5 6 2" xfId="2380" xr:uid="{00000000-0005-0000-0000-00001A750000}"/>
    <cellStyle name="检查单元格 4 19 5 6 3" xfId="2612" xr:uid="{00000000-0005-0000-0000-00001B750000}"/>
    <cellStyle name="检查单元格 4 19 5 7" xfId="2926" xr:uid="{00000000-0005-0000-0000-00001C750000}"/>
    <cellStyle name="检查单元格 4 19 5 8" xfId="33887" xr:uid="{00000000-0005-0000-0000-00001D750000}"/>
    <cellStyle name="检查单元格 4 19 5 9" xfId="33888" xr:uid="{00000000-0005-0000-0000-00001E750000}"/>
    <cellStyle name="检查单元格 4 19 6" xfId="26876" xr:uid="{00000000-0005-0000-0000-00001F750000}"/>
    <cellStyle name="检查单元格 4 19 6 2" xfId="26878" xr:uid="{00000000-0005-0000-0000-000020750000}"/>
    <cellStyle name="检查单元格 4 19 6 2 2" xfId="33889" xr:uid="{00000000-0005-0000-0000-000021750000}"/>
    <cellStyle name="检查单元格 4 19 6 2 3" xfId="33890" xr:uid="{00000000-0005-0000-0000-000022750000}"/>
    <cellStyle name="检查单元格 4 19 6 3" xfId="26880" xr:uid="{00000000-0005-0000-0000-000023750000}"/>
    <cellStyle name="检查单元格 4 19 6 4" xfId="33891" xr:uid="{00000000-0005-0000-0000-000024750000}"/>
    <cellStyle name="检查单元格 4 19 6 5" xfId="33892" xr:uid="{00000000-0005-0000-0000-000025750000}"/>
    <cellStyle name="检查单元格 4 19 6 6" xfId="33893" xr:uid="{00000000-0005-0000-0000-000026750000}"/>
    <cellStyle name="检查单元格 4 19 6 7" xfId="33894" xr:uid="{00000000-0005-0000-0000-000027750000}"/>
    <cellStyle name="检查单元格 4 19 6 8" xfId="33895" xr:uid="{00000000-0005-0000-0000-000028750000}"/>
    <cellStyle name="检查单元格 4 19 7" xfId="33896" xr:uid="{00000000-0005-0000-0000-000029750000}"/>
    <cellStyle name="检查单元格 4 19 8" xfId="33897" xr:uid="{00000000-0005-0000-0000-00002A750000}"/>
    <cellStyle name="检查单元格 4 19 9" xfId="22663" xr:uid="{00000000-0005-0000-0000-00002B750000}"/>
    <cellStyle name="检查单元格 4 19 9 2" xfId="22666" xr:uid="{00000000-0005-0000-0000-00002C750000}"/>
    <cellStyle name="检查单元格 4 19 9 3" xfId="22668" xr:uid="{00000000-0005-0000-0000-00002D750000}"/>
    <cellStyle name="检查单元格 4 2" xfId="20144" xr:uid="{00000000-0005-0000-0000-00002E750000}"/>
    <cellStyle name="检查单元格 4 20" xfId="33841" xr:uid="{00000000-0005-0000-0000-00002F750000}"/>
    <cellStyle name="检查单元格 4 20 10" xfId="28289" xr:uid="{00000000-0005-0000-0000-000030750000}"/>
    <cellStyle name="检查单元格 4 20 11" xfId="21973" xr:uid="{00000000-0005-0000-0000-000031750000}"/>
    <cellStyle name="检查单元格 4 20 12" xfId="21977" xr:uid="{00000000-0005-0000-0000-000032750000}"/>
    <cellStyle name="检查单元格 4 20 13" xfId="28292" xr:uid="{00000000-0005-0000-0000-000033750000}"/>
    <cellStyle name="检查单元格 4 20 14" xfId="18583" xr:uid="{00000000-0005-0000-0000-000034750000}"/>
    <cellStyle name="检查单元格 4 20 2" xfId="21013" xr:uid="{00000000-0005-0000-0000-000035750000}"/>
    <cellStyle name="检查单元格 4 20 3" xfId="21025" xr:uid="{00000000-0005-0000-0000-000036750000}"/>
    <cellStyle name="检查单元格 4 20 4" xfId="21029" xr:uid="{00000000-0005-0000-0000-000037750000}"/>
    <cellStyle name="检查单元格 4 20 5" xfId="21032" xr:uid="{00000000-0005-0000-0000-000038750000}"/>
    <cellStyle name="检查单元格 4 20 5 10" xfId="27219" xr:uid="{00000000-0005-0000-0000-000039750000}"/>
    <cellStyle name="检查单元格 4 20 5 11" xfId="16490" xr:uid="{00000000-0005-0000-0000-00003A750000}"/>
    <cellStyle name="检查单元格 4 20 5 2" xfId="19626" xr:uid="{00000000-0005-0000-0000-00003B750000}"/>
    <cellStyle name="检查单元格 4 20 5 2 2" xfId="8942" xr:uid="{00000000-0005-0000-0000-00003C750000}"/>
    <cellStyle name="检查单元格 4 20 5 2 2 2" xfId="33898" xr:uid="{00000000-0005-0000-0000-00003D750000}"/>
    <cellStyle name="检查单元格 4 20 5 2 2 3" xfId="33899" xr:uid="{00000000-0005-0000-0000-00003E750000}"/>
    <cellStyle name="检查单元格 4 20 5 2 3" xfId="8948" xr:uid="{00000000-0005-0000-0000-00003F750000}"/>
    <cellStyle name="检查单元格 4 20 5 2 4" xfId="8996" xr:uid="{00000000-0005-0000-0000-000040750000}"/>
    <cellStyle name="检查单元格 4 20 5 2 5" xfId="9030" xr:uid="{00000000-0005-0000-0000-000041750000}"/>
    <cellStyle name="检查单元格 4 20 5 2 6" xfId="7484" xr:uid="{00000000-0005-0000-0000-000042750000}"/>
    <cellStyle name="检查单元格 4 20 5 2 7" xfId="5355" xr:uid="{00000000-0005-0000-0000-000043750000}"/>
    <cellStyle name="检查单元格 4 20 5 2 8" xfId="5405" xr:uid="{00000000-0005-0000-0000-000044750000}"/>
    <cellStyle name="检查单元格 4 20 5 3" xfId="19630" xr:uid="{00000000-0005-0000-0000-000045750000}"/>
    <cellStyle name="检查单元格 4 20 5 4" xfId="19668" xr:uid="{00000000-0005-0000-0000-000046750000}"/>
    <cellStyle name="检查单元格 4 20 5 5" xfId="19697" xr:uid="{00000000-0005-0000-0000-000047750000}"/>
    <cellStyle name="检查单元格 4 20 5 6" xfId="24312" xr:uid="{00000000-0005-0000-0000-000048750000}"/>
    <cellStyle name="检查单元格 4 20 5 6 2" xfId="8793" xr:uid="{00000000-0005-0000-0000-000049750000}"/>
    <cellStyle name="检查单元格 4 20 5 6 3" xfId="8800" xr:uid="{00000000-0005-0000-0000-00004A750000}"/>
    <cellStyle name="检查单元格 4 20 5 7" xfId="27265" xr:uid="{00000000-0005-0000-0000-00004B750000}"/>
    <cellStyle name="检查单元格 4 20 5 8" xfId="27267" xr:uid="{00000000-0005-0000-0000-00004C750000}"/>
    <cellStyle name="检查单元格 4 20 5 9" xfId="33900" xr:uid="{00000000-0005-0000-0000-00004D750000}"/>
    <cellStyle name="检查单元格 4 20 6" xfId="14157" xr:uid="{00000000-0005-0000-0000-00004E750000}"/>
    <cellStyle name="检查单元格 4 20 6 2" xfId="33901" xr:uid="{00000000-0005-0000-0000-00004F750000}"/>
    <cellStyle name="检查单元格 4 20 6 2 2" xfId="28496" xr:uid="{00000000-0005-0000-0000-000050750000}"/>
    <cellStyle name="检查单元格 4 20 6 2 3" xfId="28498" xr:uid="{00000000-0005-0000-0000-000051750000}"/>
    <cellStyle name="检查单元格 4 20 6 3" xfId="33902" xr:uid="{00000000-0005-0000-0000-000052750000}"/>
    <cellStyle name="检查单元格 4 20 6 4" xfId="33903" xr:uid="{00000000-0005-0000-0000-000053750000}"/>
    <cellStyle name="检查单元格 4 20 6 5" xfId="33904" xr:uid="{00000000-0005-0000-0000-000054750000}"/>
    <cellStyle name="检查单元格 4 20 6 6" xfId="33905" xr:uid="{00000000-0005-0000-0000-000055750000}"/>
    <cellStyle name="检查单元格 4 20 6 7" xfId="21990" xr:uid="{00000000-0005-0000-0000-000056750000}"/>
    <cellStyle name="检查单元格 4 20 6 8" xfId="21992" xr:uid="{00000000-0005-0000-0000-000057750000}"/>
    <cellStyle name="检查单元格 4 20 7" xfId="14161" xr:uid="{00000000-0005-0000-0000-000058750000}"/>
    <cellStyle name="检查单元格 4 20 8" xfId="33906" xr:uid="{00000000-0005-0000-0000-000059750000}"/>
    <cellStyle name="检查单元格 4 20 9" xfId="33907" xr:uid="{00000000-0005-0000-0000-00005A750000}"/>
    <cellStyle name="检查单元格 4 20 9 2" xfId="33908" xr:uid="{00000000-0005-0000-0000-00005B750000}"/>
    <cellStyle name="检查单元格 4 20 9 3" xfId="33909" xr:uid="{00000000-0005-0000-0000-00005C750000}"/>
    <cellStyle name="检查单元格 4 3" xfId="20149" xr:uid="{00000000-0005-0000-0000-00005D750000}"/>
    <cellStyle name="检查单元格 4 4" xfId="20152" xr:uid="{00000000-0005-0000-0000-00005E750000}"/>
    <cellStyle name="检查单元格 4 5" xfId="20155" xr:uid="{00000000-0005-0000-0000-00005F750000}"/>
    <cellStyle name="检查单元格 4 6" xfId="20157" xr:uid="{00000000-0005-0000-0000-000060750000}"/>
    <cellStyle name="检查单元格 4 7" xfId="33910" xr:uid="{00000000-0005-0000-0000-000061750000}"/>
    <cellStyle name="检查单元格 4 8" xfId="33912" xr:uid="{00000000-0005-0000-0000-000062750000}"/>
    <cellStyle name="检查单元格 4 9" xfId="33914" xr:uid="{00000000-0005-0000-0000-000063750000}"/>
    <cellStyle name="检查单元格 5" xfId="22802" xr:uid="{00000000-0005-0000-0000-000064750000}"/>
    <cellStyle name="检查单元格 5 10" xfId="33916" xr:uid="{00000000-0005-0000-0000-000065750000}"/>
    <cellStyle name="检查单元格 5 11" xfId="33917" xr:uid="{00000000-0005-0000-0000-000066750000}"/>
    <cellStyle name="检查单元格 5 12" xfId="33918" xr:uid="{00000000-0005-0000-0000-000067750000}"/>
    <cellStyle name="检查单元格 5 13" xfId="21865" xr:uid="{00000000-0005-0000-0000-000068750000}"/>
    <cellStyle name="检查单元格 5 14" xfId="21867" xr:uid="{00000000-0005-0000-0000-000069750000}"/>
    <cellStyle name="检查单元格 5 2" xfId="33919" xr:uid="{00000000-0005-0000-0000-00006A750000}"/>
    <cellStyle name="检查单元格 5 3" xfId="33921" xr:uid="{00000000-0005-0000-0000-00006B750000}"/>
    <cellStyle name="检查单元格 5 4" xfId="33923" xr:uid="{00000000-0005-0000-0000-00006C750000}"/>
    <cellStyle name="检查单元格 5 5" xfId="33925" xr:uid="{00000000-0005-0000-0000-00006D750000}"/>
    <cellStyle name="检查单元格 5 6" xfId="33926" xr:uid="{00000000-0005-0000-0000-00006E750000}"/>
    <cellStyle name="检查单元格 5 7" xfId="33927" xr:uid="{00000000-0005-0000-0000-00006F750000}"/>
    <cellStyle name="检查单元格 5 8" xfId="33928" xr:uid="{00000000-0005-0000-0000-000070750000}"/>
    <cellStyle name="检查单元格 5 9" xfId="3499" xr:uid="{00000000-0005-0000-0000-000071750000}"/>
    <cellStyle name="检查单元格 6" xfId="22804" xr:uid="{00000000-0005-0000-0000-000072750000}"/>
    <cellStyle name="检查单元格 6 10" xfId="33929" xr:uid="{00000000-0005-0000-0000-000073750000}"/>
    <cellStyle name="检查单元格 6 11" xfId="33930" xr:uid="{00000000-0005-0000-0000-000074750000}"/>
    <cellStyle name="检查单元格 6 12" xfId="33931" xr:uid="{00000000-0005-0000-0000-000075750000}"/>
    <cellStyle name="检查单元格 6 13" xfId="33932" xr:uid="{00000000-0005-0000-0000-000076750000}"/>
    <cellStyle name="检查单元格 6 14" xfId="33933" xr:uid="{00000000-0005-0000-0000-000077750000}"/>
    <cellStyle name="检查单元格 6 2" xfId="33934" xr:uid="{00000000-0005-0000-0000-000078750000}"/>
    <cellStyle name="检查单元格 6 3" xfId="33935" xr:uid="{00000000-0005-0000-0000-000079750000}"/>
    <cellStyle name="检查单元格 6 4" xfId="33936" xr:uid="{00000000-0005-0000-0000-00007A750000}"/>
    <cellStyle name="检查单元格 6 5" xfId="33937" xr:uid="{00000000-0005-0000-0000-00007B750000}"/>
    <cellStyle name="检查单元格 6 6" xfId="33938" xr:uid="{00000000-0005-0000-0000-00007C750000}"/>
    <cellStyle name="检查单元格 6 7" xfId="33939" xr:uid="{00000000-0005-0000-0000-00007D750000}"/>
    <cellStyle name="检查单元格 6 8" xfId="33940" xr:uid="{00000000-0005-0000-0000-00007E750000}"/>
    <cellStyle name="检查单元格 6 9" xfId="33941" xr:uid="{00000000-0005-0000-0000-00007F750000}"/>
    <cellStyle name="检查单元格 7" xfId="22807" xr:uid="{00000000-0005-0000-0000-000080750000}"/>
    <cellStyle name="检查单元格 8" xfId="22816" xr:uid="{00000000-0005-0000-0000-000081750000}"/>
    <cellStyle name="检查单元格 9" xfId="22819" xr:uid="{00000000-0005-0000-0000-000082750000}"/>
    <cellStyle name="標題" xfId="33942" xr:uid="{00000000-0005-0000-0000-000083750000}"/>
    <cellStyle name="標題 1" xfId="172" xr:uid="{00000000-0005-0000-0000-0000AE000000}"/>
    <cellStyle name="標題 1 1" xfId="173" xr:uid="{00000000-0005-0000-0000-0000AF000000}"/>
    <cellStyle name="標題 1 1 2" xfId="174" xr:uid="{00000000-0005-0000-0000-0000B0000000}"/>
    <cellStyle name="標題 1 1 2 2" xfId="38417" xr:uid="{00000000-0005-0000-0000-00007F000000}"/>
    <cellStyle name="標題 1 1 3" xfId="38418" xr:uid="{00000000-0005-0000-0000-00007E000000}"/>
    <cellStyle name="標題 1 2" xfId="175" xr:uid="{00000000-0005-0000-0000-0000B1000000}"/>
    <cellStyle name="標題 1 2 2" xfId="176" xr:uid="{00000000-0005-0000-0000-0000B2000000}"/>
    <cellStyle name="標題 1 2 2 2" xfId="38416" xr:uid="{00000000-0005-0000-0000-000081000000}"/>
    <cellStyle name="標題 1 2 3" xfId="38409" xr:uid="{00000000-0005-0000-0000-000080000000}"/>
    <cellStyle name="標題 1 3" xfId="38419" xr:uid="{00000000-0005-0000-0000-00007D000000}"/>
    <cellStyle name="標題 1_VN-E1618" xfId="177" xr:uid="{00000000-0005-0000-0000-0000B3000000}"/>
    <cellStyle name="標題 2" xfId="32979" xr:uid="{00000000-0005-0000-0000-000085750000}"/>
    <cellStyle name="標題 3" xfId="32981" xr:uid="{00000000-0005-0000-0000-000086750000}"/>
    <cellStyle name="標題 4" xfId="33943" xr:uid="{00000000-0005-0000-0000-000087750000}"/>
    <cellStyle name="標題 5" xfId="178" xr:uid="{00000000-0005-0000-0000-0000B4000000}"/>
    <cellStyle name="標題 5 2" xfId="179" xr:uid="{00000000-0005-0000-0000-0000B5000000}"/>
    <cellStyle name="標題 5 2 2" xfId="38413" xr:uid="{00000000-0005-0000-0000-000084000000}"/>
    <cellStyle name="標題 5 3" xfId="38414" xr:uid="{00000000-0005-0000-0000-000083000000}"/>
    <cellStyle name="標題 6" xfId="180" xr:uid="{00000000-0005-0000-0000-0000B6000000}"/>
    <cellStyle name="標題 6 2" xfId="181" xr:uid="{00000000-0005-0000-0000-0000B7000000}"/>
    <cellStyle name="標題 6 2 2" xfId="38411" xr:uid="{00000000-0005-0000-0000-000086000000}"/>
    <cellStyle name="標題 6 3" xfId="38412" xr:uid="{00000000-0005-0000-0000-000085000000}"/>
    <cellStyle name="標題_3-20 PAV packing list" xfId="2090" xr:uid="{00000000-0005-0000-0000-000088750000}"/>
    <cellStyle name="檢查儲存格" xfId="9190" xr:uid="{00000000-0005-0000-0000-000089750000}"/>
    <cellStyle name="汇总 10" xfId="33944" xr:uid="{00000000-0005-0000-0000-00008A750000}"/>
    <cellStyle name="汇总 11" xfId="33945" xr:uid="{00000000-0005-0000-0000-00008B750000}"/>
    <cellStyle name="汇总 12" xfId="33946" xr:uid="{00000000-0005-0000-0000-00008C750000}"/>
    <cellStyle name="汇总 12 10" xfId="33947" xr:uid="{00000000-0005-0000-0000-00008D750000}"/>
    <cellStyle name="汇总 12 11" xfId="33948" xr:uid="{00000000-0005-0000-0000-00008E750000}"/>
    <cellStyle name="汇总 12 12" xfId="33949" xr:uid="{00000000-0005-0000-0000-00008F750000}"/>
    <cellStyle name="汇总 12 13" xfId="33950" xr:uid="{00000000-0005-0000-0000-000090750000}"/>
    <cellStyle name="汇总 12 14" xfId="33951" xr:uid="{00000000-0005-0000-0000-000091750000}"/>
    <cellStyle name="汇总 12 2" xfId="33485" xr:uid="{00000000-0005-0000-0000-000092750000}"/>
    <cellStyle name="汇总 12 3" xfId="33487" xr:uid="{00000000-0005-0000-0000-000093750000}"/>
    <cellStyle name="汇总 12 4" xfId="33489" xr:uid="{00000000-0005-0000-0000-000094750000}"/>
    <cellStyle name="汇总 12 5" xfId="31200" xr:uid="{00000000-0005-0000-0000-000095750000}"/>
    <cellStyle name="汇总 12 5 10" xfId="33952" xr:uid="{00000000-0005-0000-0000-000096750000}"/>
    <cellStyle name="汇总 12 5 11" xfId="33953" xr:uid="{00000000-0005-0000-0000-000097750000}"/>
    <cellStyle name="汇总 12 5 2" xfId="24419" xr:uid="{00000000-0005-0000-0000-000098750000}"/>
    <cellStyle name="汇总 12 5 2 2" xfId="31205" xr:uid="{00000000-0005-0000-0000-000099750000}"/>
    <cellStyle name="汇总 12 5 2 2 2" xfId="33954" xr:uid="{00000000-0005-0000-0000-00009A750000}"/>
    <cellStyle name="汇总 12 5 2 2 3" xfId="33955" xr:uid="{00000000-0005-0000-0000-00009B750000}"/>
    <cellStyle name="汇总 12 5 2 3" xfId="31208" xr:uid="{00000000-0005-0000-0000-00009C750000}"/>
    <cellStyle name="汇总 12 5 2 4" xfId="22089" xr:uid="{00000000-0005-0000-0000-00009D750000}"/>
    <cellStyle name="汇总 12 5 2 5" xfId="22093" xr:uid="{00000000-0005-0000-0000-00009E750000}"/>
    <cellStyle name="汇总 12 5 2 6" xfId="22096" xr:uid="{00000000-0005-0000-0000-00009F750000}"/>
    <cellStyle name="汇总 12 5 2 7" xfId="22098" xr:uid="{00000000-0005-0000-0000-0000A0750000}"/>
    <cellStyle name="汇总 12 5 2 8" xfId="22147" xr:uid="{00000000-0005-0000-0000-0000A1750000}"/>
    <cellStyle name="汇总 12 5 3" xfId="30401" xr:uid="{00000000-0005-0000-0000-0000A2750000}"/>
    <cellStyle name="汇总 12 5 4" xfId="30404" xr:uid="{00000000-0005-0000-0000-0000A3750000}"/>
    <cellStyle name="汇总 12 5 5" xfId="30407" xr:uid="{00000000-0005-0000-0000-0000A4750000}"/>
    <cellStyle name="汇总 12 5 6" xfId="30410" xr:uid="{00000000-0005-0000-0000-0000A5750000}"/>
    <cellStyle name="汇总 12 5 6 2" xfId="30414" xr:uid="{00000000-0005-0000-0000-0000A6750000}"/>
    <cellStyle name="汇总 12 5 6 3" xfId="30420" xr:uid="{00000000-0005-0000-0000-0000A7750000}"/>
    <cellStyle name="汇总 12 5 7" xfId="30429" xr:uid="{00000000-0005-0000-0000-0000A8750000}"/>
    <cellStyle name="汇总 12 5 8" xfId="30442" xr:uid="{00000000-0005-0000-0000-0000A9750000}"/>
    <cellStyle name="汇总 12 5 9" xfId="30445" xr:uid="{00000000-0005-0000-0000-0000AA750000}"/>
    <cellStyle name="汇总 12 6" xfId="31210" xr:uid="{00000000-0005-0000-0000-0000AB750000}"/>
    <cellStyle name="汇总 12 6 2" xfId="2105" xr:uid="{00000000-0005-0000-0000-0000AC750000}"/>
    <cellStyle name="汇总 12 6 2 2" xfId="33956" xr:uid="{00000000-0005-0000-0000-0000AD750000}"/>
    <cellStyle name="汇总 12 6 2 3" xfId="33957" xr:uid="{00000000-0005-0000-0000-0000AE750000}"/>
    <cellStyle name="汇总 12 6 3" xfId="30449" xr:uid="{00000000-0005-0000-0000-0000AF750000}"/>
    <cellStyle name="汇总 12 6 4" xfId="30451" xr:uid="{00000000-0005-0000-0000-0000B0750000}"/>
    <cellStyle name="汇总 12 6 5" xfId="30453" xr:uid="{00000000-0005-0000-0000-0000B1750000}"/>
    <cellStyle name="汇总 12 6 6" xfId="30456" xr:uid="{00000000-0005-0000-0000-0000B2750000}"/>
    <cellStyle name="汇总 12 6 7" xfId="30480" xr:uid="{00000000-0005-0000-0000-0000B3750000}"/>
    <cellStyle name="汇总 12 6 8" xfId="30486" xr:uid="{00000000-0005-0000-0000-0000B4750000}"/>
    <cellStyle name="汇总 12 7" xfId="31213" xr:uid="{00000000-0005-0000-0000-0000B5750000}"/>
    <cellStyle name="汇总 12 8" xfId="31217" xr:uid="{00000000-0005-0000-0000-0000B6750000}"/>
    <cellStyle name="汇总 12 9" xfId="31221" xr:uid="{00000000-0005-0000-0000-0000B7750000}"/>
    <cellStyle name="汇总 12 9 2" xfId="22251" xr:uid="{00000000-0005-0000-0000-0000B8750000}"/>
    <cellStyle name="汇总 12 9 3" xfId="22254" xr:uid="{00000000-0005-0000-0000-0000B9750000}"/>
    <cellStyle name="汇总 13" xfId="33958" xr:uid="{00000000-0005-0000-0000-0000BA750000}"/>
    <cellStyle name="汇总 14" xfId="33959" xr:uid="{00000000-0005-0000-0000-0000BB750000}"/>
    <cellStyle name="汇总 15" xfId="33960" xr:uid="{00000000-0005-0000-0000-0000BC750000}"/>
    <cellStyle name="汇总 16" xfId="33961" xr:uid="{00000000-0005-0000-0000-0000BD750000}"/>
    <cellStyle name="汇总 16 10" xfId="33962" xr:uid="{00000000-0005-0000-0000-0000BE750000}"/>
    <cellStyle name="汇总 16 11" xfId="33963" xr:uid="{00000000-0005-0000-0000-0000BF750000}"/>
    <cellStyle name="汇总 16 12" xfId="33964" xr:uid="{00000000-0005-0000-0000-0000C0750000}"/>
    <cellStyle name="汇总 16 13" xfId="33965" xr:uid="{00000000-0005-0000-0000-0000C1750000}"/>
    <cellStyle name="汇总 16 14" xfId="33966" xr:uid="{00000000-0005-0000-0000-0000C2750000}"/>
    <cellStyle name="汇总 16 2" xfId="33967" xr:uid="{00000000-0005-0000-0000-0000C3750000}"/>
    <cellStyle name="汇总 16 3" xfId="33968" xr:uid="{00000000-0005-0000-0000-0000C4750000}"/>
    <cellStyle name="汇总 16 4" xfId="33969" xr:uid="{00000000-0005-0000-0000-0000C5750000}"/>
    <cellStyle name="汇总 16 5" xfId="31240" xr:uid="{00000000-0005-0000-0000-0000C6750000}"/>
    <cellStyle name="汇总 16 5 10" xfId="33970" xr:uid="{00000000-0005-0000-0000-0000C7750000}"/>
    <cellStyle name="汇总 16 5 11" xfId="25336" xr:uid="{00000000-0005-0000-0000-0000C8750000}"/>
    <cellStyle name="汇总 16 5 2" xfId="25837" xr:uid="{00000000-0005-0000-0000-0000C9750000}"/>
    <cellStyle name="汇总 16 5 2 2" xfId="31408" xr:uid="{00000000-0005-0000-0000-0000CA750000}"/>
    <cellStyle name="汇总 16 5 2 2 2" xfId="33971" xr:uid="{00000000-0005-0000-0000-0000CB750000}"/>
    <cellStyle name="汇总 16 5 2 2 3" xfId="33972" xr:uid="{00000000-0005-0000-0000-0000CC750000}"/>
    <cellStyle name="汇总 16 5 2 3" xfId="31410" xr:uid="{00000000-0005-0000-0000-0000CD750000}"/>
    <cellStyle name="汇总 16 5 2 4" xfId="31412" xr:uid="{00000000-0005-0000-0000-0000CE750000}"/>
    <cellStyle name="汇总 16 5 2 5" xfId="31414" xr:uid="{00000000-0005-0000-0000-0000CF750000}"/>
    <cellStyle name="汇总 16 5 2 6" xfId="33973" xr:uid="{00000000-0005-0000-0000-0000D0750000}"/>
    <cellStyle name="汇总 16 5 2 7" xfId="33974" xr:uid="{00000000-0005-0000-0000-0000D1750000}"/>
    <cellStyle name="汇总 16 5 2 8" xfId="33975" xr:uid="{00000000-0005-0000-0000-0000D2750000}"/>
    <cellStyle name="汇总 16 5 3" xfId="33976" xr:uid="{00000000-0005-0000-0000-0000D3750000}"/>
    <cellStyle name="汇总 16 5 4" xfId="33977" xr:uid="{00000000-0005-0000-0000-0000D4750000}"/>
    <cellStyle name="汇总 16 5 5" xfId="33978" xr:uid="{00000000-0005-0000-0000-0000D5750000}"/>
    <cellStyle name="汇总 16 5 6" xfId="16307" xr:uid="{00000000-0005-0000-0000-0000D6750000}"/>
    <cellStyle name="汇总 16 5 6 2" xfId="24759" xr:uid="{00000000-0005-0000-0000-0000D7750000}"/>
    <cellStyle name="汇总 16 5 6 3" xfId="24762" xr:uid="{00000000-0005-0000-0000-0000D8750000}"/>
    <cellStyle name="汇总 16 5 7" xfId="16309" xr:uid="{00000000-0005-0000-0000-0000D9750000}"/>
    <cellStyle name="汇总 16 5 8" xfId="33979" xr:uid="{00000000-0005-0000-0000-0000DA750000}"/>
    <cellStyle name="汇总 16 5 9" xfId="33980" xr:uid="{00000000-0005-0000-0000-0000DB750000}"/>
    <cellStyle name="汇总 16 6" xfId="31242" xr:uid="{00000000-0005-0000-0000-0000DC750000}"/>
    <cellStyle name="汇总 16 6 2" xfId="24956" xr:uid="{00000000-0005-0000-0000-0000DD750000}"/>
    <cellStyle name="汇总 16 6 2 2" xfId="15172" xr:uid="{00000000-0005-0000-0000-0000DE750000}"/>
    <cellStyle name="汇总 16 6 2 3" xfId="7400" xr:uid="{00000000-0005-0000-0000-0000DF750000}"/>
    <cellStyle name="汇总 16 6 3" xfId="33981" xr:uid="{00000000-0005-0000-0000-0000E0750000}"/>
    <cellStyle name="汇总 16 6 4" xfId="33982" xr:uid="{00000000-0005-0000-0000-0000E1750000}"/>
    <cellStyle name="汇总 16 6 5" xfId="33983" xr:uid="{00000000-0005-0000-0000-0000E2750000}"/>
    <cellStyle name="汇总 16 6 6" xfId="33985" xr:uid="{00000000-0005-0000-0000-0000E3750000}"/>
    <cellStyle name="汇总 16 6 7" xfId="33987" xr:uid="{00000000-0005-0000-0000-0000E4750000}"/>
    <cellStyle name="汇总 16 6 8" xfId="30965" xr:uid="{00000000-0005-0000-0000-0000E5750000}"/>
    <cellStyle name="汇总 16 7" xfId="33988" xr:uid="{00000000-0005-0000-0000-0000E6750000}"/>
    <cellStyle name="汇总 16 8" xfId="33989" xr:uid="{00000000-0005-0000-0000-0000E7750000}"/>
    <cellStyle name="汇总 16 9" xfId="33990" xr:uid="{00000000-0005-0000-0000-0000E8750000}"/>
    <cellStyle name="汇总 16 9 2" xfId="3085" xr:uid="{00000000-0005-0000-0000-0000E9750000}"/>
    <cellStyle name="汇总 16 9 3" xfId="3089" xr:uid="{00000000-0005-0000-0000-0000EA750000}"/>
    <cellStyle name="汇总 17" xfId="33182" xr:uid="{00000000-0005-0000-0000-0000EB750000}"/>
    <cellStyle name="汇总 17 10" xfId="33991" xr:uid="{00000000-0005-0000-0000-0000EC750000}"/>
    <cellStyle name="汇总 17 11" xfId="33992" xr:uid="{00000000-0005-0000-0000-0000ED750000}"/>
    <cellStyle name="汇总 17 12" xfId="33993" xr:uid="{00000000-0005-0000-0000-0000EE750000}"/>
    <cellStyle name="汇总 17 13" xfId="33994" xr:uid="{00000000-0005-0000-0000-0000EF750000}"/>
    <cellStyle name="汇总 17 14" xfId="33995" xr:uid="{00000000-0005-0000-0000-0000F0750000}"/>
    <cellStyle name="汇总 17 2" xfId="33186" xr:uid="{00000000-0005-0000-0000-0000F1750000}"/>
    <cellStyle name="汇总 17 3" xfId="33190" xr:uid="{00000000-0005-0000-0000-0000F2750000}"/>
    <cellStyle name="汇总 17 4" xfId="33997" xr:uid="{00000000-0005-0000-0000-0000F3750000}"/>
    <cellStyle name="汇总 17 5" xfId="33999" xr:uid="{00000000-0005-0000-0000-0000F4750000}"/>
    <cellStyle name="汇总 17 5 10" xfId="6750" xr:uid="{00000000-0005-0000-0000-0000F5750000}"/>
    <cellStyle name="汇总 17 5 11" xfId="6762" xr:uid="{00000000-0005-0000-0000-0000F6750000}"/>
    <cellStyle name="汇总 17 5 2" xfId="32537" xr:uid="{00000000-0005-0000-0000-0000F7750000}"/>
    <cellStyle name="汇总 17 5 2 2" xfId="31560" xr:uid="{00000000-0005-0000-0000-0000F8750000}"/>
    <cellStyle name="汇总 17 5 2 2 2" xfId="34001" xr:uid="{00000000-0005-0000-0000-0000F9750000}"/>
    <cellStyle name="汇总 17 5 2 2 3" xfId="34003" xr:uid="{00000000-0005-0000-0000-0000FA750000}"/>
    <cellStyle name="汇总 17 5 2 3" xfId="31562" xr:uid="{00000000-0005-0000-0000-0000FB750000}"/>
    <cellStyle name="汇总 17 5 2 4" xfId="22697" xr:uid="{00000000-0005-0000-0000-0000FC750000}"/>
    <cellStyle name="汇总 17 5 2 5" xfId="22700" xr:uid="{00000000-0005-0000-0000-0000FD750000}"/>
    <cellStyle name="汇总 17 5 2 6" xfId="22703" xr:uid="{00000000-0005-0000-0000-0000FE750000}"/>
    <cellStyle name="汇总 17 5 2 7" xfId="22705" xr:uid="{00000000-0005-0000-0000-0000FF750000}"/>
    <cellStyle name="汇总 17 5 2 8" xfId="22720" xr:uid="{00000000-0005-0000-0000-000000760000}"/>
    <cellStyle name="汇总 17 5 3" xfId="34005" xr:uid="{00000000-0005-0000-0000-000001760000}"/>
    <cellStyle name="汇总 17 5 4" xfId="34006" xr:uid="{00000000-0005-0000-0000-000002760000}"/>
    <cellStyle name="汇总 17 5 5" xfId="34007" xr:uid="{00000000-0005-0000-0000-000003760000}"/>
    <cellStyle name="汇总 17 5 6" xfId="34008" xr:uid="{00000000-0005-0000-0000-000004760000}"/>
    <cellStyle name="汇总 17 5 6 2" xfId="34009" xr:uid="{00000000-0005-0000-0000-000005760000}"/>
    <cellStyle name="汇总 17 5 6 3" xfId="34010" xr:uid="{00000000-0005-0000-0000-000006760000}"/>
    <cellStyle name="汇总 17 5 7" xfId="34011" xr:uid="{00000000-0005-0000-0000-000007760000}"/>
    <cellStyle name="汇总 17 5 8" xfId="34012" xr:uid="{00000000-0005-0000-0000-000008760000}"/>
    <cellStyle name="汇总 17 5 9" xfId="34013" xr:uid="{00000000-0005-0000-0000-000009760000}"/>
    <cellStyle name="汇总 17 6" xfId="34014" xr:uid="{00000000-0005-0000-0000-00000A760000}"/>
    <cellStyle name="汇总 17 6 2" xfId="34015" xr:uid="{00000000-0005-0000-0000-00000B760000}"/>
    <cellStyle name="汇总 17 6 2 2" xfId="10348" xr:uid="{00000000-0005-0000-0000-00000C760000}"/>
    <cellStyle name="汇总 17 6 2 3" xfId="9819" xr:uid="{00000000-0005-0000-0000-00000D760000}"/>
    <cellStyle name="汇总 17 6 3" xfId="34016" xr:uid="{00000000-0005-0000-0000-00000E760000}"/>
    <cellStyle name="汇总 17 6 4" xfId="34017" xr:uid="{00000000-0005-0000-0000-00000F760000}"/>
    <cellStyle name="汇总 17 6 5" xfId="34018" xr:uid="{00000000-0005-0000-0000-000010760000}"/>
    <cellStyle name="汇总 17 6 6" xfId="34020" xr:uid="{00000000-0005-0000-0000-000011760000}"/>
    <cellStyle name="汇总 17 6 7" xfId="34022" xr:uid="{00000000-0005-0000-0000-000012760000}"/>
    <cellStyle name="汇总 17 6 8" xfId="34023" xr:uid="{00000000-0005-0000-0000-000013760000}"/>
    <cellStyle name="汇总 17 7" xfId="34024" xr:uid="{00000000-0005-0000-0000-000014760000}"/>
    <cellStyle name="汇总 17 8" xfId="34025" xr:uid="{00000000-0005-0000-0000-000015760000}"/>
    <cellStyle name="汇总 17 9" xfId="34026" xr:uid="{00000000-0005-0000-0000-000016760000}"/>
    <cellStyle name="汇总 17 9 2" xfId="1038" xr:uid="{00000000-0005-0000-0000-000017760000}"/>
    <cellStyle name="汇总 17 9 3" xfId="1058" xr:uid="{00000000-0005-0000-0000-000018760000}"/>
    <cellStyle name="汇总 18" xfId="33193" xr:uid="{00000000-0005-0000-0000-000019760000}"/>
    <cellStyle name="汇总 18 10" xfId="11404" xr:uid="{00000000-0005-0000-0000-00001A760000}"/>
    <cellStyle name="汇总 18 11" xfId="11410" xr:uid="{00000000-0005-0000-0000-00001B760000}"/>
    <cellStyle name="汇总 18 12" xfId="1211" xr:uid="{00000000-0005-0000-0000-00001C760000}"/>
    <cellStyle name="汇总 18 13" xfId="533" xr:uid="{00000000-0005-0000-0000-00001D760000}"/>
    <cellStyle name="汇总 18 14" xfId="32976" xr:uid="{00000000-0005-0000-0000-00001E760000}"/>
    <cellStyle name="汇总 18 2" xfId="34027" xr:uid="{00000000-0005-0000-0000-00001F760000}"/>
    <cellStyle name="汇总 18 3" xfId="34028" xr:uid="{00000000-0005-0000-0000-000020760000}"/>
    <cellStyle name="汇总 18 4" xfId="34030" xr:uid="{00000000-0005-0000-0000-000021760000}"/>
    <cellStyle name="汇总 18 5" xfId="34032" xr:uid="{00000000-0005-0000-0000-000022760000}"/>
    <cellStyle name="汇总 18 5 10" xfId="1568" xr:uid="{00000000-0005-0000-0000-000023760000}"/>
    <cellStyle name="汇总 18 5 11" xfId="1583" xr:uid="{00000000-0005-0000-0000-000024760000}"/>
    <cellStyle name="汇总 18 5 2" xfId="20746" xr:uid="{00000000-0005-0000-0000-000025760000}"/>
    <cellStyle name="汇总 18 5 2 2" xfId="9405" xr:uid="{00000000-0005-0000-0000-000026760000}"/>
    <cellStyle name="汇总 18 5 2 2 2" xfId="21105" xr:uid="{00000000-0005-0000-0000-000027760000}"/>
    <cellStyle name="汇总 18 5 2 2 3" xfId="10263" xr:uid="{00000000-0005-0000-0000-000028760000}"/>
    <cellStyle name="汇总 18 5 2 3" xfId="214" xr:uid="{00000000-0005-0000-0000-000029760000}"/>
    <cellStyle name="汇总 18 5 2 4" xfId="9409" xr:uid="{00000000-0005-0000-0000-00002A760000}"/>
    <cellStyle name="汇总 18 5 2 5" xfId="30502" xr:uid="{00000000-0005-0000-0000-00002B760000}"/>
    <cellStyle name="汇总 18 5 2 6" xfId="25970" xr:uid="{00000000-0005-0000-0000-00002C760000}"/>
    <cellStyle name="汇总 18 5 2 7" xfId="20188" xr:uid="{00000000-0005-0000-0000-00002D760000}"/>
    <cellStyle name="汇总 18 5 2 8" xfId="20192" xr:uid="{00000000-0005-0000-0000-00002E760000}"/>
    <cellStyle name="汇总 18 5 3" xfId="20751" xr:uid="{00000000-0005-0000-0000-00002F760000}"/>
    <cellStyle name="汇总 18 5 4" xfId="34033" xr:uid="{00000000-0005-0000-0000-000030760000}"/>
    <cellStyle name="汇总 18 5 5" xfId="34034" xr:uid="{00000000-0005-0000-0000-000031760000}"/>
    <cellStyle name="汇总 18 5 6" xfId="34035" xr:uid="{00000000-0005-0000-0000-000032760000}"/>
    <cellStyle name="汇总 18 5 6 2" xfId="34037" xr:uid="{00000000-0005-0000-0000-000033760000}"/>
    <cellStyle name="汇总 18 5 6 3" xfId="34039" xr:uid="{00000000-0005-0000-0000-000034760000}"/>
    <cellStyle name="汇总 18 5 7" xfId="34040" xr:uid="{00000000-0005-0000-0000-000035760000}"/>
    <cellStyle name="汇总 18 5 8" xfId="34041" xr:uid="{00000000-0005-0000-0000-000036760000}"/>
    <cellStyle name="汇总 18 5 9" xfId="34042" xr:uid="{00000000-0005-0000-0000-000037760000}"/>
    <cellStyle name="汇总 18 6" xfId="34043" xr:uid="{00000000-0005-0000-0000-000038760000}"/>
    <cellStyle name="汇总 18 6 2" xfId="34044" xr:uid="{00000000-0005-0000-0000-000039760000}"/>
    <cellStyle name="汇总 18 6 2 2" xfId="4731" xr:uid="{00000000-0005-0000-0000-00003A760000}"/>
    <cellStyle name="汇总 18 6 2 3" xfId="4740" xr:uid="{00000000-0005-0000-0000-00003B760000}"/>
    <cellStyle name="汇总 18 6 3" xfId="34045" xr:uid="{00000000-0005-0000-0000-00003C760000}"/>
    <cellStyle name="汇总 18 6 4" xfId="25736" xr:uid="{00000000-0005-0000-0000-00003D760000}"/>
    <cellStyle name="汇总 18 6 5" xfId="34046" xr:uid="{00000000-0005-0000-0000-00003E760000}"/>
    <cellStyle name="汇总 18 6 6" xfId="34047" xr:uid="{00000000-0005-0000-0000-00003F760000}"/>
    <cellStyle name="汇总 18 6 7" xfId="34048" xr:uid="{00000000-0005-0000-0000-000040760000}"/>
    <cellStyle name="汇总 18 6 8" xfId="7685" xr:uid="{00000000-0005-0000-0000-000041760000}"/>
    <cellStyle name="汇总 18 7" xfId="34049" xr:uid="{00000000-0005-0000-0000-000042760000}"/>
    <cellStyle name="汇总 18 8" xfId="34050" xr:uid="{00000000-0005-0000-0000-000043760000}"/>
    <cellStyle name="汇总 18 9" xfId="34051" xr:uid="{00000000-0005-0000-0000-000044760000}"/>
    <cellStyle name="汇总 18 9 2" xfId="1485" xr:uid="{00000000-0005-0000-0000-000045760000}"/>
    <cellStyle name="汇总 18 9 3" xfId="228" xr:uid="{00000000-0005-0000-0000-000046760000}"/>
    <cellStyle name="汇总 19" xfId="33196" xr:uid="{00000000-0005-0000-0000-000047760000}"/>
    <cellStyle name="汇总 2" xfId="34052" xr:uid="{00000000-0005-0000-0000-000048760000}"/>
    <cellStyle name="汇总 2 10" xfId="2057" xr:uid="{00000000-0005-0000-0000-000049760000}"/>
    <cellStyle name="汇总 2 11" xfId="2127" xr:uid="{00000000-0005-0000-0000-00004A760000}"/>
    <cellStyle name="汇总 2 12" xfId="33105" xr:uid="{00000000-0005-0000-0000-00004B760000}"/>
    <cellStyle name="汇总 2 13" xfId="33107" xr:uid="{00000000-0005-0000-0000-00004C760000}"/>
    <cellStyle name="汇总 2 14" xfId="33110" xr:uid="{00000000-0005-0000-0000-00004D760000}"/>
    <cellStyle name="汇总 2 15" xfId="33113" xr:uid="{00000000-0005-0000-0000-00004E760000}"/>
    <cellStyle name="汇总 2 16" xfId="34053" xr:uid="{00000000-0005-0000-0000-00004F760000}"/>
    <cellStyle name="汇总 2 17" xfId="34054" xr:uid="{00000000-0005-0000-0000-000050760000}"/>
    <cellStyle name="汇总 2 17 10" xfId="24976" xr:uid="{00000000-0005-0000-0000-000051760000}"/>
    <cellStyle name="汇总 2 17 11" xfId="24978" xr:uid="{00000000-0005-0000-0000-000052760000}"/>
    <cellStyle name="汇总 2 17 12" xfId="24980" xr:uid="{00000000-0005-0000-0000-000053760000}"/>
    <cellStyle name="汇总 2 17 13" xfId="34055" xr:uid="{00000000-0005-0000-0000-000054760000}"/>
    <cellStyle name="汇总 2 17 14" xfId="34056" xr:uid="{00000000-0005-0000-0000-000055760000}"/>
    <cellStyle name="汇总 2 17 2" xfId="7861" xr:uid="{00000000-0005-0000-0000-000056760000}"/>
    <cellStyle name="汇总 2 17 3" xfId="10282" xr:uid="{00000000-0005-0000-0000-000057760000}"/>
    <cellStyle name="汇总 2 17 4" xfId="10290" xr:uid="{00000000-0005-0000-0000-000058760000}"/>
    <cellStyle name="汇总 2 17 5" xfId="10302" xr:uid="{00000000-0005-0000-0000-000059760000}"/>
    <cellStyle name="汇总 2 17 5 10" xfId="8410" xr:uid="{00000000-0005-0000-0000-00005A760000}"/>
    <cellStyle name="汇总 2 17 5 11" xfId="16251" xr:uid="{00000000-0005-0000-0000-00005B760000}"/>
    <cellStyle name="汇总 2 17 5 2" xfId="7459" xr:uid="{00000000-0005-0000-0000-00005C760000}"/>
    <cellStyle name="汇总 2 17 5 2 2" xfId="34057" xr:uid="{00000000-0005-0000-0000-00005D760000}"/>
    <cellStyle name="汇总 2 17 5 2 2 2" xfId="33090" xr:uid="{00000000-0005-0000-0000-00005E760000}"/>
    <cellStyle name="汇总 2 17 5 2 2 3" xfId="33092" xr:uid="{00000000-0005-0000-0000-00005F760000}"/>
    <cellStyle name="汇总 2 17 5 2 3" xfId="34058" xr:uid="{00000000-0005-0000-0000-000060760000}"/>
    <cellStyle name="汇总 2 17 5 2 4" xfId="34059" xr:uid="{00000000-0005-0000-0000-000061760000}"/>
    <cellStyle name="汇总 2 17 5 2 5" xfId="34060" xr:uid="{00000000-0005-0000-0000-000062760000}"/>
    <cellStyle name="汇总 2 17 5 2 6" xfId="34061" xr:uid="{00000000-0005-0000-0000-000063760000}"/>
    <cellStyle name="汇总 2 17 5 2 7" xfId="34062" xr:uid="{00000000-0005-0000-0000-000064760000}"/>
    <cellStyle name="汇总 2 17 5 2 8" xfId="34063" xr:uid="{00000000-0005-0000-0000-000065760000}"/>
    <cellStyle name="汇总 2 17 5 3" xfId="7013" xr:uid="{00000000-0005-0000-0000-000066760000}"/>
    <cellStyle name="汇总 2 17 5 4" xfId="34064" xr:uid="{00000000-0005-0000-0000-000067760000}"/>
    <cellStyle name="汇总 2 17 5 5" xfId="34065" xr:uid="{00000000-0005-0000-0000-000068760000}"/>
    <cellStyle name="汇总 2 17 5 6" xfId="7034" xr:uid="{00000000-0005-0000-0000-000069760000}"/>
    <cellStyle name="汇总 2 17 5 6 2" xfId="7468" xr:uid="{00000000-0005-0000-0000-00006A760000}"/>
    <cellStyle name="汇总 2 17 5 6 3" xfId="7475" xr:uid="{00000000-0005-0000-0000-00006B760000}"/>
    <cellStyle name="汇总 2 17 5 7" xfId="7047" xr:uid="{00000000-0005-0000-0000-00006C760000}"/>
    <cellStyle name="汇总 2 17 5 8" xfId="34066" xr:uid="{00000000-0005-0000-0000-00006D760000}"/>
    <cellStyle name="汇总 2 17 5 9" xfId="34067" xr:uid="{00000000-0005-0000-0000-00006E760000}"/>
    <cellStyle name="汇总 2 17 6" xfId="10308" xr:uid="{00000000-0005-0000-0000-00006F760000}"/>
    <cellStyle name="汇总 2 17 6 2" xfId="34068" xr:uid="{00000000-0005-0000-0000-000070760000}"/>
    <cellStyle name="汇总 2 17 6 2 2" xfId="34069" xr:uid="{00000000-0005-0000-0000-000071760000}"/>
    <cellStyle name="汇总 2 17 6 2 3" xfId="34070" xr:uid="{00000000-0005-0000-0000-000072760000}"/>
    <cellStyle name="汇总 2 17 6 3" xfId="15672" xr:uid="{00000000-0005-0000-0000-000073760000}"/>
    <cellStyle name="汇总 2 17 6 4" xfId="15674" xr:uid="{00000000-0005-0000-0000-000074760000}"/>
    <cellStyle name="汇总 2 17 6 5" xfId="15676" xr:uid="{00000000-0005-0000-0000-000075760000}"/>
    <cellStyle name="汇总 2 17 6 6" xfId="15678" xr:uid="{00000000-0005-0000-0000-000076760000}"/>
    <cellStyle name="汇总 2 17 6 7" xfId="15680" xr:uid="{00000000-0005-0000-0000-000077760000}"/>
    <cellStyle name="汇总 2 17 6 8" xfId="34071" xr:uid="{00000000-0005-0000-0000-000078760000}"/>
    <cellStyle name="汇总 2 17 7" xfId="10315" xr:uid="{00000000-0005-0000-0000-000079760000}"/>
    <cellStyle name="汇总 2 17 8" xfId="10602" xr:uid="{00000000-0005-0000-0000-00007A760000}"/>
    <cellStyle name="汇总 2 17 9" xfId="30395" xr:uid="{00000000-0005-0000-0000-00007B760000}"/>
    <cellStyle name="汇总 2 17 9 2" xfId="27376" xr:uid="{00000000-0005-0000-0000-00007C760000}"/>
    <cellStyle name="汇总 2 17 9 3" xfId="16223" xr:uid="{00000000-0005-0000-0000-00007D760000}"/>
    <cellStyle name="汇总 2 18" xfId="34072" xr:uid="{00000000-0005-0000-0000-00007E760000}"/>
    <cellStyle name="汇总 2 18 10" xfId="28009" xr:uid="{00000000-0005-0000-0000-00007F760000}"/>
    <cellStyle name="汇总 2 18 11" xfId="28011" xr:uid="{00000000-0005-0000-0000-000080760000}"/>
    <cellStyle name="汇总 2 18 12" xfId="28013" xr:uid="{00000000-0005-0000-0000-000081760000}"/>
    <cellStyle name="汇总 2 18 13" xfId="28015" xr:uid="{00000000-0005-0000-0000-000082760000}"/>
    <cellStyle name="汇总 2 18 14" xfId="28017" xr:uid="{00000000-0005-0000-0000-000083760000}"/>
    <cellStyle name="汇总 2 18 2" xfId="10620" xr:uid="{00000000-0005-0000-0000-000084760000}"/>
    <cellStyle name="汇总 2 18 3" xfId="10625" xr:uid="{00000000-0005-0000-0000-000085760000}"/>
    <cellStyle name="汇总 2 18 4" xfId="10629" xr:uid="{00000000-0005-0000-0000-000086760000}"/>
    <cellStyle name="汇总 2 18 5" xfId="10633" xr:uid="{00000000-0005-0000-0000-000087760000}"/>
    <cellStyle name="汇总 2 18 5 10" xfId="34073" xr:uid="{00000000-0005-0000-0000-000088760000}"/>
    <cellStyle name="汇总 2 18 5 11" xfId="34074" xr:uid="{00000000-0005-0000-0000-000089760000}"/>
    <cellStyle name="汇总 2 18 5 2" xfId="34075" xr:uid="{00000000-0005-0000-0000-00008A760000}"/>
    <cellStyle name="汇总 2 18 5 2 2" xfId="32321" xr:uid="{00000000-0005-0000-0000-00008B760000}"/>
    <cellStyle name="汇总 2 18 5 2 2 2" xfId="7048" xr:uid="{00000000-0005-0000-0000-00008C760000}"/>
    <cellStyle name="汇总 2 18 5 2 2 3" xfId="7058" xr:uid="{00000000-0005-0000-0000-00008D760000}"/>
    <cellStyle name="汇总 2 18 5 2 3" xfId="34076" xr:uid="{00000000-0005-0000-0000-00008E760000}"/>
    <cellStyle name="汇总 2 18 5 2 4" xfId="34078" xr:uid="{00000000-0005-0000-0000-00008F760000}"/>
    <cellStyle name="汇总 2 18 5 2 5" xfId="34080" xr:uid="{00000000-0005-0000-0000-000090760000}"/>
    <cellStyle name="汇总 2 18 5 2 6" xfId="34081" xr:uid="{00000000-0005-0000-0000-000091760000}"/>
    <cellStyle name="汇总 2 18 5 2 7" xfId="24721" xr:uid="{00000000-0005-0000-0000-000092760000}"/>
    <cellStyle name="汇总 2 18 5 2 8" xfId="24723" xr:uid="{00000000-0005-0000-0000-000093760000}"/>
    <cellStyle name="汇总 2 18 5 3" xfId="34082" xr:uid="{00000000-0005-0000-0000-000094760000}"/>
    <cellStyle name="汇总 2 18 5 4" xfId="34083" xr:uid="{00000000-0005-0000-0000-000095760000}"/>
    <cellStyle name="汇总 2 18 5 5" xfId="34084" xr:uid="{00000000-0005-0000-0000-000096760000}"/>
    <cellStyle name="汇总 2 18 5 6" xfId="34085" xr:uid="{00000000-0005-0000-0000-000097760000}"/>
    <cellStyle name="汇总 2 18 5 6 2" xfId="34087" xr:uid="{00000000-0005-0000-0000-000098760000}"/>
    <cellStyle name="汇总 2 18 5 6 3" xfId="34089" xr:uid="{00000000-0005-0000-0000-000099760000}"/>
    <cellStyle name="汇总 2 18 5 7" xfId="34090" xr:uid="{00000000-0005-0000-0000-00009A760000}"/>
    <cellStyle name="汇总 2 18 5 8" xfId="34091" xr:uid="{00000000-0005-0000-0000-00009B760000}"/>
    <cellStyle name="汇总 2 18 5 9" xfId="34092" xr:uid="{00000000-0005-0000-0000-00009C760000}"/>
    <cellStyle name="汇总 2 18 6" xfId="10637" xr:uid="{00000000-0005-0000-0000-00009D760000}"/>
    <cellStyle name="汇总 2 18 6 2" xfId="15990" xr:uid="{00000000-0005-0000-0000-00009E760000}"/>
    <cellStyle name="汇总 2 18 6 2 2" xfId="34093" xr:uid="{00000000-0005-0000-0000-00009F760000}"/>
    <cellStyle name="汇总 2 18 6 2 3" xfId="34094" xr:uid="{00000000-0005-0000-0000-0000A0760000}"/>
    <cellStyle name="汇总 2 18 6 3" xfId="1321" xr:uid="{00000000-0005-0000-0000-0000A1760000}"/>
    <cellStyle name="汇总 2 18 6 4" xfId="1332" xr:uid="{00000000-0005-0000-0000-0000A2760000}"/>
    <cellStyle name="汇总 2 18 6 5" xfId="1344" xr:uid="{00000000-0005-0000-0000-0000A3760000}"/>
    <cellStyle name="汇总 2 18 6 6" xfId="260" xr:uid="{00000000-0005-0000-0000-0000A4760000}"/>
    <cellStyle name="汇总 2 18 6 7" xfId="1363" xr:uid="{00000000-0005-0000-0000-0000A5760000}"/>
    <cellStyle name="汇总 2 18 6 8" xfId="13957" xr:uid="{00000000-0005-0000-0000-0000A6760000}"/>
    <cellStyle name="汇总 2 18 7" xfId="10640" xr:uid="{00000000-0005-0000-0000-0000A7760000}"/>
    <cellStyle name="汇总 2 18 8" xfId="26516" xr:uid="{00000000-0005-0000-0000-0000A8760000}"/>
    <cellStyle name="汇总 2 18 9" xfId="26520" xr:uid="{00000000-0005-0000-0000-0000A9760000}"/>
    <cellStyle name="汇总 2 18 9 2" xfId="34096" xr:uid="{00000000-0005-0000-0000-0000AA760000}"/>
    <cellStyle name="汇总 2 18 9 3" xfId="33829" xr:uid="{00000000-0005-0000-0000-0000AB760000}"/>
    <cellStyle name="汇总 2 19" xfId="34097" xr:uid="{00000000-0005-0000-0000-0000AC760000}"/>
    <cellStyle name="汇总 2 19 10" xfId="2969" xr:uid="{00000000-0005-0000-0000-0000AD760000}"/>
    <cellStyle name="汇总 2 19 11" xfId="34098" xr:uid="{00000000-0005-0000-0000-0000AE760000}"/>
    <cellStyle name="汇总 2 19 12" xfId="16735" xr:uid="{00000000-0005-0000-0000-0000AF760000}"/>
    <cellStyle name="汇总 2 19 13" xfId="16737" xr:uid="{00000000-0005-0000-0000-0000B0760000}"/>
    <cellStyle name="汇总 2 19 14" xfId="34099" xr:uid="{00000000-0005-0000-0000-0000B1760000}"/>
    <cellStyle name="汇总 2 19 2" xfId="7348" xr:uid="{00000000-0005-0000-0000-0000B2760000}"/>
    <cellStyle name="汇总 2 19 3" xfId="7355" xr:uid="{00000000-0005-0000-0000-0000B3760000}"/>
    <cellStyle name="汇总 2 19 4" xfId="19457" xr:uid="{00000000-0005-0000-0000-0000B4760000}"/>
    <cellStyle name="汇总 2 19 5" xfId="26527" xr:uid="{00000000-0005-0000-0000-0000B5760000}"/>
    <cellStyle name="汇总 2 19 5 10" xfId="34100" xr:uid="{00000000-0005-0000-0000-0000B6760000}"/>
    <cellStyle name="汇总 2 19 5 11" xfId="34101" xr:uid="{00000000-0005-0000-0000-0000B7760000}"/>
    <cellStyle name="汇总 2 19 5 2" xfId="34102" xr:uid="{00000000-0005-0000-0000-0000B8760000}"/>
    <cellStyle name="汇总 2 19 5 2 2" xfId="34103" xr:uid="{00000000-0005-0000-0000-0000B9760000}"/>
    <cellStyle name="汇总 2 19 5 2 2 2" xfId="4587" xr:uid="{00000000-0005-0000-0000-0000BA760000}"/>
    <cellStyle name="汇总 2 19 5 2 2 3" xfId="21217" xr:uid="{00000000-0005-0000-0000-0000BB760000}"/>
    <cellStyle name="汇总 2 19 5 2 3" xfId="31596" xr:uid="{00000000-0005-0000-0000-0000BC760000}"/>
    <cellStyle name="汇总 2 19 5 2 4" xfId="31598" xr:uid="{00000000-0005-0000-0000-0000BD760000}"/>
    <cellStyle name="汇总 2 19 5 2 5" xfId="34104" xr:uid="{00000000-0005-0000-0000-0000BE760000}"/>
    <cellStyle name="汇总 2 19 5 2 6" xfId="34105" xr:uid="{00000000-0005-0000-0000-0000BF760000}"/>
    <cellStyle name="汇总 2 19 5 2 7" xfId="34106" xr:uid="{00000000-0005-0000-0000-0000C0760000}"/>
    <cellStyle name="汇总 2 19 5 2 8" xfId="34107" xr:uid="{00000000-0005-0000-0000-0000C1760000}"/>
    <cellStyle name="汇总 2 19 5 3" xfId="34108" xr:uid="{00000000-0005-0000-0000-0000C2760000}"/>
    <cellStyle name="汇总 2 19 5 4" xfId="34109" xr:uid="{00000000-0005-0000-0000-0000C3760000}"/>
    <cellStyle name="汇总 2 19 5 5" xfId="30245" xr:uid="{00000000-0005-0000-0000-0000C4760000}"/>
    <cellStyle name="汇总 2 19 5 6" xfId="30247" xr:uid="{00000000-0005-0000-0000-0000C5760000}"/>
    <cellStyle name="汇总 2 19 5 6 2" xfId="9169" xr:uid="{00000000-0005-0000-0000-0000C6760000}"/>
    <cellStyle name="汇总 2 19 5 6 3" xfId="5243" xr:uid="{00000000-0005-0000-0000-0000C7760000}"/>
    <cellStyle name="汇总 2 19 5 7" xfId="30249" xr:uid="{00000000-0005-0000-0000-0000C8760000}"/>
    <cellStyle name="汇总 2 19 5 8" xfId="30251" xr:uid="{00000000-0005-0000-0000-0000C9760000}"/>
    <cellStyle name="汇总 2 19 5 9" xfId="30253" xr:uid="{00000000-0005-0000-0000-0000CA760000}"/>
    <cellStyle name="汇总 2 19 6" xfId="26529" xr:uid="{00000000-0005-0000-0000-0000CB760000}"/>
    <cellStyle name="汇总 2 19 6 2" xfId="11814" xr:uid="{00000000-0005-0000-0000-0000CC760000}"/>
    <cellStyle name="汇总 2 19 6 2 2" xfId="8611" xr:uid="{00000000-0005-0000-0000-0000CD760000}"/>
    <cellStyle name="汇总 2 19 6 2 3" xfId="11852" xr:uid="{00000000-0005-0000-0000-0000CE760000}"/>
    <cellStyle name="汇总 2 19 6 3" xfId="11869" xr:uid="{00000000-0005-0000-0000-0000CF760000}"/>
    <cellStyle name="汇总 2 19 6 4" xfId="11461" xr:uid="{00000000-0005-0000-0000-0000D0760000}"/>
    <cellStyle name="汇总 2 19 6 5" xfId="11471" xr:uid="{00000000-0005-0000-0000-0000D1760000}"/>
    <cellStyle name="汇总 2 19 6 6" xfId="11881" xr:uid="{00000000-0005-0000-0000-0000D2760000}"/>
    <cellStyle name="汇总 2 19 6 7" xfId="24928" xr:uid="{00000000-0005-0000-0000-0000D3760000}"/>
    <cellStyle name="汇总 2 19 6 8" xfId="24932" xr:uid="{00000000-0005-0000-0000-0000D4760000}"/>
    <cellStyle name="汇总 2 19 7" xfId="26002" xr:uid="{00000000-0005-0000-0000-0000D5760000}"/>
    <cellStyle name="汇总 2 19 8" xfId="26531" xr:uid="{00000000-0005-0000-0000-0000D6760000}"/>
    <cellStyle name="汇总 2 19 9" xfId="26533" xr:uid="{00000000-0005-0000-0000-0000D7760000}"/>
    <cellStyle name="汇总 2 19 9 2" xfId="34110" xr:uid="{00000000-0005-0000-0000-0000D8760000}"/>
    <cellStyle name="汇总 2 19 9 3" xfId="34111" xr:uid="{00000000-0005-0000-0000-0000D9760000}"/>
    <cellStyle name="汇总 2 2" xfId="34112" xr:uid="{00000000-0005-0000-0000-0000DA760000}"/>
    <cellStyle name="汇总 2 2 10" xfId="30137" xr:uid="{00000000-0005-0000-0000-0000DB760000}"/>
    <cellStyle name="汇总 2 2 11" xfId="25684" xr:uid="{00000000-0005-0000-0000-0000DC760000}"/>
    <cellStyle name="汇总 2 2 12" xfId="34113" xr:uid="{00000000-0005-0000-0000-0000DD760000}"/>
    <cellStyle name="汇总 2 2 13" xfId="34114" xr:uid="{00000000-0005-0000-0000-0000DE760000}"/>
    <cellStyle name="汇总 2 2 14" xfId="34115" xr:uid="{00000000-0005-0000-0000-0000DF760000}"/>
    <cellStyle name="汇总 2 2 2" xfId="34116" xr:uid="{00000000-0005-0000-0000-0000E0760000}"/>
    <cellStyle name="汇总 2 2 3" xfId="34117" xr:uid="{00000000-0005-0000-0000-0000E1760000}"/>
    <cellStyle name="汇总 2 2 4" xfId="34118" xr:uid="{00000000-0005-0000-0000-0000E2760000}"/>
    <cellStyle name="汇总 2 2 5" xfId="34119" xr:uid="{00000000-0005-0000-0000-0000E3760000}"/>
    <cellStyle name="汇总 2 2 6" xfId="34120" xr:uid="{00000000-0005-0000-0000-0000E4760000}"/>
    <cellStyle name="汇总 2 2 7" xfId="34121" xr:uid="{00000000-0005-0000-0000-0000E5760000}"/>
    <cellStyle name="汇总 2 2 8" xfId="34122" xr:uid="{00000000-0005-0000-0000-0000E6760000}"/>
    <cellStyle name="汇总 2 2 9" xfId="17649" xr:uid="{00000000-0005-0000-0000-0000E7760000}"/>
    <cellStyle name="汇总 2 20" xfId="33114" xr:uid="{00000000-0005-0000-0000-0000E8760000}"/>
    <cellStyle name="汇总 2 20 10" xfId="14558" xr:uid="{00000000-0005-0000-0000-0000E9760000}"/>
    <cellStyle name="汇总 2 20 11" xfId="14570" xr:uid="{00000000-0005-0000-0000-0000EA760000}"/>
    <cellStyle name="汇总 2 20 12" xfId="14572" xr:uid="{00000000-0005-0000-0000-0000EB760000}"/>
    <cellStyle name="汇总 2 20 13" xfId="14574" xr:uid="{00000000-0005-0000-0000-0000EC760000}"/>
    <cellStyle name="汇总 2 20 14" xfId="34123" xr:uid="{00000000-0005-0000-0000-0000ED760000}"/>
    <cellStyle name="汇总 2 20 2" xfId="9325" xr:uid="{00000000-0005-0000-0000-0000EE760000}"/>
    <cellStyle name="汇总 2 20 3" xfId="34124" xr:uid="{00000000-0005-0000-0000-0000EF760000}"/>
    <cellStyle name="汇总 2 20 4" xfId="34125" xr:uid="{00000000-0005-0000-0000-0000F0760000}"/>
    <cellStyle name="汇总 2 20 5" xfId="32730" xr:uid="{00000000-0005-0000-0000-0000F1760000}"/>
    <cellStyle name="汇总 2 20 5 10" xfId="11335" xr:uid="{00000000-0005-0000-0000-0000F2760000}"/>
    <cellStyle name="汇总 2 20 5 11" xfId="11341" xr:uid="{00000000-0005-0000-0000-0000F3760000}"/>
    <cellStyle name="汇总 2 20 5 2" xfId="34126" xr:uid="{00000000-0005-0000-0000-0000F4760000}"/>
    <cellStyle name="汇总 2 20 5 2 2" xfId="10464" xr:uid="{00000000-0005-0000-0000-0000F5760000}"/>
    <cellStyle name="汇总 2 20 5 2 2 2" xfId="5822" xr:uid="{00000000-0005-0000-0000-0000F6760000}"/>
    <cellStyle name="汇总 2 20 5 2 2 3" xfId="5829" xr:uid="{00000000-0005-0000-0000-0000F7760000}"/>
    <cellStyle name="汇总 2 20 5 2 3" xfId="10468" xr:uid="{00000000-0005-0000-0000-0000F8760000}"/>
    <cellStyle name="汇总 2 20 5 2 4" xfId="10472" xr:uid="{00000000-0005-0000-0000-0000F9760000}"/>
    <cellStyle name="汇总 2 20 5 2 5" xfId="23659" xr:uid="{00000000-0005-0000-0000-0000FA760000}"/>
    <cellStyle name="汇总 2 20 5 2 6" xfId="23662" xr:uid="{00000000-0005-0000-0000-0000FB760000}"/>
    <cellStyle name="汇总 2 20 5 2 7" xfId="23666" xr:uid="{00000000-0005-0000-0000-0000FC760000}"/>
    <cellStyle name="汇总 2 20 5 2 8" xfId="23669" xr:uid="{00000000-0005-0000-0000-0000FD760000}"/>
    <cellStyle name="汇总 2 20 5 3" xfId="34127" xr:uid="{00000000-0005-0000-0000-0000FE760000}"/>
    <cellStyle name="汇总 2 20 5 4" xfId="25580" xr:uid="{00000000-0005-0000-0000-0000FF760000}"/>
    <cellStyle name="汇总 2 20 5 5" xfId="34128" xr:uid="{00000000-0005-0000-0000-000000770000}"/>
    <cellStyle name="汇总 2 20 5 6" xfId="34129" xr:uid="{00000000-0005-0000-0000-000001770000}"/>
    <cellStyle name="汇总 2 20 5 6 2" xfId="34130" xr:uid="{00000000-0005-0000-0000-000002770000}"/>
    <cellStyle name="汇总 2 20 5 6 3" xfId="34131" xr:uid="{00000000-0005-0000-0000-000003770000}"/>
    <cellStyle name="汇总 2 20 5 7" xfId="16156" xr:uid="{00000000-0005-0000-0000-000004770000}"/>
    <cellStyle name="汇总 2 20 5 8" xfId="14195" xr:uid="{00000000-0005-0000-0000-000005770000}"/>
    <cellStyle name="汇总 2 20 5 9" xfId="14210" xr:uid="{00000000-0005-0000-0000-000006770000}"/>
    <cellStyle name="汇总 2 20 6" xfId="32733" xr:uid="{00000000-0005-0000-0000-000007770000}"/>
    <cellStyle name="汇总 2 20 6 2" xfId="15977" xr:uid="{00000000-0005-0000-0000-000008770000}"/>
    <cellStyle name="汇总 2 20 6 2 2" xfId="34133" xr:uid="{00000000-0005-0000-0000-000009770000}"/>
    <cellStyle name="汇总 2 20 6 2 3" xfId="32006" xr:uid="{00000000-0005-0000-0000-00000A770000}"/>
    <cellStyle name="汇总 2 20 6 3" xfId="34134" xr:uid="{00000000-0005-0000-0000-00000B770000}"/>
    <cellStyle name="汇总 2 20 6 4" xfId="34132" xr:uid="{00000000-0005-0000-0000-00000C770000}"/>
    <cellStyle name="汇总 2 20 6 5" xfId="32004" xr:uid="{00000000-0005-0000-0000-00000D770000}"/>
    <cellStyle name="汇总 2 20 6 6" xfId="23685" xr:uid="{00000000-0005-0000-0000-00000E770000}"/>
    <cellStyle name="汇总 2 20 6 7" xfId="23693" xr:uid="{00000000-0005-0000-0000-00000F770000}"/>
    <cellStyle name="汇总 2 20 6 8" xfId="23696" xr:uid="{00000000-0005-0000-0000-000010770000}"/>
    <cellStyle name="汇总 2 20 7" xfId="34135" xr:uid="{00000000-0005-0000-0000-000011770000}"/>
    <cellStyle name="汇总 2 20 8" xfId="32673" xr:uid="{00000000-0005-0000-0000-000012770000}"/>
    <cellStyle name="汇总 2 20 9" xfId="25964" xr:uid="{00000000-0005-0000-0000-000013770000}"/>
    <cellStyle name="汇总 2 20 9 2" xfId="13558" xr:uid="{00000000-0005-0000-0000-000014770000}"/>
    <cellStyle name="汇总 2 20 9 3" xfId="13560" xr:uid="{00000000-0005-0000-0000-000015770000}"/>
    <cellStyle name="汇总 2 3" xfId="34136" xr:uid="{00000000-0005-0000-0000-000016770000}"/>
    <cellStyle name="汇总 2 3 10" xfId="34137" xr:uid="{00000000-0005-0000-0000-000017770000}"/>
    <cellStyle name="汇总 2 3 11" xfId="34138" xr:uid="{00000000-0005-0000-0000-000018770000}"/>
    <cellStyle name="汇总 2 3 12" xfId="34139" xr:uid="{00000000-0005-0000-0000-000019770000}"/>
    <cellStyle name="汇总 2 3 13" xfId="33601" xr:uid="{00000000-0005-0000-0000-00001A770000}"/>
    <cellStyle name="汇总 2 3 14" xfId="32057" xr:uid="{00000000-0005-0000-0000-00001B770000}"/>
    <cellStyle name="汇总 2 3 2" xfId="32281" xr:uid="{00000000-0005-0000-0000-00001C770000}"/>
    <cellStyle name="汇总 2 3 3" xfId="32283" xr:uid="{00000000-0005-0000-0000-00001D770000}"/>
    <cellStyle name="汇总 2 3 4" xfId="34140" xr:uid="{00000000-0005-0000-0000-00001E770000}"/>
    <cellStyle name="汇总 2 3 5" xfId="34141" xr:uid="{00000000-0005-0000-0000-00001F770000}"/>
    <cellStyle name="汇总 2 3 6" xfId="34142" xr:uid="{00000000-0005-0000-0000-000020770000}"/>
    <cellStyle name="汇总 2 3 7" xfId="34143" xr:uid="{00000000-0005-0000-0000-000021770000}"/>
    <cellStyle name="汇总 2 3 8" xfId="34144" xr:uid="{00000000-0005-0000-0000-000022770000}"/>
    <cellStyle name="汇总 2 3 9" xfId="1242" xr:uid="{00000000-0005-0000-0000-000023770000}"/>
    <cellStyle name="汇总 2 4" xfId="18078" xr:uid="{00000000-0005-0000-0000-000024770000}"/>
    <cellStyle name="汇总 2 4 10" xfId="34145" xr:uid="{00000000-0005-0000-0000-000025770000}"/>
    <cellStyle name="汇总 2 4 11" xfId="34146" xr:uid="{00000000-0005-0000-0000-000026770000}"/>
    <cellStyle name="汇总 2 4 12" xfId="34147" xr:uid="{00000000-0005-0000-0000-000027770000}"/>
    <cellStyle name="汇总 2 4 13" xfId="34148" xr:uid="{00000000-0005-0000-0000-000028770000}"/>
    <cellStyle name="汇总 2 4 14" xfId="34149" xr:uid="{00000000-0005-0000-0000-000029770000}"/>
    <cellStyle name="汇总 2 4 2" xfId="34150" xr:uid="{00000000-0005-0000-0000-00002A770000}"/>
    <cellStyle name="汇总 2 4 3" xfId="33290" xr:uid="{00000000-0005-0000-0000-00002B770000}"/>
    <cellStyle name="汇总 2 4 4" xfId="33292" xr:uid="{00000000-0005-0000-0000-00002C770000}"/>
    <cellStyle name="汇总 2 4 5" xfId="34151" xr:uid="{00000000-0005-0000-0000-00002D770000}"/>
    <cellStyle name="汇总 2 4 6" xfId="9499" xr:uid="{00000000-0005-0000-0000-00002E770000}"/>
    <cellStyle name="汇总 2 4 7" xfId="9501" xr:uid="{00000000-0005-0000-0000-00002F770000}"/>
    <cellStyle name="汇总 2 4 8" xfId="9503" xr:uid="{00000000-0005-0000-0000-000030770000}"/>
    <cellStyle name="汇总 2 4 9" xfId="9224" xr:uid="{00000000-0005-0000-0000-000031770000}"/>
    <cellStyle name="汇总 2 5" xfId="18082" xr:uid="{00000000-0005-0000-0000-000032770000}"/>
    <cellStyle name="汇总 2 6" xfId="18086" xr:uid="{00000000-0005-0000-0000-000033770000}"/>
    <cellStyle name="汇总 2 7" xfId="18089" xr:uid="{00000000-0005-0000-0000-000034770000}"/>
    <cellStyle name="汇总 2 8" xfId="18092" xr:uid="{00000000-0005-0000-0000-000035770000}"/>
    <cellStyle name="汇总 2 9" xfId="34152" xr:uid="{00000000-0005-0000-0000-000036770000}"/>
    <cellStyle name="汇总 3" xfId="34153" xr:uid="{00000000-0005-0000-0000-000037770000}"/>
    <cellStyle name="汇总 3 10" xfId="17968" xr:uid="{00000000-0005-0000-0000-000038770000}"/>
    <cellStyle name="汇总 3 11" xfId="17981" xr:uid="{00000000-0005-0000-0000-000039770000}"/>
    <cellStyle name="汇总 3 12" xfId="17983" xr:uid="{00000000-0005-0000-0000-00003A770000}"/>
    <cellStyle name="汇总 3 13" xfId="17985" xr:uid="{00000000-0005-0000-0000-00003B770000}"/>
    <cellStyle name="汇总 3 14" xfId="34154" xr:uid="{00000000-0005-0000-0000-00003C770000}"/>
    <cellStyle name="汇总 3 15" xfId="34155" xr:uid="{00000000-0005-0000-0000-00003D770000}"/>
    <cellStyle name="汇总 3 16" xfId="34157" xr:uid="{00000000-0005-0000-0000-00003E770000}"/>
    <cellStyle name="汇总 3 17" xfId="33050" xr:uid="{00000000-0005-0000-0000-00003F770000}"/>
    <cellStyle name="汇总 3 17 10" xfId="30592" xr:uid="{00000000-0005-0000-0000-000040770000}"/>
    <cellStyle name="汇总 3 17 11" xfId="15916" xr:uid="{00000000-0005-0000-0000-000041770000}"/>
    <cellStyle name="汇总 3 17 12" xfId="15919" xr:uid="{00000000-0005-0000-0000-000042770000}"/>
    <cellStyle name="汇总 3 17 13" xfId="34158" xr:uid="{00000000-0005-0000-0000-000043770000}"/>
    <cellStyle name="汇总 3 17 14" xfId="34159" xr:uid="{00000000-0005-0000-0000-000044770000}"/>
    <cellStyle name="汇总 3 17 2" xfId="25334" xr:uid="{00000000-0005-0000-0000-000045770000}"/>
    <cellStyle name="汇总 3 17 2 2" xfId="25342" xr:uid="{00000000-0005-0000-0000-000046770000}"/>
    <cellStyle name="汇总 3 17 3" xfId="34160" xr:uid="{00000000-0005-0000-0000-000047770000}"/>
    <cellStyle name="汇总 3 17 4" xfId="28083" xr:uid="{00000000-0005-0000-0000-000048770000}"/>
    <cellStyle name="汇总 3 17 5" xfId="13364" xr:uid="{00000000-0005-0000-0000-000049770000}"/>
    <cellStyle name="汇总 3 17 5 10" xfId="27805" xr:uid="{00000000-0005-0000-0000-00004A770000}"/>
    <cellStyle name="汇总 3 17 5 11" xfId="27808" xr:uid="{00000000-0005-0000-0000-00004B770000}"/>
    <cellStyle name="汇总 3 17 5 2" xfId="34161" xr:uid="{00000000-0005-0000-0000-00004C770000}"/>
    <cellStyle name="汇总 3 17 5 2 2" xfId="32912" xr:uid="{00000000-0005-0000-0000-00004D770000}"/>
    <cellStyle name="汇总 3 17 5 2 2 2" xfId="34162" xr:uid="{00000000-0005-0000-0000-00004E770000}"/>
    <cellStyle name="汇总 3 17 5 2 2 3" xfId="34163" xr:uid="{00000000-0005-0000-0000-00004F770000}"/>
    <cellStyle name="汇总 3 17 5 2 3" xfId="6670" xr:uid="{00000000-0005-0000-0000-000050770000}"/>
    <cellStyle name="汇总 3 17 5 2 4" xfId="6676" xr:uid="{00000000-0005-0000-0000-000051770000}"/>
    <cellStyle name="汇总 3 17 5 2 5" xfId="6682" xr:uid="{00000000-0005-0000-0000-000052770000}"/>
    <cellStyle name="汇总 3 17 5 2 6" xfId="6688" xr:uid="{00000000-0005-0000-0000-000053770000}"/>
    <cellStyle name="汇总 3 17 5 2 7" xfId="11108" xr:uid="{00000000-0005-0000-0000-000054770000}"/>
    <cellStyle name="汇总 3 17 5 2 8" xfId="11111" xr:uid="{00000000-0005-0000-0000-000055770000}"/>
    <cellStyle name="汇总 3 17 5 3" xfId="34164" xr:uid="{00000000-0005-0000-0000-000056770000}"/>
    <cellStyle name="汇总 3 17 5 4" xfId="34165" xr:uid="{00000000-0005-0000-0000-000057770000}"/>
    <cellStyle name="汇总 3 17 5 5" xfId="34166" xr:uid="{00000000-0005-0000-0000-000058770000}"/>
    <cellStyle name="汇总 3 17 5 6" xfId="34167" xr:uid="{00000000-0005-0000-0000-000059770000}"/>
    <cellStyle name="汇总 3 17 5 6 2" xfId="7962" xr:uid="{00000000-0005-0000-0000-00005A770000}"/>
    <cellStyle name="汇总 3 17 5 6 3" xfId="7969" xr:uid="{00000000-0005-0000-0000-00005B770000}"/>
    <cellStyle name="汇总 3 17 5 7" xfId="34168" xr:uid="{00000000-0005-0000-0000-00005C770000}"/>
    <cellStyle name="汇总 3 17 5 8" xfId="34169" xr:uid="{00000000-0005-0000-0000-00005D770000}"/>
    <cellStyle name="汇总 3 17 5 9" xfId="34170" xr:uid="{00000000-0005-0000-0000-00005E770000}"/>
    <cellStyle name="汇总 3 17 6" xfId="13450" xr:uid="{00000000-0005-0000-0000-00005F770000}"/>
    <cellStyle name="汇总 3 17 6 2" xfId="34172" xr:uid="{00000000-0005-0000-0000-000060770000}"/>
    <cellStyle name="汇总 3 17 6 2 2" xfId="34173" xr:uid="{00000000-0005-0000-0000-000061770000}"/>
    <cellStyle name="汇总 3 17 6 2 3" xfId="34174" xr:uid="{00000000-0005-0000-0000-000062770000}"/>
    <cellStyle name="汇总 3 17 6 3" xfId="34176" xr:uid="{00000000-0005-0000-0000-000063770000}"/>
    <cellStyle name="汇总 3 17 6 4" xfId="24651" xr:uid="{00000000-0005-0000-0000-000064770000}"/>
    <cellStyle name="汇总 3 17 6 5" xfId="34178" xr:uid="{00000000-0005-0000-0000-000065770000}"/>
    <cellStyle name="汇总 3 17 6 6" xfId="34179" xr:uid="{00000000-0005-0000-0000-000066770000}"/>
    <cellStyle name="汇总 3 17 6 7" xfId="34180" xr:uid="{00000000-0005-0000-0000-000067770000}"/>
    <cellStyle name="汇总 3 17 6 8" xfId="34181" xr:uid="{00000000-0005-0000-0000-000068770000}"/>
    <cellStyle name="汇总 3 17 7" xfId="13502" xr:uid="{00000000-0005-0000-0000-000069770000}"/>
    <cellStyle name="汇总 3 17 8" xfId="13537" xr:uid="{00000000-0005-0000-0000-00006A770000}"/>
    <cellStyle name="汇总 3 17 9" xfId="14319" xr:uid="{00000000-0005-0000-0000-00006B770000}"/>
    <cellStyle name="汇总 3 17 9 2" xfId="34182" xr:uid="{00000000-0005-0000-0000-00006C770000}"/>
    <cellStyle name="汇总 3 17 9 3" xfId="34183" xr:uid="{00000000-0005-0000-0000-00006D770000}"/>
    <cellStyle name="汇总 3 18" xfId="33052" xr:uid="{00000000-0005-0000-0000-00006E770000}"/>
    <cellStyle name="汇总 3 18 10" xfId="20789" xr:uid="{00000000-0005-0000-0000-00006F770000}"/>
    <cellStyle name="汇总 3 18 11" xfId="20791" xr:uid="{00000000-0005-0000-0000-000070770000}"/>
    <cellStyle name="汇总 3 18 12" xfId="34184" xr:uid="{00000000-0005-0000-0000-000071770000}"/>
    <cellStyle name="汇总 3 18 13" xfId="34185" xr:uid="{00000000-0005-0000-0000-000072770000}"/>
    <cellStyle name="汇总 3 18 14" xfId="34186" xr:uid="{00000000-0005-0000-0000-000073770000}"/>
    <cellStyle name="汇总 3 18 2" xfId="19539" xr:uid="{00000000-0005-0000-0000-000074770000}"/>
    <cellStyle name="汇总 3 18 3" xfId="19544" xr:uid="{00000000-0005-0000-0000-000075770000}"/>
    <cellStyle name="汇总 3 18 4" xfId="19546" xr:uid="{00000000-0005-0000-0000-000076770000}"/>
    <cellStyle name="汇总 3 18 5" xfId="11854" xr:uid="{00000000-0005-0000-0000-000077770000}"/>
    <cellStyle name="汇总 3 18 5 10" xfId="34187" xr:uid="{00000000-0005-0000-0000-000078770000}"/>
    <cellStyle name="汇总 3 18 5 11" xfId="34188" xr:uid="{00000000-0005-0000-0000-000079770000}"/>
    <cellStyle name="汇总 3 18 5 2" xfId="34189" xr:uid="{00000000-0005-0000-0000-00007A770000}"/>
    <cellStyle name="汇总 3 18 5 2 2" xfId="34190" xr:uid="{00000000-0005-0000-0000-00007B770000}"/>
    <cellStyle name="汇总 3 18 5 2 2 2" xfId="34192" xr:uid="{00000000-0005-0000-0000-00007C770000}"/>
    <cellStyle name="汇总 3 18 5 2 2 3" xfId="34194" xr:uid="{00000000-0005-0000-0000-00007D770000}"/>
    <cellStyle name="汇总 3 18 5 2 3" xfId="34195" xr:uid="{00000000-0005-0000-0000-00007E770000}"/>
    <cellStyle name="汇总 3 18 5 2 4" xfId="34196" xr:uid="{00000000-0005-0000-0000-00007F770000}"/>
    <cellStyle name="汇总 3 18 5 2 5" xfId="34197" xr:uid="{00000000-0005-0000-0000-000080770000}"/>
    <cellStyle name="汇总 3 18 5 2 6" xfId="34198" xr:uid="{00000000-0005-0000-0000-000081770000}"/>
    <cellStyle name="汇总 3 18 5 2 7" xfId="27467" xr:uid="{00000000-0005-0000-0000-000082770000}"/>
    <cellStyle name="汇总 3 18 5 2 8" xfId="27469" xr:uid="{00000000-0005-0000-0000-000083770000}"/>
    <cellStyle name="汇总 3 18 5 3" xfId="9716" xr:uid="{00000000-0005-0000-0000-000084770000}"/>
    <cellStyle name="汇总 3 18 5 4" xfId="9722" xr:uid="{00000000-0005-0000-0000-000085770000}"/>
    <cellStyle name="汇总 3 18 5 5" xfId="34200" xr:uid="{00000000-0005-0000-0000-000086770000}"/>
    <cellStyle name="汇总 3 18 5 6" xfId="34201" xr:uid="{00000000-0005-0000-0000-000087770000}"/>
    <cellStyle name="汇总 3 18 5 6 2" xfId="34203" xr:uid="{00000000-0005-0000-0000-000088770000}"/>
    <cellStyle name="汇总 3 18 5 6 3" xfId="34205" xr:uid="{00000000-0005-0000-0000-000089770000}"/>
    <cellStyle name="汇总 3 18 5 7" xfId="34206" xr:uid="{00000000-0005-0000-0000-00008A770000}"/>
    <cellStyle name="汇总 3 18 5 8" xfId="34207" xr:uid="{00000000-0005-0000-0000-00008B770000}"/>
    <cellStyle name="汇总 3 18 5 9" xfId="34208" xr:uid="{00000000-0005-0000-0000-00008C770000}"/>
    <cellStyle name="汇总 3 18 6" xfId="14424" xr:uid="{00000000-0005-0000-0000-00008D770000}"/>
    <cellStyle name="汇总 3 18 6 2" xfId="16233" xr:uid="{00000000-0005-0000-0000-00008E770000}"/>
    <cellStyle name="汇总 3 18 6 2 2" xfId="16334" xr:uid="{00000000-0005-0000-0000-00008F770000}"/>
    <cellStyle name="汇总 3 18 6 2 3" xfId="13788" xr:uid="{00000000-0005-0000-0000-000090770000}"/>
    <cellStyle name="汇总 3 18 6 3" xfId="13370" xr:uid="{00000000-0005-0000-0000-000091770000}"/>
    <cellStyle name="汇总 3 18 6 4" xfId="13377" xr:uid="{00000000-0005-0000-0000-000092770000}"/>
    <cellStyle name="汇总 3 18 6 5" xfId="13383" xr:uid="{00000000-0005-0000-0000-000093770000}"/>
    <cellStyle name="汇总 3 18 6 6" xfId="13390" xr:uid="{00000000-0005-0000-0000-000094770000}"/>
    <cellStyle name="汇总 3 18 6 7" xfId="13394" xr:uid="{00000000-0005-0000-0000-000095770000}"/>
    <cellStyle name="汇总 3 18 6 8" xfId="14388" xr:uid="{00000000-0005-0000-0000-000096770000}"/>
    <cellStyle name="汇总 3 18 7" xfId="14427" xr:uid="{00000000-0005-0000-0000-000097770000}"/>
    <cellStyle name="汇总 3 18 8" xfId="14430" xr:uid="{00000000-0005-0000-0000-000098770000}"/>
    <cellStyle name="汇总 3 18 9" xfId="14433" xr:uid="{00000000-0005-0000-0000-000099770000}"/>
    <cellStyle name="汇总 3 18 9 2" xfId="34209" xr:uid="{00000000-0005-0000-0000-00009A770000}"/>
    <cellStyle name="汇总 3 18 9 3" xfId="34210" xr:uid="{00000000-0005-0000-0000-00009B770000}"/>
    <cellStyle name="汇总 3 19" xfId="33054" xr:uid="{00000000-0005-0000-0000-00009C770000}"/>
    <cellStyle name="汇总 3 19 10" xfId="31149" xr:uid="{00000000-0005-0000-0000-00009D770000}"/>
    <cellStyle name="汇总 3 19 11" xfId="31156" xr:uid="{00000000-0005-0000-0000-00009E770000}"/>
    <cellStyle name="汇总 3 19 12" xfId="31159" xr:uid="{00000000-0005-0000-0000-00009F770000}"/>
    <cellStyle name="汇总 3 19 13" xfId="31161" xr:uid="{00000000-0005-0000-0000-0000A0770000}"/>
    <cellStyle name="汇总 3 19 14" xfId="31163" xr:uid="{00000000-0005-0000-0000-0000A1770000}"/>
    <cellStyle name="汇总 3 19 2" xfId="8293" xr:uid="{00000000-0005-0000-0000-0000A2770000}"/>
    <cellStyle name="汇总 3 19 3" xfId="8300" xr:uid="{00000000-0005-0000-0000-0000A3770000}"/>
    <cellStyle name="汇总 3 19 4" xfId="19549" xr:uid="{00000000-0005-0000-0000-0000A4770000}"/>
    <cellStyle name="汇总 3 19 5" xfId="11597" xr:uid="{00000000-0005-0000-0000-0000A5770000}"/>
    <cellStyle name="汇总 3 19 5 10" xfId="34212" xr:uid="{00000000-0005-0000-0000-0000A6770000}"/>
    <cellStyle name="汇总 3 19 5 11" xfId="26106" xr:uid="{00000000-0005-0000-0000-0000A7770000}"/>
    <cellStyle name="汇总 3 19 5 2" xfId="4126" xr:uid="{00000000-0005-0000-0000-0000A8770000}"/>
    <cellStyle name="汇总 3 19 5 2 2" xfId="28574" xr:uid="{00000000-0005-0000-0000-0000A9770000}"/>
    <cellStyle name="汇总 3 19 5 2 2 2" xfId="4545" xr:uid="{00000000-0005-0000-0000-0000AA770000}"/>
    <cellStyle name="汇总 3 19 5 2 2 3" xfId="17589" xr:uid="{00000000-0005-0000-0000-0000AB770000}"/>
    <cellStyle name="汇总 3 19 5 2 3" xfId="28577" xr:uid="{00000000-0005-0000-0000-0000AC770000}"/>
    <cellStyle name="汇总 3 19 5 2 4" xfId="32852" xr:uid="{00000000-0005-0000-0000-0000AD770000}"/>
    <cellStyle name="汇总 3 19 5 2 5" xfId="32854" xr:uid="{00000000-0005-0000-0000-0000AE770000}"/>
    <cellStyle name="汇总 3 19 5 2 6" xfId="32856" xr:uid="{00000000-0005-0000-0000-0000AF770000}"/>
    <cellStyle name="汇总 3 19 5 2 7" xfId="34213" xr:uid="{00000000-0005-0000-0000-0000B0770000}"/>
    <cellStyle name="汇总 3 19 5 2 8" xfId="34214" xr:uid="{00000000-0005-0000-0000-0000B1770000}"/>
    <cellStyle name="汇总 3 19 5 3" xfId="4134" xr:uid="{00000000-0005-0000-0000-0000B2770000}"/>
    <cellStyle name="汇总 3 19 5 4" xfId="34215" xr:uid="{00000000-0005-0000-0000-0000B3770000}"/>
    <cellStyle name="汇总 3 19 5 5" xfId="34216" xr:uid="{00000000-0005-0000-0000-0000B4770000}"/>
    <cellStyle name="汇总 3 19 5 6" xfId="34217" xr:uid="{00000000-0005-0000-0000-0000B5770000}"/>
    <cellStyle name="汇总 3 19 5 6 2" xfId="28514" xr:uid="{00000000-0005-0000-0000-0000B6770000}"/>
    <cellStyle name="汇总 3 19 5 6 3" xfId="28516" xr:uid="{00000000-0005-0000-0000-0000B7770000}"/>
    <cellStyle name="汇总 3 19 5 7" xfId="34218" xr:uid="{00000000-0005-0000-0000-0000B8770000}"/>
    <cellStyle name="汇总 3 19 5 8" xfId="34219" xr:uid="{00000000-0005-0000-0000-0000B9770000}"/>
    <cellStyle name="汇总 3 19 5 9" xfId="34220" xr:uid="{00000000-0005-0000-0000-0000BA770000}"/>
    <cellStyle name="汇总 3 19 6" xfId="6300" xr:uid="{00000000-0005-0000-0000-0000BB770000}"/>
    <cellStyle name="汇总 3 19 6 2" xfId="15085" xr:uid="{00000000-0005-0000-0000-0000BC770000}"/>
    <cellStyle name="汇总 3 19 6 2 2" xfId="34221" xr:uid="{00000000-0005-0000-0000-0000BD770000}"/>
    <cellStyle name="汇总 3 19 6 2 3" xfId="30677" xr:uid="{00000000-0005-0000-0000-0000BE770000}"/>
    <cellStyle name="汇总 3 19 6 3" xfId="15089" xr:uid="{00000000-0005-0000-0000-0000BF770000}"/>
    <cellStyle name="汇总 3 19 6 4" xfId="34222" xr:uid="{00000000-0005-0000-0000-0000C0770000}"/>
    <cellStyle name="汇总 3 19 6 5" xfId="34223" xr:uid="{00000000-0005-0000-0000-0000C1770000}"/>
    <cellStyle name="汇总 3 19 6 6" xfId="34224" xr:uid="{00000000-0005-0000-0000-0000C2770000}"/>
    <cellStyle name="汇总 3 19 6 7" xfId="34225" xr:uid="{00000000-0005-0000-0000-0000C3770000}"/>
    <cellStyle name="汇总 3 19 6 8" xfId="34226" xr:uid="{00000000-0005-0000-0000-0000C4770000}"/>
    <cellStyle name="汇总 3 19 7" xfId="6305" xr:uid="{00000000-0005-0000-0000-0000C5770000}"/>
    <cellStyle name="汇总 3 19 8" xfId="6698" xr:uid="{00000000-0005-0000-0000-0000C6770000}"/>
    <cellStyle name="汇总 3 19 9" xfId="6706" xr:uid="{00000000-0005-0000-0000-0000C7770000}"/>
    <cellStyle name="汇总 3 19 9 2" xfId="34227" xr:uid="{00000000-0005-0000-0000-0000C8770000}"/>
    <cellStyle name="汇总 3 19 9 3" xfId="34228" xr:uid="{00000000-0005-0000-0000-0000C9770000}"/>
    <cellStyle name="汇总 3 2" xfId="32999" xr:uid="{00000000-0005-0000-0000-0000CA770000}"/>
    <cellStyle name="汇总 3 2 10" xfId="30330" xr:uid="{00000000-0005-0000-0000-0000CB770000}"/>
    <cellStyle name="汇总 3 2 11" xfId="25686" xr:uid="{00000000-0005-0000-0000-0000CC770000}"/>
    <cellStyle name="汇总 3 2 12" xfId="34229" xr:uid="{00000000-0005-0000-0000-0000CD770000}"/>
    <cellStyle name="汇总 3 2 13" xfId="34230" xr:uid="{00000000-0005-0000-0000-0000CE770000}"/>
    <cellStyle name="汇总 3 2 14" xfId="34231" xr:uid="{00000000-0005-0000-0000-0000CF770000}"/>
    <cellStyle name="汇总 3 2 2" xfId="11192" xr:uid="{00000000-0005-0000-0000-0000D0770000}"/>
    <cellStyle name="汇总 3 2 3" xfId="1027" xr:uid="{00000000-0005-0000-0000-0000D1770000}"/>
    <cellStyle name="汇总 3 2 4" xfId="1032" xr:uid="{00000000-0005-0000-0000-0000D2770000}"/>
    <cellStyle name="汇总 3 2 5" xfId="34232" xr:uid="{00000000-0005-0000-0000-0000D3770000}"/>
    <cellStyle name="汇总 3 2 6" xfId="34233" xr:uid="{00000000-0005-0000-0000-0000D4770000}"/>
    <cellStyle name="汇总 3 2 7" xfId="30192" xr:uid="{00000000-0005-0000-0000-0000D5770000}"/>
    <cellStyle name="汇总 3 2 8" xfId="30194" xr:uid="{00000000-0005-0000-0000-0000D6770000}"/>
    <cellStyle name="汇总 3 2 9" xfId="34234" xr:uid="{00000000-0005-0000-0000-0000D7770000}"/>
    <cellStyle name="汇总 3 20" xfId="34156" xr:uid="{00000000-0005-0000-0000-0000D8770000}"/>
    <cellStyle name="汇总 3 20 10" xfId="34235" xr:uid="{00000000-0005-0000-0000-0000D9770000}"/>
    <cellStyle name="汇总 3 20 11" xfId="34236" xr:uid="{00000000-0005-0000-0000-0000DA770000}"/>
    <cellStyle name="汇总 3 20 12" xfId="34237" xr:uid="{00000000-0005-0000-0000-0000DB770000}"/>
    <cellStyle name="汇总 3 20 13" xfId="21662" xr:uid="{00000000-0005-0000-0000-0000DC770000}"/>
    <cellStyle name="汇总 3 20 14" xfId="21671" xr:uid="{00000000-0005-0000-0000-0000DD770000}"/>
    <cellStyle name="汇总 3 20 2" xfId="3175" xr:uid="{00000000-0005-0000-0000-0000DE770000}"/>
    <cellStyle name="汇总 3 20 3" xfId="3179" xr:uid="{00000000-0005-0000-0000-0000DF770000}"/>
    <cellStyle name="汇总 3 20 4" xfId="503" xr:uid="{00000000-0005-0000-0000-0000E0770000}"/>
    <cellStyle name="汇总 3 20 5" xfId="10757" xr:uid="{00000000-0005-0000-0000-0000E1770000}"/>
    <cellStyle name="汇总 3 20 5 10" xfId="33217" xr:uid="{00000000-0005-0000-0000-0000E2770000}"/>
    <cellStyle name="汇总 3 20 5 11" xfId="33226" xr:uid="{00000000-0005-0000-0000-0000E3770000}"/>
    <cellStyle name="汇总 3 20 5 2" xfId="34239" xr:uid="{00000000-0005-0000-0000-0000E4770000}"/>
    <cellStyle name="汇总 3 20 5 2 2" xfId="34241" xr:uid="{00000000-0005-0000-0000-0000E5770000}"/>
    <cellStyle name="汇总 3 20 5 2 2 2" xfId="34242" xr:uid="{00000000-0005-0000-0000-0000E6770000}"/>
    <cellStyle name="汇总 3 20 5 2 2 3" xfId="34243" xr:uid="{00000000-0005-0000-0000-0000E7770000}"/>
    <cellStyle name="汇总 3 20 5 2 3" xfId="34245" xr:uid="{00000000-0005-0000-0000-0000E8770000}"/>
    <cellStyle name="汇总 3 20 5 2 4" xfId="24196" xr:uid="{00000000-0005-0000-0000-0000E9770000}"/>
    <cellStyle name="汇总 3 20 5 2 5" xfId="24205" xr:uid="{00000000-0005-0000-0000-0000EA770000}"/>
    <cellStyle name="汇总 3 20 5 2 6" xfId="24208" xr:uid="{00000000-0005-0000-0000-0000EB770000}"/>
    <cellStyle name="汇总 3 20 5 2 7" xfId="24211" xr:uid="{00000000-0005-0000-0000-0000EC770000}"/>
    <cellStyle name="汇总 3 20 5 2 8" xfId="24214" xr:uid="{00000000-0005-0000-0000-0000ED770000}"/>
    <cellStyle name="汇总 3 20 5 3" xfId="34246" xr:uid="{00000000-0005-0000-0000-0000EE770000}"/>
    <cellStyle name="汇总 3 20 5 4" xfId="15853" xr:uid="{00000000-0005-0000-0000-0000EF770000}"/>
    <cellStyle name="汇总 3 20 5 5" xfId="15862" xr:uid="{00000000-0005-0000-0000-0000F0770000}"/>
    <cellStyle name="汇总 3 20 5 6" xfId="13811" xr:uid="{00000000-0005-0000-0000-0000F1770000}"/>
    <cellStyle name="汇总 3 20 5 6 2" xfId="34248" xr:uid="{00000000-0005-0000-0000-0000F2770000}"/>
    <cellStyle name="汇总 3 20 5 6 3" xfId="34250" xr:uid="{00000000-0005-0000-0000-0000F3770000}"/>
    <cellStyle name="汇总 3 20 5 7" xfId="13823" xr:uid="{00000000-0005-0000-0000-0000F4770000}"/>
    <cellStyle name="汇总 3 20 5 8" xfId="13828" xr:uid="{00000000-0005-0000-0000-0000F5770000}"/>
    <cellStyle name="汇总 3 20 5 9" xfId="13835" xr:uid="{00000000-0005-0000-0000-0000F6770000}"/>
    <cellStyle name="汇总 3 20 6" xfId="10760" xr:uid="{00000000-0005-0000-0000-0000F7770000}"/>
    <cellStyle name="汇总 3 20 6 2" xfId="34251" xr:uid="{00000000-0005-0000-0000-0000F8770000}"/>
    <cellStyle name="汇总 3 20 6 2 2" xfId="17717" xr:uid="{00000000-0005-0000-0000-0000F9770000}"/>
    <cellStyle name="汇总 3 20 6 2 3" xfId="17720" xr:uid="{00000000-0005-0000-0000-0000FA770000}"/>
    <cellStyle name="汇总 3 20 6 3" xfId="34252" xr:uid="{00000000-0005-0000-0000-0000FB770000}"/>
    <cellStyle name="汇总 3 20 6 4" xfId="34253" xr:uid="{00000000-0005-0000-0000-0000FC770000}"/>
    <cellStyle name="汇总 3 20 6 5" xfId="27628" xr:uid="{00000000-0005-0000-0000-0000FD770000}"/>
    <cellStyle name="汇总 3 20 6 6" xfId="13873" xr:uid="{00000000-0005-0000-0000-0000FE770000}"/>
    <cellStyle name="汇总 3 20 6 7" xfId="13884" xr:uid="{00000000-0005-0000-0000-0000FF770000}"/>
    <cellStyle name="汇总 3 20 6 8" xfId="13891" xr:uid="{00000000-0005-0000-0000-000000780000}"/>
    <cellStyle name="汇总 3 20 7" xfId="10763" xr:uid="{00000000-0005-0000-0000-000001780000}"/>
    <cellStyle name="汇总 3 20 8" xfId="34254" xr:uid="{00000000-0005-0000-0000-000002780000}"/>
    <cellStyle name="汇总 3 20 9" xfId="25967" xr:uid="{00000000-0005-0000-0000-000003780000}"/>
    <cellStyle name="汇总 3 20 9 2" xfId="34255" xr:uid="{00000000-0005-0000-0000-000004780000}"/>
    <cellStyle name="汇总 3 20 9 3" xfId="34256" xr:uid="{00000000-0005-0000-0000-000005780000}"/>
    <cellStyle name="汇总 3 3" xfId="33001" xr:uid="{00000000-0005-0000-0000-000006780000}"/>
    <cellStyle name="汇总 3 3 10" xfId="34257" xr:uid="{00000000-0005-0000-0000-000007780000}"/>
    <cellStyle name="汇总 3 3 11" xfId="34258" xr:uid="{00000000-0005-0000-0000-000008780000}"/>
    <cellStyle name="汇总 3 3 12" xfId="34259" xr:uid="{00000000-0005-0000-0000-000009780000}"/>
    <cellStyle name="汇总 3 3 13" xfId="34260" xr:uid="{00000000-0005-0000-0000-00000A780000}"/>
    <cellStyle name="汇总 3 3 14" xfId="34261" xr:uid="{00000000-0005-0000-0000-00000B780000}"/>
    <cellStyle name="汇总 3 3 2" xfId="34262" xr:uid="{00000000-0005-0000-0000-00000C780000}"/>
    <cellStyle name="汇总 3 3 3" xfId="34263" xr:uid="{00000000-0005-0000-0000-00000D780000}"/>
    <cellStyle name="汇总 3 3 4" xfId="28325" xr:uid="{00000000-0005-0000-0000-00000E780000}"/>
    <cellStyle name="汇总 3 3 5" xfId="17947" xr:uid="{00000000-0005-0000-0000-00000F780000}"/>
    <cellStyle name="汇总 3 3 6" xfId="17949" xr:uid="{00000000-0005-0000-0000-000010780000}"/>
    <cellStyle name="汇总 3 3 7" xfId="17951" xr:uid="{00000000-0005-0000-0000-000011780000}"/>
    <cellStyle name="汇总 3 3 8" xfId="17954" xr:uid="{00000000-0005-0000-0000-000012780000}"/>
    <cellStyle name="汇总 3 3 9" xfId="3301" xr:uid="{00000000-0005-0000-0000-000013780000}"/>
    <cellStyle name="汇总 3 4" xfId="33003" xr:uid="{00000000-0005-0000-0000-000014780000}"/>
    <cellStyle name="汇总 3 4 10" xfId="32688" xr:uid="{00000000-0005-0000-0000-000015780000}"/>
    <cellStyle name="汇总 3 4 11" xfId="32690" xr:uid="{00000000-0005-0000-0000-000016780000}"/>
    <cellStyle name="汇总 3 4 12" xfId="32692" xr:uid="{00000000-0005-0000-0000-000017780000}"/>
    <cellStyle name="汇总 3 4 13" xfId="32694" xr:uid="{00000000-0005-0000-0000-000018780000}"/>
    <cellStyle name="汇总 3 4 14" xfId="32696" xr:uid="{00000000-0005-0000-0000-000019780000}"/>
    <cellStyle name="汇总 3 4 2" xfId="34264" xr:uid="{00000000-0005-0000-0000-00001A780000}"/>
    <cellStyle name="汇总 3 4 3" xfId="33315" xr:uid="{00000000-0005-0000-0000-00001B780000}"/>
    <cellStyle name="汇总 3 4 4" xfId="33318" xr:uid="{00000000-0005-0000-0000-00001C780000}"/>
    <cellStyle name="汇总 3 4 5" xfId="25872" xr:uid="{00000000-0005-0000-0000-00001D780000}"/>
    <cellStyle name="汇总 3 4 6" xfId="9568" xr:uid="{00000000-0005-0000-0000-00001E780000}"/>
    <cellStyle name="汇总 3 4 7" xfId="9572" xr:uid="{00000000-0005-0000-0000-00001F780000}"/>
    <cellStyle name="汇总 3 4 8" xfId="34265" xr:uid="{00000000-0005-0000-0000-000020780000}"/>
    <cellStyle name="汇总 3 4 9" xfId="34266" xr:uid="{00000000-0005-0000-0000-000021780000}"/>
    <cellStyle name="汇总 3 5" xfId="31203" xr:uid="{00000000-0005-0000-0000-000022780000}"/>
    <cellStyle name="汇总 3 6" xfId="31206" xr:uid="{00000000-0005-0000-0000-000023780000}"/>
    <cellStyle name="汇总 3 7" xfId="22087" xr:uid="{00000000-0005-0000-0000-000024780000}"/>
    <cellStyle name="汇总 3 8" xfId="22091" xr:uid="{00000000-0005-0000-0000-000025780000}"/>
    <cellStyle name="汇总 3 9" xfId="22094" xr:uid="{00000000-0005-0000-0000-000026780000}"/>
    <cellStyle name="汇总 4" xfId="34267" xr:uid="{00000000-0005-0000-0000-000027780000}"/>
    <cellStyle name="汇总 4 10" xfId="31223" xr:uid="{00000000-0005-0000-0000-000028780000}"/>
    <cellStyle name="汇总 4 11" xfId="31225" xr:uid="{00000000-0005-0000-0000-000029780000}"/>
    <cellStyle name="汇总 4 12" xfId="31227" xr:uid="{00000000-0005-0000-0000-00002A780000}"/>
    <cellStyle name="汇总 4 13" xfId="26974" xr:uid="{00000000-0005-0000-0000-00002B780000}"/>
    <cellStyle name="汇总 4 14" xfId="26976" xr:uid="{00000000-0005-0000-0000-00002C780000}"/>
    <cellStyle name="汇总 4 15" xfId="34268" xr:uid="{00000000-0005-0000-0000-00002D780000}"/>
    <cellStyle name="汇总 4 16" xfId="34270" xr:uid="{00000000-0005-0000-0000-00002E780000}"/>
    <cellStyle name="汇总 4 17" xfId="34271" xr:uid="{00000000-0005-0000-0000-00002F780000}"/>
    <cellStyle name="汇总 4 17 10" xfId="34272" xr:uid="{00000000-0005-0000-0000-000030780000}"/>
    <cellStyle name="汇总 4 17 11" xfId="34273" xr:uid="{00000000-0005-0000-0000-000031780000}"/>
    <cellStyle name="汇总 4 17 12" xfId="29554" xr:uid="{00000000-0005-0000-0000-000032780000}"/>
    <cellStyle name="汇总 4 17 13" xfId="29556" xr:uid="{00000000-0005-0000-0000-000033780000}"/>
    <cellStyle name="汇总 4 17 14" xfId="34274" xr:uid="{00000000-0005-0000-0000-000034780000}"/>
    <cellStyle name="汇总 4 17 2" xfId="6113" xr:uid="{00000000-0005-0000-0000-000035780000}"/>
    <cellStyle name="汇总 4 17 3" xfId="6839" xr:uid="{00000000-0005-0000-0000-000036780000}"/>
    <cellStyle name="汇总 4 17 4" xfId="6844" xr:uid="{00000000-0005-0000-0000-000037780000}"/>
    <cellStyle name="汇总 4 17 5" xfId="17358" xr:uid="{00000000-0005-0000-0000-000038780000}"/>
    <cellStyle name="汇总 4 17 5 10" xfId="32724" xr:uid="{00000000-0005-0000-0000-000039780000}"/>
    <cellStyle name="汇总 4 17 5 11" xfId="32727" xr:uid="{00000000-0005-0000-0000-00003A780000}"/>
    <cellStyle name="汇总 4 17 5 2" xfId="8593" xr:uid="{00000000-0005-0000-0000-00003B780000}"/>
    <cellStyle name="汇总 4 17 5 2 2" xfId="33069" xr:uid="{00000000-0005-0000-0000-00003C780000}"/>
    <cellStyle name="汇总 4 17 5 2 2 2" xfId="11028" xr:uid="{00000000-0005-0000-0000-00003D780000}"/>
    <cellStyle name="汇总 4 17 5 2 2 3" xfId="9453" xr:uid="{00000000-0005-0000-0000-00003E780000}"/>
    <cellStyle name="汇总 4 17 5 2 3" xfId="33072" xr:uid="{00000000-0005-0000-0000-00003F780000}"/>
    <cellStyle name="汇总 4 17 5 2 4" xfId="33075" xr:uid="{00000000-0005-0000-0000-000040780000}"/>
    <cellStyle name="汇总 4 17 5 2 5" xfId="33077" xr:uid="{00000000-0005-0000-0000-000041780000}"/>
    <cellStyle name="汇总 4 17 5 2 6" xfId="33079" xr:uid="{00000000-0005-0000-0000-000042780000}"/>
    <cellStyle name="汇总 4 17 5 2 7" xfId="34275" xr:uid="{00000000-0005-0000-0000-000043780000}"/>
    <cellStyle name="汇总 4 17 5 2 8" xfId="34276" xr:uid="{00000000-0005-0000-0000-000044780000}"/>
    <cellStyle name="汇总 4 17 5 3" xfId="34277" xr:uid="{00000000-0005-0000-0000-000045780000}"/>
    <cellStyle name="汇总 4 17 5 4" xfId="34278" xr:uid="{00000000-0005-0000-0000-000046780000}"/>
    <cellStyle name="汇总 4 17 5 5" xfId="31293" xr:uid="{00000000-0005-0000-0000-000047780000}"/>
    <cellStyle name="汇总 4 17 5 6" xfId="31295" xr:uid="{00000000-0005-0000-0000-000048780000}"/>
    <cellStyle name="汇总 4 17 5 6 2" xfId="28115" xr:uid="{00000000-0005-0000-0000-000049780000}"/>
    <cellStyle name="汇总 4 17 5 6 3" xfId="28117" xr:uid="{00000000-0005-0000-0000-00004A780000}"/>
    <cellStyle name="汇总 4 17 5 7" xfId="31297" xr:uid="{00000000-0005-0000-0000-00004B780000}"/>
    <cellStyle name="汇总 4 17 5 8" xfId="31299" xr:uid="{00000000-0005-0000-0000-00004C780000}"/>
    <cellStyle name="汇总 4 17 5 9" xfId="31301" xr:uid="{00000000-0005-0000-0000-00004D780000}"/>
    <cellStyle name="汇总 4 17 6" xfId="17361" xr:uid="{00000000-0005-0000-0000-00004E780000}"/>
    <cellStyle name="汇总 4 17 6 2" xfId="25884" xr:uid="{00000000-0005-0000-0000-00004F780000}"/>
    <cellStyle name="汇总 4 17 6 2 2" xfId="34279" xr:uid="{00000000-0005-0000-0000-000050780000}"/>
    <cellStyle name="汇总 4 17 6 2 3" xfId="24913" xr:uid="{00000000-0005-0000-0000-000051780000}"/>
    <cellStyle name="汇总 4 17 6 3" xfId="34281" xr:uid="{00000000-0005-0000-0000-000052780000}"/>
    <cellStyle name="汇总 4 17 6 4" xfId="34283" xr:uid="{00000000-0005-0000-0000-000053780000}"/>
    <cellStyle name="汇总 4 17 6 5" xfId="34284" xr:uid="{00000000-0005-0000-0000-000054780000}"/>
    <cellStyle name="汇总 4 17 6 6" xfId="25775" xr:uid="{00000000-0005-0000-0000-000055780000}"/>
    <cellStyle name="汇总 4 17 6 7" xfId="32011" xr:uid="{00000000-0005-0000-0000-000056780000}"/>
    <cellStyle name="汇总 4 17 6 8" xfId="34285" xr:uid="{00000000-0005-0000-0000-000057780000}"/>
    <cellStyle name="汇总 4 17 7" xfId="31526" xr:uid="{00000000-0005-0000-0000-000058780000}"/>
    <cellStyle name="汇总 4 17 8" xfId="34286" xr:uid="{00000000-0005-0000-0000-000059780000}"/>
    <cellStyle name="汇总 4 17 9" xfId="34287" xr:uid="{00000000-0005-0000-0000-00005A780000}"/>
    <cellStyle name="汇总 4 17 9 2" xfId="34288" xr:uid="{00000000-0005-0000-0000-00005B780000}"/>
    <cellStyle name="汇总 4 17 9 3" xfId="34291" xr:uid="{00000000-0005-0000-0000-00005C780000}"/>
    <cellStyle name="汇总 4 18" xfId="34292" xr:uid="{00000000-0005-0000-0000-00005D780000}"/>
    <cellStyle name="汇总 4 18 10" xfId="9809" xr:uid="{00000000-0005-0000-0000-00005E780000}"/>
    <cellStyle name="汇总 4 18 11" xfId="10969" xr:uid="{00000000-0005-0000-0000-00005F780000}"/>
    <cellStyle name="汇总 4 18 12" xfId="10974" xr:uid="{00000000-0005-0000-0000-000060780000}"/>
    <cellStyle name="汇总 4 18 13" xfId="10979" xr:uid="{00000000-0005-0000-0000-000061780000}"/>
    <cellStyle name="汇总 4 18 14" xfId="34293" xr:uid="{00000000-0005-0000-0000-000062780000}"/>
    <cellStyle name="汇总 4 18 2" xfId="22385" xr:uid="{00000000-0005-0000-0000-000063780000}"/>
    <cellStyle name="汇总 4 18 3" xfId="30128" xr:uid="{00000000-0005-0000-0000-000064780000}"/>
    <cellStyle name="汇总 4 18 4" xfId="30130" xr:uid="{00000000-0005-0000-0000-000065780000}"/>
    <cellStyle name="汇总 4 18 5" xfId="30132" xr:uid="{00000000-0005-0000-0000-000066780000}"/>
    <cellStyle name="汇总 4 18 5 10" xfId="32808" xr:uid="{00000000-0005-0000-0000-000067780000}"/>
    <cellStyle name="汇总 4 18 5 11" xfId="32810" xr:uid="{00000000-0005-0000-0000-000068780000}"/>
    <cellStyle name="汇总 4 18 5 2" xfId="30782" xr:uid="{00000000-0005-0000-0000-000069780000}"/>
    <cellStyle name="汇总 4 18 5 2 2" xfId="1615" xr:uid="{00000000-0005-0000-0000-00006A780000}"/>
    <cellStyle name="汇总 4 18 5 2 2 2" xfId="30758" xr:uid="{00000000-0005-0000-0000-00006B780000}"/>
    <cellStyle name="汇总 4 18 5 2 2 3" xfId="30760" xr:uid="{00000000-0005-0000-0000-00006C780000}"/>
    <cellStyle name="汇总 4 18 5 2 3" xfId="1637" xr:uid="{00000000-0005-0000-0000-00006D780000}"/>
    <cellStyle name="汇总 4 18 5 2 4" xfId="1653" xr:uid="{00000000-0005-0000-0000-00006E780000}"/>
    <cellStyle name="汇总 4 18 5 2 5" xfId="1668" xr:uid="{00000000-0005-0000-0000-00006F780000}"/>
    <cellStyle name="汇总 4 18 5 2 6" xfId="23346" xr:uid="{00000000-0005-0000-0000-000070780000}"/>
    <cellStyle name="汇总 4 18 5 2 7" xfId="34294" xr:uid="{00000000-0005-0000-0000-000071780000}"/>
    <cellStyle name="汇总 4 18 5 2 8" xfId="34295" xr:uid="{00000000-0005-0000-0000-000072780000}"/>
    <cellStyle name="汇总 4 18 5 3" xfId="34296" xr:uid="{00000000-0005-0000-0000-000073780000}"/>
    <cellStyle name="汇总 4 18 5 4" xfId="34297" xr:uid="{00000000-0005-0000-0000-000074780000}"/>
    <cellStyle name="汇总 4 18 5 5" xfId="31323" xr:uid="{00000000-0005-0000-0000-000075780000}"/>
    <cellStyle name="汇总 4 18 5 6" xfId="31327" xr:uid="{00000000-0005-0000-0000-000076780000}"/>
    <cellStyle name="汇总 4 18 5 6 2" xfId="34298" xr:uid="{00000000-0005-0000-0000-000077780000}"/>
    <cellStyle name="汇总 4 18 5 6 3" xfId="34299" xr:uid="{00000000-0005-0000-0000-000078780000}"/>
    <cellStyle name="汇总 4 18 5 7" xfId="31329" xr:uid="{00000000-0005-0000-0000-000079780000}"/>
    <cellStyle name="汇总 4 18 5 8" xfId="16952" xr:uid="{00000000-0005-0000-0000-00007A780000}"/>
    <cellStyle name="汇总 4 18 5 9" xfId="5915" xr:uid="{00000000-0005-0000-0000-00007B780000}"/>
    <cellStyle name="汇总 4 18 6" xfId="33234" xr:uid="{00000000-0005-0000-0000-00007C780000}"/>
    <cellStyle name="汇总 4 18 6 2" xfId="16406" xr:uid="{00000000-0005-0000-0000-00007D780000}"/>
    <cellStyle name="汇总 4 18 6 2 2" xfId="2166" xr:uid="{00000000-0005-0000-0000-00007E780000}"/>
    <cellStyle name="汇总 4 18 6 2 3" xfId="2182" xr:uid="{00000000-0005-0000-0000-00007F780000}"/>
    <cellStyle name="汇总 4 18 6 3" xfId="14668" xr:uid="{00000000-0005-0000-0000-000080780000}"/>
    <cellStyle name="汇总 4 18 6 4" xfId="14683" xr:uid="{00000000-0005-0000-0000-000081780000}"/>
    <cellStyle name="汇总 4 18 6 5" xfId="14687" xr:uid="{00000000-0005-0000-0000-000082780000}"/>
    <cellStyle name="汇总 4 18 6 6" xfId="14691" xr:uid="{00000000-0005-0000-0000-000083780000}"/>
    <cellStyle name="汇总 4 18 6 7" xfId="14695" xr:uid="{00000000-0005-0000-0000-000084780000}"/>
    <cellStyle name="汇总 4 18 6 8" xfId="14701" xr:uid="{00000000-0005-0000-0000-000085780000}"/>
    <cellStyle name="汇总 4 18 7" xfId="34300" xr:uid="{00000000-0005-0000-0000-000086780000}"/>
    <cellStyle name="汇总 4 18 8" xfId="34301" xr:uid="{00000000-0005-0000-0000-000087780000}"/>
    <cellStyle name="汇总 4 18 9" xfId="28951" xr:uid="{00000000-0005-0000-0000-000088780000}"/>
    <cellStyle name="汇总 4 18 9 2" xfId="34302" xr:uid="{00000000-0005-0000-0000-000089780000}"/>
    <cellStyle name="汇总 4 18 9 3" xfId="34304" xr:uid="{00000000-0005-0000-0000-00008A780000}"/>
    <cellStyle name="汇总 4 19" xfId="34305" xr:uid="{00000000-0005-0000-0000-00008B780000}"/>
    <cellStyle name="汇总 4 19 10" xfId="34307" xr:uid="{00000000-0005-0000-0000-00008C780000}"/>
    <cellStyle name="汇总 4 19 11" xfId="34309" xr:uid="{00000000-0005-0000-0000-00008D780000}"/>
    <cellStyle name="汇总 4 19 12" xfId="34311" xr:uid="{00000000-0005-0000-0000-00008E780000}"/>
    <cellStyle name="汇总 4 19 13" xfId="34313" xr:uid="{00000000-0005-0000-0000-00008F780000}"/>
    <cellStyle name="汇总 4 19 14" xfId="34315" xr:uid="{00000000-0005-0000-0000-000090780000}"/>
    <cellStyle name="汇总 4 19 2" xfId="34316" xr:uid="{00000000-0005-0000-0000-000091780000}"/>
    <cellStyle name="汇总 4 19 3" xfId="34317" xr:uid="{00000000-0005-0000-0000-000092780000}"/>
    <cellStyle name="汇总 4 19 4" xfId="3386" xr:uid="{00000000-0005-0000-0000-000093780000}"/>
    <cellStyle name="汇总 4 19 5" xfId="3395" xr:uid="{00000000-0005-0000-0000-000094780000}"/>
    <cellStyle name="汇总 4 19 5 10" xfId="27775" xr:uid="{00000000-0005-0000-0000-000095780000}"/>
    <cellStyle name="汇总 4 19 5 11" xfId="27777" xr:uid="{00000000-0005-0000-0000-000096780000}"/>
    <cellStyle name="汇总 4 19 5 2" xfId="881" xr:uid="{00000000-0005-0000-0000-000097780000}"/>
    <cellStyle name="汇总 4 19 5 2 2" xfId="32953" xr:uid="{00000000-0005-0000-0000-000098780000}"/>
    <cellStyle name="汇总 4 19 5 2 2 2" xfId="9720" xr:uid="{00000000-0005-0000-0000-000099780000}"/>
    <cellStyle name="汇总 4 19 5 2 2 3" xfId="34199" xr:uid="{00000000-0005-0000-0000-00009A780000}"/>
    <cellStyle name="汇总 4 19 5 2 3" xfId="32955" xr:uid="{00000000-0005-0000-0000-00009B780000}"/>
    <cellStyle name="汇总 4 19 5 2 4" xfId="32957" xr:uid="{00000000-0005-0000-0000-00009C780000}"/>
    <cellStyle name="汇总 4 19 5 2 5" xfId="32959" xr:uid="{00000000-0005-0000-0000-00009D780000}"/>
    <cellStyle name="汇总 4 19 5 2 6" xfId="32961" xr:uid="{00000000-0005-0000-0000-00009E780000}"/>
    <cellStyle name="汇总 4 19 5 2 7" xfId="34318" xr:uid="{00000000-0005-0000-0000-00009F780000}"/>
    <cellStyle name="汇总 4 19 5 2 8" xfId="34319" xr:uid="{00000000-0005-0000-0000-0000A0780000}"/>
    <cellStyle name="汇总 4 19 5 3" xfId="894" xr:uid="{00000000-0005-0000-0000-0000A1780000}"/>
    <cellStyle name="汇总 4 19 5 4" xfId="34320" xr:uid="{00000000-0005-0000-0000-0000A2780000}"/>
    <cellStyle name="汇总 4 19 5 5" xfId="34321" xr:uid="{00000000-0005-0000-0000-0000A3780000}"/>
    <cellStyle name="汇总 4 19 5 6" xfId="34322" xr:uid="{00000000-0005-0000-0000-0000A4780000}"/>
    <cellStyle name="汇总 4 19 5 6 2" xfId="34323" xr:uid="{00000000-0005-0000-0000-0000A5780000}"/>
    <cellStyle name="汇总 4 19 5 6 3" xfId="34324" xr:uid="{00000000-0005-0000-0000-0000A6780000}"/>
    <cellStyle name="汇总 4 19 5 7" xfId="34325" xr:uid="{00000000-0005-0000-0000-0000A7780000}"/>
    <cellStyle name="汇总 4 19 5 8" xfId="18076" xr:uid="{00000000-0005-0000-0000-0000A8780000}"/>
    <cellStyle name="汇总 4 19 5 9" xfId="5970" xr:uid="{00000000-0005-0000-0000-0000A9780000}"/>
    <cellStyle name="汇总 4 19 6" xfId="34326" xr:uid="{00000000-0005-0000-0000-0000AA780000}"/>
    <cellStyle name="汇总 4 19 6 2" xfId="15910" xr:uid="{00000000-0005-0000-0000-0000AB780000}"/>
    <cellStyle name="汇总 4 19 6 2 2" xfId="34327" xr:uid="{00000000-0005-0000-0000-0000AC780000}"/>
    <cellStyle name="汇总 4 19 6 2 3" xfId="34328" xr:uid="{00000000-0005-0000-0000-0000AD780000}"/>
    <cellStyle name="汇总 4 19 6 3" xfId="15913" xr:uid="{00000000-0005-0000-0000-0000AE780000}"/>
    <cellStyle name="汇总 4 19 6 4" xfId="34329" xr:uid="{00000000-0005-0000-0000-0000AF780000}"/>
    <cellStyle name="汇总 4 19 6 5" xfId="15329" xr:uid="{00000000-0005-0000-0000-0000B0780000}"/>
    <cellStyle name="汇总 4 19 6 6" xfId="15331" xr:uid="{00000000-0005-0000-0000-0000B1780000}"/>
    <cellStyle name="汇总 4 19 6 7" xfId="34330" xr:uid="{00000000-0005-0000-0000-0000B2780000}"/>
    <cellStyle name="汇总 4 19 6 8" xfId="34331" xr:uid="{00000000-0005-0000-0000-0000B3780000}"/>
    <cellStyle name="汇总 4 19 7" xfId="34332" xr:uid="{00000000-0005-0000-0000-0000B4780000}"/>
    <cellStyle name="汇总 4 19 8" xfId="34333" xr:uid="{00000000-0005-0000-0000-0000B5780000}"/>
    <cellStyle name="汇总 4 19 9" xfId="34334" xr:uid="{00000000-0005-0000-0000-0000B6780000}"/>
    <cellStyle name="汇总 4 19 9 2" xfId="34335" xr:uid="{00000000-0005-0000-0000-0000B7780000}"/>
    <cellStyle name="汇总 4 19 9 3" xfId="26086" xr:uid="{00000000-0005-0000-0000-0000B8780000}"/>
    <cellStyle name="汇总 4 2" xfId="34336" xr:uid="{00000000-0005-0000-0000-0000B9780000}"/>
    <cellStyle name="汇总 4 20" xfId="34269" xr:uid="{00000000-0005-0000-0000-0000BA780000}"/>
    <cellStyle name="汇总 4 20 10" xfId="24235" xr:uid="{00000000-0005-0000-0000-0000BB780000}"/>
    <cellStyle name="汇总 4 20 11" xfId="34338" xr:uid="{00000000-0005-0000-0000-0000BC780000}"/>
    <cellStyle name="汇总 4 20 12" xfId="34340" xr:uid="{00000000-0005-0000-0000-0000BD780000}"/>
    <cellStyle name="汇总 4 20 13" xfId="34341" xr:uid="{00000000-0005-0000-0000-0000BE780000}"/>
    <cellStyle name="汇总 4 20 14" xfId="34342" xr:uid="{00000000-0005-0000-0000-0000BF780000}"/>
    <cellStyle name="汇总 4 20 2" xfId="34343" xr:uid="{00000000-0005-0000-0000-0000C0780000}"/>
    <cellStyle name="汇总 4 20 3" xfId="34344" xr:uid="{00000000-0005-0000-0000-0000C1780000}"/>
    <cellStyle name="汇总 4 20 4" xfId="34345" xr:uid="{00000000-0005-0000-0000-0000C2780000}"/>
    <cellStyle name="汇总 4 20 5" xfId="33218" xr:uid="{00000000-0005-0000-0000-0000C3780000}"/>
    <cellStyle name="汇总 4 20 5 10" xfId="13405" xr:uid="{00000000-0005-0000-0000-0000C4780000}"/>
    <cellStyle name="汇总 4 20 5 11" xfId="13410" xr:uid="{00000000-0005-0000-0000-0000C5780000}"/>
    <cellStyle name="汇总 4 20 5 2" xfId="33220" xr:uid="{00000000-0005-0000-0000-0000C6780000}"/>
    <cellStyle name="汇总 4 20 5 2 2" xfId="21929" xr:uid="{00000000-0005-0000-0000-0000C7780000}"/>
    <cellStyle name="汇总 4 20 5 2 2 2" xfId="21934" xr:uid="{00000000-0005-0000-0000-0000C8780000}"/>
    <cellStyle name="汇总 4 20 5 2 2 3" xfId="21941" xr:uid="{00000000-0005-0000-0000-0000C9780000}"/>
    <cellStyle name="汇总 4 20 5 2 3" xfId="21952" xr:uid="{00000000-0005-0000-0000-0000CA780000}"/>
    <cellStyle name="汇总 4 20 5 2 4" xfId="21955" xr:uid="{00000000-0005-0000-0000-0000CB780000}"/>
    <cellStyle name="汇总 4 20 5 2 5" xfId="21957" xr:uid="{00000000-0005-0000-0000-0000CC780000}"/>
    <cellStyle name="汇总 4 20 5 2 6" xfId="22485" xr:uid="{00000000-0005-0000-0000-0000CD780000}"/>
    <cellStyle name="汇总 4 20 5 2 7" xfId="22487" xr:uid="{00000000-0005-0000-0000-0000CE780000}"/>
    <cellStyle name="汇总 4 20 5 2 8" xfId="21325" xr:uid="{00000000-0005-0000-0000-0000CF780000}"/>
    <cellStyle name="汇总 4 20 5 3" xfId="33223" xr:uid="{00000000-0005-0000-0000-0000D0780000}"/>
    <cellStyle name="汇总 4 20 5 4" xfId="34346" xr:uid="{00000000-0005-0000-0000-0000D1780000}"/>
    <cellStyle name="汇总 4 20 5 5" xfId="34347" xr:uid="{00000000-0005-0000-0000-0000D2780000}"/>
    <cellStyle name="汇总 4 20 5 6" xfId="34349" xr:uid="{00000000-0005-0000-0000-0000D3780000}"/>
    <cellStyle name="汇总 4 20 5 6 2" xfId="14258" xr:uid="{00000000-0005-0000-0000-0000D4780000}"/>
    <cellStyle name="汇总 4 20 5 6 3" xfId="14267" xr:uid="{00000000-0005-0000-0000-0000D5780000}"/>
    <cellStyle name="汇总 4 20 5 7" xfId="34351" xr:uid="{00000000-0005-0000-0000-0000D6780000}"/>
    <cellStyle name="汇总 4 20 5 8" xfId="34353" xr:uid="{00000000-0005-0000-0000-0000D7780000}"/>
    <cellStyle name="汇总 4 20 5 9" xfId="34355" xr:uid="{00000000-0005-0000-0000-0000D8780000}"/>
    <cellStyle name="汇总 4 20 6" xfId="33227" xr:uid="{00000000-0005-0000-0000-0000D9780000}"/>
    <cellStyle name="汇总 4 20 6 2" xfId="34356" xr:uid="{00000000-0005-0000-0000-0000DA780000}"/>
    <cellStyle name="汇总 4 20 6 2 2" xfId="34358" xr:uid="{00000000-0005-0000-0000-0000DB780000}"/>
    <cellStyle name="汇总 4 20 6 2 3" xfId="34360" xr:uid="{00000000-0005-0000-0000-0000DC780000}"/>
    <cellStyle name="汇总 4 20 6 3" xfId="34361" xr:uid="{00000000-0005-0000-0000-0000DD780000}"/>
    <cellStyle name="汇总 4 20 6 4" xfId="34362" xr:uid="{00000000-0005-0000-0000-0000DE780000}"/>
    <cellStyle name="汇总 4 20 6 5" xfId="34363" xr:uid="{00000000-0005-0000-0000-0000DF780000}"/>
    <cellStyle name="汇总 4 20 6 6" xfId="34364" xr:uid="{00000000-0005-0000-0000-0000E0780000}"/>
    <cellStyle name="汇总 4 20 6 7" xfId="34365" xr:uid="{00000000-0005-0000-0000-0000E1780000}"/>
    <cellStyle name="汇总 4 20 6 8" xfId="34366" xr:uid="{00000000-0005-0000-0000-0000E2780000}"/>
    <cellStyle name="汇总 4 20 7" xfId="33229" xr:uid="{00000000-0005-0000-0000-0000E3780000}"/>
    <cellStyle name="汇总 4 20 8" xfId="32596" xr:uid="{00000000-0005-0000-0000-0000E4780000}"/>
    <cellStyle name="汇总 4 20 9" xfId="32601" xr:uid="{00000000-0005-0000-0000-0000E5780000}"/>
    <cellStyle name="汇总 4 20 9 2" xfId="34367" xr:uid="{00000000-0005-0000-0000-0000E6780000}"/>
    <cellStyle name="汇总 4 20 9 3" xfId="29336" xr:uid="{00000000-0005-0000-0000-0000E7780000}"/>
    <cellStyle name="汇总 4 3" xfId="34368" xr:uid="{00000000-0005-0000-0000-0000E8780000}"/>
    <cellStyle name="汇总 4 4" xfId="33532" xr:uid="{00000000-0005-0000-0000-0000E9780000}"/>
    <cellStyle name="汇总 4 5" xfId="33534" xr:uid="{00000000-0005-0000-0000-0000EA780000}"/>
    <cellStyle name="汇总 4 6" xfId="34369" xr:uid="{00000000-0005-0000-0000-0000EB780000}"/>
    <cellStyle name="汇总 4 7" xfId="22169" xr:uid="{00000000-0005-0000-0000-0000EC780000}"/>
    <cellStyle name="汇总 4 8" xfId="22171" xr:uid="{00000000-0005-0000-0000-0000ED780000}"/>
    <cellStyle name="汇总 4 9" xfId="22173" xr:uid="{00000000-0005-0000-0000-0000EE780000}"/>
    <cellStyle name="汇总 5" xfId="34370" xr:uid="{00000000-0005-0000-0000-0000EF780000}"/>
    <cellStyle name="汇总 5 10" xfId="34371" xr:uid="{00000000-0005-0000-0000-0000F0780000}"/>
    <cellStyle name="汇总 5 11" xfId="34372" xr:uid="{00000000-0005-0000-0000-0000F1780000}"/>
    <cellStyle name="汇总 5 12" xfId="34373" xr:uid="{00000000-0005-0000-0000-0000F2780000}"/>
    <cellStyle name="汇总 5 13" xfId="34374" xr:uid="{00000000-0005-0000-0000-0000F3780000}"/>
    <cellStyle name="汇总 5 14" xfId="34375" xr:uid="{00000000-0005-0000-0000-0000F4780000}"/>
    <cellStyle name="汇总 5 2" xfId="25587" xr:uid="{00000000-0005-0000-0000-0000F5780000}"/>
    <cellStyle name="汇总 5 3" xfId="34376" xr:uid="{00000000-0005-0000-0000-0000F6780000}"/>
    <cellStyle name="汇总 5 4" xfId="34378" xr:uid="{00000000-0005-0000-0000-0000F7780000}"/>
    <cellStyle name="汇总 5 5" xfId="34380" xr:uid="{00000000-0005-0000-0000-0000F8780000}"/>
    <cellStyle name="汇总 5 6" xfId="34382" xr:uid="{00000000-0005-0000-0000-0000F9780000}"/>
    <cellStyle name="汇总 5 7" xfId="22212" xr:uid="{00000000-0005-0000-0000-0000FA780000}"/>
    <cellStyle name="汇总 5 8" xfId="4833" xr:uid="{00000000-0005-0000-0000-0000FB780000}"/>
    <cellStyle name="汇总 5 9" xfId="4855" xr:uid="{00000000-0005-0000-0000-0000FC780000}"/>
    <cellStyle name="汇总 6" xfId="34384" xr:uid="{00000000-0005-0000-0000-0000FD780000}"/>
    <cellStyle name="汇总 6 10" xfId="1862" xr:uid="{00000000-0005-0000-0000-0000FE780000}"/>
    <cellStyle name="汇总 6 11" xfId="5062" xr:uid="{00000000-0005-0000-0000-0000FF780000}"/>
    <cellStyle name="汇总 6 12" xfId="5071" xr:uid="{00000000-0005-0000-0000-000000790000}"/>
    <cellStyle name="汇总 6 13" xfId="14854" xr:uid="{00000000-0005-0000-0000-000001790000}"/>
    <cellStyle name="汇总 6 14" xfId="14858" xr:uid="{00000000-0005-0000-0000-000002790000}"/>
    <cellStyle name="汇总 6 2" xfId="34385" xr:uid="{00000000-0005-0000-0000-000003790000}"/>
    <cellStyle name="汇总 6 3" xfId="34386" xr:uid="{00000000-0005-0000-0000-000004790000}"/>
    <cellStyle name="汇总 6 4" xfId="34387" xr:uid="{00000000-0005-0000-0000-000005790000}"/>
    <cellStyle name="汇总 6 5" xfId="34388" xr:uid="{00000000-0005-0000-0000-000006790000}"/>
    <cellStyle name="汇总 6 6" xfId="34389" xr:uid="{00000000-0005-0000-0000-000007790000}"/>
    <cellStyle name="汇总 6 7" xfId="34390" xr:uid="{00000000-0005-0000-0000-000008790000}"/>
    <cellStyle name="汇总 6 8" xfId="34391" xr:uid="{00000000-0005-0000-0000-000009790000}"/>
    <cellStyle name="汇总 6 9" xfId="34392" xr:uid="{00000000-0005-0000-0000-00000A790000}"/>
    <cellStyle name="汇总 7" xfId="34393" xr:uid="{00000000-0005-0000-0000-00000B790000}"/>
    <cellStyle name="汇总 8" xfId="34394" xr:uid="{00000000-0005-0000-0000-00000C790000}"/>
    <cellStyle name="汇总 9" xfId="34395" xr:uid="{00000000-0005-0000-0000-00000D790000}"/>
    <cellStyle name="注释 10" xfId="13339" xr:uid="{00000000-0005-0000-0000-00000E790000}"/>
    <cellStyle name="注释 11" xfId="815" xr:uid="{00000000-0005-0000-0000-00000F790000}"/>
    <cellStyle name="注释 12" xfId="31896" xr:uid="{00000000-0005-0000-0000-000010790000}"/>
    <cellStyle name="注释 13" xfId="31898" xr:uid="{00000000-0005-0000-0000-000011790000}"/>
    <cellStyle name="注释 14" xfId="34396" xr:uid="{00000000-0005-0000-0000-000012790000}"/>
    <cellStyle name="注释 15" xfId="34397" xr:uid="{00000000-0005-0000-0000-000013790000}"/>
    <cellStyle name="注释 16" xfId="34398" xr:uid="{00000000-0005-0000-0000-000014790000}"/>
    <cellStyle name="注释 17" xfId="34399" xr:uid="{00000000-0005-0000-0000-000015790000}"/>
    <cellStyle name="注释 18" xfId="34400" xr:uid="{00000000-0005-0000-0000-000016790000}"/>
    <cellStyle name="注释 19" xfId="14169" xr:uid="{00000000-0005-0000-0000-000017790000}"/>
    <cellStyle name="注释 2" xfId="27206" xr:uid="{00000000-0005-0000-0000-000018790000}"/>
    <cellStyle name="注释 2 10" xfId="34401" xr:uid="{00000000-0005-0000-0000-000019790000}"/>
    <cellStyle name="注释 2 10 2" xfId="34402" xr:uid="{00000000-0005-0000-0000-00001A790000}"/>
    <cellStyle name="注释 2 11" xfId="34403" xr:uid="{00000000-0005-0000-0000-00001B790000}"/>
    <cellStyle name="注释 2 11 2" xfId="34404" xr:uid="{00000000-0005-0000-0000-00001C790000}"/>
    <cellStyle name="注释 2 12" xfId="34405" xr:uid="{00000000-0005-0000-0000-00001D790000}"/>
    <cellStyle name="注释 2 12 2" xfId="20618" xr:uid="{00000000-0005-0000-0000-00001E790000}"/>
    <cellStyle name="注释 2 13" xfId="28261" xr:uid="{00000000-0005-0000-0000-00001F790000}"/>
    <cellStyle name="注释 2 13 2" xfId="22765" xr:uid="{00000000-0005-0000-0000-000020790000}"/>
    <cellStyle name="注释 2 14" xfId="28263" xr:uid="{00000000-0005-0000-0000-000021790000}"/>
    <cellStyle name="注释 2 14 2" xfId="34406" xr:uid="{00000000-0005-0000-0000-000022790000}"/>
    <cellStyle name="注释 2 15" xfId="28265" xr:uid="{00000000-0005-0000-0000-000023790000}"/>
    <cellStyle name="注释 2 15 2" xfId="4152" xr:uid="{00000000-0005-0000-0000-000024790000}"/>
    <cellStyle name="注释 2 16" xfId="28268" xr:uid="{00000000-0005-0000-0000-000025790000}"/>
    <cellStyle name="注释 2 16 2" xfId="28274" xr:uid="{00000000-0005-0000-0000-000026790000}"/>
    <cellStyle name="注释 2 17" xfId="28286" xr:uid="{00000000-0005-0000-0000-000027790000}"/>
    <cellStyle name="注释 2 17 10" xfId="6793" xr:uid="{00000000-0005-0000-0000-000028790000}"/>
    <cellStyle name="注释 2 17 11" xfId="6796" xr:uid="{00000000-0005-0000-0000-000029790000}"/>
    <cellStyle name="注释 2 17 12" xfId="34407" xr:uid="{00000000-0005-0000-0000-00002A790000}"/>
    <cellStyle name="注释 2 17 13" xfId="34408" xr:uid="{00000000-0005-0000-0000-00002B790000}"/>
    <cellStyle name="注释 2 17 14" xfId="34409" xr:uid="{00000000-0005-0000-0000-00002C790000}"/>
    <cellStyle name="注释 2 17 2" xfId="9936" xr:uid="{00000000-0005-0000-0000-00002D790000}"/>
    <cellStyle name="注释 2 17 2 2" xfId="20860" xr:uid="{00000000-0005-0000-0000-00002E790000}"/>
    <cellStyle name="注释 2 17 3" xfId="9940" xr:uid="{00000000-0005-0000-0000-00002F790000}"/>
    <cellStyle name="注释 2 17 4" xfId="28288" xr:uid="{00000000-0005-0000-0000-000030790000}"/>
    <cellStyle name="注释 2 17 5" xfId="21971" xr:uid="{00000000-0005-0000-0000-000031790000}"/>
    <cellStyle name="注释 2 17 5 10" xfId="34410" xr:uid="{00000000-0005-0000-0000-000032790000}"/>
    <cellStyle name="注释 2 17 5 11" xfId="34411" xr:uid="{00000000-0005-0000-0000-000033790000}"/>
    <cellStyle name="注释 2 17 5 2" xfId="34412" xr:uid="{00000000-0005-0000-0000-000034790000}"/>
    <cellStyle name="注释 2 17 5 2 2" xfId="34413" xr:uid="{00000000-0005-0000-0000-000035790000}"/>
    <cellStyle name="注释 2 17 5 2 2 2" xfId="32412" xr:uid="{00000000-0005-0000-0000-000036790000}"/>
    <cellStyle name="注释 2 17 5 2 2 3" xfId="34414" xr:uid="{00000000-0005-0000-0000-000037790000}"/>
    <cellStyle name="注释 2 17 5 2 3" xfId="34415" xr:uid="{00000000-0005-0000-0000-000038790000}"/>
    <cellStyle name="注释 2 17 5 2 4" xfId="34416" xr:uid="{00000000-0005-0000-0000-000039790000}"/>
    <cellStyle name="注释 2 17 5 2 5" xfId="34417" xr:uid="{00000000-0005-0000-0000-00003A790000}"/>
    <cellStyle name="注释 2 17 5 2 6" xfId="34418" xr:uid="{00000000-0005-0000-0000-00003B790000}"/>
    <cellStyle name="注释 2 17 5 2 7" xfId="34419" xr:uid="{00000000-0005-0000-0000-00003C790000}"/>
    <cellStyle name="注释 2 17 5 2 8" xfId="34420" xr:uid="{00000000-0005-0000-0000-00003D790000}"/>
    <cellStyle name="注释 2 17 5 3" xfId="31494" xr:uid="{00000000-0005-0000-0000-00003E790000}"/>
    <cellStyle name="注释 2 17 5 4" xfId="31497" xr:uid="{00000000-0005-0000-0000-00003F790000}"/>
    <cellStyle name="注释 2 17 5 5" xfId="31500" xr:uid="{00000000-0005-0000-0000-000040790000}"/>
    <cellStyle name="注释 2 17 5 6" xfId="31503" xr:uid="{00000000-0005-0000-0000-000041790000}"/>
    <cellStyle name="注释 2 17 5 6 2" xfId="34421" xr:uid="{00000000-0005-0000-0000-000042790000}"/>
    <cellStyle name="注释 2 17 5 6 3" xfId="34422" xr:uid="{00000000-0005-0000-0000-000043790000}"/>
    <cellStyle name="注释 2 17 5 7" xfId="31505" xr:uid="{00000000-0005-0000-0000-000044790000}"/>
    <cellStyle name="注释 2 17 5 8" xfId="31507" xr:uid="{00000000-0005-0000-0000-000045790000}"/>
    <cellStyle name="注释 2 17 5 9" xfId="1912" xr:uid="{00000000-0005-0000-0000-000046790000}"/>
    <cellStyle name="注释 2 17 6" xfId="21975" xr:uid="{00000000-0005-0000-0000-000047790000}"/>
    <cellStyle name="注释 2 17 6 2" xfId="34423" xr:uid="{00000000-0005-0000-0000-000048790000}"/>
    <cellStyle name="注释 2 17 6 2 2" xfId="34424" xr:uid="{00000000-0005-0000-0000-000049790000}"/>
    <cellStyle name="注释 2 17 6 2 3" xfId="34425" xr:uid="{00000000-0005-0000-0000-00004A790000}"/>
    <cellStyle name="注释 2 17 6 3" xfId="34426" xr:uid="{00000000-0005-0000-0000-00004B790000}"/>
    <cellStyle name="注释 2 17 6 4" xfId="34427" xr:uid="{00000000-0005-0000-0000-00004C790000}"/>
    <cellStyle name="注释 2 17 6 5" xfId="34428" xr:uid="{00000000-0005-0000-0000-00004D790000}"/>
    <cellStyle name="注释 2 17 6 6" xfId="34429" xr:uid="{00000000-0005-0000-0000-00004E790000}"/>
    <cellStyle name="注释 2 17 6 7" xfId="28305" xr:uid="{00000000-0005-0000-0000-00004F790000}"/>
    <cellStyle name="注释 2 17 6 8" xfId="28307" xr:uid="{00000000-0005-0000-0000-000050790000}"/>
    <cellStyle name="注释 2 17 7" xfId="28291" xr:uid="{00000000-0005-0000-0000-000051790000}"/>
    <cellStyle name="注释 2 17 8" xfId="18580" xr:uid="{00000000-0005-0000-0000-000052790000}"/>
    <cellStyle name="注释 2 17 9" xfId="18585" xr:uid="{00000000-0005-0000-0000-000053790000}"/>
    <cellStyle name="注释 2 17 9 2" xfId="34430" xr:uid="{00000000-0005-0000-0000-000054790000}"/>
    <cellStyle name="注释 2 17 9 3" xfId="34431" xr:uid="{00000000-0005-0000-0000-000055790000}"/>
    <cellStyle name="注释 2 18" xfId="25894" xr:uid="{00000000-0005-0000-0000-000056790000}"/>
    <cellStyle name="注释 2 18 10" xfId="34432" xr:uid="{00000000-0005-0000-0000-000057790000}"/>
    <cellStyle name="注释 2 18 11" xfId="23410" xr:uid="{00000000-0005-0000-0000-000058790000}"/>
    <cellStyle name="注释 2 18 12" xfId="23412" xr:uid="{00000000-0005-0000-0000-000059790000}"/>
    <cellStyle name="注释 2 18 13" xfId="30949" xr:uid="{00000000-0005-0000-0000-00005A790000}"/>
    <cellStyle name="注释 2 18 14" xfId="30952" xr:uid="{00000000-0005-0000-0000-00005B790000}"/>
    <cellStyle name="注释 2 18 2" xfId="34433" xr:uid="{00000000-0005-0000-0000-00005C790000}"/>
    <cellStyle name="注释 2 18 3" xfId="34434" xr:uid="{00000000-0005-0000-0000-00005D790000}"/>
    <cellStyle name="注释 2 18 4" xfId="34435" xr:uid="{00000000-0005-0000-0000-00005E790000}"/>
    <cellStyle name="注释 2 18 5" xfId="34436" xr:uid="{00000000-0005-0000-0000-00005F790000}"/>
    <cellStyle name="注释 2 18 5 10" xfId="34437" xr:uid="{00000000-0005-0000-0000-000060790000}"/>
    <cellStyle name="注释 2 18 5 11" xfId="34438" xr:uid="{00000000-0005-0000-0000-000061790000}"/>
    <cellStyle name="注释 2 18 5 2" xfId="34439" xr:uid="{00000000-0005-0000-0000-000062790000}"/>
    <cellStyle name="注释 2 18 5 2 2" xfId="34440" xr:uid="{00000000-0005-0000-0000-000063790000}"/>
    <cellStyle name="注释 2 18 5 2 2 2" xfId="34441" xr:uid="{00000000-0005-0000-0000-000064790000}"/>
    <cellStyle name="注释 2 18 5 2 2 3" xfId="34442" xr:uid="{00000000-0005-0000-0000-000065790000}"/>
    <cellStyle name="注释 2 18 5 2 3" xfId="34443" xr:uid="{00000000-0005-0000-0000-000066790000}"/>
    <cellStyle name="注释 2 18 5 2 4" xfId="34444" xr:uid="{00000000-0005-0000-0000-000067790000}"/>
    <cellStyle name="注释 2 18 5 2 5" xfId="34445" xr:uid="{00000000-0005-0000-0000-000068790000}"/>
    <cellStyle name="注释 2 18 5 2 6" xfId="34446" xr:uid="{00000000-0005-0000-0000-000069790000}"/>
    <cellStyle name="注释 2 18 5 2 7" xfId="34447" xr:uid="{00000000-0005-0000-0000-00006A790000}"/>
    <cellStyle name="注释 2 18 5 2 8" xfId="34448" xr:uid="{00000000-0005-0000-0000-00006B790000}"/>
    <cellStyle name="注释 2 18 5 3" xfId="34449" xr:uid="{00000000-0005-0000-0000-00006C790000}"/>
    <cellStyle name="注释 2 18 5 4" xfId="23733" xr:uid="{00000000-0005-0000-0000-00006D790000}"/>
    <cellStyle name="注释 2 18 5 5" xfId="23745" xr:uid="{00000000-0005-0000-0000-00006E790000}"/>
    <cellStyle name="注释 2 18 5 6" xfId="23748" xr:uid="{00000000-0005-0000-0000-00006F790000}"/>
    <cellStyle name="注释 2 18 5 6 2" xfId="33635" xr:uid="{00000000-0005-0000-0000-000070790000}"/>
    <cellStyle name="注释 2 18 5 6 3" xfId="34450" xr:uid="{00000000-0005-0000-0000-000071790000}"/>
    <cellStyle name="注释 2 18 5 7" xfId="23751" xr:uid="{00000000-0005-0000-0000-000072790000}"/>
    <cellStyle name="注释 2 18 5 8" xfId="23754" xr:uid="{00000000-0005-0000-0000-000073790000}"/>
    <cellStyle name="注释 2 18 5 9" xfId="23757" xr:uid="{00000000-0005-0000-0000-000074790000}"/>
    <cellStyle name="注释 2 18 6" xfId="34451" xr:uid="{00000000-0005-0000-0000-000075790000}"/>
    <cellStyle name="注释 2 18 6 2" xfId="30793" xr:uid="{00000000-0005-0000-0000-000076790000}"/>
    <cellStyle name="注释 2 18 6 2 2" xfId="609" xr:uid="{00000000-0005-0000-0000-000077790000}"/>
    <cellStyle name="注释 2 18 6 2 3" xfId="643" xr:uid="{00000000-0005-0000-0000-000078790000}"/>
    <cellStyle name="注释 2 18 6 3" xfId="25841" xr:uid="{00000000-0005-0000-0000-000079790000}"/>
    <cellStyle name="注释 2 18 6 4" xfId="23763" xr:uid="{00000000-0005-0000-0000-00007A790000}"/>
    <cellStyle name="注释 2 18 6 5" xfId="23771" xr:uid="{00000000-0005-0000-0000-00007B790000}"/>
    <cellStyle name="注释 2 18 6 6" xfId="23776" xr:uid="{00000000-0005-0000-0000-00007C790000}"/>
    <cellStyle name="注释 2 18 6 7" xfId="23435" xr:uid="{00000000-0005-0000-0000-00007D790000}"/>
    <cellStyle name="注释 2 18 6 8" xfId="23439" xr:uid="{00000000-0005-0000-0000-00007E790000}"/>
    <cellStyle name="注释 2 18 7" xfId="701" xr:uid="{00000000-0005-0000-0000-00007F790000}"/>
    <cellStyle name="注释 2 18 8" xfId="741" xr:uid="{00000000-0005-0000-0000-000080790000}"/>
    <cellStyle name="注释 2 18 9" xfId="1267" xr:uid="{00000000-0005-0000-0000-000081790000}"/>
    <cellStyle name="注释 2 18 9 2" xfId="3181" xr:uid="{00000000-0005-0000-0000-000082790000}"/>
    <cellStyle name="注释 2 18 9 3" xfId="3186" xr:uid="{00000000-0005-0000-0000-000083790000}"/>
    <cellStyle name="注释 2 19" xfId="28294" xr:uid="{00000000-0005-0000-0000-000084790000}"/>
    <cellStyle name="注释 2 19 10" xfId="328" xr:uid="{00000000-0005-0000-0000-000085790000}"/>
    <cellStyle name="注释 2 19 11" xfId="604" xr:uid="{00000000-0005-0000-0000-000086790000}"/>
    <cellStyle name="注释 2 19 12" xfId="619" xr:uid="{00000000-0005-0000-0000-000087790000}"/>
    <cellStyle name="注释 2 19 13" xfId="650" xr:uid="{00000000-0005-0000-0000-000088790000}"/>
    <cellStyle name="注释 2 19 14" xfId="34452" xr:uid="{00000000-0005-0000-0000-000089790000}"/>
    <cellStyle name="注释 2 19 2" xfId="34453" xr:uid="{00000000-0005-0000-0000-00008A790000}"/>
    <cellStyle name="注释 2 19 3" xfId="34454" xr:uid="{00000000-0005-0000-0000-00008B790000}"/>
    <cellStyle name="注释 2 19 4" xfId="34455" xr:uid="{00000000-0005-0000-0000-00008C790000}"/>
    <cellStyle name="注释 2 19 5" xfId="34456" xr:uid="{00000000-0005-0000-0000-00008D790000}"/>
    <cellStyle name="注释 2 19 5 10" xfId="34457" xr:uid="{00000000-0005-0000-0000-00008E790000}"/>
    <cellStyle name="注释 2 19 5 11" xfId="34458" xr:uid="{00000000-0005-0000-0000-00008F790000}"/>
    <cellStyle name="注释 2 19 5 2" xfId="34459" xr:uid="{00000000-0005-0000-0000-000090790000}"/>
    <cellStyle name="注释 2 19 5 2 2" xfId="22309" xr:uid="{00000000-0005-0000-0000-000091790000}"/>
    <cellStyle name="注释 2 19 5 2 2 2" xfId="34460" xr:uid="{00000000-0005-0000-0000-000092790000}"/>
    <cellStyle name="注释 2 19 5 2 2 3" xfId="34461" xr:uid="{00000000-0005-0000-0000-000093790000}"/>
    <cellStyle name="注释 2 19 5 2 3" xfId="363" xr:uid="{00000000-0005-0000-0000-000094790000}"/>
    <cellStyle name="注释 2 19 5 2 4" xfId="21830" xr:uid="{00000000-0005-0000-0000-000095790000}"/>
    <cellStyle name="注释 2 19 5 2 5" xfId="21833" xr:uid="{00000000-0005-0000-0000-000096790000}"/>
    <cellStyle name="注释 2 19 5 2 6" xfId="20088" xr:uid="{00000000-0005-0000-0000-000097790000}"/>
    <cellStyle name="注释 2 19 5 2 7" xfId="20092" xr:uid="{00000000-0005-0000-0000-000098790000}"/>
    <cellStyle name="注释 2 19 5 2 8" xfId="20095" xr:uid="{00000000-0005-0000-0000-000099790000}"/>
    <cellStyle name="注释 2 19 5 3" xfId="30153" xr:uid="{00000000-0005-0000-0000-00009A790000}"/>
    <cellStyle name="注释 2 19 5 4" xfId="30155" xr:uid="{00000000-0005-0000-0000-00009B790000}"/>
    <cellStyle name="注释 2 19 5 5" xfId="30157" xr:uid="{00000000-0005-0000-0000-00009C790000}"/>
    <cellStyle name="注释 2 19 5 6" xfId="30159" xr:uid="{00000000-0005-0000-0000-00009D790000}"/>
    <cellStyle name="注释 2 19 5 6 2" xfId="34462" xr:uid="{00000000-0005-0000-0000-00009E790000}"/>
    <cellStyle name="注释 2 19 5 6 3" xfId="34463" xr:uid="{00000000-0005-0000-0000-00009F790000}"/>
    <cellStyle name="注释 2 19 5 7" xfId="30161" xr:uid="{00000000-0005-0000-0000-0000A0790000}"/>
    <cellStyle name="注释 2 19 5 8" xfId="30163" xr:uid="{00000000-0005-0000-0000-0000A1790000}"/>
    <cellStyle name="注释 2 19 5 9" xfId="30165" xr:uid="{00000000-0005-0000-0000-0000A2790000}"/>
    <cellStyle name="注释 2 19 6" xfId="34464" xr:uid="{00000000-0005-0000-0000-0000A3790000}"/>
    <cellStyle name="注释 2 19 6 2" xfId="24647" xr:uid="{00000000-0005-0000-0000-0000A4790000}"/>
    <cellStyle name="注释 2 19 6 2 2" xfId="31529" xr:uid="{00000000-0005-0000-0000-0000A5790000}"/>
    <cellStyle name="注释 2 19 6 2 3" xfId="31531" xr:uid="{00000000-0005-0000-0000-0000A6790000}"/>
    <cellStyle name="注释 2 19 6 3" xfId="34465" xr:uid="{00000000-0005-0000-0000-0000A7790000}"/>
    <cellStyle name="注释 2 19 6 4" xfId="34466" xr:uid="{00000000-0005-0000-0000-0000A8790000}"/>
    <cellStyle name="注释 2 19 6 5" xfId="34467" xr:uid="{00000000-0005-0000-0000-0000A9790000}"/>
    <cellStyle name="注释 2 19 6 6" xfId="34468" xr:uid="{00000000-0005-0000-0000-0000AA790000}"/>
    <cellStyle name="注释 2 19 6 7" xfId="34469" xr:uid="{00000000-0005-0000-0000-0000AB790000}"/>
    <cellStyle name="注释 2 19 6 8" xfId="34470" xr:uid="{00000000-0005-0000-0000-0000AC790000}"/>
    <cellStyle name="注释 2 19 7" xfId="6169" xr:uid="{00000000-0005-0000-0000-0000AD790000}"/>
    <cellStyle name="注释 2 19 8" xfId="6172" xr:uid="{00000000-0005-0000-0000-0000AE790000}"/>
    <cellStyle name="注释 2 19 9" xfId="6177" xr:uid="{00000000-0005-0000-0000-0000AF790000}"/>
    <cellStyle name="注释 2 19 9 2" xfId="34471" xr:uid="{00000000-0005-0000-0000-0000B0790000}"/>
    <cellStyle name="注释 2 19 9 3" xfId="34472" xr:uid="{00000000-0005-0000-0000-0000B1790000}"/>
    <cellStyle name="注释 2 2" xfId="12596" xr:uid="{00000000-0005-0000-0000-0000B2790000}"/>
    <cellStyle name="注释 2 2 10" xfId="34473" xr:uid="{00000000-0005-0000-0000-0000B3790000}"/>
    <cellStyle name="注释 2 2 11" xfId="29132" xr:uid="{00000000-0005-0000-0000-0000B4790000}"/>
    <cellStyle name="注释 2 2 12" xfId="29136" xr:uid="{00000000-0005-0000-0000-0000B5790000}"/>
    <cellStyle name="注释 2 2 13" xfId="29138" xr:uid="{00000000-0005-0000-0000-0000B6790000}"/>
    <cellStyle name="注释 2 2 14" xfId="29140" xr:uid="{00000000-0005-0000-0000-0000B7790000}"/>
    <cellStyle name="注释 2 2 15" xfId="29142" xr:uid="{00000000-0005-0000-0000-0000B8790000}"/>
    <cellStyle name="注释 2 2 2" xfId="6864" xr:uid="{00000000-0005-0000-0000-0000B9790000}"/>
    <cellStyle name="注释 2 2 3" xfId="2325" xr:uid="{00000000-0005-0000-0000-0000BA790000}"/>
    <cellStyle name="注释 2 2 4" xfId="20301" xr:uid="{00000000-0005-0000-0000-0000BB790000}"/>
    <cellStyle name="注释 2 2 5" xfId="20307" xr:uid="{00000000-0005-0000-0000-0000BC790000}"/>
    <cellStyle name="注释 2 2 6" xfId="20313" xr:uid="{00000000-0005-0000-0000-0000BD790000}"/>
    <cellStyle name="注释 2 2 7" xfId="4441" xr:uid="{00000000-0005-0000-0000-0000BE790000}"/>
    <cellStyle name="注释 2 2 8" xfId="4457" xr:uid="{00000000-0005-0000-0000-0000BF790000}"/>
    <cellStyle name="注释 2 2 9" xfId="4473" xr:uid="{00000000-0005-0000-0000-0000C0790000}"/>
    <cellStyle name="注释 2 20" xfId="28266" xr:uid="{00000000-0005-0000-0000-0000C1790000}"/>
    <cellStyle name="注释 2 20 10" xfId="20609" xr:uid="{00000000-0005-0000-0000-0000C2790000}"/>
    <cellStyle name="注释 2 20 11" xfId="20611" xr:uid="{00000000-0005-0000-0000-0000C3790000}"/>
    <cellStyle name="注释 2 20 12" xfId="20613" xr:uid="{00000000-0005-0000-0000-0000C4790000}"/>
    <cellStyle name="注释 2 20 13" xfId="25885" xr:uid="{00000000-0005-0000-0000-0000C5790000}"/>
    <cellStyle name="注释 2 20 14" xfId="34282" xr:uid="{00000000-0005-0000-0000-0000C6790000}"/>
    <cellStyle name="注释 2 20 2" xfId="4153" xr:uid="{00000000-0005-0000-0000-0000C7790000}"/>
    <cellStyle name="注释 2 20 3" xfId="4158" xr:uid="{00000000-0005-0000-0000-0000C8790000}"/>
    <cellStyle name="注释 2 20 4" xfId="4163" xr:uid="{00000000-0005-0000-0000-0000C9790000}"/>
    <cellStyle name="注释 2 20 5" xfId="4187" xr:uid="{00000000-0005-0000-0000-0000CA790000}"/>
    <cellStyle name="注释 2 20 5 10" xfId="22233" xr:uid="{00000000-0005-0000-0000-0000CB790000}"/>
    <cellStyle name="注释 2 20 5 11" xfId="8497" xr:uid="{00000000-0005-0000-0000-0000CC790000}"/>
    <cellStyle name="注释 2 20 5 2" xfId="34474" xr:uid="{00000000-0005-0000-0000-0000CD790000}"/>
    <cellStyle name="注释 2 20 5 2 2" xfId="34475" xr:uid="{00000000-0005-0000-0000-0000CE790000}"/>
    <cellStyle name="注释 2 20 5 2 2 2" xfId="6868" xr:uid="{00000000-0005-0000-0000-0000CF790000}"/>
    <cellStyle name="注释 2 20 5 2 2 3" xfId="6889" xr:uid="{00000000-0005-0000-0000-0000D0790000}"/>
    <cellStyle name="注释 2 20 5 2 3" xfId="34476" xr:uid="{00000000-0005-0000-0000-0000D1790000}"/>
    <cellStyle name="注释 2 20 5 2 4" xfId="34477" xr:uid="{00000000-0005-0000-0000-0000D2790000}"/>
    <cellStyle name="注释 2 20 5 2 5" xfId="34478" xr:uid="{00000000-0005-0000-0000-0000D3790000}"/>
    <cellStyle name="注释 2 20 5 2 6" xfId="12616" xr:uid="{00000000-0005-0000-0000-0000D4790000}"/>
    <cellStyle name="注释 2 20 5 2 7" xfId="12640" xr:uid="{00000000-0005-0000-0000-0000D5790000}"/>
    <cellStyle name="注释 2 20 5 2 8" xfId="12647" xr:uid="{00000000-0005-0000-0000-0000D6790000}"/>
    <cellStyle name="注释 2 20 5 3" xfId="22472" xr:uid="{00000000-0005-0000-0000-0000D7790000}"/>
    <cellStyle name="注释 2 20 5 4" xfId="22474" xr:uid="{00000000-0005-0000-0000-0000D8790000}"/>
    <cellStyle name="注释 2 20 5 5" xfId="34479" xr:uid="{00000000-0005-0000-0000-0000D9790000}"/>
    <cellStyle name="注释 2 20 5 6" xfId="34480" xr:uid="{00000000-0005-0000-0000-0000DA790000}"/>
    <cellStyle name="注释 2 20 5 6 2" xfId="34481" xr:uid="{00000000-0005-0000-0000-0000DB790000}"/>
    <cellStyle name="注释 2 20 5 6 3" xfId="34482" xr:uid="{00000000-0005-0000-0000-0000DC790000}"/>
    <cellStyle name="注释 2 20 5 7" xfId="24670" xr:uid="{00000000-0005-0000-0000-0000DD790000}"/>
    <cellStyle name="注释 2 20 5 8" xfId="34483" xr:uid="{00000000-0005-0000-0000-0000DE790000}"/>
    <cellStyle name="注释 2 20 5 9" xfId="4370" xr:uid="{00000000-0005-0000-0000-0000DF790000}"/>
    <cellStyle name="注释 2 20 6" xfId="4194" xr:uid="{00000000-0005-0000-0000-0000E0790000}"/>
    <cellStyle name="注释 2 20 6 2" xfId="29168" xr:uid="{00000000-0005-0000-0000-0000E1790000}"/>
    <cellStyle name="注释 2 20 6 2 2" xfId="34484" xr:uid="{00000000-0005-0000-0000-0000E2790000}"/>
    <cellStyle name="注释 2 20 6 2 3" xfId="34485" xr:uid="{00000000-0005-0000-0000-0000E3790000}"/>
    <cellStyle name="注释 2 20 6 3" xfId="29171" xr:uid="{00000000-0005-0000-0000-0000E4790000}"/>
    <cellStyle name="注释 2 20 6 4" xfId="29174" xr:uid="{00000000-0005-0000-0000-0000E5790000}"/>
    <cellStyle name="注释 2 20 6 5" xfId="29177" xr:uid="{00000000-0005-0000-0000-0000E6790000}"/>
    <cellStyle name="注释 2 20 6 6" xfId="29180" xr:uid="{00000000-0005-0000-0000-0000E7790000}"/>
    <cellStyle name="注释 2 20 6 7" xfId="34487" xr:uid="{00000000-0005-0000-0000-0000E8790000}"/>
    <cellStyle name="注释 2 20 6 8" xfId="34489" xr:uid="{00000000-0005-0000-0000-0000E9790000}"/>
    <cellStyle name="注释 2 20 7" xfId="34490" xr:uid="{00000000-0005-0000-0000-0000EA790000}"/>
    <cellStyle name="注释 2 20 8" xfId="18766" xr:uid="{00000000-0005-0000-0000-0000EB790000}"/>
    <cellStyle name="注释 2 20 9" xfId="18769" xr:uid="{00000000-0005-0000-0000-0000EC790000}"/>
    <cellStyle name="注释 2 20 9 2" xfId="34491" xr:uid="{00000000-0005-0000-0000-0000ED790000}"/>
    <cellStyle name="注释 2 20 9 3" xfId="34492" xr:uid="{00000000-0005-0000-0000-0000EE790000}"/>
    <cellStyle name="注释 2 3" xfId="12602" xr:uid="{00000000-0005-0000-0000-0000EF790000}"/>
    <cellStyle name="注释 2 3 10" xfId="20387" xr:uid="{00000000-0005-0000-0000-0000F0790000}"/>
    <cellStyle name="注释 2 3 11" xfId="20390" xr:uid="{00000000-0005-0000-0000-0000F1790000}"/>
    <cellStyle name="注释 2 3 12" xfId="20393" xr:uid="{00000000-0005-0000-0000-0000F2790000}"/>
    <cellStyle name="注释 2 3 13" xfId="20396" xr:uid="{00000000-0005-0000-0000-0000F3790000}"/>
    <cellStyle name="注释 2 3 14" xfId="32875" xr:uid="{00000000-0005-0000-0000-0000F4790000}"/>
    <cellStyle name="注释 2 3 2" xfId="3432" xr:uid="{00000000-0005-0000-0000-0000F5790000}"/>
    <cellStyle name="注释 2 3 3" xfId="34493" xr:uid="{00000000-0005-0000-0000-0000F6790000}"/>
    <cellStyle name="注释 2 3 4" xfId="34494" xr:uid="{00000000-0005-0000-0000-0000F7790000}"/>
    <cellStyle name="注释 2 3 5" xfId="11372" xr:uid="{00000000-0005-0000-0000-0000F8790000}"/>
    <cellStyle name="注释 2 3 6" xfId="7105" xr:uid="{00000000-0005-0000-0000-0000F9790000}"/>
    <cellStyle name="注释 2 3 7" xfId="7118" xr:uid="{00000000-0005-0000-0000-0000FA790000}"/>
    <cellStyle name="注释 2 3 8" xfId="7125" xr:uid="{00000000-0005-0000-0000-0000FB790000}"/>
    <cellStyle name="注释 2 3 9" xfId="7131" xr:uid="{00000000-0005-0000-0000-0000FC790000}"/>
    <cellStyle name="注释 2 4" xfId="23462" xr:uid="{00000000-0005-0000-0000-0000FD790000}"/>
    <cellStyle name="注释 2 4 10" xfId="34495" xr:uid="{00000000-0005-0000-0000-0000FE790000}"/>
    <cellStyle name="注释 2 4 11" xfId="34496" xr:uid="{00000000-0005-0000-0000-0000FF790000}"/>
    <cellStyle name="注释 2 4 12" xfId="34497" xr:uid="{00000000-0005-0000-0000-0000007A0000}"/>
    <cellStyle name="注释 2 4 13" xfId="34498" xr:uid="{00000000-0005-0000-0000-0000017A0000}"/>
    <cellStyle name="注释 2 4 14" xfId="34499" xr:uid="{00000000-0005-0000-0000-0000027A0000}"/>
    <cellStyle name="注释 2 4 2" xfId="34501" xr:uid="{00000000-0005-0000-0000-0000037A0000}"/>
    <cellStyle name="注释 2 4 3" xfId="34503" xr:uid="{00000000-0005-0000-0000-0000047A0000}"/>
    <cellStyle name="注释 2 4 4" xfId="34505" xr:uid="{00000000-0005-0000-0000-0000057A0000}"/>
    <cellStyle name="注释 2 4 5" xfId="9611" xr:uid="{00000000-0005-0000-0000-0000067A0000}"/>
    <cellStyle name="注释 2 4 6" xfId="11445" xr:uid="{00000000-0005-0000-0000-0000077A0000}"/>
    <cellStyle name="注释 2 4 7" xfId="11449" xr:uid="{00000000-0005-0000-0000-0000087A0000}"/>
    <cellStyle name="注释 2 4 8" xfId="11496" xr:uid="{00000000-0005-0000-0000-0000097A0000}"/>
    <cellStyle name="注释 2 4 9" xfId="11501" xr:uid="{00000000-0005-0000-0000-00000A7A0000}"/>
    <cellStyle name="注释 2 5" xfId="23466" xr:uid="{00000000-0005-0000-0000-00000B7A0000}"/>
    <cellStyle name="注释 2 5 2" xfId="15946" xr:uid="{00000000-0005-0000-0000-00000C7A0000}"/>
    <cellStyle name="注释 2 6" xfId="34506" xr:uid="{00000000-0005-0000-0000-00000D7A0000}"/>
    <cellStyle name="注释 2 6 2" xfId="14264" xr:uid="{00000000-0005-0000-0000-00000E7A0000}"/>
    <cellStyle name="注释 2 7" xfId="9116" xr:uid="{00000000-0005-0000-0000-00000F7A0000}"/>
    <cellStyle name="注释 2 7 2" xfId="34507" xr:uid="{00000000-0005-0000-0000-0000107A0000}"/>
    <cellStyle name="注释 2 8" xfId="19806" xr:uid="{00000000-0005-0000-0000-0000117A0000}"/>
    <cellStyle name="注释 2 8 2" xfId="34508" xr:uid="{00000000-0005-0000-0000-0000127A0000}"/>
    <cellStyle name="注释 2 9" xfId="24459" xr:uid="{00000000-0005-0000-0000-0000137A0000}"/>
    <cellStyle name="注释 2 9 2" xfId="22018" xr:uid="{00000000-0005-0000-0000-0000147A0000}"/>
    <cellStyle name="注释 3" xfId="34509" xr:uid="{00000000-0005-0000-0000-0000157A0000}"/>
    <cellStyle name="注释 3 10" xfId="34510" xr:uid="{00000000-0005-0000-0000-0000167A0000}"/>
    <cellStyle name="注释 3 11" xfId="34511" xr:uid="{00000000-0005-0000-0000-0000177A0000}"/>
    <cellStyle name="注释 3 12" xfId="34512" xr:uid="{00000000-0005-0000-0000-0000187A0000}"/>
    <cellStyle name="注释 3 13" xfId="34513" xr:uid="{00000000-0005-0000-0000-0000197A0000}"/>
    <cellStyle name="注释 3 14" xfId="34514" xr:uid="{00000000-0005-0000-0000-00001A7A0000}"/>
    <cellStyle name="注释 3 15" xfId="25935" xr:uid="{00000000-0005-0000-0000-00001B7A0000}"/>
    <cellStyle name="注释 3 16" xfId="34515" xr:uid="{00000000-0005-0000-0000-00001C7A0000}"/>
    <cellStyle name="注释 3 17" xfId="34191" xr:uid="{00000000-0005-0000-0000-00001D7A0000}"/>
    <cellStyle name="注释 3 17 10" xfId="34516" xr:uid="{00000000-0005-0000-0000-00001E7A0000}"/>
    <cellStyle name="注释 3 17 11" xfId="34517" xr:uid="{00000000-0005-0000-0000-00001F7A0000}"/>
    <cellStyle name="注释 3 17 12" xfId="34518" xr:uid="{00000000-0005-0000-0000-0000207A0000}"/>
    <cellStyle name="注释 3 17 13" xfId="33880" xr:uid="{00000000-0005-0000-0000-0000217A0000}"/>
    <cellStyle name="注释 3 17 14" xfId="3048" xr:uid="{00000000-0005-0000-0000-0000227A0000}"/>
    <cellStyle name="注释 3 17 2" xfId="1083" xr:uid="{00000000-0005-0000-0000-0000237A0000}"/>
    <cellStyle name="注释 3 17 3" xfId="4896" xr:uid="{00000000-0005-0000-0000-0000247A0000}"/>
    <cellStyle name="注释 3 17 4" xfId="27311" xr:uid="{00000000-0005-0000-0000-0000257A0000}"/>
    <cellStyle name="注释 3 17 5" xfId="22031" xr:uid="{00000000-0005-0000-0000-0000267A0000}"/>
    <cellStyle name="注释 3 17 5 10" xfId="11708" xr:uid="{00000000-0005-0000-0000-0000277A0000}"/>
    <cellStyle name="注释 3 17 5 11" xfId="11716" xr:uid="{00000000-0005-0000-0000-0000287A0000}"/>
    <cellStyle name="注释 3 17 5 2" xfId="34519" xr:uid="{00000000-0005-0000-0000-0000297A0000}"/>
    <cellStyle name="注释 3 17 5 2 2" xfId="34520" xr:uid="{00000000-0005-0000-0000-00002A7A0000}"/>
    <cellStyle name="注释 3 17 5 2 2 2" xfId="25038" xr:uid="{00000000-0005-0000-0000-00002B7A0000}"/>
    <cellStyle name="注释 3 17 5 2 2 3" xfId="25043" xr:uid="{00000000-0005-0000-0000-00002C7A0000}"/>
    <cellStyle name="注释 3 17 5 2 3" xfId="34521" xr:uid="{00000000-0005-0000-0000-00002D7A0000}"/>
    <cellStyle name="注释 3 17 5 2 4" xfId="34522" xr:uid="{00000000-0005-0000-0000-00002E7A0000}"/>
    <cellStyle name="注释 3 17 5 2 5" xfId="34523" xr:uid="{00000000-0005-0000-0000-00002F7A0000}"/>
    <cellStyle name="注释 3 17 5 2 6" xfId="34524" xr:uid="{00000000-0005-0000-0000-0000307A0000}"/>
    <cellStyle name="注释 3 17 5 2 7" xfId="34525" xr:uid="{00000000-0005-0000-0000-0000317A0000}"/>
    <cellStyle name="注释 3 17 5 2 8" xfId="11936" xr:uid="{00000000-0005-0000-0000-0000327A0000}"/>
    <cellStyle name="注释 3 17 5 3" xfId="22835" xr:uid="{00000000-0005-0000-0000-0000337A0000}"/>
    <cellStyle name="注释 3 17 5 4" xfId="22883" xr:uid="{00000000-0005-0000-0000-0000347A0000}"/>
    <cellStyle name="注释 3 17 5 5" xfId="21704" xr:uid="{00000000-0005-0000-0000-0000357A0000}"/>
    <cellStyle name="注释 3 17 5 6" xfId="21707" xr:uid="{00000000-0005-0000-0000-0000367A0000}"/>
    <cellStyle name="注释 3 17 5 6 2" xfId="33605" xr:uid="{00000000-0005-0000-0000-0000377A0000}"/>
    <cellStyle name="注释 3 17 5 6 3" xfId="34526" xr:uid="{00000000-0005-0000-0000-0000387A0000}"/>
    <cellStyle name="注释 3 17 5 7" xfId="14377" xr:uid="{00000000-0005-0000-0000-0000397A0000}"/>
    <cellStyle name="注释 3 17 5 8" xfId="14383" xr:uid="{00000000-0005-0000-0000-00003A7A0000}"/>
    <cellStyle name="注释 3 17 5 9" xfId="21710" xr:uid="{00000000-0005-0000-0000-00003B7A0000}"/>
    <cellStyle name="注释 3 17 6" xfId="22034" xr:uid="{00000000-0005-0000-0000-00003C7A0000}"/>
    <cellStyle name="注释 3 17 6 2" xfId="23227" xr:uid="{00000000-0005-0000-0000-00003D7A0000}"/>
    <cellStyle name="注释 3 17 6 2 2" xfId="26435" xr:uid="{00000000-0005-0000-0000-00003E7A0000}"/>
    <cellStyle name="注释 3 17 6 2 3" xfId="26437" xr:uid="{00000000-0005-0000-0000-00003F7A0000}"/>
    <cellStyle name="注释 3 17 6 3" xfId="23020" xr:uid="{00000000-0005-0000-0000-0000407A0000}"/>
    <cellStyle name="注释 3 17 6 4" xfId="8555" xr:uid="{00000000-0005-0000-0000-0000417A0000}"/>
    <cellStyle name="注释 3 17 6 5" xfId="8562" xr:uid="{00000000-0005-0000-0000-0000427A0000}"/>
    <cellStyle name="注释 3 17 6 6" xfId="21362" xr:uid="{00000000-0005-0000-0000-0000437A0000}"/>
    <cellStyle name="注释 3 17 6 7" xfId="21368" xr:uid="{00000000-0005-0000-0000-0000447A0000}"/>
    <cellStyle name="注释 3 17 6 8" xfId="21374" xr:uid="{00000000-0005-0000-0000-0000457A0000}"/>
    <cellStyle name="注释 3 17 7" xfId="34527" xr:uid="{00000000-0005-0000-0000-0000467A0000}"/>
    <cellStyle name="注释 3 17 8" xfId="18882" xr:uid="{00000000-0005-0000-0000-0000477A0000}"/>
    <cellStyle name="注释 3 17 9" xfId="18885" xr:uid="{00000000-0005-0000-0000-0000487A0000}"/>
    <cellStyle name="注释 3 17 9 2" xfId="18879" xr:uid="{00000000-0005-0000-0000-0000497A0000}"/>
    <cellStyle name="注释 3 17 9 3" xfId="23243" xr:uid="{00000000-0005-0000-0000-00004A7A0000}"/>
    <cellStyle name="注释 3 18" xfId="34193" xr:uid="{00000000-0005-0000-0000-00004B7A0000}"/>
    <cellStyle name="注释 3 18 10" xfId="34528" xr:uid="{00000000-0005-0000-0000-00004C7A0000}"/>
    <cellStyle name="注释 3 18 11" xfId="34529" xr:uid="{00000000-0005-0000-0000-00004D7A0000}"/>
    <cellStyle name="注释 3 18 12" xfId="27334" xr:uid="{00000000-0005-0000-0000-00004E7A0000}"/>
    <cellStyle name="注释 3 18 13" xfId="27336" xr:uid="{00000000-0005-0000-0000-00004F7A0000}"/>
    <cellStyle name="注释 3 18 14" xfId="34530" xr:uid="{00000000-0005-0000-0000-0000507A0000}"/>
    <cellStyle name="注释 3 18 2" xfId="18137" xr:uid="{00000000-0005-0000-0000-0000517A0000}"/>
    <cellStyle name="注释 3 18 3" xfId="18140" xr:uid="{00000000-0005-0000-0000-0000527A0000}"/>
    <cellStyle name="注释 3 18 4" xfId="18143" xr:uid="{00000000-0005-0000-0000-0000537A0000}"/>
    <cellStyle name="注释 3 18 5" xfId="34531" xr:uid="{00000000-0005-0000-0000-0000547A0000}"/>
    <cellStyle name="注释 3 18 5 10" xfId="29420" xr:uid="{00000000-0005-0000-0000-0000557A0000}"/>
    <cellStyle name="注释 3 18 5 11" xfId="29451" xr:uid="{00000000-0005-0000-0000-0000567A0000}"/>
    <cellStyle name="注释 3 18 5 2" xfId="34532" xr:uid="{00000000-0005-0000-0000-0000577A0000}"/>
    <cellStyle name="注释 3 18 5 2 2" xfId="34533" xr:uid="{00000000-0005-0000-0000-0000587A0000}"/>
    <cellStyle name="注释 3 18 5 2 2 2" xfId="34534" xr:uid="{00000000-0005-0000-0000-0000597A0000}"/>
    <cellStyle name="注释 3 18 5 2 2 3" xfId="34535" xr:uid="{00000000-0005-0000-0000-00005A7A0000}"/>
    <cellStyle name="注释 3 18 5 2 3" xfId="25081" xr:uid="{00000000-0005-0000-0000-00005B7A0000}"/>
    <cellStyle name="注释 3 18 5 2 4" xfId="25083" xr:uid="{00000000-0005-0000-0000-00005C7A0000}"/>
    <cellStyle name="注释 3 18 5 2 5" xfId="34536" xr:uid="{00000000-0005-0000-0000-00005D7A0000}"/>
    <cellStyle name="注释 3 18 5 2 6" xfId="34537" xr:uid="{00000000-0005-0000-0000-00005E7A0000}"/>
    <cellStyle name="注释 3 18 5 2 7" xfId="34538" xr:uid="{00000000-0005-0000-0000-00005F7A0000}"/>
    <cellStyle name="注释 3 18 5 2 8" xfId="13507" xr:uid="{00000000-0005-0000-0000-0000607A0000}"/>
    <cellStyle name="注释 3 18 5 3" xfId="20734" xr:uid="{00000000-0005-0000-0000-0000617A0000}"/>
    <cellStyle name="注释 3 18 5 4" xfId="13968" xr:uid="{00000000-0005-0000-0000-0000627A0000}"/>
    <cellStyle name="注释 3 18 5 5" xfId="13987" xr:uid="{00000000-0005-0000-0000-0000637A0000}"/>
    <cellStyle name="注释 3 18 5 6" xfId="13997" xr:uid="{00000000-0005-0000-0000-0000647A0000}"/>
    <cellStyle name="注释 3 18 5 6 2" xfId="34539" xr:uid="{00000000-0005-0000-0000-0000657A0000}"/>
    <cellStyle name="注释 3 18 5 6 3" xfId="34540" xr:uid="{00000000-0005-0000-0000-0000667A0000}"/>
    <cellStyle name="注释 3 18 5 7" xfId="12357" xr:uid="{00000000-0005-0000-0000-0000677A0000}"/>
    <cellStyle name="注释 3 18 5 8" xfId="12368" xr:uid="{00000000-0005-0000-0000-0000687A0000}"/>
    <cellStyle name="注释 3 18 5 9" xfId="12375" xr:uid="{00000000-0005-0000-0000-0000697A0000}"/>
    <cellStyle name="注释 3 18 6" xfId="34541" xr:uid="{00000000-0005-0000-0000-00006A7A0000}"/>
    <cellStyle name="注释 3 18 6 2" xfId="34542" xr:uid="{00000000-0005-0000-0000-00006B7A0000}"/>
    <cellStyle name="注释 3 18 6 2 2" xfId="34543" xr:uid="{00000000-0005-0000-0000-00006C7A0000}"/>
    <cellStyle name="注释 3 18 6 2 3" xfId="34544" xr:uid="{00000000-0005-0000-0000-00006D7A0000}"/>
    <cellStyle name="注释 3 18 6 3" xfId="23719" xr:uid="{00000000-0005-0000-0000-00006E7A0000}"/>
    <cellStyle name="注释 3 18 6 4" xfId="21765" xr:uid="{00000000-0005-0000-0000-00006F7A0000}"/>
    <cellStyle name="注释 3 18 6 5" xfId="21771" xr:uid="{00000000-0005-0000-0000-0000707A0000}"/>
    <cellStyle name="注释 3 18 6 6" xfId="23796" xr:uid="{00000000-0005-0000-0000-0000717A0000}"/>
    <cellStyle name="注释 3 18 6 7" xfId="23800" xr:uid="{00000000-0005-0000-0000-0000727A0000}"/>
    <cellStyle name="注释 3 18 6 8" xfId="23804" xr:uid="{00000000-0005-0000-0000-0000737A0000}"/>
    <cellStyle name="注释 3 18 7" xfId="34545" xr:uid="{00000000-0005-0000-0000-0000747A0000}"/>
    <cellStyle name="注释 3 18 8" xfId="1919" xr:uid="{00000000-0005-0000-0000-0000757A0000}"/>
    <cellStyle name="注释 3 18 9" xfId="1943" xr:uid="{00000000-0005-0000-0000-0000767A0000}"/>
    <cellStyle name="注释 3 18 9 2" xfId="27357" xr:uid="{00000000-0005-0000-0000-0000777A0000}"/>
    <cellStyle name="注释 3 18 9 3" xfId="6290" xr:uid="{00000000-0005-0000-0000-0000787A0000}"/>
    <cellStyle name="注释 3 19" xfId="34546" xr:uid="{00000000-0005-0000-0000-0000797A0000}"/>
    <cellStyle name="注释 3 19 10" xfId="34547" xr:uid="{00000000-0005-0000-0000-00007A7A0000}"/>
    <cellStyle name="注释 3 19 11" xfId="34548" xr:uid="{00000000-0005-0000-0000-00007B7A0000}"/>
    <cellStyle name="注释 3 19 12" xfId="34549" xr:uid="{00000000-0005-0000-0000-00007C7A0000}"/>
    <cellStyle name="注释 3 19 13" xfId="34550" xr:uid="{00000000-0005-0000-0000-00007D7A0000}"/>
    <cellStyle name="注释 3 19 14" xfId="34551" xr:uid="{00000000-0005-0000-0000-00007E7A0000}"/>
    <cellStyle name="注释 3 19 2" xfId="18150" xr:uid="{00000000-0005-0000-0000-00007F7A0000}"/>
    <cellStyle name="注释 3 19 3" xfId="18153" xr:uid="{00000000-0005-0000-0000-0000807A0000}"/>
    <cellStyle name="注释 3 19 4" xfId="26193" xr:uid="{00000000-0005-0000-0000-0000817A0000}"/>
    <cellStyle name="注释 3 19 5" xfId="26888" xr:uid="{00000000-0005-0000-0000-0000827A0000}"/>
    <cellStyle name="注释 3 19 5 10" xfId="5112" xr:uid="{00000000-0005-0000-0000-0000837A0000}"/>
    <cellStyle name="注释 3 19 5 11" xfId="18321" xr:uid="{00000000-0005-0000-0000-0000847A0000}"/>
    <cellStyle name="注释 3 19 5 2" xfId="34552" xr:uid="{00000000-0005-0000-0000-0000857A0000}"/>
    <cellStyle name="注释 3 19 5 2 2" xfId="34553" xr:uid="{00000000-0005-0000-0000-0000867A0000}"/>
    <cellStyle name="注释 3 19 5 2 2 2" xfId="34554" xr:uid="{00000000-0005-0000-0000-0000877A0000}"/>
    <cellStyle name="注释 3 19 5 2 2 3" xfId="34555" xr:uid="{00000000-0005-0000-0000-0000887A0000}"/>
    <cellStyle name="注释 3 19 5 2 3" xfId="34556" xr:uid="{00000000-0005-0000-0000-0000897A0000}"/>
    <cellStyle name="注释 3 19 5 2 4" xfId="22543" xr:uid="{00000000-0005-0000-0000-00008A7A0000}"/>
    <cellStyle name="注释 3 19 5 2 5" xfId="22549" xr:uid="{00000000-0005-0000-0000-00008B7A0000}"/>
    <cellStyle name="注释 3 19 5 2 6" xfId="22551" xr:uid="{00000000-0005-0000-0000-00008C7A0000}"/>
    <cellStyle name="注释 3 19 5 2 7" xfId="22553" xr:uid="{00000000-0005-0000-0000-00008D7A0000}"/>
    <cellStyle name="注释 3 19 5 2 8" xfId="22555" xr:uid="{00000000-0005-0000-0000-00008E7A0000}"/>
    <cellStyle name="注释 3 19 5 3" xfId="19559" xr:uid="{00000000-0005-0000-0000-00008F7A0000}"/>
    <cellStyle name="注释 3 19 5 4" xfId="19593" xr:uid="{00000000-0005-0000-0000-0000907A0000}"/>
    <cellStyle name="注释 3 19 5 5" xfId="19601" xr:uid="{00000000-0005-0000-0000-0000917A0000}"/>
    <cellStyle name="注释 3 19 5 6" xfId="19605" xr:uid="{00000000-0005-0000-0000-0000927A0000}"/>
    <cellStyle name="注释 3 19 5 6 2" xfId="5206" xr:uid="{00000000-0005-0000-0000-0000937A0000}"/>
    <cellStyle name="注释 3 19 5 6 3" xfId="18370" xr:uid="{00000000-0005-0000-0000-0000947A0000}"/>
    <cellStyle name="注释 3 19 5 7" xfId="19610" xr:uid="{00000000-0005-0000-0000-0000957A0000}"/>
    <cellStyle name="注释 3 19 5 8" xfId="22563" xr:uid="{00000000-0005-0000-0000-0000967A0000}"/>
    <cellStyle name="注释 3 19 5 9" xfId="22566" xr:uid="{00000000-0005-0000-0000-0000977A0000}"/>
    <cellStyle name="注释 3 19 6" xfId="26890" xr:uid="{00000000-0005-0000-0000-0000987A0000}"/>
    <cellStyle name="注释 3 19 6 2" xfId="34557" xr:uid="{00000000-0005-0000-0000-0000997A0000}"/>
    <cellStyle name="注释 3 19 6 2 2" xfId="1408" xr:uid="{00000000-0005-0000-0000-00009A7A0000}"/>
    <cellStyle name="注释 3 19 6 2 3" xfId="1422" xr:uid="{00000000-0005-0000-0000-00009B7A0000}"/>
    <cellStyle name="注释 3 19 6 3" xfId="24275" xr:uid="{00000000-0005-0000-0000-00009C7A0000}"/>
    <cellStyle name="注释 3 19 6 4" xfId="19682" xr:uid="{00000000-0005-0000-0000-00009D7A0000}"/>
    <cellStyle name="注释 3 19 6 5" xfId="19685" xr:uid="{00000000-0005-0000-0000-00009E7A0000}"/>
    <cellStyle name="注释 3 19 6 6" xfId="24326" xr:uid="{00000000-0005-0000-0000-00009F7A0000}"/>
    <cellStyle name="注释 3 19 6 7" xfId="24330" xr:uid="{00000000-0005-0000-0000-0000A07A0000}"/>
    <cellStyle name="注释 3 19 6 8" xfId="24334" xr:uid="{00000000-0005-0000-0000-0000A17A0000}"/>
    <cellStyle name="注释 3 19 7" xfId="26892" xr:uid="{00000000-0005-0000-0000-0000A27A0000}"/>
    <cellStyle name="注释 3 19 8" xfId="6817" xr:uid="{00000000-0005-0000-0000-0000A37A0000}"/>
    <cellStyle name="注释 3 19 9" xfId="6826" xr:uid="{00000000-0005-0000-0000-0000A47A0000}"/>
    <cellStyle name="注释 3 19 9 2" xfId="34558" xr:uid="{00000000-0005-0000-0000-0000A57A0000}"/>
    <cellStyle name="注释 3 19 9 3" xfId="6846" xr:uid="{00000000-0005-0000-0000-0000A67A0000}"/>
    <cellStyle name="注释 3 2" xfId="12655" xr:uid="{00000000-0005-0000-0000-0000A77A0000}"/>
    <cellStyle name="注释 3 2 10" xfId="31046" xr:uid="{00000000-0005-0000-0000-0000A87A0000}"/>
    <cellStyle name="注释 3 2 11" xfId="31050" xr:uid="{00000000-0005-0000-0000-0000A97A0000}"/>
    <cellStyle name="注释 3 2 12" xfId="31052" xr:uid="{00000000-0005-0000-0000-0000AA7A0000}"/>
    <cellStyle name="注释 3 2 13" xfId="26186" xr:uid="{00000000-0005-0000-0000-0000AB7A0000}"/>
    <cellStyle name="注释 3 2 14" xfId="26191" xr:uid="{00000000-0005-0000-0000-0000AC7A0000}"/>
    <cellStyle name="注释 3 2 2" xfId="7006" xr:uid="{00000000-0005-0000-0000-0000AD7A0000}"/>
    <cellStyle name="注释 3 2 3" xfId="2768" xr:uid="{00000000-0005-0000-0000-0000AE7A0000}"/>
    <cellStyle name="注释 3 2 4" xfId="31950" xr:uid="{00000000-0005-0000-0000-0000AF7A0000}"/>
    <cellStyle name="注释 3 2 5" xfId="31952" xr:uid="{00000000-0005-0000-0000-0000B07A0000}"/>
    <cellStyle name="注释 3 2 6" xfId="31954" xr:uid="{00000000-0005-0000-0000-0000B17A0000}"/>
    <cellStyle name="注释 3 2 7" xfId="13265" xr:uid="{00000000-0005-0000-0000-0000B27A0000}"/>
    <cellStyle name="注释 3 2 8" xfId="11201" xr:uid="{00000000-0005-0000-0000-0000B37A0000}"/>
    <cellStyle name="注释 3 2 9" xfId="11208" xr:uid="{00000000-0005-0000-0000-0000B47A0000}"/>
    <cellStyle name="注释 3 20" xfId="25936" xr:uid="{00000000-0005-0000-0000-0000B57A0000}"/>
    <cellStyle name="注释 3 20 10" xfId="33911" xr:uid="{00000000-0005-0000-0000-0000B67A0000}"/>
    <cellStyle name="注释 3 20 11" xfId="33913" xr:uid="{00000000-0005-0000-0000-0000B77A0000}"/>
    <cellStyle name="注释 3 20 12" xfId="33915" xr:uid="{00000000-0005-0000-0000-0000B87A0000}"/>
    <cellStyle name="注释 3 20 13" xfId="34559" xr:uid="{00000000-0005-0000-0000-0000B97A0000}"/>
    <cellStyle name="注释 3 20 14" xfId="34560" xr:uid="{00000000-0005-0000-0000-0000BA7A0000}"/>
    <cellStyle name="注释 3 20 2" xfId="34561" xr:uid="{00000000-0005-0000-0000-0000BB7A0000}"/>
    <cellStyle name="注释 3 20 3" xfId="34562" xr:uid="{00000000-0005-0000-0000-0000BC7A0000}"/>
    <cellStyle name="注释 3 20 4" xfId="34563" xr:uid="{00000000-0005-0000-0000-0000BD7A0000}"/>
    <cellStyle name="注释 3 20 5" xfId="34565" xr:uid="{00000000-0005-0000-0000-0000BE7A0000}"/>
    <cellStyle name="注释 3 20 5 10" xfId="15930" xr:uid="{00000000-0005-0000-0000-0000BF7A0000}"/>
    <cellStyle name="注释 3 20 5 11" xfId="34568" xr:uid="{00000000-0005-0000-0000-0000C07A0000}"/>
    <cellStyle name="注释 3 20 5 2" xfId="34569" xr:uid="{00000000-0005-0000-0000-0000C17A0000}"/>
    <cellStyle name="注释 3 20 5 2 2" xfId="34570" xr:uid="{00000000-0005-0000-0000-0000C27A0000}"/>
    <cellStyle name="注释 3 20 5 2 2 2" xfId="34571" xr:uid="{00000000-0005-0000-0000-0000C37A0000}"/>
    <cellStyle name="注释 3 20 5 2 2 3" xfId="34572" xr:uid="{00000000-0005-0000-0000-0000C47A0000}"/>
    <cellStyle name="注释 3 20 5 2 3" xfId="32252" xr:uid="{00000000-0005-0000-0000-0000C57A0000}"/>
    <cellStyle name="注释 3 20 5 2 4" xfId="32254" xr:uid="{00000000-0005-0000-0000-0000C67A0000}"/>
    <cellStyle name="注释 3 20 5 2 5" xfId="34573" xr:uid="{00000000-0005-0000-0000-0000C77A0000}"/>
    <cellStyle name="注释 3 20 5 2 6" xfId="14291" xr:uid="{00000000-0005-0000-0000-0000C87A0000}"/>
    <cellStyle name="注释 3 20 5 2 7" xfId="3440" xr:uid="{00000000-0005-0000-0000-0000C97A0000}"/>
    <cellStyle name="注释 3 20 5 2 8" xfId="3458" xr:uid="{00000000-0005-0000-0000-0000CA7A0000}"/>
    <cellStyle name="注释 3 20 5 3" xfId="3713" xr:uid="{00000000-0005-0000-0000-0000CB7A0000}"/>
    <cellStyle name="注释 3 20 5 4" xfId="3735" xr:uid="{00000000-0005-0000-0000-0000CC7A0000}"/>
    <cellStyle name="注释 3 20 5 5" xfId="21527" xr:uid="{00000000-0005-0000-0000-0000CD7A0000}"/>
    <cellStyle name="注释 3 20 5 6" xfId="21543" xr:uid="{00000000-0005-0000-0000-0000CE7A0000}"/>
    <cellStyle name="注释 3 20 5 6 2" xfId="22572" xr:uid="{00000000-0005-0000-0000-0000CF7A0000}"/>
    <cellStyle name="注释 3 20 5 6 3" xfId="22176" xr:uid="{00000000-0005-0000-0000-0000D07A0000}"/>
    <cellStyle name="注释 3 20 5 7" xfId="21545" xr:uid="{00000000-0005-0000-0000-0000D17A0000}"/>
    <cellStyle name="注释 3 20 5 8" xfId="18627" xr:uid="{00000000-0005-0000-0000-0000D27A0000}"/>
    <cellStyle name="注释 3 20 5 9" xfId="18633" xr:uid="{00000000-0005-0000-0000-0000D37A0000}"/>
    <cellStyle name="注释 3 20 6" xfId="34574" xr:uid="{00000000-0005-0000-0000-0000D47A0000}"/>
    <cellStyle name="注释 3 20 6 2" xfId="29750" xr:uid="{00000000-0005-0000-0000-0000D57A0000}"/>
    <cellStyle name="注释 3 20 6 2 2" xfId="7017" xr:uid="{00000000-0005-0000-0000-0000D67A0000}"/>
    <cellStyle name="注释 3 20 6 2 3" xfId="7025" xr:uid="{00000000-0005-0000-0000-0000D77A0000}"/>
    <cellStyle name="注释 3 20 6 3" xfId="21640" xr:uid="{00000000-0005-0000-0000-0000D87A0000}"/>
    <cellStyle name="注释 3 20 6 4" xfId="21690" xr:uid="{00000000-0005-0000-0000-0000D97A0000}"/>
    <cellStyle name="注释 3 20 6 5" xfId="21720" xr:uid="{00000000-0005-0000-0000-0000DA7A0000}"/>
    <cellStyle name="注释 3 20 6 6" xfId="21732" xr:uid="{00000000-0005-0000-0000-0000DB7A0000}"/>
    <cellStyle name="注释 3 20 6 7" xfId="21735" xr:uid="{00000000-0005-0000-0000-0000DC7A0000}"/>
    <cellStyle name="注释 3 20 6 8" xfId="21737" xr:uid="{00000000-0005-0000-0000-0000DD7A0000}"/>
    <cellStyle name="注释 3 20 7" xfId="34575" xr:uid="{00000000-0005-0000-0000-0000DE7A0000}"/>
    <cellStyle name="注释 3 20 8" xfId="19070" xr:uid="{00000000-0005-0000-0000-0000DF7A0000}"/>
    <cellStyle name="注释 3 20 9" xfId="19072" xr:uid="{00000000-0005-0000-0000-0000E07A0000}"/>
    <cellStyle name="注释 3 20 9 2" xfId="3398" xr:uid="{00000000-0005-0000-0000-0000E17A0000}"/>
    <cellStyle name="注释 3 20 9 3" xfId="508" xr:uid="{00000000-0005-0000-0000-0000E27A0000}"/>
    <cellStyle name="注释 3 3" xfId="31956" xr:uid="{00000000-0005-0000-0000-0000E37A0000}"/>
    <cellStyle name="注释 3 3 10" xfId="20499" xr:uid="{00000000-0005-0000-0000-0000E47A0000}"/>
    <cellStyle name="注释 3 3 11" xfId="20501" xr:uid="{00000000-0005-0000-0000-0000E57A0000}"/>
    <cellStyle name="注释 3 3 12" xfId="16855" xr:uid="{00000000-0005-0000-0000-0000E67A0000}"/>
    <cellStyle name="注释 3 3 13" xfId="11774" xr:uid="{00000000-0005-0000-0000-0000E77A0000}"/>
    <cellStyle name="注释 3 3 14" xfId="11783" xr:uid="{00000000-0005-0000-0000-0000E87A0000}"/>
    <cellStyle name="注释 3 3 2" xfId="7066" xr:uid="{00000000-0005-0000-0000-0000E97A0000}"/>
    <cellStyle name="注释 3 3 3" xfId="34576" xr:uid="{00000000-0005-0000-0000-0000EA7A0000}"/>
    <cellStyle name="注释 3 3 4" xfId="34577" xr:uid="{00000000-0005-0000-0000-0000EB7A0000}"/>
    <cellStyle name="注释 3 3 5" xfId="34578" xr:uid="{00000000-0005-0000-0000-0000EC7A0000}"/>
    <cellStyle name="注释 3 3 6" xfId="34579" xr:uid="{00000000-0005-0000-0000-0000ED7A0000}"/>
    <cellStyle name="注释 3 3 7" xfId="34580" xr:uid="{00000000-0005-0000-0000-0000EE7A0000}"/>
    <cellStyle name="注释 3 3 8" xfId="34581" xr:uid="{00000000-0005-0000-0000-0000EF7A0000}"/>
    <cellStyle name="注释 3 3 9" xfId="34582" xr:uid="{00000000-0005-0000-0000-0000F07A0000}"/>
    <cellStyle name="注释 3 4" xfId="31958" xr:uid="{00000000-0005-0000-0000-0000F17A0000}"/>
    <cellStyle name="注释 3 4 10" xfId="34583" xr:uid="{00000000-0005-0000-0000-0000F27A0000}"/>
    <cellStyle name="注释 3 4 11" xfId="34584" xr:uid="{00000000-0005-0000-0000-0000F37A0000}"/>
    <cellStyle name="注释 3 4 12" xfId="26149" xr:uid="{00000000-0005-0000-0000-0000F47A0000}"/>
    <cellStyle name="注释 3 4 13" xfId="26151" xr:uid="{00000000-0005-0000-0000-0000F57A0000}"/>
    <cellStyle name="注释 3 4 14" xfId="33700" xr:uid="{00000000-0005-0000-0000-0000F67A0000}"/>
    <cellStyle name="注释 3 4 2" xfId="34586" xr:uid="{00000000-0005-0000-0000-0000F77A0000}"/>
    <cellStyle name="注释 3 4 3" xfId="34588" xr:uid="{00000000-0005-0000-0000-0000F87A0000}"/>
    <cellStyle name="注释 3 4 4" xfId="34590" xr:uid="{00000000-0005-0000-0000-0000F97A0000}"/>
    <cellStyle name="注释 3 4 5" xfId="34592" xr:uid="{00000000-0005-0000-0000-0000FA7A0000}"/>
    <cellStyle name="注释 3 4 6" xfId="34593" xr:uid="{00000000-0005-0000-0000-0000FB7A0000}"/>
    <cellStyle name="注释 3 4 7" xfId="19654" xr:uid="{00000000-0005-0000-0000-0000FC7A0000}"/>
    <cellStyle name="注释 3 4 8" xfId="19656" xr:uid="{00000000-0005-0000-0000-0000FD7A0000}"/>
    <cellStyle name="注释 3 4 9" xfId="29805" xr:uid="{00000000-0005-0000-0000-0000FE7A0000}"/>
    <cellStyle name="注释 3 5" xfId="31960" xr:uid="{00000000-0005-0000-0000-0000FF7A0000}"/>
    <cellStyle name="注释 3 6" xfId="27655" xr:uid="{00000000-0005-0000-0000-0000007B0000}"/>
    <cellStyle name="注释 3 7" xfId="27657" xr:uid="{00000000-0005-0000-0000-0000017B0000}"/>
    <cellStyle name="注释 3 8" xfId="34594" xr:uid="{00000000-0005-0000-0000-0000027B0000}"/>
    <cellStyle name="注释 3 9" xfId="34595" xr:uid="{00000000-0005-0000-0000-0000037B0000}"/>
    <cellStyle name="注释 4" xfId="24698" xr:uid="{00000000-0005-0000-0000-0000047B0000}"/>
    <cellStyle name="注释 4 10" xfId="34597" xr:uid="{00000000-0005-0000-0000-0000057B0000}"/>
    <cellStyle name="注释 4 11" xfId="34599" xr:uid="{00000000-0005-0000-0000-0000067B0000}"/>
    <cellStyle name="注释 4 12" xfId="34601" xr:uid="{00000000-0005-0000-0000-0000077B0000}"/>
    <cellStyle name="注释 4 13" xfId="34602" xr:uid="{00000000-0005-0000-0000-0000087B0000}"/>
    <cellStyle name="注释 4 14" xfId="34603" xr:uid="{00000000-0005-0000-0000-0000097B0000}"/>
    <cellStyle name="注释 4 15" xfId="8607" xr:uid="{00000000-0005-0000-0000-00000A7B0000}"/>
    <cellStyle name="注释 4 16" xfId="11849" xr:uid="{00000000-0005-0000-0000-00000B7B0000}"/>
    <cellStyle name="注释 4 17" xfId="9137" xr:uid="{00000000-0005-0000-0000-00000C7B0000}"/>
    <cellStyle name="注释 4 17 10" xfId="34348" xr:uid="{00000000-0005-0000-0000-00000D7B0000}"/>
    <cellStyle name="注释 4 17 11" xfId="34350" xr:uid="{00000000-0005-0000-0000-00000E7B0000}"/>
    <cellStyle name="注释 4 17 12" xfId="34352" xr:uid="{00000000-0005-0000-0000-00000F7B0000}"/>
    <cellStyle name="注释 4 17 13" xfId="34354" xr:uid="{00000000-0005-0000-0000-0000107B0000}"/>
    <cellStyle name="注释 4 17 14" xfId="34604" xr:uid="{00000000-0005-0000-0000-0000117B0000}"/>
    <cellStyle name="注释 4 17 2" xfId="22398" xr:uid="{00000000-0005-0000-0000-0000127B0000}"/>
    <cellStyle name="注释 4 17 3" xfId="22437" xr:uid="{00000000-0005-0000-0000-0000137B0000}"/>
    <cellStyle name="注释 4 17 4" xfId="21528" xr:uid="{00000000-0005-0000-0000-0000147B0000}"/>
    <cellStyle name="注释 4 17 5" xfId="1426" xr:uid="{00000000-0005-0000-0000-0000157B0000}"/>
    <cellStyle name="注释 4 17 5 10" xfId="34605" xr:uid="{00000000-0005-0000-0000-0000167B0000}"/>
    <cellStyle name="注释 4 17 5 11" xfId="34606" xr:uid="{00000000-0005-0000-0000-0000177B0000}"/>
    <cellStyle name="注释 4 17 5 2" xfId="33249" xr:uid="{00000000-0005-0000-0000-0000187B0000}"/>
    <cellStyle name="注释 4 17 5 2 2" xfId="34607" xr:uid="{00000000-0005-0000-0000-0000197B0000}"/>
    <cellStyle name="注释 4 17 5 2 2 2" xfId="34608" xr:uid="{00000000-0005-0000-0000-00001A7B0000}"/>
    <cellStyle name="注释 4 17 5 2 2 3" xfId="34609" xr:uid="{00000000-0005-0000-0000-00001B7B0000}"/>
    <cellStyle name="注释 4 17 5 2 3" xfId="34610" xr:uid="{00000000-0005-0000-0000-00001C7B0000}"/>
    <cellStyle name="注释 4 17 5 2 4" xfId="34611" xr:uid="{00000000-0005-0000-0000-00001D7B0000}"/>
    <cellStyle name="注释 4 17 5 2 5" xfId="34612" xr:uid="{00000000-0005-0000-0000-00001E7B0000}"/>
    <cellStyle name="注释 4 17 5 2 6" xfId="34613" xr:uid="{00000000-0005-0000-0000-00001F7B0000}"/>
    <cellStyle name="注释 4 17 5 2 7" xfId="34614" xr:uid="{00000000-0005-0000-0000-0000207B0000}"/>
    <cellStyle name="注释 4 17 5 2 8" xfId="34615" xr:uid="{00000000-0005-0000-0000-0000217B0000}"/>
    <cellStyle name="注释 4 17 5 3" xfId="33251" xr:uid="{00000000-0005-0000-0000-0000227B0000}"/>
    <cellStyle name="注释 4 17 5 4" xfId="33253" xr:uid="{00000000-0005-0000-0000-0000237B0000}"/>
    <cellStyle name="注释 4 17 5 5" xfId="13512" xr:uid="{00000000-0005-0000-0000-0000247B0000}"/>
    <cellStyle name="注释 4 17 5 6" xfId="13516" xr:uid="{00000000-0005-0000-0000-0000257B0000}"/>
    <cellStyle name="注释 4 17 5 6 2" xfId="9575" xr:uid="{00000000-0005-0000-0000-0000267B0000}"/>
    <cellStyle name="注释 4 17 5 6 3" xfId="11336" xr:uid="{00000000-0005-0000-0000-0000277B0000}"/>
    <cellStyle name="注释 4 17 5 7" xfId="34616" xr:uid="{00000000-0005-0000-0000-0000287B0000}"/>
    <cellStyle name="注释 4 17 5 8" xfId="34617" xr:uid="{00000000-0005-0000-0000-0000297B0000}"/>
    <cellStyle name="注释 4 17 5 9" xfId="25980" xr:uid="{00000000-0005-0000-0000-00002A7B0000}"/>
    <cellStyle name="注释 4 17 6" xfId="1457" xr:uid="{00000000-0005-0000-0000-00002B7B0000}"/>
    <cellStyle name="注释 4 17 6 2" xfId="21634" xr:uid="{00000000-0005-0000-0000-00002C7B0000}"/>
    <cellStyle name="注释 4 17 6 2 2" xfId="34618" xr:uid="{00000000-0005-0000-0000-00002D7B0000}"/>
    <cellStyle name="注释 4 17 6 2 3" xfId="34619" xr:uid="{00000000-0005-0000-0000-00002E7B0000}"/>
    <cellStyle name="注释 4 17 6 3" xfId="21637" xr:uid="{00000000-0005-0000-0000-00002F7B0000}"/>
    <cellStyle name="注释 4 17 6 4" xfId="33258" xr:uid="{00000000-0005-0000-0000-0000307B0000}"/>
    <cellStyle name="注释 4 17 6 5" xfId="33260" xr:uid="{00000000-0005-0000-0000-0000317B0000}"/>
    <cellStyle name="注释 4 17 6 6" xfId="33262" xr:uid="{00000000-0005-0000-0000-0000327B0000}"/>
    <cellStyle name="注释 4 17 6 7" xfId="34620" xr:uid="{00000000-0005-0000-0000-0000337B0000}"/>
    <cellStyle name="注释 4 17 6 8" xfId="34621" xr:uid="{00000000-0005-0000-0000-0000347B0000}"/>
    <cellStyle name="注释 4 17 7" xfId="21530" xr:uid="{00000000-0005-0000-0000-0000357B0000}"/>
    <cellStyle name="注释 4 17 8" xfId="19166" xr:uid="{00000000-0005-0000-0000-0000367B0000}"/>
    <cellStyle name="注释 4 17 9" xfId="19172" xr:uid="{00000000-0005-0000-0000-0000377B0000}"/>
    <cellStyle name="注释 4 17 9 2" xfId="22111" xr:uid="{00000000-0005-0000-0000-0000387B0000}"/>
    <cellStyle name="注释 4 17 9 3" xfId="34623" xr:uid="{00000000-0005-0000-0000-0000397B0000}"/>
    <cellStyle name="注释 4 18" xfId="9147" xr:uid="{00000000-0005-0000-0000-00003A7B0000}"/>
    <cellStyle name="注释 4 18 10" xfId="34624" xr:uid="{00000000-0005-0000-0000-00003B7B0000}"/>
    <cellStyle name="注释 4 18 11" xfId="34625" xr:uid="{00000000-0005-0000-0000-00003C7B0000}"/>
    <cellStyle name="注释 4 18 12" xfId="34626" xr:uid="{00000000-0005-0000-0000-00003D7B0000}"/>
    <cellStyle name="注释 4 18 13" xfId="34627" xr:uid="{00000000-0005-0000-0000-00003E7B0000}"/>
    <cellStyle name="注释 4 18 14" xfId="3758" xr:uid="{00000000-0005-0000-0000-00003F7B0000}"/>
    <cellStyle name="注释 4 18 2" xfId="22403" xr:uid="{00000000-0005-0000-0000-0000407B0000}"/>
    <cellStyle name="注释 4 18 3" xfId="34628" xr:uid="{00000000-0005-0000-0000-0000417B0000}"/>
    <cellStyle name="注释 4 18 4" xfId="34629" xr:uid="{00000000-0005-0000-0000-0000427B0000}"/>
    <cellStyle name="注释 4 18 5" xfId="34630" xr:uid="{00000000-0005-0000-0000-0000437B0000}"/>
    <cellStyle name="注释 4 18 5 10" xfId="6790" xr:uid="{00000000-0005-0000-0000-0000447B0000}"/>
    <cellStyle name="注释 4 18 5 11" xfId="18927" xr:uid="{00000000-0005-0000-0000-0000457B0000}"/>
    <cellStyle name="注释 4 18 5 2" xfId="4808" xr:uid="{00000000-0005-0000-0000-0000467B0000}"/>
    <cellStyle name="注释 4 18 5 2 2" xfId="4141" xr:uid="{00000000-0005-0000-0000-0000477B0000}"/>
    <cellStyle name="注释 4 18 5 2 2 2" xfId="28694" xr:uid="{00000000-0005-0000-0000-0000487B0000}"/>
    <cellStyle name="注释 4 18 5 2 2 3" xfId="28708" xr:uid="{00000000-0005-0000-0000-0000497B0000}"/>
    <cellStyle name="注释 4 18 5 2 3" xfId="4209" xr:uid="{00000000-0005-0000-0000-00004A7B0000}"/>
    <cellStyle name="注释 4 18 5 2 4" xfId="4269" xr:uid="{00000000-0005-0000-0000-00004B7B0000}"/>
    <cellStyle name="注释 4 18 5 2 5" xfId="4279" xr:uid="{00000000-0005-0000-0000-00004C7B0000}"/>
    <cellStyle name="注释 4 18 5 2 6" xfId="4296" xr:uid="{00000000-0005-0000-0000-00004D7B0000}"/>
    <cellStyle name="注释 4 18 5 2 7" xfId="3954" xr:uid="{00000000-0005-0000-0000-00004E7B0000}"/>
    <cellStyle name="注释 4 18 5 2 8" xfId="3973" xr:uid="{00000000-0005-0000-0000-00004F7B0000}"/>
    <cellStyle name="注释 4 18 5 3" xfId="4939" xr:uid="{00000000-0005-0000-0000-0000507B0000}"/>
    <cellStyle name="注释 4 18 5 4" xfId="2565" xr:uid="{00000000-0005-0000-0000-0000517B0000}"/>
    <cellStyle name="注释 4 18 5 5" xfId="34631" xr:uid="{00000000-0005-0000-0000-0000527B0000}"/>
    <cellStyle name="注释 4 18 5 6" xfId="34632" xr:uid="{00000000-0005-0000-0000-0000537B0000}"/>
    <cellStyle name="注释 4 18 5 6 2" xfId="34633" xr:uid="{00000000-0005-0000-0000-0000547B0000}"/>
    <cellStyle name="注释 4 18 5 6 3" xfId="34634" xr:uid="{00000000-0005-0000-0000-0000557B0000}"/>
    <cellStyle name="注释 4 18 5 7" xfId="34635" xr:uid="{00000000-0005-0000-0000-0000567B0000}"/>
    <cellStyle name="注释 4 18 5 8" xfId="34636" xr:uid="{00000000-0005-0000-0000-0000577B0000}"/>
    <cellStyle name="注释 4 18 5 9" xfId="34637" xr:uid="{00000000-0005-0000-0000-0000587B0000}"/>
    <cellStyle name="注释 4 18 6" xfId="34638" xr:uid="{00000000-0005-0000-0000-0000597B0000}"/>
    <cellStyle name="注释 4 18 6 2" xfId="34639" xr:uid="{00000000-0005-0000-0000-00005A7B0000}"/>
    <cellStyle name="注释 4 18 6 2 2" xfId="25065" xr:uid="{00000000-0005-0000-0000-00005B7B0000}"/>
    <cellStyle name="注释 4 18 6 2 3" xfId="31788" xr:uid="{00000000-0005-0000-0000-00005C7B0000}"/>
    <cellStyle name="注释 4 18 6 3" xfId="34640" xr:uid="{00000000-0005-0000-0000-00005D7B0000}"/>
    <cellStyle name="注释 4 18 6 4" xfId="34641" xr:uid="{00000000-0005-0000-0000-00005E7B0000}"/>
    <cellStyle name="注释 4 18 6 5" xfId="34642" xr:uid="{00000000-0005-0000-0000-00005F7B0000}"/>
    <cellStyle name="注释 4 18 6 6" xfId="34643" xr:uid="{00000000-0005-0000-0000-0000607B0000}"/>
    <cellStyle name="注释 4 18 6 7" xfId="34644" xr:uid="{00000000-0005-0000-0000-0000617B0000}"/>
    <cellStyle name="注释 4 18 6 8" xfId="34645" xr:uid="{00000000-0005-0000-0000-0000627B0000}"/>
    <cellStyle name="注释 4 18 7" xfId="34646" xr:uid="{00000000-0005-0000-0000-0000637B0000}"/>
    <cellStyle name="注释 4 18 8" xfId="7294" xr:uid="{00000000-0005-0000-0000-0000647B0000}"/>
    <cellStyle name="注释 4 18 9" xfId="7303" xr:uid="{00000000-0005-0000-0000-0000657B0000}"/>
    <cellStyle name="注释 4 18 9 2" xfId="28188" xr:uid="{00000000-0005-0000-0000-0000667B0000}"/>
    <cellStyle name="注释 4 18 9 3" xfId="34647" xr:uid="{00000000-0005-0000-0000-0000677B0000}"/>
    <cellStyle name="注释 4 19" xfId="11424" xr:uid="{00000000-0005-0000-0000-0000687B0000}"/>
    <cellStyle name="注释 4 19 10" xfId="31992" xr:uid="{00000000-0005-0000-0000-0000697B0000}"/>
    <cellStyle name="注释 4 19 11" xfId="34649" xr:uid="{00000000-0005-0000-0000-00006A7B0000}"/>
    <cellStyle name="注释 4 19 12" xfId="34651" xr:uid="{00000000-0005-0000-0000-00006B7B0000}"/>
    <cellStyle name="注释 4 19 13" xfId="34653" xr:uid="{00000000-0005-0000-0000-00006C7B0000}"/>
    <cellStyle name="注释 4 19 14" xfId="34654" xr:uid="{00000000-0005-0000-0000-00006D7B0000}"/>
    <cellStyle name="注释 4 19 2" xfId="34655" xr:uid="{00000000-0005-0000-0000-00006E7B0000}"/>
    <cellStyle name="注释 4 19 3" xfId="34656" xr:uid="{00000000-0005-0000-0000-00006F7B0000}"/>
    <cellStyle name="注释 4 19 4" xfId="30030" xr:uid="{00000000-0005-0000-0000-0000707B0000}"/>
    <cellStyle name="注释 4 19 5" xfId="30040" xr:uid="{00000000-0005-0000-0000-0000717B0000}"/>
    <cellStyle name="注释 4 19 5 10" xfId="34657" xr:uid="{00000000-0005-0000-0000-0000727B0000}"/>
    <cellStyle name="注释 4 19 5 11" xfId="34658" xr:uid="{00000000-0005-0000-0000-0000737B0000}"/>
    <cellStyle name="注释 4 19 5 2" xfId="34659" xr:uid="{00000000-0005-0000-0000-0000747B0000}"/>
    <cellStyle name="注释 4 19 5 2 2" xfId="34660" xr:uid="{00000000-0005-0000-0000-0000757B0000}"/>
    <cellStyle name="注释 4 19 5 2 2 2" xfId="34661" xr:uid="{00000000-0005-0000-0000-0000767B0000}"/>
    <cellStyle name="注释 4 19 5 2 2 3" xfId="34662" xr:uid="{00000000-0005-0000-0000-0000777B0000}"/>
    <cellStyle name="注释 4 19 5 2 3" xfId="34664" xr:uid="{00000000-0005-0000-0000-0000787B0000}"/>
    <cellStyle name="注释 4 19 5 2 4" xfId="23174" xr:uid="{00000000-0005-0000-0000-0000797B0000}"/>
    <cellStyle name="注释 4 19 5 2 5" xfId="23178" xr:uid="{00000000-0005-0000-0000-00007A7B0000}"/>
    <cellStyle name="注释 4 19 5 2 6" xfId="23181" xr:uid="{00000000-0005-0000-0000-00007B7B0000}"/>
    <cellStyle name="注释 4 19 5 2 7" xfId="23184" xr:uid="{00000000-0005-0000-0000-00007C7B0000}"/>
    <cellStyle name="注释 4 19 5 2 8" xfId="23187" xr:uid="{00000000-0005-0000-0000-00007D7B0000}"/>
    <cellStyle name="注释 4 19 5 3" xfId="34665" xr:uid="{00000000-0005-0000-0000-00007E7B0000}"/>
    <cellStyle name="注释 4 19 5 4" xfId="25768" xr:uid="{00000000-0005-0000-0000-00007F7B0000}"/>
    <cellStyle name="注释 4 19 5 5" xfId="34666" xr:uid="{00000000-0005-0000-0000-0000807B0000}"/>
    <cellStyle name="注释 4 19 5 6" xfId="34667" xr:uid="{00000000-0005-0000-0000-0000817B0000}"/>
    <cellStyle name="注释 4 19 5 6 2" xfId="31515" xr:uid="{00000000-0005-0000-0000-0000827B0000}"/>
    <cellStyle name="注释 4 19 5 6 3" xfId="31519" xr:uid="{00000000-0005-0000-0000-0000837B0000}"/>
    <cellStyle name="注释 4 19 5 7" xfId="34668" xr:uid="{00000000-0005-0000-0000-0000847B0000}"/>
    <cellStyle name="注释 4 19 5 8" xfId="34669" xr:uid="{00000000-0005-0000-0000-0000857B0000}"/>
    <cellStyle name="注释 4 19 5 9" xfId="34670" xr:uid="{00000000-0005-0000-0000-0000867B0000}"/>
    <cellStyle name="注释 4 19 6" xfId="30042" xr:uid="{00000000-0005-0000-0000-0000877B0000}"/>
    <cellStyle name="注释 4 19 6 2" xfId="17046" xr:uid="{00000000-0005-0000-0000-0000887B0000}"/>
    <cellStyle name="注释 4 19 6 2 2" xfId="32481" xr:uid="{00000000-0005-0000-0000-0000897B0000}"/>
    <cellStyle name="注释 4 19 6 2 3" xfId="32483" xr:uid="{00000000-0005-0000-0000-00008A7B0000}"/>
    <cellStyle name="注释 4 19 6 3" xfId="25631" xr:uid="{00000000-0005-0000-0000-00008B7B0000}"/>
    <cellStyle name="注释 4 19 6 4" xfId="34671" xr:uid="{00000000-0005-0000-0000-00008C7B0000}"/>
    <cellStyle name="注释 4 19 6 5" xfId="34672" xr:uid="{00000000-0005-0000-0000-00008D7B0000}"/>
    <cellStyle name="注释 4 19 6 6" xfId="34673" xr:uid="{00000000-0005-0000-0000-00008E7B0000}"/>
    <cellStyle name="注释 4 19 6 7" xfId="34674" xr:uid="{00000000-0005-0000-0000-00008F7B0000}"/>
    <cellStyle name="注释 4 19 6 8" xfId="26036" xr:uid="{00000000-0005-0000-0000-0000907B0000}"/>
    <cellStyle name="注释 4 19 7" xfId="30044" xr:uid="{00000000-0005-0000-0000-0000917B0000}"/>
    <cellStyle name="注释 4 19 8" xfId="7392" xr:uid="{00000000-0005-0000-0000-0000927B0000}"/>
    <cellStyle name="注释 4 19 9" xfId="7406" xr:uid="{00000000-0005-0000-0000-0000937B0000}"/>
    <cellStyle name="注释 4 19 9 2" xfId="34029" xr:uid="{00000000-0005-0000-0000-0000947B0000}"/>
    <cellStyle name="注释 4 19 9 3" xfId="34031" xr:uid="{00000000-0005-0000-0000-0000957B0000}"/>
    <cellStyle name="注释 4 2" xfId="25403" xr:uid="{00000000-0005-0000-0000-0000967B0000}"/>
    <cellStyle name="注释 4 20" xfId="8608" xr:uid="{00000000-0005-0000-0000-0000977B0000}"/>
    <cellStyle name="注释 4 20 10" xfId="34676" xr:uid="{00000000-0005-0000-0000-0000987B0000}"/>
    <cellStyle name="注释 4 20 11" xfId="34677" xr:uid="{00000000-0005-0000-0000-0000997B0000}"/>
    <cellStyle name="注释 4 20 12" xfId="34678" xr:uid="{00000000-0005-0000-0000-00009A7B0000}"/>
    <cellStyle name="注释 4 20 13" xfId="26073" xr:uid="{00000000-0005-0000-0000-00009B7B0000}"/>
    <cellStyle name="注释 4 20 14" xfId="34679" xr:uid="{00000000-0005-0000-0000-00009C7B0000}"/>
    <cellStyle name="注释 4 20 2" xfId="11818" xr:uid="{00000000-0005-0000-0000-00009D7B0000}"/>
    <cellStyle name="注释 4 20 3" xfId="11827" xr:uid="{00000000-0005-0000-0000-00009E7B0000}"/>
    <cellStyle name="注释 4 20 4" xfId="31091" xr:uid="{00000000-0005-0000-0000-00009F7B0000}"/>
    <cellStyle name="注释 4 20 5" xfId="34680" xr:uid="{00000000-0005-0000-0000-0000A07B0000}"/>
    <cellStyle name="注释 4 20 5 10" xfId="34681" xr:uid="{00000000-0005-0000-0000-0000A17B0000}"/>
    <cellStyle name="注释 4 20 5 11" xfId="34683" xr:uid="{00000000-0005-0000-0000-0000A27B0000}"/>
    <cellStyle name="注释 4 20 5 2" xfId="17385" xr:uid="{00000000-0005-0000-0000-0000A37B0000}"/>
    <cellStyle name="注释 4 20 5 2 2" xfId="17391" xr:uid="{00000000-0005-0000-0000-0000A47B0000}"/>
    <cellStyle name="注释 4 20 5 2 2 2" xfId="19485" xr:uid="{00000000-0005-0000-0000-0000A57B0000}"/>
    <cellStyle name="注释 4 20 5 2 2 3" xfId="19487" xr:uid="{00000000-0005-0000-0000-0000A67B0000}"/>
    <cellStyle name="注释 4 20 5 2 3" xfId="17395" xr:uid="{00000000-0005-0000-0000-0000A77B0000}"/>
    <cellStyle name="注释 4 20 5 2 4" xfId="33166" xr:uid="{00000000-0005-0000-0000-0000A87B0000}"/>
    <cellStyle name="注释 4 20 5 2 5" xfId="33169" xr:uid="{00000000-0005-0000-0000-0000A97B0000}"/>
    <cellStyle name="注释 4 20 5 2 6" xfId="33171" xr:uid="{00000000-0005-0000-0000-0000AA7B0000}"/>
    <cellStyle name="注释 4 20 5 2 7" xfId="33174" xr:uid="{00000000-0005-0000-0000-0000AB7B0000}"/>
    <cellStyle name="注释 4 20 5 2 8" xfId="33870" xr:uid="{00000000-0005-0000-0000-0000AC7B0000}"/>
    <cellStyle name="注释 4 20 5 3" xfId="32230" xr:uid="{00000000-0005-0000-0000-0000AD7B0000}"/>
    <cellStyle name="注释 4 20 5 4" xfId="32232" xr:uid="{00000000-0005-0000-0000-0000AE7B0000}"/>
    <cellStyle name="注释 4 20 5 5" xfId="32234" xr:uid="{00000000-0005-0000-0000-0000AF7B0000}"/>
    <cellStyle name="注释 4 20 5 6" xfId="32236" xr:uid="{00000000-0005-0000-0000-0000B07B0000}"/>
    <cellStyle name="注释 4 20 5 6 2" xfId="34685" xr:uid="{00000000-0005-0000-0000-0000B17B0000}"/>
    <cellStyle name="注释 4 20 5 6 3" xfId="34687" xr:uid="{00000000-0005-0000-0000-0000B27B0000}"/>
    <cellStyle name="注释 4 20 5 7" xfId="34688" xr:uid="{00000000-0005-0000-0000-0000B37B0000}"/>
    <cellStyle name="注释 4 20 5 8" xfId="34689" xr:uid="{00000000-0005-0000-0000-0000B47B0000}"/>
    <cellStyle name="注释 4 20 5 9" xfId="34690" xr:uid="{00000000-0005-0000-0000-0000B57B0000}"/>
    <cellStyle name="注释 4 20 6" xfId="34691" xr:uid="{00000000-0005-0000-0000-0000B67B0000}"/>
    <cellStyle name="注释 4 20 6 2" xfId="17433" xr:uid="{00000000-0005-0000-0000-0000B77B0000}"/>
    <cellStyle name="注释 4 20 6 2 2" xfId="17437" xr:uid="{00000000-0005-0000-0000-0000B87B0000}"/>
    <cellStyle name="注释 4 20 6 2 3" xfId="17440" xr:uid="{00000000-0005-0000-0000-0000B97B0000}"/>
    <cellStyle name="注释 4 20 6 3" xfId="18272" xr:uid="{00000000-0005-0000-0000-0000BA7B0000}"/>
    <cellStyle name="注释 4 20 6 4" xfId="18276" xr:uid="{00000000-0005-0000-0000-0000BB7B0000}"/>
    <cellStyle name="注释 4 20 6 5" xfId="18280" xr:uid="{00000000-0005-0000-0000-0000BC7B0000}"/>
    <cellStyle name="注释 4 20 6 6" xfId="18285" xr:uid="{00000000-0005-0000-0000-0000BD7B0000}"/>
    <cellStyle name="注释 4 20 6 7" xfId="18290" xr:uid="{00000000-0005-0000-0000-0000BE7B0000}"/>
    <cellStyle name="注释 4 20 6 8" xfId="34692" xr:uid="{00000000-0005-0000-0000-0000BF7B0000}"/>
    <cellStyle name="注释 4 20 7" xfId="10149" xr:uid="{00000000-0005-0000-0000-0000C07B0000}"/>
    <cellStyle name="注释 4 20 8" xfId="9351" xr:uid="{00000000-0005-0000-0000-0000C17B0000}"/>
    <cellStyle name="注释 4 20 9" xfId="9368" xr:uid="{00000000-0005-0000-0000-0000C27B0000}"/>
    <cellStyle name="注释 4 20 9 2" xfId="13927" xr:uid="{00000000-0005-0000-0000-0000C37B0000}"/>
    <cellStyle name="注释 4 20 9 3" xfId="13930" xr:uid="{00000000-0005-0000-0000-0000C47B0000}"/>
    <cellStyle name="注释 4 3" xfId="25406" xr:uid="{00000000-0005-0000-0000-0000C57B0000}"/>
    <cellStyle name="注释 4 4" xfId="25408" xr:uid="{00000000-0005-0000-0000-0000C67B0000}"/>
    <cellStyle name="注释 4 5" xfId="25410" xr:uid="{00000000-0005-0000-0000-0000C77B0000}"/>
    <cellStyle name="注释 4 6" xfId="25412" xr:uid="{00000000-0005-0000-0000-0000C87B0000}"/>
    <cellStyle name="注释 4 7" xfId="34693" xr:uid="{00000000-0005-0000-0000-0000C97B0000}"/>
    <cellStyle name="注释 4 8" xfId="34694" xr:uid="{00000000-0005-0000-0000-0000CA7B0000}"/>
    <cellStyle name="注释 4 9" xfId="34695" xr:uid="{00000000-0005-0000-0000-0000CB7B0000}"/>
    <cellStyle name="注释 5" xfId="24700" xr:uid="{00000000-0005-0000-0000-0000CC7B0000}"/>
    <cellStyle name="注释 5 10" xfId="12231" xr:uid="{00000000-0005-0000-0000-0000CD7B0000}"/>
    <cellStyle name="注释 5 11" xfId="12235" xr:uid="{00000000-0005-0000-0000-0000CE7B0000}"/>
    <cellStyle name="注释 5 12" xfId="25451" xr:uid="{00000000-0005-0000-0000-0000CF7B0000}"/>
    <cellStyle name="注释 5 13" xfId="25453" xr:uid="{00000000-0005-0000-0000-0000D07B0000}"/>
    <cellStyle name="注释 5 14" xfId="8325" xr:uid="{00000000-0005-0000-0000-0000D17B0000}"/>
    <cellStyle name="注释 5 15" xfId="10825" xr:uid="{00000000-0005-0000-0000-0000D27B0000}"/>
    <cellStyle name="注释 5 16" xfId="25530" xr:uid="{00000000-0005-0000-0000-0000D37B0000}"/>
    <cellStyle name="注释 5 17" xfId="34696" xr:uid="{00000000-0005-0000-0000-0000D47B0000}"/>
    <cellStyle name="注释 5 17 10" xfId="4155" xr:uid="{00000000-0005-0000-0000-0000D57B0000}"/>
    <cellStyle name="注释 5 17 11" xfId="4160" xr:uid="{00000000-0005-0000-0000-0000D67B0000}"/>
    <cellStyle name="注释 5 17 12" xfId="4164" xr:uid="{00000000-0005-0000-0000-0000D77B0000}"/>
    <cellStyle name="注释 5 17 13" xfId="4188" xr:uid="{00000000-0005-0000-0000-0000D87B0000}"/>
    <cellStyle name="注释 5 17 14" xfId="4195" xr:uid="{00000000-0005-0000-0000-0000D97B0000}"/>
    <cellStyle name="注释 5 17 2" xfId="22953" xr:uid="{00000000-0005-0000-0000-0000DA7B0000}"/>
    <cellStyle name="注释 5 17 3" xfId="20964" xr:uid="{00000000-0005-0000-0000-0000DB7B0000}"/>
    <cellStyle name="注释 5 17 4" xfId="20967" xr:uid="{00000000-0005-0000-0000-0000DC7B0000}"/>
    <cellStyle name="注释 5 17 5" xfId="2028" xr:uid="{00000000-0005-0000-0000-0000DD7B0000}"/>
    <cellStyle name="注释 5 17 5 10" xfId="34697" xr:uid="{00000000-0005-0000-0000-0000DE7B0000}"/>
    <cellStyle name="注释 5 17 5 11" xfId="34698" xr:uid="{00000000-0005-0000-0000-0000DF7B0000}"/>
    <cellStyle name="注释 5 17 5 2" xfId="1319" xr:uid="{00000000-0005-0000-0000-0000E07B0000}"/>
    <cellStyle name="注释 5 17 5 2 2" xfId="20102" xr:uid="{00000000-0005-0000-0000-0000E17B0000}"/>
    <cellStyle name="注释 5 17 5 2 2 2" xfId="31520" xr:uid="{00000000-0005-0000-0000-0000E27B0000}"/>
    <cellStyle name="注释 5 17 5 2 2 3" xfId="6703" xr:uid="{00000000-0005-0000-0000-0000E37B0000}"/>
    <cellStyle name="注释 5 17 5 2 3" xfId="20104" xr:uid="{00000000-0005-0000-0000-0000E47B0000}"/>
    <cellStyle name="注释 5 17 5 2 4" xfId="34699" xr:uid="{00000000-0005-0000-0000-0000E57B0000}"/>
    <cellStyle name="注释 5 17 5 2 5" xfId="34700" xr:uid="{00000000-0005-0000-0000-0000E67B0000}"/>
    <cellStyle name="注释 5 17 5 2 6" xfId="34701" xr:uid="{00000000-0005-0000-0000-0000E77B0000}"/>
    <cellStyle name="注释 5 17 5 2 7" xfId="34702" xr:uid="{00000000-0005-0000-0000-0000E87B0000}"/>
    <cellStyle name="注释 5 17 5 2 8" xfId="34703" xr:uid="{00000000-0005-0000-0000-0000E97B0000}"/>
    <cellStyle name="注释 5 17 5 3" xfId="1330" xr:uid="{00000000-0005-0000-0000-0000EA7B0000}"/>
    <cellStyle name="注释 5 17 5 4" xfId="1342" xr:uid="{00000000-0005-0000-0000-0000EB7B0000}"/>
    <cellStyle name="注释 5 17 5 5" xfId="258" xr:uid="{00000000-0005-0000-0000-0000EC7B0000}"/>
    <cellStyle name="注释 5 17 5 6" xfId="1361" xr:uid="{00000000-0005-0000-0000-0000ED7B0000}"/>
    <cellStyle name="注释 5 17 5 6 2" xfId="34704" xr:uid="{00000000-0005-0000-0000-0000EE7B0000}"/>
    <cellStyle name="注释 5 17 5 6 3" xfId="34705" xr:uid="{00000000-0005-0000-0000-0000EF7B0000}"/>
    <cellStyle name="注释 5 17 5 7" xfId="13955" xr:uid="{00000000-0005-0000-0000-0000F07B0000}"/>
    <cellStyle name="注释 5 17 5 8" xfId="20108" xr:uid="{00000000-0005-0000-0000-0000F17B0000}"/>
    <cellStyle name="注释 5 17 5 9" xfId="28550" xr:uid="{00000000-0005-0000-0000-0000F27B0000}"/>
    <cellStyle name="注释 5 17 6" xfId="2040" xr:uid="{00000000-0005-0000-0000-0000F37B0000}"/>
    <cellStyle name="注释 5 17 6 2" xfId="13962" xr:uid="{00000000-0005-0000-0000-0000F47B0000}"/>
    <cellStyle name="注释 5 17 6 2 2" xfId="34706" xr:uid="{00000000-0005-0000-0000-0000F57B0000}"/>
    <cellStyle name="注释 5 17 6 2 3" xfId="34707" xr:uid="{00000000-0005-0000-0000-0000F67B0000}"/>
    <cellStyle name="注释 5 17 6 3" xfId="13982" xr:uid="{00000000-0005-0000-0000-0000F77B0000}"/>
    <cellStyle name="注释 5 17 6 4" xfId="13992" xr:uid="{00000000-0005-0000-0000-0000F87B0000}"/>
    <cellStyle name="注释 5 17 6 5" xfId="12353" xr:uid="{00000000-0005-0000-0000-0000F97B0000}"/>
    <cellStyle name="注释 5 17 6 6" xfId="12365" xr:uid="{00000000-0005-0000-0000-0000FA7B0000}"/>
    <cellStyle name="注释 5 17 6 7" xfId="34708" xr:uid="{00000000-0005-0000-0000-0000FB7B0000}"/>
    <cellStyle name="注释 5 17 6 8" xfId="34709" xr:uid="{00000000-0005-0000-0000-0000FC7B0000}"/>
    <cellStyle name="注释 5 17 7" xfId="20111" xr:uid="{00000000-0005-0000-0000-0000FD7B0000}"/>
    <cellStyle name="注释 5 17 8" xfId="20117" xr:uid="{00000000-0005-0000-0000-0000FE7B0000}"/>
    <cellStyle name="注释 5 17 9" xfId="20123" xr:uid="{00000000-0005-0000-0000-0000FF7B0000}"/>
    <cellStyle name="注释 5 17 9 2" xfId="20128" xr:uid="{00000000-0005-0000-0000-0000007C0000}"/>
    <cellStyle name="注释 5 17 9 3" xfId="20131" xr:uid="{00000000-0005-0000-0000-0000017C0000}"/>
    <cellStyle name="注释 5 18" xfId="34710" xr:uid="{00000000-0005-0000-0000-0000027C0000}"/>
    <cellStyle name="注释 5 18 10" xfId="34711" xr:uid="{00000000-0005-0000-0000-0000037C0000}"/>
    <cellStyle name="注释 5 18 11" xfId="34712" xr:uid="{00000000-0005-0000-0000-0000047C0000}"/>
    <cellStyle name="注释 5 18 12" xfId="25649" xr:uid="{00000000-0005-0000-0000-0000057C0000}"/>
    <cellStyle name="注释 5 18 13" xfId="34713" xr:uid="{00000000-0005-0000-0000-0000067C0000}"/>
    <cellStyle name="注释 5 18 14" xfId="34714" xr:uid="{00000000-0005-0000-0000-0000077C0000}"/>
    <cellStyle name="注释 5 18 2" xfId="34715" xr:uid="{00000000-0005-0000-0000-0000087C0000}"/>
    <cellStyle name="注释 5 18 3" xfId="34716" xr:uid="{00000000-0005-0000-0000-0000097C0000}"/>
    <cellStyle name="注释 5 18 4" xfId="34717" xr:uid="{00000000-0005-0000-0000-00000A7C0000}"/>
    <cellStyle name="注释 5 18 5" xfId="20138" xr:uid="{00000000-0005-0000-0000-00000B7C0000}"/>
    <cellStyle name="注释 5 18 5 10" xfId="7645" xr:uid="{00000000-0005-0000-0000-00000C7C0000}"/>
    <cellStyle name="注释 5 18 5 11" xfId="24705" xr:uid="{00000000-0005-0000-0000-00000D7C0000}"/>
    <cellStyle name="注释 5 18 5 2" xfId="11867" xr:uid="{00000000-0005-0000-0000-00000E7C0000}"/>
    <cellStyle name="注释 5 18 5 2 2" xfId="8272" xr:uid="{00000000-0005-0000-0000-00000F7C0000}"/>
    <cellStyle name="注释 5 18 5 2 2 2" xfId="1548" xr:uid="{00000000-0005-0000-0000-0000107C0000}"/>
    <cellStyle name="注释 5 18 5 2 2 3" xfId="11870" xr:uid="{00000000-0005-0000-0000-0000117C0000}"/>
    <cellStyle name="注释 5 18 5 2 3" xfId="8279" xr:uid="{00000000-0005-0000-0000-0000127C0000}"/>
    <cellStyle name="注释 5 18 5 2 4" xfId="8285" xr:uid="{00000000-0005-0000-0000-0000137C0000}"/>
    <cellStyle name="注释 5 18 5 2 5" xfId="8291" xr:uid="{00000000-0005-0000-0000-0000147C0000}"/>
    <cellStyle name="注释 5 18 5 2 6" xfId="8297" xr:uid="{00000000-0005-0000-0000-0000157C0000}"/>
    <cellStyle name="注释 5 18 5 2 7" xfId="8304" xr:uid="{00000000-0005-0000-0000-0000167C0000}"/>
    <cellStyle name="注释 5 18 5 2 8" xfId="11872" xr:uid="{00000000-0005-0000-0000-0000177C0000}"/>
    <cellStyle name="注释 5 18 5 3" xfId="11459" xr:uid="{00000000-0005-0000-0000-0000187C0000}"/>
    <cellStyle name="注释 5 18 5 4" xfId="11469" xr:uid="{00000000-0005-0000-0000-0000197C0000}"/>
    <cellStyle name="注释 5 18 5 5" xfId="11879" xr:uid="{00000000-0005-0000-0000-00001A7C0000}"/>
    <cellStyle name="注释 5 18 5 6" xfId="24925" xr:uid="{00000000-0005-0000-0000-00001B7C0000}"/>
    <cellStyle name="注释 5 18 5 6 2" xfId="34718" xr:uid="{00000000-0005-0000-0000-00001C7C0000}"/>
    <cellStyle name="注释 5 18 5 6 3" xfId="27415" xr:uid="{00000000-0005-0000-0000-00001D7C0000}"/>
    <cellStyle name="注释 5 18 5 7" xfId="24929" xr:uid="{00000000-0005-0000-0000-00001E7C0000}"/>
    <cellStyle name="注释 5 18 5 8" xfId="24933" xr:uid="{00000000-0005-0000-0000-00001F7C0000}"/>
    <cellStyle name="注释 5 18 5 9" xfId="24935" xr:uid="{00000000-0005-0000-0000-0000207C0000}"/>
    <cellStyle name="注释 5 18 6" xfId="20141" xr:uid="{00000000-0005-0000-0000-0000217C0000}"/>
    <cellStyle name="注释 5 18 6 2" xfId="11926" xr:uid="{00000000-0005-0000-0000-0000227C0000}"/>
    <cellStyle name="注释 5 18 6 2 2" xfId="8375" xr:uid="{00000000-0005-0000-0000-0000237C0000}"/>
    <cellStyle name="注释 5 18 6 2 3" xfId="8382" xr:uid="{00000000-0005-0000-0000-0000247C0000}"/>
    <cellStyle name="注释 5 18 6 3" xfId="11933" xr:uid="{00000000-0005-0000-0000-0000257C0000}"/>
    <cellStyle name="注释 5 18 6 4" xfId="10958" xr:uid="{00000000-0005-0000-0000-0000267C0000}"/>
    <cellStyle name="注释 5 18 6 5" xfId="10962" xr:uid="{00000000-0005-0000-0000-0000277C0000}"/>
    <cellStyle name="注释 5 18 6 6" xfId="12551" xr:uid="{00000000-0005-0000-0000-0000287C0000}"/>
    <cellStyle name="注释 5 18 6 7" xfId="12563" xr:uid="{00000000-0005-0000-0000-0000297C0000}"/>
    <cellStyle name="注释 5 18 6 8" xfId="12568" xr:uid="{00000000-0005-0000-0000-00002A7C0000}"/>
    <cellStyle name="注释 5 18 7" xfId="20145" xr:uid="{00000000-0005-0000-0000-00002B7C0000}"/>
    <cellStyle name="注释 5 18 8" xfId="20150" xr:uid="{00000000-0005-0000-0000-00002C7C0000}"/>
    <cellStyle name="注释 5 18 9" xfId="20153" xr:uid="{00000000-0005-0000-0000-00002D7C0000}"/>
    <cellStyle name="注释 5 18 9 2" xfId="1552" xr:uid="{00000000-0005-0000-0000-00002E7C0000}"/>
    <cellStyle name="注释 5 18 9 3" xfId="34719" xr:uid="{00000000-0005-0000-0000-00002F7C0000}"/>
    <cellStyle name="注释 5 19" xfId="34720" xr:uid="{00000000-0005-0000-0000-0000307C0000}"/>
    <cellStyle name="注释 5 19 10" xfId="34721" xr:uid="{00000000-0005-0000-0000-0000317C0000}"/>
    <cellStyle name="注释 5 19 11" xfId="34722" xr:uid="{00000000-0005-0000-0000-0000327C0000}"/>
    <cellStyle name="注释 5 19 12" xfId="34723" xr:uid="{00000000-0005-0000-0000-0000337C0000}"/>
    <cellStyle name="注释 5 19 13" xfId="21837" xr:uid="{00000000-0005-0000-0000-0000347C0000}"/>
    <cellStyle name="注释 5 19 14" xfId="21849" xr:uid="{00000000-0005-0000-0000-0000357C0000}"/>
    <cellStyle name="注释 5 19 2" xfId="34724" xr:uid="{00000000-0005-0000-0000-0000367C0000}"/>
    <cellStyle name="注释 5 19 3" xfId="34725" xr:uid="{00000000-0005-0000-0000-0000377C0000}"/>
    <cellStyle name="注释 5 19 4" xfId="34726" xr:uid="{00000000-0005-0000-0000-0000387C0000}"/>
    <cellStyle name="注释 5 19 5" xfId="34727" xr:uid="{00000000-0005-0000-0000-0000397C0000}"/>
    <cellStyle name="注释 5 19 5 10" xfId="9388" xr:uid="{00000000-0005-0000-0000-00003A7C0000}"/>
    <cellStyle name="注释 5 19 5 11" xfId="31664" xr:uid="{00000000-0005-0000-0000-00003B7C0000}"/>
    <cellStyle name="注释 5 19 5 2" xfId="13570" xr:uid="{00000000-0005-0000-0000-00003C7C0000}"/>
    <cellStyle name="注释 5 19 5 2 2" xfId="23900" xr:uid="{00000000-0005-0000-0000-00003D7C0000}"/>
    <cellStyle name="注释 5 19 5 2 2 2" xfId="26628" xr:uid="{00000000-0005-0000-0000-00003E7C0000}"/>
    <cellStyle name="注释 5 19 5 2 2 3" xfId="26630" xr:uid="{00000000-0005-0000-0000-00003F7C0000}"/>
    <cellStyle name="注释 5 19 5 2 3" xfId="23902" xr:uid="{00000000-0005-0000-0000-0000407C0000}"/>
    <cellStyle name="注释 5 19 5 2 4" xfId="23865" xr:uid="{00000000-0005-0000-0000-0000417C0000}"/>
    <cellStyle name="注释 5 19 5 2 5" xfId="23870" xr:uid="{00000000-0005-0000-0000-0000427C0000}"/>
    <cellStyle name="注释 5 19 5 2 6" xfId="23872" xr:uid="{00000000-0005-0000-0000-0000437C0000}"/>
    <cellStyle name="注释 5 19 5 2 7" xfId="23874" xr:uid="{00000000-0005-0000-0000-0000447C0000}"/>
    <cellStyle name="注释 5 19 5 2 8" xfId="23876" xr:uid="{00000000-0005-0000-0000-0000457C0000}"/>
    <cellStyle name="注释 5 19 5 3" xfId="13590" xr:uid="{00000000-0005-0000-0000-0000467C0000}"/>
    <cellStyle name="注释 5 19 5 4" xfId="13596" xr:uid="{00000000-0005-0000-0000-0000477C0000}"/>
    <cellStyle name="注释 5 19 5 5" xfId="13599" xr:uid="{00000000-0005-0000-0000-0000487C0000}"/>
    <cellStyle name="注释 5 19 5 6" xfId="13604" xr:uid="{00000000-0005-0000-0000-0000497C0000}"/>
    <cellStyle name="注释 5 19 5 6 2" xfId="22536" xr:uid="{00000000-0005-0000-0000-00004A7C0000}"/>
    <cellStyle name="注释 5 19 5 6 3" xfId="27675" xr:uid="{00000000-0005-0000-0000-00004B7C0000}"/>
    <cellStyle name="注释 5 19 5 7" xfId="13613" xr:uid="{00000000-0005-0000-0000-00004C7C0000}"/>
    <cellStyle name="注释 5 19 5 8" xfId="25148" xr:uid="{00000000-0005-0000-0000-00004D7C0000}"/>
    <cellStyle name="注释 5 19 5 9" xfId="5139" xr:uid="{00000000-0005-0000-0000-00004E7C0000}"/>
    <cellStyle name="注释 5 19 6" xfId="34728" xr:uid="{00000000-0005-0000-0000-00004F7C0000}"/>
    <cellStyle name="注释 5 19 6 2" xfId="13623" xr:uid="{00000000-0005-0000-0000-0000507C0000}"/>
    <cellStyle name="注释 5 19 6 2 2" xfId="32971" xr:uid="{00000000-0005-0000-0000-0000517C0000}"/>
    <cellStyle name="注释 5 19 6 2 3" xfId="27289" xr:uid="{00000000-0005-0000-0000-0000527C0000}"/>
    <cellStyle name="注释 5 19 6 3" xfId="13635" xr:uid="{00000000-0005-0000-0000-0000537C0000}"/>
    <cellStyle name="注释 5 19 6 4" xfId="13641" xr:uid="{00000000-0005-0000-0000-0000547C0000}"/>
    <cellStyle name="注释 5 19 6 5" xfId="13646" xr:uid="{00000000-0005-0000-0000-0000557C0000}"/>
    <cellStyle name="注释 5 19 6 6" xfId="12620" xr:uid="{00000000-0005-0000-0000-0000567C0000}"/>
    <cellStyle name="注释 5 19 6 7" xfId="12629" xr:uid="{00000000-0005-0000-0000-0000577C0000}"/>
    <cellStyle name="注释 5 19 6 8" xfId="13652" xr:uid="{00000000-0005-0000-0000-0000587C0000}"/>
    <cellStyle name="注释 5 19 7" xfId="33920" xr:uid="{00000000-0005-0000-0000-0000597C0000}"/>
    <cellStyle name="注释 5 19 8" xfId="33922" xr:uid="{00000000-0005-0000-0000-00005A7C0000}"/>
    <cellStyle name="注释 5 19 9" xfId="33924" xr:uid="{00000000-0005-0000-0000-00005B7C0000}"/>
    <cellStyle name="注释 5 19 9 2" xfId="25761" xr:uid="{00000000-0005-0000-0000-00005C7C0000}"/>
    <cellStyle name="注释 5 19 9 3" xfId="34729" xr:uid="{00000000-0005-0000-0000-00005D7C0000}"/>
    <cellStyle name="注释 5 2" xfId="34730" xr:uid="{00000000-0005-0000-0000-00005E7C0000}"/>
    <cellStyle name="注释 5 20" xfId="10826" xr:uid="{00000000-0005-0000-0000-00005F7C0000}"/>
    <cellStyle name="注释 5 20 10" xfId="34731" xr:uid="{00000000-0005-0000-0000-0000607C0000}"/>
    <cellStyle name="注释 5 20 11" xfId="34732" xr:uid="{00000000-0005-0000-0000-0000617C0000}"/>
    <cellStyle name="注释 5 20 12" xfId="26699" xr:uid="{00000000-0005-0000-0000-0000627C0000}"/>
    <cellStyle name="注释 5 20 13" xfId="26701" xr:uid="{00000000-0005-0000-0000-0000637C0000}"/>
    <cellStyle name="注释 5 20 14" xfId="26703" xr:uid="{00000000-0005-0000-0000-0000647C0000}"/>
    <cellStyle name="注释 5 20 2" xfId="34733" xr:uid="{00000000-0005-0000-0000-0000657C0000}"/>
    <cellStyle name="注释 5 20 3" xfId="34734" xr:uid="{00000000-0005-0000-0000-0000667C0000}"/>
    <cellStyle name="注释 5 20 4" xfId="34735" xr:uid="{00000000-0005-0000-0000-0000677C0000}"/>
    <cellStyle name="注释 5 20 5" xfId="21091" xr:uid="{00000000-0005-0000-0000-0000687C0000}"/>
    <cellStyle name="注释 5 20 5 10" xfId="18691" xr:uid="{00000000-0005-0000-0000-0000697C0000}"/>
    <cellStyle name="注释 5 20 5 11" xfId="18693" xr:uid="{00000000-0005-0000-0000-00006A7C0000}"/>
    <cellStyle name="注释 5 20 5 2" xfId="34736" xr:uid="{00000000-0005-0000-0000-00006B7C0000}"/>
    <cellStyle name="注释 5 20 5 2 2" xfId="34740" xr:uid="{00000000-0005-0000-0000-00006C7C0000}"/>
    <cellStyle name="注释 5 20 5 2 2 2" xfId="34741" xr:uid="{00000000-0005-0000-0000-00006D7C0000}"/>
    <cellStyle name="注释 5 20 5 2 2 3" xfId="32797" xr:uid="{00000000-0005-0000-0000-00006E7C0000}"/>
    <cellStyle name="注释 5 20 5 2 3" xfId="34744" xr:uid="{00000000-0005-0000-0000-00006F7C0000}"/>
    <cellStyle name="注释 5 20 5 2 4" xfId="25657" xr:uid="{00000000-0005-0000-0000-0000707C0000}"/>
    <cellStyle name="注释 5 20 5 2 5" xfId="34746" xr:uid="{00000000-0005-0000-0000-0000717C0000}"/>
    <cellStyle name="注释 5 20 5 2 6" xfId="10343" xr:uid="{00000000-0005-0000-0000-0000727C0000}"/>
    <cellStyle name="注释 5 20 5 2 7" xfId="10347" xr:uid="{00000000-0005-0000-0000-0000737C0000}"/>
    <cellStyle name="注释 5 20 5 2 8" xfId="34747" xr:uid="{00000000-0005-0000-0000-0000747C0000}"/>
    <cellStyle name="注释 5 20 5 3" xfId="34748" xr:uid="{00000000-0005-0000-0000-0000757C0000}"/>
    <cellStyle name="注释 5 20 5 4" xfId="34749" xr:uid="{00000000-0005-0000-0000-0000767C0000}"/>
    <cellStyle name="注释 5 20 5 5" xfId="34202" xr:uid="{00000000-0005-0000-0000-0000777C0000}"/>
    <cellStyle name="注释 5 20 5 6" xfId="34204" xr:uid="{00000000-0005-0000-0000-0000787C0000}"/>
    <cellStyle name="注释 5 20 5 6 2" xfId="34750" xr:uid="{00000000-0005-0000-0000-0000797C0000}"/>
    <cellStyle name="注释 5 20 5 6 3" xfId="34751" xr:uid="{00000000-0005-0000-0000-00007A7C0000}"/>
    <cellStyle name="注释 5 20 5 7" xfId="34752" xr:uid="{00000000-0005-0000-0000-00007B7C0000}"/>
    <cellStyle name="注释 5 20 5 8" xfId="34753" xr:uid="{00000000-0005-0000-0000-00007C7C0000}"/>
    <cellStyle name="注释 5 20 5 9" xfId="34754" xr:uid="{00000000-0005-0000-0000-00007D7C0000}"/>
    <cellStyle name="注释 5 20 6" xfId="21093" xr:uid="{00000000-0005-0000-0000-00007E7C0000}"/>
    <cellStyle name="注释 5 20 6 2" xfId="30967" xr:uid="{00000000-0005-0000-0000-00007F7C0000}"/>
    <cellStyle name="注释 5 20 6 2 2" xfId="34755" xr:uid="{00000000-0005-0000-0000-0000807C0000}"/>
    <cellStyle name="注释 5 20 6 2 3" xfId="34756" xr:uid="{00000000-0005-0000-0000-0000817C0000}"/>
    <cellStyle name="注释 5 20 6 3" xfId="30970" xr:uid="{00000000-0005-0000-0000-0000827C0000}"/>
    <cellStyle name="注释 5 20 6 4" xfId="30973" xr:uid="{00000000-0005-0000-0000-0000837C0000}"/>
    <cellStyle name="注释 5 20 6 5" xfId="26004" xr:uid="{00000000-0005-0000-0000-0000847C0000}"/>
    <cellStyle name="注释 5 20 6 6" xfId="30976" xr:uid="{00000000-0005-0000-0000-0000857C0000}"/>
    <cellStyle name="注释 5 20 6 7" xfId="34757" xr:uid="{00000000-0005-0000-0000-0000867C0000}"/>
    <cellStyle name="注释 5 20 6 8" xfId="34758" xr:uid="{00000000-0005-0000-0000-0000877C0000}"/>
    <cellStyle name="注释 5 20 7" xfId="34759" xr:uid="{00000000-0005-0000-0000-0000887C0000}"/>
    <cellStyle name="注释 5 20 8" xfId="34760" xr:uid="{00000000-0005-0000-0000-0000897C0000}"/>
    <cellStyle name="注释 5 20 9" xfId="34761" xr:uid="{00000000-0005-0000-0000-00008A7C0000}"/>
    <cellStyle name="注释 5 20 9 2" xfId="34762" xr:uid="{00000000-0005-0000-0000-00008B7C0000}"/>
    <cellStyle name="注释 5 20 9 3" xfId="23710" xr:uid="{00000000-0005-0000-0000-00008C7C0000}"/>
    <cellStyle name="注释 5 3" xfId="34763" xr:uid="{00000000-0005-0000-0000-00008D7C0000}"/>
    <cellStyle name="注释 5 4" xfId="34764" xr:uid="{00000000-0005-0000-0000-00008E7C0000}"/>
    <cellStyle name="注释 5 5" xfId="34765" xr:uid="{00000000-0005-0000-0000-00008F7C0000}"/>
    <cellStyle name="注释 5 6" xfId="34766" xr:uid="{00000000-0005-0000-0000-0000907C0000}"/>
    <cellStyle name="注释 5 7" xfId="34767" xr:uid="{00000000-0005-0000-0000-0000917C0000}"/>
    <cellStyle name="注释 5 8" xfId="34768" xr:uid="{00000000-0005-0000-0000-0000927C0000}"/>
    <cellStyle name="注释 5 9" xfId="9174" xr:uid="{00000000-0005-0000-0000-0000937C0000}"/>
    <cellStyle name="注释 6" xfId="34769" xr:uid="{00000000-0005-0000-0000-0000947C0000}"/>
    <cellStyle name="注释 6 2" xfId="31726" xr:uid="{00000000-0005-0000-0000-0000957C0000}"/>
    <cellStyle name="注释 7" xfId="34770" xr:uid="{00000000-0005-0000-0000-0000967C0000}"/>
    <cellStyle name="注释 7 2" xfId="34771" xr:uid="{00000000-0005-0000-0000-0000977C0000}"/>
    <cellStyle name="注释 8" xfId="34772" xr:uid="{00000000-0005-0000-0000-0000987C0000}"/>
    <cellStyle name="注释 9" xfId="34773" xr:uid="{00000000-0005-0000-0000-0000997C0000}"/>
    <cellStyle name="解释性文本 10" xfId="26345" xr:uid="{00000000-0005-0000-0000-00009A7C0000}"/>
    <cellStyle name="解释性文本 11" xfId="26347" xr:uid="{00000000-0005-0000-0000-00009B7C0000}"/>
    <cellStyle name="解释性文本 12" xfId="26730" xr:uid="{00000000-0005-0000-0000-00009C7C0000}"/>
    <cellStyle name="解释性文本 12 10" xfId="12318" xr:uid="{00000000-0005-0000-0000-00009D7C0000}"/>
    <cellStyle name="解释性文本 12 11" xfId="12336" xr:uid="{00000000-0005-0000-0000-00009E7C0000}"/>
    <cellStyle name="解释性文本 12 12" xfId="12342" xr:uid="{00000000-0005-0000-0000-00009F7C0000}"/>
    <cellStyle name="解释性文本 12 13" xfId="12344" xr:uid="{00000000-0005-0000-0000-0000A07C0000}"/>
    <cellStyle name="解释性文本 12 14" xfId="12346" xr:uid="{00000000-0005-0000-0000-0000A17C0000}"/>
    <cellStyle name="解释性文本 12 2" xfId="26734" xr:uid="{00000000-0005-0000-0000-0000A27C0000}"/>
    <cellStyle name="解释性文本 12 3" xfId="12258" xr:uid="{00000000-0005-0000-0000-0000A37C0000}"/>
    <cellStyle name="解释性文本 12 4" xfId="12274" xr:uid="{00000000-0005-0000-0000-0000A47C0000}"/>
    <cellStyle name="解释性文本 12 5" xfId="10101" xr:uid="{00000000-0005-0000-0000-0000A57C0000}"/>
    <cellStyle name="解释性文本 12 5 10" xfId="21598" xr:uid="{00000000-0005-0000-0000-0000A67C0000}"/>
    <cellStyle name="解释性文本 12 5 11" xfId="21601" xr:uid="{00000000-0005-0000-0000-0000A77C0000}"/>
    <cellStyle name="解释性文本 12 5 2" xfId="34774" xr:uid="{00000000-0005-0000-0000-0000A87C0000}"/>
    <cellStyle name="解释性文本 12 5 2 2" xfId="355" xr:uid="{00000000-0005-0000-0000-0000A97C0000}"/>
    <cellStyle name="解释性文本 12 5 2 2 2" xfId="13294" xr:uid="{00000000-0005-0000-0000-0000AA7C0000}"/>
    <cellStyle name="解释性文本 12 5 2 2 3" xfId="9620" xr:uid="{00000000-0005-0000-0000-0000AB7C0000}"/>
    <cellStyle name="解释性文本 12 5 2 3" xfId="361" xr:uid="{00000000-0005-0000-0000-0000AC7C0000}"/>
    <cellStyle name="解释性文本 12 5 2 4" xfId="13343" xr:uid="{00000000-0005-0000-0000-0000AD7C0000}"/>
    <cellStyle name="解释性文本 12 5 2 5" xfId="9210" xr:uid="{00000000-0005-0000-0000-0000AE7C0000}"/>
    <cellStyle name="解释性文本 12 5 2 6" xfId="34775" xr:uid="{00000000-0005-0000-0000-0000AF7C0000}"/>
    <cellStyle name="解释性文本 12 5 2 7" xfId="34776" xr:uid="{00000000-0005-0000-0000-0000B07C0000}"/>
    <cellStyle name="解释性文本 12 5 2 8" xfId="34778" xr:uid="{00000000-0005-0000-0000-0000B17C0000}"/>
    <cellStyle name="解释性文本 12 5 3" xfId="34779" xr:uid="{00000000-0005-0000-0000-0000B27C0000}"/>
    <cellStyle name="解释性文本 12 5 4" xfId="34780" xr:uid="{00000000-0005-0000-0000-0000B37C0000}"/>
    <cellStyle name="解释性文本 12 5 5" xfId="34781" xr:uid="{00000000-0005-0000-0000-0000B47C0000}"/>
    <cellStyle name="解释性文本 12 5 6" xfId="34782" xr:uid="{00000000-0005-0000-0000-0000B57C0000}"/>
    <cellStyle name="解释性文本 12 5 6 2" xfId="13411" xr:uid="{00000000-0005-0000-0000-0000B67C0000}"/>
    <cellStyle name="解释性文本 12 5 6 3" xfId="13428" xr:uid="{00000000-0005-0000-0000-0000B77C0000}"/>
    <cellStyle name="解释性文本 12 5 7" xfId="34783" xr:uid="{00000000-0005-0000-0000-0000B87C0000}"/>
    <cellStyle name="解释性文本 12 5 8" xfId="34784" xr:uid="{00000000-0005-0000-0000-0000B97C0000}"/>
    <cellStyle name="解释性文本 12 5 9" xfId="34785" xr:uid="{00000000-0005-0000-0000-0000BA7C0000}"/>
    <cellStyle name="解释性文本 12 6" xfId="10108" xr:uid="{00000000-0005-0000-0000-0000BB7C0000}"/>
    <cellStyle name="解释性文本 12 6 2" xfId="34786" xr:uid="{00000000-0005-0000-0000-0000BC7C0000}"/>
    <cellStyle name="解释性文本 12 6 2 2" xfId="34787" xr:uid="{00000000-0005-0000-0000-0000BD7C0000}"/>
    <cellStyle name="解释性文本 12 6 2 3" xfId="7471" xr:uid="{00000000-0005-0000-0000-0000BE7C0000}"/>
    <cellStyle name="解释性文本 12 6 3" xfId="34788" xr:uid="{00000000-0005-0000-0000-0000BF7C0000}"/>
    <cellStyle name="解释性文本 12 6 4" xfId="34789" xr:uid="{00000000-0005-0000-0000-0000C07C0000}"/>
    <cellStyle name="解释性文本 12 6 5" xfId="34790" xr:uid="{00000000-0005-0000-0000-0000C17C0000}"/>
    <cellStyle name="解释性文本 12 6 6" xfId="34791" xr:uid="{00000000-0005-0000-0000-0000C27C0000}"/>
    <cellStyle name="解释性文本 12 6 7" xfId="33738" xr:uid="{00000000-0005-0000-0000-0000C37C0000}"/>
    <cellStyle name="解释性文本 12 6 8" xfId="33740" xr:uid="{00000000-0005-0000-0000-0000C47C0000}"/>
    <cellStyle name="解释性文本 12 7" xfId="11954" xr:uid="{00000000-0005-0000-0000-0000C57C0000}"/>
    <cellStyle name="解释性文本 12 8" xfId="11960" xr:uid="{00000000-0005-0000-0000-0000C67C0000}"/>
    <cellStyle name="解释性文本 12 9" xfId="11964" xr:uid="{00000000-0005-0000-0000-0000C77C0000}"/>
    <cellStyle name="解释性文本 12 9 2" xfId="1399" xr:uid="{00000000-0005-0000-0000-0000C87C0000}"/>
    <cellStyle name="解释性文本 12 9 3" xfId="1414" xr:uid="{00000000-0005-0000-0000-0000C97C0000}"/>
    <cellStyle name="解释性文本 13" xfId="3843" xr:uid="{00000000-0005-0000-0000-0000CA7C0000}"/>
    <cellStyle name="解释性文本 14" xfId="3851" xr:uid="{00000000-0005-0000-0000-0000CB7C0000}"/>
    <cellStyle name="解释性文本 15" xfId="26736" xr:uid="{00000000-0005-0000-0000-0000CC7C0000}"/>
    <cellStyle name="解释性文本 16" xfId="26738" xr:uid="{00000000-0005-0000-0000-0000CD7C0000}"/>
    <cellStyle name="解释性文本 16 10" xfId="34793" xr:uid="{00000000-0005-0000-0000-0000CE7C0000}"/>
    <cellStyle name="解释性文本 16 11" xfId="34795" xr:uid="{00000000-0005-0000-0000-0000CF7C0000}"/>
    <cellStyle name="解释性文本 16 12" xfId="34797" xr:uid="{00000000-0005-0000-0000-0000D07C0000}"/>
    <cellStyle name="解释性文本 16 13" xfId="34799" xr:uid="{00000000-0005-0000-0000-0000D17C0000}"/>
    <cellStyle name="解释性文本 16 14" xfId="34801" xr:uid="{00000000-0005-0000-0000-0000D27C0000}"/>
    <cellStyle name="解释性文本 16 2" xfId="27910" xr:uid="{00000000-0005-0000-0000-0000D37C0000}"/>
    <cellStyle name="解释性文本 16 3" xfId="10406" xr:uid="{00000000-0005-0000-0000-0000D47C0000}"/>
    <cellStyle name="解释性文本 16 4" xfId="10418" xr:uid="{00000000-0005-0000-0000-0000D57C0000}"/>
    <cellStyle name="解释性文本 16 5" xfId="27928" xr:uid="{00000000-0005-0000-0000-0000D67C0000}"/>
    <cellStyle name="解释性文本 16 5 10" xfId="23373" xr:uid="{00000000-0005-0000-0000-0000D77C0000}"/>
    <cellStyle name="解释性文本 16 5 11" xfId="23376" xr:uid="{00000000-0005-0000-0000-0000D87C0000}"/>
    <cellStyle name="解释性文本 16 5 2" xfId="27931" xr:uid="{00000000-0005-0000-0000-0000D97C0000}"/>
    <cellStyle name="解释性文本 16 5 2 2" xfId="34802" xr:uid="{00000000-0005-0000-0000-0000DA7C0000}"/>
    <cellStyle name="解释性文本 16 5 2 2 2" xfId="28229" xr:uid="{00000000-0005-0000-0000-0000DB7C0000}"/>
    <cellStyle name="解释性文本 16 5 2 2 3" xfId="5736" xr:uid="{00000000-0005-0000-0000-0000DC7C0000}"/>
    <cellStyle name="解释性文本 16 5 2 3" xfId="32737" xr:uid="{00000000-0005-0000-0000-0000DD7C0000}"/>
    <cellStyle name="解释性文本 16 5 2 4" xfId="25588" xr:uid="{00000000-0005-0000-0000-0000DE7C0000}"/>
    <cellStyle name="解释性文本 16 5 2 5" xfId="34377" xr:uid="{00000000-0005-0000-0000-0000DF7C0000}"/>
    <cellStyle name="解释性文本 16 5 2 6" xfId="34379" xr:uid="{00000000-0005-0000-0000-0000E07C0000}"/>
    <cellStyle name="解释性文本 16 5 2 7" xfId="34381" xr:uid="{00000000-0005-0000-0000-0000E17C0000}"/>
    <cellStyle name="解释性文本 16 5 2 8" xfId="34383" xr:uid="{00000000-0005-0000-0000-0000E27C0000}"/>
    <cellStyle name="解释性文本 16 5 3" xfId="27933" xr:uid="{00000000-0005-0000-0000-0000E37C0000}"/>
    <cellStyle name="解释性文本 16 5 4" xfId="34803" xr:uid="{00000000-0005-0000-0000-0000E47C0000}"/>
    <cellStyle name="解释性文本 16 5 5" xfId="28031" xr:uid="{00000000-0005-0000-0000-0000E57C0000}"/>
    <cellStyle name="解释性文本 16 5 6" xfId="26546" xr:uid="{00000000-0005-0000-0000-0000E67C0000}"/>
    <cellStyle name="解释性文本 16 5 6 2" xfId="26473" xr:uid="{00000000-0005-0000-0000-0000E77C0000}"/>
    <cellStyle name="解释性文本 16 5 6 3" xfId="26475" xr:uid="{00000000-0005-0000-0000-0000E87C0000}"/>
    <cellStyle name="解释性文本 16 5 7" xfId="26550" xr:uid="{00000000-0005-0000-0000-0000E97C0000}"/>
    <cellStyle name="解释性文本 16 5 8" xfId="26554" xr:uid="{00000000-0005-0000-0000-0000EA7C0000}"/>
    <cellStyle name="解释性文本 16 5 9" xfId="26557" xr:uid="{00000000-0005-0000-0000-0000EB7C0000}"/>
    <cellStyle name="解释性文本 16 6" xfId="33792" xr:uid="{00000000-0005-0000-0000-0000EC7C0000}"/>
    <cellStyle name="解释性文本 16 6 2" xfId="25030" xr:uid="{00000000-0005-0000-0000-0000ED7C0000}"/>
    <cellStyle name="解释性文本 16 6 2 2" xfId="30080" xr:uid="{00000000-0005-0000-0000-0000EE7C0000}"/>
    <cellStyle name="解释性文本 16 6 2 3" xfId="30082" xr:uid="{00000000-0005-0000-0000-0000EF7C0000}"/>
    <cellStyle name="解释性文本 16 6 3" xfId="25032" xr:uid="{00000000-0005-0000-0000-0000F07C0000}"/>
    <cellStyle name="解释性文本 16 6 4" xfId="34804" xr:uid="{00000000-0005-0000-0000-0000F17C0000}"/>
    <cellStyle name="解释性文本 16 6 5" xfId="33063" xr:uid="{00000000-0005-0000-0000-0000F27C0000}"/>
    <cellStyle name="解释性文本 16 6 6" xfId="33067" xr:uid="{00000000-0005-0000-0000-0000F37C0000}"/>
    <cellStyle name="解释性文本 16 6 7" xfId="33070" xr:uid="{00000000-0005-0000-0000-0000F47C0000}"/>
    <cellStyle name="解释性文本 16 6 8" xfId="33073" xr:uid="{00000000-0005-0000-0000-0000F57C0000}"/>
    <cellStyle name="解释性文本 16 7" xfId="31356" xr:uid="{00000000-0005-0000-0000-0000F67C0000}"/>
    <cellStyle name="解释性文本 16 8" xfId="31361" xr:uid="{00000000-0005-0000-0000-0000F77C0000}"/>
    <cellStyle name="解释性文本 16 9" xfId="31363" xr:uid="{00000000-0005-0000-0000-0000F87C0000}"/>
    <cellStyle name="解释性文本 16 9 2" xfId="32681" xr:uid="{00000000-0005-0000-0000-0000F97C0000}"/>
    <cellStyle name="解释性文本 16 9 3" xfId="32683" xr:uid="{00000000-0005-0000-0000-0000FA7C0000}"/>
    <cellStyle name="解释性文本 17" xfId="26740" xr:uid="{00000000-0005-0000-0000-0000FB7C0000}"/>
    <cellStyle name="解释性文本 17 10" xfId="14016" xr:uid="{00000000-0005-0000-0000-0000FC7C0000}"/>
    <cellStyle name="解释性文本 17 11" xfId="14038" xr:uid="{00000000-0005-0000-0000-0000FD7C0000}"/>
    <cellStyle name="解释性文本 17 12" xfId="14055" xr:uid="{00000000-0005-0000-0000-0000FE7C0000}"/>
    <cellStyle name="解释性文本 17 13" xfId="14057" xr:uid="{00000000-0005-0000-0000-0000FF7C0000}"/>
    <cellStyle name="解释性文本 17 14" xfId="14059" xr:uid="{00000000-0005-0000-0000-0000007D0000}"/>
    <cellStyle name="解释性文本 17 2" xfId="196" xr:uid="{00000000-0005-0000-0000-0000017D0000}"/>
    <cellStyle name="解释性文本 17 3" xfId="3783" xr:uid="{00000000-0005-0000-0000-0000027D0000}"/>
    <cellStyle name="解释性文本 17 4" xfId="3793" xr:uid="{00000000-0005-0000-0000-0000037D0000}"/>
    <cellStyle name="解释性文本 17 5" xfId="3807" xr:uid="{00000000-0005-0000-0000-0000047D0000}"/>
    <cellStyle name="解释性文本 17 5 10" xfId="12490" xr:uid="{00000000-0005-0000-0000-0000057D0000}"/>
    <cellStyle name="解释性文本 17 5 11" xfId="12497" xr:uid="{00000000-0005-0000-0000-0000067D0000}"/>
    <cellStyle name="解释性文本 17 5 2" xfId="3565" xr:uid="{00000000-0005-0000-0000-0000077D0000}"/>
    <cellStyle name="解释性文本 17 5 2 2" xfId="23073" xr:uid="{00000000-0005-0000-0000-0000087D0000}"/>
    <cellStyle name="解释性文本 17 5 2 2 2" xfId="23075" xr:uid="{00000000-0005-0000-0000-0000097D0000}"/>
    <cellStyle name="解释性文本 17 5 2 2 3" xfId="23078" xr:uid="{00000000-0005-0000-0000-00000A7D0000}"/>
    <cellStyle name="解释性文本 17 5 2 3" xfId="19723" xr:uid="{00000000-0005-0000-0000-00000B7D0000}"/>
    <cellStyle name="解释性文本 17 5 2 4" xfId="19730" xr:uid="{00000000-0005-0000-0000-00000C7D0000}"/>
    <cellStyle name="解释性文本 17 5 2 5" xfId="19733" xr:uid="{00000000-0005-0000-0000-00000D7D0000}"/>
    <cellStyle name="解释性文本 17 5 2 6" xfId="34805" xr:uid="{00000000-0005-0000-0000-00000E7D0000}"/>
    <cellStyle name="解释性文本 17 5 2 7" xfId="34807" xr:uid="{00000000-0005-0000-0000-00000F7D0000}"/>
    <cellStyle name="解释性文本 17 5 2 8" xfId="34809" xr:uid="{00000000-0005-0000-0000-0000107D0000}"/>
    <cellStyle name="解释性文本 17 5 3" xfId="3814" xr:uid="{00000000-0005-0000-0000-0000117D0000}"/>
    <cellStyle name="解释性文本 17 5 4" xfId="5272" xr:uid="{00000000-0005-0000-0000-0000127D0000}"/>
    <cellStyle name="解释性文本 17 5 5" xfId="5292" xr:uid="{00000000-0005-0000-0000-0000137D0000}"/>
    <cellStyle name="解释性文本 17 5 6" xfId="5303" xr:uid="{00000000-0005-0000-0000-0000147D0000}"/>
    <cellStyle name="解释性文本 17 5 6 2" xfId="15282" xr:uid="{00000000-0005-0000-0000-0000157D0000}"/>
    <cellStyle name="解释性文本 17 5 6 3" xfId="15285" xr:uid="{00000000-0005-0000-0000-0000167D0000}"/>
    <cellStyle name="解释性文本 17 5 7" xfId="5315" xr:uid="{00000000-0005-0000-0000-0000177D0000}"/>
    <cellStyle name="解释性文本 17 5 8" xfId="7442" xr:uid="{00000000-0005-0000-0000-0000187D0000}"/>
    <cellStyle name="解释性文本 17 5 9" xfId="7447" xr:uid="{00000000-0005-0000-0000-0000197D0000}"/>
    <cellStyle name="解释性文本 17 6" xfId="3833" xr:uid="{00000000-0005-0000-0000-00001A7D0000}"/>
    <cellStyle name="解释性文本 17 6 2" xfId="34810" xr:uid="{00000000-0005-0000-0000-00001B7D0000}"/>
    <cellStyle name="解释性文本 17 6 2 2" xfId="30208" xr:uid="{00000000-0005-0000-0000-00001C7D0000}"/>
    <cellStyle name="解释性文本 17 6 2 3" xfId="9902" xr:uid="{00000000-0005-0000-0000-00001D7D0000}"/>
    <cellStyle name="解释性文本 17 6 3" xfId="34811" xr:uid="{00000000-0005-0000-0000-00001E7D0000}"/>
    <cellStyle name="解释性文本 17 6 4" xfId="34812" xr:uid="{00000000-0005-0000-0000-00001F7D0000}"/>
    <cellStyle name="解释性文本 17 6 5" xfId="33085" xr:uid="{00000000-0005-0000-0000-0000207D0000}"/>
    <cellStyle name="解释性文本 17 6 6" xfId="33087" xr:uid="{00000000-0005-0000-0000-0000217D0000}"/>
    <cellStyle name="解释性文本 17 6 7" xfId="34280" xr:uid="{00000000-0005-0000-0000-0000227D0000}"/>
    <cellStyle name="解释性文本 17 6 8" xfId="24914" xr:uid="{00000000-0005-0000-0000-0000237D0000}"/>
    <cellStyle name="解释性文本 17 7" xfId="2699" xr:uid="{00000000-0005-0000-0000-0000247D0000}"/>
    <cellStyle name="解释性文本 17 8" xfId="1130" xr:uid="{00000000-0005-0000-0000-0000257D0000}"/>
    <cellStyle name="解释性文本 17 9" xfId="31373" xr:uid="{00000000-0005-0000-0000-0000267D0000}"/>
    <cellStyle name="解释性文本 17 9 2" xfId="14082" xr:uid="{00000000-0005-0000-0000-0000277D0000}"/>
    <cellStyle name="解释性文本 17 9 3" xfId="2729" xr:uid="{00000000-0005-0000-0000-0000287D0000}"/>
    <cellStyle name="解释性文本 18" xfId="26742" xr:uid="{00000000-0005-0000-0000-0000297D0000}"/>
    <cellStyle name="解释性文本 18 10" xfId="34813" xr:uid="{00000000-0005-0000-0000-00002A7D0000}"/>
    <cellStyle name="解释性文本 18 11" xfId="33139" xr:uid="{00000000-0005-0000-0000-00002B7D0000}"/>
    <cellStyle name="解释性文本 18 12" xfId="33141" xr:uid="{00000000-0005-0000-0000-00002C7D0000}"/>
    <cellStyle name="解释性文本 18 13" xfId="34814" xr:uid="{00000000-0005-0000-0000-00002D7D0000}"/>
    <cellStyle name="解释性文本 18 14" xfId="34815" xr:uid="{00000000-0005-0000-0000-00002E7D0000}"/>
    <cellStyle name="解释性文本 18 2" xfId="3306" xr:uid="{00000000-0005-0000-0000-00002F7D0000}"/>
    <cellStyle name="解释性文本 18 3" xfId="3861" xr:uid="{00000000-0005-0000-0000-0000307D0000}"/>
    <cellStyle name="解释性文本 18 4" xfId="3864" xr:uid="{00000000-0005-0000-0000-0000317D0000}"/>
    <cellStyle name="解释性文本 18 5" xfId="3867" xr:uid="{00000000-0005-0000-0000-0000327D0000}"/>
    <cellStyle name="解释性文本 18 5 10" xfId="34816" xr:uid="{00000000-0005-0000-0000-0000337D0000}"/>
    <cellStyle name="解释性文本 18 5 11" xfId="3285" xr:uid="{00000000-0005-0000-0000-0000347D0000}"/>
    <cellStyle name="解释性文本 18 5 2" xfId="21292" xr:uid="{00000000-0005-0000-0000-0000357D0000}"/>
    <cellStyle name="解释性文本 18 5 2 2" xfId="15104" xr:uid="{00000000-0005-0000-0000-0000367D0000}"/>
    <cellStyle name="解释性文本 18 5 2 2 2" xfId="12017" xr:uid="{00000000-0005-0000-0000-0000377D0000}"/>
    <cellStyle name="解释性文本 18 5 2 2 3" xfId="8482" xr:uid="{00000000-0005-0000-0000-0000387D0000}"/>
    <cellStyle name="解释性文本 18 5 2 3" xfId="1201" xr:uid="{00000000-0005-0000-0000-0000397D0000}"/>
    <cellStyle name="解释性文本 18 5 2 4" xfId="523" xr:uid="{00000000-0005-0000-0000-00003A7D0000}"/>
    <cellStyle name="解释性文本 18 5 2 5" xfId="6035" xr:uid="{00000000-0005-0000-0000-00003B7D0000}"/>
    <cellStyle name="解释性文本 18 5 2 6" xfId="6041" xr:uid="{00000000-0005-0000-0000-00003C7D0000}"/>
    <cellStyle name="解释性文本 18 5 2 7" xfId="6048" xr:uid="{00000000-0005-0000-0000-00003D7D0000}"/>
    <cellStyle name="解释性文本 18 5 2 8" xfId="31428" xr:uid="{00000000-0005-0000-0000-00003E7D0000}"/>
    <cellStyle name="解释性文本 18 5 3" xfId="11928" xr:uid="{00000000-0005-0000-0000-00003F7D0000}"/>
    <cellStyle name="解释性文本 18 5 4" xfId="11931" xr:uid="{00000000-0005-0000-0000-0000407D0000}"/>
    <cellStyle name="解释性文本 18 5 5" xfId="34817" xr:uid="{00000000-0005-0000-0000-0000417D0000}"/>
    <cellStyle name="解释性文本 18 5 6" xfId="34818" xr:uid="{00000000-0005-0000-0000-0000427D0000}"/>
    <cellStyle name="解释性文本 18 5 6 2" xfId="26576" xr:uid="{00000000-0005-0000-0000-0000437D0000}"/>
    <cellStyle name="解释性文本 18 5 6 3" xfId="16781" xr:uid="{00000000-0005-0000-0000-0000447D0000}"/>
    <cellStyle name="解释性文本 18 5 7" xfId="13937" xr:uid="{00000000-0005-0000-0000-0000457D0000}"/>
    <cellStyle name="解释性文本 18 5 8" xfId="13941" xr:uid="{00000000-0005-0000-0000-0000467D0000}"/>
    <cellStyle name="解释性文本 18 5 9" xfId="13944" xr:uid="{00000000-0005-0000-0000-0000477D0000}"/>
    <cellStyle name="解释性文本 18 6" xfId="1632" xr:uid="{00000000-0005-0000-0000-0000487D0000}"/>
    <cellStyle name="解释性文本 18 6 2" xfId="13086" xr:uid="{00000000-0005-0000-0000-0000497D0000}"/>
    <cellStyle name="解释性文本 18 6 2 2" xfId="23369" xr:uid="{00000000-0005-0000-0000-00004A7D0000}"/>
    <cellStyle name="解释性文本 18 6 2 3" xfId="23372" xr:uid="{00000000-0005-0000-0000-00004B7D0000}"/>
    <cellStyle name="解释性文本 18 6 3" xfId="13090" xr:uid="{00000000-0005-0000-0000-00004C7D0000}"/>
    <cellStyle name="解释性文本 18 6 4" xfId="13094" xr:uid="{00000000-0005-0000-0000-00004D7D0000}"/>
    <cellStyle name="解释性文本 18 6 5" xfId="13097" xr:uid="{00000000-0005-0000-0000-00004E7D0000}"/>
    <cellStyle name="解释性文本 18 6 6" xfId="34819" xr:uid="{00000000-0005-0000-0000-00004F7D0000}"/>
    <cellStyle name="解释性文本 18 6 7" xfId="33143" xr:uid="{00000000-0005-0000-0000-0000507D0000}"/>
    <cellStyle name="解释性文本 18 6 8" xfId="33145" xr:uid="{00000000-0005-0000-0000-0000517D0000}"/>
    <cellStyle name="解释性文本 18 7" xfId="451" xr:uid="{00000000-0005-0000-0000-0000527D0000}"/>
    <cellStyle name="解释性文本 18 8" xfId="8911" xr:uid="{00000000-0005-0000-0000-0000537D0000}"/>
    <cellStyle name="解释性文本 18 9" xfId="8913" xr:uid="{00000000-0005-0000-0000-0000547D0000}"/>
    <cellStyle name="解释性文本 18 9 2" xfId="32620" xr:uid="{00000000-0005-0000-0000-0000557D0000}"/>
    <cellStyle name="解释性文本 18 9 3" xfId="26090" xr:uid="{00000000-0005-0000-0000-0000567D0000}"/>
    <cellStyle name="解释性文本 19" xfId="30835" xr:uid="{00000000-0005-0000-0000-0000577D0000}"/>
    <cellStyle name="解释性文本 2" xfId="200" xr:uid="{00000000-0005-0000-0000-0000587D0000}"/>
    <cellStyle name="解释性文本 2 10" xfId="7482" xr:uid="{00000000-0005-0000-0000-0000597D0000}"/>
    <cellStyle name="解释性文本 2 11" xfId="7489" xr:uid="{00000000-0005-0000-0000-00005A7D0000}"/>
    <cellStyle name="解释性文本 2 12" xfId="7491" xr:uid="{00000000-0005-0000-0000-00005B7D0000}"/>
    <cellStyle name="解释性文本 2 13" xfId="7497" xr:uid="{00000000-0005-0000-0000-00005C7D0000}"/>
    <cellStyle name="解释性文本 2 14" xfId="7501" xr:uid="{00000000-0005-0000-0000-00005D7D0000}"/>
    <cellStyle name="解释性文本 2 15" xfId="7523" xr:uid="{00000000-0005-0000-0000-00005E7D0000}"/>
    <cellStyle name="解释性文本 2 16" xfId="7512" xr:uid="{00000000-0005-0000-0000-00005F7D0000}"/>
    <cellStyle name="解释性文本 2 17" xfId="5588" xr:uid="{00000000-0005-0000-0000-0000607D0000}"/>
    <cellStyle name="解释性文本 2 17 10" xfId="8858" xr:uid="{00000000-0005-0000-0000-0000617D0000}"/>
    <cellStyle name="解释性文本 2 17 11" xfId="8862" xr:uid="{00000000-0005-0000-0000-0000627D0000}"/>
    <cellStyle name="解释性文本 2 17 12" xfId="21817" xr:uid="{00000000-0005-0000-0000-0000637D0000}"/>
    <cellStyle name="解释性文本 2 17 13" xfId="21821" xr:uid="{00000000-0005-0000-0000-0000647D0000}"/>
    <cellStyle name="解释性文本 2 17 14" xfId="21824" xr:uid="{00000000-0005-0000-0000-0000657D0000}"/>
    <cellStyle name="解释性文本 2 17 2" xfId="34820" xr:uid="{00000000-0005-0000-0000-0000667D0000}"/>
    <cellStyle name="解释性文本 2 17 3" xfId="34821" xr:uid="{00000000-0005-0000-0000-0000677D0000}"/>
    <cellStyle name="解释性文本 2 17 4" xfId="34822" xr:uid="{00000000-0005-0000-0000-0000687D0000}"/>
    <cellStyle name="解释性文本 2 17 5" xfId="34823" xr:uid="{00000000-0005-0000-0000-0000697D0000}"/>
    <cellStyle name="解释性文本 2 17 5 10" xfId="34824" xr:uid="{00000000-0005-0000-0000-00006A7D0000}"/>
    <cellStyle name="解释性文本 2 17 5 11" xfId="34825" xr:uid="{00000000-0005-0000-0000-00006B7D0000}"/>
    <cellStyle name="解释性文本 2 17 5 2" xfId="33827" xr:uid="{00000000-0005-0000-0000-00006C7D0000}"/>
    <cellStyle name="解释性文本 2 17 5 2 2" xfId="34826" xr:uid="{00000000-0005-0000-0000-00006D7D0000}"/>
    <cellStyle name="解释性文本 2 17 5 2 2 2" xfId="34827" xr:uid="{00000000-0005-0000-0000-00006E7D0000}"/>
    <cellStyle name="解释性文本 2 17 5 2 2 3" xfId="34828" xr:uid="{00000000-0005-0000-0000-00006F7D0000}"/>
    <cellStyle name="解释性文本 2 17 5 2 3" xfId="32420" xr:uid="{00000000-0005-0000-0000-0000707D0000}"/>
    <cellStyle name="解释性文本 2 17 5 2 4" xfId="20161" xr:uid="{00000000-0005-0000-0000-0000717D0000}"/>
    <cellStyle name="解释性文本 2 17 5 2 5" xfId="20164" xr:uid="{00000000-0005-0000-0000-0000727D0000}"/>
    <cellStyle name="解释性文本 2 17 5 2 6" xfId="22809" xr:uid="{00000000-0005-0000-0000-0000737D0000}"/>
    <cellStyle name="解释性文本 2 17 5 2 7" xfId="22812" xr:uid="{00000000-0005-0000-0000-0000747D0000}"/>
    <cellStyle name="解释性文本 2 17 5 2 8" xfId="34829" xr:uid="{00000000-0005-0000-0000-0000757D0000}"/>
    <cellStyle name="解释性文本 2 17 5 3" xfId="34830" xr:uid="{00000000-0005-0000-0000-0000767D0000}"/>
    <cellStyle name="解释性文本 2 17 5 4" xfId="34831" xr:uid="{00000000-0005-0000-0000-0000777D0000}"/>
    <cellStyle name="解释性文本 2 17 5 5" xfId="34832" xr:uid="{00000000-0005-0000-0000-0000787D0000}"/>
    <cellStyle name="解释性文本 2 17 5 6" xfId="34833" xr:uid="{00000000-0005-0000-0000-0000797D0000}"/>
    <cellStyle name="解释性文本 2 17 5 6 2" xfId="21647" xr:uid="{00000000-0005-0000-0000-00007A7D0000}"/>
    <cellStyle name="解释性文本 2 17 5 6 3" xfId="21649" xr:uid="{00000000-0005-0000-0000-00007B7D0000}"/>
    <cellStyle name="解释性文本 2 17 5 7" xfId="34834" xr:uid="{00000000-0005-0000-0000-00007C7D0000}"/>
    <cellStyle name="解释性文本 2 17 5 8" xfId="34835" xr:uid="{00000000-0005-0000-0000-00007D7D0000}"/>
    <cellStyle name="解释性文本 2 17 5 9" xfId="34836" xr:uid="{00000000-0005-0000-0000-00007E7D0000}"/>
    <cellStyle name="解释性文本 2 17 6" xfId="34837" xr:uid="{00000000-0005-0000-0000-00007F7D0000}"/>
    <cellStyle name="解释性文本 2 17 6 2" xfId="34211" xr:uid="{00000000-0005-0000-0000-0000807D0000}"/>
    <cellStyle name="解释性文本 2 17 6 2 2" xfId="4401" xr:uid="{00000000-0005-0000-0000-0000817D0000}"/>
    <cellStyle name="解释性文本 2 17 6 2 3" xfId="4411" xr:uid="{00000000-0005-0000-0000-0000827D0000}"/>
    <cellStyle name="解释性文本 2 17 6 3" xfId="26105" xr:uid="{00000000-0005-0000-0000-0000837D0000}"/>
    <cellStyle name="解释性文本 2 17 6 4" xfId="34838" xr:uid="{00000000-0005-0000-0000-0000847D0000}"/>
    <cellStyle name="解释性文本 2 17 6 5" xfId="34839" xr:uid="{00000000-0005-0000-0000-0000857D0000}"/>
    <cellStyle name="解释性文本 2 17 6 6" xfId="34840" xr:uid="{00000000-0005-0000-0000-0000867D0000}"/>
    <cellStyle name="解释性文本 2 17 6 7" xfId="33527" xr:uid="{00000000-0005-0000-0000-0000877D0000}"/>
    <cellStyle name="解释性文本 2 17 6 8" xfId="33529" xr:uid="{00000000-0005-0000-0000-0000887D0000}"/>
    <cellStyle name="解释性文本 2 17 7" xfId="34841" xr:uid="{00000000-0005-0000-0000-0000897D0000}"/>
    <cellStyle name="解释性文本 2 17 8" xfId="34842" xr:uid="{00000000-0005-0000-0000-00008A7D0000}"/>
    <cellStyle name="解释性文本 2 17 9" xfId="34843" xr:uid="{00000000-0005-0000-0000-00008B7D0000}"/>
    <cellStyle name="解释性文本 2 17 9 2" xfId="25954" xr:uid="{00000000-0005-0000-0000-00008C7D0000}"/>
    <cellStyle name="解释性文本 2 17 9 3" xfId="34844" xr:uid="{00000000-0005-0000-0000-00008D7D0000}"/>
    <cellStyle name="解释性文本 2 18" xfId="32033" xr:uid="{00000000-0005-0000-0000-00008E7D0000}"/>
    <cellStyle name="解释性文本 2 18 10" xfId="34845" xr:uid="{00000000-0005-0000-0000-00008F7D0000}"/>
    <cellStyle name="解释性文本 2 18 11" xfId="34846" xr:uid="{00000000-0005-0000-0000-0000907D0000}"/>
    <cellStyle name="解释性文本 2 18 12" xfId="34847" xr:uid="{00000000-0005-0000-0000-0000917D0000}"/>
    <cellStyle name="解释性文本 2 18 13" xfId="34848" xr:uid="{00000000-0005-0000-0000-0000927D0000}"/>
    <cellStyle name="解释性文本 2 18 14" xfId="34849" xr:uid="{00000000-0005-0000-0000-0000937D0000}"/>
    <cellStyle name="解释性文本 2 18 2" xfId="34850" xr:uid="{00000000-0005-0000-0000-0000947D0000}"/>
    <cellStyle name="解释性文本 2 18 3" xfId="34851" xr:uid="{00000000-0005-0000-0000-0000957D0000}"/>
    <cellStyle name="解释性文本 2 18 4" xfId="34852" xr:uid="{00000000-0005-0000-0000-0000967D0000}"/>
    <cellStyle name="解释性文本 2 18 5" xfId="34853" xr:uid="{00000000-0005-0000-0000-0000977D0000}"/>
    <cellStyle name="解释性文本 2 18 5 10" xfId="34855" xr:uid="{00000000-0005-0000-0000-0000987D0000}"/>
    <cellStyle name="解释性文本 2 18 5 11" xfId="34857" xr:uid="{00000000-0005-0000-0000-0000997D0000}"/>
    <cellStyle name="解释性文本 2 18 5 2" xfId="12094" xr:uid="{00000000-0005-0000-0000-00009A7D0000}"/>
    <cellStyle name="解释性文本 2 18 5 2 2" xfId="34858" xr:uid="{00000000-0005-0000-0000-00009B7D0000}"/>
    <cellStyle name="解释性文本 2 18 5 2 2 2" xfId="34806" xr:uid="{00000000-0005-0000-0000-00009C7D0000}"/>
    <cellStyle name="解释性文本 2 18 5 2 2 3" xfId="34808" xr:uid="{00000000-0005-0000-0000-00009D7D0000}"/>
    <cellStyle name="解释性文本 2 18 5 2 3" xfId="34859" xr:uid="{00000000-0005-0000-0000-00009E7D0000}"/>
    <cellStyle name="解释性文本 2 18 5 2 4" xfId="34860" xr:uid="{00000000-0005-0000-0000-00009F7D0000}"/>
    <cellStyle name="解释性文本 2 18 5 2 5" xfId="34861" xr:uid="{00000000-0005-0000-0000-0000A07D0000}"/>
    <cellStyle name="解释性文本 2 18 5 2 6" xfId="34862" xr:uid="{00000000-0005-0000-0000-0000A17D0000}"/>
    <cellStyle name="解释性文本 2 18 5 2 7" xfId="34863" xr:uid="{00000000-0005-0000-0000-0000A27D0000}"/>
    <cellStyle name="解释性文本 2 18 5 2 8" xfId="34864" xr:uid="{00000000-0005-0000-0000-0000A37D0000}"/>
    <cellStyle name="解释性文本 2 18 5 3" xfId="12101" xr:uid="{00000000-0005-0000-0000-0000A47D0000}"/>
    <cellStyle name="解释性文本 2 18 5 4" xfId="23163" xr:uid="{00000000-0005-0000-0000-0000A57D0000}"/>
    <cellStyle name="解释性文本 2 18 5 5" xfId="16970" xr:uid="{00000000-0005-0000-0000-0000A67D0000}"/>
    <cellStyle name="解释性文本 2 18 5 6" xfId="16975" xr:uid="{00000000-0005-0000-0000-0000A77D0000}"/>
    <cellStyle name="解释性文本 2 18 5 6 2" xfId="22452" xr:uid="{00000000-0005-0000-0000-0000A87D0000}"/>
    <cellStyle name="解释性文本 2 18 5 6 3" xfId="22454" xr:uid="{00000000-0005-0000-0000-0000A97D0000}"/>
    <cellStyle name="解释性文本 2 18 5 7" xfId="16977" xr:uid="{00000000-0005-0000-0000-0000AA7D0000}"/>
    <cellStyle name="解释性文本 2 18 5 8" xfId="16980" xr:uid="{00000000-0005-0000-0000-0000AB7D0000}"/>
    <cellStyle name="解释性文本 2 18 5 9" xfId="16983" xr:uid="{00000000-0005-0000-0000-0000AC7D0000}"/>
    <cellStyle name="解释性文本 2 18 6" xfId="34865" xr:uid="{00000000-0005-0000-0000-0000AD7D0000}"/>
    <cellStyle name="解释性文本 2 18 6 2" xfId="12200" xr:uid="{00000000-0005-0000-0000-0000AE7D0000}"/>
    <cellStyle name="解释性文本 2 18 6 2 2" xfId="34866" xr:uid="{00000000-0005-0000-0000-0000AF7D0000}"/>
    <cellStyle name="解释性文本 2 18 6 2 3" xfId="15487" xr:uid="{00000000-0005-0000-0000-0000B07D0000}"/>
    <cellStyle name="解释性文本 2 18 6 3" xfId="10475" xr:uid="{00000000-0005-0000-0000-0000B17D0000}"/>
    <cellStyle name="解释性文本 2 18 6 4" xfId="23191" xr:uid="{00000000-0005-0000-0000-0000B27D0000}"/>
    <cellStyle name="解释性文本 2 18 6 5" xfId="34867" xr:uid="{00000000-0005-0000-0000-0000B37D0000}"/>
    <cellStyle name="解释性文本 2 18 6 6" xfId="34868" xr:uid="{00000000-0005-0000-0000-0000B47D0000}"/>
    <cellStyle name="解释性文本 2 18 6 7" xfId="33545" xr:uid="{00000000-0005-0000-0000-0000B57D0000}"/>
    <cellStyle name="解释性文本 2 18 6 8" xfId="33547" xr:uid="{00000000-0005-0000-0000-0000B67D0000}"/>
    <cellStyle name="解释性文本 2 18 7" xfId="34869" xr:uid="{00000000-0005-0000-0000-0000B77D0000}"/>
    <cellStyle name="解释性文本 2 18 8" xfId="34870" xr:uid="{00000000-0005-0000-0000-0000B87D0000}"/>
    <cellStyle name="解释性文本 2 18 9" xfId="34871" xr:uid="{00000000-0005-0000-0000-0000B97D0000}"/>
    <cellStyle name="解释性文本 2 18 9 2" xfId="34872" xr:uid="{00000000-0005-0000-0000-0000BA7D0000}"/>
    <cellStyle name="解释性文本 2 18 9 3" xfId="34873" xr:uid="{00000000-0005-0000-0000-0000BB7D0000}"/>
    <cellStyle name="解释性文本 2 19" xfId="32035" xr:uid="{00000000-0005-0000-0000-0000BC7D0000}"/>
    <cellStyle name="解释性文本 2 19 10" xfId="10157" xr:uid="{00000000-0005-0000-0000-0000BD7D0000}"/>
    <cellStyle name="解释性文本 2 19 11" xfId="10163" xr:uid="{00000000-0005-0000-0000-0000BE7D0000}"/>
    <cellStyle name="解释性文本 2 19 12" xfId="4702" xr:uid="{00000000-0005-0000-0000-0000BF7D0000}"/>
    <cellStyle name="解释性文本 2 19 13" xfId="34874" xr:uid="{00000000-0005-0000-0000-0000C07D0000}"/>
    <cellStyle name="解释性文本 2 19 14" xfId="34875" xr:uid="{00000000-0005-0000-0000-0000C17D0000}"/>
    <cellStyle name="解释性文本 2 19 2" xfId="34876" xr:uid="{00000000-0005-0000-0000-0000C27D0000}"/>
    <cellStyle name="解释性文本 2 19 3" xfId="34877" xr:uid="{00000000-0005-0000-0000-0000C37D0000}"/>
    <cellStyle name="解释性文本 2 19 4" xfId="34878" xr:uid="{00000000-0005-0000-0000-0000C47D0000}"/>
    <cellStyle name="解释性文本 2 19 5" xfId="34879" xr:uid="{00000000-0005-0000-0000-0000C57D0000}"/>
    <cellStyle name="解释性文本 2 19 5 10" xfId="34880" xr:uid="{00000000-0005-0000-0000-0000C67D0000}"/>
    <cellStyle name="解释性文本 2 19 5 11" xfId="34881" xr:uid="{00000000-0005-0000-0000-0000C77D0000}"/>
    <cellStyle name="解释性文本 2 19 5 2" xfId="34882" xr:uid="{00000000-0005-0000-0000-0000C87D0000}"/>
    <cellStyle name="解释性文本 2 19 5 2 2" xfId="29280" xr:uid="{00000000-0005-0000-0000-0000C97D0000}"/>
    <cellStyle name="解释性文本 2 19 5 2 2 2" xfId="29284" xr:uid="{00000000-0005-0000-0000-0000CA7D0000}"/>
    <cellStyle name="解释性文本 2 19 5 2 2 3" xfId="22724" xr:uid="{00000000-0005-0000-0000-0000CB7D0000}"/>
    <cellStyle name="解释性文本 2 19 5 2 3" xfId="16693" xr:uid="{00000000-0005-0000-0000-0000CC7D0000}"/>
    <cellStyle name="解释性文本 2 19 5 2 4" xfId="16699" xr:uid="{00000000-0005-0000-0000-0000CD7D0000}"/>
    <cellStyle name="解释性文本 2 19 5 2 5" xfId="34884" xr:uid="{00000000-0005-0000-0000-0000CE7D0000}"/>
    <cellStyle name="解释性文本 2 19 5 2 6" xfId="34886" xr:uid="{00000000-0005-0000-0000-0000CF7D0000}"/>
    <cellStyle name="解释性文本 2 19 5 2 7" xfId="34888" xr:uid="{00000000-0005-0000-0000-0000D07D0000}"/>
    <cellStyle name="解释性文本 2 19 5 2 8" xfId="34889" xr:uid="{00000000-0005-0000-0000-0000D17D0000}"/>
    <cellStyle name="解释性文本 2 19 5 3" xfId="34890" xr:uid="{00000000-0005-0000-0000-0000D27D0000}"/>
    <cellStyle name="解释性文本 2 19 5 4" xfId="34891" xr:uid="{00000000-0005-0000-0000-0000D37D0000}"/>
    <cellStyle name="解释性文本 2 19 5 5" xfId="17000" xr:uid="{00000000-0005-0000-0000-0000D47D0000}"/>
    <cellStyle name="解释性文本 2 19 5 6" xfId="13459" xr:uid="{00000000-0005-0000-0000-0000D57D0000}"/>
    <cellStyle name="解释性文本 2 19 5 6 2" xfId="23033" xr:uid="{00000000-0005-0000-0000-0000D67D0000}"/>
    <cellStyle name="解释性文本 2 19 5 6 3" xfId="23036" xr:uid="{00000000-0005-0000-0000-0000D77D0000}"/>
    <cellStyle name="解释性文本 2 19 5 7" xfId="13462" xr:uid="{00000000-0005-0000-0000-0000D87D0000}"/>
    <cellStyle name="解释性文本 2 19 5 8" xfId="34892" xr:uid="{00000000-0005-0000-0000-0000D97D0000}"/>
    <cellStyle name="解释性文本 2 19 5 9" xfId="34893" xr:uid="{00000000-0005-0000-0000-0000DA7D0000}"/>
    <cellStyle name="解释性文本 2 19 6" xfId="34894" xr:uid="{00000000-0005-0000-0000-0000DB7D0000}"/>
    <cellStyle name="解释性文本 2 19 6 2" xfId="31849" xr:uid="{00000000-0005-0000-0000-0000DC7D0000}"/>
    <cellStyle name="解释性文本 2 19 6 2 2" xfId="11047" xr:uid="{00000000-0005-0000-0000-0000DD7D0000}"/>
    <cellStyle name="解释性文本 2 19 6 2 3" xfId="11051" xr:uid="{00000000-0005-0000-0000-0000DE7D0000}"/>
    <cellStyle name="解释性文本 2 19 6 3" xfId="31852" xr:uid="{00000000-0005-0000-0000-0000DF7D0000}"/>
    <cellStyle name="解释性文本 2 19 6 4" xfId="31855" xr:uid="{00000000-0005-0000-0000-0000E07D0000}"/>
    <cellStyle name="解释性文本 2 19 6 5" xfId="31859" xr:uid="{00000000-0005-0000-0000-0000E17D0000}"/>
    <cellStyle name="解释性文本 2 19 6 6" xfId="33742" xr:uid="{00000000-0005-0000-0000-0000E27D0000}"/>
    <cellStyle name="解释性文本 2 19 6 7" xfId="33744" xr:uid="{00000000-0005-0000-0000-0000E37D0000}"/>
    <cellStyle name="解释性文本 2 19 6 8" xfId="24562" xr:uid="{00000000-0005-0000-0000-0000E47D0000}"/>
    <cellStyle name="解释性文本 2 19 7" xfId="34895" xr:uid="{00000000-0005-0000-0000-0000E57D0000}"/>
    <cellStyle name="解释性文本 2 19 8" xfId="34896" xr:uid="{00000000-0005-0000-0000-0000E67D0000}"/>
    <cellStyle name="解释性文本 2 19 9" xfId="34897" xr:uid="{00000000-0005-0000-0000-0000E77D0000}"/>
    <cellStyle name="解释性文本 2 19 9 2" xfId="14741" xr:uid="{00000000-0005-0000-0000-0000E87D0000}"/>
    <cellStyle name="解释性文本 2 19 9 3" xfId="14743" xr:uid="{00000000-0005-0000-0000-0000E97D0000}"/>
    <cellStyle name="解释性文本 2 2" xfId="11941" xr:uid="{00000000-0005-0000-0000-0000EA7D0000}"/>
    <cellStyle name="解释性文本 2 2 10" xfId="34898" xr:uid="{00000000-0005-0000-0000-0000EB7D0000}"/>
    <cellStyle name="解释性文本 2 2 11" xfId="25419" xr:uid="{00000000-0005-0000-0000-0000EC7D0000}"/>
    <cellStyle name="解释性文本 2 2 12" xfId="25421" xr:uid="{00000000-0005-0000-0000-0000ED7D0000}"/>
    <cellStyle name="解释性文本 2 2 13" xfId="30702" xr:uid="{00000000-0005-0000-0000-0000EE7D0000}"/>
    <cellStyle name="解释性文本 2 2 14" xfId="34899" xr:uid="{00000000-0005-0000-0000-0000EF7D0000}"/>
    <cellStyle name="解释性文本 2 2 2" xfId="14000" xr:uid="{00000000-0005-0000-0000-0000F07D0000}"/>
    <cellStyle name="解释性文本 2 2 3" xfId="12360" xr:uid="{00000000-0005-0000-0000-0000F17D0000}"/>
    <cellStyle name="解释性文本 2 2 4" xfId="12372" xr:uid="{00000000-0005-0000-0000-0000F27D0000}"/>
    <cellStyle name="解释性文本 2 2 5" xfId="12378" xr:uid="{00000000-0005-0000-0000-0000F37D0000}"/>
    <cellStyle name="解释性文本 2 2 6" xfId="12384" xr:uid="{00000000-0005-0000-0000-0000F47D0000}"/>
    <cellStyle name="解释性文本 2 2 7" xfId="34900" xr:uid="{00000000-0005-0000-0000-0000F57D0000}"/>
    <cellStyle name="解释性文本 2 2 8" xfId="34901" xr:uid="{00000000-0005-0000-0000-0000F67D0000}"/>
    <cellStyle name="解释性文本 2 2 9" xfId="8889" xr:uid="{00000000-0005-0000-0000-0000F77D0000}"/>
    <cellStyle name="解释性文本 2 20" xfId="7524" xr:uid="{00000000-0005-0000-0000-0000F87D0000}"/>
    <cellStyle name="解释性文本 2 20 10" xfId="34902" xr:uid="{00000000-0005-0000-0000-0000F97D0000}"/>
    <cellStyle name="解释性文本 2 20 11" xfId="34903" xr:uid="{00000000-0005-0000-0000-0000FA7D0000}"/>
    <cellStyle name="解释性文本 2 20 12" xfId="34904" xr:uid="{00000000-0005-0000-0000-0000FB7D0000}"/>
    <cellStyle name="解释性文本 2 20 13" xfId="34905" xr:uid="{00000000-0005-0000-0000-0000FC7D0000}"/>
    <cellStyle name="解释性文本 2 20 14" xfId="34906" xr:uid="{00000000-0005-0000-0000-0000FD7D0000}"/>
    <cellStyle name="解释性文本 2 20 2" xfId="13834" xr:uid="{00000000-0005-0000-0000-0000FE7D0000}"/>
    <cellStyle name="解释性文本 2 20 3" xfId="13841" xr:uid="{00000000-0005-0000-0000-0000FF7D0000}"/>
    <cellStyle name="解释性文本 2 20 4" xfId="13853" xr:uid="{00000000-0005-0000-0000-0000007E0000}"/>
    <cellStyle name="解释性文本 2 20 5" xfId="13859" xr:uid="{00000000-0005-0000-0000-0000017E0000}"/>
    <cellStyle name="解释性文本 2 20 5 10" xfId="34907" xr:uid="{00000000-0005-0000-0000-0000027E0000}"/>
    <cellStyle name="解释性文本 2 20 5 11" xfId="34908" xr:uid="{00000000-0005-0000-0000-0000037E0000}"/>
    <cellStyle name="解释性文本 2 20 5 2" xfId="6887" xr:uid="{00000000-0005-0000-0000-0000047E0000}"/>
    <cellStyle name="解释性文本 2 20 5 2 2" xfId="19020" xr:uid="{00000000-0005-0000-0000-0000057E0000}"/>
    <cellStyle name="解释性文本 2 20 5 2 2 2" xfId="2717" xr:uid="{00000000-0005-0000-0000-0000067E0000}"/>
    <cellStyle name="解释性文本 2 20 5 2 2 3" xfId="2735" xr:uid="{00000000-0005-0000-0000-0000077E0000}"/>
    <cellStyle name="解释性文本 2 20 5 2 3" xfId="19029" xr:uid="{00000000-0005-0000-0000-0000087E0000}"/>
    <cellStyle name="解释性文本 2 20 5 2 4" xfId="19031" xr:uid="{00000000-0005-0000-0000-0000097E0000}"/>
    <cellStyle name="解释性文本 2 20 5 2 5" xfId="19033" xr:uid="{00000000-0005-0000-0000-00000A7E0000}"/>
    <cellStyle name="解释性文本 2 20 5 2 6" xfId="19035" xr:uid="{00000000-0005-0000-0000-00000B7E0000}"/>
    <cellStyle name="解释性文本 2 20 5 2 7" xfId="19038" xr:uid="{00000000-0005-0000-0000-00000C7E0000}"/>
    <cellStyle name="解释性文本 2 20 5 2 8" xfId="19041" xr:uid="{00000000-0005-0000-0000-00000D7E0000}"/>
    <cellStyle name="解释性文本 2 20 5 3" xfId="6891" xr:uid="{00000000-0005-0000-0000-00000E7E0000}"/>
    <cellStyle name="解释性文本 2 20 5 4" xfId="6895" xr:uid="{00000000-0005-0000-0000-00000F7E0000}"/>
    <cellStyle name="解释性文本 2 20 5 5" xfId="19050" xr:uid="{00000000-0005-0000-0000-0000107E0000}"/>
    <cellStyle name="解释性文本 2 20 5 6" xfId="19053" xr:uid="{00000000-0005-0000-0000-0000117E0000}"/>
    <cellStyle name="解释性文本 2 20 5 6 2" xfId="19055" xr:uid="{00000000-0005-0000-0000-0000127E0000}"/>
    <cellStyle name="解释性文本 2 20 5 6 3" xfId="19057" xr:uid="{00000000-0005-0000-0000-0000137E0000}"/>
    <cellStyle name="解释性文本 2 20 5 7" xfId="33613" xr:uid="{00000000-0005-0000-0000-0000147E0000}"/>
    <cellStyle name="解释性文本 2 20 5 8" xfId="33615" xr:uid="{00000000-0005-0000-0000-0000157E0000}"/>
    <cellStyle name="解释性文本 2 20 5 9" xfId="33617" xr:uid="{00000000-0005-0000-0000-0000167E0000}"/>
    <cellStyle name="解释性文本 2 20 6" xfId="13865" xr:uid="{00000000-0005-0000-0000-0000177E0000}"/>
    <cellStyle name="解释性文本 2 20 6 2" xfId="31815" xr:uid="{00000000-0005-0000-0000-0000187E0000}"/>
    <cellStyle name="解释性文本 2 20 6 2 2" xfId="31817" xr:uid="{00000000-0005-0000-0000-0000197E0000}"/>
    <cellStyle name="解释性文本 2 20 6 2 3" xfId="31819" xr:uid="{00000000-0005-0000-0000-00001A7E0000}"/>
    <cellStyle name="解释性文本 2 20 6 3" xfId="7068" xr:uid="{00000000-0005-0000-0000-00001B7E0000}"/>
    <cellStyle name="解释性文本 2 20 6 4" xfId="7072" xr:uid="{00000000-0005-0000-0000-00001C7E0000}"/>
    <cellStyle name="解释性文本 2 20 6 5" xfId="31821" xr:uid="{00000000-0005-0000-0000-00001D7E0000}"/>
    <cellStyle name="解释性文本 2 20 6 6" xfId="34909" xr:uid="{00000000-0005-0000-0000-00001E7E0000}"/>
    <cellStyle name="解释性文本 2 20 6 7" xfId="34910" xr:uid="{00000000-0005-0000-0000-00001F7E0000}"/>
    <cellStyle name="解释性文本 2 20 6 8" xfId="34911" xr:uid="{00000000-0005-0000-0000-0000207E0000}"/>
    <cellStyle name="解释性文本 2 20 7" xfId="21168" xr:uid="{00000000-0005-0000-0000-0000217E0000}"/>
    <cellStyle name="解释性文本 2 20 8" xfId="21206" xr:uid="{00000000-0005-0000-0000-0000227E0000}"/>
    <cellStyle name="解释性文本 2 20 9" xfId="21208" xr:uid="{00000000-0005-0000-0000-0000237E0000}"/>
    <cellStyle name="解释性文本 2 20 9 2" xfId="12630" xr:uid="{00000000-0005-0000-0000-0000247E0000}"/>
    <cellStyle name="解释性文本 2 20 9 3" xfId="13653" xr:uid="{00000000-0005-0000-0000-0000257E0000}"/>
    <cellStyle name="解释性文本 2 3" xfId="11944" xr:uid="{00000000-0005-0000-0000-0000267E0000}"/>
    <cellStyle name="解释性文本 2 3 10" xfId="34912" xr:uid="{00000000-0005-0000-0000-0000277E0000}"/>
    <cellStyle name="解释性文本 2 3 11" xfId="34913" xr:uid="{00000000-0005-0000-0000-0000287E0000}"/>
    <cellStyle name="解释性文本 2 3 12" xfId="34914" xr:uid="{00000000-0005-0000-0000-0000297E0000}"/>
    <cellStyle name="解释性文本 2 3 13" xfId="34915" xr:uid="{00000000-0005-0000-0000-00002A7E0000}"/>
    <cellStyle name="解释性文本 2 3 14" xfId="34916" xr:uid="{00000000-0005-0000-0000-00002B7E0000}"/>
    <cellStyle name="解释性文本 2 3 2" xfId="34290" xr:uid="{00000000-0005-0000-0000-00002C7E0000}"/>
    <cellStyle name="解释性文本 2 3 3" xfId="34918" xr:uid="{00000000-0005-0000-0000-00002D7E0000}"/>
    <cellStyle name="解释性文本 2 3 4" xfId="34920" xr:uid="{00000000-0005-0000-0000-00002E7E0000}"/>
    <cellStyle name="解释性文本 2 3 5" xfId="34922" xr:uid="{00000000-0005-0000-0000-00002F7E0000}"/>
    <cellStyle name="解释性文本 2 3 6" xfId="34924" xr:uid="{00000000-0005-0000-0000-0000307E0000}"/>
    <cellStyle name="解释性文本 2 3 7" xfId="34925" xr:uid="{00000000-0005-0000-0000-0000317E0000}"/>
    <cellStyle name="解释性文本 2 3 8" xfId="34926" xr:uid="{00000000-0005-0000-0000-0000327E0000}"/>
    <cellStyle name="解释性文本 2 3 9" xfId="9616" xr:uid="{00000000-0005-0000-0000-0000337E0000}"/>
    <cellStyle name="解释性文本 2 4" xfId="16686" xr:uid="{00000000-0005-0000-0000-0000347E0000}"/>
    <cellStyle name="解释性文本 2 4 10" xfId="34927" xr:uid="{00000000-0005-0000-0000-0000357E0000}"/>
    <cellStyle name="解释性文本 2 4 11" xfId="34928" xr:uid="{00000000-0005-0000-0000-0000367E0000}"/>
    <cellStyle name="解释性文本 2 4 12" xfId="34929" xr:uid="{00000000-0005-0000-0000-0000377E0000}"/>
    <cellStyle name="解释性文本 2 4 13" xfId="3934" xr:uid="{00000000-0005-0000-0000-0000387E0000}"/>
    <cellStyle name="解释性文本 2 4 14" xfId="4017" xr:uid="{00000000-0005-0000-0000-0000397E0000}"/>
    <cellStyle name="解释性文本 2 4 2" xfId="29957" xr:uid="{00000000-0005-0000-0000-00003A7E0000}"/>
    <cellStyle name="解释性文本 2 4 3" xfId="34930" xr:uid="{00000000-0005-0000-0000-00003B7E0000}"/>
    <cellStyle name="解释性文本 2 4 4" xfId="34931" xr:uid="{00000000-0005-0000-0000-00003C7E0000}"/>
    <cellStyle name="解释性文本 2 4 5" xfId="34932" xr:uid="{00000000-0005-0000-0000-00003D7E0000}"/>
    <cellStyle name="解释性文本 2 4 6" xfId="34933" xr:uid="{00000000-0005-0000-0000-00003E7E0000}"/>
    <cellStyle name="解释性文本 2 4 7" xfId="34934" xr:uid="{00000000-0005-0000-0000-00003F7E0000}"/>
    <cellStyle name="解释性文本 2 4 8" xfId="25632" xr:uid="{00000000-0005-0000-0000-0000407E0000}"/>
    <cellStyle name="解释性文本 2 4 9" xfId="9299" xr:uid="{00000000-0005-0000-0000-0000417E0000}"/>
    <cellStyle name="解释性文本 2 5" xfId="27953" xr:uid="{00000000-0005-0000-0000-0000427E0000}"/>
    <cellStyle name="解释性文本 2 6" xfId="27955" xr:uid="{00000000-0005-0000-0000-0000437E0000}"/>
    <cellStyle name="解释性文本 2 7" xfId="34935" xr:uid="{00000000-0005-0000-0000-0000447E0000}"/>
    <cellStyle name="解释性文本 2 8" xfId="34936" xr:uid="{00000000-0005-0000-0000-0000457E0000}"/>
    <cellStyle name="解释性文本 2 9" xfId="34937" xr:uid="{00000000-0005-0000-0000-0000467E0000}"/>
    <cellStyle name="解释性文本 3" xfId="3786" xr:uid="{00000000-0005-0000-0000-0000477E0000}"/>
    <cellStyle name="解释性文本 3 10" xfId="32827" xr:uid="{00000000-0005-0000-0000-0000487E0000}"/>
    <cellStyle name="解释性文本 3 11" xfId="32829" xr:uid="{00000000-0005-0000-0000-0000497E0000}"/>
    <cellStyle name="解释性文本 3 12" xfId="32831" xr:uid="{00000000-0005-0000-0000-00004A7E0000}"/>
    <cellStyle name="解释性文本 3 13" xfId="10928" xr:uid="{00000000-0005-0000-0000-00004B7E0000}"/>
    <cellStyle name="解释性文本 3 14" xfId="10934" xr:uid="{00000000-0005-0000-0000-00004C7E0000}"/>
    <cellStyle name="解释性文本 3 15" xfId="32843" xr:uid="{00000000-0005-0000-0000-00004D7E0000}"/>
    <cellStyle name="解释性文本 3 16" xfId="32846" xr:uid="{00000000-0005-0000-0000-00004E7E0000}"/>
    <cellStyle name="解释性文本 3 17" xfId="34938" xr:uid="{00000000-0005-0000-0000-00004F7E0000}"/>
    <cellStyle name="解释性文本 3 17 10" xfId="34939" xr:uid="{00000000-0005-0000-0000-0000507E0000}"/>
    <cellStyle name="解释性文本 3 17 11" xfId="28034" xr:uid="{00000000-0005-0000-0000-0000517E0000}"/>
    <cellStyle name="解释性文本 3 17 12" xfId="28036" xr:uid="{00000000-0005-0000-0000-0000527E0000}"/>
    <cellStyle name="解释性文本 3 17 13" xfId="34940" xr:uid="{00000000-0005-0000-0000-0000537E0000}"/>
    <cellStyle name="解释性文本 3 17 14" xfId="34941" xr:uid="{00000000-0005-0000-0000-0000547E0000}"/>
    <cellStyle name="解释性文本 3 17 2" xfId="34942" xr:uid="{00000000-0005-0000-0000-0000557E0000}"/>
    <cellStyle name="解释性文本 3 17 2 2" xfId="11666" xr:uid="{00000000-0005-0000-0000-0000567E0000}"/>
    <cellStyle name="解释性文本 3 17 3" xfId="34943" xr:uid="{00000000-0005-0000-0000-0000577E0000}"/>
    <cellStyle name="解释性文本 3 17 4" xfId="34944" xr:uid="{00000000-0005-0000-0000-0000587E0000}"/>
    <cellStyle name="解释性文本 3 17 5" xfId="34945" xr:uid="{00000000-0005-0000-0000-0000597E0000}"/>
    <cellStyle name="解释性文本 3 17 5 10" xfId="34077" xr:uid="{00000000-0005-0000-0000-00005A7E0000}"/>
    <cellStyle name="解释性文本 3 17 5 11" xfId="34079" xr:uid="{00000000-0005-0000-0000-00005B7E0000}"/>
    <cellStyle name="解释性文本 3 17 5 2" xfId="34946" xr:uid="{00000000-0005-0000-0000-00005C7E0000}"/>
    <cellStyle name="解释性文本 3 17 5 2 2" xfId="2197" xr:uid="{00000000-0005-0000-0000-00005D7E0000}"/>
    <cellStyle name="解释性文本 3 17 5 2 2 2" xfId="34947" xr:uid="{00000000-0005-0000-0000-00005E7E0000}"/>
    <cellStyle name="解释性文本 3 17 5 2 2 3" xfId="34948" xr:uid="{00000000-0005-0000-0000-00005F7E0000}"/>
    <cellStyle name="解释性文本 3 17 5 2 3" xfId="2208" xr:uid="{00000000-0005-0000-0000-0000607E0000}"/>
    <cellStyle name="解释性文本 3 17 5 2 4" xfId="207" xr:uid="{00000000-0005-0000-0000-0000617E0000}"/>
    <cellStyle name="解释性文本 3 17 5 2 5" xfId="26863" xr:uid="{00000000-0005-0000-0000-0000627E0000}"/>
    <cellStyle name="解释性文本 3 17 5 2 6" xfId="1449" xr:uid="{00000000-0005-0000-0000-0000637E0000}"/>
    <cellStyle name="解释性文本 3 17 5 2 7" xfId="22778" xr:uid="{00000000-0005-0000-0000-0000647E0000}"/>
    <cellStyle name="解释性文本 3 17 5 2 8" xfId="26866" xr:uid="{00000000-0005-0000-0000-0000657E0000}"/>
    <cellStyle name="解释性文本 3 17 5 3" xfId="34949" xr:uid="{00000000-0005-0000-0000-0000667E0000}"/>
    <cellStyle name="解释性文本 3 17 5 4" xfId="34950" xr:uid="{00000000-0005-0000-0000-0000677E0000}"/>
    <cellStyle name="解释性文本 3 17 5 5" xfId="34951" xr:uid="{00000000-0005-0000-0000-0000687E0000}"/>
    <cellStyle name="解释性文本 3 17 5 6" xfId="34952" xr:uid="{00000000-0005-0000-0000-0000697E0000}"/>
    <cellStyle name="解释性文本 3 17 5 6 2" xfId="34953" xr:uid="{00000000-0005-0000-0000-00006A7E0000}"/>
    <cellStyle name="解释性文本 3 17 5 6 3" xfId="34954" xr:uid="{00000000-0005-0000-0000-00006B7E0000}"/>
    <cellStyle name="解释性文本 3 17 5 7" xfId="26071" xr:uid="{00000000-0005-0000-0000-00006C7E0000}"/>
    <cellStyle name="解释性文本 3 17 5 8" xfId="34955" xr:uid="{00000000-0005-0000-0000-00006D7E0000}"/>
    <cellStyle name="解释性文本 3 17 5 9" xfId="34956" xr:uid="{00000000-0005-0000-0000-00006E7E0000}"/>
    <cellStyle name="解释性文本 3 17 6" xfId="34957" xr:uid="{00000000-0005-0000-0000-00006F7E0000}"/>
    <cellStyle name="解释性文本 3 17 6 2" xfId="32205" xr:uid="{00000000-0005-0000-0000-0000707E0000}"/>
    <cellStyle name="解释性文本 3 17 6 2 2" xfId="2596" xr:uid="{00000000-0005-0000-0000-0000717E0000}"/>
    <cellStyle name="解释性文本 3 17 6 2 3" xfId="2603" xr:uid="{00000000-0005-0000-0000-0000727E0000}"/>
    <cellStyle name="解释性文本 3 17 6 3" xfId="32207" xr:uid="{00000000-0005-0000-0000-0000737E0000}"/>
    <cellStyle name="解释性文本 3 17 6 4" xfId="32209" xr:uid="{00000000-0005-0000-0000-0000747E0000}"/>
    <cellStyle name="解释性文本 3 17 6 5" xfId="32211" xr:uid="{00000000-0005-0000-0000-0000757E0000}"/>
    <cellStyle name="解释性文本 3 17 6 6" xfId="32213" xr:uid="{00000000-0005-0000-0000-0000767E0000}"/>
    <cellStyle name="解释性文本 3 17 6 7" xfId="5330" xr:uid="{00000000-0005-0000-0000-0000777E0000}"/>
    <cellStyle name="解释性文本 3 17 6 8" xfId="5345" xr:uid="{00000000-0005-0000-0000-0000787E0000}"/>
    <cellStyle name="解释性文本 3 17 7" xfId="34958" xr:uid="{00000000-0005-0000-0000-0000797E0000}"/>
    <cellStyle name="解释性文本 3 17 8" xfId="34959" xr:uid="{00000000-0005-0000-0000-00007A7E0000}"/>
    <cellStyle name="解释性文本 3 17 9" xfId="16667" xr:uid="{00000000-0005-0000-0000-00007B7E0000}"/>
    <cellStyle name="解释性文本 3 17 9 2" xfId="34960" xr:uid="{00000000-0005-0000-0000-00007C7E0000}"/>
    <cellStyle name="解释性文本 3 17 9 3" xfId="7109" xr:uid="{00000000-0005-0000-0000-00007D7E0000}"/>
    <cellStyle name="解释性文本 3 18" xfId="34961" xr:uid="{00000000-0005-0000-0000-00007E7E0000}"/>
    <cellStyle name="解释性文本 3 18 10" xfId="34962" xr:uid="{00000000-0005-0000-0000-00007F7E0000}"/>
    <cellStyle name="解释性文本 3 18 11" xfId="26559" xr:uid="{00000000-0005-0000-0000-0000807E0000}"/>
    <cellStyle name="解释性文本 3 18 12" xfId="26561" xr:uid="{00000000-0005-0000-0000-0000817E0000}"/>
    <cellStyle name="解释性文本 3 18 13" xfId="34963" xr:uid="{00000000-0005-0000-0000-0000827E0000}"/>
    <cellStyle name="解释性文本 3 18 14" xfId="34964" xr:uid="{00000000-0005-0000-0000-0000837E0000}"/>
    <cellStyle name="解释性文本 3 18 2" xfId="30981" xr:uid="{00000000-0005-0000-0000-0000847E0000}"/>
    <cellStyle name="解释性文本 3 18 3" xfId="30983" xr:uid="{00000000-0005-0000-0000-0000857E0000}"/>
    <cellStyle name="解释性文本 3 18 4" xfId="30985" xr:uid="{00000000-0005-0000-0000-0000867E0000}"/>
    <cellStyle name="解释性文本 3 18 5" xfId="30987" xr:uid="{00000000-0005-0000-0000-0000877E0000}"/>
    <cellStyle name="解释性文本 3 18 5 10" xfId="34965" xr:uid="{00000000-0005-0000-0000-0000887E0000}"/>
    <cellStyle name="解释性文本 3 18 5 11" xfId="34966" xr:uid="{00000000-0005-0000-0000-0000897E0000}"/>
    <cellStyle name="解释性文本 3 18 5 2" xfId="13777" xr:uid="{00000000-0005-0000-0000-00008A7E0000}"/>
    <cellStyle name="解释性文本 3 18 5 2 2" xfId="34967" xr:uid="{00000000-0005-0000-0000-00008B7E0000}"/>
    <cellStyle name="解释性文本 3 18 5 2 2 2" xfId="1880" xr:uid="{00000000-0005-0000-0000-00008C7E0000}"/>
    <cellStyle name="解释性文本 3 18 5 2 2 3" xfId="2338" xr:uid="{00000000-0005-0000-0000-00008D7E0000}"/>
    <cellStyle name="解释性文本 3 18 5 2 3" xfId="34968" xr:uid="{00000000-0005-0000-0000-00008E7E0000}"/>
    <cellStyle name="解释性文本 3 18 5 2 4" xfId="34969" xr:uid="{00000000-0005-0000-0000-00008F7E0000}"/>
    <cellStyle name="解释性文本 3 18 5 2 5" xfId="34970" xr:uid="{00000000-0005-0000-0000-0000907E0000}"/>
    <cellStyle name="解释性文本 3 18 5 2 6" xfId="30739" xr:uid="{00000000-0005-0000-0000-0000917E0000}"/>
    <cellStyle name="解释性文本 3 18 5 2 7" xfId="30741" xr:uid="{00000000-0005-0000-0000-0000927E0000}"/>
    <cellStyle name="解释性文本 3 18 5 2 8" xfId="34971" xr:uid="{00000000-0005-0000-0000-0000937E0000}"/>
    <cellStyle name="解释性文本 3 18 5 3" xfId="13783" xr:uid="{00000000-0005-0000-0000-0000947E0000}"/>
    <cellStyle name="解释性文本 3 18 5 4" xfId="23855" xr:uid="{00000000-0005-0000-0000-0000957E0000}"/>
    <cellStyle name="解释性文本 3 18 5 5" xfId="34972" xr:uid="{00000000-0005-0000-0000-0000967E0000}"/>
    <cellStyle name="解释性文本 3 18 5 6" xfId="34973" xr:uid="{00000000-0005-0000-0000-0000977E0000}"/>
    <cellStyle name="解释性文本 3 18 5 6 2" xfId="34974" xr:uid="{00000000-0005-0000-0000-0000987E0000}"/>
    <cellStyle name="解释性文本 3 18 5 6 3" xfId="34975" xr:uid="{00000000-0005-0000-0000-0000997E0000}"/>
    <cellStyle name="解释性文本 3 18 5 7" xfId="34976" xr:uid="{00000000-0005-0000-0000-00009A7E0000}"/>
    <cellStyle name="解释性文本 3 18 5 8" xfId="34977" xr:uid="{00000000-0005-0000-0000-00009B7E0000}"/>
    <cellStyle name="解释性文本 3 18 5 9" xfId="34978" xr:uid="{00000000-0005-0000-0000-00009C7E0000}"/>
    <cellStyle name="解释性文本 3 18 6" xfId="30989" xr:uid="{00000000-0005-0000-0000-00009D7E0000}"/>
    <cellStyle name="解释性文本 3 18 6 2" xfId="13914" xr:uid="{00000000-0005-0000-0000-00009E7E0000}"/>
    <cellStyle name="解释性文本 3 18 6 2 2" xfId="34979" xr:uid="{00000000-0005-0000-0000-00009F7E0000}"/>
    <cellStyle name="解释性文本 3 18 6 2 3" xfId="16346" xr:uid="{00000000-0005-0000-0000-0000A07E0000}"/>
    <cellStyle name="解释性文本 3 18 6 3" xfId="13918" xr:uid="{00000000-0005-0000-0000-0000A17E0000}"/>
    <cellStyle name="解释性文本 3 18 6 4" xfId="23881" xr:uid="{00000000-0005-0000-0000-0000A27E0000}"/>
    <cellStyle name="解释性文本 3 18 6 5" xfId="34980" xr:uid="{00000000-0005-0000-0000-0000A37E0000}"/>
    <cellStyle name="解释性文本 3 18 6 6" xfId="34981" xr:uid="{00000000-0005-0000-0000-0000A47E0000}"/>
    <cellStyle name="解释性文本 3 18 6 7" xfId="26583" xr:uid="{00000000-0005-0000-0000-0000A57E0000}"/>
    <cellStyle name="解释性文本 3 18 6 8" xfId="26585" xr:uid="{00000000-0005-0000-0000-0000A67E0000}"/>
    <cellStyle name="解释性文本 3 18 7" xfId="32466" xr:uid="{00000000-0005-0000-0000-0000A77E0000}"/>
    <cellStyle name="解释性文本 3 18 8" xfId="32470" xr:uid="{00000000-0005-0000-0000-0000A87E0000}"/>
    <cellStyle name="解释性文本 3 18 9" xfId="14089" xr:uid="{00000000-0005-0000-0000-0000A97E0000}"/>
    <cellStyle name="解释性文本 3 18 9 2" xfId="34982" xr:uid="{00000000-0005-0000-0000-0000AA7E0000}"/>
    <cellStyle name="解释性文本 3 18 9 3" xfId="34983" xr:uid="{00000000-0005-0000-0000-0000AB7E0000}"/>
    <cellStyle name="解释性文本 3 19" xfId="34984" xr:uid="{00000000-0005-0000-0000-0000AC7E0000}"/>
    <cellStyle name="解释性文本 3 19 10" xfId="30454" xr:uid="{00000000-0005-0000-0000-0000AD7E0000}"/>
    <cellStyle name="解释性文本 3 19 11" xfId="30478" xr:uid="{00000000-0005-0000-0000-0000AE7E0000}"/>
    <cellStyle name="解释性文本 3 19 12" xfId="30483" xr:uid="{00000000-0005-0000-0000-0000AF7E0000}"/>
    <cellStyle name="解释性文本 3 19 13" xfId="30487" xr:uid="{00000000-0005-0000-0000-0000B07E0000}"/>
    <cellStyle name="解释性文本 3 19 14" xfId="30490" xr:uid="{00000000-0005-0000-0000-0000B17E0000}"/>
    <cellStyle name="解释性文本 3 19 2" xfId="34985" xr:uid="{00000000-0005-0000-0000-0000B27E0000}"/>
    <cellStyle name="解释性文本 3 19 3" xfId="34986" xr:uid="{00000000-0005-0000-0000-0000B37E0000}"/>
    <cellStyle name="解释性文本 3 19 4" xfId="34987" xr:uid="{00000000-0005-0000-0000-0000B47E0000}"/>
    <cellStyle name="解释性文本 3 19 5" xfId="6660" xr:uid="{00000000-0005-0000-0000-0000B57E0000}"/>
    <cellStyle name="解释性文本 3 19 5 10" xfId="24791" xr:uid="{00000000-0005-0000-0000-0000B67E0000}"/>
    <cellStyle name="解释性文本 3 19 5 11" xfId="24793" xr:uid="{00000000-0005-0000-0000-0000B77E0000}"/>
    <cellStyle name="解释性文本 3 19 5 2" xfId="4903" xr:uid="{00000000-0005-0000-0000-0000B87E0000}"/>
    <cellStyle name="解释性文本 3 19 5 2 2" xfId="4925" xr:uid="{00000000-0005-0000-0000-0000B97E0000}"/>
    <cellStyle name="解释性文本 3 19 5 2 2 2" xfId="34564" xr:uid="{00000000-0005-0000-0000-0000BA7E0000}"/>
    <cellStyle name="解释性文本 3 19 5 2 2 3" xfId="34566" xr:uid="{00000000-0005-0000-0000-0000BB7E0000}"/>
    <cellStyle name="解释性文本 3 19 5 2 3" xfId="4931" xr:uid="{00000000-0005-0000-0000-0000BC7E0000}"/>
    <cellStyle name="解释性文本 3 19 5 2 4" xfId="34988" xr:uid="{00000000-0005-0000-0000-0000BD7E0000}"/>
    <cellStyle name="解释性文本 3 19 5 2 5" xfId="34989" xr:uid="{00000000-0005-0000-0000-0000BE7E0000}"/>
    <cellStyle name="解释性文本 3 19 5 2 6" xfId="5120" xr:uid="{00000000-0005-0000-0000-0000BF7E0000}"/>
    <cellStyle name="解释性文本 3 19 5 2 7" xfId="15834" xr:uid="{00000000-0005-0000-0000-0000C07E0000}"/>
    <cellStyle name="解释性文本 3 19 5 2 8" xfId="15838" xr:uid="{00000000-0005-0000-0000-0000C17E0000}"/>
    <cellStyle name="解释性文本 3 19 5 3" xfId="5204" xr:uid="{00000000-0005-0000-0000-0000C27E0000}"/>
    <cellStyle name="解释性文本 3 19 5 4" xfId="11259" xr:uid="{00000000-0005-0000-0000-0000C37E0000}"/>
    <cellStyle name="解释性文本 3 19 5 5" xfId="11261" xr:uid="{00000000-0005-0000-0000-0000C47E0000}"/>
    <cellStyle name="解释性文本 3 19 5 6" xfId="11263" xr:uid="{00000000-0005-0000-0000-0000C57E0000}"/>
    <cellStyle name="解释性文本 3 19 5 6 2" xfId="12250" xr:uid="{00000000-0005-0000-0000-0000C67E0000}"/>
    <cellStyle name="解释性文本 3 19 5 6 3" xfId="34990" xr:uid="{00000000-0005-0000-0000-0000C77E0000}"/>
    <cellStyle name="解释性文本 3 19 5 7" xfId="11265" xr:uid="{00000000-0005-0000-0000-0000C87E0000}"/>
    <cellStyle name="解释性文本 3 19 5 8" xfId="11268" xr:uid="{00000000-0005-0000-0000-0000C97E0000}"/>
    <cellStyle name="解释性文本 3 19 5 9" xfId="34991" xr:uid="{00000000-0005-0000-0000-0000CA7E0000}"/>
    <cellStyle name="解释性文本 3 19 6" xfId="6664" xr:uid="{00000000-0005-0000-0000-0000CB7E0000}"/>
    <cellStyle name="解释性文本 3 19 6 2" xfId="2984" xr:uid="{00000000-0005-0000-0000-0000CC7E0000}"/>
    <cellStyle name="解释性文本 3 19 6 2 2" xfId="32301" xr:uid="{00000000-0005-0000-0000-0000CD7E0000}"/>
    <cellStyle name="解释性文本 3 19 6 2 3" xfId="3800" xr:uid="{00000000-0005-0000-0000-0000CE7E0000}"/>
    <cellStyle name="解释性文本 3 19 6 3" xfId="3010" xr:uid="{00000000-0005-0000-0000-0000CF7E0000}"/>
    <cellStyle name="解释性文本 3 19 6 4" xfId="3019" xr:uid="{00000000-0005-0000-0000-0000D07E0000}"/>
    <cellStyle name="解释性文本 3 19 6 5" xfId="3027" xr:uid="{00000000-0005-0000-0000-0000D17E0000}"/>
    <cellStyle name="解释性文本 3 19 6 6" xfId="34992" xr:uid="{00000000-0005-0000-0000-0000D27E0000}"/>
    <cellStyle name="解释性文本 3 19 6 7" xfId="34993" xr:uid="{00000000-0005-0000-0000-0000D37E0000}"/>
    <cellStyle name="解释性文本 3 19 6 8" xfId="34994" xr:uid="{00000000-0005-0000-0000-0000D47E0000}"/>
    <cellStyle name="解释性文本 3 19 7" xfId="11272" xr:uid="{00000000-0005-0000-0000-0000D57E0000}"/>
    <cellStyle name="解释性文本 3 19 8" xfId="11277" xr:uid="{00000000-0005-0000-0000-0000D67E0000}"/>
    <cellStyle name="解释性文本 3 19 9" xfId="11282" xr:uid="{00000000-0005-0000-0000-0000D77E0000}"/>
    <cellStyle name="解释性文本 3 19 9 2" xfId="11284" xr:uid="{00000000-0005-0000-0000-0000D87E0000}"/>
    <cellStyle name="解释性文本 3 19 9 3" xfId="11288" xr:uid="{00000000-0005-0000-0000-0000D97E0000}"/>
    <cellStyle name="解释性文本 3 2" xfId="34995" xr:uid="{00000000-0005-0000-0000-0000DA7E0000}"/>
    <cellStyle name="解释性文本 3 2 10" xfId="34002" xr:uid="{00000000-0005-0000-0000-0000DB7E0000}"/>
    <cellStyle name="解释性文本 3 2 11" xfId="34004" xr:uid="{00000000-0005-0000-0000-0000DC7E0000}"/>
    <cellStyle name="解释性文本 3 2 12" xfId="34996" xr:uid="{00000000-0005-0000-0000-0000DD7E0000}"/>
    <cellStyle name="解释性文本 3 2 13" xfId="34997" xr:uid="{00000000-0005-0000-0000-0000DE7E0000}"/>
    <cellStyle name="解释性文本 3 2 14" xfId="34998" xr:uid="{00000000-0005-0000-0000-0000DF7E0000}"/>
    <cellStyle name="解释性文本 3 2 2" xfId="19607" xr:uid="{00000000-0005-0000-0000-0000E07E0000}"/>
    <cellStyle name="解释性文本 3 2 3" xfId="19612" xr:uid="{00000000-0005-0000-0000-0000E17E0000}"/>
    <cellStyle name="解释性文本 3 2 4" xfId="31332" xr:uid="{00000000-0005-0000-0000-0000E27E0000}"/>
    <cellStyle name="解释性文本 3 2 5" xfId="31334" xr:uid="{00000000-0005-0000-0000-0000E37E0000}"/>
    <cellStyle name="解释性文本 3 2 6" xfId="34999" xr:uid="{00000000-0005-0000-0000-0000E47E0000}"/>
    <cellStyle name="解释性文本 3 2 7" xfId="35000" xr:uid="{00000000-0005-0000-0000-0000E57E0000}"/>
    <cellStyle name="解释性文本 3 2 8" xfId="35001" xr:uid="{00000000-0005-0000-0000-0000E67E0000}"/>
    <cellStyle name="解释性文本 3 2 9" xfId="10875" xr:uid="{00000000-0005-0000-0000-0000E77E0000}"/>
    <cellStyle name="解释性文本 3 20" xfId="32844" xr:uid="{00000000-0005-0000-0000-0000E87E0000}"/>
    <cellStyle name="解释性文本 3 20 10" xfId="35002" xr:uid="{00000000-0005-0000-0000-0000E97E0000}"/>
    <cellStyle name="解释性文本 3 20 11" xfId="35003" xr:uid="{00000000-0005-0000-0000-0000EA7E0000}"/>
    <cellStyle name="解释性文本 3 20 12" xfId="35004" xr:uid="{00000000-0005-0000-0000-0000EB7E0000}"/>
    <cellStyle name="解释性文本 3 20 13" xfId="30872" xr:uid="{00000000-0005-0000-0000-0000EC7E0000}"/>
    <cellStyle name="解释性文本 3 20 14" xfId="16602" xr:uid="{00000000-0005-0000-0000-0000ED7E0000}"/>
    <cellStyle name="解释性文本 3 20 2" xfId="35005" xr:uid="{00000000-0005-0000-0000-0000EE7E0000}"/>
    <cellStyle name="解释性文本 3 20 3" xfId="35006" xr:uid="{00000000-0005-0000-0000-0000EF7E0000}"/>
    <cellStyle name="解释性文本 3 20 4" xfId="7587" xr:uid="{00000000-0005-0000-0000-0000F07E0000}"/>
    <cellStyle name="解释性文本 3 20 5" xfId="7919" xr:uid="{00000000-0005-0000-0000-0000F17E0000}"/>
    <cellStyle name="解释性文本 3 20 5 10" xfId="35009" xr:uid="{00000000-0005-0000-0000-0000F27E0000}"/>
    <cellStyle name="解释性文本 3 20 5 11" xfId="35013" xr:uid="{00000000-0005-0000-0000-0000F37E0000}"/>
    <cellStyle name="解释性文本 3 20 5 2" xfId="9422" xr:uid="{00000000-0005-0000-0000-0000F47E0000}"/>
    <cellStyle name="解释性文本 3 20 5 2 2" xfId="19942" xr:uid="{00000000-0005-0000-0000-0000F57E0000}"/>
    <cellStyle name="解释性文本 3 20 5 2 2 2" xfId="19944" xr:uid="{00000000-0005-0000-0000-0000F67E0000}"/>
    <cellStyle name="解释性文本 3 20 5 2 2 3" xfId="19947" xr:uid="{00000000-0005-0000-0000-0000F77E0000}"/>
    <cellStyle name="解释性文本 3 20 5 2 3" xfId="19956" xr:uid="{00000000-0005-0000-0000-0000F87E0000}"/>
    <cellStyle name="解释性文本 3 20 5 2 4" xfId="19959" xr:uid="{00000000-0005-0000-0000-0000F97E0000}"/>
    <cellStyle name="解释性文本 3 20 5 2 5" xfId="19962" xr:uid="{00000000-0005-0000-0000-0000FA7E0000}"/>
    <cellStyle name="解释性文本 3 20 5 2 6" xfId="19966" xr:uid="{00000000-0005-0000-0000-0000FB7E0000}"/>
    <cellStyle name="解释性文本 3 20 5 2 7" xfId="19972" xr:uid="{00000000-0005-0000-0000-0000FC7E0000}"/>
    <cellStyle name="解释性文本 3 20 5 2 8" xfId="19978" xr:uid="{00000000-0005-0000-0000-0000FD7E0000}"/>
    <cellStyle name="解释性文本 3 20 5 3" xfId="9426" xr:uid="{00000000-0005-0000-0000-0000FE7E0000}"/>
    <cellStyle name="解释性文本 3 20 5 4" xfId="9435" xr:uid="{00000000-0005-0000-0000-0000FF7E0000}"/>
    <cellStyle name="解释性文本 3 20 5 5" xfId="16389" xr:uid="{00000000-0005-0000-0000-0000007F0000}"/>
    <cellStyle name="解释性文本 3 20 5 6" xfId="16397" xr:uid="{00000000-0005-0000-0000-0000017F0000}"/>
    <cellStyle name="解释性文本 3 20 5 6 2" xfId="7660" xr:uid="{00000000-0005-0000-0000-0000027F0000}"/>
    <cellStyle name="解释性文本 3 20 5 6 3" xfId="19999" xr:uid="{00000000-0005-0000-0000-0000037F0000}"/>
    <cellStyle name="解释性文本 3 20 5 7" xfId="16777" xr:uid="{00000000-0005-0000-0000-0000047F0000}"/>
    <cellStyle name="解释性文本 3 20 5 8" xfId="35015" xr:uid="{00000000-0005-0000-0000-0000057F0000}"/>
    <cellStyle name="解释性文本 3 20 5 9" xfId="34738" xr:uid="{00000000-0005-0000-0000-0000067F0000}"/>
    <cellStyle name="解释性文本 3 20 6" xfId="28871" xr:uid="{00000000-0005-0000-0000-0000077F0000}"/>
    <cellStyle name="解释性文本 3 20 6 2" xfId="9586" xr:uid="{00000000-0005-0000-0000-0000087F0000}"/>
    <cellStyle name="解释性文本 3 20 6 2 2" xfId="22897" xr:uid="{00000000-0005-0000-0000-0000097F0000}"/>
    <cellStyle name="解释性文本 3 20 6 2 3" xfId="22900" xr:uid="{00000000-0005-0000-0000-00000A7F0000}"/>
    <cellStyle name="解释性文本 3 20 6 3" xfId="9593" xr:uid="{00000000-0005-0000-0000-00000B7F0000}"/>
    <cellStyle name="解释性文本 3 20 6 4" xfId="9601" xr:uid="{00000000-0005-0000-0000-00000C7F0000}"/>
    <cellStyle name="解释性文本 3 20 6 5" xfId="11516" xr:uid="{00000000-0005-0000-0000-00000D7F0000}"/>
    <cellStyle name="解释性文本 3 20 6 6" xfId="12881" xr:uid="{00000000-0005-0000-0000-00000E7F0000}"/>
    <cellStyle name="解释性文本 3 20 6 7" xfId="12886" xr:uid="{00000000-0005-0000-0000-00000F7F0000}"/>
    <cellStyle name="解释性文本 3 20 6 8" xfId="35017" xr:uid="{00000000-0005-0000-0000-0000107F0000}"/>
    <cellStyle name="解释性文本 3 20 7" xfId="28874" xr:uid="{00000000-0005-0000-0000-0000117F0000}"/>
    <cellStyle name="解释性文本 3 20 8" xfId="28877" xr:uid="{00000000-0005-0000-0000-0000127F0000}"/>
    <cellStyle name="解释性文本 3 20 9" xfId="28880" xr:uid="{00000000-0005-0000-0000-0000137F0000}"/>
    <cellStyle name="解释性文本 3 20 9 2" xfId="35018" xr:uid="{00000000-0005-0000-0000-0000147F0000}"/>
    <cellStyle name="解释性文本 3 20 9 3" xfId="35019" xr:uid="{00000000-0005-0000-0000-0000157F0000}"/>
    <cellStyle name="解释性文本 3 3" xfId="35020" xr:uid="{00000000-0005-0000-0000-0000167F0000}"/>
    <cellStyle name="解释性文本 3 3 10" xfId="14728" xr:uid="{00000000-0005-0000-0000-0000177F0000}"/>
    <cellStyle name="解释性文本 3 3 11" xfId="16547" xr:uid="{00000000-0005-0000-0000-0000187F0000}"/>
    <cellStyle name="解释性文本 3 3 12" xfId="16551" xr:uid="{00000000-0005-0000-0000-0000197F0000}"/>
    <cellStyle name="解释性文本 3 3 13" xfId="16554" xr:uid="{00000000-0005-0000-0000-00001A7F0000}"/>
    <cellStyle name="解释性文本 3 3 14" xfId="22718" xr:uid="{00000000-0005-0000-0000-00001B7F0000}"/>
    <cellStyle name="解释性文本 3 3 2" xfId="34303" xr:uid="{00000000-0005-0000-0000-00001C7F0000}"/>
    <cellStyle name="解释性文本 3 3 3" xfId="35021" xr:uid="{00000000-0005-0000-0000-00001D7F0000}"/>
    <cellStyle name="解释性文本 3 3 4" xfId="35022" xr:uid="{00000000-0005-0000-0000-00001E7F0000}"/>
    <cellStyle name="解释性文本 3 3 5" xfId="35023" xr:uid="{00000000-0005-0000-0000-00001F7F0000}"/>
    <cellStyle name="解释性文本 3 3 6" xfId="35024" xr:uid="{00000000-0005-0000-0000-0000207F0000}"/>
    <cellStyle name="解释性文本 3 3 7" xfId="18073" xr:uid="{00000000-0005-0000-0000-0000217F0000}"/>
    <cellStyle name="解释性文本 3 3 8" xfId="2284" xr:uid="{00000000-0005-0000-0000-0000227F0000}"/>
    <cellStyle name="解释性文本 3 3 9" xfId="832" xr:uid="{00000000-0005-0000-0000-0000237F0000}"/>
    <cellStyle name="解释性文本 3 4" xfId="35025" xr:uid="{00000000-0005-0000-0000-0000247F0000}"/>
    <cellStyle name="解释性文本 3 4 10" xfId="16588" xr:uid="{00000000-0005-0000-0000-0000257F0000}"/>
    <cellStyle name="解释性文本 3 4 11" xfId="16590" xr:uid="{00000000-0005-0000-0000-0000267F0000}"/>
    <cellStyle name="解释性文本 3 4 12" xfId="16593" xr:uid="{00000000-0005-0000-0000-0000277F0000}"/>
    <cellStyle name="解释性文本 3 4 13" xfId="300" xr:uid="{00000000-0005-0000-0000-0000287F0000}"/>
    <cellStyle name="解释性文本 3 4 14" xfId="5057" xr:uid="{00000000-0005-0000-0000-0000297F0000}"/>
    <cellStyle name="解释性文本 3 4 2" xfId="25722" xr:uid="{00000000-0005-0000-0000-00002A7F0000}"/>
    <cellStyle name="解释性文本 3 4 3" xfId="35026" xr:uid="{00000000-0005-0000-0000-00002B7F0000}"/>
    <cellStyle name="解释性文本 3 4 4" xfId="15319" xr:uid="{00000000-0005-0000-0000-00002C7F0000}"/>
    <cellStyle name="解释性文本 3 4 5" xfId="15325" xr:uid="{00000000-0005-0000-0000-00002D7F0000}"/>
    <cellStyle name="解释性文本 3 4 6" xfId="35027" xr:uid="{00000000-0005-0000-0000-00002E7F0000}"/>
    <cellStyle name="解释性文本 3 4 7" xfId="35028" xr:uid="{00000000-0005-0000-0000-00002F7F0000}"/>
    <cellStyle name="解释性文本 3 4 8" xfId="35029" xr:uid="{00000000-0005-0000-0000-0000307F0000}"/>
    <cellStyle name="解释性文本 3 4 9" xfId="9510" xr:uid="{00000000-0005-0000-0000-0000317F0000}"/>
    <cellStyle name="解释性文本 3 5" xfId="35030" xr:uid="{00000000-0005-0000-0000-0000327F0000}"/>
    <cellStyle name="解释性文本 3 6" xfId="35031" xr:uid="{00000000-0005-0000-0000-0000337F0000}"/>
    <cellStyle name="解释性文本 3 7" xfId="35032" xr:uid="{00000000-0005-0000-0000-0000347F0000}"/>
    <cellStyle name="解释性文本 3 8" xfId="35033" xr:uid="{00000000-0005-0000-0000-0000357F0000}"/>
    <cellStyle name="解释性文本 3 9" xfId="35034" xr:uid="{00000000-0005-0000-0000-0000367F0000}"/>
    <cellStyle name="解释性文本 4" xfId="3796" xr:uid="{00000000-0005-0000-0000-0000377F0000}"/>
    <cellStyle name="解释性文本 4 10" xfId="11971" xr:uid="{00000000-0005-0000-0000-0000387F0000}"/>
    <cellStyle name="解释性文本 4 11" xfId="35035" xr:uid="{00000000-0005-0000-0000-0000397F0000}"/>
    <cellStyle name="解释性文本 4 12" xfId="35036" xr:uid="{00000000-0005-0000-0000-00003A7F0000}"/>
    <cellStyle name="解释性文本 4 13" xfId="35037" xr:uid="{00000000-0005-0000-0000-00003B7F0000}"/>
    <cellStyle name="解释性文本 4 14" xfId="35038" xr:uid="{00000000-0005-0000-0000-00003C7F0000}"/>
    <cellStyle name="解释性文本 4 15" xfId="35039" xr:uid="{00000000-0005-0000-0000-00003D7F0000}"/>
    <cellStyle name="解释性文本 4 16" xfId="35041" xr:uid="{00000000-0005-0000-0000-00003E7F0000}"/>
    <cellStyle name="解释性文本 4 17" xfId="35042" xr:uid="{00000000-0005-0000-0000-00003F7F0000}"/>
    <cellStyle name="解释性文本 4 17 10" xfId="35043" xr:uid="{00000000-0005-0000-0000-0000407F0000}"/>
    <cellStyle name="解释性文本 4 17 11" xfId="28120" xr:uid="{00000000-0005-0000-0000-0000417F0000}"/>
    <cellStyle name="解释性文本 4 17 12" xfId="28122" xr:uid="{00000000-0005-0000-0000-0000427F0000}"/>
    <cellStyle name="解释性文本 4 17 13" xfId="35044" xr:uid="{00000000-0005-0000-0000-0000437F0000}"/>
    <cellStyle name="解释性文本 4 17 14" xfId="35045" xr:uid="{00000000-0005-0000-0000-0000447F0000}"/>
    <cellStyle name="解释性文本 4 17 2" xfId="35046" xr:uid="{00000000-0005-0000-0000-0000457F0000}"/>
    <cellStyle name="解释性文本 4 17 3" xfId="35047" xr:uid="{00000000-0005-0000-0000-0000467F0000}"/>
    <cellStyle name="解释性文本 4 17 4" xfId="35048" xr:uid="{00000000-0005-0000-0000-0000477F0000}"/>
    <cellStyle name="解释性文本 4 17 5" xfId="35049" xr:uid="{00000000-0005-0000-0000-0000487F0000}"/>
    <cellStyle name="解释性文本 4 17 5 10" xfId="19048" xr:uid="{00000000-0005-0000-0000-0000497F0000}"/>
    <cellStyle name="解释性文本 4 17 5 11" xfId="15944" xr:uid="{00000000-0005-0000-0000-00004A7F0000}"/>
    <cellStyle name="解释性文本 4 17 5 2" xfId="35050" xr:uid="{00000000-0005-0000-0000-00004B7F0000}"/>
    <cellStyle name="解释性文本 4 17 5 2 2" xfId="25780" xr:uid="{00000000-0005-0000-0000-00004C7F0000}"/>
    <cellStyle name="解释性文本 4 17 5 2 2 2" xfId="35052" xr:uid="{00000000-0005-0000-0000-00004D7F0000}"/>
    <cellStyle name="解释性文本 4 17 5 2 2 3" xfId="35054" xr:uid="{00000000-0005-0000-0000-00004E7F0000}"/>
    <cellStyle name="解释性文本 4 17 5 2 3" xfId="35055" xr:uid="{00000000-0005-0000-0000-00004F7F0000}"/>
    <cellStyle name="解释性文本 4 17 5 2 4" xfId="35056" xr:uid="{00000000-0005-0000-0000-0000507F0000}"/>
    <cellStyle name="解释性文本 4 17 5 2 5" xfId="35057" xr:uid="{00000000-0005-0000-0000-0000517F0000}"/>
    <cellStyle name="解释性文本 4 17 5 2 6" xfId="4190" xr:uid="{00000000-0005-0000-0000-0000527F0000}"/>
    <cellStyle name="解释性文本 4 17 5 2 7" xfId="21749" xr:uid="{00000000-0005-0000-0000-0000537F0000}"/>
    <cellStyle name="解释性文本 4 17 5 2 8" xfId="18764" xr:uid="{00000000-0005-0000-0000-0000547F0000}"/>
    <cellStyle name="解释性文本 4 17 5 3" xfId="27531" xr:uid="{00000000-0005-0000-0000-0000557F0000}"/>
    <cellStyle name="解释性文本 4 17 5 4" xfId="27533" xr:uid="{00000000-0005-0000-0000-0000567F0000}"/>
    <cellStyle name="解释性文本 4 17 5 5" xfId="27535" xr:uid="{00000000-0005-0000-0000-0000577F0000}"/>
    <cellStyle name="解释性文本 4 17 5 6" xfId="27537" xr:uid="{00000000-0005-0000-0000-0000587F0000}"/>
    <cellStyle name="解释性文本 4 17 5 6 2" xfId="35058" xr:uid="{00000000-0005-0000-0000-0000597F0000}"/>
    <cellStyle name="解释性文本 4 17 5 6 3" xfId="35059" xr:uid="{00000000-0005-0000-0000-00005A7F0000}"/>
    <cellStyle name="解释性文本 4 17 5 7" xfId="27539" xr:uid="{00000000-0005-0000-0000-00005B7F0000}"/>
    <cellStyle name="解释性文本 4 17 5 8" xfId="35060" xr:uid="{00000000-0005-0000-0000-00005C7F0000}"/>
    <cellStyle name="解释性文本 4 17 5 9" xfId="35061" xr:uid="{00000000-0005-0000-0000-00005D7F0000}"/>
    <cellStyle name="解释性文本 4 17 6" xfId="35062" xr:uid="{00000000-0005-0000-0000-00005E7F0000}"/>
    <cellStyle name="解释性文本 4 17 6 2" xfId="35063" xr:uid="{00000000-0005-0000-0000-00005F7F0000}"/>
    <cellStyle name="解释性文本 4 17 6 2 2" xfId="28044" xr:uid="{00000000-0005-0000-0000-0000607F0000}"/>
    <cellStyle name="解释性文本 4 17 6 2 3" xfId="35064" xr:uid="{00000000-0005-0000-0000-0000617F0000}"/>
    <cellStyle name="解释性文本 4 17 6 3" xfId="35065" xr:uid="{00000000-0005-0000-0000-0000627F0000}"/>
    <cellStyle name="解释性文本 4 17 6 4" xfId="35066" xr:uid="{00000000-0005-0000-0000-0000637F0000}"/>
    <cellStyle name="解释性文本 4 17 6 5" xfId="35067" xr:uid="{00000000-0005-0000-0000-0000647F0000}"/>
    <cellStyle name="解释性文本 4 17 6 6" xfId="35068" xr:uid="{00000000-0005-0000-0000-0000657F0000}"/>
    <cellStyle name="解释性文本 4 17 6 7" xfId="28137" xr:uid="{00000000-0005-0000-0000-0000667F0000}"/>
    <cellStyle name="解释性文本 4 17 6 8" xfId="28139" xr:uid="{00000000-0005-0000-0000-0000677F0000}"/>
    <cellStyle name="解释性文本 4 17 7" xfId="18095" xr:uid="{00000000-0005-0000-0000-0000687F0000}"/>
    <cellStyle name="解释性文本 4 17 8" xfId="18097" xr:uid="{00000000-0005-0000-0000-0000697F0000}"/>
    <cellStyle name="解释性文本 4 17 9" xfId="24809" xr:uid="{00000000-0005-0000-0000-00006A7F0000}"/>
    <cellStyle name="解释性文本 4 17 9 2" xfId="10676" xr:uid="{00000000-0005-0000-0000-00006B7F0000}"/>
    <cellStyle name="解释性文本 4 17 9 3" xfId="10685" xr:uid="{00000000-0005-0000-0000-00006C7F0000}"/>
    <cellStyle name="解释性文本 4 18" xfId="35069" xr:uid="{00000000-0005-0000-0000-00006D7F0000}"/>
    <cellStyle name="解释性文本 4 18 10" xfId="6511" xr:uid="{00000000-0005-0000-0000-00006E7F0000}"/>
    <cellStyle name="解释性文本 4 18 11" xfId="282" xr:uid="{00000000-0005-0000-0000-00006F7F0000}"/>
    <cellStyle name="解释性文本 4 18 12" xfId="6517" xr:uid="{00000000-0005-0000-0000-0000707F0000}"/>
    <cellStyle name="解释性文本 4 18 13" xfId="35070" xr:uid="{00000000-0005-0000-0000-0000717F0000}"/>
    <cellStyle name="解释性文本 4 18 14" xfId="35071" xr:uid="{00000000-0005-0000-0000-0000727F0000}"/>
    <cellStyle name="解释性文本 4 18 2" xfId="24942" xr:uid="{00000000-0005-0000-0000-0000737F0000}"/>
    <cellStyle name="解释性文本 4 18 3" xfId="35072" xr:uid="{00000000-0005-0000-0000-0000747F0000}"/>
    <cellStyle name="解释性文本 4 18 4" xfId="35073" xr:uid="{00000000-0005-0000-0000-0000757F0000}"/>
    <cellStyle name="解释性文本 4 18 5" xfId="35075" xr:uid="{00000000-0005-0000-0000-0000767F0000}"/>
    <cellStyle name="解释性文本 4 18 5 10" xfId="35076" xr:uid="{00000000-0005-0000-0000-0000777F0000}"/>
    <cellStyle name="解释性文本 4 18 5 11" xfId="35077" xr:uid="{00000000-0005-0000-0000-0000787F0000}"/>
    <cellStyle name="解释性文本 4 18 5 2" xfId="14466" xr:uid="{00000000-0005-0000-0000-0000797F0000}"/>
    <cellStyle name="解释性文本 4 18 5 2 2" xfId="35078" xr:uid="{00000000-0005-0000-0000-00007A7F0000}"/>
    <cellStyle name="解释性文本 4 18 5 2 2 2" xfId="35079" xr:uid="{00000000-0005-0000-0000-00007B7F0000}"/>
    <cellStyle name="解释性文本 4 18 5 2 2 3" xfId="35080" xr:uid="{00000000-0005-0000-0000-00007C7F0000}"/>
    <cellStyle name="解释性文本 4 18 5 2 3" xfId="35081" xr:uid="{00000000-0005-0000-0000-00007D7F0000}"/>
    <cellStyle name="解释性文本 4 18 5 2 4" xfId="35082" xr:uid="{00000000-0005-0000-0000-00007E7F0000}"/>
    <cellStyle name="解释性文本 4 18 5 2 5" xfId="35083" xr:uid="{00000000-0005-0000-0000-00007F7F0000}"/>
    <cellStyle name="解释性文本 4 18 5 2 6" xfId="30921" xr:uid="{00000000-0005-0000-0000-0000807F0000}"/>
    <cellStyle name="解释性文本 4 18 5 2 7" xfId="30924" xr:uid="{00000000-0005-0000-0000-0000817F0000}"/>
    <cellStyle name="解释性文本 4 18 5 2 8" xfId="33266" xr:uid="{00000000-0005-0000-0000-0000827F0000}"/>
    <cellStyle name="解释性文本 4 18 5 3" xfId="24396" xr:uid="{00000000-0005-0000-0000-0000837F0000}"/>
    <cellStyle name="解释性文本 4 18 5 4" xfId="24399" xr:uid="{00000000-0005-0000-0000-0000847F0000}"/>
    <cellStyle name="解释性文本 4 18 5 5" xfId="35085" xr:uid="{00000000-0005-0000-0000-0000857F0000}"/>
    <cellStyle name="解释性文本 4 18 5 6" xfId="35086" xr:uid="{00000000-0005-0000-0000-0000867F0000}"/>
    <cellStyle name="解释性文本 4 18 5 6 2" xfId="4618" xr:uid="{00000000-0005-0000-0000-0000877F0000}"/>
    <cellStyle name="解释性文本 4 18 5 6 3" xfId="4626" xr:uid="{00000000-0005-0000-0000-0000887F0000}"/>
    <cellStyle name="解释性文本 4 18 5 7" xfId="35087" xr:uid="{00000000-0005-0000-0000-0000897F0000}"/>
    <cellStyle name="解释性文本 4 18 5 8" xfId="35088" xr:uid="{00000000-0005-0000-0000-00008A7F0000}"/>
    <cellStyle name="解释性文本 4 18 5 9" xfId="35089" xr:uid="{00000000-0005-0000-0000-00008B7F0000}"/>
    <cellStyle name="解释性文本 4 18 6" xfId="35091" xr:uid="{00000000-0005-0000-0000-00008C7F0000}"/>
    <cellStyle name="解释性文本 4 18 6 2" xfId="17108" xr:uid="{00000000-0005-0000-0000-00008D7F0000}"/>
    <cellStyle name="解释性文本 4 18 6 2 2" xfId="35092" xr:uid="{00000000-0005-0000-0000-00008E7F0000}"/>
    <cellStyle name="解释性文本 4 18 6 2 3" xfId="8821" xr:uid="{00000000-0005-0000-0000-00008F7F0000}"/>
    <cellStyle name="解释性文本 4 18 6 3" xfId="24428" xr:uid="{00000000-0005-0000-0000-0000907F0000}"/>
    <cellStyle name="解释性文本 4 18 6 4" xfId="24431" xr:uid="{00000000-0005-0000-0000-0000917F0000}"/>
    <cellStyle name="解释性文本 4 18 6 5" xfId="35094" xr:uid="{00000000-0005-0000-0000-0000927F0000}"/>
    <cellStyle name="解释性文本 4 18 6 6" xfId="35095" xr:uid="{00000000-0005-0000-0000-0000937F0000}"/>
    <cellStyle name="解释性文本 4 18 6 7" xfId="35096" xr:uid="{00000000-0005-0000-0000-0000947F0000}"/>
    <cellStyle name="解释性文本 4 18 6 8" xfId="35097" xr:uid="{00000000-0005-0000-0000-0000957F0000}"/>
    <cellStyle name="解释性文本 4 18 7" xfId="35099" xr:uid="{00000000-0005-0000-0000-0000967F0000}"/>
    <cellStyle name="解释性文本 4 18 8" xfId="35101" xr:uid="{00000000-0005-0000-0000-0000977F0000}"/>
    <cellStyle name="解释性文本 4 18 9" xfId="14165" xr:uid="{00000000-0005-0000-0000-0000987F0000}"/>
    <cellStyle name="解释性文本 4 18 9 2" xfId="35103" xr:uid="{00000000-0005-0000-0000-0000997F0000}"/>
    <cellStyle name="解释性文本 4 18 9 3" xfId="35105" xr:uid="{00000000-0005-0000-0000-00009A7F0000}"/>
    <cellStyle name="解释性文本 4 19" xfId="35106" xr:uid="{00000000-0005-0000-0000-00009B7F0000}"/>
    <cellStyle name="解释性文本 4 19 10" xfId="24093" xr:uid="{00000000-0005-0000-0000-00009C7F0000}"/>
    <cellStyle name="解释性文本 4 19 11" xfId="24097" xr:uid="{00000000-0005-0000-0000-00009D7F0000}"/>
    <cellStyle name="解释性文本 4 19 12" xfId="24100" xr:uid="{00000000-0005-0000-0000-00009E7F0000}"/>
    <cellStyle name="解释性文本 4 19 13" xfId="24103" xr:uid="{00000000-0005-0000-0000-00009F7F0000}"/>
    <cellStyle name="解释性文本 4 19 14" xfId="35010" xr:uid="{00000000-0005-0000-0000-0000A07F0000}"/>
    <cellStyle name="解释性文本 4 19 2" xfId="11055" xr:uid="{00000000-0005-0000-0000-0000A17F0000}"/>
    <cellStyle name="解释性文本 4 19 3" xfId="35107" xr:uid="{00000000-0005-0000-0000-0000A27F0000}"/>
    <cellStyle name="解释性文本 4 19 4" xfId="35108" xr:uid="{00000000-0005-0000-0000-0000A37F0000}"/>
    <cellStyle name="解释性文本 4 19 5" xfId="35109" xr:uid="{00000000-0005-0000-0000-0000A47F0000}"/>
    <cellStyle name="解释性文本 4 19 5 10" xfId="2973" xr:uid="{00000000-0005-0000-0000-0000A57F0000}"/>
    <cellStyle name="解释性文本 4 19 5 11" xfId="2992" xr:uid="{00000000-0005-0000-0000-0000A67F0000}"/>
    <cellStyle name="解释性文本 4 19 5 2" xfId="35112" xr:uid="{00000000-0005-0000-0000-0000A77F0000}"/>
    <cellStyle name="解释性文本 4 19 5 2 2" xfId="35114" xr:uid="{00000000-0005-0000-0000-0000A87F0000}"/>
    <cellStyle name="解释性文本 4 19 5 2 2 2" xfId="35116" xr:uid="{00000000-0005-0000-0000-0000A97F0000}"/>
    <cellStyle name="解释性文本 4 19 5 2 2 3" xfId="35118" xr:uid="{00000000-0005-0000-0000-0000AA7F0000}"/>
    <cellStyle name="解释性文本 4 19 5 2 3" xfId="35120" xr:uid="{00000000-0005-0000-0000-0000AB7F0000}"/>
    <cellStyle name="解释性文本 4 19 5 2 4" xfId="35122" xr:uid="{00000000-0005-0000-0000-0000AC7F0000}"/>
    <cellStyle name="解释性文本 4 19 5 2 5" xfId="14649" xr:uid="{00000000-0005-0000-0000-0000AD7F0000}"/>
    <cellStyle name="解释性文本 4 19 5 2 6" xfId="14655" xr:uid="{00000000-0005-0000-0000-0000AE7F0000}"/>
    <cellStyle name="解释性文本 4 19 5 2 7" xfId="15112" xr:uid="{00000000-0005-0000-0000-0000AF7F0000}"/>
    <cellStyle name="解释性文本 4 19 5 2 8" xfId="15117" xr:uid="{00000000-0005-0000-0000-0000B07F0000}"/>
    <cellStyle name="解释性文本 4 19 5 3" xfId="35125" xr:uid="{00000000-0005-0000-0000-0000B17F0000}"/>
    <cellStyle name="解释性文本 4 19 5 4" xfId="35127" xr:uid="{00000000-0005-0000-0000-0000B27F0000}"/>
    <cellStyle name="解释性文本 4 19 5 5" xfId="35129" xr:uid="{00000000-0005-0000-0000-0000B37F0000}"/>
    <cellStyle name="解释性文本 4 19 5 6" xfId="22878" xr:uid="{00000000-0005-0000-0000-0000B47F0000}"/>
    <cellStyle name="解释性文本 4 19 5 6 2" xfId="35130" xr:uid="{00000000-0005-0000-0000-0000B57F0000}"/>
    <cellStyle name="解释性文本 4 19 5 6 3" xfId="35131" xr:uid="{00000000-0005-0000-0000-0000B67F0000}"/>
    <cellStyle name="解释性文本 4 19 5 7" xfId="22880" xr:uid="{00000000-0005-0000-0000-0000B77F0000}"/>
    <cellStyle name="解释性文本 4 19 5 8" xfId="28358" xr:uid="{00000000-0005-0000-0000-0000B87F0000}"/>
    <cellStyle name="解释性文本 4 19 5 9" xfId="28365" xr:uid="{00000000-0005-0000-0000-0000B97F0000}"/>
    <cellStyle name="解释性文本 4 19 6" xfId="35132" xr:uid="{00000000-0005-0000-0000-0000BA7F0000}"/>
    <cellStyle name="解释性文本 4 19 6 2" xfId="32765" xr:uid="{00000000-0005-0000-0000-0000BB7F0000}"/>
    <cellStyle name="解释性文本 4 19 6 2 2" xfId="32768" xr:uid="{00000000-0005-0000-0000-0000BC7F0000}"/>
    <cellStyle name="解释性文本 4 19 6 2 3" xfId="32771" xr:uid="{00000000-0005-0000-0000-0000BD7F0000}"/>
    <cellStyle name="解释性文本 4 19 6 3" xfId="32774" xr:uid="{00000000-0005-0000-0000-0000BE7F0000}"/>
    <cellStyle name="解释性文本 4 19 6 4" xfId="32777" xr:uid="{00000000-0005-0000-0000-0000BF7F0000}"/>
    <cellStyle name="解释性文本 4 19 6 5" xfId="32780" xr:uid="{00000000-0005-0000-0000-0000C07F0000}"/>
    <cellStyle name="解释性文本 4 19 6 6" xfId="24276" xr:uid="{00000000-0005-0000-0000-0000C17F0000}"/>
    <cellStyle name="解释性文本 4 19 6 7" xfId="24278" xr:uid="{00000000-0005-0000-0000-0000C27F0000}"/>
    <cellStyle name="解释性文本 4 19 6 8" xfId="24280" xr:uid="{00000000-0005-0000-0000-0000C37F0000}"/>
    <cellStyle name="解释性文本 4 19 7" xfId="35133" xr:uid="{00000000-0005-0000-0000-0000C47F0000}"/>
    <cellStyle name="解释性文本 4 19 8" xfId="35134" xr:uid="{00000000-0005-0000-0000-0000C57F0000}"/>
    <cellStyle name="解释性文本 4 19 9" xfId="35135" xr:uid="{00000000-0005-0000-0000-0000C67F0000}"/>
    <cellStyle name="解释性文本 4 19 9 2" xfId="35136" xr:uid="{00000000-0005-0000-0000-0000C77F0000}"/>
    <cellStyle name="解释性文本 4 19 9 3" xfId="35137" xr:uid="{00000000-0005-0000-0000-0000C87F0000}"/>
    <cellStyle name="解释性文本 4 2" xfId="35138" xr:uid="{00000000-0005-0000-0000-0000C97F0000}"/>
    <cellStyle name="解释性文本 4 20" xfId="35040" xr:uid="{00000000-0005-0000-0000-0000CA7F0000}"/>
    <cellStyle name="解释性文本 4 20 10" xfId="4460" xr:uid="{00000000-0005-0000-0000-0000CB7F0000}"/>
    <cellStyle name="解释性文本 4 20 11" xfId="4475" xr:uid="{00000000-0005-0000-0000-0000CC7F0000}"/>
    <cellStyle name="解释性文本 4 20 12" xfId="4487" xr:uid="{00000000-0005-0000-0000-0000CD7F0000}"/>
    <cellStyle name="解释性文本 4 20 13" xfId="4501" xr:uid="{00000000-0005-0000-0000-0000CE7F0000}"/>
    <cellStyle name="解释性文本 4 20 14" xfId="4511" xr:uid="{00000000-0005-0000-0000-0000CF7F0000}"/>
    <cellStyle name="解释性文本 4 20 2" xfId="35139" xr:uid="{00000000-0005-0000-0000-0000D07F0000}"/>
    <cellStyle name="解释性文本 4 20 3" xfId="35140" xr:uid="{00000000-0005-0000-0000-0000D17F0000}"/>
    <cellStyle name="解释性文本 4 20 4" xfId="35141" xr:uid="{00000000-0005-0000-0000-0000D27F0000}"/>
    <cellStyle name="解释性文本 4 20 5" xfId="35142" xr:uid="{00000000-0005-0000-0000-0000D37F0000}"/>
    <cellStyle name="解释性文本 4 20 5 10" xfId="26482" xr:uid="{00000000-0005-0000-0000-0000D47F0000}"/>
    <cellStyle name="解释性文本 4 20 5 11" xfId="26494" xr:uid="{00000000-0005-0000-0000-0000D57F0000}"/>
    <cellStyle name="解释性文本 4 20 5 2" xfId="35143" xr:uid="{00000000-0005-0000-0000-0000D67F0000}"/>
    <cellStyle name="解释性文本 4 20 5 2 2" xfId="5625" xr:uid="{00000000-0005-0000-0000-0000D77F0000}"/>
    <cellStyle name="解释性文本 4 20 5 2 2 2" xfId="16454" xr:uid="{00000000-0005-0000-0000-0000D87F0000}"/>
    <cellStyle name="解释性文本 4 20 5 2 2 3" xfId="3960" xr:uid="{00000000-0005-0000-0000-0000D97F0000}"/>
    <cellStyle name="解释性文本 4 20 5 2 3" xfId="5630" xr:uid="{00000000-0005-0000-0000-0000DA7F0000}"/>
    <cellStyle name="解释性文本 4 20 5 2 4" xfId="5637" xr:uid="{00000000-0005-0000-0000-0000DB7F0000}"/>
    <cellStyle name="解释性文本 4 20 5 2 5" xfId="3034" xr:uid="{00000000-0005-0000-0000-0000DC7F0000}"/>
    <cellStyle name="解释性文本 4 20 5 2 6" xfId="3045" xr:uid="{00000000-0005-0000-0000-0000DD7F0000}"/>
    <cellStyle name="解释性文本 4 20 5 2 7" xfId="5849" xr:uid="{00000000-0005-0000-0000-0000DE7F0000}"/>
    <cellStyle name="解释性文本 4 20 5 2 8" xfId="5855" xr:uid="{00000000-0005-0000-0000-0000DF7F0000}"/>
    <cellStyle name="解释性文本 4 20 5 3" xfId="35144" xr:uid="{00000000-0005-0000-0000-0000E07F0000}"/>
    <cellStyle name="解释性文本 4 20 5 4" xfId="35145" xr:uid="{00000000-0005-0000-0000-0000E17F0000}"/>
    <cellStyle name="解释性文本 4 20 5 5" xfId="34792" xr:uid="{00000000-0005-0000-0000-0000E27F0000}"/>
    <cellStyle name="解释性文本 4 20 5 6" xfId="34794" xr:uid="{00000000-0005-0000-0000-0000E37F0000}"/>
    <cellStyle name="解释性文本 4 20 5 6 2" xfId="26485" xr:uid="{00000000-0005-0000-0000-0000E47F0000}"/>
    <cellStyle name="解释性文本 4 20 5 6 3" xfId="26487" xr:uid="{00000000-0005-0000-0000-0000E57F0000}"/>
    <cellStyle name="解释性文本 4 20 5 7" xfId="34796" xr:uid="{00000000-0005-0000-0000-0000E67F0000}"/>
    <cellStyle name="解释性文本 4 20 5 8" xfId="34798" xr:uid="{00000000-0005-0000-0000-0000E77F0000}"/>
    <cellStyle name="解释性文本 4 20 5 9" xfId="34800" xr:uid="{00000000-0005-0000-0000-0000E87F0000}"/>
    <cellStyle name="解释性文本 4 20 6" xfId="35146" xr:uid="{00000000-0005-0000-0000-0000E97F0000}"/>
    <cellStyle name="解释性文本 4 20 6 2" xfId="32726" xr:uid="{00000000-0005-0000-0000-0000EA7F0000}"/>
    <cellStyle name="解释性文本 4 20 6 2 2" xfId="32729" xr:uid="{00000000-0005-0000-0000-0000EB7F0000}"/>
    <cellStyle name="解释性文本 4 20 6 2 3" xfId="32732" xr:uid="{00000000-0005-0000-0000-0000EC7F0000}"/>
    <cellStyle name="解释性文本 4 20 6 3" xfId="35147" xr:uid="{00000000-0005-0000-0000-0000ED7F0000}"/>
    <cellStyle name="解释性文本 4 20 6 4" xfId="35149" xr:uid="{00000000-0005-0000-0000-0000EE7F0000}"/>
    <cellStyle name="解释性文本 4 20 6 5" xfId="31350" xr:uid="{00000000-0005-0000-0000-0000EF7F0000}"/>
    <cellStyle name="解释性文本 4 20 6 6" xfId="31353" xr:uid="{00000000-0005-0000-0000-0000F07F0000}"/>
    <cellStyle name="解释性文本 4 20 6 7" xfId="35151" xr:uid="{00000000-0005-0000-0000-0000F17F0000}"/>
    <cellStyle name="解释性文本 4 20 6 8" xfId="35153" xr:uid="{00000000-0005-0000-0000-0000F27F0000}"/>
    <cellStyle name="解释性文本 4 20 7" xfId="35154" xr:uid="{00000000-0005-0000-0000-0000F37F0000}"/>
    <cellStyle name="解释性文本 4 20 8" xfId="4531" xr:uid="{00000000-0005-0000-0000-0000F47F0000}"/>
    <cellStyle name="解释性文本 4 20 9" xfId="4541" xr:uid="{00000000-0005-0000-0000-0000F57F0000}"/>
    <cellStyle name="解释性文本 4 20 9 2" xfId="35155" xr:uid="{00000000-0005-0000-0000-0000F67F0000}"/>
    <cellStyle name="解释性文本 4 20 9 3" xfId="35156" xr:uid="{00000000-0005-0000-0000-0000F77F0000}"/>
    <cellStyle name="解释性文本 4 3" xfId="35157" xr:uid="{00000000-0005-0000-0000-0000F87F0000}"/>
    <cellStyle name="解释性文本 4 4" xfId="35158" xr:uid="{00000000-0005-0000-0000-0000F97F0000}"/>
    <cellStyle name="解释性文本 4 5" xfId="35159" xr:uid="{00000000-0005-0000-0000-0000FA7F0000}"/>
    <cellStyle name="解释性文本 4 6" xfId="35160" xr:uid="{00000000-0005-0000-0000-0000FB7F0000}"/>
    <cellStyle name="解释性文本 4 7" xfId="35161" xr:uid="{00000000-0005-0000-0000-0000FC7F0000}"/>
    <cellStyle name="解释性文本 4 8" xfId="35162" xr:uid="{00000000-0005-0000-0000-0000FD7F0000}"/>
    <cellStyle name="解释性文本 4 9" xfId="35163" xr:uid="{00000000-0005-0000-0000-0000FE7F0000}"/>
    <cellStyle name="解释性文本 5" xfId="11999" xr:uid="{00000000-0005-0000-0000-0000FF7F0000}"/>
    <cellStyle name="解释性文本 5 10" xfId="2703" xr:uid="{00000000-0005-0000-0000-000000800000}"/>
    <cellStyle name="解释性文本 5 11" xfId="3100" xr:uid="{00000000-0005-0000-0000-000001800000}"/>
    <cellStyle name="解释性文本 5 12" xfId="3132" xr:uid="{00000000-0005-0000-0000-000002800000}"/>
    <cellStyle name="解释性文本 5 13" xfId="3149" xr:uid="{00000000-0005-0000-0000-000003800000}"/>
    <cellStyle name="解释性文本 5 14" xfId="3161" xr:uid="{00000000-0005-0000-0000-000004800000}"/>
    <cellStyle name="解释性文本 5 2" xfId="35164" xr:uid="{00000000-0005-0000-0000-000005800000}"/>
    <cellStyle name="解释性文本 5 3" xfId="35165" xr:uid="{00000000-0005-0000-0000-000006800000}"/>
    <cellStyle name="解释性文本 5 4" xfId="35166" xr:uid="{00000000-0005-0000-0000-000007800000}"/>
    <cellStyle name="解释性文本 5 5" xfId="35167" xr:uid="{00000000-0005-0000-0000-000008800000}"/>
    <cellStyle name="解释性文本 5 6" xfId="35168" xr:uid="{00000000-0005-0000-0000-000009800000}"/>
    <cellStyle name="解释性文本 5 7" xfId="35169" xr:uid="{00000000-0005-0000-0000-00000A800000}"/>
    <cellStyle name="解释性文本 5 8" xfId="35170" xr:uid="{00000000-0005-0000-0000-00000B800000}"/>
    <cellStyle name="解释性文本 5 9" xfId="35171" xr:uid="{00000000-0005-0000-0000-00000C800000}"/>
    <cellStyle name="解释性文本 6" xfId="12002" xr:uid="{00000000-0005-0000-0000-00000D800000}"/>
    <cellStyle name="解释性文本 6 10" xfId="35172" xr:uid="{00000000-0005-0000-0000-00000E800000}"/>
    <cellStyle name="解释性文本 6 11" xfId="35173" xr:uid="{00000000-0005-0000-0000-00000F800000}"/>
    <cellStyle name="解释性文本 6 12" xfId="35174" xr:uid="{00000000-0005-0000-0000-000010800000}"/>
    <cellStyle name="解释性文本 6 13" xfId="35175" xr:uid="{00000000-0005-0000-0000-000011800000}"/>
    <cellStyle name="解释性文本 6 14" xfId="35176" xr:uid="{00000000-0005-0000-0000-000012800000}"/>
    <cellStyle name="解释性文本 6 2" xfId="35177" xr:uid="{00000000-0005-0000-0000-000013800000}"/>
    <cellStyle name="解释性文本 6 3" xfId="35178" xr:uid="{00000000-0005-0000-0000-000014800000}"/>
    <cellStyle name="解释性文本 6 4" xfId="35179" xr:uid="{00000000-0005-0000-0000-000015800000}"/>
    <cellStyle name="解释性文本 6 5" xfId="35180" xr:uid="{00000000-0005-0000-0000-000016800000}"/>
    <cellStyle name="解释性文本 6 6" xfId="35181" xr:uid="{00000000-0005-0000-0000-000017800000}"/>
    <cellStyle name="解释性文本 6 7" xfId="35182" xr:uid="{00000000-0005-0000-0000-000018800000}"/>
    <cellStyle name="解释性文本 6 8" xfId="35183" xr:uid="{00000000-0005-0000-0000-000019800000}"/>
    <cellStyle name="解释性文本 6 9" xfId="35184" xr:uid="{00000000-0005-0000-0000-00001A800000}"/>
    <cellStyle name="解释性文本 7" xfId="12005" xr:uid="{00000000-0005-0000-0000-00001B800000}"/>
    <cellStyle name="解释性文本 8" xfId="12008" xr:uid="{00000000-0005-0000-0000-00001C800000}"/>
    <cellStyle name="解释性文本 9" xfId="35185" xr:uid="{00000000-0005-0000-0000-00001D800000}"/>
    <cellStyle name="計算方式" xfId="35186" xr:uid="{00000000-0005-0000-0000-00001E800000}"/>
    <cellStyle name="說明文字" xfId="30178" xr:uid="{00000000-0005-0000-0000-00001F800000}"/>
    <cellStyle name="警告文字" xfId="35187" xr:uid="{00000000-0005-0000-0000-000020800000}"/>
    <cellStyle name="警告文本 10" xfId="22363" xr:uid="{00000000-0005-0000-0000-000021800000}"/>
    <cellStyle name="警告文本 11" xfId="22366" xr:uid="{00000000-0005-0000-0000-000022800000}"/>
    <cellStyle name="警告文本 12" xfId="22369" xr:uid="{00000000-0005-0000-0000-000023800000}"/>
    <cellStyle name="警告文本 12 10" xfId="29182" xr:uid="{00000000-0005-0000-0000-000024800000}"/>
    <cellStyle name="警告文本 12 11" xfId="29185" xr:uid="{00000000-0005-0000-0000-000025800000}"/>
    <cellStyle name="警告文本 12 12" xfId="29188" xr:uid="{00000000-0005-0000-0000-000026800000}"/>
    <cellStyle name="警告文本 12 13" xfId="29191" xr:uid="{00000000-0005-0000-0000-000027800000}"/>
    <cellStyle name="警告文本 12 14" xfId="29194" xr:uid="{00000000-0005-0000-0000-000028800000}"/>
    <cellStyle name="警告文本 12 2" xfId="35188" xr:uid="{00000000-0005-0000-0000-000029800000}"/>
    <cellStyle name="警告文本 12 3" xfId="35189" xr:uid="{00000000-0005-0000-0000-00002A800000}"/>
    <cellStyle name="警告文本 12 4" xfId="35190" xr:uid="{00000000-0005-0000-0000-00002B800000}"/>
    <cellStyle name="警告文本 12 5" xfId="35191" xr:uid="{00000000-0005-0000-0000-00002C800000}"/>
    <cellStyle name="警告文本 12 5 10" xfId="35192" xr:uid="{00000000-0005-0000-0000-00002D800000}"/>
    <cellStyle name="警告文本 12 5 11" xfId="35193" xr:uid="{00000000-0005-0000-0000-00002E800000}"/>
    <cellStyle name="警告文本 12 5 2" xfId="35194" xr:uid="{00000000-0005-0000-0000-00002F800000}"/>
    <cellStyle name="警告文本 12 5 2 2" xfId="35195" xr:uid="{00000000-0005-0000-0000-000030800000}"/>
    <cellStyle name="警告文本 12 5 2 2 2" xfId="2834" xr:uid="{00000000-0005-0000-0000-000031800000}"/>
    <cellStyle name="警告文本 12 5 2 2 3" xfId="2855" xr:uid="{00000000-0005-0000-0000-000032800000}"/>
    <cellStyle name="警告文本 12 5 2 3" xfId="35196" xr:uid="{00000000-0005-0000-0000-000033800000}"/>
    <cellStyle name="警告文本 12 5 2 4" xfId="35197" xr:uid="{00000000-0005-0000-0000-000034800000}"/>
    <cellStyle name="警告文本 12 5 2 5" xfId="35198" xr:uid="{00000000-0005-0000-0000-000035800000}"/>
    <cellStyle name="警告文本 12 5 2 6" xfId="35199" xr:uid="{00000000-0005-0000-0000-000036800000}"/>
    <cellStyle name="警告文本 12 5 2 7" xfId="35200" xr:uid="{00000000-0005-0000-0000-000037800000}"/>
    <cellStyle name="警告文本 12 5 2 8" xfId="35201" xr:uid="{00000000-0005-0000-0000-000038800000}"/>
    <cellStyle name="警告文本 12 5 3" xfId="35202" xr:uid="{00000000-0005-0000-0000-000039800000}"/>
    <cellStyle name="警告文本 12 5 4" xfId="35203" xr:uid="{00000000-0005-0000-0000-00003A800000}"/>
    <cellStyle name="警告文本 12 5 5" xfId="35204" xr:uid="{00000000-0005-0000-0000-00003B800000}"/>
    <cellStyle name="警告文本 12 5 6" xfId="35205" xr:uid="{00000000-0005-0000-0000-00003C800000}"/>
    <cellStyle name="警告文本 12 5 6 2" xfId="35206" xr:uid="{00000000-0005-0000-0000-00003D800000}"/>
    <cellStyle name="警告文本 12 5 6 3" xfId="35207" xr:uid="{00000000-0005-0000-0000-00003E800000}"/>
    <cellStyle name="警告文本 12 5 7" xfId="35208" xr:uid="{00000000-0005-0000-0000-00003F800000}"/>
    <cellStyle name="警告文本 12 5 8" xfId="35209" xr:uid="{00000000-0005-0000-0000-000040800000}"/>
    <cellStyle name="警告文本 12 5 9" xfId="35210" xr:uid="{00000000-0005-0000-0000-000041800000}"/>
    <cellStyle name="警告文本 12 6" xfId="35211" xr:uid="{00000000-0005-0000-0000-000042800000}"/>
    <cellStyle name="警告文本 12 6 2" xfId="20629" xr:uid="{00000000-0005-0000-0000-000043800000}"/>
    <cellStyle name="警告文本 12 6 2 2" xfId="35213" xr:uid="{00000000-0005-0000-0000-000044800000}"/>
    <cellStyle name="警告文本 12 6 2 3" xfId="10319" xr:uid="{00000000-0005-0000-0000-000045800000}"/>
    <cellStyle name="警告文本 12 6 3" xfId="35215" xr:uid="{00000000-0005-0000-0000-000046800000}"/>
    <cellStyle name="警告文本 12 6 4" xfId="35217" xr:uid="{00000000-0005-0000-0000-000047800000}"/>
    <cellStyle name="警告文本 12 6 5" xfId="35219" xr:uid="{00000000-0005-0000-0000-000048800000}"/>
    <cellStyle name="警告文本 12 6 6" xfId="35220" xr:uid="{00000000-0005-0000-0000-000049800000}"/>
    <cellStyle name="警告文本 12 6 7" xfId="35221" xr:uid="{00000000-0005-0000-0000-00004A800000}"/>
    <cellStyle name="警告文本 12 6 8" xfId="25803" xr:uid="{00000000-0005-0000-0000-00004B800000}"/>
    <cellStyle name="警告文本 12 7" xfId="35222" xr:uid="{00000000-0005-0000-0000-00004C800000}"/>
    <cellStyle name="警告文本 12 8" xfId="9302" xr:uid="{00000000-0005-0000-0000-00004D800000}"/>
    <cellStyle name="警告文本 12 9" xfId="9309" xr:uid="{00000000-0005-0000-0000-00004E800000}"/>
    <cellStyle name="警告文本 12 9 2" xfId="9311" xr:uid="{00000000-0005-0000-0000-00004F800000}"/>
    <cellStyle name="警告文本 12 9 3" xfId="9315" xr:uid="{00000000-0005-0000-0000-000050800000}"/>
    <cellStyle name="警告文本 13" xfId="35223" xr:uid="{00000000-0005-0000-0000-000051800000}"/>
    <cellStyle name="警告文本 14" xfId="35224" xr:uid="{00000000-0005-0000-0000-000052800000}"/>
    <cellStyle name="警告文本 15" xfId="35225" xr:uid="{00000000-0005-0000-0000-000053800000}"/>
    <cellStyle name="警告文本 16" xfId="35226" xr:uid="{00000000-0005-0000-0000-000054800000}"/>
    <cellStyle name="警告文本 16 10" xfId="35227" xr:uid="{00000000-0005-0000-0000-000055800000}"/>
    <cellStyle name="警告文本 16 11" xfId="35228" xr:uid="{00000000-0005-0000-0000-000056800000}"/>
    <cellStyle name="警告文本 16 12" xfId="35229" xr:uid="{00000000-0005-0000-0000-000057800000}"/>
    <cellStyle name="警告文本 16 13" xfId="35230" xr:uid="{00000000-0005-0000-0000-000058800000}"/>
    <cellStyle name="警告文本 16 14" xfId="35231" xr:uid="{00000000-0005-0000-0000-000059800000}"/>
    <cellStyle name="警告文本 16 2" xfId="9702" xr:uid="{00000000-0005-0000-0000-00005A800000}"/>
    <cellStyle name="警告文本 16 3" xfId="7464" xr:uid="{00000000-0005-0000-0000-00005B800000}"/>
    <cellStyle name="警告文本 16 4" xfId="35232" xr:uid="{00000000-0005-0000-0000-00005C800000}"/>
    <cellStyle name="警告文本 16 5" xfId="35233" xr:uid="{00000000-0005-0000-0000-00005D800000}"/>
    <cellStyle name="警告文本 16 5 10" xfId="8583" xr:uid="{00000000-0005-0000-0000-00005E800000}"/>
    <cellStyle name="警告文本 16 5 11" xfId="8590" xr:uid="{00000000-0005-0000-0000-00005F800000}"/>
    <cellStyle name="警告文本 16 5 2" xfId="35234" xr:uid="{00000000-0005-0000-0000-000060800000}"/>
    <cellStyle name="警告文本 16 5 2 2" xfId="35236" xr:uid="{00000000-0005-0000-0000-000061800000}"/>
    <cellStyle name="警告文本 16 5 2 2 2" xfId="35238" xr:uid="{00000000-0005-0000-0000-000062800000}"/>
    <cellStyle name="警告文本 16 5 2 2 3" xfId="35240" xr:uid="{00000000-0005-0000-0000-000063800000}"/>
    <cellStyle name="警告文本 16 5 2 3" xfId="35242" xr:uid="{00000000-0005-0000-0000-000064800000}"/>
    <cellStyle name="警告文本 16 5 2 4" xfId="35244" xr:uid="{00000000-0005-0000-0000-000065800000}"/>
    <cellStyle name="警告文本 16 5 2 5" xfId="35245" xr:uid="{00000000-0005-0000-0000-000066800000}"/>
    <cellStyle name="警告文本 16 5 2 6" xfId="35246" xr:uid="{00000000-0005-0000-0000-000067800000}"/>
    <cellStyle name="警告文本 16 5 2 7" xfId="35247" xr:uid="{00000000-0005-0000-0000-000068800000}"/>
    <cellStyle name="警告文本 16 5 2 8" xfId="29747" xr:uid="{00000000-0005-0000-0000-000069800000}"/>
    <cellStyle name="警告文本 16 5 3" xfId="35248" xr:uid="{00000000-0005-0000-0000-00006A800000}"/>
    <cellStyle name="警告文本 16 5 4" xfId="35249" xr:uid="{00000000-0005-0000-0000-00006B800000}"/>
    <cellStyle name="警告文本 16 5 5" xfId="35250" xr:uid="{00000000-0005-0000-0000-00006C800000}"/>
    <cellStyle name="警告文本 16 5 6" xfId="35251" xr:uid="{00000000-0005-0000-0000-00006D800000}"/>
    <cellStyle name="警告文本 16 5 6 2" xfId="35252" xr:uid="{00000000-0005-0000-0000-00006E800000}"/>
    <cellStyle name="警告文本 16 5 6 3" xfId="35253" xr:uid="{00000000-0005-0000-0000-00006F800000}"/>
    <cellStyle name="警告文本 16 5 7" xfId="35254" xr:uid="{00000000-0005-0000-0000-000070800000}"/>
    <cellStyle name="警告文本 16 5 8" xfId="35255" xr:uid="{00000000-0005-0000-0000-000071800000}"/>
    <cellStyle name="警告文本 16 5 9" xfId="35257" xr:uid="{00000000-0005-0000-0000-000072800000}"/>
    <cellStyle name="警告文本 16 6" xfId="35258" xr:uid="{00000000-0005-0000-0000-000073800000}"/>
    <cellStyle name="警告文本 16 6 2" xfId="35259" xr:uid="{00000000-0005-0000-0000-000074800000}"/>
    <cellStyle name="警告文本 16 6 2 2" xfId="35260" xr:uid="{00000000-0005-0000-0000-000075800000}"/>
    <cellStyle name="警告文本 16 6 2 3" xfId="35261" xr:uid="{00000000-0005-0000-0000-000076800000}"/>
    <cellStyle name="警告文本 16 6 3" xfId="35262" xr:uid="{00000000-0005-0000-0000-000077800000}"/>
    <cellStyle name="警告文本 16 6 4" xfId="35263" xr:uid="{00000000-0005-0000-0000-000078800000}"/>
    <cellStyle name="警告文本 16 6 5" xfId="35264" xr:uid="{00000000-0005-0000-0000-000079800000}"/>
    <cellStyle name="警告文本 16 6 6" xfId="35265" xr:uid="{00000000-0005-0000-0000-00007A800000}"/>
    <cellStyle name="警告文本 16 6 7" xfId="35267" xr:uid="{00000000-0005-0000-0000-00007B800000}"/>
    <cellStyle name="警告文本 16 6 8" xfId="35269" xr:uid="{00000000-0005-0000-0000-00007C800000}"/>
    <cellStyle name="警告文本 16 7" xfId="35270" xr:uid="{00000000-0005-0000-0000-00007D800000}"/>
    <cellStyle name="警告文本 16 8" xfId="35271" xr:uid="{00000000-0005-0000-0000-00007E800000}"/>
    <cellStyle name="警告文本 16 9" xfId="25158" xr:uid="{00000000-0005-0000-0000-00007F800000}"/>
    <cellStyle name="警告文本 16 9 2" xfId="18727" xr:uid="{00000000-0005-0000-0000-000080800000}"/>
    <cellStyle name="警告文本 16 9 3" xfId="18730" xr:uid="{00000000-0005-0000-0000-000081800000}"/>
    <cellStyle name="警告文本 17" xfId="35272" xr:uid="{00000000-0005-0000-0000-000082800000}"/>
    <cellStyle name="警告文本 17 10" xfId="35273" xr:uid="{00000000-0005-0000-0000-000083800000}"/>
    <cellStyle name="警告文本 17 11" xfId="35274" xr:uid="{00000000-0005-0000-0000-000084800000}"/>
    <cellStyle name="警告文本 17 12" xfId="35275" xr:uid="{00000000-0005-0000-0000-000085800000}"/>
    <cellStyle name="警告文本 17 13" xfId="35276" xr:uid="{00000000-0005-0000-0000-000086800000}"/>
    <cellStyle name="警告文本 17 14" xfId="35277" xr:uid="{00000000-0005-0000-0000-000087800000}"/>
    <cellStyle name="警告文本 17 2" xfId="23593" xr:uid="{00000000-0005-0000-0000-000088800000}"/>
    <cellStyle name="警告文本 17 3" xfId="23595" xr:uid="{00000000-0005-0000-0000-000089800000}"/>
    <cellStyle name="警告文本 17 4" xfId="23623" xr:uid="{00000000-0005-0000-0000-00008A800000}"/>
    <cellStyle name="警告文本 17 5" xfId="23640" xr:uid="{00000000-0005-0000-0000-00008B800000}"/>
    <cellStyle name="警告文本 17 5 10" xfId="7569" xr:uid="{00000000-0005-0000-0000-00008C800000}"/>
    <cellStyle name="警告文本 17 5 11" xfId="12112" xr:uid="{00000000-0005-0000-0000-00008D800000}"/>
    <cellStyle name="警告文本 17 5 2" xfId="35278" xr:uid="{00000000-0005-0000-0000-00008E800000}"/>
    <cellStyle name="警告文本 17 5 2 2" xfId="12747" xr:uid="{00000000-0005-0000-0000-00008F800000}"/>
    <cellStyle name="警告文本 17 5 2 2 2" xfId="17817" xr:uid="{00000000-0005-0000-0000-000090800000}"/>
    <cellStyle name="警告文本 17 5 2 2 3" xfId="17821" xr:uid="{00000000-0005-0000-0000-000091800000}"/>
    <cellStyle name="警告文本 17 5 2 3" xfId="12757" xr:uid="{00000000-0005-0000-0000-000092800000}"/>
    <cellStyle name="警告文本 17 5 2 4" xfId="12765" xr:uid="{00000000-0005-0000-0000-000093800000}"/>
    <cellStyle name="警告文本 17 5 2 5" xfId="12770" xr:uid="{00000000-0005-0000-0000-000094800000}"/>
    <cellStyle name="警告文本 17 5 2 6" xfId="25673" xr:uid="{00000000-0005-0000-0000-000095800000}"/>
    <cellStyle name="警告文本 17 5 2 7" xfId="35279" xr:uid="{00000000-0005-0000-0000-000096800000}"/>
    <cellStyle name="警告文本 17 5 2 8" xfId="35280" xr:uid="{00000000-0005-0000-0000-000097800000}"/>
    <cellStyle name="警告文本 17 5 3" xfId="35281" xr:uid="{00000000-0005-0000-0000-000098800000}"/>
    <cellStyle name="警告文本 17 5 4" xfId="35282" xr:uid="{00000000-0005-0000-0000-000099800000}"/>
    <cellStyle name="警告文本 17 5 5" xfId="35283" xr:uid="{00000000-0005-0000-0000-00009A800000}"/>
    <cellStyle name="警告文本 17 5 6" xfId="35284" xr:uid="{00000000-0005-0000-0000-00009B800000}"/>
    <cellStyle name="警告文本 17 5 6 2" xfId="2817" xr:uid="{00000000-0005-0000-0000-00009C800000}"/>
    <cellStyle name="警告文本 17 5 6 3" xfId="35285" xr:uid="{00000000-0005-0000-0000-00009D800000}"/>
    <cellStyle name="警告文本 17 5 7" xfId="35286" xr:uid="{00000000-0005-0000-0000-00009E800000}"/>
    <cellStyle name="警告文本 17 5 8" xfId="35287" xr:uid="{00000000-0005-0000-0000-00009F800000}"/>
    <cellStyle name="警告文本 17 5 9" xfId="35288" xr:uid="{00000000-0005-0000-0000-0000A0800000}"/>
    <cellStyle name="警告文本 17 6" xfId="23642" xr:uid="{00000000-0005-0000-0000-0000A1800000}"/>
    <cellStyle name="警告文本 17 6 2" xfId="30357" xr:uid="{00000000-0005-0000-0000-0000A2800000}"/>
    <cellStyle name="警告文本 17 6 2 2" xfId="35289" xr:uid="{00000000-0005-0000-0000-0000A3800000}"/>
    <cellStyle name="警告文本 17 6 2 3" xfId="35290" xr:uid="{00000000-0005-0000-0000-0000A4800000}"/>
    <cellStyle name="警告文本 17 6 3" xfId="30359" xr:uid="{00000000-0005-0000-0000-0000A5800000}"/>
    <cellStyle name="警告文本 17 6 4" xfId="30361" xr:uid="{00000000-0005-0000-0000-0000A6800000}"/>
    <cellStyle name="警告文本 17 6 5" xfId="35291" xr:uid="{00000000-0005-0000-0000-0000A7800000}"/>
    <cellStyle name="警告文本 17 6 6" xfId="35292" xr:uid="{00000000-0005-0000-0000-0000A8800000}"/>
    <cellStyle name="警告文本 17 6 7" xfId="35293" xr:uid="{00000000-0005-0000-0000-0000A9800000}"/>
    <cellStyle name="警告文本 17 6 8" xfId="35294" xr:uid="{00000000-0005-0000-0000-0000AA800000}"/>
    <cellStyle name="警告文本 17 7" xfId="23644" xr:uid="{00000000-0005-0000-0000-0000AB800000}"/>
    <cellStyle name="警告文本 17 8" xfId="35295" xr:uid="{00000000-0005-0000-0000-0000AC800000}"/>
    <cellStyle name="警告文本 17 9" xfId="34036" xr:uid="{00000000-0005-0000-0000-0000AD800000}"/>
    <cellStyle name="警告文本 17 9 2" xfId="21083" xr:uid="{00000000-0005-0000-0000-0000AE800000}"/>
    <cellStyle name="警告文本 17 9 3" xfId="21085" xr:uid="{00000000-0005-0000-0000-0000AF800000}"/>
    <cellStyle name="警告文本 18" xfId="35296" xr:uid="{00000000-0005-0000-0000-0000B0800000}"/>
    <cellStyle name="警告文本 18 10" xfId="35297" xr:uid="{00000000-0005-0000-0000-0000B1800000}"/>
    <cellStyle name="警告文本 18 11" xfId="35298" xr:uid="{00000000-0005-0000-0000-0000B2800000}"/>
    <cellStyle name="警告文本 18 12" xfId="35299" xr:uid="{00000000-0005-0000-0000-0000B3800000}"/>
    <cellStyle name="警告文本 18 13" xfId="35300" xr:uid="{00000000-0005-0000-0000-0000B4800000}"/>
    <cellStyle name="警告文本 18 14" xfId="35301" xr:uid="{00000000-0005-0000-0000-0000B5800000}"/>
    <cellStyle name="警告文本 18 2" xfId="16116" xr:uid="{00000000-0005-0000-0000-0000B6800000}"/>
    <cellStyle name="警告文本 18 3" xfId="7646" xr:uid="{00000000-0005-0000-0000-0000B7800000}"/>
    <cellStyle name="警告文本 18 4" xfId="7652" xr:uid="{00000000-0005-0000-0000-0000B8800000}"/>
    <cellStyle name="警告文本 18 5" xfId="7658" xr:uid="{00000000-0005-0000-0000-0000B9800000}"/>
    <cellStyle name="警告文本 18 5 10" xfId="12522" xr:uid="{00000000-0005-0000-0000-0000BA800000}"/>
    <cellStyle name="警告文本 18 5 11" xfId="12533" xr:uid="{00000000-0005-0000-0000-0000BB800000}"/>
    <cellStyle name="警告文本 18 5 2" xfId="35302" xr:uid="{00000000-0005-0000-0000-0000BC800000}"/>
    <cellStyle name="警告文本 18 5 2 2" xfId="35303" xr:uid="{00000000-0005-0000-0000-0000BD800000}"/>
    <cellStyle name="警告文本 18 5 2 2 2" xfId="35304" xr:uid="{00000000-0005-0000-0000-0000BE800000}"/>
    <cellStyle name="警告文本 18 5 2 2 3" xfId="17662" xr:uid="{00000000-0005-0000-0000-0000BF800000}"/>
    <cellStyle name="警告文本 18 5 2 3" xfId="35305" xr:uid="{00000000-0005-0000-0000-0000C0800000}"/>
    <cellStyle name="警告文本 18 5 2 4" xfId="35306" xr:uid="{00000000-0005-0000-0000-0000C1800000}"/>
    <cellStyle name="警告文本 18 5 2 5" xfId="35307" xr:uid="{00000000-0005-0000-0000-0000C2800000}"/>
    <cellStyle name="警告文本 18 5 2 6" xfId="35308" xr:uid="{00000000-0005-0000-0000-0000C3800000}"/>
    <cellStyle name="警告文本 18 5 2 7" xfId="35309" xr:uid="{00000000-0005-0000-0000-0000C4800000}"/>
    <cellStyle name="警告文本 18 5 2 8" xfId="35310" xr:uid="{00000000-0005-0000-0000-0000C5800000}"/>
    <cellStyle name="警告文本 18 5 3" xfId="35311" xr:uid="{00000000-0005-0000-0000-0000C6800000}"/>
    <cellStyle name="警告文本 18 5 4" xfId="35312" xr:uid="{00000000-0005-0000-0000-0000C7800000}"/>
    <cellStyle name="警告文本 18 5 5" xfId="35313" xr:uid="{00000000-0005-0000-0000-0000C8800000}"/>
    <cellStyle name="警告文本 18 5 6" xfId="35314" xr:uid="{00000000-0005-0000-0000-0000C9800000}"/>
    <cellStyle name="警告文本 18 5 6 2" xfId="35315" xr:uid="{00000000-0005-0000-0000-0000CA800000}"/>
    <cellStyle name="警告文本 18 5 6 3" xfId="35316" xr:uid="{00000000-0005-0000-0000-0000CB800000}"/>
    <cellStyle name="警告文本 18 5 7" xfId="35317" xr:uid="{00000000-0005-0000-0000-0000CC800000}"/>
    <cellStyle name="警告文本 18 5 8" xfId="35318" xr:uid="{00000000-0005-0000-0000-0000CD800000}"/>
    <cellStyle name="警告文本 18 5 9" xfId="35319" xr:uid="{00000000-0005-0000-0000-0000CE800000}"/>
    <cellStyle name="警告文本 18 6" xfId="19996" xr:uid="{00000000-0005-0000-0000-0000CF800000}"/>
    <cellStyle name="警告文本 18 6 2" xfId="35320" xr:uid="{00000000-0005-0000-0000-0000D0800000}"/>
    <cellStyle name="警告文本 18 6 2 2" xfId="35321" xr:uid="{00000000-0005-0000-0000-0000D1800000}"/>
    <cellStyle name="警告文本 18 6 2 3" xfId="30106" xr:uid="{00000000-0005-0000-0000-0000D2800000}"/>
    <cellStyle name="警告文本 18 6 3" xfId="20594" xr:uid="{00000000-0005-0000-0000-0000D3800000}"/>
    <cellStyle name="警告文本 18 6 4" xfId="20596" xr:uid="{00000000-0005-0000-0000-0000D4800000}"/>
    <cellStyle name="警告文本 18 6 5" xfId="35322" xr:uid="{00000000-0005-0000-0000-0000D5800000}"/>
    <cellStyle name="警告文本 18 6 6" xfId="35323" xr:uid="{00000000-0005-0000-0000-0000D6800000}"/>
    <cellStyle name="警告文本 18 6 7" xfId="35325" xr:uid="{00000000-0005-0000-0000-0000D7800000}"/>
    <cellStyle name="警告文本 18 6 8" xfId="35327" xr:uid="{00000000-0005-0000-0000-0000D8800000}"/>
    <cellStyle name="警告文本 18 7" xfId="23676" xr:uid="{00000000-0005-0000-0000-0000D9800000}"/>
    <cellStyle name="警告文本 18 8" xfId="35329" xr:uid="{00000000-0005-0000-0000-0000DA800000}"/>
    <cellStyle name="警告文本 18 9" xfId="35331" xr:uid="{00000000-0005-0000-0000-0000DB800000}"/>
    <cellStyle name="警告文本 18 9 2" xfId="35333" xr:uid="{00000000-0005-0000-0000-0000DC800000}"/>
    <cellStyle name="警告文本 18 9 3" xfId="35334" xr:uid="{00000000-0005-0000-0000-0000DD800000}"/>
    <cellStyle name="警告文本 19" xfId="35335" xr:uid="{00000000-0005-0000-0000-0000DE800000}"/>
    <cellStyle name="警告文本 2" xfId="35336" xr:uid="{00000000-0005-0000-0000-0000DF800000}"/>
    <cellStyle name="警告文本 2 10" xfId="8373" xr:uid="{00000000-0005-0000-0000-0000E0800000}"/>
    <cellStyle name="警告文本 2 11" xfId="8380" xr:uid="{00000000-0005-0000-0000-0000E1800000}"/>
    <cellStyle name="警告文本 2 12" xfId="8388" xr:uid="{00000000-0005-0000-0000-0000E2800000}"/>
    <cellStyle name="警告文本 2 13" xfId="35337" xr:uid="{00000000-0005-0000-0000-0000E3800000}"/>
    <cellStyle name="警告文本 2 14" xfId="35338" xr:uid="{00000000-0005-0000-0000-0000E4800000}"/>
    <cellStyle name="警告文本 2 15" xfId="35340" xr:uid="{00000000-0005-0000-0000-0000E5800000}"/>
    <cellStyle name="警告文本 2 16" xfId="35341" xr:uid="{00000000-0005-0000-0000-0000E6800000}"/>
    <cellStyle name="警告文本 2 17" xfId="35342" xr:uid="{00000000-0005-0000-0000-0000E7800000}"/>
    <cellStyle name="警告文本 2 17 10" xfId="35343" xr:uid="{00000000-0005-0000-0000-0000E8800000}"/>
    <cellStyle name="警告文本 2 17 11" xfId="35344" xr:uid="{00000000-0005-0000-0000-0000E9800000}"/>
    <cellStyle name="警告文本 2 17 12" xfId="35345" xr:uid="{00000000-0005-0000-0000-0000EA800000}"/>
    <cellStyle name="警告文本 2 17 13" xfId="35346" xr:uid="{00000000-0005-0000-0000-0000EB800000}"/>
    <cellStyle name="警告文本 2 17 14" xfId="17670" xr:uid="{00000000-0005-0000-0000-0000EC800000}"/>
    <cellStyle name="警告文本 2 17 2" xfId="35347" xr:uid="{00000000-0005-0000-0000-0000ED800000}"/>
    <cellStyle name="警告文本 2 17 3" xfId="35348" xr:uid="{00000000-0005-0000-0000-0000EE800000}"/>
    <cellStyle name="警告文本 2 17 4" xfId="35349" xr:uid="{00000000-0005-0000-0000-0000EF800000}"/>
    <cellStyle name="警告文本 2 17 5" xfId="35350" xr:uid="{00000000-0005-0000-0000-0000F0800000}"/>
    <cellStyle name="警告文本 2 17 5 10" xfId="26922" xr:uid="{00000000-0005-0000-0000-0000F1800000}"/>
    <cellStyle name="警告文本 2 17 5 11" xfId="26924" xr:uid="{00000000-0005-0000-0000-0000F2800000}"/>
    <cellStyle name="警告文本 2 17 5 2" xfId="35351" xr:uid="{00000000-0005-0000-0000-0000F3800000}"/>
    <cellStyle name="警告文本 2 17 5 2 2" xfId="35352" xr:uid="{00000000-0005-0000-0000-0000F4800000}"/>
    <cellStyle name="警告文本 2 17 5 2 2 2" xfId="35353" xr:uid="{00000000-0005-0000-0000-0000F5800000}"/>
    <cellStyle name="警告文本 2 17 5 2 2 3" xfId="35354" xr:uid="{00000000-0005-0000-0000-0000F6800000}"/>
    <cellStyle name="警告文本 2 17 5 2 3" xfId="35355" xr:uid="{00000000-0005-0000-0000-0000F7800000}"/>
    <cellStyle name="警告文本 2 17 5 2 4" xfId="35356" xr:uid="{00000000-0005-0000-0000-0000F8800000}"/>
    <cellStyle name="警告文本 2 17 5 2 5" xfId="35357" xr:uid="{00000000-0005-0000-0000-0000F9800000}"/>
    <cellStyle name="警告文本 2 17 5 2 6" xfId="35358" xr:uid="{00000000-0005-0000-0000-0000FA800000}"/>
    <cellStyle name="警告文本 2 17 5 2 7" xfId="35359" xr:uid="{00000000-0005-0000-0000-0000FB800000}"/>
    <cellStyle name="警告文本 2 17 5 2 8" xfId="35360" xr:uid="{00000000-0005-0000-0000-0000FC800000}"/>
    <cellStyle name="警告文本 2 17 5 3" xfId="22218" xr:uid="{00000000-0005-0000-0000-0000FD800000}"/>
    <cellStyle name="警告文本 2 17 5 4" xfId="22224" xr:uid="{00000000-0005-0000-0000-0000FE800000}"/>
    <cellStyle name="警告文本 2 17 5 5" xfId="22228" xr:uid="{00000000-0005-0000-0000-0000FF800000}"/>
    <cellStyle name="警告文本 2 17 5 6" xfId="22234" xr:uid="{00000000-0005-0000-0000-000000810000}"/>
    <cellStyle name="警告文本 2 17 5 6 2" xfId="35361" xr:uid="{00000000-0005-0000-0000-000001810000}"/>
    <cellStyle name="警告文本 2 17 5 6 3" xfId="35362" xr:uid="{00000000-0005-0000-0000-000002810000}"/>
    <cellStyle name="警告文本 2 17 5 7" xfId="8498" xr:uid="{00000000-0005-0000-0000-000003810000}"/>
    <cellStyle name="警告文本 2 17 5 8" xfId="8501" xr:uid="{00000000-0005-0000-0000-000004810000}"/>
    <cellStyle name="警告文本 2 17 5 9" xfId="22236" xr:uid="{00000000-0005-0000-0000-000005810000}"/>
    <cellStyle name="警告文本 2 17 6" xfId="35363" xr:uid="{00000000-0005-0000-0000-000006810000}"/>
    <cellStyle name="警告文本 2 17 6 2" xfId="35364" xr:uid="{00000000-0005-0000-0000-000007810000}"/>
    <cellStyle name="警告文本 2 17 6 2 2" xfId="35366" xr:uid="{00000000-0005-0000-0000-000008810000}"/>
    <cellStyle name="警告文本 2 17 6 2 3" xfId="35368" xr:uid="{00000000-0005-0000-0000-000009810000}"/>
    <cellStyle name="警告文本 2 17 6 3" xfId="35369" xr:uid="{00000000-0005-0000-0000-00000A810000}"/>
    <cellStyle name="警告文本 2 17 6 4" xfId="35370" xr:uid="{00000000-0005-0000-0000-00000B810000}"/>
    <cellStyle name="警告文本 2 17 6 5" xfId="35371" xr:uid="{00000000-0005-0000-0000-00000C810000}"/>
    <cellStyle name="警告文本 2 17 6 6" xfId="35372" xr:uid="{00000000-0005-0000-0000-00000D810000}"/>
    <cellStyle name="警告文本 2 17 6 7" xfId="21588" xr:uid="{00000000-0005-0000-0000-00000E810000}"/>
    <cellStyle name="警告文本 2 17 6 8" xfId="21592" xr:uid="{00000000-0005-0000-0000-00000F810000}"/>
    <cellStyle name="警告文本 2 17 7" xfId="35373" xr:uid="{00000000-0005-0000-0000-000010810000}"/>
    <cellStyle name="警告文本 2 17 8" xfId="35374" xr:uid="{00000000-0005-0000-0000-000011810000}"/>
    <cellStyle name="警告文本 2 17 9" xfId="35375" xr:uid="{00000000-0005-0000-0000-000012810000}"/>
    <cellStyle name="警告文本 2 17 9 2" xfId="35376" xr:uid="{00000000-0005-0000-0000-000013810000}"/>
    <cellStyle name="警告文本 2 17 9 3" xfId="22238" xr:uid="{00000000-0005-0000-0000-000014810000}"/>
    <cellStyle name="警告文本 2 18" xfId="35377" xr:uid="{00000000-0005-0000-0000-000015810000}"/>
    <cellStyle name="警告文本 2 18 10" xfId="35378" xr:uid="{00000000-0005-0000-0000-000016810000}"/>
    <cellStyle name="警告文本 2 18 11" xfId="35379" xr:uid="{00000000-0005-0000-0000-000017810000}"/>
    <cellStyle name="警告文本 2 18 12" xfId="35380" xr:uid="{00000000-0005-0000-0000-000018810000}"/>
    <cellStyle name="警告文本 2 18 13" xfId="35381" xr:uid="{00000000-0005-0000-0000-000019810000}"/>
    <cellStyle name="警告文本 2 18 14" xfId="35382" xr:uid="{00000000-0005-0000-0000-00001A810000}"/>
    <cellStyle name="警告文本 2 18 2" xfId="35385" xr:uid="{00000000-0005-0000-0000-00001B810000}"/>
    <cellStyle name="警告文本 2 18 3" xfId="35388" xr:uid="{00000000-0005-0000-0000-00001C810000}"/>
    <cellStyle name="警告文本 2 18 4" xfId="35390" xr:uid="{00000000-0005-0000-0000-00001D810000}"/>
    <cellStyle name="警告文本 2 18 5" xfId="35392" xr:uid="{00000000-0005-0000-0000-00001E810000}"/>
    <cellStyle name="警告文本 2 18 5 10" xfId="35393" xr:uid="{00000000-0005-0000-0000-00001F810000}"/>
    <cellStyle name="警告文本 2 18 5 11" xfId="35394" xr:uid="{00000000-0005-0000-0000-000020810000}"/>
    <cellStyle name="警告文本 2 18 5 2" xfId="35396" xr:uid="{00000000-0005-0000-0000-000021810000}"/>
    <cellStyle name="警告文本 2 18 5 2 2" xfId="17298" xr:uid="{00000000-0005-0000-0000-000022810000}"/>
    <cellStyle name="警告文本 2 18 5 2 2 2" xfId="17300" xr:uid="{00000000-0005-0000-0000-000023810000}"/>
    <cellStyle name="警告文本 2 18 5 2 2 3" xfId="17302" xr:uid="{00000000-0005-0000-0000-000024810000}"/>
    <cellStyle name="警告文本 2 18 5 2 3" xfId="18032" xr:uid="{00000000-0005-0000-0000-000025810000}"/>
    <cellStyle name="警告文本 2 18 5 2 4" xfId="18034" xr:uid="{00000000-0005-0000-0000-000026810000}"/>
    <cellStyle name="警告文本 2 18 5 2 5" xfId="18036" xr:uid="{00000000-0005-0000-0000-000027810000}"/>
    <cellStyle name="警告文本 2 18 5 2 6" xfId="18038" xr:uid="{00000000-0005-0000-0000-000028810000}"/>
    <cellStyle name="警告文本 2 18 5 2 7" xfId="18040" xr:uid="{00000000-0005-0000-0000-000029810000}"/>
    <cellStyle name="警告文本 2 18 5 2 8" xfId="18042" xr:uid="{00000000-0005-0000-0000-00002A810000}"/>
    <cellStyle name="警告文本 2 18 5 3" xfId="11820" xr:uid="{00000000-0005-0000-0000-00002B810000}"/>
    <cellStyle name="警告文本 2 18 5 4" xfId="11828" xr:uid="{00000000-0005-0000-0000-00002C810000}"/>
    <cellStyle name="警告文本 2 18 5 5" xfId="31092" xr:uid="{00000000-0005-0000-0000-00002D810000}"/>
    <cellStyle name="警告文本 2 18 5 6" xfId="35397" xr:uid="{00000000-0005-0000-0000-00002E810000}"/>
    <cellStyle name="警告文本 2 18 5 6 2" xfId="17386" xr:uid="{00000000-0005-0000-0000-00002F810000}"/>
    <cellStyle name="警告文本 2 18 5 6 3" xfId="35398" xr:uid="{00000000-0005-0000-0000-000030810000}"/>
    <cellStyle name="警告文本 2 18 5 7" xfId="35399" xr:uid="{00000000-0005-0000-0000-000031810000}"/>
    <cellStyle name="警告文本 2 18 5 8" xfId="10150" xr:uid="{00000000-0005-0000-0000-000032810000}"/>
    <cellStyle name="警告文本 2 18 5 9" xfId="9352" xr:uid="{00000000-0005-0000-0000-000033810000}"/>
    <cellStyle name="警告文本 2 18 6" xfId="18504" xr:uid="{00000000-0005-0000-0000-000034810000}"/>
    <cellStyle name="警告文本 2 18 6 2" xfId="35400" xr:uid="{00000000-0005-0000-0000-000035810000}"/>
    <cellStyle name="警告文本 2 18 6 2 2" xfId="35401" xr:uid="{00000000-0005-0000-0000-000036810000}"/>
    <cellStyle name="警告文本 2 18 6 2 3" xfId="35402" xr:uid="{00000000-0005-0000-0000-000037810000}"/>
    <cellStyle name="警告文本 2 18 6 3" xfId="35404" xr:uid="{00000000-0005-0000-0000-000038810000}"/>
    <cellStyle name="警告文本 2 18 6 4" xfId="35406" xr:uid="{00000000-0005-0000-0000-000039810000}"/>
    <cellStyle name="警告文本 2 18 6 5" xfId="35407" xr:uid="{00000000-0005-0000-0000-00003A810000}"/>
    <cellStyle name="警告文本 2 18 6 6" xfId="35408" xr:uid="{00000000-0005-0000-0000-00003B810000}"/>
    <cellStyle name="警告文本 2 18 6 7" xfId="1955" xr:uid="{00000000-0005-0000-0000-00003C810000}"/>
    <cellStyle name="警告文本 2 18 6 8" xfId="1842" xr:uid="{00000000-0005-0000-0000-00003D810000}"/>
    <cellStyle name="警告文本 2 18 7" xfId="18507" xr:uid="{00000000-0005-0000-0000-00003E810000}"/>
    <cellStyle name="警告文本 2 18 8" xfId="26992" xr:uid="{00000000-0005-0000-0000-00003F810000}"/>
    <cellStyle name="警告文本 2 18 9" xfId="35409" xr:uid="{00000000-0005-0000-0000-000040810000}"/>
    <cellStyle name="警告文本 2 18 9 2" xfId="35410" xr:uid="{00000000-0005-0000-0000-000041810000}"/>
    <cellStyle name="警告文本 2 18 9 3" xfId="35411" xr:uid="{00000000-0005-0000-0000-000042810000}"/>
    <cellStyle name="警告文本 2 19" xfId="35412" xr:uid="{00000000-0005-0000-0000-000043810000}"/>
    <cellStyle name="警告文本 2 19 10" xfId="35413" xr:uid="{00000000-0005-0000-0000-000044810000}"/>
    <cellStyle name="警告文本 2 19 11" xfId="35414" xr:uid="{00000000-0005-0000-0000-000045810000}"/>
    <cellStyle name="警告文本 2 19 12" xfId="5726" xr:uid="{00000000-0005-0000-0000-000046810000}"/>
    <cellStyle name="警告文本 2 19 13" xfId="5747" xr:uid="{00000000-0005-0000-0000-000047810000}"/>
    <cellStyle name="警告文本 2 19 14" xfId="35415" xr:uid="{00000000-0005-0000-0000-000048810000}"/>
    <cellStyle name="警告文本 2 19 2" xfId="35417" xr:uid="{00000000-0005-0000-0000-000049810000}"/>
    <cellStyle name="警告文本 2 19 3" xfId="3688" xr:uid="{00000000-0005-0000-0000-00004A810000}"/>
    <cellStyle name="警告文本 2 19 4" xfId="3692" xr:uid="{00000000-0005-0000-0000-00004B810000}"/>
    <cellStyle name="警告文本 2 19 5" xfId="35419" xr:uid="{00000000-0005-0000-0000-00004C810000}"/>
    <cellStyle name="警告文本 2 19 5 10" xfId="35420" xr:uid="{00000000-0005-0000-0000-00004D810000}"/>
    <cellStyle name="警告文本 2 19 5 11" xfId="18165" xr:uid="{00000000-0005-0000-0000-00004E810000}"/>
    <cellStyle name="警告文本 2 19 5 2" xfId="35422" xr:uid="{00000000-0005-0000-0000-00004F810000}"/>
    <cellStyle name="警告文本 2 19 5 2 2" xfId="27790" xr:uid="{00000000-0005-0000-0000-000050810000}"/>
    <cellStyle name="警告文本 2 19 5 2 2 2" xfId="27793" xr:uid="{00000000-0005-0000-0000-000051810000}"/>
    <cellStyle name="警告文本 2 19 5 2 2 3" xfId="27814" xr:uid="{00000000-0005-0000-0000-000052810000}"/>
    <cellStyle name="警告文本 2 19 5 2 3" xfId="27834" xr:uid="{00000000-0005-0000-0000-000053810000}"/>
    <cellStyle name="警告文本 2 19 5 2 4" xfId="27851" xr:uid="{00000000-0005-0000-0000-000054810000}"/>
    <cellStyle name="警告文本 2 19 5 2 5" xfId="27854" xr:uid="{00000000-0005-0000-0000-000055810000}"/>
    <cellStyle name="警告文本 2 19 5 2 6" xfId="27857" xr:uid="{00000000-0005-0000-0000-000056810000}"/>
    <cellStyle name="警告文本 2 19 5 2 7" xfId="30564" xr:uid="{00000000-0005-0000-0000-000057810000}"/>
    <cellStyle name="警告文本 2 19 5 2 8" xfId="30566" xr:uid="{00000000-0005-0000-0000-000058810000}"/>
    <cellStyle name="警告文本 2 19 5 3" xfId="35424" xr:uid="{00000000-0005-0000-0000-000059810000}"/>
    <cellStyle name="警告文本 2 19 5 4" xfId="31135" xr:uid="{00000000-0005-0000-0000-00005A810000}"/>
    <cellStyle name="警告文本 2 19 5 5" xfId="31138" xr:uid="{00000000-0005-0000-0000-00005B810000}"/>
    <cellStyle name="警告文本 2 19 5 6" xfId="35425" xr:uid="{00000000-0005-0000-0000-00005C810000}"/>
    <cellStyle name="警告文本 2 19 5 6 2" xfId="25790" xr:uid="{00000000-0005-0000-0000-00005D810000}"/>
    <cellStyle name="警告文本 2 19 5 6 3" xfId="27755" xr:uid="{00000000-0005-0000-0000-00005E810000}"/>
    <cellStyle name="警告文本 2 19 5 7" xfId="35426" xr:uid="{00000000-0005-0000-0000-00005F810000}"/>
    <cellStyle name="警告文本 2 19 5 8" xfId="35427" xr:uid="{00000000-0005-0000-0000-000060810000}"/>
    <cellStyle name="警告文本 2 19 5 9" xfId="9562" xr:uid="{00000000-0005-0000-0000-000061810000}"/>
    <cellStyle name="警告文本 2 19 6" xfId="35428" xr:uid="{00000000-0005-0000-0000-000062810000}"/>
    <cellStyle name="警告文本 2 19 6 2" xfId="12978" xr:uid="{00000000-0005-0000-0000-000063810000}"/>
    <cellStyle name="警告文本 2 19 6 2 2" xfId="35429" xr:uid="{00000000-0005-0000-0000-000064810000}"/>
    <cellStyle name="警告文本 2 19 6 2 3" xfId="35430" xr:uid="{00000000-0005-0000-0000-000065810000}"/>
    <cellStyle name="警告文本 2 19 6 3" xfId="12982" xr:uid="{00000000-0005-0000-0000-000066810000}"/>
    <cellStyle name="警告文本 2 19 6 4" xfId="12987" xr:uid="{00000000-0005-0000-0000-000067810000}"/>
    <cellStyle name="警告文本 2 19 6 5" xfId="5673" xr:uid="{00000000-0005-0000-0000-000068810000}"/>
    <cellStyle name="警告文本 2 19 6 6" xfId="5680" xr:uid="{00000000-0005-0000-0000-000069810000}"/>
    <cellStyle name="警告文本 2 19 6 7" xfId="35431" xr:uid="{00000000-0005-0000-0000-00006A810000}"/>
    <cellStyle name="警告文本 2 19 6 8" xfId="35432" xr:uid="{00000000-0005-0000-0000-00006B810000}"/>
    <cellStyle name="警告文本 2 19 7" xfId="35433" xr:uid="{00000000-0005-0000-0000-00006C810000}"/>
    <cellStyle name="警告文本 2 19 8" xfId="35434" xr:uid="{00000000-0005-0000-0000-00006D810000}"/>
    <cellStyle name="警告文本 2 19 9" xfId="3724" xr:uid="{00000000-0005-0000-0000-00006E810000}"/>
    <cellStyle name="警告文本 2 19 9 2" xfId="35435" xr:uid="{00000000-0005-0000-0000-00006F810000}"/>
    <cellStyle name="警告文本 2 19 9 3" xfId="35436" xr:uid="{00000000-0005-0000-0000-000070810000}"/>
    <cellStyle name="警告文本 2 2" xfId="9213" xr:uid="{00000000-0005-0000-0000-000071810000}"/>
    <cellStyle name="警告文本 2 2 10" xfId="25908" xr:uid="{00000000-0005-0000-0000-000072810000}"/>
    <cellStyle name="警告文本 2 2 11" xfId="35437" xr:uid="{00000000-0005-0000-0000-000073810000}"/>
    <cellStyle name="警告文本 2 2 12" xfId="35438" xr:uid="{00000000-0005-0000-0000-000074810000}"/>
    <cellStyle name="警告文本 2 2 13" xfId="35439" xr:uid="{00000000-0005-0000-0000-000075810000}"/>
    <cellStyle name="警告文本 2 2 14" xfId="35440" xr:uid="{00000000-0005-0000-0000-000076810000}"/>
    <cellStyle name="警告文本 2 2 2" xfId="35441" xr:uid="{00000000-0005-0000-0000-000077810000}"/>
    <cellStyle name="警告文本 2 2 3" xfId="35442" xr:uid="{00000000-0005-0000-0000-000078810000}"/>
    <cellStyle name="警告文本 2 2 4" xfId="11884" xr:uid="{00000000-0005-0000-0000-000079810000}"/>
    <cellStyle name="警告文本 2 2 5" xfId="11891" xr:uid="{00000000-0005-0000-0000-00007A810000}"/>
    <cellStyle name="警告文本 2 2 6" xfId="11896" xr:uid="{00000000-0005-0000-0000-00007B810000}"/>
    <cellStyle name="警告文本 2 2 7" xfId="11901" xr:uid="{00000000-0005-0000-0000-00007C810000}"/>
    <cellStyle name="警告文本 2 2 8" xfId="11908" xr:uid="{00000000-0005-0000-0000-00007D810000}"/>
    <cellStyle name="警告文本 2 2 9" xfId="35443" xr:uid="{00000000-0005-0000-0000-00007E810000}"/>
    <cellStyle name="警告文本 2 20" xfId="35339" xr:uid="{00000000-0005-0000-0000-00007F810000}"/>
    <cellStyle name="警告文本 2 20 10" xfId="35444" xr:uid="{00000000-0005-0000-0000-000080810000}"/>
    <cellStyle name="警告文本 2 20 11" xfId="35445" xr:uid="{00000000-0005-0000-0000-000081810000}"/>
    <cellStyle name="警告文本 2 20 12" xfId="35446" xr:uid="{00000000-0005-0000-0000-000082810000}"/>
    <cellStyle name="警告文本 2 20 13" xfId="35447" xr:uid="{00000000-0005-0000-0000-000083810000}"/>
    <cellStyle name="警告文本 2 20 14" xfId="35448" xr:uid="{00000000-0005-0000-0000-000084810000}"/>
    <cellStyle name="警告文本 2 20 2" xfId="35449" xr:uid="{00000000-0005-0000-0000-000085810000}"/>
    <cellStyle name="警告文本 2 20 3" xfId="933" xr:uid="{00000000-0005-0000-0000-000086810000}"/>
    <cellStyle name="警告文本 2 20 4" xfId="971" xr:uid="{00000000-0005-0000-0000-000087810000}"/>
    <cellStyle name="警告文本 2 20 5" xfId="29671" xr:uid="{00000000-0005-0000-0000-000088810000}"/>
    <cellStyle name="警告文本 2 20 5 10" xfId="35450" xr:uid="{00000000-0005-0000-0000-000089810000}"/>
    <cellStyle name="警告文本 2 20 5 11" xfId="35451" xr:uid="{00000000-0005-0000-0000-00008A810000}"/>
    <cellStyle name="警告文本 2 20 5 2" xfId="31098" xr:uid="{00000000-0005-0000-0000-00008B810000}"/>
    <cellStyle name="警告文本 2 20 5 2 2" xfId="31102" xr:uid="{00000000-0005-0000-0000-00008C810000}"/>
    <cellStyle name="警告文本 2 20 5 2 2 2" xfId="13670" xr:uid="{00000000-0005-0000-0000-00008D810000}"/>
    <cellStyle name="警告文本 2 20 5 2 2 3" xfId="31105" xr:uid="{00000000-0005-0000-0000-00008E810000}"/>
    <cellStyle name="警告文本 2 20 5 2 3" xfId="31109" xr:uid="{00000000-0005-0000-0000-00008F810000}"/>
    <cellStyle name="警告文本 2 20 5 2 4" xfId="31112" xr:uid="{00000000-0005-0000-0000-000090810000}"/>
    <cellStyle name="警告文本 2 20 5 2 5" xfId="31115" xr:uid="{00000000-0005-0000-0000-000091810000}"/>
    <cellStyle name="警告文本 2 20 5 2 6" xfId="31118" xr:uid="{00000000-0005-0000-0000-000092810000}"/>
    <cellStyle name="警告文本 2 20 5 2 7" xfId="24043" xr:uid="{00000000-0005-0000-0000-000093810000}"/>
    <cellStyle name="警告文本 2 20 5 2 8" xfId="24053" xr:uid="{00000000-0005-0000-0000-000094810000}"/>
    <cellStyle name="警告文本 2 20 5 3" xfId="31122" xr:uid="{00000000-0005-0000-0000-000095810000}"/>
    <cellStyle name="警告文本 2 20 5 4" xfId="31126" xr:uid="{00000000-0005-0000-0000-000096810000}"/>
    <cellStyle name="警告文本 2 20 5 5" xfId="31129" xr:uid="{00000000-0005-0000-0000-000097810000}"/>
    <cellStyle name="警告文本 2 20 5 6" xfId="31132" xr:uid="{00000000-0005-0000-0000-000098810000}"/>
    <cellStyle name="警告文本 2 20 5 6 2" xfId="31134" xr:uid="{00000000-0005-0000-0000-000099810000}"/>
    <cellStyle name="警告文本 2 20 5 6 3" xfId="31137" xr:uid="{00000000-0005-0000-0000-00009A810000}"/>
    <cellStyle name="警告文本 2 20 5 7" xfId="35452" xr:uid="{00000000-0005-0000-0000-00009B810000}"/>
    <cellStyle name="警告文本 2 20 5 8" xfId="35453" xr:uid="{00000000-0005-0000-0000-00009C810000}"/>
    <cellStyle name="警告文本 2 20 5 9" xfId="35454" xr:uid="{00000000-0005-0000-0000-00009D810000}"/>
    <cellStyle name="警告文本 2 20 6" xfId="29673" xr:uid="{00000000-0005-0000-0000-00009E810000}"/>
    <cellStyle name="警告文本 2 20 6 2" xfId="35455" xr:uid="{00000000-0005-0000-0000-00009F810000}"/>
    <cellStyle name="警告文本 2 20 6 2 2" xfId="2458" xr:uid="{00000000-0005-0000-0000-0000A0810000}"/>
    <cellStyle name="警告文本 2 20 6 2 3" xfId="2474" xr:uid="{00000000-0005-0000-0000-0000A1810000}"/>
    <cellStyle name="警告文本 2 20 6 3" xfId="35456" xr:uid="{00000000-0005-0000-0000-0000A2810000}"/>
    <cellStyle name="警告文本 2 20 6 4" xfId="35457" xr:uid="{00000000-0005-0000-0000-0000A3810000}"/>
    <cellStyle name="警告文本 2 20 6 5" xfId="5088" xr:uid="{00000000-0005-0000-0000-0000A4810000}"/>
    <cellStyle name="警告文本 2 20 6 6" xfId="9102" xr:uid="{00000000-0005-0000-0000-0000A5810000}"/>
    <cellStyle name="警告文本 2 20 6 7" xfId="35458" xr:uid="{00000000-0005-0000-0000-0000A6810000}"/>
    <cellStyle name="警告文本 2 20 6 8" xfId="35459" xr:uid="{00000000-0005-0000-0000-0000A7810000}"/>
    <cellStyle name="警告文本 2 20 7" xfId="29675" xr:uid="{00000000-0005-0000-0000-0000A8810000}"/>
    <cellStyle name="警告文本 2 20 8" xfId="21664" xr:uid="{00000000-0005-0000-0000-0000A9810000}"/>
    <cellStyle name="警告文本 2 20 9" xfId="21246" xr:uid="{00000000-0005-0000-0000-0000AA810000}"/>
    <cellStyle name="警告文本 2 20 9 2" xfId="21250" xr:uid="{00000000-0005-0000-0000-0000AB810000}"/>
    <cellStyle name="警告文本 2 20 9 3" xfId="11415" xr:uid="{00000000-0005-0000-0000-0000AC810000}"/>
    <cellStyle name="警告文本 2 3" xfId="14450" xr:uid="{00000000-0005-0000-0000-0000AD810000}"/>
    <cellStyle name="警告文本 2 3 10" xfId="32901" xr:uid="{00000000-0005-0000-0000-0000AE810000}"/>
    <cellStyle name="警告文本 2 3 11" xfId="32903" xr:uid="{00000000-0005-0000-0000-0000AF810000}"/>
    <cellStyle name="警告文本 2 3 12" xfId="32905" xr:uid="{00000000-0005-0000-0000-0000B0810000}"/>
    <cellStyle name="警告文本 2 3 13" xfId="32907" xr:uid="{00000000-0005-0000-0000-0000B1810000}"/>
    <cellStyle name="警告文本 2 3 14" xfId="32914" xr:uid="{00000000-0005-0000-0000-0000B2810000}"/>
    <cellStyle name="警告文本 2 3 2" xfId="35460" xr:uid="{00000000-0005-0000-0000-0000B3810000}"/>
    <cellStyle name="警告文本 2 3 3" xfId="35461" xr:uid="{00000000-0005-0000-0000-0000B4810000}"/>
    <cellStyle name="警告文本 2 3 4" xfId="35462" xr:uid="{00000000-0005-0000-0000-0000B5810000}"/>
    <cellStyle name="警告文本 2 3 5" xfId="35463" xr:uid="{00000000-0005-0000-0000-0000B6810000}"/>
    <cellStyle name="警告文本 2 3 6" xfId="35464" xr:uid="{00000000-0005-0000-0000-0000B7810000}"/>
    <cellStyle name="警告文本 2 3 7" xfId="35465" xr:uid="{00000000-0005-0000-0000-0000B8810000}"/>
    <cellStyle name="警告文本 2 3 8" xfId="35466" xr:uid="{00000000-0005-0000-0000-0000B9810000}"/>
    <cellStyle name="警告文本 2 3 9" xfId="34000" xr:uid="{00000000-0005-0000-0000-0000BA810000}"/>
    <cellStyle name="警告文本 2 4" xfId="14454" xr:uid="{00000000-0005-0000-0000-0000BB810000}"/>
    <cellStyle name="警告文本 2 4 10" xfId="22078" xr:uid="{00000000-0005-0000-0000-0000BC810000}"/>
    <cellStyle name="警告文本 2 4 11" xfId="22153" xr:uid="{00000000-0005-0000-0000-0000BD810000}"/>
    <cellStyle name="警告文本 2 4 12" xfId="35467" xr:uid="{00000000-0005-0000-0000-0000BE810000}"/>
    <cellStyle name="警告文本 2 4 13" xfId="35468" xr:uid="{00000000-0005-0000-0000-0000BF810000}"/>
    <cellStyle name="警告文本 2 4 14" xfId="35469" xr:uid="{00000000-0005-0000-0000-0000C0810000}"/>
    <cellStyle name="警告文本 2 4 2" xfId="24358" xr:uid="{00000000-0005-0000-0000-0000C1810000}"/>
    <cellStyle name="警告文本 2 4 3" xfId="24363" xr:uid="{00000000-0005-0000-0000-0000C2810000}"/>
    <cellStyle name="警告文本 2 4 4" xfId="24368" xr:uid="{00000000-0005-0000-0000-0000C3810000}"/>
    <cellStyle name="警告文本 2 4 5" xfId="24372" xr:uid="{00000000-0005-0000-0000-0000C4810000}"/>
    <cellStyle name="警告文本 2 4 6" xfId="24376" xr:uid="{00000000-0005-0000-0000-0000C5810000}"/>
    <cellStyle name="警告文本 2 4 7" xfId="24380" xr:uid="{00000000-0005-0000-0000-0000C6810000}"/>
    <cellStyle name="警告文本 2 4 8" xfId="24382" xr:uid="{00000000-0005-0000-0000-0000C7810000}"/>
    <cellStyle name="警告文本 2 4 9" xfId="24384" xr:uid="{00000000-0005-0000-0000-0000C8810000}"/>
    <cellStyle name="警告文本 2 5" xfId="14459" xr:uid="{00000000-0005-0000-0000-0000C9810000}"/>
    <cellStyle name="警告文本 2 6" xfId="14464" xr:uid="{00000000-0005-0000-0000-0000CA810000}"/>
    <cellStyle name="警告文本 2 7" xfId="24394" xr:uid="{00000000-0005-0000-0000-0000CB810000}"/>
    <cellStyle name="警告文本 2 8" xfId="24397" xr:uid="{00000000-0005-0000-0000-0000CC810000}"/>
    <cellStyle name="警告文本 2 9" xfId="35084" xr:uid="{00000000-0005-0000-0000-0000CD810000}"/>
    <cellStyle name="警告文本 3" xfId="35470" xr:uid="{00000000-0005-0000-0000-0000CE810000}"/>
    <cellStyle name="警告文本 3 10" xfId="17202" xr:uid="{00000000-0005-0000-0000-0000CF810000}"/>
    <cellStyle name="警告文本 3 11" xfId="17207" xr:uid="{00000000-0005-0000-0000-0000D0810000}"/>
    <cellStyle name="警告文本 3 12" xfId="17212" xr:uid="{00000000-0005-0000-0000-0000D1810000}"/>
    <cellStyle name="警告文本 3 13" xfId="14915" xr:uid="{00000000-0005-0000-0000-0000D2810000}"/>
    <cellStyle name="警告文本 3 14" xfId="14920" xr:uid="{00000000-0005-0000-0000-0000D3810000}"/>
    <cellStyle name="警告文本 3 15" xfId="18822" xr:uid="{00000000-0005-0000-0000-0000D4810000}"/>
    <cellStyle name="警告文本 3 16" xfId="35471" xr:uid="{00000000-0005-0000-0000-0000D5810000}"/>
    <cellStyle name="警告文本 3 17" xfId="35472" xr:uid="{00000000-0005-0000-0000-0000D6810000}"/>
    <cellStyle name="警告文本 3 17 10" xfId="30443" xr:uid="{00000000-0005-0000-0000-0000D7810000}"/>
    <cellStyle name="警告文本 3 17 11" xfId="30446" xr:uid="{00000000-0005-0000-0000-0000D8810000}"/>
    <cellStyle name="警告文本 3 17 12" xfId="35473" xr:uid="{00000000-0005-0000-0000-0000D9810000}"/>
    <cellStyle name="警告文本 3 17 13" xfId="35474" xr:uid="{00000000-0005-0000-0000-0000DA810000}"/>
    <cellStyle name="警告文本 3 17 14" xfId="35475" xr:uid="{00000000-0005-0000-0000-0000DB810000}"/>
    <cellStyle name="警告文本 3 17 2" xfId="35476" xr:uid="{00000000-0005-0000-0000-0000DC810000}"/>
    <cellStyle name="警告文本 3 17 2 2" xfId="35477" xr:uid="{00000000-0005-0000-0000-0000DD810000}"/>
    <cellStyle name="警告文本 3 17 3" xfId="35478" xr:uid="{00000000-0005-0000-0000-0000DE810000}"/>
    <cellStyle name="警告文本 3 17 4" xfId="35479" xr:uid="{00000000-0005-0000-0000-0000DF810000}"/>
    <cellStyle name="警告文本 3 17 5" xfId="35480" xr:uid="{00000000-0005-0000-0000-0000E0810000}"/>
    <cellStyle name="警告文本 3 17 5 10" xfId="35482" xr:uid="{00000000-0005-0000-0000-0000E1810000}"/>
    <cellStyle name="警告文本 3 17 5 11" xfId="35484" xr:uid="{00000000-0005-0000-0000-0000E2810000}"/>
    <cellStyle name="警告文本 3 17 5 2" xfId="35487" xr:uid="{00000000-0005-0000-0000-0000E3810000}"/>
    <cellStyle name="警告文本 3 17 5 2 2" xfId="35488" xr:uid="{00000000-0005-0000-0000-0000E4810000}"/>
    <cellStyle name="警告文本 3 17 5 2 2 2" xfId="17277" xr:uid="{00000000-0005-0000-0000-0000E5810000}"/>
    <cellStyle name="警告文本 3 17 5 2 2 3" xfId="17280" xr:uid="{00000000-0005-0000-0000-0000E6810000}"/>
    <cellStyle name="警告文本 3 17 5 2 3" xfId="35489" xr:uid="{00000000-0005-0000-0000-0000E7810000}"/>
    <cellStyle name="警告文本 3 17 5 2 4" xfId="35490" xr:uid="{00000000-0005-0000-0000-0000E8810000}"/>
    <cellStyle name="警告文本 3 17 5 2 5" xfId="35492" xr:uid="{00000000-0005-0000-0000-0000E9810000}"/>
    <cellStyle name="警告文本 3 17 5 2 6" xfId="35494" xr:uid="{00000000-0005-0000-0000-0000EA810000}"/>
    <cellStyle name="警告文本 3 17 5 2 7" xfId="33396" xr:uid="{00000000-0005-0000-0000-0000EB810000}"/>
    <cellStyle name="警告文本 3 17 5 2 8" xfId="33398" xr:uid="{00000000-0005-0000-0000-0000EC810000}"/>
    <cellStyle name="警告文本 3 17 5 3" xfId="35496" xr:uid="{00000000-0005-0000-0000-0000ED810000}"/>
    <cellStyle name="警告文本 3 17 5 4" xfId="35498" xr:uid="{00000000-0005-0000-0000-0000EE810000}"/>
    <cellStyle name="警告文本 3 17 5 5" xfId="35500" xr:uid="{00000000-0005-0000-0000-0000EF810000}"/>
    <cellStyle name="警告文本 3 17 5 6" xfId="35502" xr:uid="{00000000-0005-0000-0000-0000F0810000}"/>
    <cellStyle name="警告文本 3 17 5 6 2" xfId="35504" xr:uid="{00000000-0005-0000-0000-0000F1810000}"/>
    <cellStyle name="警告文本 3 17 5 6 3" xfId="35506" xr:uid="{00000000-0005-0000-0000-0000F2810000}"/>
    <cellStyle name="警告文本 3 17 5 7" xfId="35508" xr:uid="{00000000-0005-0000-0000-0000F3810000}"/>
    <cellStyle name="警告文本 3 17 5 8" xfId="8702" xr:uid="{00000000-0005-0000-0000-0000F4810000}"/>
    <cellStyle name="警告文本 3 17 5 9" xfId="8707" xr:uid="{00000000-0005-0000-0000-0000F5810000}"/>
    <cellStyle name="警告文本 3 17 6" xfId="28616" xr:uid="{00000000-0005-0000-0000-0000F6810000}"/>
    <cellStyle name="警告文本 3 17 6 2" xfId="35511" xr:uid="{00000000-0005-0000-0000-0000F7810000}"/>
    <cellStyle name="警告文本 3 17 6 2 2" xfId="35512" xr:uid="{00000000-0005-0000-0000-0000F8810000}"/>
    <cellStyle name="警告文本 3 17 6 2 3" xfId="35513" xr:uid="{00000000-0005-0000-0000-0000F9810000}"/>
    <cellStyle name="警告文本 3 17 6 3" xfId="35515" xr:uid="{00000000-0005-0000-0000-0000FA810000}"/>
    <cellStyle name="警告文本 3 17 6 4" xfId="25037" xr:uid="{00000000-0005-0000-0000-0000FB810000}"/>
    <cellStyle name="警告文本 3 17 6 5" xfId="25042" xr:uid="{00000000-0005-0000-0000-0000FC810000}"/>
    <cellStyle name="警告文本 3 17 6 6" xfId="35517" xr:uid="{00000000-0005-0000-0000-0000FD810000}"/>
    <cellStyle name="警告文本 3 17 6 7" xfId="7764" xr:uid="{00000000-0005-0000-0000-0000FE810000}"/>
    <cellStyle name="警告文本 3 17 6 8" xfId="7774" xr:uid="{00000000-0005-0000-0000-0000FF810000}"/>
    <cellStyle name="警告文本 3 17 7" xfId="28619" xr:uid="{00000000-0005-0000-0000-000000820000}"/>
    <cellStyle name="警告文本 3 17 8" xfId="28622" xr:uid="{00000000-0005-0000-0000-000001820000}"/>
    <cellStyle name="警告文本 3 17 9" xfId="28624" xr:uid="{00000000-0005-0000-0000-000002820000}"/>
    <cellStyle name="警告文本 3 17 9 2" xfId="10615" xr:uid="{00000000-0005-0000-0000-000003820000}"/>
    <cellStyle name="警告文本 3 17 9 3" xfId="15362" xr:uid="{00000000-0005-0000-0000-000004820000}"/>
    <cellStyle name="警告文本 3 18" xfId="35518" xr:uid="{00000000-0005-0000-0000-000005820000}"/>
    <cellStyle name="警告文本 3 18 10" xfId="35519" xr:uid="{00000000-0005-0000-0000-000006820000}"/>
    <cellStyle name="警告文本 3 18 11" xfId="35520" xr:uid="{00000000-0005-0000-0000-000007820000}"/>
    <cellStyle name="警告文本 3 18 12" xfId="35521" xr:uid="{00000000-0005-0000-0000-000008820000}"/>
    <cellStyle name="警告文本 3 18 13" xfId="35522" xr:uid="{00000000-0005-0000-0000-000009820000}"/>
    <cellStyle name="警告文本 3 18 14" xfId="35523" xr:uid="{00000000-0005-0000-0000-00000A820000}"/>
    <cellStyle name="警告文本 3 18 2" xfId="21788" xr:uid="{00000000-0005-0000-0000-00000B820000}"/>
    <cellStyle name="警告文本 3 18 3" xfId="21791" xr:uid="{00000000-0005-0000-0000-00000C820000}"/>
    <cellStyle name="警告文本 3 18 4" xfId="21795" xr:uid="{00000000-0005-0000-0000-00000D820000}"/>
    <cellStyle name="警告文本 3 18 5" xfId="4885" xr:uid="{00000000-0005-0000-0000-00000E820000}"/>
    <cellStyle name="警告文本 3 18 5 10" xfId="32862" xr:uid="{00000000-0005-0000-0000-00000F820000}"/>
    <cellStyle name="警告文本 3 18 5 11" xfId="24852" xr:uid="{00000000-0005-0000-0000-000010820000}"/>
    <cellStyle name="警告文本 3 18 5 2" xfId="17628" xr:uid="{00000000-0005-0000-0000-000011820000}"/>
    <cellStyle name="警告文本 3 18 5 2 2" xfId="35524" xr:uid="{00000000-0005-0000-0000-000012820000}"/>
    <cellStyle name="警告文本 3 18 5 2 2 2" xfId="35525" xr:uid="{00000000-0005-0000-0000-000013820000}"/>
    <cellStyle name="警告文本 3 18 5 2 2 3" xfId="35526" xr:uid="{00000000-0005-0000-0000-000014820000}"/>
    <cellStyle name="警告文本 3 18 5 2 3" xfId="14892" xr:uid="{00000000-0005-0000-0000-000015820000}"/>
    <cellStyle name="警告文本 3 18 5 2 4" xfId="14898" xr:uid="{00000000-0005-0000-0000-000016820000}"/>
    <cellStyle name="警告文本 3 18 5 2 5" xfId="14903" xr:uid="{00000000-0005-0000-0000-000017820000}"/>
    <cellStyle name="警告文本 3 18 5 2 6" xfId="14908" xr:uid="{00000000-0005-0000-0000-000018820000}"/>
    <cellStyle name="警告文本 3 18 5 2 7" xfId="14237" xr:uid="{00000000-0005-0000-0000-000019820000}"/>
    <cellStyle name="警告文本 3 18 5 2 8" xfId="14243" xr:uid="{00000000-0005-0000-0000-00001A820000}"/>
    <cellStyle name="警告文本 3 18 5 3" xfId="17632" xr:uid="{00000000-0005-0000-0000-00001B820000}"/>
    <cellStyle name="警告文本 3 18 5 4" xfId="17635" xr:uid="{00000000-0005-0000-0000-00001C820000}"/>
    <cellStyle name="警告文本 3 18 5 5" xfId="17638" xr:uid="{00000000-0005-0000-0000-00001D820000}"/>
    <cellStyle name="警告文本 3 18 5 6" xfId="12349" xr:uid="{00000000-0005-0000-0000-00001E820000}"/>
    <cellStyle name="警告文本 3 18 5 6 2" xfId="35527" xr:uid="{00000000-0005-0000-0000-00001F820000}"/>
    <cellStyle name="警告文本 3 18 5 6 3" xfId="35528" xr:uid="{00000000-0005-0000-0000-000020820000}"/>
    <cellStyle name="警告文本 3 18 5 7" xfId="35529" xr:uid="{00000000-0005-0000-0000-000021820000}"/>
    <cellStyle name="警告文本 3 18 5 8" xfId="35530" xr:uid="{00000000-0005-0000-0000-000022820000}"/>
    <cellStyle name="警告文本 3 18 5 9" xfId="8829" xr:uid="{00000000-0005-0000-0000-000023820000}"/>
    <cellStyle name="警告文本 3 18 6" xfId="4889" xr:uid="{00000000-0005-0000-0000-000024820000}"/>
    <cellStyle name="警告文本 3 18 6 2" xfId="35532" xr:uid="{00000000-0005-0000-0000-000025820000}"/>
    <cellStyle name="警告文本 3 18 6 2 2" xfId="35533" xr:uid="{00000000-0005-0000-0000-000026820000}"/>
    <cellStyle name="警告文本 3 18 6 2 3" xfId="5493" xr:uid="{00000000-0005-0000-0000-000027820000}"/>
    <cellStyle name="警告文本 3 18 6 3" xfId="35534" xr:uid="{00000000-0005-0000-0000-000028820000}"/>
    <cellStyle name="警告文本 3 18 6 4" xfId="35535" xr:uid="{00000000-0005-0000-0000-000029820000}"/>
    <cellStyle name="警告文本 3 18 6 5" xfId="35537" xr:uid="{00000000-0005-0000-0000-00002A820000}"/>
    <cellStyle name="警告文本 3 18 6 6" xfId="35539" xr:uid="{00000000-0005-0000-0000-00002B820000}"/>
    <cellStyle name="警告文本 3 18 6 7" xfId="7505" xr:uid="{00000000-0005-0000-0000-00002C820000}"/>
    <cellStyle name="警告文本 3 18 6 8" xfId="5581" xr:uid="{00000000-0005-0000-0000-00002D820000}"/>
    <cellStyle name="警告文本 3 18 7" xfId="35540" xr:uid="{00000000-0005-0000-0000-00002E820000}"/>
    <cellStyle name="警告文本 3 18 8" xfId="35541" xr:uid="{00000000-0005-0000-0000-00002F820000}"/>
    <cellStyle name="警告文本 3 18 9" xfId="35542" xr:uid="{00000000-0005-0000-0000-000030820000}"/>
    <cellStyle name="警告文本 3 18 9 2" xfId="35543" xr:uid="{00000000-0005-0000-0000-000031820000}"/>
    <cellStyle name="警告文本 3 18 9 3" xfId="35544" xr:uid="{00000000-0005-0000-0000-000032820000}"/>
    <cellStyle name="警告文本 3 19" xfId="20100" xr:uid="{00000000-0005-0000-0000-000033820000}"/>
    <cellStyle name="警告文本 3 19 10" xfId="32599" xr:uid="{00000000-0005-0000-0000-000034820000}"/>
    <cellStyle name="警告文本 3 19 11" xfId="35545" xr:uid="{00000000-0005-0000-0000-000035820000}"/>
    <cellStyle name="警告文本 3 19 12" xfId="31883" xr:uid="{00000000-0005-0000-0000-000036820000}"/>
    <cellStyle name="警告文本 3 19 13" xfId="18628" xr:uid="{00000000-0005-0000-0000-000037820000}"/>
    <cellStyle name="警告文本 3 19 14" xfId="18634" xr:uid="{00000000-0005-0000-0000-000038820000}"/>
    <cellStyle name="警告文本 3 19 2" xfId="31518" xr:uid="{00000000-0005-0000-0000-000039820000}"/>
    <cellStyle name="警告文本 3 19 3" xfId="6702" xr:uid="{00000000-0005-0000-0000-00003A820000}"/>
    <cellStyle name="警告文本 3 19 4" xfId="35547" xr:uid="{00000000-0005-0000-0000-00003B820000}"/>
    <cellStyle name="警告文本 3 19 5" xfId="35549" xr:uid="{00000000-0005-0000-0000-00003C820000}"/>
    <cellStyle name="警告文本 3 19 5 10" xfId="32984" xr:uid="{00000000-0005-0000-0000-00003D820000}"/>
    <cellStyle name="警告文本 3 19 5 11" xfId="18475" xr:uid="{00000000-0005-0000-0000-00003E820000}"/>
    <cellStyle name="警告文本 3 19 5 2" xfId="35551" xr:uid="{00000000-0005-0000-0000-00003F820000}"/>
    <cellStyle name="警告文本 3 19 5 2 2" xfId="35553" xr:uid="{00000000-0005-0000-0000-000040820000}"/>
    <cellStyle name="警告文本 3 19 5 2 2 2" xfId="35554" xr:uid="{00000000-0005-0000-0000-000041820000}"/>
    <cellStyle name="警告文本 3 19 5 2 2 3" xfId="35555" xr:uid="{00000000-0005-0000-0000-000042820000}"/>
    <cellStyle name="警告文本 3 19 5 2 3" xfId="35556" xr:uid="{00000000-0005-0000-0000-000043820000}"/>
    <cellStyle name="警告文本 3 19 5 2 4" xfId="35557" xr:uid="{00000000-0005-0000-0000-000044820000}"/>
    <cellStyle name="警告文本 3 19 5 2 5" xfId="33185" xr:uid="{00000000-0005-0000-0000-000045820000}"/>
    <cellStyle name="警告文本 3 19 5 2 6" xfId="33189" xr:uid="{00000000-0005-0000-0000-000046820000}"/>
    <cellStyle name="警告文本 3 19 5 2 7" xfId="33996" xr:uid="{00000000-0005-0000-0000-000047820000}"/>
    <cellStyle name="警告文本 3 19 5 2 8" xfId="33998" xr:uid="{00000000-0005-0000-0000-000048820000}"/>
    <cellStyle name="警告文本 3 19 5 3" xfId="35559" xr:uid="{00000000-0005-0000-0000-000049820000}"/>
    <cellStyle name="警告文本 3 19 5 4" xfId="35560" xr:uid="{00000000-0005-0000-0000-00004A820000}"/>
    <cellStyle name="警告文本 3 19 5 5" xfId="35561" xr:uid="{00000000-0005-0000-0000-00004B820000}"/>
    <cellStyle name="警告文本 3 19 5 6" xfId="35562" xr:uid="{00000000-0005-0000-0000-00004C820000}"/>
    <cellStyle name="警告文本 3 19 5 6 2" xfId="35564" xr:uid="{00000000-0005-0000-0000-00004D820000}"/>
    <cellStyle name="警告文本 3 19 5 6 3" xfId="35566" xr:uid="{00000000-0005-0000-0000-00004E820000}"/>
    <cellStyle name="警告文本 3 19 5 7" xfId="34247" xr:uid="{00000000-0005-0000-0000-00004F820000}"/>
    <cellStyle name="警告文本 3 19 5 8" xfId="34249" xr:uid="{00000000-0005-0000-0000-000050820000}"/>
    <cellStyle name="警告文本 3 19 5 9" xfId="10121" xr:uid="{00000000-0005-0000-0000-000051820000}"/>
    <cellStyle name="警告文本 3 19 6" xfId="35567" xr:uid="{00000000-0005-0000-0000-000052820000}"/>
    <cellStyle name="警告文本 3 19 6 2" xfId="35568" xr:uid="{00000000-0005-0000-0000-000053820000}"/>
    <cellStyle name="警告文本 3 19 6 2 2" xfId="35569" xr:uid="{00000000-0005-0000-0000-000054820000}"/>
    <cellStyle name="警告文本 3 19 6 2 3" xfId="35570" xr:uid="{00000000-0005-0000-0000-000055820000}"/>
    <cellStyle name="警告文本 3 19 6 3" xfId="35571" xr:uid="{00000000-0005-0000-0000-000056820000}"/>
    <cellStyle name="警告文本 3 19 6 4" xfId="35572" xr:uid="{00000000-0005-0000-0000-000057820000}"/>
    <cellStyle name="警告文本 3 19 6 5" xfId="35574" xr:uid="{00000000-0005-0000-0000-000058820000}"/>
    <cellStyle name="警告文本 3 19 6 6" xfId="35576" xr:uid="{00000000-0005-0000-0000-000059820000}"/>
    <cellStyle name="警告文本 3 19 6 7" xfId="35577" xr:uid="{00000000-0005-0000-0000-00005A820000}"/>
    <cellStyle name="警告文本 3 19 6 8" xfId="35578" xr:uid="{00000000-0005-0000-0000-00005B820000}"/>
    <cellStyle name="警告文本 3 19 7" xfId="35579" xr:uid="{00000000-0005-0000-0000-00005C820000}"/>
    <cellStyle name="警告文本 3 19 8" xfId="35580" xr:uid="{00000000-0005-0000-0000-00005D820000}"/>
    <cellStyle name="警告文本 3 19 9" xfId="35581" xr:uid="{00000000-0005-0000-0000-00005E820000}"/>
    <cellStyle name="警告文本 3 19 9 2" xfId="35582" xr:uid="{00000000-0005-0000-0000-00005F820000}"/>
    <cellStyle name="警告文本 3 19 9 3" xfId="35583" xr:uid="{00000000-0005-0000-0000-000060820000}"/>
    <cellStyle name="警告文本 3 2" xfId="17071" xr:uid="{00000000-0005-0000-0000-000061820000}"/>
    <cellStyle name="警告文本 3 2 10" xfId="29337" xr:uid="{00000000-0005-0000-0000-000062820000}"/>
    <cellStyle name="警告文本 3 2 11" xfId="26095" xr:uid="{00000000-0005-0000-0000-000063820000}"/>
    <cellStyle name="警告文本 3 2 12" xfId="33458" xr:uid="{00000000-0005-0000-0000-000064820000}"/>
    <cellStyle name="警告文本 3 2 13" xfId="33460" xr:uid="{00000000-0005-0000-0000-000065820000}"/>
    <cellStyle name="警告文本 3 2 14" xfId="35584" xr:uid="{00000000-0005-0000-0000-000066820000}"/>
    <cellStyle name="警告文本 3 2 2" xfId="35585" xr:uid="{00000000-0005-0000-0000-000067820000}"/>
    <cellStyle name="警告文本 3 2 3" xfId="35586" xr:uid="{00000000-0005-0000-0000-000068820000}"/>
    <cellStyle name="警告文本 3 2 4" xfId="17087" xr:uid="{00000000-0005-0000-0000-000069820000}"/>
    <cellStyle name="警告文本 3 2 5" xfId="12781" xr:uid="{00000000-0005-0000-0000-00006A820000}"/>
    <cellStyle name="警告文本 3 2 6" xfId="35587" xr:uid="{00000000-0005-0000-0000-00006B820000}"/>
    <cellStyle name="警告文本 3 2 7" xfId="35588" xr:uid="{00000000-0005-0000-0000-00006C820000}"/>
    <cellStyle name="警告文本 3 2 8" xfId="35589" xr:uid="{00000000-0005-0000-0000-00006D820000}"/>
    <cellStyle name="警告文本 3 2 9" xfId="35590" xr:uid="{00000000-0005-0000-0000-00006E820000}"/>
    <cellStyle name="警告文本 3 20" xfId="18821" xr:uid="{00000000-0005-0000-0000-00006F820000}"/>
    <cellStyle name="警告文本 3 20 10" xfId="35591" xr:uid="{00000000-0005-0000-0000-000070820000}"/>
    <cellStyle name="警告文本 3 20 11" xfId="35592" xr:uid="{00000000-0005-0000-0000-000071820000}"/>
    <cellStyle name="警告文本 3 20 12" xfId="35593" xr:uid="{00000000-0005-0000-0000-000072820000}"/>
    <cellStyle name="警告文本 3 20 13" xfId="35594" xr:uid="{00000000-0005-0000-0000-000073820000}"/>
    <cellStyle name="警告文本 3 20 14" xfId="35595" xr:uid="{00000000-0005-0000-0000-000074820000}"/>
    <cellStyle name="警告文本 3 20 2" xfId="34663" xr:uid="{00000000-0005-0000-0000-000075820000}"/>
    <cellStyle name="警告文本 3 20 3" xfId="23173" xr:uid="{00000000-0005-0000-0000-000076820000}"/>
    <cellStyle name="警告文本 3 20 4" xfId="23177" xr:uid="{00000000-0005-0000-0000-000077820000}"/>
    <cellStyle name="警告文本 3 20 5" xfId="23180" xr:uid="{00000000-0005-0000-0000-000078820000}"/>
    <cellStyle name="警告文本 3 20 5 10" xfId="35596" xr:uid="{00000000-0005-0000-0000-000079820000}"/>
    <cellStyle name="警告文本 3 20 5 11" xfId="35597" xr:uid="{00000000-0005-0000-0000-00007A820000}"/>
    <cellStyle name="警告文本 3 20 5 2" xfId="35598" xr:uid="{00000000-0005-0000-0000-00007B820000}"/>
    <cellStyle name="警告文本 3 20 5 2 2" xfId="31303" xr:uid="{00000000-0005-0000-0000-00007C820000}"/>
    <cellStyle name="警告文本 3 20 5 2 2 2" xfId="35599" xr:uid="{00000000-0005-0000-0000-00007D820000}"/>
    <cellStyle name="警告文本 3 20 5 2 2 3" xfId="35600" xr:uid="{00000000-0005-0000-0000-00007E820000}"/>
    <cellStyle name="警告文本 3 20 5 2 3" xfId="31305" xr:uid="{00000000-0005-0000-0000-00007F820000}"/>
    <cellStyle name="警告文本 3 20 5 2 4" xfId="35601" xr:uid="{00000000-0005-0000-0000-000080820000}"/>
    <cellStyle name="警告文本 3 20 5 2 5" xfId="35602" xr:uid="{00000000-0005-0000-0000-000081820000}"/>
    <cellStyle name="警告文本 3 20 5 2 6" xfId="35603" xr:uid="{00000000-0005-0000-0000-000082820000}"/>
    <cellStyle name="警告文本 3 20 5 2 7" xfId="35604" xr:uid="{00000000-0005-0000-0000-000083820000}"/>
    <cellStyle name="警告文本 3 20 5 2 8" xfId="35605" xr:uid="{00000000-0005-0000-0000-000084820000}"/>
    <cellStyle name="警告文本 3 20 5 3" xfId="35606" xr:uid="{00000000-0005-0000-0000-000085820000}"/>
    <cellStyle name="警告文本 3 20 5 4" xfId="35608" xr:uid="{00000000-0005-0000-0000-000086820000}"/>
    <cellStyle name="警告文本 3 20 5 5" xfId="35610" xr:uid="{00000000-0005-0000-0000-000087820000}"/>
    <cellStyle name="警告文本 3 20 5 6" xfId="9099" xr:uid="{00000000-0005-0000-0000-000088820000}"/>
    <cellStyle name="警告文本 3 20 5 6 2" xfId="9615" xr:uid="{00000000-0005-0000-0000-000089820000}"/>
    <cellStyle name="警告文本 3 20 5 6 3" xfId="35611" xr:uid="{00000000-0005-0000-0000-00008A820000}"/>
    <cellStyle name="警告文本 3 20 5 7" xfId="9876" xr:uid="{00000000-0005-0000-0000-00008B820000}"/>
    <cellStyle name="警告文本 3 20 5 8" xfId="10215" xr:uid="{00000000-0005-0000-0000-00008C820000}"/>
    <cellStyle name="警告文本 3 20 5 9" xfId="10186" xr:uid="{00000000-0005-0000-0000-00008D820000}"/>
    <cellStyle name="警告文本 3 20 6" xfId="23183" xr:uid="{00000000-0005-0000-0000-00008E820000}"/>
    <cellStyle name="警告文本 3 20 6 2" xfId="35612" xr:uid="{00000000-0005-0000-0000-00008F820000}"/>
    <cellStyle name="警告文本 3 20 6 2 2" xfId="5925" xr:uid="{00000000-0005-0000-0000-000090820000}"/>
    <cellStyle name="警告文本 3 20 6 2 3" xfId="687" xr:uid="{00000000-0005-0000-0000-000091820000}"/>
    <cellStyle name="警告文本 3 20 6 3" xfId="25627" xr:uid="{00000000-0005-0000-0000-000092820000}"/>
    <cellStyle name="警告文本 3 20 6 4" xfId="35613" xr:uid="{00000000-0005-0000-0000-000093820000}"/>
    <cellStyle name="警告文本 3 20 6 5" xfId="35614" xr:uid="{00000000-0005-0000-0000-000094820000}"/>
    <cellStyle name="警告文本 3 20 6 6" xfId="35615" xr:uid="{00000000-0005-0000-0000-000095820000}"/>
    <cellStyle name="警告文本 3 20 6 7" xfId="35616" xr:uid="{00000000-0005-0000-0000-000096820000}"/>
    <cellStyle name="警告文本 3 20 6 8" xfId="35617" xr:uid="{00000000-0005-0000-0000-000097820000}"/>
    <cellStyle name="警告文本 3 20 7" xfId="23186" xr:uid="{00000000-0005-0000-0000-000098820000}"/>
    <cellStyle name="警告文本 3 20 8" xfId="35618" xr:uid="{00000000-0005-0000-0000-000099820000}"/>
    <cellStyle name="警告文本 3 20 9" xfId="35619" xr:uid="{00000000-0005-0000-0000-00009A820000}"/>
    <cellStyle name="警告文本 3 20 9 2" xfId="35620" xr:uid="{00000000-0005-0000-0000-00009B820000}"/>
    <cellStyle name="警告文本 3 20 9 3" xfId="35621" xr:uid="{00000000-0005-0000-0000-00009C820000}"/>
    <cellStyle name="警告文本 3 3" xfId="17095" xr:uid="{00000000-0005-0000-0000-00009D820000}"/>
    <cellStyle name="警告文本 3 3 10" xfId="28688" xr:uid="{00000000-0005-0000-0000-00009E820000}"/>
    <cellStyle name="警告文本 3 3 11" xfId="33057" xr:uid="{00000000-0005-0000-0000-00009F820000}"/>
    <cellStyle name="警告文本 3 3 12" xfId="33059" xr:uid="{00000000-0005-0000-0000-0000A0820000}"/>
    <cellStyle name="警告文本 3 3 13" xfId="33061" xr:uid="{00000000-0005-0000-0000-0000A1820000}"/>
    <cellStyle name="警告文本 3 3 14" xfId="33083" xr:uid="{00000000-0005-0000-0000-0000A2820000}"/>
    <cellStyle name="警告文本 3 3 2" xfId="16073" xr:uid="{00000000-0005-0000-0000-0000A3820000}"/>
    <cellStyle name="警告文本 3 3 3" xfId="16079" xr:uid="{00000000-0005-0000-0000-0000A4820000}"/>
    <cellStyle name="警告文本 3 3 4" xfId="16085" xr:uid="{00000000-0005-0000-0000-0000A5820000}"/>
    <cellStyle name="警告文本 3 3 5" xfId="16091" xr:uid="{00000000-0005-0000-0000-0000A6820000}"/>
    <cellStyle name="警告文本 3 3 6" xfId="16097" xr:uid="{00000000-0005-0000-0000-0000A7820000}"/>
    <cellStyle name="警告文本 3 3 7" xfId="35622" xr:uid="{00000000-0005-0000-0000-0000A8820000}"/>
    <cellStyle name="警告文本 3 3 8" xfId="35623" xr:uid="{00000000-0005-0000-0000-0000A9820000}"/>
    <cellStyle name="警告文本 3 3 9" xfId="35624" xr:uid="{00000000-0005-0000-0000-0000AA820000}"/>
    <cellStyle name="警告文本 3 4" xfId="17100" xr:uid="{00000000-0005-0000-0000-0000AB820000}"/>
    <cellStyle name="警告文本 3 4 10" xfId="13012" xr:uid="{00000000-0005-0000-0000-0000AC820000}"/>
    <cellStyle name="警告文本 3 4 11" xfId="21438" xr:uid="{00000000-0005-0000-0000-0000AD820000}"/>
    <cellStyle name="警告文本 3 4 12" xfId="29379" xr:uid="{00000000-0005-0000-0000-0000AE820000}"/>
    <cellStyle name="警告文本 3 4 13" xfId="33387" xr:uid="{00000000-0005-0000-0000-0000AF820000}"/>
    <cellStyle name="警告文本 3 4 14" xfId="35625" xr:uid="{00000000-0005-0000-0000-0000B0820000}"/>
    <cellStyle name="警告文本 3 4 2" xfId="18810" xr:uid="{00000000-0005-0000-0000-0000B1820000}"/>
    <cellStyle name="警告文本 3 4 3" xfId="18814" xr:uid="{00000000-0005-0000-0000-0000B2820000}"/>
    <cellStyle name="警告文本 3 4 4" xfId="18818" xr:uid="{00000000-0005-0000-0000-0000B3820000}"/>
    <cellStyle name="警告文本 3 4 5" xfId="24405" xr:uid="{00000000-0005-0000-0000-0000B4820000}"/>
    <cellStyle name="警告文本 3 4 6" xfId="24407" xr:uid="{00000000-0005-0000-0000-0000B5820000}"/>
    <cellStyle name="警告文本 3 4 7" xfId="24411" xr:uid="{00000000-0005-0000-0000-0000B6820000}"/>
    <cellStyle name="警告文本 3 4 8" xfId="24413" xr:uid="{00000000-0005-0000-0000-0000B7820000}"/>
    <cellStyle name="警告文本 3 4 9" xfId="11697" xr:uid="{00000000-0005-0000-0000-0000B8820000}"/>
    <cellStyle name="警告文本 3 5" xfId="17103" xr:uid="{00000000-0005-0000-0000-0000B9820000}"/>
    <cellStyle name="警告文本 3 6" xfId="17106" xr:uid="{00000000-0005-0000-0000-0000BA820000}"/>
    <cellStyle name="警告文本 3 7" xfId="24426" xr:uid="{00000000-0005-0000-0000-0000BB820000}"/>
    <cellStyle name="警告文本 3 8" xfId="24429" xr:uid="{00000000-0005-0000-0000-0000BC820000}"/>
    <cellStyle name="警告文本 3 9" xfId="35093" xr:uid="{00000000-0005-0000-0000-0000BD820000}"/>
    <cellStyle name="警告文本 4" xfId="35626" xr:uid="{00000000-0005-0000-0000-0000BE820000}"/>
    <cellStyle name="警告文本 4 10" xfId="9321" xr:uid="{00000000-0005-0000-0000-0000BF820000}"/>
    <cellStyle name="警告文本 4 11" xfId="9333" xr:uid="{00000000-0005-0000-0000-0000C0820000}"/>
    <cellStyle name="警告文本 4 12" xfId="9341" xr:uid="{00000000-0005-0000-0000-0000C1820000}"/>
    <cellStyle name="警告文本 4 13" xfId="35627" xr:uid="{00000000-0005-0000-0000-0000C2820000}"/>
    <cellStyle name="警告文本 4 14" xfId="35628" xr:uid="{00000000-0005-0000-0000-0000C3820000}"/>
    <cellStyle name="警告文本 4 15" xfId="35630" xr:uid="{00000000-0005-0000-0000-0000C4820000}"/>
    <cellStyle name="警告文本 4 16" xfId="35631" xr:uid="{00000000-0005-0000-0000-0000C5820000}"/>
    <cellStyle name="警告文本 4 17" xfId="35632" xr:uid="{00000000-0005-0000-0000-0000C6820000}"/>
    <cellStyle name="警告文本 4 17 10" xfId="35634" xr:uid="{00000000-0005-0000-0000-0000C7820000}"/>
    <cellStyle name="警告文本 4 17 11" xfId="35635" xr:uid="{00000000-0005-0000-0000-0000C8820000}"/>
    <cellStyle name="警告文本 4 17 12" xfId="35636" xr:uid="{00000000-0005-0000-0000-0000C9820000}"/>
    <cellStyle name="警告文本 4 17 13" xfId="35637" xr:uid="{00000000-0005-0000-0000-0000CA820000}"/>
    <cellStyle name="警告文本 4 17 14" xfId="35638" xr:uid="{00000000-0005-0000-0000-0000CB820000}"/>
    <cellStyle name="警告文本 4 17 2" xfId="35639" xr:uid="{00000000-0005-0000-0000-0000CC820000}"/>
    <cellStyle name="警告文本 4 17 3" xfId="35640" xr:uid="{00000000-0005-0000-0000-0000CD820000}"/>
    <cellStyle name="警告文本 4 17 4" xfId="35641" xr:uid="{00000000-0005-0000-0000-0000CE820000}"/>
    <cellStyle name="警告文本 4 17 5" xfId="35642" xr:uid="{00000000-0005-0000-0000-0000CF820000}"/>
    <cellStyle name="警告文本 4 17 5 10" xfId="35643" xr:uid="{00000000-0005-0000-0000-0000D0820000}"/>
    <cellStyle name="警告文本 4 17 5 11" xfId="35644" xr:uid="{00000000-0005-0000-0000-0000D1820000}"/>
    <cellStyle name="警告文本 4 17 5 2" xfId="35645" xr:uid="{00000000-0005-0000-0000-0000D2820000}"/>
    <cellStyle name="警告文本 4 17 5 2 2" xfId="35646" xr:uid="{00000000-0005-0000-0000-0000D3820000}"/>
    <cellStyle name="警告文本 4 17 5 2 2 2" xfId="24510" xr:uid="{00000000-0005-0000-0000-0000D4820000}"/>
    <cellStyle name="警告文本 4 17 5 2 2 3" xfId="29892" xr:uid="{00000000-0005-0000-0000-0000D5820000}"/>
    <cellStyle name="警告文本 4 17 5 2 3" xfId="35647" xr:uid="{00000000-0005-0000-0000-0000D6820000}"/>
    <cellStyle name="警告文本 4 17 5 2 4" xfId="35648" xr:uid="{00000000-0005-0000-0000-0000D7820000}"/>
    <cellStyle name="警告文本 4 17 5 2 5" xfId="35649" xr:uid="{00000000-0005-0000-0000-0000D8820000}"/>
    <cellStyle name="警告文本 4 17 5 2 6" xfId="35650" xr:uid="{00000000-0005-0000-0000-0000D9820000}"/>
    <cellStyle name="警告文本 4 17 5 2 7" xfId="35651" xr:uid="{00000000-0005-0000-0000-0000DA820000}"/>
    <cellStyle name="警告文本 4 17 5 2 8" xfId="35652" xr:uid="{00000000-0005-0000-0000-0000DB820000}"/>
    <cellStyle name="警告文本 4 17 5 3" xfId="35653" xr:uid="{00000000-0005-0000-0000-0000DC820000}"/>
    <cellStyle name="警告文本 4 17 5 4" xfId="35654" xr:uid="{00000000-0005-0000-0000-0000DD820000}"/>
    <cellStyle name="警告文本 4 17 5 5" xfId="35655" xr:uid="{00000000-0005-0000-0000-0000DE820000}"/>
    <cellStyle name="警告文本 4 17 5 6" xfId="35656" xr:uid="{00000000-0005-0000-0000-0000DF820000}"/>
    <cellStyle name="警告文本 4 17 5 6 2" xfId="35657" xr:uid="{00000000-0005-0000-0000-0000E0820000}"/>
    <cellStyle name="警告文本 4 17 5 6 3" xfId="35658" xr:uid="{00000000-0005-0000-0000-0000E1820000}"/>
    <cellStyle name="警告文本 4 17 5 7" xfId="35659" xr:uid="{00000000-0005-0000-0000-0000E2820000}"/>
    <cellStyle name="警告文本 4 17 5 8" xfId="35660" xr:uid="{00000000-0005-0000-0000-0000E3820000}"/>
    <cellStyle name="警告文本 4 17 5 9" xfId="35661" xr:uid="{00000000-0005-0000-0000-0000E4820000}"/>
    <cellStyle name="警告文本 4 17 6" xfId="35662" xr:uid="{00000000-0005-0000-0000-0000E5820000}"/>
    <cellStyle name="警告文本 4 17 6 2" xfId="11825" xr:uid="{00000000-0005-0000-0000-0000E6820000}"/>
    <cellStyle name="警告文本 4 17 6 2 2" xfId="35663" xr:uid="{00000000-0005-0000-0000-0000E7820000}"/>
    <cellStyle name="警告文本 4 17 6 2 3" xfId="34238" xr:uid="{00000000-0005-0000-0000-0000E8820000}"/>
    <cellStyle name="警告文本 4 17 6 3" xfId="11834" xr:uid="{00000000-0005-0000-0000-0000E9820000}"/>
    <cellStyle name="警告文本 4 17 6 4" xfId="11839" xr:uid="{00000000-0005-0000-0000-0000EA820000}"/>
    <cellStyle name="警告文本 4 17 6 5" xfId="11845" xr:uid="{00000000-0005-0000-0000-0000EB820000}"/>
    <cellStyle name="警告文本 4 17 6 6" xfId="35665" xr:uid="{00000000-0005-0000-0000-0000EC820000}"/>
    <cellStyle name="警告文本 4 17 6 7" xfId="35666" xr:uid="{00000000-0005-0000-0000-0000ED820000}"/>
    <cellStyle name="警告文本 4 17 6 8" xfId="9366" xr:uid="{00000000-0005-0000-0000-0000EE820000}"/>
    <cellStyle name="警告文本 4 17 7" xfId="35667" xr:uid="{00000000-0005-0000-0000-0000EF820000}"/>
    <cellStyle name="警告文本 4 17 8" xfId="35668" xr:uid="{00000000-0005-0000-0000-0000F0820000}"/>
    <cellStyle name="警告文本 4 17 9" xfId="35669" xr:uid="{00000000-0005-0000-0000-0000F1820000}"/>
    <cellStyle name="警告文本 4 17 9 2" xfId="9693" xr:uid="{00000000-0005-0000-0000-0000F2820000}"/>
    <cellStyle name="警告文本 4 17 9 3" xfId="9700" xr:uid="{00000000-0005-0000-0000-0000F3820000}"/>
    <cellStyle name="警告文本 4 18" xfId="35670" xr:uid="{00000000-0005-0000-0000-0000F4820000}"/>
    <cellStyle name="警告文本 4 18 10" xfId="29642" xr:uid="{00000000-0005-0000-0000-0000F5820000}"/>
    <cellStyle name="警告文本 4 18 11" xfId="29644" xr:uid="{00000000-0005-0000-0000-0000F6820000}"/>
    <cellStyle name="警告文本 4 18 12" xfId="29646" xr:uid="{00000000-0005-0000-0000-0000F7820000}"/>
    <cellStyle name="警告文本 4 18 13" xfId="35671" xr:uid="{00000000-0005-0000-0000-0000F8820000}"/>
    <cellStyle name="警告文本 4 18 14" xfId="35672" xr:uid="{00000000-0005-0000-0000-0000F9820000}"/>
    <cellStyle name="警告文本 4 18 2" xfId="35673" xr:uid="{00000000-0005-0000-0000-0000FA820000}"/>
    <cellStyle name="警告文本 4 18 3" xfId="35674" xr:uid="{00000000-0005-0000-0000-0000FB820000}"/>
    <cellStyle name="警告文本 4 18 4" xfId="35675" xr:uid="{00000000-0005-0000-0000-0000FC820000}"/>
    <cellStyle name="警告文本 4 18 5" xfId="35676" xr:uid="{00000000-0005-0000-0000-0000FD820000}"/>
    <cellStyle name="警告文本 4 18 5 10" xfId="35677" xr:uid="{00000000-0005-0000-0000-0000FE820000}"/>
    <cellStyle name="警告文本 4 18 5 11" xfId="35678" xr:uid="{00000000-0005-0000-0000-0000FF820000}"/>
    <cellStyle name="警告文本 4 18 5 2" xfId="15476" xr:uid="{00000000-0005-0000-0000-000000830000}"/>
    <cellStyle name="警告文本 4 18 5 2 2" xfId="13028" xr:uid="{00000000-0005-0000-0000-000001830000}"/>
    <cellStyle name="警告文本 4 18 5 2 2 2" xfId="12146" xr:uid="{00000000-0005-0000-0000-000002830000}"/>
    <cellStyle name="警告文本 4 18 5 2 2 3" xfId="12153" xr:uid="{00000000-0005-0000-0000-000003830000}"/>
    <cellStyle name="警告文本 4 18 5 2 3" xfId="13041" xr:uid="{00000000-0005-0000-0000-000004830000}"/>
    <cellStyle name="警告文本 4 18 5 2 4" xfId="13043" xr:uid="{00000000-0005-0000-0000-000005830000}"/>
    <cellStyle name="警告文本 4 18 5 2 5" xfId="817" xr:uid="{00000000-0005-0000-0000-000006830000}"/>
    <cellStyle name="警告文本 4 18 5 2 6" xfId="912" xr:uid="{00000000-0005-0000-0000-000007830000}"/>
    <cellStyle name="警告文本 4 18 5 2 7" xfId="947" xr:uid="{00000000-0005-0000-0000-000008830000}"/>
    <cellStyle name="警告文本 4 18 5 2 8" xfId="983" xr:uid="{00000000-0005-0000-0000-000009830000}"/>
    <cellStyle name="警告文本 4 18 5 3" xfId="15479" xr:uid="{00000000-0005-0000-0000-00000A830000}"/>
    <cellStyle name="警告文本 4 18 5 4" xfId="35679" xr:uid="{00000000-0005-0000-0000-00000B830000}"/>
    <cellStyle name="警告文本 4 18 5 5" xfId="35680" xr:uid="{00000000-0005-0000-0000-00000C830000}"/>
    <cellStyle name="警告文本 4 18 5 6" xfId="35681" xr:uid="{00000000-0005-0000-0000-00000D830000}"/>
    <cellStyle name="警告文本 4 18 5 6 2" xfId="35682" xr:uid="{00000000-0005-0000-0000-00000E830000}"/>
    <cellStyle name="警告文本 4 18 5 6 3" xfId="35683" xr:uid="{00000000-0005-0000-0000-00000F830000}"/>
    <cellStyle name="警告文本 4 18 5 7" xfId="35684" xr:uid="{00000000-0005-0000-0000-000010830000}"/>
    <cellStyle name="警告文本 4 18 5 8" xfId="35685" xr:uid="{00000000-0005-0000-0000-000011830000}"/>
    <cellStyle name="警告文本 4 18 5 9" xfId="9506" xr:uid="{00000000-0005-0000-0000-000012830000}"/>
    <cellStyle name="警告文本 4 18 6" xfId="35686" xr:uid="{00000000-0005-0000-0000-000013830000}"/>
    <cellStyle name="警告文本 4 18 6 2" xfId="17739" xr:uid="{00000000-0005-0000-0000-000014830000}"/>
    <cellStyle name="警告文本 4 18 6 2 2" xfId="35687" xr:uid="{00000000-0005-0000-0000-000015830000}"/>
    <cellStyle name="警告文本 4 18 6 2 3" xfId="35688" xr:uid="{00000000-0005-0000-0000-000016830000}"/>
    <cellStyle name="警告文本 4 18 6 3" xfId="35689" xr:uid="{00000000-0005-0000-0000-000017830000}"/>
    <cellStyle name="警告文本 4 18 6 4" xfId="35690" xr:uid="{00000000-0005-0000-0000-000018830000}"/>
    <cellStyle name="警告文本 4 18 6 5" xfId="35691" xr:uid="{00000000-0005-0000-0000-000019830000}"/>
    <cellStyle name="警告文本 4 18 6 6" xfId="35692" xr:uid="{00000000-0005-0000-0000-00001A830000}"/>
    <cellStyle name="警告文本 4 18 6 7" xfId="35693" xr:uid="{00000000-0005-0000-0000-00001B830000}"/>
    <cellStyle name="警告文本 4 18 6 8" xfId="35694" xr:uid="{00000000-0005-0000-0000-00001C830000}"/>
    <cellStyle name="警告文本 4 18 7" xfId="35695" xr:uid="{00000000-0005-0000-0000-00001D830000}"/>
    <cellStyle name="警告文本 4 18 8" xfId="35696" xr:uid="{00000000-0005-0000-0000-00001E830000}"/>
    <cellStyle name="警告文本 4 18 9" xfId="35697" xr:uid="{00000000-0005-0000-0000-00001F830000}"/>
    <cellStyle name="警告文本 4 18 9 2" xfId="35698" xr:uid="{00000000-0005-0000-0000-000020830000}"/>
    <cellStyle name="警告文本 4 18 9 3" xfId="35699" xr:uid="{00000000-0005-0000-0000-000021830000}"/>
    <cellStyle name="警告文本 4 19" xfId="35700" xr:uid="{00000000-0005-0000-0000-000022830000}"/>
    <cellStyle name="警告文本 4 19 10" xfId="35701" xr:uid="{00000000-0005-0000-0000-000023830000}"/>
    <cellStyle name="警告文本 4 19 11" xfId="35702" xr:uid="{00000000-0005-0000-0000-000024830000}"/>
    <cellStyle name="警告文本 4 19 12" xfId="31900" xr:uid="{00000000-0005-0000-0000-000025830000}"/>
    <cellStyle name="警告文本 4 19 13" xfId="17926" xr:uid="{00000000-0005-0000-0000-000026830000}"/>
    <cellStyle name="警告文本 4 19 14" xfId="17930" xr:uid="{00000000-0005-0000-0000-000027830000}"/>
    <cellStyle name="警告文本 4 19 2" xfId="35703" xr:uid="{00000000-0005-0000-0000-000028830000}"/>
    <cellStyle name="警告文本 4 19 3" xfId="35704" xr:uid="{00000000-0005-0000-0000-000029830000}"/>
    <cellStyle name="警告文本 4 19 4" xfId="35705" xr:uid="{00000000-0005-0000-0000-00002A830000}"/>
    <cellStyle name="警告文本 4 19 5" xfId="35706" xr:uid="{00000000-0005-0000-0000-00002B830000}"/>
    <cellStyle name="警告文本 4 19 5 10" xfId="35707" xr:uid="{00000000-0005-0000-0000-00002C830000}"/>
    <cellStyle name="警告文本 4 19 5 11" xfId="17847" xr:uid="{00000000-0005-0000-0000-00002D830000}"/>
    <cellStyle name="警告文本 4 19 5 2" xfId="12134" xr:uid="{00000000-0005-0000-0000-00002E830000}"/>
    <cellStyle name="警告文本 4 19 5 2 2" xfId="35708" xr:uid="{00000000-0005-0000-0000-00002F830000}"/>
    <cellStyle name="警告文本 4 19 5 2 2 2" xfId="35710" xr:uid="{00000000-0005-0000-0000-000030830000}"/>
    <cellStyle name="警告文本 4 19 5 2 2 3" xfId="35711" xr:uid="{00000000-0005-0000-0000-000031830000}"/>
    <cellStyle name="警告文本 4 19 5 2 3" xfId="35712" xr:uid="{00000000-0005-0000-0000-000032830000}"/>
    <cellStyle name="警告文本 4 19 5 2 4" xfId="35713" xr:uid="{00000000-0005-0000-0000-000033830000}"/>
    <cellStyle name="警告文本 4 19 5 2 5" xfId="26066" xr:uid="{00000000-0005-0000-0000-000034830000}"/>
    <cellStyle name="警告文本 4 19 5 2 6" xfId="35714" xr:uid="{00000000-0005-0000-0000-000035830000}"/>
    <cellStyle name="警告文本 4 19 5 2 7" xfId="35715" xr:uid="{00000000-0005-0000-0000-000036830000}"/>
    <cellStyle name="警告文本 4 19 5 2 8" xfId="35716" xr:uid="{00000000-0005-0000-0000-000037830000}"/>
    <cellStyle name="警告文本 4 19 5 3" xfId="12138" xr:uid="{00000000-0005-0000-0000-000038830000}"/>
    <cellStyle name="警告文本 4 19 5 4" xfId="35717" xr:uid="{00000000-0005-0000-0000-000039830000}"/>
    <cellStyle name="警告文本 4 19 5 5" xfId="26121" xr:uid="{00000000-0005-0000-0000-00003A830000}"/>
    <cellStyle name="警告文本 4 19 5 6" xfId="26125" xr:uid="{00000000-0005-0000-0000-00003B830000}"/>
    <cellStyle name="警告文本 4 19 5 6 2" xfId="25206" xr:uid="{00000000-0005-0000-0000-00003C830000}"/>
    <cellStyle name="警告文本 4 19 5 6 3" xfId="25209" xr:uid="{00000000-0005-0000-0000-00003D830000}"/>
    <cellStyle name="警告文本 4 19 5 7" xfId="31775" xr:uid="{00000000-0005-0000-0000-00003E830000}"/>
    <cellStyle name="警告文本 4 19 5 8" xfId="31777" xr:uid="{00000000-0005-0000-0000-00003F830000}"/>
    <cellStyle name="警告文本 4 19 5 9" xfId="10001" xr:uid="{00000000-0005-0000-0000-000040830000}"/>
    <cellStyle name="警告文本 4 19 6" xfId="35718" xr:uid="{00000000-0005-0000-0000-000041830000}"/>
    <cellStyle name="警告文本 4 19 6 2" xfId="35719" xr:uid="{00000000-0005-0000-0000-000042830000}"/>
    <cellStyle name="警告文本 4 19 6 2 2" xfId="35720" xr:uid="{00000000-0005-0000-0000-000043830000}"/>
    <cellStyle name="警告文本 4 19 6 2 3" xfId="35721" xr:uid="{00000000-0005-0000-0000-000044830000}"/>
    <cellStyle name="警告文本 4 19 6 3" xfId="35722" xr:uid="{00000000-0005-0000-0000-000045830000}"/>
    <cellStyle name="警告文本 4 19 6 4" xfId="35723" xr:uid="{00000000-0005-0000-0000-000046830000}"/>
    <cellStyle name="警告文本 4 19 6 5" xfId="35724" xr:uid="{00000000-0005-0000-0000-000047830000}"/>
    <cellStyle name="警告文本 4 19 6 6" xfId="35725" xr:uid="{00000000-0005-0000-0000-000048830000}"/>
    <cellStyle name="警告文本 4 19 6 7" xfId="35726" xr:uid="{00000000-0005-0000-0000-000049830000}"/>
    <cellStyle name="警告文本 4 19 6 8" xfId="35727" xr:uid="{00000000-0005-0000-0000-00004A830000}"/>
    <cellStyle name="警告文本 4 19 7" xfId="35728" xr:uid="{00000000-0005-0000-0000-00004B830000}"/>
    <cellStyle name="警告文本 4 19 8" xfId="35729" xr:uid="{00000000-0005-0000-0000-00004C830000}"/>
    <cellStyle name="警告文本 4 19 9" xfId="35730" xr:uid="{00000000-0005-0000-0000-00004D830000}"/>
    <cellStyle name="警告文本 4 19 9 2" xfId="35731" xr:uid="{00000000-0005-0000-0000-00004E830000}"/>
    <cellStyle name="警告文本 4 19 9 3" xfId="35732" xr:uid="{00000000-0005-0000-0000-00004F830000}"/>
    <cellStyle name="警告文本 4 2" xfId="35733" xr:uid="{00000000-0005-0000-0000-000050830000}"/>
    <cellStyle name="警告文本 4 20" xfId="35629" xr:uid="{00000000-0005-0000-0000-000051830000}"/>
    <cellStyle name="警告文本 4 20 10" xfId="35734" xr:uid="{00000000-0005-0000-0000-000052830000}"/>
    <cellStyle name="警告文本 4 20 11" xfId="14293" xr:uid="{00000000-0005-0000-0000-000053830000}"/>
    <cellStyle name="警告文本 4 20 12" xfId="19774" xr:uid="{00000000-0005-0000-0000-000054830000}"/>
    <cellStyle name="警告文本 4 20 13" xfId="35735" xr:uid="{00000000-0005-0000-0000-000055830000}"/>
    <cellStyle name="警告文本 4 20 14" xfId="30260" xr:uid="{00000000-0005-0000-0000-000056830000}"/>
    <cellStyle name="警告文本 4 20 2" xfId="3715" xr:uid="{00000000-0005-0000-0000-000057830000}"/>
    <cellStyle name="警告文本 4 20 3" xfId="3727" xr:uid="{00000000-0005-0000-0000-000058830000}"/>
    <cellStyle name="警告文本 4 20 4" xfId="11155" xr:uid="{00000000-0005-0000-0000-000059830000}"/>
    <cellStyle name="警告文本 4 20 5" xfId="35737" xr:uid="{00000000-0005-0000-0000-00005A830000}"/>
    <cellStyle name="警告文本 4 20 5 10" xfId="25771" xr:uid="{00000000-0005-0000-0000-00005B830000}"/>
    <cellStyle name="警告文本 4 20 5 11" xfId="35738" xr:uid="{00000000-0005-0000-0000-00005C830000}"/>
    <cellStyle name="警告文本 4 20 5 2" xfId="35739" xr:uid="{00000000-0005-0000-0000-00005D830000}"/>
    <cellStyle name="警告文本 4 20 5 2 2" xfId="27493" xr:uid="{00000000-0005-0000-0000-00005E830000}"/>
    <cellStyle name="警告文本 4 20 5 2 2 2" xfId="10747" xr:uid="{00000000-0005-0000-0000-00005F830000}"/>
    <cellStyle name="警告文本 4 20 5 2 2 3" xfId="10751" xr:uid="{00000000-0005-0000-0000-000060830000}"/>
    <cellStyle name="警告文本 4 20 5 2 3" xfId="27495" xr:uid="{00000000-0005-0000-0000-000061830000}"/>
    <cellStyle name="警告文本 4 20 5 2 4" xfId="27497" xr:uid="{00000000-0005-0000-0000-000062830000}"/>
    <cellStyle name="警告文本 4 20 5 2 5" xfId="35740" xr:uid="{00000000-0005-0000-0000-000063830000}"/>
    <cellStyle name="警告文本 4 20 5 2 6" xfId="35741" xr:uid="{00000000-0005-0000-0000-000064830000}"/>
    <cellStyle name="警告文本 4 20 5 2 7" xfId="35742" xr:uid="{00000000-0005-0000-0000-000065830000}"/>
    <cellStyle name="警告文本 4 20 5 2 8" xfId="35743" xr:uid="{00000000-0005-0000-0000-000066830000}"/>
    <cellStyle name="警告文本 4 20 5 3" xfId="35744" xr:uid="{00000000-0005-0000-0000-000067830000}"/>
    <cellStyle name="警告文本 4 20 5 4" xfId="35745" xr:uid="{00000000-0005-0000-0000-000068830000}"/>
    <cellStyle name="警告文本 4 20 5 5" xfId="35746" xr:uid="{00000000-0005-0000-0000-000069830000}"/>
    <cellStyle name="警告文本 4 20 5 6" xfId="35747" xr:uid="{00000000-0005-0000-0000-00006A830000}"/>
    <cellStyle name="警告文本 4 20 5 6 2" xfId="35748" xr:uid="{00000000-0005-0000-0000-00006B830000}"/>
    <cellStyle name="警告文本 4 20 5 6 3" xfId="35749" xr:uid="{00000000-0005-0000-0000-00006C830000}"/>
    <cellStyle name="警告文本 4 20 5 7" xfId="35750" xr:uid="{00000000-0005-0000-0000-00006D830000}"/>
    <cellStyle name="警告文本 4 20 5 8" xfId="35751" xr:uid="{00000000-0005-0000-0000-00006E830000}"/>
    <cellStyle name="警告文本 4 20 5 9" xfId="35752" xr:uid="{00000000-0005-0000-0000-00006F830000}"/>
    <cellStyle name="警告文本 4 20 6" xfId="35755" xr:uid="{00000000-0005-0000-0000-000070830000}"/>
    <cellStyle name="警告文本 4 20 6 2" xfId="35756" xr:uid="{00000000-0005-0000-0000-000071830000}"/>
    <cellStyle name="警告文本 4 20 6 2 2" xfId="8365" xr:uid="{00000000-0005-0000-0000-000072830000}"/>
    <cellStyle name="警告文本 4 20 6 2 3" xfId="8357" xr:uid="{00000000-0005-0000-0000-000073830000}"/>
    <cellStyle name="警告文本 4 20 6 3" xfId="35757" xr:uid="{00000000-0005-0000-0000-000074830000}"/>
    <cellStyle name="警告文本 4 20 6 4" xfId="35758" xr:uid="{00000000-0005-0000-0000-000075830000}"/>
    <cellStyle name="警告文本 4 20 6 5" xfId="35759" xr:uid="{00000000-0005-0000-0000-000076830000}"/>
    <cellStyle name="警告文本 4 20 6 6" xfId="35760" xr:uid="{00000000-0005-0000-0000-000077830000}"/>
    <cellStyle name="警告文本 4 20 6 7" xfId="19793" xr:uid="{00000000-0005-0000-0000-000078830000}"/>
    <cellStyle name="警告文本 4 20 6 8" xfId="19795" xr:uid="{00000000-0005-0000-0000-000079830000}"/>
    <cellStyle name="警告文本 4 20 7" xfId="35763" xr:uid="{00000000-0005-0000-0000-00007A830000}"/>
    <cellStyle name="警告文本 4 20 8" xfId="32046" xr:uid="{00000000-0005-0000-0000-00007B830000}"/>
    <cellStyle name="警告文本 4 20 9" xfId="32050" xr:uid="{00000000-0005-0000-0000-00007C830000}"/>
    <cellStyle name="警告文本 4 20 9 2" xfId="35764" xr:uid="{00000000-0005-0000-0000-00007D830000}"/>
    <cellStyle name="警告文本 4 20 9 3" xfId="35765" xr:uid="{00000000-0005-0000-0000-00007E830000}"/>
    <cellStyle name="警告文本 4 3" xfId="35766" xr:uid="{00000000-0005-0000-0000-00007F830000}"/>
    <cellStyle name="警告文本 4 4" xfId="35767" xr:uid="{00000000-0005-0000-0000-000080830000}"/>
    <cellStyle name="警告文本 4 5" xfId="35768" xr:uid="{00000000-0005-0000-0000-000081830000}"/>
    <cellStyle name="警告文本 4 6" xfId="35769" xr:uid="{00000000-0005-0000-0000-000082830000}"/>
    <cellStyle name="警告文本 4 7" xfId="35770" xr:uid="{00000000-0005-0000-0000-000083830000}"/>
    <cellStyle name="警告文本 4 8" xfId="35771" xr:uid="{00000000-0005-0000-0000-000084830000}"/>
    <cellStyle name="警告文本 4 9" xfId="35772" xr:uid="{00000000-0005-0000-0000-000085830000}"/>
    <cellStyle name="警告文本 5" xfId="35773" xr:uid="{00000000-0005-0000-0000-000086830000}"/>
    <cellStyle name="警告文本 5 10" xfId="34038" xr:uid="{00000000-0005-0000-0000-000087830000}"/>
    <cellStyle name="警告文本 5 11" xfId="35774" xr:uid="{00000000-0005-0000-0000-000088830000}"/>
    <cellStyle name="警告文本 5 12" xfId="35775" xr:uid="{00000000-0005-0000-0000-000089830000}"/>
    <cellStyle name="警告文本 5 13" xfId="35776" xr:uid="{00000000-0005-0000-0000-00008A830000}"/>
    <cellStyle name="警告文本 5 14" xfId="35777" xr:uid="{00000000-0005-0000-0000-00008B830000}"/>
    <cellStyle name="警告文本 5 2" xfId="35779" xr:uid="{00000000-0005-0000-0000-00008C830000}"/>
    <cellStyle name="警告文本 5 3" xfId="35781" xr:uid="{00000000-0005-0000-0000-00008D830000}"/>
    <cellStyle name="警告文本 5 4" xfId="35783" xr:uid="{00000000-0005-0000-0000-00008E830000}"/>
    <cellStyle name="警告文本 5 5" xfId="35785" xr:uid="{00000000-0005-0000-0000-00008F830000}"/>
    <cellStyle name="警告文本 5 6" xfId="35786" xr:uid="{00000000-0005-0000-0000-000090830000}"/>
    <cellStyle name="警告文本 5 7" xfId="35787" xr:uid="{00000000-0005-0000-0000-000091830000}"/>
    <cellStyle name="警告文本 5 8" xfId="35788" xr:uid="{00000000-0005-0000-0000-000092830000}"/>
    <cellStyle name="警告文本 5 9" xfId="35789" xr:uid="{00000000-0005-0000-0000-000093830000}"/>
    <cellStyle name="警告文本 6" xfId="35790" xr:uid="{00000000-0005-0000-0000-000094830000}"/>
    <cellStyle name="警告文本 6 10" xfId="35792" xr:uid="{00000000-0005-0000-0000-000095830000}"/>
    <cellStyle name="警告文本 6 11" xfId="35794" xr:uid="{00000000-0005-0000-0000-000096830000}"/>
    <cellStyle name="警告文本 6 12" xfId="35796" xr:uid="{00000000-0005-0000-0000-000097830000}"/>
    <cellStyle name="警告文本 6 13" xfId="35798" xr:uid="{00000000-0005-0000-0000-000098830000}"/>
    <cellStyle name="警告文本 6 14" xfId="35800" xr:uid="{00000000-0005-0000-0000-000099830000}"/>
    <cellStyle name="警告文本 6 2" xfId="23426" xr:uid="{00000000-0005-0000-0000-00009A830000}"/>
    <cellStyle name="警告文本 6 3" xfId="23428" xr:uid="{00000000-0005-0000-0000-00009B830000}"/>
    <cellStyle name="警告文本 6 4" xfId="10711" xr:uid="{00000000-0005-0000-0000-00009C830000}"/>
    <cellStyle name="警告文本 6 5" xfId="10716" xr:uid="{00000000-0005-0000-0000-00009D830000}"/>
    <cellStyle name="警告文本 6 6" xfId="35102" xr:uid="{00000000-0005-0000-0000-00009E830000}"/>
    <cellStyle name="警告文本 6 7" xfId="35104" xr:uid="{00000000-0005-0000-0000-00009F830000}"/>
    <cellStyle name="警告文本 6 8" xfId="35801" xr:uid="{00000000-0005-0000-0000-0000A0830000}"/>
    <cellStyle name="警告文本 6 9" xfId="35802" xr:uid="{00000000-0005-0000-0000-0000A1830000}"/>
    <cellStyle name="警告文本 7" xfId="9897" xr:uid="{00000000-0005-0000-0000-0000A2830000}"/>
    <cellStyle name="警告文本 8" xfId="9905" xr:uid="{00000000-0005-0000-0000-0000A3830000}"/>
    <cellStyle name="警告文本 9" xfId="4314" xr:uid="{00000000-0005-0000-0000-0000A4830000}"/>
    <cellStyle name="计算 10" xfId="35804" xr:uid="{00000000-0005-0000-0000-0000A5830000}"/>
    <cellStyle name="计算 11" xfId="35806" xr:uid="{00000000-0005-0000-0000-0000A6830000}"/>
    <cellStyle name="计算 12" xfId="35808" xr:uid="{00000000-0005-0000-0000-0000A7830000}"/>
    <cellStyle name="计算 12 10" xfId="6325" xr:uid="{00000000-0005-0000-0000-0000A8830000}"/>
    <cellStyle name="计算 12 11" xfId="6331" xr:uid="{00000000-0005-0000-0000-0000A9830000}"/>
    <cellStyle name="计算 12 12" xfId="3400" xr:uid="{00000000-0005-0000-0000-0000AA830000}"/>
    <cellStyle name="计算 12 13" xfId="1433" xr:uid="{00000000-0005-0000-0000-0000AB830000}"/>
    <cellStyle name="计算 12 14" xfId="1465" xr:uid="{00000000-0005-0000-0000-0000AC830000}"/>
    <cellStyle name="计算 12 2" xfId="35809" xr:uid="{00000000-0005-0000-0000-0000AD830000}"/>
    <cellStyle name="计算 12 3" xfId="35810" xr:uid="{00000000-0005-0000-0000-0000AE830000}"/>
    <cellStyle name="计算 12 4" xfId="35811" xr:uid="{00000000-0005-0000-0000-0000AF830000}"/>
    <cellStyle name="计算 12 5" xfId="35812" xr:uid="{00000000-0005-0000-0000-0000B0830000}"/>
    <cellStyle name="计算 12 5 10" xfId="14510" xr:uid="{00000000-0005-0000-0000-0000B1830000}"/>
    <cellStyle name="计算 12 5 11" xfId="14513" xr:uid="{00000000-0005-0000-0000-0000B2830000}"/>
    <cellStyle name="计算 12 5 2" xfId="35813" xr:uid="{00000000-0005-0000-0000-0000B3830000}"/>
    <cellStyle name="计算 12 5 2 2" xfId="35814" xr:uid="{00000000-0005-0000-0000-0000B4830000}"/>
    <cellStyle name="计算 12 5 2 2 2" xfId="35815" xr:uid="{00000000-0005-0000-0000-0000B5830000}"/>
    <cellStyle name="计算 12 5 2 2 3" xfId="35816" xr:uid="{00000000-0005-0000-0000-0000B6830000}"/>
    <cellStyle name="计算 12 5 2 3" xfId="35817" xr:uid="{00000000-0005-0000-0000-0000B7830000}"/>
    <cellStyle name="计算 12 5 2 4" xfId="35818" xr:uid="{00000000-0005-0000-0000-0000B8830000}"/>
    <cellStyle name="计算 12 5 2 5" xfId="35819" xr:uid="{00000000-0005-0000-0000-0000B9830000}"/>
    <cellStyle name="计算 12 5 2 6" xfId="35820" xr:uid="{00000000-0005-0000-0000-0000BA830000}"/>
    <cellStyle name="计算 12 5 2 7" xfId="35821" xr:uid="{00000000-0005-0000-0000-0000BB830000}"/>
    <cellStyle name="计算 12 5 2 8" xfId="35822" xr:uid="{00000000-0005-0000-0000-0000BC830000}"/>
    <cellStyle name="计算 12 5 3" xfId="35823" xr:uid="{00000000-0005-0000-0000-0000BD830000}"/>
    <cellStyle name="计算 12 5 4" xfId="35824" xr:uid="{00000000-0005-0000-0000-0000BE830000}"/>
    <cellStyle name="计算 12 5 5" xfId="35825" xr:uid="{00000000-0005-0000-0000-0000BF830000}"/>
    <cellStyle name="计算 12 5 6" xfId="35826" xr:uid="{00000000-0005-0000-0000-0000C0830000}"/>
    <cellStyle name="计算 12 5 6 2" xfId="35827" xr:uid="{00000000-0005-0000-0000-0000C1830000}"/>
    <cellStyle name="计算 12 5 6 3" xfId="35828" xr:uid="{00000000-0005-0000-0000-0000C2830000}"/>
    <cellStyle name="计算 12 5 7" xfId="35829" xr:uid="{00000000-0005-0000-0000-0000C3830000}"/>
    <cellStyle name="计算 12 5 8" xfId="35830" xr:uid="{00000000-0005-0000-0000-0000C4830000}"/>
    <cellStyle name="计算 12 5 9" xfId="35831" xr:uid="{00000000-0005-0000-0000-0000C5830000}"/>
    <cellStyle name="计算 12 6" xfId="421" xr:uid="{00000000-0005-0000-0000-0000C6830000}"/>
    <cellStyle name="计算 12 6 2" xfId="35832" xr:uid="{00000000-0005-0000-0000-0000C7830000}"/>
    <cellStyle name="计算 12 6 2 2" xfId="35833" xr:uid="{00000000-0005-0000-0000-0000C8830000}"/>
    <cellStyle name="计算 12 6 2 3" xfId="35834" xr:uid="{00000000-0005-0000-0000-0000C9830000}"/>
    <cellStyle name="计算 12 6 3" xfId="35836" xr:uid="{00000000-0005-0000-0000-0000CA830000}"/>
    <cellStyle name="计算 12 6 4" xfId="35838" xr:uid="{00000000-0005-0000-0000-0000CB830000}"/>
    <cellStyle name="计算 12 6 5" xfId="35839" xr:uid="{00000000-0005-0000-0000-0000CC830000}"/>
    <cellStyle name="计算 12 6 6" xfId="35840" xr:uid="{00000000-0005-0000-0000-0000CD830000}"/>
    <cellStyle name="计算 12 6 7" xfId="35841" xr:uid="{00000000-0005-0000-0000-0000CE830000}"/>
    <cellStyle name="计算 12 6 8" xfId="35842" xr:uid="{00000000-0005-0000-0000-0000CF830000}"/>
    <cellStyle name="计算 12 7" xfId="15518" xr:uid="{00000000-0005-0000-0000-0000D0830000}"/>
    <cellStyle name="计算 12 8" xfId="35843" xr:uid="{00000000-0005-0000-0000-0000D1830000}"/>
    <cellStyle name="计算 12 9" xfId="35844" xr:uid="{00000000-0005-0000-0000-0000D2830000}"/>
    <cellStyle name="计算 12 9 2" xfId="35845" xr:uid="{00000000-0005-0000-0000-0000D3830000}"/>
    <cellStyle name="计算 12 9 3" xfId="35846" xr:uid="{00000000-0005-0000-0000-0000D4830000}"/>
    <cellStyle name="计算 13" xfId="35848" xr:uid="{00000000-0005-0000-0000-0000D5830000}"/>
    <cellStyle name="计算 14" xfId="35486" xr:uid="{00000000-0005-0000-0000-0000D6830000}"/>
    <cellStyle name="计算 15" xfId="35495" xr:uid="{00000000-0005-0000-0000-0000D7830000}"/>
    <cellStyle name="计算 16" xfId="35497" xr:uid="{00000000-0005-0000-0000-0000D8830000}"/>
    <cellStyle name="计算 16 10" xfId="18305" xr:uid="{00000000-0005-0000-0000-0000D9830000}"/>
    <cellStyle name="计算 16 11" xfId="18309" xr:uid="{00000000-0005-0000-0000-0000DA830000}"/>
    <cellStyle name="计算 16 12" xfId="18313" xr:uid="{00000000-0005-0000-0000-0000DB830000}"/>
    <cellStyle name="计算 16 13" xfId="19354" xr:uid="{00000000-0005-0000-0000-0000DC830000}"/>
    <cellStyle name="计算 16 14" xfId="19357" xr:uid="{00000000-0005-0000-0000-0000DD830000}"/>
    <cellStyle name="计算 16 2" xfId="32563" xr:uid="{00000000-0005-0000-0000-0000DE830000}"/>
    <cellStyle name="计算 16 3" xfId="32565" xr:uid="{00000000-0005-0000-0000-0000DF830000}"/>
    <cellStyle name="计算 16 4" xfId="32569" xr:uid="{00000000-0005-0000-0000-0000E0830000}"/>
    <cellStyle name="计算 16 5" xfId="32571" xr:uid="{00000000-0005-0000-0000-0000E1830000}"/>
    <cellStyle name="计算 16 5 10" xfId="35849" xr:uid="{00000000-0005-0000-0000-0000E2830000}"/>
    <cellStyle name="计算 16 5 11" xfId="35850" xr:uid="{00000000-0005-0000-0000-0000E3830000}"/>
    <cellStyle name="计算 16 5 2" xfId="8599" xr:uid="{00000000-0005-0000-0000-0000E4830000}"/>
    <cellStyle name="计算 16 5 2 2" xfId="35851" xr:uid="{00000000-0005-0000-0000-0000E5830000}"/>
    <cellStyle name="计算 16 5 2 2 2" xfId="35852" xr:uid="{00000000-0005-0000-0000-0000E6830000}"/>
    <cellStyle name="计算 16 5 2 2 3" xfId="35853" xr:uid="{00000000-0005-0000-0000-0000E7830000}"/>
    <cellStyle name="计算 16 5 2 3" xfId="35854" xr:uid="{00000000-0005-0000-0000-0000E8830000}"/>
    <cellStyle name="计算 16 5 2 4" xfId="34289" xr:uid="{00000000-0005-0000-0000-0000E9830000}"/>
    <cellStyle name="计算 16 5 2 5" xfId="34917" xr:uid="{00000000-0005-0000-0000-0000EA830000}"/>
    <cellStyle name="计算 16 5 2 6" xfId="34919" xr:uid="{00000000-0005-0000-0000-0000EB830000}"/>
    <cellStyle name="计算 16 5 2 7" xfId="34921" xr:uid="{00000000-0005-0000-0000-0000EC830000}"/>
    <cellStyle name="计算 16 5 2 8" xfId="34923" xr:uid="{00000000-0005-0000-0000-0000ED830000}"/>
    <cellStyle name="计算 16 5 3" xfId="8605" xr:uid="{00000000-0005-0000-0000-0000EE830000}"/>
    <cellStyle name="计算 16 5 4" xfId="8617" xr:uid="{00000000-0005-0000-0000-0000EF830000}"/>
    <cellStyle name="计算 16 5 5" xfId="35856" xr:uid="{00000000-0005-0000-0000-0000F0830000}"/>
    <cellStyle name="计算 16 5 6" xfId="35858" xr:uid="{00000000-0005-0000-0000-0000F1830000}"/>
    <cellStyle name="计算 16 5 6 2" xfId="35859" xr:uid="{00000000-0005-0000-0000-0000F2830000}"/>
    <cellStyle name="计算 16 5 6 3" xfId="35860" xr:uid="{00000000-0005-0000-0000-0000F3830000}"/>
    <cellStyle name="计算 16 5 7" xfId="35862" xr:uid="{00000000-0005-0000-0000-0000F4830000}"/>
    <cellStyle name="计算 16 5 8" xfId="35864" xr:uid="{00000000-0005-0000-0000-0000F5830000}"/>
    <cellStyle name="计算 16 5 9" xfId="35866" xr:uid="{00000000-0005-0000-0000-0000F6830000}"/>
    <cellStyle name="计算 16 6" xfId="26059" xr:uid="{00000000-0005-0000-0000-0000F7830000}"/>
    <cellStyle name="计算 16 6 2" xfId="35868" xr:uid="{00000000-0005-0000-0000-0000F8830000}"/>
    <cellStyle name="计算 16 6 2 2" xfId="35869" xr:uid="{00000000-0005-0000-0000-0000F9830000}"/>
    <cellStyle name="计算 16 6 2 3" xfId="35870" xr:uid="{00000000-0005-0000-0000-0000FA830000}"/>
    <cellStyle name="计算 16 6 3" xfId="35871" xr:uid="{00000000-0005-0000-0000-0000FB830000}"/>
    <cellStyle name="计算 16 6 4" xfId="35873" xr:uid="{00000000-0005-0000-0000-0000FC830000}"/>
    <cellStyle name="计算 16 6 5" xfId="35875" xr:uid="{00000000-0005-0000-0000-0000FD830000}"/>
    <cellStyle name="计算 16 6 6" xfId="35877" xr:uid="{00000000-0005-0000-0000-0000FE830000}"/>
    <cellStyle name="计算 16 6 7" xfId="35879" xr:uid="{00000000-0005-0000-0000-0000FF830000}"/>
    <cellStyle name="计算 16 6 8" xfId="35881" xr:uid="{00000000-0005-0000-0000-000000840000}"/>
    <cellStyle name="计算 16 7" xfId="23153" xr:uid="{00000000-0005-0000-0000-000001840000}"/>
    <cellStyle name="计算 16 8" xfId="35882" xr:uid="{00000000-0005-0000-0000-000002840000}"/>
    <cellStyle name="计算 16 9" xfId="35883" xr:uid="{00000000-0005-0000-0000-000003840000}"/>
    <cellStyle name="计算 16 9 2" xfId="35884" xr:uid="{00000000-0005-0000-0000-000004840000}"/>
    <cellStyle name="计算 16 9 3" xfId="35885" xr:uid="{00000000-0005-0000-0000-000005840000}"/>
    <cellStyle name="计算 17" xfId="35499" xr:uid="{00000000-0005-0000-0000-000006840000}"/>
    <cellStyle name="计算 17 10" xfId="30340" xr:uid="{00000000-0005-0000-0000-000007840000}"/>
    <cellStyle name="计算 17 11" xfId="11549" xr:uid="{00000000-0005-0000-0000-000008840000}"/>
    <cellStyle name="计算 17 12" xfId="35886" xr:uid="{00000000-0005-0000-0000-000009840000}"/>
    <cellStyle name="计算 17 13" xfId="35887" xr:uid="{00000000-0005-0000-0000-00000A840000}"/>
    <cellStyle name="计算 17 14" xfId="35888" xr:uid="{00000000-0005-0000-0000-00000B840000}"/>
    <cellStyle name="计算 17 2" xfId="25593" xr:uid="{00000000-0005-0000-0000-00000C840000}"/>
    <cellStyle name="计算 17 3" xfId="25597" xr:uid="{00000000-0005-0000-0000-00000D840000}"/>
    <cellStyle name="计算 17 4" xfId="25600" xr:uid="{00000000-0005-0000-0000-00000E840000}"/>
    <cellStyle name="计算 17 5" xfId="24186" xr:uid="{00000000-0005-0000-0000-00000F840000}"/>
    <cellStyle name="计算 17 5 10" xfId="35889" xr:uid="{00000000-0005-0000-0000-000010840000}"/>
    <cellStyle name="计算 17 5 11" xfId="35890" xr:uid="{00000000-0005-0000-0000-000011840000}"/>
    <cellStyle name="计算 17 5 2" xfId="8760" xr:uid="{00000000-0005-0000-0000-000012840000}"/>
    <cellStyle name="计算 17 5 2 2" xfId="35891" xr:uid="{00000000-0005-0000-0000-000013840000}"/>
    <cellStyle name="计算 17 5 2 2 2" xfId="35892" xr:uid="{00000000-0005-0000-0000-000014840000}"/>
    <cellStyle name="计算 17 5 2 2 3" xfId="35893" xr:uid="{00000000-0005-0000-0000-000015840000}"/>
    <cellStyle name="计算 17 5 2 3" xfId="35894" xr:uid="{00000000-0005-0000-0000-000016840000}"/>
    <cellStyle name="计算 17 5 2 4" xfId="35895" xr:uid="{00000000-0005-0000-0000-000017840000}"/>
    <cellStyle name="计算 17 5 2 5" xfId="35896" xr:uid="{00000000-0005-0000-0000-000018840000}"/>
    <cellStyle name="计算 17 5 2 6" xfId="35897" xr:uid="{00000000-0005-0000-0000-000019840000}"/>
    <cellStyle name="计算 17 5 2 7" xfId="17970" xr:uid="{00000000-0005-0000-0000-00001A840000}"/>
    <cellStyle name="计算 17 5 2 8" xfId="1714" xr:uid="{00000000-0005-0000-0000-00001B840000}"/>
    <cellStyle name="计算 17 5 3" xfId="8765" xr:uid="{00000000-0005-0000-0000-00001C840000}"/>
    <cellStyle name="计算 17 5 4" xfId="8773" xr:uid="{00000000-0005-0000-0000-00001D840000}"/>
    <cellStyle name="计算 17 5 5" xfId="35899" xr:uid="{00000000-0005-0000-0000-00001E840000}"/>
    <cellStyle name="计算 17 5 6" xfId="35900" xr:uid="{00000000-0005-0000-0000-00001F840000}"/>
    <cellStyle name="计算 17 5 6 2" xfId="35901" xr:uid="{00000000-0005-0000-0000-000020840000}"/>
    <cellStyle name="计算 17 5 6 3" xfId="35902" xr:uid="{00000000-0005-0000-0000-000021840000}"/>
    <cellStyle name="计算 17 5 7" xfId="27313" xr:uid="{00000000-0005-0000-0000-000022840000}"/>
    <cellStyle name="计算 17 5 8" xfId="27315" xr:uid="{00000000-0005-0000-0000-000023840000}"/>
    <cellStyle name="计算 17 5 9" xfId="27317" xr:uid="{00000000-0005-0000-0000-000024840000}"/>
    <cellStyle name="计算 17 6" xfId="24192" xr:uid="{00000000-0005-0000-0000-000025840000}"/>
    <cellStyle name="计算 17 6 2" xfId="4552" xr:uid="{00000000-0005-0000-0000-000026840000}"/>
    <cellStyle name="计算 17 6 2 2" xfId="35903" xr:uid="{00000000-0005-0000-0000-000027840000}"/>
    <cellStyle name="计算 17 6 2 3" xfId="35904" xr:uid="{00000000-0005-0000-0000-000028840000}"/>
    <cellStyle name="计算 17 6 3" xfId="4573" xr:uid="{00000000-0005-0000-0000-000029840000}"/>
    <cellStyle name="计算 17 6 4" xfId="15824" xr:uid="{00000000-0005-0000-0000-00002A840000}"/>
    <cellStyle name="计算 17 6 5" xfId="15829" xr:uid="{00000000-0005-0000-0000-00002B840000}"/>
    <cellStyle name="计算 17 6 6" xfId="15832" xr:uid="{00000000-0005-0000-0000-00002C840000}"/>
    <cellStyle name="计算 17 6 7" xfId="27340" xr:uid="{00000000-0005-0000-0000-00002D840000}"/>
    <cellStyle name="计算 17 6 8" xfId="27342" xr:uid="{00000000-0005-0000-0000-00002E840000}"/>
    <cellStyle name="计算 17 7" xfId="35905" xr:uid="{00000000-0005-0000-0000-00002F840000}"/>
    <cellStyle name="计算 17 8" xfId="35906" xr:uid="{00000000-0005-0000-0000-000030840000}"/>
    <cellStyle name="计算 17 9" xfId="35907" xr:uid="{00000000-0005-0000-0000-000031840000}"/>
    <cellStyle name="计算 17 9 2" xfId="35908" xr:uid="{00000000-0005-0000-0000-000032840000}"/>
    <cellStyle name="计算 17 9 3" xfId="35909" xr:uid="{00000000-0005-0000-0000-000033840000}"/>
    <cellStyle name="计算 18" xfId="35501" xr:uid="{00000000-0005-0000-0000-000034840000}"/>
    <cellStyle name="计算 18 10" xfId="35910" xr:uid="{00000000-0005-0000-0000-000035840000}"/>
    <cellStyle name="计算 18 11" xfId="35911" xr:uid="{00000000-0005-0000-0000-000036840000}"/>
    <cellStyle name="计算 18 12" xfId="35912" xr:uid="{00000000-0005-0000-0000-000037840000}"/>
    <cellStyle name="计算 18 13" xfId="35913" xr:uid="{00000000-0005-0000-0000-000038840000}"/>
    <cellStyle name="计算 18 14" xfId="35914" xr:uid="{00000000-0005-0000-0000-000039840000}"/>
    <cellStyle name="计算 18 2" xfId="35503" xr:uid="{00000000-0005-0000-0000-00003A840000}"/>
    <cellStyle name="计算 18 3" xfId="35505" xr:uid="{00000000-0005-0000-0000-00003B840000}"/>
    <cellStyle name="计算 18 4" xfId="35915" xr:uid="{00000000-0005-0000-0000-00003C840000}"/>
    <cellStyle name="计算 18 5" xfId="35916" xr:uid="{00000000-0005-0000-0000-00003D840000}"/>
    <cellStyle name="计算 18 5 10" xfId="35403" xr:uid="{00000000-0005-0000-0000-00003E840000}"/>
    <cellStyle name="计算 18 5 11" xfId="35405" xr:uid="{00000000-0005-0000-0000-00003F840000}"/>
    <cellStyle name="计算 18 5 2" xfId="1966" xr:uid="{00000000-0005-0000-0000-000040840000}"/>
    <cellStyle name="计算 18 5 2 2" xfId="10184" xr:uid="{00000000-0005-0000-0000-000041840000}"/>
    <cellStyle name="计算 18 5 2 2 2" xfId="7838" xr:uid="{00000000-0005-0000-0000-000042840000}"/>
    <cellStyle name="计算 18 5 2 2 3" xfId="7850" xr:uid="{00000000-0005-0000-0000-000043840000}"/>
    <cellStyle name="计算 18 5 2 3" xfId="10192" xr:uid="{00000000-0005-0000-0000-000044840000}"/>
    <cellStyle name="计算 18 5 2 4" xfId="10198" xr:uid="{00000000-0005-0000-0000-000045840000}"/>
    <cellStyle name="计算 18 5 2 5" xfId="10205" xr:uid="{00000000-0005-0000-0000-000046840000}"/>
    <cellStyle name="计算 18 5 2 6" xfId="10209" xr:uid="{00000000-0005-0000-0000-000047840000}"/>
    <cellStyle name="计算 18 5 2 7" xfId="691" xr:uid="{00000000-0005-0000-0000-000048840000}"/>
    <cellStyle name="计算 18 5 2 8" xfId="724" xr:uid="{00000000-0005-0000-0000-000049840000}"/>
    <cellStyle name="计算 18 5 3" xfId="1971" xr:uid="{00000000-0005-0000-0000-00004A840000}"/>
    <cellStyle name="计算 18 5 4" xfId="1995" xr:uid="{00000000-0005-0000-0000-00004B840000}"/>
    <cellStyle name="计算 18 5 5" xfId="2015" xr:uid="{00000000-0005-0000-0000-00004C840000}"/>
    <cellStyle name="计算 18 5 6" xfId="35917" xr:uid="{00000000-0005-0000-0000-00004D840000}"/>
    <cellStyle name="计算 18 5 6 2" xfId="2226" xr:uid="{00000000-0005-0000-0000-00004E840000}"/>
    <cellStyle name="计算 18 5 6 3" xfId="2252" xr:uid="{00000000-0005-0000-0000-00004F840000}"/>
    <cellStyle name="计算 18 5 7" xfId="35918" xr:uid="{00000000-0005-0000-0000-000050840000}"/>
    <cellStyle name="计算 18 5 8" xfId="35919" xr:uid="{00000000-0005-0000-0000-000051840000}"/>
    <cellStyle name="计算 18 5 9" xfId="35920" xr:uid="{00000000-0005-0000-0000-000052840000}"/>
    <cellStyle name="计算 18 6" xfId="35921" xr:uid="{00000000-0005-0000-0000-000053840000}"/>
    <cellStyle name="计算 18 6 2" xfId="35922" xr:uid="{00000000-0005-0000-0000-000054840000}"/>
    <cellStyle name="计算 18 6 2 2" xfId="35923" xr:uid="{00000000-0005-0000-0000-000055840000}"/>
    <cellStyle name="计算 18 6 2 3" xfId="35924" xr:uid="{00000000-0005-0000-0000-000056840000}"/>
    <cellStyle name="计算 18 6 3" xfId="35925" xr:uid="{00000000-0005-0000-0000-000057840000}"/>
    <cellStyle name="计算 18 6 4" xfId="35926" xr:uid="{00000000-0005-0000-0000-000058840000}"/>
    <cellStyle name="计算 18 6 5" xfId="35927" xr:uid="{00000000-0005-0000-0000-000059840000}"/>
    <cellStyle name="计算 18 6 6" xfId="35928" xr:uid="{00000000-0005-0000-0000-00005A840000}"/>
    <cellStyle name="计算 18 6 7" xfId="35929" xr:uid="{00000000-0005-0000-0000-00005B840000}"/>
    <cellStyle name="计算 18 6 8" xfId="35930" xr:uid="{00000000-0005-0000-0000-00005C840000}"/>
    <cellStyle name="计算 18 7" xfId="35931" xr:uid="{00000000-0005-0000-0000-00005D840000}"/>
    <cellStyle name="计算 18 8" xfId="35932" xr:uid="{00000000-0005-0000-0000-00005E840000}"/>
    <cellStyle name="计算 18 9" xfId="35933" xr:uid="{00000000-0005-0000-0000-00005F840000}"/>
    <cellStyle name="计算 18 9 2" xfId="10117" xr:uid="{00000000-0005-0000-0000-000060840000}"/>
    <cellStyle name="计算 18 9 3" xfId="10133" xr:uid="{00000000-0005-0000-0000-000061840000}"/>
    <cellStyle name="计算 19" xfId="35507" xr:uid="{00000000-0005-0000-0000-000062840000}"/>
    <cellStyle name="计算 2" xfId="26033" xr:uid="{00000000-0005-0000-0000-000063840000}"/>
    <cellStyle name="计算 2 10" xfId="33230" xr:uid="{00000000-0005-0000-0000-000064840000}"/>
    <cellStyle name="计算 2 11" xfId="32597" xr:uid="{00000000-0005-0000-0000-000065840000}"/>
    <cellStyle name="计算 2 12" xfId="32602" xr:uid="{00000000-0005-0000-0000-000066840000}"/>
    <cellStyle name="计算 2 13" xfId="33232" xr:uid="{00000000-0005-0000-0000-000067840000}"/>
    <cellStyle name="计算 2 14" xfId="31881" xr:uid="{00000000-0005-0000-0000-000068840000}"/>
    <cellStyle name="计算 2 15" xfId="35935" xr:uid="{00000000-0005-0000-0000-000069840000}"/>
    <cellStyle name="计算 2 16" xfId="35936" xr:uid="{00000000-0005-0000-0000-00006A840000}"/>
    <cellStyle name="计算 2 17" xfId="29291" xr:uid="{00000000-0005-0000-0000-00006B840000}"/>
    <cellStyle name="计算 2 17 10" xfId="35937" xr:uid="{00000000-0005-0000-0000-00006C840000}"/>
    <cellStyle name="计算 2 17 11" xfId="35938" xr:uid="{00000000-0005-0000-0000-00006D840000}"/>
    <cellStyle name="计算 2 17 12" xfId="35939" xr:uid="{00000000-0005-0000-0000-00006E840000}"/>
    <cellStyle name="计算 2 17 13" xfId="35940" xr:uid="{00000000-0005-0000-0000-00006F840000}"/>
    <cellStyle name="计算 2 17 14" xfId="35941" xr:uid="{00000000-0005-0000-0000-000070840000}"/>
    <cellStyle name="计算 2 17 2" xfId="35942" xr:uid="{00000000-0005-0000-0000-000071840000}"/>
    <cellStyle name="计算 2 17 3" xfId="35943" xr:uid="{00000000-0005-0000-0000-000072840000}"/>
    <cellStyle name="计算 2 17 4" xfId="35944" xr:uid="{00000000-0005-0000-0000-000073840000}"/>
    <cellStyle name="计算 2 17 5" xfId="35945" xr:uid="{00000000-0005-0000-0000-000074840000}"/>
    <cellStyle name="计算 2 17 5 10" xfId="32707" xr:uid="{00000000-0005-0000-0000-000075840000}"/>
    <cellStyle name="计算 2 17 5 11" xfId="21614" xr:uid="{00000000-0005-0000-0000-000076840000}"/>
    <cellStyle name="计算 2 17 5 2" xfId="35946" xr:uid="{00000000-0005-0000-0000-000077840000}"/>
    <cellStyle name="计算 2 17 5 2 2" xfId="35947" xr:uid="{00000000-0005-0000-0000-000078840000}"/>
    <cellStyle name="计算 2 17 5 2 2 2" xfId="35948" xr:uid="{00000000-0005-0000-0000-000079840000}"/>
    <cellStyle name="计算 2 17 5 2 2 3" xfId="35949" xr:uid="{00000000-0005-0000-0000-00007A840000}"/>
    <cellStyle name="计算 2 17 5 2 3" xfId="35950" xr:uid="{00000000-0005-0000-0000-00007B840000}"/>
    <cellStyle name="计算 2 17 5 2 4" xfId="35951" xr:uid="{00000000-0005-0000-0000-00007C840000}"/>
    <cellStyle name="计算 2 17 5 2 5" xfId="35952" xr:uid="{00000000-0005-0000-0000-00007D840000}"/>
    <cellStyle name="计算 2 17 5 2 6" xfId="35953" xr:uid="{00000000-0005-0000-0000-00007E840000}"/>
    <cellStyle name="计算 2 17 5 2 7" xfId="35954" xr:uid="{00000000-0005-0000-0000-00007F840000}"/>
    <cellStyle name="计算 2 17 5 2 8" xfId="35955" xr:uid="{00000000-0005-0000-0000-000080840000}"/>
    <cellStyle name="计算 2 17 5 3" xfId="35051" xr:uid="{00000000-0005-0000-0000-000081840000}"/>
    <cellStyle name="计算 2 17 5 4" xfId="35053" xr:uid="{00000000-0005-0000-0000-000082840000}"/>
    <cellStyle name="计算 2 17 5 5" xfId="35956" xr:uid="{00000000-0005-0000-0000-000083840000}"/>
    <cellStyle name="计算 2 17 5 6" xfId="35957" xr:uid="{00000000-0005-0000-0000-000084840000}"/>
    <cellStyle name="计算 2 17 5 6 2" xfId="35958" xr:uid="{00000000-0005-0000-0000-000085840000}"/>
    <cellStyle name="计算 2 17 5 6 3" xfId="35959" xr:uid="{00000000-0005-0000-0000-000086840000}"/>
    <cellStyle name="计算 2 17 5 7" xfId="35960" xr:uid="{00000000-0005-0000-0000-000087840000}"/>
    <cellStyle name="计算 2 17 5 8" xfId="35962" xr:uid="{00000000-0005-0000-0000-000088840000}"/>
    <cellStyle name="计算 2 17 5 9" xfId="35964" xr:uid="{00000000-0005-0000-0000-000089840000}"/>
    <cellStyle name="计算 2 17 6" xfId="35965" xr:uid="{00000000-0005-0000-0000-00008A840000}"/>
    <cellStyle name="计算 2 17 6 2" xfId="35966" xr:uid="{00000000-0005-0000-0000-00008B840000}"/>
    <cellStyle name="计算 2 17 6 2 2" xfId="35967" xr:uid="{00000000-0005-0000-0000-00008C840000}"/>
    <cellStyle name="计算 2 17 6 2 3" xfId="35968" xr:uid="{00000000-0005-0000-0000-00008D840000}"/>
    <cellStyle name="计算 2 17 6 3" xfId="35969" xr:uid="{00000000-0005-0000-0000-00008E840000}"/>
    <cellStyle name="计算 2 17 6 4" xfId="35970" xr:uid="{00000000-0005-0000-0000-00008F840000}"/>
    <cellStyle name="计算 2 17 6 5" xfId="35971" xr:uid="{00000000-0005-0000-0000-000090840000}"/>
    <cellStyle name="计算 2 17 6 6" xfId="35972" xr:uid="{00000000-0005-0000-0000-000091840000}"/>
    <cellStyle name="计算 2 17 6 7" xfId="35973" xr:uid="{00000000-0005-0000-0000-000092840000}"/>
    <cellStyle name="计算 2 17 6 8" xfId="35974" xr:uid="{00000000-0005-0000-0000-000093840000}"/>
    <cellStyle name="计算 2 17 7" xfId="35975" xr:uid="{00000000-0005-0000-0000-000094840000}"/>
    <cellStyle name="计算 2 17 8" xfId="35976" xr:uid="{00000000-0005-0000-0000-000095840000}"/>
    <cellStyle name="计算 2 17 9" xfId="5789" xr:uid="{00000000-0005-0000-0000-000096840000}"/>
    <cellStyle name="计算 2 17 9 2" xfId="5795" xr:uid="{00000000-0005-0000-0000-000097840000}"/>
    <cellStyle name="计算 2 17 9 3" xfId="5806" xr:uid="{00000000-0005-0000-0000-000098840000}"/>
    <cellStyle name="计算 2 18" xfId="29293" xr:uid="{00000000-0005-0000-0000-000099840000}"/>
    <cellStyle name="计算 2 18 10" xfId="31214" xr:uid="{00000000-0005-0000-0000-00009A840000}"/>
    <cellStyle name="计算 2 18 11" xfId="31218" xr:uid="{00000000-0005-0000-0000-00009B840000}"/>
    <cellStyle name="计算 2 18 12" xfId="35977" xr:uid="{00000000-0005-0000-0000-00009C840000}"/>
    <cellStyle name="计算 2 18 13" xfId="35978" xr:uid="{00000000-0005-0000-0000-00009D840000}"/>
    <cellStyle name="计算 2 18 14" xfId="35979" xr:uid="{00000000-0005-0000-0000-00009E840000}"/>
    <cellStyle name="计算 2 18 2" xfId="35980" xr:uid="{00000000-0005-0000-0000-00009F840000}"/>
    <cellStyle name="计算 2 18 3" xfId="35981" xr:uid="{00000000-0005-0000-0000-0000A0840000}"/>
    <cellStyle name="计算 2 18 4" xfId="35982" xr:uid="{00000000-0005-0000-0000-0000A1840000}"/>
    <cellStyle name="计算 2 18 5" xfId="35983" xr:uid="{00000000-0005-0000-0000-0000A2840000}"/>
    <cellStyle name="计算 2 18 5 10" xfId="33212" xr:uid="{00000000-0005-0000-0000-0000A3840000}"/>
    <cellStyle name="计算 2 18 5 11" xfId="33214" xr:uid="{00000000-0005-0000-0000-0000A4840000}"/>
    <cellStyle name="计算 2 18 5 2" xfId="35984" xr:uid="{00000000-0005-0000-0000-0000A5840000}"/>
    <cellStyle name="计算 2 18 5 2 2" xfId="35985" xr:uid="{00000000-0005-0000-0000-0000A6840000}"/>
    <cellStyle name="计算 2 18 5 2 2 2" xfId="28068" xr:uid="{00000000-0005-0000-0000-0000A7840000}"/>
    <cellStyle name="计算 2 18 5 2 2 3" xfId="28070" xr:uid="{00000000-0005-0000-0000-0000A8840000}"/>
    <cellStyle name="计算 2 18 5 2 3" xfId="35986" xr:uid="{00000000-0005-0000-0000-0000A9840000}"/>
    <cellStyle name="计算 2 18 5 2 4" xfId="35987" xr:uid="{00000000-0005-0000-0000-0000AA840000}"/>
    <cellStyle name="计算 2 18 5 2 5" xfId="35988" xr:uid="{00000000-0005-0000-0000-0000AB840000}"/>
    <cellStyle name="计算 2 18 5 2 6" xfId="35989" xr:uid="{00000000-0005-0000-0000-0000AC840000}"/>
    <cellStyle name="计算 2 18 5 2 7" xfId="35990" xr:uid="{00000000-0005-0000-0000-0000AD840000}"/>
    <cellStyle name="计算 2 18 5 2 8" xfId="35991" xr:uid="{00000000-0005-0000-0000-0000AE840000}"/>
    <cellStyle name="计算 2 18 5 3" xfId="35992" xr:uid="{00000000-0005-0000-0000-0000AF840000}"/>
    <cellStyle name="计算 2 18 5 4" xfId="35993" xr:uid="{00000000-0005-0000-0000-0000B0840000}"/>
    <cellStyle name="计算 2 18 5 5" xfId="35994" xr:uid="{00000000-0005-0000-0000-0000B1840000}"/>
    <cellStyle name="计算 2 18 5 6" xfId="35995" xr:uid="{00000000-0005-0000-0000-0000B2840000}"/>
    <cellStyle name="计算 2 18 5 6 2" xfId="35996" xr:uid="{00000000-0005-0000-0000-0000B3840000}"/>
    <cellStyle name="计算 2 18 5 6 3" xfId="35997" xr:uid="{00000000-0005-0000-0000-0000B4840000}"/>
    <cellStyle name="计算 2 18 5 7" xfId="35998" xr:uid="{00000000-0005-0000-0000-0000B5840000}"/>
    <cellStyle name="计算 2 18 5 8" xfId="15854" xr:uid="{00000000-0005-0000-0000-0000B6840000}"/>
    <cellStyle name="计算 2 18 5 9" xfId="15863" xr:uid="{00000000-0005-0000-0000-0000B7840000}"/>
    <cellStyle name="计算 2 18 6" xfId="31991" xr:uid="{00000000-0005-0000-0000-0000B8840000}"/>
    <cellStyle name="计算 2 18 6 2" xfId="23304" xr:uid="{00000000-0005-0000-0000-0000B9840000}"/>
    <cellStyle name="计算 2 18 6 2 2" xfId="3340" xr:uid="{00000000-0005-0000-0000-0000BA840000}"/>
    <cellStyle name="计算 2 18 6 2 3" xfId="3353" xr:uid="{00000000-0005-0000-0000-0000BB840000}"/>
    <cellStyle name="计算 2 18 6 3" xfId="23307" xr:uid="{00000000-0005-0000-0000-0000BC840000}"/>
    <cellStyle name="计算 2 18 6 4" xfId="23309" xr:uid="{00000000-0005-0000-0000-0000BD840000}"/>
    <cellStyle name="计算 2 18 6 5" xfId="23311" xr:uid="{00000000-0005-0000-0000-0000BE840000}"/>
    <cellStyle name="计算 2 18 6 6" xfId="35999" xr:uid="{00000000-0005-0000-0000-0000BF840000}"/>
    <cellStyle name="计算 2 18 6 7" xfId="36000" xr:uid="{00000000-0005-0000-0000-0000C0840000}"/>
    <cellStyle name="计算 2 18 6 8" xfId="36001" xr:uid="{00000000-0005-0000-0000-0000C1840000}"/>
    <cellStyle name="计算 2 18 7" xfId="34648" xr:uid="{00000000-0005-0000-0000-0000C2840000}"/>
    <cellStyle name="计算 2 18 8" xfId="34650" xr:uid="{00000000-0005-0000-0000-0000C3840000}"/>
    <cellStyle name="计算 2 18 9" xfId="34652" xr:uid="{00000000-0005-0000-0000-0000C4840000}"/>
    <cellStyle name="计算 2 18 9 2" xfId="36002" xr:uid="{00000000-0005-0000-0000-0000C5840000}"/>
    <cellStyle name="计算 2 18 9 3" xfId="36003" xr:uid="{00000000-0005-0000-0000-0000C6840000}"/>
    <cellStyle name="计算 2 19" xfId="7403" xr:uid="{00000000-0005-0000-0000-0000C7840000}"/>
    <cellStyle name="计算 2 19 10" xfId="36004" xr:uid="{00000000-0005-0000-0000-0000C8840000}"/>
    <cellStyle name="计算 2 19 11" xfId="36005" xr:uid="{00000000-0005-0000-0000-0000C9840000}"/>
    <cellStyle name="计算 2 19 12" xfId="36006" xr:uid="{00000000-0005-0000-0000-0000CA840000}"/>
    <cellStyle name="计算 2 19 13" xfId="36007" xr:uid="{00000000-0005-0000-0000-0000CB840000}"/>
    <cellStyle name="计算 2 19 14" xfId="36008" xr:uid="{00000000-0005-0000-0000-0000CC840000}"/>
    <cellStyle name="计算 2 19 2" xfId="36009" xr:uid="{00000000-0005-0000-0000-0000CD840000}"/>
    <cellStyle name="计算 2 19 3" xfId="36010" xr:uid="{00000000-0005-0000-0000-0000CE840000}"/>
    <cellStyle name="计算 2 19 4" xfId="36011" xr:uid="{00000000-0005-0000-0000-0000CF840000}"/>
    <cellStyle name="计算 2 19 5" xfId="36012" xr:uid="{00000000-0005-0000-0000-0000D0840000}"/>
    <cellStyle name="计算 2 19 5 10" xfId="13592" xr:uid="{00000000-0005-0000-0000-0000D1840000}"/>
    <cellStyle name="计算 2 19 5 11" xfId="13601" xr:uid="{00000000-0005-0000-0000-0000D2840000}"/>
    <cellStyle name="计算 2 19 5 2" xfId="36013" xr:uid="{00000000-0005-0000-0000-0000D3840000}"/>
    <cellStyle name="计算 2 19 5 2 2" xfId="36014" xr:uid="{00000000-0005-0000-0000-0000D4840000}"/>
    <cellStyle name="计算 2 19 5 2 2 2" xfId="36015" xr:uid="{00000000-0005-0000-0000-0000D5840000}"/>
    <cellStyle name="计算 2 19 5 2 2 3" xfId="36016" xr:uid="{00000000-0005-0000-0000-0000D6840000}"/>
    <cellStyle name="计算 2 19 5 2 3" xfId="36017" xr:uid="{00000000-0005-0000-0000-0000D7840000}"/>
    <cellStyle name="计算 2 19 5 2 4" xfId="36018" xr:uid="{00000000-0005-0000-0000-0000D8840000}"/>
    <cellStyle name="计算 2 19 5 2 5" xfId="34095" xr:uid="{00000000-0005-0000-0000-0000D9840000}"/>
    <cellStyle name="计算 2 19 5 2 6" xfId="33828" xr:uid="{00000000-0005-0000-0000-0000DA840000}"/>
    <cellStyle name="计算 2 19 5 2 7" xfId="36019" xr:uid="{00000000-0005-0000-0000-0000DB840000}"/>
    <cellStyle name="计算 2 19 5 2 8" xfId="36020" xr:uid="{00000000-0005-0000-0000-0000DC840000}"/>
    <cellStyle name="计算 2 19 5 3" xfId="36021" xr:uid="{00000000-0005-0000-0000-0000DD840000}"/>
    <cellStyle name="计算 2 19 5 4" xfId="36022" xr:uid="{00000000-0005-0000-0000-0000DE840000}"/>
    <cellStyle name="计算 2 19 5 5" xfId="36023" xr:uid="{00000000-0005-0000-0000-0000DF840000}"/>
    <cellStyle name="计算 2 19 5 6" xfId="36024" xr:uid="{00000000-0005-0000-0000-0000E0840000}"/>
    <cellStyle name="计算 2 19 5 6 2" xfId="36025" xr:uid="{00000000-0005-0000-0000-0000E1840000}"/>
    <cellStyle name="计算 2 19 5 6 3" xfId="36026" xr:uid="{00000000-0005-0000-0000-0000E2840000}"/>
    <cellStyle name="计算 2 19 5 7" xfId="36027" xr:uid="{00000000-0005-0000-0000-0000E3840000}"/>
    <cellStyle name="计算 2 19 5 8" xfId="15874" xr:uid="{00000000-0005-0000-0000-0000E4840000}"/>
    <cellStyle name="计算 2 19 5 9" xfId="15877" xr:uid="{00000000-0005-0000-0000-0000E5840000}"/>
    <cellStyle name="计算 2 19 6" xfId="36028" xr:uid="{00000000-0005-0000-0000-0000E6840000}"/>
    <cellStyle name="计算 2 19 6 2" xfId="11737" xr:uid="{00000000-0005-0000-0000-0000E7840000}"/>
    <cellStyle name="计算 2 19 6 2 2" xfId="36029" xr:uid="{00000000-0005-0000-0000-0000E8840000}"/>
    <cellStyle name="计算 2 19 6 2 3" xfId="36030" xr:uid="{00000000-0005-0000-0000-0000E9840000}"/>
    <cellStyle name="计算 2 19 6 3" xfId="36031" xr:uid="{00000000-0005-0000-0000-0000EA840000}"/>
    <cellStyle name="计算 2 19 6 4" xfId="36032" xr:uid="{00000000-0005-0000-0000-0000EB840000}"/>
    <cellStyle name="计算 2 19 6 5" xfId="31694" xr:uid="{00000000-0005-0000-0000-0000EC840000}"/>
    <cellStyle name="计算 2 19 6 6" xfId="31696" xr:uid="{00000000-0005-0000-0000-0000ED840000}"/>
    <cellStyle name="计算 2 19 6 7" xfId="36033" xr:uid="{00000000-0005-0000-0000-0000EE840000}"/>
    <cellStyle name="计算 2 19 6 8" xfId="36034" xr:uid="{00000000-0005-0000-0000-0000EF840000}"/>
    <cellStyle name="计算 2 19 7" xfId="36035" xr:uid="{00000000-0005-0000-0000-0000F0840000}"/>
    <cellStyle name="计算 2 19 8" xfId="36036" xr:uid="{00000000-0005-0000-0000-0000F1840000}"/>
    <cellStyle name="计算 2 19 9" xfId="36037" xr:uid="{00000000-0005-0000-0000-0000F2840000}"/>
    <cellStyle name="计算 2 19 9 2" xfId="36038" xr:uid="{00000000-0005-0000-0000-0000F3840000}"/>
    <cellStyle name="计算 2 19 9 3" xfId="36039" xr:uid="{00000000-0005-0000-0000-0000F4840000}"/>
    <cellStyle name="计算 2 2" xfId="36040" xr:uid="{00000000-0005-0000-0000-0000F5840000}"/>
    <cellStyle name="计算 2 2 10" xfId="11660" xr:uid="{00000000-0005-0000-0000-0000F6840000}"/>
    <cellStyle name="计算 2 2 11" xfId="11663" xr:uid="{00000000-0005-0000-0000-0000F7840000}"/>
    <cellStyle name="计算 2 2 12" xfId="36041" xr:uid="{00000000-0005-0000-0000-0000F8840000}"/>
    <cellStyle name="计算 2 2 13" xfId="36042" xr:uid="{00000000-0005-0000-0000-0000F9840000}"/>
    <cellStyle name="计算 2 2 14" xfId="36043" xr:uid="{00000000-0005-0000-0000-0000FA840000}"/>
    <cellStyle name="计算 2 2 2" xfId="36044" xr:uid="{00000000-0005-0000-0000-0000FB840000}"/>
    <cellStyle name="计算 2 2 3" xfId="36045" xr:uid="{00000000-0005-0000-0000-0000FC840000}"/>
    <cellStyle name="计算 2 2 4" xfId="34854" xr:uid="{00000000-0005-0000-0000-0000FD840000}"/>
    <cellStyle name="计算 2 2 5" xfId="34856" xr:uid="{00000000-0005-0000-0000-0000FE840000}"/>
    <cellStyle name="计算 2 2 6" xfId="36046" xr:uid="{00000000-0005-0000-0000-0000FF840000}"/>
    <cellStyle name="计算 2 2 7" xfId="36047" xr:uid="{00000000-0005-0000-0000-000000850000}"/>
    <cellStyle name="计算 2 2 8" xfId="36048" xr:uid="{00000000-0005-0000-0000-000001850000}"/>
    <cellStyle name="计算 2 2 9" xfId="36049" xr:uid="{00000000-0005-0000-0000-000002850000}"/>
    <cellStyle name="计算 2 20" xfId="35934" xr:uid="{00000000-0005-0000-0000-000003850000}"/>
    <cellStyle name="计算 2 20 10" xfId="36050" xr:uid="{00000000-0005-0000-0000-000004850000}"/>
    <cellStyle name="计算 2 20 11" xfId="25696" xr:uid="{00000000-0005-0000-0000-000005850000}"/>
    <cellStyle name="计算 2 20 12" xfId="36051" xr:uid="{00000000-0005-0000-0000-000006850000}"/>
    <cellStyle name="计算 2 20 13" xfId="36052" xr:uid="{00000000-0005-0000-0000-000007850000}"/>
    <cellStyle name="计算 2 20 14" xfId="36053" xr:uid="{00000000-0005-0000-0000-000008850000}"/>
    <cellStyle name="计算 2 20 2" xfId="36054" xr:uid="{00000000-0005-0000-0000-000009850000}"/>
    <cellStyle name="计算 2 20 3" xfId="36055" xr:uid="{00000000-0005-0000-0000-00000A850000}"/>
    <cellStyle name="计算 2 20 4" xfId="36056" xr:uid="{00000000-0005-0000-0000-00000B850000}"/>
    <cellStyle name="计算 2 20 5" xfId="36057" xr:uid="{00000000-0005-0000-0000-00000C850000}"/>
    <cellStyle name="计算 2 20 5 10" xfId="36058" xr:uid="{00000000-0005-0000-0000-00000D850000}"/>
    <cellStyle name="计算 2 20 5 11" xfId="36059" xr:uid="{00000000-0005-0000-0000-00000E850000}"/>
    <cellStyle name="计算 2 20 5 2" xfId="36060" xr:uid="{00000000-0005-0000-0000-00000F850000}"/>
    <cellStyle name="计算 2 20 5 2 2" xfId="36061" xr:uid="{00000000-0005-0000-0000-000010850000}"/>
    <cellStyle name="计算 2 20 5 2 2 2" xfId="19712" xr:uid="{00000000-0005-0000-0000-000011850000}"/>
    <cellStyle name="计算 2 20 5 2 2 3" xfId="19715" xr:uid="{00000000-0005-0000-0000-000012850000}"/>
    <cellStyle name="计算 2 20 5 2 3" xfId="36062" xr:uid="{00000000-0005-0000-0000-000013850000}"/>
    <cellStyle name="计算 2 20 5 2 4" xfId="14637" xr:uid="{00000000-0005-0000-0000-000014850000}"/>
    <cellStyle name="计算 2 20 5 2 5" xfId="16301" xr:uid="{00000000-0005-0000-0000-000015850000}"/>
    <cellStyle name="计算 2 20 5 2 6" xfId="36063" xr:uid="{00000000-0005-0000-0000-000016850000}"/>
    <cellStyle name="计算 2 20 5 2 7" xfId="36064" xr:uid="{00000000-0005-0000-0000-000017850000}"/>
    <cellStyle name="计算 2 20 5 2 8" xfId="36065" xr:uid="{00000000-0005-0000-0000-000018850000}"/>
    <cellStyle name="计算 2 20 5 3" xfId="6263" xr:uid="{00000000-0005-0000-0000-000019850000}"/>
    <cellStyle name="计算 2 20 5 4" xfId="6271" xr:uid="{00000000-0005-0000-0000-00001A850000}"/>
    <cellStyle name="计算 2 20 5 5" xfId="6279" xr:uid="{00000000-0005-0000-0000-00001B850000}"/>
    <cellStyle name="计算 2 20 5 6" xfId="4830" xr:uid="{00000000-0005-0000-0000-00001C850000}"/>
    <cellStyle name="计算 2 20 5 6 2" xfId="36067" xr:uid="{00000000-0005-0000-0000-00001D850000}"/>
    <cellStyle name="计算 2 20 5 6 3" xfId="36068" xr:uid="{00000000-0005-0000-0000-00001E850000}"/>
    <cellStyle name="计算 2 20 5 7" xfId="4853" xr:uid="{00000000-0005-0000-0000-00001F850000}"/>
    <cellStyle name="计算 2 20 5 8" xfId="26195" xr:uid="{00000000-0005-0000-0000-000020850000}"/>
    <cellStyle name="计算 2 20 5 9" xfId="19527" xr:uid="{00000000-0005-0000-0000-000021850000}"/>
    <cellStyle name="计算 2 20 6" xfId="36069" xr:uid="{00000000-0005-0000-0000-000022850000}"/>
    <cellStyle name="计算 2 20 6 2" xfId="36070" xr:uid="{00000000-0005-0000-0000-000023850000}"/>
    <cellStyle name="计算 2 20 6 2 2" xfId="31868" xr:uid="{00000000-0005-0000-0000-000024850000}"/>
    <cellStyle name="计算 2 20 6 2 3" xfId="36071" xr:uid="{00000000-0005-0000-0000-000025850000}"/>
    <cellStyle name="计算 2 20 6 3" xfId="36072" xr:uid="{00000000-0005-0000-0000-000026850000}"/>
    <cellStyle name="计算 2 20 6 4" xfId="36073" xr:uid="{00000000-0005-0000-0000-000027850000}"/>
    <cellStyle name="计算 2 20 6 5" xfId="36074" xr:uid="{00000000-0005-0000-0000-000028850000}"/>
    <cellStyle name="计算 2 20 6 6" xfId="36075" xr:uid="{00000000-0005-0000-0000-000029850000}"/>
    <cellStyle name="计算 2 20 6 7" xfId="36077" xr:uid="{00000000-0005-0000-0000-00002A850000}"/>
    <cellStyle name="计算 2 20 6 8" xfId="36079" xr:uid="{00000000-0005-0000-0000-00002B850000}"/>
    <cellStyle name="计算 2 20 7" xfId="36080" xr:uid="{00000000-0005-0000-0000-00002C850000}"/>
    <cellStyle name="计算 2 20 8" xfId="36081" xr:uid="{00000000-0005-0000-0000-00002D850000}"/>
    <cellStyle name="计算 2 20 9" xfId="36082" xr:uid="{00000000-0005-0000-0000-00002E850000}"/>
    <cellStyle name="计算 2 20 9 2" xfId="36083" xr:uid="{00000000-0005-0000-0000-00002F850000}"/>
    <cellStyle name="计算 2 20 9 3" xfId="36084" xr:uid="{00000000-0005-0000-0000-000030850000}"/>
    <cellStyle name="计算 2 3" xfId="36085" xr:uid="{00000000-0005-0000-0000-000031850000}"/>
    <cellStyle name="计算 2 3 10" xfId="36086" xr:uid="{00000000-0005-0000-0000-000032850000}"/>
    <cellStyle name="计算 2 3 11" xfId="36087" xr:uid="{00000000-0005-0000-0000-000033850000}"/>
    <cellStyle name="计算 2 3 12" xfId="36088" xr:uid="{00000000-0005-0000-0000-000034850000}"/>
    <cellStyle name="计算 2 3 13" xfId="32899" xr:uid="{00000000-0005-0000-0000-000035850000}"/>
    <cellStyle name="计算 2 3 14" xfId="27428" xr:uid="{00000000-0005-0000-0000-000036850000}"/>
    <cellStyle name="计算 2 3 2" xfId="36089" xr:uid="{00000000-0005-0000-0000-000037850000}"/>
    <cellStyle name="计算 2 3 3" xfId="36090" xr:uid="{00000000-0005-0000-0000-000038850000}"/>
    <cellStyle name="计算 2 3 4" xfId="36091" xr:uid="{00000000-0005-0000-0000-000039850000}"/>
    <cellStyle name="计算 2 3 5" xfId="12698" xr:uid="{00000000-0005-0000-0000-00003A850000}"/>
    <cellStyle name="计算 2 3 6" xfId="12710" xr:uid="{00000000-0005-0000-0000-00003B850000}"/>
    <cellStyle name="计算 2 3 7" xfId="12714" xr:uid="{00000000-0005-0000-0000-00003C850000}"/>
    <cellStyle name="计算 2 3 8" xfId="12718" xr:uid="{00000000-0005-0000-0000-00003D850000}"/>
    <cellStyle name="计算 2 3 9" xfId="12722" xr:uid="{00000000-0005-0000-0000-00003E850000}"/>
    <cellStyle name="计算 2 4" xfId="36092" xr:uid="{00000000-0005-0000-0000-00003F850000}"/>
    <cellStyle name="计算 2 4 10" xfId="4310" xr:uid="{00000000-0005-0000-0000-000040850000}"/>
    <cellStyle name="计算 2 4 11" xfId="4569" xr:uid="{00000000-0005-0000-0000-000041850000}"/>
    <cellStyle name="计算 2 4 12" xfId="4595" xr:uid="{00000000-0005-0000-0000-000042850000}"/>
    <cellStyle name="计算 2 4 13" xfId="4765" xr:uid="{00000000-0005-0000-0000-000043850000}"/>
    <cellStyle name="计算 2 4 14" xfId="4777" xr:uid="{00000000-0005-0000-0000-000044850000}"/>
    <cellStyle name="计算 2 4 2" xfId="36094" xr:uid="{00000000-0005-0000-0000-000045850000}"/>
    <cellStyle name="计算 2 4 3" xfId="36096" xr:uid="{00000000-0005-0000-0000-000046850000}"/>
    <cellStyle name="计算 2 4 4" xfId="36097" xr:uid="{00000000-0005-0000-0000-000047850000}"/>
    <cellStyle name="计算 2 4 5" xfId="12736" xr:uid="{00000000-0005-0000-0000-000048850000}"/>
    <cellStyle name="计算 2 4 6" xfId="12749" xr:uid="{00000000-0005-0000-0000-000049850000}"/>
    <cellStyle name="计算 2 4 7" xfId="12755" xr:uid="{00000000-0005-0000-0000-00004A850000}"/>
    <cellStyle name="计算 2 4 8" xfId="12762" xr:uid="{00000000-0005-0000-0000-00004B850000}"/>
    <cellStyle name="计算 2 4 9" xfId="12772" xr:uid="{00000000-0005-0000-0000-00004C850000}"/>
    <cellStyle name="计算 2 5" xfId="36098" xr:uid="{00000000-0005-0000-0000-00004D850000}"/>
    <cellStyle name="计算 2 6" xfId="36099" xr:uid="{00000000-0005-0000-0000-00004E850000}"/>
    <cellStyle name="计算 2 7" xfId="28052" xr:uid="{00000000-0005-0000-0000-00004F850000}"/>
    <cellStyle name="计算 2 8" xfId="28055" xr:uid="{00000000-0005-0000-0000-000050850000}"/>
    <cellStyle name="计算 2 9" xfId="36100" xr:uid="{00000000-0005-0000-0000-000051850000}"/>
    <cellStyle name="计算 3" xfId="36101" xr:uid="{00000000-0005-0000-0000-000052850000}"/>
    <cellStyle name="计算 3 10" xfId="36102" xr:uid="{00000000-0005-0000-0000-000053850000}"/>
    <cellStyle name="计算 3 11" xfId="36103" xr:uid="{00000000-0005-0000-0000-000054850000}"/>
    <cellStyle name="计算 3 12" xfId="36104" xr:uid="{00000000-0005-0000-0000-000055850000}"/>
    <cellStyle name="计算 3 13" xfId="36105" xr:uid="{00000000-0005-0000-0000-000056850000}"/>
    <cellStyle name="计算 3 14" xfId="36106" xr:uid="{00000000-0005-0000-0000-000057850000}"/>
    <cellStyle name="计算 3 15" xfId="36108" xr:uid="{00000000-0005-0000-0000-000058850000}"/>
    <cellStyle name="计算 3 16" xfId="36109" xr:uid="{00000000-0005-0000-0000-000059850000}"/>
    <cellStyle name="计算 3 17" xfId="36110" xr:uid="{00000000-0005-0000-0000-00005A850000}"/>
    <cellStyle name="计算 3 17 10" xfId="22066" xr:uid="{00000000-0005-0000-0000-00005B850000}"/>
    <cellStyle name="计算 3 17 11" xfId="22068" xr:uid="{00000000-0005-0000-0000-00005C850000}"/>
    <cellStyle name="计算 3 17 12" xfId="22070" xr:uid="{00000000-0005-0000-0000-00005D850000}"/>
    <cellStyle name="计算 3 17 13" xfId="22072" xr:uid="{00000000-0005-0000-0000-00005E850000}"/>
    <cellStyle name="计算 3 17 14" xfId="22074" xr:uid="{00000000-0005-0000-0000-00005F850000}"/>
    <cellStyle name="计算 3 17 2" xfId="250" xr:uid="{00000000-0005-0000-0000-000060850000}"/>
    <cellStyle name="计算 3 17 2 2" xfId="22256" xr:uid="{00000000-0005-0000-0000-000061850000}"/>
    <cellStyle name="计算 3 17 3" xfId="13934" xr:uid="{00000000-0005-0000-0000-000062850000}"/>
    <cellStyle name="计算 3 17 4" xfId="36112" xr:uid="{00000000-0005-0000-0000-000063850000}"/>
    <cellStyle name="计算 3 17 5" xfId="36114" xr:uid="{00000000-0005-0000-0000-000064850000}"/>
    <cellStyle name="计算 3 17 5 10" xfId="36115" xr:uid="{00000000-0005-0000-0000-000065850000}"/>
    <cellStyle name="计算 3 17 5 11" xfId="36116" xr:uid="{00000000-0005-0000-0000-000066850000}"/>
    <cellStyle name="计算 3 17 5 2" xfId="36118" xr:uid="{00000000-0005-0000-0000-000067850000}"/>
    <cellStyle name="计算 3 17 5 2 2" xfId="33494" xr:uid="{00000000-0005-0000-0000-000068850000}"/>
    <cellStyle name="计算 3 17 5 2 2 2" xfId="35491" xr:uid="{00000000-0005-0000-0000-000069850000}"/>
    <cellStyle name="计算 3 17 5 2 2 3" xfId="35493" xr:uid="{00000000-0005-0000-0000-00006A850000}"/>
    <cellStyle name="计算 3 17 5 2 3" xfId="33496" xr:uid="{00000000-0005-0000-0000-00006B850000}"/>
    <cellStyle name="计算 3 17 5 2 4" xfId="30031" xr:uid="{00000000-0005-0000-0000-00006C850000}"/>
    <cellStyle name="计算 3 17 5 2 5" xfId="30034" xr:uid="{00000000-0005-0000-0000-00006D850000}"/>
    <cellStyle name="计算 3 17 5 2 6" xfId="31228" xr:uid="{00000000-0005-0000-0000-00006E850000}"/>
    <cellStyle name="计算 3 17 5 2 7" xfId="31231" xr:uid="{00000000-0005-0000-0000-00006F850000}"/>
    <cellStyle name="计算 3 17 5 2 8" xfId="31234" xr:uid="{00000000-0005-0000-0000-000070850000}"/>
    <cellStyle name="计算 3 17 5 3" xfId="36120" xr:uid="{00000000-0005-0000-0000-000071850000}"/>
    <cellStyle name="计算 3 17 5 4" xfId="36121" xr:uid="{00000000-0005-0000-0000-000072850000}"/>
    <cellStyle name="计算 3 17 5 5" xfId="36122" xr:uid="{00000000-0005-0000-0000-000073850000}"/>
    <cellStyle name="计算 3 17 5 6" xfId="33183" xr:uid="{00000000-0005-0000-0000-000074850000}"/>
    <cellStyle name="计算 3 17 5 6 2" xfId="33187" xr:uid="{00000000-0005-0000-0000-000075850000}"/>
    <cellStyle name="计算 3 17 5 6 3" xfId="33191" xr:uid="{00000000-0005-0000-0000-000076850000}"/>
    <cellStyle name="计算 3 17 5 7" xfId="33194" xr:uid="{00000000-0005-0000-0000-000077850000}"/>
    <cellStyle name="计算 3 17 5 8" xfId="33197" xr:uid="{00000000-0005-0000-0000-000078850000}"/>
    <cellStyle name="计算 3 17 5 9" xfId="33199" xr:uid="{00000000-0005-0000-0000-000079850000}"/>
    <cellStyle name="计算 3 17 6" xfId="8893" xr:uid="{00000000-0005-0000-0000-00007A850000}"/>
    <cellStyle name="计算 3 17 6 2" xfId="17331" xr:uid="{00000000-0005-0000-0000-00007B850000}"/>
    <cellStyle name="计算 3 17 6 2 2" xfId="16674" xr:uid="{00000000-0005-0000-0000-00007C850000}"/>
    <cellStyle name="计算 3 17 6 2 3" xfId="16626" xr:uid="{00000000-0005-0000-0000-00007D850000}"/>
    <cellStyle name="计算 3 17 6 3" xfId="17334" xr:uid="{00000000-0005-0000-0000-00007E850000}"/>
    <cellStyle name="计算 3 17 6 4" xfId="17337" xr:uid="{00000000-0005-0000-0000-00007F850000}"/>
    <cellStyle name="计算 3 17 6 5" xfId="17340" xr:uid="{00000000-0005-0000-0000-000080850000}"/>
    <cellStyle name="计算 3 17 6 6" xfId="17343" xr:uid="{00000000-0005-0000-0000-000081850000}"/>
    <cellStyle name="计算 3 17 6 7" xfId="17348" xr:uid="{00000000-0005-0000-0000-000082850000}"/>
    <cellStyle name="计算 3 17 6 8" xfId="17353" xr:uid="{00000000-0005-0000-0000-000083850000}"/>
    <cellStyle name="计算 3 17 7" xfId="8898" xr:uid="{00000000-0005-0000-0000-000084850000}"/>
    <cellStyle name="计算 3 17 8" xfId="8903" xr:uid="{00000000-0005-0000-0000-000085850000}"/>
    <cellStyle name="计算 3 17 9" xfId="8907" xr:uid="{00000000-0005-0000-0000-000086850000}"/>
    <cellStyle name="计算 3 17 9 2" xfId="36123" xr:uid="{00000000-0005-0000-0000-000087850000}"/>
    <cellStyle name="计算 3 17 9 3" xfId="36124" xr:uid="{00000000-0005-0000-0000-000088850000}"/>
    <cellStyle name="计算 3 18" xfId="36125" xr:uid="{00000000-0005-0000-0000-000089850000}"/>
    <cellStyle name="计算 3 18 10" xfId="22320" xr:uid="{00000000-0005-0000-0000-00008A850000}"/>
    <cellStyle name="计算 3 18 11" xfId="22322" xr:uid="{00000000-0005-0000-0000-00008B850000}"/>
    <cellStyle name="计算 3 18 12" xfId="22324" xr:uid="{00000000-0005-0000-0000-00008C850000}"/>
    <cellStyle name="计算 3 18 13" xfId="22326" xr:uid="{00000000-0005-0000-0000-00008D850000}"/>
    <cellStyle name="计算 3 18 14" xfId="22328" xr:uid="{00000000-0005-0000-0000-00008E850000}"/>
    <cellStyle name="计算 3 18 2" xfId="36127" xr:uid="{00000000-0005-0000-0000-00008F850000}"/>
    <cellStyle name="计算 3 18 3" xfId="36129" xr:uid="{00000000-0005-0000-0000-000090850000}"/>
    <cellStyle name="计算 3 18 4" xfId="36131" xr:uid="{00000000-0005-0000-0000-000091850000}"/>
    <cellStyle name="计算 3 18 5" xfId="36133" xr:uid="{00000000-0005-0000-0000-000092850000}"/>
    <cellStyle name="计算 3 18 5 10" xfId="36134" xr:uid="{00000000-0005-0000-0000-000093850000}"/>
    <cellStyle name="计算 3 18 5 11" xfId="36135" xr:uid="{00000000-0005-0000-0000-000094850000}"/>
    <cellStyle name="计算 3 18 5 2" xfId="15040" xr:uid="{00000000-0005-0000-0000-000095850000}"/>
    <cellStyle name="计算 3 18 5 2 2" xfId="19222" xr:uid="{00000000-0005-0000-0000-000096850000}"/>
    <cellStyle name="计算 3 18 5 2 2 2" xfId="19225" xr:uid="{00000000-0005-0000-0000-000097850000}"/>
    <cellStyle name="计算 3 18 5 2 2 3" xfId="19228" xr:uid="{00000000-0005-0000-0000-000098850000}"/>
    <cellStyle name="计算 3 18 5 2 3" xfId="32867" xr:uid="{00000000-0005-0000-0000-000099850000}"/>
    <cellStyle name="计算 3 18 5 2 4" xfId="32884" xr:uid="{00000000-0005-0000-0000-00009A850000}"/>
    <cellStyle name="计算 3 18 5 2 5" xfId="36136" xr:uid="{00000000-0005-0000-0000-00009B850000}"/>
    <cellStyle name="计算 3 18 5 2 6" xfId="24671" xr:uid="{00000000-0005-0000-0000-00009C850000}"/>
    <cellStyle name="计算 3 18 5 2 7" xfId="36137" xr:uid="{00000000-0005-0000-0000-00009D850000}"/>
    <cellStyle name="计算 3 18 5 2 8" xfId="36138" xr:uid="{00000000-0005-0000-0000-00009E850000}"/>
    <cellStyle name="计算 3 18 5 3" xfId="36139" xr:uid="{00000000-0005-0000-0000-00009F850000}"/>
    <cellStyle name="计算 3 18 5 4" xfId="12692" xr:uid="{00000000-0005-0000-0000-0000A0850000}"/>
    <cellStyle name="计算 3 18 5 5" xfId="12695" xr:uid="{00000000-0005-0000-0000-0000A1850000}"/>
    <cellStyle name="计算 3 18 5 6" xfId="33221" xr:uid="{00000000-0005-0000-0000-0000A2850000}"/>
    <cellStyle name="计算 3 18 5 6 2" xfId="21930" xr:uid="{00000000-0005-0000-0000-0000A3850000}"/>
    <cellStyle name="计算 3 18 5 6 3" xfId="21953" xr:uid="{00000000-0005-0000-0000-0000A4850000}"/>
    <cellStyle name="计算 3 18 5 7" xfId="33224" xr:uid="{00000000-0005-0000-0000-0000A5850000}"/>
    <cellStyle name="计算 3 18 5 8" xfId="36140" xr:uid="{00000000-0005-0000-0000-0000A6850000}"/>
    <cellStyle name="计算 3 18 5 9" xfId="36141" xr:uid="{00000000-0005-0000-0000-0000A7850000}"/>
    <cellStyle name="计算 3 18 6" xfId="1585" xr:uid="{00000000-0005-0000-0000-0000A8850000}"/>
    <cellStyle name="计算 3 18 6 2" xfId="17371" xr:uid="{00000000-0005-0000-0000-0000A9850000}"/>
    <cellStyle name="计算 3 18 6 2 2" xfId="36142" xr:uid="{00000000-0005-0000-0000-0000AA850000}"/>
    <cellStyle name="计算 3 18 6 2 3" xfId="36143" xr:uid="{00000000-0005-0000-0000-0000AB850000}"/>
    <cellStyle name="计算 3 18 6 3" xfId="17374" xr:uid="{00000000-0005-0000-0000-0000AC850000}"/>
    <cellStyle name="计算 3 18 6 4" xfId="36144" xr:uid="{00000000-0005-0000-0000-0000AD850000}"/>
    <cellStyle name="计算 3 18 6 5" xfId="36145" xr:uid="{00000000-0005-0000-0000-0000AE850000}"/>
    <cellStyle name="计算 3 18 6 6" xfId="36146" xr:uid="{00000000-0005-0000-0000-0000AF850000}"/>
    <cellStyle name="计算 3 18 6 7" xfId="36147" xr:uid="{00000000-0005-0000-0000-0000B0850000}"/>
    <cellStyle name="计算 3 18 6 8" xfId="36148" xr:uid="{00000000-0005-0000-0000-0000B1850000}"/>
    <cellStyle name="计算 3 18 7" xfId="1601" xr:uid="{00000000-0005-0000-0000-0000B2850000}"/>
    <cellStyle name="计算 3 18 8" xfId="1617" xr:uid="{00000000-0005-0000-0000-0000B3850000}"/>
    <cellStyle name="计算 3 18 9" xfId="1640" xr:uid="{00000000-0005-0000-0000-0000B4850000}"/>
    <cellStyle name="计算 3 18 9 2" xfId="36149" xr:uid="{00000000-0005-0000-0000-0000B5850000}"/>
    <cellStyle name="计算 3 18 9 3" xfId="36150" xr:uid="{00000000-0005-0000-0000-0000B6850000}"/>
    <cellStyle name="计算 3 19" xfId="36151" xr:uid="{00000000-0005-0000-0000-0000B7850000}"/>
    <cellStyle name="计算 3 19 10" xfId="22488" xr:uid="{00000000-0005-0000-0000-0000B8850000}"/>
    <cellStyle name="计算 3 19 11" xfId="21326" xr:uid="{00000000-0005-0000-0000-0000B9850000}"/>
    <cellStyle name="计算 3 19 12" xfId="21329" xr:uid="{00000000-0005-0000-0000-0000BA850000}"/>
    <cellStyle name="计算 3 19 13" xfId="21332" xr:uid="{00000000-0005-0000-0000-0000BB850000}"/>
    <cellStyle name="计算 3 19 14" xfId="21335" xr:uid="{00000000-0005-0000-0000-0000BC850000}"/>
    <cellStyle name="计算 3 19 2" xfId="5375" xr:uid="{00000000-0005-0000-0000-0000BD850000}"/>
    <cellStyle name="计算 3 19 3" xfId="5395" xr:uid="{00000000-0005-0000-0000-0000BE850000}"/>
    <cellStyle name="计算 3 19 4" xfId="1696" xr:uid="{00000000-0005-0000-0000-0000BF850000}"/>
    <cellStyle name="计算 3 19 5" xfId="1749" xr:uid="{00000000-0005-0000-0000-0000C0850000}"/>
    <cellStyle name="计算 3 19 5 10" xfId="36152" xr:uid="{00000000-0005-0000-0000-0000C1850000}"/>
    <cellStyle name="计算 3 19 5 11" xfId="36153" xr:uid="{00000000-0005-0000-0000-0000C2850000}"/>
    <cellStyle name="计算 3 19 5 2" xfId="36154" xr:uid="{00000000-0005-0000-0000-0000C3850000}"/>
    <cellStyle name="计算 3 19 5 2 2" xfId="36156" xr:uid="{00000000-0005-0000-0000-0000C4850000}"/>
    <cellStyle name="计算 3 19 5 2 2 2" xfId="36157" xr:uid="{00000000-0005-0000-0000-0000C5850000}"/>
    <cellStyle name="计算 3 19 5 2 2 3" xfId="36158" xr:uid="{00000000-0005-0000-0000-0000C6850000}"/>
    <cellStyle name="计算 3 19 5 2 3" xfId="36159" xr:uid="{00000000-0005-0000-0000-0000C7850000}"/>
    <cellStyle name="计算 3 19 5 2 4" xfId="25484" xr:uid="{00000000-0005-0000-0000-0000C8850000}"/>
    <cellStyle name="计算 3 19 5 2 5" xfId="25486" xr:uid="{00000000-0005-0000-0000-0000C9850000}"/>
    <cellStyle name="计算 3 19 5 2 6" xfId="25488" xr:uid="{00000000-0005-0000-0000-0000CA850000}"/>
    <cellStyle name="计算 3 19 5 2 7" xfId="25490" xr:uid="{00000000-0005-0000-0000-0000CB850000}"/>
    <cellStyle name="计算 3 19 5 2 8" xfId="25492" xr:uid="{00000000-0005-0000-0000-0000CC850000}"/>
    <cellStyle name="计算 3 19 5 3" xfId="36160" xr:uid="{00000000-0005-0000-0000-0000CD850000}"/>
    <cellStyle name="计算 3 19 5 4" xfId="36161" xr:uid="{00000000-0005-0000-0000-0000CE850000}"/>
    <cellStyle name="计算 3 19 5 5" xfId="8494" xr:uid="{00000000-0005-0000-0000-0000CF850000}"/>
    <cellStyle name="计算 3 19 5 6" xfId="8508" xr:uid="{00000000-0005-0000-0000-0000D0850000}"/>
    <cellStyle name="计算 3 19 5 6 2" xfId="36162" xr:uid="{00000000-0005-0000-0000-0000D1850000}"/>
    <cellStyle name="计算 3 19 5 6 3" xfId="36163" xr:uid="{00000000-0005-0000-0000-0000D2850000}"/>
    <cellStyle name="计算 3 19 5 7" xfId="8515" xr:uid="{00000000-0005-0000-0000-0000D3850000}"/>
    <cellStyle name="计算 3 19 5 8" xfId="8522" xr:uid="{00000000-0005-0000-0000-0000D4850000}"/>
    <cellStyle name="计算 3 19 5 9" xfId="8529" xr:uid="{00000000-0005-0000-0000-0000D5850000}"/>
    <cellStyle name="计算 3 19 6" xfId="1759" xr:uid="{00000000-0005-0000-0000-0000D6850000}"/>
    <cellStyle name="计算 3 19 6 2" xfId="7449" xr:uid="{00000000-0005-0000-0000-0000D7850000}"/>
    <cellStyle name="计算 3 19 6 2 2" xfId="36164" xr:uid="{00000000-0005-0000-0000-0000D8850000}"/>
    <cellStyle name="计算 3 19 6 2 3" xfId="36165" xr:uid="{00000000-0005-0000-0000-0000D9850000}"/>
    <cellStyle name="计算 3 19 6 3" xfId="7452" xr:uid="{00000000-0005-0000-0000-0000DA850000}"/>
    <cellStyle name="计算 3 19 6 4" xfId="7456" xr:uid="{00000000-0005-0000-0000-0000DB850000}"/>
    <cellStyle name="计算 3 19 6 5" xfId="7011" xr:uid="{00000000-0005-0000-0000-0000DC850000}"/>
    <cellStyle name="计算 3 19 6 6" xfId="7019" xr:uid="{00000000-0005-0000-0000-0000DD850000}"/>
    <cellStyle name="计算 3 19 6 7" xfId="7027" xr:uid="{00000000-0005-0000-0000-0000DE850000}"/>
    <cellStyle name="计算 3 19 6 8" xfId="7036" xr:uid="{00000000-0005-0000-0000-0000DF850000}"/>
    <cellStyle name="计算 3 19 7" xfId="1769" xr:uid="{00000000-0005-0000-0000-0000E0850000}"/>
    <cellStyle name="计算 3 19 8" xfId="36166" xr:uid="{00000000-0005-0000-0000-0000E1850000}"/>
    <cellStyle name="计算 3 19 9" xfId="36167" xr:uid="{00000000-0005-0000-0000-0000E2850000}"/>
    <cellStyle name="计算 3 19 9 2" xfId="36168" xr:uid="{00000000-0005-0000-0000-0000E3850000}"/>
    <cellStyle name="计算 3 19 9 3" xfId="36169" xr:uid="{00000000-0005-0000-0000-0000E4850000}"/>
    <cellStyle name="计算 3 2" xfId="36170" xr:uid="{00000000-0005-0000-0000-0000E5850000}"/>
    <cellStyle name="计算 3 2 10" xfId="36171" xr:uid="{00000000-0005-0000-0000-0000E6850000}"/>
    <cellStyle name="计算 3 2 11" xfId="36172" xr:uid="{00000000-0005-0000-0000-0000E7850000}"/>
    <cellStyle name="计算 3 2 12" xfId="36173" xr:uid="{00000000-0005-0000-0000-0000E8850000}"/>
    <cellStyle name="计算 3 2 13" xfId="36174" xr:uid="{00000000-0005-0000-0000-0000E9850000}"/>
    <cellStyle name="计算 3 2 14" xfId="36175" xr:uid="{00000000-0005-0000-0000-0000EA850000}"/>
    <cellStyle name="计算 3 2 2" xfId="36176" xr:uid="{00000000-0005-0000-0000-0000EB850000}"/>
    <cellStyle name="计算 3 2 3" xfId="36177" xr:uid="{00000000-0005-0000-0000-0000EC850000}"/>
    <cellStyle name="计算 3 2 4" xfId="36178" xr:uid="{00000000-0005-0000-0000-0000ED850000}"/>
    <cellStyle name="计算 3 2 5" xfId="36179" xr:uid="{00000000-0005-0000-0000-0000EE850000}"/>
    <cellStyle name="计算 3 2 6" xfId="36180" xr:uid="{00000000-0005-0000-0000-0000EF850000}"/>
    <cellStyle name="计算 3 2 7" xfId="36181" xr:uid="{00000000-0005-0000-0000-0000F0850000}"/>
    <cellStyle name="计算 3 2 8" xfId="36182" xr:uid="{00000000-0005-0000-0000-0000F1850000}"/>
    <cellStyle name="计算 3 2 9" xfId="36183" xr:uid="{00000000-0005-0000-0000-0000F2850000}"/>
    <cellStyle name="计算 3 20" xfId="36107" xr:uid="{00000000-0005-0000-0000-0000F3850000}"/>
    <cellStyle name="计算 3 20 10" xfId="36184" xr:uid="{00000000-0005-0000-0000-0000F4850000}"/>
    <cellStyle name="计算 3 20 11" xfId="36185" xr:uid="{00000000-0005-0000-0000-0000F5850000}"/>
    <cellStyle name="计算 3 20 12" xfId="36186" xr:uid="{00000000-0005-0000-0000-0000F6850000}"/>
    <cellStyle name="计算 3 20 13" xfId="36187" xr:uid="{00000000-0005-0000-0000-0000F7850000}"/>
    <cellStyle name="计算 3 20 14" xfId="36188" xr:uid="{00000000-0005-0000-0000-0000F8850000}"/>
    <cellStyle name="计算 3 20 2" xfId="8666" xr:uid="{00000000-0005-0000-0000-0000F9850000}"/>
    <cellStyle name="计算 3 20 3" xfId="36189" xr:uid="{00000000-0005-0000-0000-0000FA850000}"/>
    <cellStyle name="计算 3 20 4" xfId="36190" xr:uid="{00000000-0005-0000-0000-0000FB850000}"/>
    <cellStyle name="计算 3 20 5" xfId="36191" xr:uid="{00000000-0005-0000-0000-0000FC850000}"/>
    <cellStyle name="计算 3 20 5 10" xfId="36192" xr:uid="{00000000-0005-0000-0000-0000FD850000}"/>
    <cellStyle name="计算 3 20 5 11" xfId="36193" xr:uid="{00000000-0005-0000-0000-0000FE850000}"/>
    <cellStyle name="计算 3 20 5 2" xfId="36194" xr:uid="{00000000-0005-0000-0000-0000FF850000}"/>
    <cellStyle name="计算 3 20 5 2 2" xfId="25714" xr:uid="{00000000-0005-0000-0000-000000860000}"/>
    <cellStyle name="计算 3 20 5 2 2 2" xfId="36195" xr:uid="{00000000-0005-0000-0000-000001860000}"/>
    <cellStyle name="计算 3 20 5 2 2 3" xfId="19932" xr:uid="{00000000-0005-0000-0000-000002860000}"/>
    <cellStyle name="计算 3 20 5 2 3" xfId="27663" xr:uid="{00000000-0005-0000-0000-000003860000}"/>
    <cellStyle name="计算 3 20 5 2 4" xfId="36196" xr:uid="{00000000-0005-0000-0000-000004860000}"/>
    <cellStyle name="计算 3 20 5 2 5" xfId="36197" xr:uid="{00000000-0005-0000-0000-000005860000}"/>
    <cellStyle name="计算 3 20 5 2 6" xfId="36198" xr:uid="{00000000-0005-0000-0000-000006860000}"/>
    <cellStyle name="计算 3 20 5 2 7" xfId="36199" xr:uid="{00000000-0005-0000-0000-000007860000}"/>
    <cellStyle name="计算 3 20 5 2 8" xfId="36200" xr:uid="{00000000-0005-0000-0000-000008860000}"/>
    <cellStyle name="计算 3 20 5 3" xfId="36201" xr:uid="{00000000-0005-0000-0000-000009860000}"/>
    <cellStyle name="计算 3 20 5 4" xfId="36202" xr:uid="{00000000-0005-0000-0000-00000A860000}"/>
    <cellStyle name="计算 3 20 5 5" xfId="36203" xr:uid="{00000000-0005-0000-0000-00000B860000}"/>
    <cellStyle name="计算 3 20 5 6" xfId="36204" xr:uid="{00000000-0005-0000-0000-00000C860000}"/>
    <cellStyle name="计算 3 20 5 6 2" xfId="36205" xr:uid="{00000000-0005-0000-0000-00000D860000}"/>
    <cellStyle name="计算 3 20 5 6 3" xfId="36206" xr:uid="{00000000-0005-0000-0000-00000E860000}"/>
    <cellStyle name="计算 3 20 5 7" xfId="36207" xr:uid="{00000000-0005-0000-0000-00000F860000}"/>
    <cellStyle name="计算 3 20 5 8" xfId="36208" xr:uid="{00000000-0005-0000-0000-000010860000}"/>
    <cellStyle name="计算 3 20 5 9" xfId="30037" xr:uid="{00000000-0005-0000-0000-000011860000}"/>
    <cellStyle name="计算 3 20 6" xfId="36209" xr:uid="{00000000-0005-0000-0000-000012860000}"/>
    <cellStyle name="计算 3 20 6 2" xfId="36210" xr:uid="{00000000-0005-0000-0000-000013860000}"/>
    <cellStyle name="计算 3 20 6 2 2" xfId="27715" xr:uid="{00000000-0005-0000-0000-000014860000}"/>
    <cellStyle name="计算 3 20 6 2 3" xfId="27718" xr:uid="{00000000-0005-0000-0000-000015860000}"/>
    <cellStyle name="计算 3 20 6 3" xfId="36211" xr:uid="{00000000-0005-0000-0000-000016860000}"/>
    <cellStyle name="计算 3 20 6 4" xfId="36212" xr:uid="{00000000-0005-0000-0000-000017860000}"/>
    <cellStyle name="计算 3 20 6 5" xfId="36213" xr:uid="{00000000-0005-0000-0000-000018860000}"/>
    <cellStyle name="计算 3 20 6 6" xfId="36214" xr:uid="{00000000-0005-0000-0000-000019860000}"/>
    <cellStyle name="计算 3 20 6 7" xfId="36215" xr:uid="{00000000-0005-0000-0000-00001A860000}"/>
    <cellStyle name="计算 3 20 6 8" xfId="36216" xr:uid="{00000000-0005-0000-0000-00001B860000}"/>
    <cellStyle name="计算 3 20 7" xfId="36217" xr:uid="{00000000-0005-0000-0000-00001C860000}"/>
    <cellStyle name="计算 3 20 8" xfId="36218" xr:uid="{00000000-0005-0000-0000-00001D860000}"/>
    <cellStyle name="计算 3 20 9" xfId="36219" xr:uid="{00000000-0005-0000-0000-00001E860000}"/>
    <cellStyle name="计算 3 20 9 2" xfId="36220" xr:uid="{00000000-0005-0000-0000-00001F860000}"/>
    <cellStyle name="计算 3 20 9 3" xfId="35552" xr:uid="{00000000-0005-0000-0000-000020860000}"/>
    <cellStyle name="计算 3 3" xfId="14940" xr:uid="{00000000-0005-0000-0000-000021860000}"/>
    <cellStyle name="计算 3 3 10" xfId="35148" xr:uid="{00000000-0005-0000-0000-000022860000}"/>
    <cellStyle name="计算 3 3 11" xfId="31349" xr:uid="{00000000-0005-0000-0000-000023860000}"/>
    <cellStyle name="计算 3 3 12" xfId="31352" xr:uid="{00000000-0005-0000-0000-000024860000}"/>
    <cellStyle name="计算 3 3 13" xfId="35150" xr:uid="{00000000-0005-0000-0000-000025860000}"/>
    <cellStyle name="计算 3 3 14" xfId="35152" xr:uid="{00000000-0005-0000-0000-000026860000}"/>
    <cellStyle name="计算 3 3 2" xfId="36221" xr:uid="{00000000-0005-0000-0000-000027860000}"/>
    <cellStyle name="计算 3 3 3" xfId="36222" xr:uid="{00000000-0005-0000-0000-000028860000}"/>
    <cellStyle name="计算 3 3 4" xfId="36223" xr:uid="{00000000-0005-0000-0000-000029860000}"/>
    <cellStyle name="计算 3 3 5" xfId="36224" xr:uid="{00000000-0005-0000-0000-00002A860000}"/>
    <cellStyle name="计算 3 3 6" xfId="36225" xr:uid="{00000000-0005-0000-0000-00002B860000}"/>
    <cellStyle name="计算 3 3 7" xfId="36226" xr:uid="{00000000-0005-0000-0000-00002C860000}"/>
    <cellStyle name="计算 3 3 8" xfId="36227" xr:uid="{00000000-0005-0000-0000-00002D860000}"/>
    <cellStyle name="计算 3 3 9" xfId="36228" xr:uid="{00000000-0005-0000-0000-00002E860000}"/>
    <cellStyle name="计算 3 4" xfId="14945" xr:uid="{00000000-0005-0000-0000-00002F860000}"/>
    <cellStyle name="计算 3 4 10" xfId="36229" xr:uid="{00000000-0005-0000-0000-000030860000}"/>
    <cellStyle name="计算 3 4 11" xfId="36230" xr:uid="{00000000-0005-0000-0000-000031860000}"/>
    <cellStyle name="计算 3 4 12" xfId="36231" xr:uid="{00000000-0005-0000-0000-000032860000}"/>
    <cellStyle name="计算 3 4 13" xfId="36232" xr:uid="{00000000-0005-0000-0000-000033860000}"/>
    <cellStyle name="计算 3 4 14" xfId="36233" xr:uid="{00000000-0005-0000-0000-000034860000}"/>
    <cellStyle name="计算 3 4 2" xfId="36234" xr:uid="{00000000-0005-0000-0000-000035860000}"/>
    <cellStyle name="计算 3 4 3" xfId="26164" xr:uid="{00000000-0005-0000-0000-000036860000}"/>
    <cellStyle name="计算 3 4 4" xfId="26166" xr:uid="{00000000-0005-0000-0000-000037860000}"/>
    <cellStyle name="计算 3 4 5" xfId="36235" xr:uid="{00000000-0005-0000-0000-000038860000}"/>
    <cellStyle name="计算 3 4 6" xfId="36236" xr:uid="{00000000-0005-0000-0000-000039860000}"/>
    <cellStyle name="计算 3 4 7" xfId="36237" xr:uid="{00000000-0005-0000-0000-00003A860000}"/>
    <cellStyle name="计算 3 4 8" xfId="36238" xr:uid="{00000000-0005-0000-0000-00003B860000}"/>
    <cellStyle name="计算 3 4 9" xfId="36239" xr:uid="{00000000-0005-0000-0000-00003C860000}"/>
    <cellStyle name="计算 3 5" xfId="12279" xr:uid="{00000000-0005-0000-0000-00003D860000}"/>
    <cellStyle name="计算 3 6" xfId="12285" xr:uid="{00000000-0005-0000-0000-00003E860000}"/>
    <cellStyle name="计算 3 7" xfId="14949" xr:uid="{00000000-0005-0000-0000-00003F860000}"/>
    <cellStyle name="计算 3 8" xfId="36240" xr:uid="{00000000-0005-0000-0000-000040860000}"/>
    <cellStyle name="计算 3 9" xfId="36241" xr:uid="{00000000-0005-0000-0000-000041860000}"/>
    <cellStyle name="计算 4" xfId="20838" xr:uid="{00000000-0005-0000-0000-000042860000}"/>
    <cellStyle name="计算 4 10" xfId="36242" xr:uid="{00000000-0005-0000-0000-000043860000}"/>
    <cellStyle name="计算 4 11" xfId="36243" xr:uid="{00000000-0005-0000-0000-000044860000}"/>
    <cellStyle name="计算 4 12" xfId="36244" xr:uid="{00000000-0005-0000-0000-000045860000}"/>
    <cellStyle name="计算 4 13" xfId="36245" xr:uid="{00000000-0005-0000-0000-000046860000}"/>
    <cellStyle name="计算 4 14" xfId="36246" xr:uid="{00000000-0005-0000-0000-000047860000}"/>
    <cellStyle name="计算 4 15" xfId="36248" xr:uid="{00000000-0005-0000-0000-000048860000}"/>
    <cellStyle name="计算 4 16" xfId="36249" xr:uid="{00000000-0005-0000-0000-000049860000}"/>
    <cellStyle name="计算 4 17" xfId="14994" xr:uid="{00000000-0005-0000-0000-00004A860000}"/>
    <cellStyle name="计算 4 17 10" xfId="36250" xr:uid="{00000000-0005-0000-0000-00004B860000}"/>
    <cellStyle name="计算 4 17 11" xfId="36251" xr:uid="{00000000-0005-0000-0000-00004C860000}"/>
    <cellStyle name="计算 4 17 12" xfId="36252" xr:uid="{00000000-0005-0000-0000-00004D860000}"/>
    <cellStyle name="计算 4 17 13" xfId="36253" xr:uid="{00000000-0005-0000-0000-00004E860000}"/>
    <cellStyle name="计算 4 17 14" xfId="36254" xr:uid="{00000000-0005-0000-0000-00004F860000}"/>
    <cellStyle name="计算 4 17 2" xfId="36255" xr:uid="{00000000-0005-0000-0000-000050860000}"/>
    <cellStyle name="计算 4 17 3" xfId="36256" xr:uid="{00000000-0005-0000-0000-000051860000}"/>
    <cellStyle name="计算 4 17 4" xfId="36257" xr:uid="{00000000-0005-0000-0000-000052860000}"/>
    <cellStyle name="计算 4 17 5" xfId="36258" xr:uid="{00000000-0005-0000-0000-000053860000}"/>
    <cellStyle name="计算 4 17 5 10" xfId="36259" xr:uid="{00000000-0005-0000-0000-000054860000}"/>
    <cellStyle name="计算 4 17 5 11" xfId="36260" xr:uid="{00000000-0005-0000-0000-000055860000}"/>
    <cellStyle name="计算 4 17 5 2" xfId="36261" xr:uid="{00000000-0005-0000-0000-000056860000}"/>
    <cellStyle name="计算 4 17 5 2 2" xfId="25219" xr:uid="{00000000-0005-0000-0000-000057860000}"/>
    <cellStyle name="计算 4 17 5 2 2 2" xfId="35754" xr:uid="{00000000-0005-0000-0000-000058860000}"/>
    <cellStyle name="计算 4 17 5 2 2 3" xfId="35762" xr:uid="{00000000-0005-0000-0000-000059860000}"/>
    <cellStyle name="计算 4 17 5 2 3" xfId="25221" xr:uid="{00000000-0005-0000-0000-00005A860000}"/>
    <cellStyle name="计算 4 17 5 2 4" xfId="25223" xr:uid="{00000000-0005-0000-0000-00005B860000}"/>
    <cellStyle name="计算 4 17 5 2 5" xfId="25225" xr:uid="{00000000-0005-0000-0000-00005C860000}"/>
    <cellStyle name="计算 4 17 5 2 6" xfId="36262" xr:uid="{00000000-0005-0000-0000-00005D860000}"/>
    <cellStyle name="计算 4 17 5 2 7" xfId="36263" xr:uid="{00000000-0005-0000-0000-00005E860000}"/>
    <cellStyle name="计算 4 17 5 2 8" xfId="36264" xr:uid="{00000000-0005-0000-0000-00005F860000}"/>
    <cellStyle name="计算 4 17 5 3" xfId="36265" xr:uid="{00000000-0005-0000-0000-000060860000}"/>
    <cellStyle name="计算 4 17 5 4" xfId="36266" xr:uid="{00000000-0005-0000-0000-000061860000}"/>
    <cellStyle name="计算 4 17 5 5" xfId="36267" xr:uid="{00000000-0005-0000-0000-000062860000}"/>
    <cellStyle name="计算 4 17 5 6" xfId="8782" xr:uid="{00000000-0005-0000-0000-000063860000}"/>
    <cellStyle name="计算 4 17 5 6 2" xfId="36268" xr:uid="{00000000-0005-0000-0000-000064860000}"/>
    <cellStyle name="计算 4 17 5 6 3" xfId="36269" xr:uid="{00000000-0005-0000-0000-000065860000}"/>
    <cellStyle name="计算 4 17 5 7" xfId="8797" xr:uid="{00000000-0005-0000-0000-000066860000}"/>
    <cellStyle name="计算 4 17 5 8" xfId="36270" xr:uid="{00000000-0005-0000-0000-000067860000}"/>
    <cellStyle name="计算 4 17 5 9" xfId="36271" xr:uid="{00000000-0005-0000-0000-000068860000}"/>
    <cellStyle name="计算 4 17 6" xfId="9624" xr:uid="{00000000-0005-0000-0000-000069860000}"/>
    <cellStyle name="计算 4 17 6 2" xfId="20014" xr:uid="{00000000-0005-0000-0000-00006A860000}"/>
    <cellStyle name="计算 4 17 6 2 2" xfId="29784" xr:uid="{00000000-0005-0000-0000-00006B860000}"/>
    <cellStyle name="计算 4 17 6 2 3" xfId="29786" xr:uid="{00000000-0005-0000-0000-00006C860000}"/>
    <cellStyle name="计算 4 17 6 3" xfId="20016" xr:uid="{00000000-0005-0000-0000-00006D860000}"/>
    <cellStyle name="计算 4 17 6 4" xfId="36272" xr:uid="{00000000-0005-0000-0000-00006E860000}"/>
    <cellStyle name="计算 4 17 6 5" xfId="36273" xr:uid="{00000000-0005-0000-0000-00006F860000}"/>
    <cellStyle name="计算 4 17 6 6" xfId="15851" xr:uid="{00000000-0005-0000-0000-000070860000}"/>
    <cellStyle name="计算 4 17 6 7" xfId="15860" xr:uid="{00000000-0005-0000-0000-000071860000}"/>
    <cellStyle name="计算 4 17 6 8" xfId="13813" xr:uid="{00000000-0005-0000-0000-000072860000}"/>
    <cellStyle name="计算 4 17 7" xfId="9629" xr:uid="{00000000-0005-0000-0000-000073860000}"/>
    <cellStyle name="计算 4 17 8" xfId="9634" xr:uid="{00000000-0005-0000-0000-000074860000}"/>
    <cellStyle name="计算 4 17 9" xfId="9638" xr:uid="{00000000-0005-0000-0000-000075860000}"/>
    <cellStyle name="计算 4 17 9 2" xfId="36274" xr:uid="{00000000-0005-0000-0000-000076860000}"/>
    <cellStyle name="计算 4 17 9 3" xfId="36275" xr:uid="{00000000-0005-0000-0000-000077860000}"/>
    <cellStyle name="计算 4 18" xfId="14996" xr:uid="{00000000-0005-0000-0000-000078860000}"/>
    <cellStyle name="计算 4 18 10" xfId="36276" xr:uid="{00000000-0005-0000-0000-000079860000}"/>
    <cellStyle name="计算 4 18 11" xfId="28742" xr:uid="{00000000-0005-0000-0000-00007A860000}"/>
    <cellStyle name="计算 4 18 12" xfId="28744" xr:uid="{00000000-0005-0000-0000-00007B860000}"/>
    <cellStyle name="计算 4 18 13" xfId="28746" xr:uid="{00000000-0005-0000-0000-00007C860000}"/>
    <cellStyle name="计算 4 18 14" xfId="28748" xr:uid="{00000000-0005-0000-0000-00007D860000}"/>
    <cellStyle name="计算 4 18 2" xfId="36277" xr:uid="{00000000-0005-0000-0000-00007E860000}"/>
    <cellStyle name="计算 4 18 3" xfId="36278" xr:uid="{00000000-0005-0000-0000-00007F860000}"/>
    <cellStyle name="计算 4 18 4" xfId="36279" xr:uid="{00000000-0005-0000-0000-000080860000}"/>
    <cellStyle name="计算 4 18 5" xfId="36280" xr:uid="{00000000-0005-0000-0000-000081860000}"/>
    <cellStyle name="计算 4 18 5 10" xfId="36282" xr:uid="{00000000-0005-0000-0000-000082860000}"/>
    <cellStyle name="计算 4 18 5 11" xfId="36284" xr:uid="{00000000-0005-0000-0000-000083860000}"/>
    <cellStyle name="计算 4 18 5 2" xfId="36285" xr:uid="{00000000-0005-0000-0000-000084860000}"/>
    <cellStyle name="计算 4 18 5 2 2" xfId="36287" xr:uid="{00000000-0005-0000-0000-000085860000}"/>
    <cellStyle name="计算 4 18 5 2 2 2" xfId="36288" xr:uid="{00000000-0005-0000-0000-000086860000}"/>
    <cellStyle name="计算 4 18 5 2 2 3" xfId="36289" xr:uid="{00000000-0005-0000-0000-000087860000}"/>
    <cellStyle name="计算 4 18 5 2 3" xfId="36290" xr:uid="{00000000-0005-0000-0000-000088860000}"/>
    <cellStyle name="计算 4 18 5 2 4" xfId="36291" xr:uid="{00000000-0005-0000-0000-000089860000}"/>
    <cellStyle name="计算 4 18 5 2 5" xfId="36292" xr:uid="{00000000-0005-0000-0000-00008A860000}"/>
    <cellStyle name="计算 4 18 5 2 6" xfId="36293" xr:uid="{00000000-0005-0000-0000-00008B860000}"/>
    <cellStyle name="计算 4 18 5 2 7" xfId="36294" xr:uid="{00000000-0005-0000-0000-00008C860000}"/>
    <cellStyle name="计算 4 18 5 2 8" xfId="36295" xr:uid="{00000000-0005-0000-0000-00008D860000}"/>
    <cellStyle name="计算 4 18 5 3" xfId="36296" xr:uid="{00000000-0005-0000-0000-00008E860000}"/>
    <cellStyle name="计算 4 18 5 4" xfId="36297" xr:uid="{00000000-0005-0000-0000-00008F860000}"/>
    <cellStyle name="计算 4 18 5 5" xfId="36298" xr:uid="{00000000-0005-0000-0000-000090860000}"/>
    <cellStyle name="计算 4 18 5 6" xfId="36299" xr:uid="{00000000-0005-0000-0000-000091860000}"/>
    <cellStyle name="计算 4 18 5 6 2" xfId="36300" xr:uid="{00000000-0005-0000-0000-000092860000}"/>
    <cellStyle name="计算 4 18 5 6 3" xfId="36301" xr:uid="{00000000-0005-0000-0000-000093860000}"/>
    <cellStyle name="计算 4 18 5 7" xfId="36302" xr:uid="{00000000-0005-0000-0000-000094860000}"/>
    <cellStyle name="计算 4 18 5 8" xfId="36303" xr:uid="{00000000-0005-0000-0000-000095860000}"/>
    <cellStyle name="计算 4 18 5 9" xfId="36304" xr:uid="{00000000-0005-0000-0000-000096860000}"/>
    <cellStyle name="计算 4 18 6" xfId="36305" xr:uid="{00000000-0005-0000-0000-000097860000}"/>
    <cellStyle name="计算 4 18 6 2" xfId="36306" xr:uid="{00000000-0005-0000-0000-000098860000}"/>
    <cellStyle name="计算 4 18 6 2 2" xfId="36307" xr:uid="{00000000-0005-0000-0000-000099860000}"/>
    <cellStyle name="计算 4 18 6 2 3" xfId="6472" xr:uid="{00000000-0005-0000-0000-00009A860000}"/>
    <cellStyle name="计算 4 18 6 3" xfId="36308" xr:uid="{00000000-0005-0000-0000-00009B860000}"/>
    <cellStyle name="计算 4 18 6 4" xfId="36309" xr:uid="{00000000-0005-0000-0000-00009C860000}"/>
    <cellStyle name="计算 4 18 6 5" xfId="36310" xr:uid="{00000000-0005-0000-0000-00009D860000}"/>
    <cellStyle name="计算 4 18 6 6" xfId="36311" xr:uid="{00000000-0005-0000-0000-00009E860000}"/>
    <cellStyle name="计算 4 18 6 7" xfId="36312" xr:uid="{00000000-0005-0000-0000-00009F860000}"/>
    <cellStyle name="计算 4 18 6 8" xfId="36313" xr:uid="{00000000-0005-0000-0000-0000A0860000}"/>
    <cellStyle name="计算 4 18 7" xfId="36314" xr:uid="{00000000-0005-0000-0000-0000A1860000}"/>
    <cellStyle name="计算 4 18 8" xfId="36315" xr:uid="{00000000-0005-0000-0000-0000A2860000}"/>
    <cellStyle name="计算 4 18 9" xfId="36316" xr:uid="{00000000-0005-0000-0000-0000A3860000}"/>
    <cellStyle name="计算 4 18 9 2" xfId="26932" xr:uid="{00000000-0005-0000-0000-0000A4860000}"/>
    <cellStyle name="计算 4 18 9 3" xfId="26935" xr:uid="{00000000-0005-0000-0000-0000A5860000}"/>
    <cellStyle name="计算 4 19" xfId="36317" xr:uid="{00000000-0005-0000-0000-0000A6860000}"/>
    <cellStyle name="计算 4 19 10" xfId="36318" xr:uid="{00000000-0005-0000-0000-0000A7860000}"/>
    <cellStyle name="计算 4 19 11" xfId="36319" xr:uid="{00000000-0005-0000-0000-0000A8860000}"/>
    <cellStyle name="计算 4 19 12" xfId="36320" xr:uid="{00000000-0005-0000-0000-0000A9860000}"/>
    <cellStyle name="计算 4 19 13" xfId="36321" xr:uid="{00000000-0005-0000-0000-0000AA860000}"/>
    <cellStyle name="计算 4 19 14" xfId="17959" xr:uid="{00000000-0005-0000-0000-0000AB860000}"/>
    <cellStyle name="计算 4 19 2" xfId="36322" xr:uid="{00000000-0005-0000-0000-0000AC860000}"/>
    <cellStyle name="计算 4 19 3" xfId="36323" xr:uid="{00000000-0005-0000-0000-0000AD860000}"/>
    <cellStyle name="计算 4 19 4" xfId="36324" xr:uid="{00000000-0005-0000-0000-0000AE860000}"/>
    <cellStyle name="计算 4 19 5" xfId="36325" xr:uid="{00000000-0005-0000-0000-0000AF860000}"/>
    <cellStyle name="计算 4 19 5 10" xfId="35384" xr:uid="{00000000-0005-0000-0000-0000B0860000}"/>
    <cellStyle name="计算 4 19 5 11" xfId="35387" xr:uid="{00000000-0005-0000-0000-0000B1860000}"/>
    <cellStyle name="计算 4 19 5 2" xfId="36326" xr:uid="{00000000-0005-0000-0000-0000B2860000}"/>
    <cellStyle name="计算 4 19 5 2 2" xfId="36328" xr:uid="{00000000-0005-0000-0000-0000B3860000}"/>
    <cellStyle name="计算 4 19 5 2 2 2" xfId="36329" xr:uid="{00000000-0005-0000-0000-0000B4860000}"/>
    <cellStyle name="计算 4 19 5 2 2 3" xfId="36330" xr:uid="{00000000-0005-0000-0000-0000B5860000}"/>
    <cellStyle name="计算 4 19 5 2 3" xfId="36331" xr:uid="{00000000-0005-0000-0000-0000B6860000}"/>
    <cellStyle name="计算 4 19 5 2 4" xfId="36332" xr:uid="{00000000-0005-0000-0000-0000B7860000}"/>
    <cellStyle name="计算 4 19 5 2 5" xfId="36333" xr:uid="{00000000-0005-0000-0000-0000B8860000}"/>
    <cellStyle name="计算 4 19 5 2 6" xfId="36334" xr:uid="{00000000-0005-0000-0000-0000B9860000}"/>
    <cellStyle name="计算 4 19 5 2 7" xfId="36335" xr:uid="{00000000-0005-0000-0000-0000BA860000}"/>
    <cellStyle name="计算 4 19 5 2 8" xfId="36336" xr:uid="{00000000-0005-0000-0000-0000BB860000}"/>
    <cellStyle name="计算 4 19 5 3" xfId="36337" xr:uid="{00000000-0005-0000-0000-0000BC860000}"/>
    <cellStyle name="计算 4 19 5 4" xfId="36338" xr:uid="{00000000-0005-0000-0000-0000BD860000}"/>
    <cellStyle name="计算 4 19 5 5" xfId="36339" xr:uid="{00000000-0005-0000-0000-0000BE860000}"/>
    <cellStyle name="计算 4 19 5 6" xfId="36340" xr:uid="{00000000-0005-0000-0000-0000BF860000}"/>
    <cellStyle name="计算 4 19 5 6 2" xfId="36341" xr:uid="{00000000-0005-0000-0000-0000C0860000}"/>
    <cellStyle name="计算 4 19 5 6 3" xfId="36342" xr:uid="{00000000-0005-0000-0000-0000C1860000}"/>
    <cellStyle name="计算 4 19 5 7" xfId="36343" xr:uid="{00000000-0005-0000-0000-0000C2860000}"/>
    <cellStyle name="计算 4 19 5 8" xfId="36344" xr:uid="{00000000-0005-0000-0000-0000C3860000}"/>
    <cellStyle name="计算 4 19 5 9" xfId="31861" xr:uid="{00000000-0005-0000-0000-0000C4860000}"/>
    <cellStyle name="计算 4 19 6" xfId="36345" xr:uid="{00000000-0005-0000-0000-0000C5860000}"/>
    <cellStyle name="计算 4 19 6 2" xfId="36346" xr:uid="{00000000-0005-0000-0000-0000C6860000}"/>
    <cellStyle name="计算 4 19 6 2 2" xfId="36347" xr:uid="{00000000-0005-0000-0000-0000C7860000}"/>
    <cellStyle name="计算 4 19 6 2 3" xfId="36348" xr:uid="{00000000-0005-0000-0000-0000C8860000}"/>
    <cellStyle name="计算 4 19 6 3" xfId="36349" xr:uid="{00000000-0005-0000-0000-0000C9860000}"/>
    <cellStyle name="计算 4 19 6 4" xfId="13399" xr:uid="{00000000-0005-0000-0000-0000CA860000}"/>
    <cellStyle name="计算 4 19 6 5" xfId="13403" xr:uid="{00000000-0005-0000-0000-0000CB860000}"/>
    <cellStyle name="计算 4 19 6 6" xfId="13408" xr:uid="{00000000-0005-0000-0000-0000CC860000}"/>
    <cellStyle name="计算 4 19 6 7" xfId="13414" xr:uid="{00000000-0005-0000-0000-0000CD860000}"/>
    <cellStyle name="计算 4 19 6 8" xfId="13430" xr:uid="{00000000-0005-0000-0000-0000CE860000}"/>
    <cellStyle name="计算 4 19 7" xfId="36350" xr:uid="{00000000-0005-0000-0000-0000CF860000}"/>
    <cellStyle name="计算 4 19 8" xfId="36351" xr:uid="{00000000-0005-0000-0000-0000D0860000}"/>
    <cellStyle name="计算 4 19 9" xfId="36352" xr:uid="{00000000-0005-0000-0000-0000D1860000}"/>
    <cellStyle name="计算 4 19 9 2" xfId="36353" xr:uid="{00000000-0005-0000-0000-0000D2860000}"/>
    <cellStyle name="计算 4 19 9 3" xfId="36354" xr:uid="{00000000-0005-0000-0000-0000D3860000}"/>
    <cellStyle name="计算 4 2" xfId="3977" xr:uid="{00000000-0005-0000-0000-0000D4860000}"/>
    <cellStyle name="计算 4 20" xfId="36247" xr:uid="{00000000-0005-0000-0000-0000D5860000}"/>
    <cellStyle name="计算 4 20 10" xfId="14617" xr:uid="{00000000-0005-0000-0000-0000D6860000}"/>
    <cellStyle name="计算 4 20 11" xfId="14621" xr:uid="{00000000-0005-0000-0000-0000D7860000}"/>
    <cellStyle name="计算 4 20 12" xfId="14629" xr:uid="{00000000-0005-0000-0000-0000D8860000}"/>
    <cellStyle name="计算 4 20 13" xfId="14632" xr:uid="{00000000-0005-0000-0000-0000D9860000}"/>
    <cellStyle name="计算 4 20 14" xfId="14635" xr:uid="{00000000-0005-0000-0000-0000DA860000}"/>
    <cellStyle name="计算 4 20 2" xfId="36355" xr:uid="{00000000-0005-0000-0000-0000DB860000}"/>
    <cellStyle name="计算 4 20 3" xfId="36356" xr:uid="{00000000-0005-0000-0000-0000DC860000}"/>
    <cellStyle name="计算 4 20 4" xfId="36357" xr:uid="{00000000-0005-0000-0000-0000DD860000}"/>
    <cellStyle name="计算 4 20 5" xfId="36358" xr:uid="{00000000-0005-0000-0000-0000DE860000}"/>
    <cellStyle name="计算 4 20 5 10" xfId="21757" xr:uid="{00000000-0005-0000-0000-0000DF860000}"/>
    <cellStyle name="计算 4 20 5 11" xfId="21759" xr:uid="{00000000-0005-0000-0000-0000E0860000}"/>
    <cellStyle name="计算 4 20 5 2" xfId="36359" xr:uid="{00000000-0005-0000-0000-0000E1860000}"/>
    <cellStyle name="计算 4 20 5 2 2" xfId="28423" xr:uid="{00000000-0005-0000-0000-0000E2860000}"/>
    <cellStyle name="计算 4 20 5 2 2 2" xfId="36360" xr:uid="{00000000-0005-0000-0000-0000E3860000}"/>
    <cellStyle name="计算 4 20 5 2 2 3" xfId="36361" xr:uid="{00000000-0005-0000-0000-0000E4860000}"/>
    <cellStyle name="计算 4 20 5 2 3" xfId="28425" xr:uid="{00000000-0005-0000-0000-0000E5860000}"/>
    <cellStyle name="计算 4 20 5 2 4" xfId="36362" xr:uid="{00000000-0005-0000-0000-0000E6860000}"/>
    <cellStyle name="计算 4 20 5 2 5" xfId="36363" xr:uid="{00000000-0005-0000-0000-0000E7860000}"/>
    <cellStyle name="计算 4 20 5 2 6" xfId="36364" xr:uid="{00000000-0005-0000-0000-0000E8860000}"/>
    <cellStyle name="计算 4 20 5 2 7" xfId="36365" xr:uid="{00000000-0005-0000-0000-0000E9860000}"/>
    <cellStyle name="计算 4 20 5 2 8" xfId="36366" xr:uid="{00000000-0005-0000-0000-0000EA860000}"/>
    <cellStyle name="计算 4 20 5 3" xfId="36367" xr:uid="{00000000-0005-0000-0000-0000EB860000}"/>
    <cellStyle name="计算 4 20 5 4" xfId="36368" xr:uid="{00000000-0005-0000-0000-0000EC860000}"/>
    <cellStyle name="计算 4 20 5 5" xfId="36369" xr:uid="{00000000-0005-0000-0000-0000ED860000}"/>
    <cellStyle name="计算 4 20 5 6" xfId="36370" xr:uid="{00000000-0005-0000-0000-0000EE860000}"/>
    <cellStyle name="计算 4 20 5 6 2" xfId="35961" xr:uid="{00000000-0005-0000-0000-0000EF860000}"/>
    <cellStyle name="计算 4 20 5 6 3" xfId="35963" xr:uid="{00000000-0005-0000-0000-0000F0860000}"/>
    <cellStyle name="计算 4 20 5 7" xfId="36371" xr:uid="{00000000-0005-0000-0000-0000F1860000}"/>
    <cellStyle name="计算 4 20 5 8" xfId="36372" xr:uid="{00000000-0005-0000-0000-0000F2860000}"/>
    <cellStyle name="计算 4 20 5 9" xfId="31826" xr:uid="{00000000-0005-0000-0000-0000F3860000}"/>
    <cellStyle name="计算 4 20 6" xfId="36373" xr:uid="{00000000-0005-0000-0000-0000F4860000}"/>
    <cellStyle name="计算 4 20 6 2" xfId="36374" xr:uid="{00000000-0005-0000-0000-0000F5860000}"/>
    <cellStyle name="计算 4 20 6 2 2" xfId="28467" xr:uid="{00000000-0005-0000-0000-0000F6860000}"/>
    <cellStyle name="计算 4 20 6 2 3" xfId="19642" xr:uid="{00000000-0005-0000-0000-0000F7860000}"/>
    <cellStyle name="计算 4 20 6 3" xfId="36375" xr:uid="{00000000-0005-0000-0000-0000F8860000}"/>
    <cellStyle name="计算 4 20 6 4" xfId="21777" xr:uid="{00000000-0005-0000-0000-0000F9860000}"/>
    <cellStyle name="计算 4 20 6 5" xfId="21809" xr:uid="{00000000-0005-0000-0000-0000FA860000}"/>
    <cellStyle name="计算 4 20 6 6" xfId="15848" xr:uid="{00000000-0005-0000-0000-0000FB860000}"/>
    <cellStyle name="计算 4 20 6 7" xfId="15866" xr:uid="{00000000-0005-0000-0000-0000FC860000}"/>
    <cellStyle name="计算 4 20 6 8" xfId="13571" xr:uid="{00000000-0005-0000-0000-0000FD860000}"/>
    <cellStyle name="计算 4 20 7" xfId="36376" xr:uid="{00000000-0005-0000-0000-0000FE860000}"/>
    <cellStyle name="计算 4 20 8" xfId="36377" xr:uid="{00000000-0005-0000-0000-0000FF860000}"/>
    <cellStyle name="计算 4 20 9" xfId="36378" xr:uid="{00000000-0005-0000-0000-000000870000}"/>
    <cellStyle name="计算 4 20 9 2" xfId="36379" xr:uid="{00000000-0005-0000-0000-000001870000}"/>
    <cellStyle name="计算 4 20 9 3" xfId="36380" xr:uid="{00000000-0005-0000-0000-000002870000}"/>
    <cellStyle name="计算 4 3" xfId="4909" xr:uid="{00000000-0005-0000-0000-000003870000}"/>
    <cellStyle name="计算 4 4" xfId="5211" xr:uid="{00000000-0005-0000-0000-000004870000}"/>
    <cellStyle name="计算 4 5" xfId="2833" xr:uid="{00000000-0005-0000-0000-000005870000}"/>
    <cellStyle name="计算 4 6" xfId="2854" xr:uid="{00000000-0005-0000-0000-000006870000}"/>
    <cellStyle name="计算 4 7" xfId="12035" xr:uid="{00000000-0005-0000-0000-000007870000}"/>
    <cellStyle name="计算 4 8" xfId="12037" xr:uid="{00000000-0005-0000-0000-000008870000}"/>
    <cellStyle name="计算 4 9" xfId="36381" xr:uid="{00000000-0005-0000-0000-000009870000}"/>
    <cellStyle name="计算 5" xfId="403" xr:uid="{00000000-0005-0000-0000-00000A870000}"/>
    <cellStyle name="计算 5 10" xfId="36382" xr:uid="{00000000-0005-0000-0000-00000B870000}"/>
    <cellStyle name="计算 5 11" xfId="36383" xr:uid="{00000000-0005-0000-0000-00000C870000}"/>
    <cellStyle name="计算 5 12" xfId="36384" xr:uid="{00000000-0005-0000-0000-00000D870000}"/>
    <cellStyle name="计算 5 13" xfId="36385" xr:uid="{00000000-0005-0000-0000-00000E870000}"/>
    <cellStyle name="计算 5 14" xfId="36386" xr:uid="{00000000-0005-0000-0000-00000F870000}"/>
    <cellStyle name="计算 5 2" xfId="24203" xr:uid="{00000000-0005-0000-0000-000010870000}"/>
    <cellStyle name="计算 5 3" xfId="24206" xr:uid="{00000000-0005-0000-0000-000011870000}"/>
    <cellStyle name="计算 5 4" xfId="24209" xr:uid="{00000000-0005-0000-0000-000012870000}"/>
    <cellStyle name="计算 5 5" xfId="24212" xr:uid="{00000000-0005-0000-0000-000013870000}"/>
    <cellStyle name="计算 5 6" xfId="24215" xr:uid="{00000000-0005-0000-0000-000014870000}"/>
    <cellStyle name="计算 5 7" xfId="24217" xr:uid="{00000000-0005-0000-0000-000015870000}"/>
    <cellStyle name="计算 5 8" xfId="24219" xr:uid="{00000000-0005-0000-0000-000016870000}"/>
    <cellStyle name="计算 5 9" xfId="36387" xr:uid="{00000000-0005-0000-0000-000017870000}"/>
    <cellStyle name="计算 6" xfId="20842" xr:uid="{00000000-0005-0000-0000-000018870000}"/>
    <cellStyle name="计算 6 10" xfId="36388" xr:uid="{00000000-0005-0000-0000-000019870000}"/>
    <cellStyle name="计算 6 11" xfId="36389" xr:uid="{00000000-0005-0000-0000-00001A870000}"/>
    <cellStyle name="计算 6 12" xfId="36390" xr:uid="{00000000-0005-0000-0000-00001B870000}"/>
    <cellStyle name="计算 6 13" xfId="36391" xr:uid="{00000000-0005-0000-0000-00001C870000}"/>
    <cellStyle name="计算 6 14" xfId="10743" xr:uid="{00000000-0005-0000-0000-00001D870000}"/>
    <cellStyle name="计算 6 2" xfId="24223" xr:uid="{00000000-0005-0000-0000-00001E870000}"/>
    <cellStyle name="计算 6 3" xfId="24225" xr:uid="{00000000-0005-0000-0000-00001F870000}"/>
    <cellStyle name="计算 6 4" xfId="24227" xr:uid="{00000000-0005-0000-0000-000020870000}"/>
    <cellStyle name="计算 6 5" xfId="24229" xr:uid="{00000000-0005-0000-0000-000021870000}"/>
    <cellStyle name="计算 6 6" xfId="24231" xr:uid="{00000000-0005-0000-0000-000022870000}"/>
    <cellStyle name="计算 6 7" xfId="24233" xr:uid="{00000000-0005-0000-0000-000023870000}"/>
    <cellStyle name="计算 6 8" xfId="34337" xr:uid="{00000000-0005-0000-0000-000024870000}"/>
    <cellStyle name="计算 6 9" xfId="34339" xr:uid="{00000000-0005-0000-0000-000025870000}"/>
    <cellStyle name="计算 7" xfId="20845" xr:uid="{00000000-0005-0000-0000-000026870000}"/>
    <cellStyle name="计算 8" xfId="20848" xr:uid="{00000000-0005-0000-0000-000027870000}"/>
    <cellStyle name="计算 9" xfId="15410" xr:uid="{00000000-0005-0000-0000-000028870000}"/>
    <cellStyle name="货币 2" xfId="36392" xr:uid="{00000000-0005-0000-0000-000029870000}"/>
    <cellStyle name="超链接_报关发票" xfId="38787" xr:uid="{00000000-0005-0000-0000-0000B0970000}"/>
    <cellStyle name="輔色1" xfId="36393" xr:uid="{00000000-0005-0000-0000-00002A870000}"/>
    <cellStyle name="輔色2" xfId="36394" xr:uid="{00000000-0005-0000-0000-00002B870000}"/>
    <cellStyle name="輔色3" xfId="36395" xr:uid="{00000000-0005-0000-0000-00002C870000}"/>
    <cellStyle name="輔色4" xfId="36396" xr:uid="{00000000-0005-0000-0000-00002D870000}"/>
    <cellStyle name="輔色5" xfId="36397" xr:uid="{00000000-0005-0000-0000-00002E870000}"/>
    <cellStyle name="輔色6" xfId="36398" xr:uid="{00000000-0005-0000-0000-00002F870000}"/>
    <cellStyle name="輸入" xfId="22589" xr:uid="{00000000-0005-0000-0000-000030870000}"/>
    <cellStyle name="輸出" xfId="36399" xr:uid="{00000000-0005-0000-0000-000031870000}"/>
    <cellStyle name="输入 10" xfId="15183" xr:uid="{00000000-0005-0000-0000-000032870000}"/>
    <cellStyle name="输入 11" xfId="15185" xr:uid="{00000000-0005-0000-0000-000033870000}"/>
    <cellStyle name="输入 12" xfId="15187" xr:uid="{00000000-0005-0000-0000-000034870000}"/>
    <cellStyle name="输入 12 10" xfId="36400" xr:uid="{00000000-0005-0000-0000-000035870000}"/>
    <cellStyle name="输入 12 11" xfId="36401" xr:uid="{00000000-0005-0000-0000-000036870000}"/>
    <cellStyle name="输入 12 12" xfId="36402" xr:uid="{00000000-0005-0000-0000-000037870000}"/>
    <cellStyle name="输入 12 13" xfId="36403" xr:uid="{00000000-0005-0000-0000-000038870000}"/>
    <cellStyle name="输入 12 14" xfId="36404" xr:uid="{00000000-0005-0000-0000-000039870000}"/>
    <cellStyle name="输入 12 2" xfId="4728" xr:uid="{00000000-0005-0000-0000-00003A870000}"/>
    <cellStyle name="输入 12 3" xfId="4737" xr:uid="{00000000-0005-0000-0000-00003B870000}"/>
    <cellStyle name="输入 12 4" xfId="29627" xr:uid="{00000000-0005-0000-0000-00003C870000}"/>
    <cellStyle name="输入 12 5" xfId="29631" xr:uid="{00000000-0005-0000-0000-00003D870000}"/>
    <cellStyle name="输入 12 5 10" xfId="15535" xr:uid="{00000000-0005-0000-0000-00003E870000}"/>
    <cellStyle name="输入 12 5 11" xfId="36405" xr:uid="{00000000-0005-0000-0000-00003F870000}"/>
    <cellStyle name="输入 12 5 2" xfId="24251" xr:uid="{00000000-0005-0000-0000-000040870000}"/>
    <cellStyle name="输入 12 5 2 2" xfId="36406" xr:uid="{00000000-0005-0000-0000-000041870000}"/>
    <cellStyle name="输入 12 5 2 2 2" xfId="30817" xr:uid="{00000000-0005-0000-0000-000042870000}"/>
    <cellStyle name="输入 12 5 2 2 3" xfId="36407" xr:uid="{00000000-0005-0000-0000-000043870000}"/>
    <cellStyle name="输入 12 5 2 3" xfId="36408" xr:uid="{00000000-0005-0000-0000-000044870000}"/>
    <cellStyle name="输入 12 5 2 4" xfId="36409" xr:uid="{00000000-0005-0000-0000-000045870000}"/>
    <cellStyle name="输入 12 5 2 5" xfId="36410" xr:uid="{00000000-0005-0000-0000-000046870000}"/>
    <cellStyle name="输入 12 5 2 6" xfId="36411" xr:uid="{00000000-0005-0000-0000-000047870000}"/>
    <cellStyle name="输入 12 5 2 7" xfId="36412" xr:uid="{00000000-0005-0000-0000-000048870000}"/>
    <cellStyle name="输入 12 5 2 8" xfId="36413" xr:uid="{00000000-0005-0000-0000-000049870000}"/>
    <cellStyle name="输入 12 5 3" xfId="24253" xr:uid="{00000000-0005-0000-0000-00004A870000}"/>
    <cellStyle name="输入 12 5 4" xfId="12504" xr:uid="{00000000-0005-0000-0000-00004B870000}"/>
    <cellStyle name="输入 12 5 5" xfId="12506" xr:uid="{00000000-0005-0000-0000-00004C870000}"/>
    <cellStyle name="输入 12 5 6" xfId="36414" xr:uid="{00000000-0005-0000-0000-00004D870000}"/>
    <cellStyle name="输入 12 5 6 2" xfId="36415" xr:uid="{00000000-0005-0000-0000-00004E870000}"/>
    <cellStyle name="输入 12 5 6 3" xfId="36416" xr:uid="{00000000-0005-0000-0000-00004F870000}"/>
    <cellStyle name="输入 12 5 7" xfId="15981" xr:uid="{00000000-0005-0000-0000-000050870000}"/>
    <cellStyle name="输入 12 5 8" xfId="15983" xr:uid="{00000000-0005-0000-0000-000051870000}"/>
    <cellStyle name="输入 12 5 9" xfId="36417" xr:uid="{00000000-0005-0000-0000-000052870000}"/>
    <cellStyle name="输入 12 6" xfId="11345" xr:uid="{00000000-0005-0000-0000-000053870000}"/>
    <cellStyle name="输入 12 6 2" xfId="36418" xr:uid="{00000000-0005-0000-0000-000054870000}"/>
    <cellStyle name="输入 12 6 2 2" xfId="36419" xr:uid="{00000000-0005-0000-0000-000055870000}"/>
    <cellStyle name="输入 12 6 2 3" xfId="31823" xr:uid="{00000000-0005-0000-0000-000056870000}"/>
    <cellStyle name="输入 12 6 3" xfId="36420" xr:uid="{00000000-0005-0000-0000-000057870000}"/>
    <cellStyle name="输入 12 6 4" xfId="36421" xr:uid="{00000000-0005-0000-0000-000058870000}"/>
    <cellStyle name="输入 12 6 5" xfId="36422" xr:uid="{00000000-0005-0000-0000-000059870000}"/>
    <cellStyle name="输入 12 6 6" xfId="36423" xr:uid="{00000000-0005-0000-0000-00005A870000}"/>
    <cellStyle name="输入 12 6 7" xfId="36424" xr:uid="{00000000-0005-0000-0000-00005B870000}"/>
    <cellStyle name="输入 12 6 8" xfId="30598" xr:uid="{00000000-0005-0000-0000-00005C870000}"/>
    <cellStyle name="输入 12 7" xfId="11352" xr:uid="{00000000-0005-0000-0000-00005D870000}"/>
    <cellStyle name="输入 12 8" xfId="10815" xr:uid="{00000000-0005-0000-0000-00005E870000}"/>
    <cellStyle name="输入 12 9" xfId="10818" xr:uid="{00000000-0005-0000-0000-00005F870000}"/>
    <cellStyle name="输入 12 9 2" xfId="16918" xr:uid="{00000000-0005-0000-0000-000060870000}"/>
    <cellStyle name="输入 12 9 3" xfId="16921" xr:uid="{00000000-0005-0000-0000-000061870000}"/>
    <cellStyle name="输入 13" xfId="15189" xr:uid="{00000000-0005-0000-0000-000062870000}"/>
    <cellStyle name="输入 14" xfId="36425" xr:uid="{00000000-0005-0000-0000-000063870000}"/>
    <cellStyle name="输入 15" xfId="36426" xr:uid="{00000000-0005-0000-0000-000064870000}"/>
    <cellStyle name="输入 16" xfId="36427" xr:uid="{00000000-0005-0000-0000-000065870000}"/>
    <cellStyle name="输入 16 10" xfId="33134" xr:uid="{00000000-0005-0000-0000-000066870000}"/>
    <cellStyle name="输入 16 11" xfId="33136" xr:uid="{00000000-0005-0000-0000-000067870000}"/>
    <cellStyle name="输入 16 12" xfId="33146" xr:uid="{00000000-0005-0000-0000-000068870000}"/>
    <cellStyle name="输入 16 13" xfId="33148" xr:uid="{00000000-0005-0000-0000-000069870000}"/>
    <cellStyle name="输入 16 14" xfId="33150" xr:uid="{00000000-0005-0000-0000-00006A870000}"/>
    <cellStyle name="输入 16 2" xfId="36428" xr:uid="{00000000-0005-0000-0000-00006B870000}"/>
    <cellStyle name="输入 16 3" xfId="36429" xr:uid="{00000000-0005-0000-0000-00006C870000}"/>
    <cellStyle name="输入 16 4" xfId="36430" xr:uid="{00000000-0005-0000-0000-00006D870000}"/>
    <cellStyle name="输入 16 5" xfId="36431" xr:uid="{00000000-0005-0000-0000-00006E870000}"/>
    <cellStyle name="输入 16 5 10" xfId="36432" xr:uid="{00000000-0005-0000-0000-00006F870000}"/>
    <cellStyle name="输入 16 5 11" xfId="36433" xr:uid="{00000000-0005-0000-0000-000070870000}"/>
    <cellStyle name="输入 16 5 2" xfId="36434" xr:uid="{00000000-0005-0000-0000-000071870000}"/>
    <cellStyle name="输入 16 5 2 2" xfId="36435" xr:uid="{00000000-0005-0000-0000-000072870000}"/>
    <cellStyle name="输入 16 5 2 2 2" xfId="36436" xr:uid="{00000000-0005-0000-0000-000073870000}"/>
    <cellStyle name="输入 16 5 2 2 3" xfId="36437" xr:uid="{00000000-0005-0000-0000-000074870000}"/>
    <cellStyle name="输入 16 5 2 3" xfId="36438" xr:uid="{00000000-0005-0000-0000-000075870000}"/>
    <cellStyle name="输入 16 5 2 4" xfId="17438" xr:uid="{00000000-0005-0000-0000-000076870000}"/>
    <cellStyle name="输入 16 5 2 5" xfId="17441" xr:uid="{00000000-0005-0000-0000-000077870000}"/>
    <cellStyle name="输入 16 5 2 6" xfId="36439" xr:uid="{00000000-0005-0000-0000-000078870000}"/>
    <cellStyle name="输入 16 5 2 7" xfId="36440" xr:uid="{00000000-0005-0000-0000-000079870000}"/>
    <cellStyle name="输入 16 5 2 8" xfId="36441" xr:uid="{00000000-0005-0000-0000-00007A870000}"/>
    <cellStyle name="输入 16 5 3" xfId="36442" xr:uid="{00000000-0005-0000-0000-00007B870000}"/>
    <cellStyle name="输入 16 5 4" xfId="36443" xr:uid="{00000000-0005-0000-0000-00007C870000}"/>
    <cellStyle name="输入 16 5 5" xfId="36444" xr:uid="{00000000-0005-0000-0000-00007D870000}"/>
    <cellStyle name="输入 16 5 6" xfId="36445" xr:uid="{00000000-0005-0000-0000-00007E870000}"/>
    <cellStyle name="输入 16 5 6 2" xfId="27637" xr:uid="{00000000-0005-0000-0000-00007F870000}"/>
    <cellStyle name="输入 16 5 6 3" xfId="27640" xr:uid="{00000000-0005-0000-0000-000080870000}"/>
    <cellStyle name="输入 16 5 7" xfId="36446" xr:uid="{00000000-0005-0000-0000-000081870000}"/>
    <cellStyle name="输入 16 5 8" xfId="36447" xr:uid="{00000000-0005-0000-0000-000082870000}"/>
    <cellStyle name="输入 16 5 9" xfId="36448" xr:uid="{00000000-0005-0000-0000-000083870000}"/>
    <cellStyle name="输入 16 6" xfId="36449" xr:uid="{00000000-0005-0000-0000-000084870000}"/>
    <cellStyle name="输入 16 6 2" xfId="2740" xr:uid="{00000000-0005-0000-0000-000085870000}"/>
    <cellStyle name="输入 16 6 2 2" xfId="36450" xr:uid="{00000000-0005-0000-0000-000086870000}"/>
    <cellStyle name="输入 16 6 2 3" xfId="36451" xr:uid="{00000000-0005-0000-0000-000087870000}"/>
    <cellStyle name="输入 16 6 3" xfId="2749" xr:uid="{00000000-0005-0000-0000-000088870000}"/>
    <cellStyle name="输入 16 6 4" xfId="20357" xr:uid="{00000000-0005-0000-0000-000089870000}"/>
    <cellStyle name="输入 16 6 5" xfId="20362" xr:uid="{00000000-0005-0000-0000-00008A870000}"/>
    <cellStyle name="输入 16 6 6" xfId="27270" xr:uid="{00000000-0005-0000-0000-00008B870000}"/>
    <cellStyle name="输入 16 6 7" xfId="36452" xr:uid="{00000000-0005-0000-0000-00008C870000}"/>
    <cellStyle name="输入 16 6 8" xfId="30629" xr:uid="{00000000-0005-0000-0000-00008D870000}"/>
    <cellStyle name="输入 16 7" xfId="36453" xr:uid="{00000000-0005-0000-0000-00008E870000}"/>
    <cellStyle name="输入 16 8" xfId="36454" xr:uid="{00000000-0005-0000-0000-00008F870000}"/>
    <cellStyle name="输入 16 9" xfId="36455" xr:uid="{00000000-0005-0000-0000-000090870000}"/>
    <cellStyle name="输入 16 9 2" xfId="36456" xr:uid="{00000000-0005-0000-0000-000091870000}"/>
    <cellStyle name="输入 16 9 3" xfId="36457" xr:uid="{00000000-0005-0000-0000-000092870000}"/>
    <cellStyle name="输入 17" xfId="31779" xr:uid="{00000000-0005-0000-0000-000093870000}"/>
    <cellStyle name="输入 17 10" xfId="34684" xr:uid="{00000000-0005-0000-0000-000094870000}"/>
    <cellStyle name="输入 17 11" xfId="34686" xr:uid="{00000000-0005-0000-0000-000095870000}"/>
    <cellStyle name="输入 17 12" xfId="36458" xr:uid="{00000000-0005-0000-0000-000096870000}"/>
    <cellStyle name="输入 17 13" xfId="36459" xr:uid="{00000000-0005-0000-0000-000097870000}"/>
    <cellStyle name="输入 17 14" xfId="36460" xr:uid="{00000000-0005-0000-0000-000098870000}"/>
    <cellStyle name="输入 17 2" xfId="21218" xr:uid="{00000000-0005-0000-0000-000099870000}"/>
    <cellStyle name="输入 17 3" xfId="21221" xr:uid="{00000000-0005-0000-0000-00009A870000}"/>
    <cellStyle name="输入 17 4" xfId="21224" xr:uid="{00000000-0005-0000-0000-00009B870000}"/>
    <cellStyle name="输入 17 5" xfId="21227" xr:uid="{00000000-0005-0000-0000-00009C870000}"/>
    <cellStyle name="输入 17 5 10" xfId="19771" xr:uid="{00000000-0005-0000-0000-00009D870000}"/>
    <cellStyle name="输入 17 5 11" xfId="36461" xr:uid="{00000000-0005-0000-0000-00009E870000}"/>
    <cellStyle name="输入 17 5 2" xfId="36462" xr:uid="{00000000-0005-0000-0000-00009F870000}"/>
    <cellStyle name="输入 17 5 2 2" xfId="36463" xr:uid="{00000000-0005-0000-0000-0000A0870000}"/>
    <cellStyle name="输入 17 5 2 2 2" xfId="36465" xr:uid="{00000000-0005-0000-0000-0000A1870000}"/>
    <cellStyle name="输入 17 5 2 2 3" xfId="36467" xr:uid="{00000000-0005-0000-0000-0000A2870000}"/>
    <cellStyle name="输入 17 5 2 3" xfId="36468" xr:uid="{00000000-0005-0000-0000-0000A3870000}"/>
    <cellStyle name="输入 17 5 2 4" xfId="21617" xr:uid="{00000000-0005-0000-0000-0000A4870000}"/>
    <cellStyle name="输入 17 5 2 5" xfId="21619" xr:uid="{00000000-0005-0000-0000-0000A5870000}"/>
    <cellStyle name="输入 17 5 2 6" xfId="36469" xr:uid="{00000000-0005-0000-0000-0000A6870000}"/>
    <cellStyle name="输入 17 5 2 7" xfId="36470" xr:uid="{00000000-0005-0000-0000-0000A7870000}"/>
    <cellStyle name="输入 17 5 2 8" xfId="36471" xr:uid="{00000000-0005-0000-0000-0000A8870000}"/>
    <cellStyle name="输入 17 5 3" xfId="36472" xr:uid="{00000000-0005-0000-0000-0000A9870000}"/>
    <cellStyle name="输入 17 5 4" xfId="36473" xr:uid="{00000000-0005-0000-0000-0000AA870000}"/>
    <cellStyle name="输入 17 5 5" xfId="36474" xr:uid="{00000000-0005-0000-0000-0000AB870000}"/>
    <cellStyle name="输入 17 5 6" xfId="36475" xr:uid="{00000000-0005-0000-0000-0000AC870000}"/>
    <cellStyle name="输入 17 5 6 2" xfId="36476" xr:uid="{00000000-0005-0000-0000-0000AD870000}"/>
    <cellStyle name="输入 17 5 6 3" xfId="36477" xr:uid="{00000000-0005-0000-0000-0000AE870000}"/>
    <cellStyle name="输入 17 5 7" xfId="36478" xr:uid="{00000000-0005-0000-0000-0000AF870000}"/>
    <cellStyle name="输入 17 5 8" xfId="23922" xr:uid="{00000000-0005-0000-0000-0000B0870000}"/>
    <cellStyle name="输入 17 5 9" xfId="23925" xr:uid="{00000000-0005-0000-0000-0000B1870000}"/>
    <cellStyle name="输入 17 6" xfId="33794" xr:uid="{00000000-0005-0000-0000-0000B2870000}"/>
    <cellStyle name="输入 17 6 2" xfId="36479" xr:uid="{00000000-0005-0000-0000-0000B3870000}"/>
    <cellStyle name="输入 17 6 2 2" xfId="36480" xr:uid="{00000000-0005-0000-0000-0000B4870000}"/>
    <cellStyle name="输入 17 6 2 3" xfId="36481" xr:uid="{00000000-0005-0000-0000-0000B5870000}"/>
    <cellStyle name="输入 17 6 3" xfId="36482" xr:uid="{00000000-0005-0000-0000-0000B6870000}"/>
    <cellStyle name="输入 17 6 4" xfId="30288" xr:uid="{00000000-0005-0000-0000-0000B7870000}"/>
    <cellStyle name="输入 17 6 5" xfId="22141" xr:uid="{00000000-0005-0000-0000-0000B8870000}"/>
    <cellStyle name="输入 17 6 6" xfId="36483" xr:uid="{00000000-0005-0000-0000-0000B9870000}"/>
    <cellStyle name="输入 17 6 7" xfId="36484" xr:uid="{00000000-0005-0000-0000-0000BA870000}"/>
    <cellStyle name="输入 17 6 8" xfId="30660" xr:uid="{00000000-0005-0000-0000-0000BB870000}"/>
    <cellStyle name="输入 17 7" xfId="31892" xr:uid="{00000000-0005-0000-0000-0000BC870000}"/>
    <cellStyle name="输入 17 8" xfId="7680" xr:uid="{00000000-0005-0000-0000-0000BD870000}"/>
    <cellStyle name="输入 17 9" xfId="9665" xr:uid="{00000000-0005-0000-0000-0000BE870000}"/>
    <cellStyle name="输入 17 9 2" xfId="36485" xr:uid="{00000000-0005-0000-0000-0000BF870000}"/>
    <cellStyle name="输入 17 9 3" xfId="36486" xr:uid="{00000000-0005-0000-0000-0000C0870000}"/>
    <cellStyle name="输入 18" xfId="31781" xr:uid="{00000000-0005-0000-0000-0000C1870000}"/>
    <cellStyle name="输入 18 10" xfId="5407" xr:uid="{00000000-0005-0000-0000-0000C2870000}"/>
    <cellStyle name="输入 18 11" xfId="5419" xr:uid="{00000000-0005-0000-0000-0000C3870000}"/>
    <cellStyle name="输入 18 12" xfId="5432" xr:uid="{00000000-0005-0000-0000-0000C4870000}"/>
    <cellStyle name="输入 18 13" xfId="5446" xr:uid="{00000000-0005-0000-0000-0000C5870000}"/>
    <cellStyle name="输入 18 14" xfId="5462" xr:uid="{00000000-0005-0000-0000-0000C6870000}"/>
    <cellStyle name="输入 18 2" xfId="31905" xr:uid="{00000000-0005-0000-0000-0000C7870000}"/>
    <cellStyle name="输入 18 3" xfId="31907" xr:uid="{00000000-0005-0000-0000-0000C8870000}"/>
    <cellStyle name="输入 18 4" xfId="36487" xr:uid="{00000000-0005-0000-0000-0000C9870000}"/>
    <cellStyle name="输入 18 5" xfId="34357" xr:uid="{00000000-0005-0000-0000-0000CA870000}"/>
    <cellStyle name="输入 18 5 10" xfId="36489" xr:uid="{00000000-0005-0000-0000-0000CB870000}"/>
    <cellStyle name="输入 18 5 11" xfId="36491" xr:uid="{00000000-0005-0000-0000-0000CC870000}"/>
    <cellStyle name="输入 18 5 2" xfId="29149" xr:uid="{00000000-0005-0000-0000-0000CD870000}"/>
    <cellStyle name="输入 18 5 2 2" xfId="36492" xr:uid="{00000000-0005-0000-0000-0000CE870000}"/>
    <cellStyle name="输入 18 5 2 2 2" xfId="36493" xr:uid="{00000000-0005-0000-0000-0000CF870000}"/>
    <cellStyle name="输入 18 5 2 2 3" xfId="36494" xr:uid="{00000000-0005-0000-0000-0000D0870000}"/>
    <cellStyle name="输入 18 5 2 3" xfId="36495" xr:uid="{00000000-0005-0000-0000-0000D1870000}"/>
    <cellStyle name="输入 18 5 2 4" xfId="36496" xr:uid="{00000000-0005-0000-0000-0000D2870000}"/>
    <cellStyle name="输入 18 5 2 5" xfId="36497" xr:uid="{00000000-0005-0000-0000-0000D3870000}"/>
    <cellStyle name="输入 18 5 2 6" xfId="36498" xr:uid="{00000000-0005-0000-0000-0000D4870000}"/>
    <cellStyle name="输入 18 5 2 7" xfId="36499" xr:uid="{00000000-0005-0000-0000-0000D5870000}"/>
    <cellStyle name="输入 18 5 2 8" xfId="36500" xr:uid="{00000000-0005-0000-0000-0000D6870000}"/>
    <cellStyle name="输入 18 5 3" xfId="29151" xr:uid="{00000000-0005-0000-0000-0000D7870000}"/>
    <cellStyle name="输入 18 5 4" xfId="29153" xr:uid="{00000000-0005-0000-0000-0000D8870000}"/>
    <cellStyle name="输入 18 5 5" xfId="36501" xr:uid="{00000000-0005-0000-0000-0000D9870000}"/>
    <cellStyle name="输入 18 5 6" xfId="36502" xr:uid="{00000000-0005-0000-0000-0000DA870000}"/>
    <cellStyle name="输入 18 5 6 2" xfId="10990" xr:uid="{00000000-0005-0000-0000-0000DB870000}"/>
    <cellStyle name="输入 18 5 6 3" xfId="11000" xr:uid="{00000000-0005-0000-0000-0000DC870000}"/>
    <cellStyle name="输入 18 5 7" xfId="21122" xr:uid="{00000000-0005-0000-0000-0000DD870000}"/>
    <cellStyle name="输入 18 5 8" xfId="21125" xr:uid="{00000000-0005-0000-0000-0000DE870000}"/>
    <cellStyle name="输入 18 5 9" xfId="21130" xr:uid="{00000000-0005-0000-0000-0000DF870000}"/>
    <cellStyle name="输入 18 6" xfId="34359" xr:uid="{00000000-0005-0000-0000-0000E0870000}"/>
    <cellStyle name="输入 18 6 2" xfId="36503" xr:uid="{00000000-0005-0000-0000-0000E1870000}"/>
    <cellStyle name="输入 18 6 2 2" xfId="36504" xr:uid="{00000000-0005-0000-0000-0000E2870000}"/>
    <cellStyle name="输入 18 6 2 3" xfId="36505" xr:uid="{00000000-0005-0000-0000-0000E3870000}"/>
    <cellStyle name="输入 18 6 3" xfId="36506" xr:uid="{00000000-0005-0000-0000-0000E4870000}"/>
    <cellStyle name="输入 18 6 4" xfId="36507" xr:uid="{00000000-0005-0000-0000-0000E5870000}"/>
    <cellStyle name="输入 18 6 5" xfId="36508" xr:uid="{00000000-0005-0000-0000-0000E6870000}"/>
    <cellStyle name="输入 18 6 6" xfId="36509" xr:uid="{00000000-0005-0000-0000-0000E7870000}"/>
    <cellStyle name="输入 18 6 7" xfId="21138" xr:uid="{00000000-0005-0000-0000-0000E8870000}"/>
    <cellStyle name="输入 18 6 8" xfId="21142" xr:uid="{00000000-0005-0000-0000-0000E9870000}"/>
    <cellStyle name="输入 18 7" xfId="36510" xr:uid="{00000000-0005-0000-0000-0000EA870000}"/>
    <cellStyle name="输入 18 8" xfId="36511" xr:uid="{00000000-0005-0000-0000-0000EB870000}"/>
    <cellStyle name="输入 18 9" xfId="36512" xr:uid="{00000000-0005-0000-0000-0000EC870000}"/>
    <cellStyle name="输入 18 9 2" xfId="36513" xr:uid="{00000000-0005-0000-0000-0000ED870000}"/>
    <cellStyle name="输入 18 9 3" xfId="36514" xr:uid="{00000000-0005-0000-0000-0000EE870000}"/>
    <cellStyle name="输入 19" xfId="36515" xr:uid="{00000000-0005-0000-0000-0000EF870000}"/>
    <cellStyle name="输入 2" xfId="36516" xr:uid="{00000000-0005-0000-0000-0000F0870000}"/>
    <cellStyle name="输入 2 10" xfId="17865" xr:uid="{00000000-0005-0000-0000-0000F1870000}"/>
    <cellStyle name="输入 2 11" xfId="25569" xr:uid="{00000000-0005-0000-0000-0000F2870000}"/>
    <cellStyle name="输入 2 12" xfId="17873" xr:uid="{00000000-0005-0000-0000-0000F3870000}"/>
    <cellStyle name="输入 2 13" xfId="14786" xr:uid="{00000000-0005-0000-0000-0000F4870000}"/>
    <cellStyle name="输入 2 14" xfId="14790" xr:uid="{00000000-0005-0000-0000-0000F5870000}"/>
    <cellStyle name="输入 2 15" xfId="20712" xr:uid="{00000000-0005-0000-0000-0000F6870000}"/>
    <cellStyle name="输入 2 16" xfId="19279" xr:uid="{00000000-0005-0000-0000-0000F7870000}"/>
    <cellStyle name="输入 2 17" xfId="19292" xr:uid="{00000000-0005-0000-0000-0000F8870000}"/>
    <cellStyle name="输入 2 17 10" xfId="28916" xr:uid="{00000000-0005-0000-0000-0000F9870000}"/>
    <cellStyle name="输入 2 17 11" xfId="28919" xr:uid="{00000000-0005-0000-0000-0000FA870000}"/>
    <cellStyle name="输入 2 17 12" xfId="28921" xr:uid="{00000000-0005-0000-0000-0000FB870000}"/>
    <cellStyle name="输入 2 17 13" xfId="28923" xr:uid="{00000000-0005-0000-0000-0000FC870000}"/>
    <cellStyle name="输入 2 17 14" xfId="28925" xr:uid="{00000000-0005-0000-0000-0000FD870000}"/>
    <cellStyle name="输入 2 17 2" xfId="36518" xr:uid="{00000000-0005-0000-0000-0000FE870000}"/>
    <cellStyle name="输入 2 17 3" xfId="36520" xr:uid="{00000000-0005-0000-0000-0000FF870000}"/>
    <cellStyle name="输入 2 17 4" xfId="36522" xr:uid="{00000000-0005-0000-0000-000000880000}"/>
    <cellStyle name="输入 2 17 5" xfId="36524" xr:uid="{00000000-0005-0000-0000-000001880000}"/>
    <cellStyle name="输入 2 17 5 10" xfId="36525" xr:uid="{00000000-0005-0000-0000-000002880000}"/>
    <cellStyle name="输入 2 17 5 11" xfId="36526" xr:uid="{00000000-0005-0000-0000-000003880000}"/>
    <cellStyle name="输入 2 17 5 2" xfId="36527" xr:uid="{00000000-0005-0000-0000-000004880000}"/>
    <cellStyle name="输入 2 17 5 2 2" xfId="19170" xr:uid="{00000000-0005-0000-0000-000005880000}"/>
    <cellStyle name="输入 2 17 5 2 2 2" xfId="22108" xr:uid="{00000000-0005-0000-0000-000006880000}"/>
    <cellStyle name="输入 2 17 5 2 2 3" xfId="34622" xr:uid="{00000000-0005-0000-0000-000007880000}"/>
    <cellStyle name="输入 2 17 5 2 3" xfId="19175" xr:uid="{00000000-0005-0000-0000-000008880000}"/>
    <cellStyle name="输入 2 17 5 2 4" xfId="19179" xr:uid="{00000000-0005-0000-0000-000009880000}"/>
    <cellStyle name="输入 2 17 5 2 5" xfId="19192" xr:uid="{00000000-0005-0000-0000-00000A880000}"/>
    <cellStyle name="输入 2 17 5 2 6" xfId="19214" xr:uid="{00000000-0005-0000-0000-00000B880000}"/>
    <cellStyle name="输入 2 17 5 2 7" xfId="19218" xr:uid="{00000000-0005-0000-0000-00000C880000}"/>
    <cellStyle name="输入 2 17 5 2 8" xfId="19221" xr:uid="{00000000-0005-0000-0000-00000D880000}"/>
    <cellStyle name="输入 2 17 5 3" xfId="36528" xr:uid="{00000000-0005-0000-0000-00000E880000}"/>
    <cellStyle name="输入 2 17 5 4" xfId="36529" xr:uid="{00000000-0005-0000-0000-00000F880000}"/>
    <cellStyle name="输入 2 17 5 5" xfId="36530" xr:uid="{00000000-0005-0000-0000-000010880000}"/>
    <cellStyle name="输入 2 17 5 6" xfId="36531" xr:uid="{00000000-0005-0000-0000-000011880000}"/>
    <cellStyle name="输入 2 17 5 6 2" xfId="36532" xr:uid="{00000000-0005-0000-0000-000012880000}"/>
    <cellStyle name="输入 2 17 5 6 3" xfId="36533" xr:uid="{00000000-0005-0000-0000-000013880000}"/>
    <cellStyle name="输入 2 17 5 7" xfId="36534" xr:uid="{00000000-0005-0000-0000-000014880000}"/>
    <cellStyle name="输入 2 17 5 8" xfId="36535" xr:uid="{00000000-0005-0000-0000-000015880000}"/>
    <cellStyle name="输入 2 17 5 9" xfId="36536" xr:uid="{00000000-0005-0000-0000-000016880000}"/>
    <cellStyle name="输入 2 17 6" xfId="35111" xr:uid="{00000000-0005-0000-0000-000017880000}"/>
    <cellStyle name="输入 2 17 6 2" xfId="35113" xr:uid="{00000000-0005-0000-0000-000018880000}"/>
    <cellStyle name="输入 2 17 6 2 2" xfId="35115" xr:uid="{00000000-0005-0000-0000-000019880000}"/>
    <cellStyle name="输入 2 17 6 2 3" xfId="35117" xr:uid="{00000000-0005-0000-0000-00001A880000}"/>
    <cellStyle name="输入 2 17 6 3" xfId="35119" xr:uid="{00000000-0005-0000-0000-00001B880000}"/>
    <cellStyle name="输入 2 17 6 4" xfId="35121" xr:uid="{00000000-0005-0000-0000-00001C880000}"/>
    <cellStyle name="输入 2 17 6 5" xfId="14648" xr:uid="{00000000-0005-0000-0000-00001D880000}"/>
    <cellStyle name="输入 2 17 6 6" xfId="14654" xr:uid="{00000000-0005-0000-0000-00001E880000}"/>
    <cellStyle name="输入 2 17 6 7" xfId="15111" xr:uid="{00000000-0005-0000-0000-00001F880000}"/>
    <cellStyle name="输入 2 17 6 8" xfId="15116" xr:uid="{00000000-0005-0000-0000-000020880000}"/>
    <cellStyle name="输入 2 17 7" xfId="35124" xr:uid="{00000000-0005-0000-0000-000021880000}"/>
    <cellStyle name="输入 2 17 8" xfId="35126" xr:uid="{00000000-0005-0000-0000-000022880000}"/>
    <cellStyle name="输入 2 17 9" xfId="35128" xr:uid="{00000000-0005-0000-0000-000023880000}"/>
    <cellStyle name="输入 2 17 9 2" xfId="36537" xr:uid="{00000000-0005-0000-0000-000024880000}"/>
    <cellStyle name="输入 2 17 9 3" xfId="36538" xr:uid="{00000000-0005-0000-0000-000025880000}"/>
    <cellStyle name="输入 2 18" xfId="19296" xr:uid="{00000000-0005-0000-0000-000026880000}"/>
    <cellStyle name="输入 2 18 10" xfId="14027" xr:uid="{00000000-0005-0000-0000-000027880000}"/>
    <cellStyle name="输入 2 18 11" xfId="14032" xr:uid="{00000000-0005-0000-0000-000028880000}"/>
    <cellStyle name="输入 2 18 12" xfId="787" xr:uid="{00000000-0005-0000-0000-000029880000}"/>
    <cellStyle name="输入 2 18 13" xfId="11086" xr:uid="{00000000-0005-0000-0000-00002A880000}"/>
    <cellStyle name="输入 2 18 14" xfId="25021" xr:uid="{00000000-0005-0000-0000-00002B880000}"/>
    <cellStyle name="输入 2 18 2" xfId="36539" xr:uid="{00000000-0005-0000-0000-00002C880000}"/>
    <cellStyle name="输入 2 18 3" xfId="36540" xr:uid="{00000000-0005-0000-0000-00002D880000}"/>
    <cellStyle name="输入 2 18 4" xfId="36541" xr:uid="{00000000-0005-0000-0000-00002E880000}"/>
    <cellStyle name="输入 2 18 5" xfId="36542" xr:uid="{00000000-0005-0000-0000-00002F880000}"/>
    <cellStyle name="输入 2 18 5 10" xfId="8496" xr:uid="{00000000-0005-0000-0000-000030880000}"/>
    <cellStyle name="输入 2 18 5 11" xfId="36543" xr:uid="{00000000-0005-0000-0000-000031880000}"/>
    <cellStyle name="输入 2 18 5 2" xfId="36544" xr:uid="{00000000-0005-0000-0000-000032880000}"/>
    <cellStyle name="输入 2 18 5 2 2" xfId="12638" xr:uid="{00000000-0005-0000-0000-000033880000}"/>
    <cellStyle name="输入 2 18 5 2 2 2" xfId="20003" xr:uid="{00000000-0005-0000-0000-000034880000}"/>
    <cellStyle name="输入 2 18 5 2 2 3" xfId="20040" xr:uid="{00000000-0005-0000-0000-000035880000}"/>
    <cellStyle name="输入 2 18 5 2 3" xfId="12645" xr:uid="{00000000-0005-0000-0000-000036880000}"/>
    <cellStyle name="输入 2 18 5 2 4" xfId="12651" xr:uid="{00000000-0005-0000-0000-000037880000}"/>
    <cellStyle name="输入 2 18 5 2 5" xfId="12657" xr:uid="{00000000-0005-0000-0000-000038880000}"/>
    <cellStyle name="输入 2 18 5 2 6" xfId="12660" xr:uid="{00000000-0005-0000-0000-000039880000}"/>
    <cellStyle name="输入 2 18 5 2 7" xfId="12663" xr:uid="{00000000-0005-0000-0000-00003A880000}"/>
    <cellStyle name="输入 2 18 5 2 8" xfId="36155" xr:uid="{00000000-0005-0000-0000-00003B880000}"/>
    <cellStyle name="输入 2 18 5 3" xfId="36545" xr:uid="{00000000-0005-0000-0000-00003C880000}"/>
    <cellStyle name="输入 2 18 5 4" xfId="36546" xr:uid="{00000000-0005-0000-0000-00003D880000}"/>
    <cellStyle name="输入 2 18 5 5" xfId="31438" xr:uid="{00000000-0005-0000-0000-00003E880000}"/>
    <cellStyle name="输入 2 18 5 6" xfId="31440" xr:uid="{00000000-0005-0000-0000-00003F880000}"/>
    <cellStyle name="输入 2 18 5 6 2" xfId="36547" xr:uid="{00000000-0005-0000-0000-000040880000}"/>
    <cellStyle name="输入 2 18 5 6 3" xfId="36548" xr:uid="{00000000-0005-0000-0000-000041880000}"/>
    <cellStyle name="输入 2 18 5 7" xfId="31442" xr:uid="{00000000-0005-0000-0000-000042880000}"/>
    <cellStyle name="输入 2 18 5 8" xfId="31444" xr:uid="{00000000-0005-0000-0000-000043880000}"/>
    <cellStyle name="输入 2 18 5 9" xfId="31446" xr:uid="{00000000-0005-0000-0000-000044880000}"/>
    <cellStyle name="输入 2 18 6" xfId="32764" xr:uid="{00000000-0005-0000-0000-000045880000}"/>
    <cellStyle name="输入 2 18 6 2" xfId="32767" xr:uid="{00000000-0005-0000-0000-000046880000}"/>
    <cellStyle name="输入 2 18 6 2 2" xfId="36549" xr:uid="{00000000-0005-0000-0000-000047880000}"/>
    <cellStyle name="输入 2 18 6 2 3" xfId="36550" xr:uid="{00000000-0005-0000-0000-000048880000}"/>
    <cellStyle name="输入 2 18 6 3" xfId="32770" xr:uid="{00000000-0005-0000-0000-000049880000}"/>
    <cellStyle name="输入 2 18 6 4" xfId="36551" xr:uid="{00000000-0005-0000-0000-00004A880000}"/>
    <cellStyle name="输入 2 18 6 5" xfId="36552" xr:uid="{00000000-0005-0000-0000-00004B880000}"/>
    <cellStyle name="输入 2 18 6 6" xfId="36553" xr:uid="{00000000-0005-0000-0000-00004C880000}"/>
    <cellStyle name="输入 2 18 6 7" xfId="36554" xr:uid="{00000000-0005-0000-0000-00004D880000}"/>
    <cellStyle name="输入 2 18 6 8" xfId="21256" xr:uid="{00000000-0005-0000-0000-00004E880000}"/>
    <cellStyle name="输入 2 18 7" xfId="32773" xr:uid="{00000000-0005-0000-0000-00004F880000}"/>
    <cellStyle name="输入 2 18 8" xfId="32776" xr:uid="{00000000-0005-0000-0000-000050880000}"/>
    <cellStyle name="输入 2 18 9" xfId="32779" xr:uid="{00000000-0005-0000-0000-000051880000}"/>
    <cellStyle name="输入 2 18 9 2" xfId="36555" xr:uid="{00000000-0005-0000-0000-000052880000}"/>
    <cellStyle name="输入 2 18 9 3" xfId="36556" xr:uid="{00000000-0005-0000-0000-000053880000}"/>
    <cellStyle name="输入 2 19" xfId="19300" xr:uid="{00000000-0005-0000-0000-000054880000}"/>
    <cellStyle name="输入 2 19 10" xfId="36557" xr:uid="{00000000-0005-0000-0000-000055880000}"/>
    <cellStyle name="输入 2 19 11" xfId="14047" xr:uid="{00000000-0005-0000-0000-000056880000}"/>
    <cellStyle name="输入 2 19 12" xfId="16511" xr:uid="{00000000-0005-0000-0000-000057880000}"/>
    <cellStyle name="输入 2 19 13" xfId="16513" xr:uid="{00000000-0005-0000-0000-000058880000}"/>
    <cellStyle name="输入 2 19 14" xfId="16515" xr:uid="{00000000-0005-0000-0000-000059880000}"/>
    <cellStyle name="输入 2 19 2" xfId="19998" xr:uid="{00000000-0005-0000-0000-00005A880000}"/>
    <cellStyle name="输入 2 19 3" xfId="36558" xr:uid="{00000000-0005-0000-0000-00005B880000}"/>
    <cellStyle name="输入 2 19 4" xfId="36559" xr:uid="{00000000-0005-0000-0000-00005C880000}"/>
    <cellStyle name="输入 2 19 5" xfId="36560" xr:uid="{00000000-0005-0000-0000-00005D880000}"/>
    <cellStyle name="输入 2 19 5 10" xfId="36561" xr:uid="{00000000-0005-0000-0000-00005E880000}"/>
    <cellStyle name="输入 2 19 5 11" xfId="30507" xr:uid="{00000000-0005-0000-0000-00005F880000}"/>
    <cellStyle name="输入 2 19 5 2" xfId="36562" xr:uid="{00000000-0005-0000-0000-000060880000}"/>
    <cellStyle name="输入 2 19 5 2 2" xfId="36563" xr:uid="{00000000-0005-0000-0000-000061880000}"/>
    <cellStyle name="输入 2 19 5 2 2 2" xfId="22495" xr:uid="{00000000-0005-0000-0000-000062880000}"/>
    <cellStyle name="输入 2 19 5 2 2 3" xfId="11084" xr:uid="{00000000-0005-0000-0000-000063880000}"/>
    <cellStyle name="输入 2 19 5 2 3" xfId="27913" xr:uid="{00000000-0005-0000-0000-000064880000}"/>
    <cellStyle name="输入 2 19 5 2 4" xfId="27917" xr:uid="{00000000-0005-0000-0000-000065880000}"/>
    <cellStyle name="输入 2 19 5 2 5" xfId="27919" xr:uid="{00000000-0005-0000-0000-000066880000}"/>
    <cellStyle name="输入 2 19 5 2 6" xfId="27921" xr:uid="{00000000-0005-0000-0000-000067880000}"/>
    <cellStyle name="输入 2 19 5 2 7" xfId="27923" xr:uid="{00000000-0005-0000-0000-000068880000}"/>
    <cellStyle name="输入 2 19 5 2 8" xfId="27925" xr:uid="{00000000-0005-0000-0000-000069880000}"/>
    <cellStyle name="输入 2 19 5 3" xfId="36564" xr:uid="{00000000-0005-0000-0000-00006A880000}"/>
    <cellStyle name="输入 2 19 5 4" xfId="36565" xr:uid="{00000000-0005-0000-0000-00006B880000}"/>
    <cellStyle name="输入 2 19 5 5" xfId="36566" xr:uid="{00000000-0005-0000-0000-00006C880000}"/>
    <cellStyle name="输入 2 19 5 6" xfId="36567" xr:uid="{00000000-0005-0000-0000-00006D880000}"/>
    <cellStyle name="输入 2 19 5 6 2" xfId="36568" xr:uid="{00000000-0005-0000-0000-00006E880000}"/>
    <cellStyle name="输入 2 19 5 6 3" xfId="36569" xr:uid="{00000000-0005-0000-0000-00006F880000}"/>
    <cellStyle name="输入 2 19 5 7" xfId="6414" xr:uid="{00000000-0005-0000-0000-000070880000}"/>
    <cellStyle name="输入 2 19 5 8" xfId="6423" xr:uid="{00000000-0005-0000-0000-000071880000}"/>
    <cellStyle name="输入 2 19 5 9" xfId="6429" xr:uid="{00000000-0005-0000-0000-000072880000}"/>
    <cellStyle name="输入 2 19 6" xfId="36570" xr:uid="{00000000-0005-0000-0000-000073880000}"/>
    <cellStyle name="输入 2 19 6 2" xfId="36571" xr:uid="{00000000-0005-0000-0000-000074880000}"/>
    <cellStyle name="输入 2 19 6 2 2" xfId="36572" xr:uid="{00000000-0005-0000-0000-000075880000}"/>
    <cellStyle name="输入 2 19 6 2 3" xfId="26269" xr:uid="{00000000-0005-0000-0000-000076880000}"/>
    <cellStyle name="输入 2 19 6 3" xfId="36573" xr:uid="{00000000-0005-0000-0000-000077880000}"/>
    <cellStyle name="输入 2 19 6 4" xfId="36574" xr:uid="{00000000-0005-0000-0000-000078880000}"/>
    <cellStyle name="输入 2 19 6 5" xfId="36575" xr:uid="{00000000-0005-0000-0000-000079880000}"/>
    <cellStyle name="输入 2 19 6 6" xfId="36576" xr:uid="{00000000-0005-0000-0000-00007A880000}"/>
    <cellStyle name="输入 2 19 6 7" xfId="14889" xr:uid="{00000000-0005-0000-0000-00007B880000}"/>
    <cellStyle name="输入 2 19 6 8" xfId="14895" xr:uid="{00000000-0005-0000-0000-00007C880000}"/>
    <cellStyle name="输入 2 19 7" xfId="36577" xr:uid="{00000000-0005-0000-0000-00007D880000}"/>
    <cellStyle name="输入 2 19 8" xfId="36578" xr:uid="{00000000-0005-0000-0000-00007E880000}"/>
    <cellStyle name="输入 2 19 9" xfId="36579" xr:uid="{00000000-0005-0000-0000-00007F880000}"/>
    <cellStyle name="输入 2 19 9 2" xfId="36580" xr:uid="{00000000-0005-0000-0000-000080880000}"/>
    <cellStyle name="输入 2 19 9 3" xfId="36581" xr:uid="{00000000-0005-0000-0000-000081880000}"/>
    <cellStyle name="输入 2 2" xfId="36582" xr:uid="{00000000-0005-0000-0000-000082880000}"/>
    <cellStyle name="输入 2 2 10" xfId="36583" xr:uid="{00000000-0005-0000-0000-000083880000}"/>
    <cellStyle name="输入 2 2 11" xfId="36584" xr:uid="{00000000-0005-0000-0000-000084880000}"/>
    <cellStyle name="输入 2 2 12" xfId="36585" xr:uid="{00000000-0005-0000-0000-000085880000}"/>
    <cellStyle name="输入 2 2 13" xfId="36586" xr:uid="{00000000-0005-0000-0000-000086880000}"/>
    <cellStyle name="输入 2 2 14" xfId="36587" xr:uid="{00000000-0005-0000-0000-000087880000}"/>
    <cellStyle name="输入 2 2 2" xfId="36588" xr:uid="{00000000-0005-0000-0000-000088880000}"/>
    <cellStyle name="输入 2 2 3" xfId="36589" xr:uid="{00000000-0005-0000-0000-000089880000}"/>
    <cellStyle name="输入 2 2 4" xfId="36590" xr:uid="{00000000-0005-0000-0000-00008A880000}"/>
    <cellStyle name="输入 2 2 5" xfId="36591" xr:uid="{00000000-0005-0000-0000-00008B880000}"/>
    <cellStyle name="输入 2 2 6" xfId="36592" xr:uid="{00000000-0005-0000-0000-00008C880000}"/>
    <cellStyle name="输入 2 2 7" xfId="36593" xr:uid="{00000000-0005-0000-0000-00008D880000}"/>
    <cellStyle name="输入 2 2 8" xfId="36594" xr:uid="{00000000-0005-0000-0000-00008E880000}"/>
    <cellStyle name="输入 2 2 9" xfId="36595" xr:uid="{00000000-0005-0000-0000-00008F880000}"/>
    <cellStyle name="输入 2 20" xfId="20711" xr:uid="{00000000-0005-0000-0000-000090880000}"/>
    <cellStyle name="输入 2 20 10" xfId="36596" xr:uid="{00000000-0005-0000-0000-000091880000}"/>
    <cellStyle name="输入 2 20 11" xfId="3409" xr:uid="{00000000-0005-0000-0000-000092880000}"/>
    <cellStyle name="输入 2 20 12" xfId="1446" xr:uid="{00000000-0005-0000-0000-000093880000}"/>
    <cellStyle name="输入 2 20 13" xfId="16461" xr:uid="{00000000-0005-0000-0000-000094880000}"/>
    <cellStyle name="输入 2 20 14" xfId="16463" xr:uid="{00000000-0005-0000-0000-000095880000}"/>
    <cellStyle name="输入 2 20 2" xfId="19955" xr:uid="{00000000-0005-0000-0000-000096880000}"/>
    <cellStyle name="输入 2 20 3" xfId="19958" xr:uid="{00000000-0005-0000-0000-000097880000}"/>
    <cellStyle name="输入 2 20 4" xfId="19961" xr:uid="{00000000-0005-0000-0000-000098880000}"/>
    <cellStyle name="输入 2 20 5" xfId="19965" xr:uid="{00000000-0005-0000-0000-000099880000}"/>
    <cellStyle name="输入 2 20 5 10" xfId="29161" xr:uid="{00000000-0005-0000-0000-00009A880000}"/>
    <cellStyle name="输入 2 20 5 11" xfId="36597" xr:uid="{00000000-0005-0000-0000-00009B880000}"/>
    <cellStyle name="输入 2 20 5 2" xfId="36598" xr:uid="{00000000-0005-0000-0000-00009C880000}"/>
    <cellStyle name="输入 2 20 5 2 2" xfId="7688" xr:uid="{00000000-0005-0000-0000-00009D880000}"/>
    <cellStyle name="输入 2 20 5 2 2 2" xfId="32130" xr:uid="{00000000-0005-0000-0000-00009E880000}"/>
    <cellStyle name="输入 2 20 5 2 2 3" xfId="32132" xr:uid="{00000000-0005-0000-0000-00009F880000}"/>
    <cellStyle name="输入 2 20 5 2 3" xfId="7692" xr:uid="{00000000-0005-0000-0000-0000A0880000}"/>
    <cellStyle name="输入 2 20 5 2 4" xfId="7694" xr:uid="{00000000-0005-0000-0000-0000A1880000}"/>
    <cellStyle name="输入 2 20 5 2 5" xfId="7698" xr:uid="{00000000-0005-0000-0000-0000A2880000}"/>
    <cellStyle name="输入 2 20 5 2 6" xfId="36599" xr:uid="{00000000-0005-0000-0000-0000A3880000}"/>
    <cellStyle name="输入 2 20 5 2 7" xfId="36600" xr:uid="{00000000-0005-0000-0000-0000A4880000}"/>
    <cellStyle name="输入 2 20 5 2 8" xfId="36601" xr:uid="{00000000-0005-0000-0000-0000A5880000}"/>
    <cellStyle name="输入 2 20 5 3" xfId="36602" xr:uid="{00000000-0005-0000-0000-0000A6880000}"/>
    <cellStyle name="输入 2 20 5 4" xfId="36603" xr:uid="{00000000-0005-0000-0000-0000A7880000}"/>
    <cellStyle name="输入 2 20 5 5" xfId="36604" xr:uid="{00000000-0005-0000-0000-0000A8880000}"/>
    <cellStyle name="输入 2 20 5 6" xfId="36605" xr:uid="{00000000-0005-0000-0000-0000A9880000}"/>
    <cellStyle name="输入 2 20 5 6 2" xfId="36606" xr:uid="{00000000-0005-0000-0000-0000AA880000}"/>
    <cellStyle name="输入 2 20 5 6 3" xfId="36607" xr:uid="{00000000-0005-0000-0000-0000AB880000}"/>
    <cellStyle name="输入 2 20 5 7" xfId="16477" xr:uid="{00000000-0005-0000-0000-0000AC880000}"/>
    <cellStyle name="输入 2 20 5 8" xfId="16488" xr:uid="{00000000-0005-0000-0000-0000AD880000}"/>
    <cellStyle name="输入 2 20 5 9" xfId="16493" xr:uid="{00000000-0005-0000-0000-0000AE880000}"/>
    <cellStyle name="输入 2 20 6" xfId="19971" xr:uid="{00000000-0005-0000-0000-0000AF880000}"/>
    <cellStyle name="输入 2 20 6 2" xfId="36608" xr:uid="{00000000-0005-0000-0000-0000B0880000}"/>
    <cellStyle name="输入 2 20 6 2 2" xfId="21853" xr:uid="{00000000-0005-0000-0000-0000B1880000}"/>
    <cellStyle name="输入 2 20 6 2 3" xfId="21855" xr:uid="{00000000-0005-0000-0000-0000B2880000}"/>
    <cellStyle name="输入 2 20 6 3" xfId="36609" xr:uid="{00000000-0005-0000-0000-0000B3880000}"/>
    <cellStyle name="输入 2 20 6 4" xfId="18637" xr:uid="{00000000-0005-0000-0000-0000B4880000}"/>
    <cellStyle name="输入 2 20 6 5" xfId="18640" xr:uid="{00000000-0005-0000-0000-0000B5880000}"/>
    <cellStyle name="输入 2 20 6 6" xfId="18643" xr:uid="{00000000-0005-0000-0000-0000B6880000}"/>
    <cellStyle name="输入 2 20 6 7" xfId="15666" xr:uid="{00000000-0005-0000-0000-0000B7880000}"/>
    <cellStyle name="输入 2 20 6 8" xfId="16505" xr:uid="{00000000-0005-0000-0000-0000B8880000}"/>
    <cellStyle name="输入 2 20 7" xfId="19977" xr:uid="{00000000-0005-0000-0000-0000B9880000}"/>
    <cellStyle name="输入 2 20 8" xfId="19981" xr:uid="{00000000-0005-0000-0000-0000BA880000}"/>
    <cellStyle name="输入 2 20 9" xfId="24078" xr:uid="{00000000-0005-0000-0000-0000BB880000}"/>
    <cellStyle name="输入 2 20 9 2" xfId="36610" xr:uid="{00000000-0005-0000-0000-0000BC880000}"/>
    <cellStyle name="输入 2 20 9 3" xfId="36611" xr:uid="{00000000-0005-0000-0000-0000BD880000}"/>
    <cellStyle name="输入 2 3" xfId="36612" xr:uid="{00000000-0005-0000-0000-0000BE880000}"/>
    <cellStyle name="输入 2 3 10" xfId="26746" xr:uid="{00000000-0005-0000-0000-0000BF880000}"/>
    <cellStyle name="输入 2 3 11" xfId="36613" xr:uid="{00000000-0005-0000-0000-0000C0880000}"/>
    <cellStyle name="输入 2 3 12" xfId="36614" xr:uid="{00000000-0005-0000-0000-0000C1880000}"/>
    <cellStyle name="输入 2 3 13" xfId="36615" xr:uid="{00000000-0005-0000-0000-0000C2880000}"/>
    <cellStyle name="输入 2 3 14" xfId="25854" xr:uid="{00000000-0005-0000-0000-0000C3880000}"/>
    <cellStyle name="输入 2 3 2" xfId="36616" xr:uid="{00000000-0005-0000-0000-0000C4880000}"/>
    <cellStyle name="输入 2 3 3" xfId="36617" xr:uid="{00000000-0005-0000-0000-0000C5880000}"/>
    <cellStyle name="输入 2 3 4" xfId="36618" xr:uid="{00000000-0005-0000-0000-0000C6880000}"/>
    <cellStyle name="输入 2 3 5" xfId="36619" xr:uid="{00000000-0005-0000-0000-0000C7880000}"/>
    <cellStyle name="输入 2 3 6" xfId="36620" xr:uid="{00000000-0005-0000-0000-0000C8880000}"/>
    <cellStyle name="输入 2 3 7" xfId="36621" xr:uid="{00000000-0005-0000-0000-0000C9880000}"/>
    <cellStyle name="输入 2 3 8" xfId="36622" xr:uid="{00000000-0005-0000-0000-0000CA880000}"/>
    <cellStyle name="输入 2 3 9" xfId="36623" xr:uid="{00000000-0005-0000-0000-0000CB880000}"/>
    <cellStyle name="输入 2 4" xfId="36624" xr:uid="{00000000-0005-0000-0000-0000CC880000}"/>
    <cellStyle name="输入 2 4 10" xfId="30810" xr:uid="{00000000-0005-0000-0000-0000CD880000}"/>
    <cellStyle name="输入 2 4 11" xfId="30812" xr:uid="{00000000-0005-0000-0000-0000CE880000}"/>
    <cellStyle name="输入 2 4 12" xfId="30824" xr:uid="{00000000-0005-0000-0000-0000CF880000}"/>
    <cellStyle name="输入 2 4 13" xfId="30828" xr:uid="{00000000-0005-0000-0000-0000D0880000}"/>
    <cellStyle name="输入 2 4 14" xfId="30830" xr:uid="{00000000-0005-0000-0000-0000D1880000}"/>
    <cellStyle name="输入 2 4 2" xfId="36625" xr:uid="{00000000-0005-0000-0000-0000D2880000}"/>
    <cellStyle name="输入 2 4 3" xfId="36626" xr:uid="{00000000-0005-0000-0000-0000D3880000}"/>
    <cellStyle name="输入 2 4 4" xfId="36627" xr:uid="{00000000-0005-0000-0000-0000D4880000}"/>
    <cellStyle name="输入 2 4 5" xfId="36628" xr:uid="{00000000-0005-0000-0000-0000D5880000}"/>
    <cellStyle name="输入 2 4 6" xfId="22375" xr:uid="{00000000-0005-0000-0000-0000D6880000}"/>
    <cellStyle name="输入 2 4 7" xfId="22378" xr:uid="{00000000-0005-0000-0000-0000D7880000}"/>
    <cellStyle name="输入 2 4 8" xfId="36629" xr:uid="{00000000-0005-0000-0000-0000D8880000}"/>
    <cellStyle name="输入 2 4 9" xfId="36630" xr:uid="{00000000-0005-0000-0000-0000D9880000}"/>
    <cellStyle name="输入 2 5" xfId="36631" xr:uid="{00000000-0005-0000-0000-0000DA880000}"/>
    <cellStyle name="输入 2 6" xfId="36632" xr:uid="{00000000-0005-0000-0000-0000DB880000}"/>
    <cellStyle name="输入 2 7" xfId="36633" xr:uid="{00000000-0005-0000-0000-0000DC880000}"/>
    <cellStyle name="输入 2 8" xfId="36634" xr:uid="{00000000-0005-0000-0000-0000DD880000}"/>
    <cellStyle name="输入 2 9" xfId="33158" xr:uid="{00000000-0005-0000-0000-0000DE880000}"/>
    <cellStyle name="输入 3" xfId="36635" xr:uid="{00000000-0005-0000-0000-0000DF880000}"/>
    <cellStyle name="输入 3 10" xfId="36636" xr:uid="{00000000-0005-0000-0000-0000E0880000}"/>
    <cellStyle name="输入 3 11" xfId="36637" xr:uid="{00000000-0005-0000-0000-0000E1880000}"/>
    <cellStyle name="输入 3 12" xfId="36638" xr:uid="{00000000-0005-0000-0000-0000E2880000}"/>
    <cellStyle name="输入 3 13" xfId="36639" xr:uid="{00000000-0005-0000-0000-0000E3880000}"/>
    <cellStyle name="输入 3 14" xfId="36640" xr:uid="{00000000-0005-0000-0000-0000E4880000}"/>
    <cellStyle name="输入 3 15" xfId="36642" xr:uid="{00000000-0005-0000-0000-0000E5880000}"/>
    <cellStyle name="输入 3 16" xfId="36644" xr:uid="{00000000-0005-0000-0000-0000E6880000}"/>
    <cellStyle name="输入 3 17" xfId="36646" xr:uid="{00000000-0005-0000-0000-0000E7880000}"/>
    <cellStyle name="输入 3 17 10" xfId="14208" xr:uid="{00000000-0005-0000-0000-0000E8880000}"/>
    <cellStyle name="输入 3 17 11" xfId="14215" xr:uid="{00000000-0005-0000-0000-0000E9880000}"/>
    <cellStyle name="输入 3 17 12" xfId="3742" xr:uid="{00000000-0005-0000-0000-0000EA880000}"/>
    <cellStyle name="输入 3 17 13" xfId="7142" xr:uid="{00000000-0005-0000-0000-0000EB880000}"/>
    <cellStyle name="输入 3 17 14" xfId="20398" xr:uid="{00000000-0005-0000-0000-0000EC880000}"/>
    <cellStyle name="输入 3 17 2" xfId="35872" xr:uid="{00000000-0005-0000-0000-0000ED880000}"/>
    <cellStyle name="输入 3 17 2 2" xfId="30012" xr:uid="{00000000-0005-0000-0000-0000EE880000}"/>
    <cellStyle name="输入 3 17 3" xfId="35874" xr:uid="{00000000-0005-0000-0000-0000EF880000}"/>
    <cellStyle name="输入 3 17 4" xfId="35876" xr:uid="{00000000-0005-0000-0000-0000F0880000}"/>
    <cellStyle name="输入 3 17 5" xfId="35878" xr:uid="{00000000-0005-0000-0000-0000F1880000}"/>
    <cellStyle name="输入 3 17 5 10" xfId="36647" xr:uid="{00000000-0005-0000-0000-0000F2880000}"/>
    <cellStyle name="输入 3 17 5 11" xfId="36648" xr:uid="{00000000-0005-0000-0000-0000F3880000}"/>
    <cellStyle name="输入 3 17 5 2" xfId="36649" xr:uid="{00000000-0005-0000-0000-0000F4880000}"/>
    <cellStyle name="输入 3 17 5 2 2" xfId="5909" xr:uid="{00000000-0005-0000-0000-0000F5880000}"/>
    <cellStyle name="输入 3 17 5 2 2 2" xfId="36650" xr:uid="{00000000-0005-0000-0000-0000F6880000}"/>
    <cellStyle name="输入 3 17 5 2 2 3" xfId="7940" xr:uid="{00000000-0005-0000-0000-0000F7880000}"/>
    <cellStyle name="输入 3 17 5 2 3" xfId="266" xr:uid="{00000000-0005-0000-0000-0000F8880000}"/>
    <cellStyle name="输入 3 17 5 2 4" xfId="5880" xr:uid="{00000000-0005-0000-0000-0000F9880000}"/>
    <cellStyle name="输入 3 17 5 2 5" xfId="5886" xr:uid="{00000000-0005-0000-0000-0000FA880000}"/>
    <cellStyle name="输入 3 17 5 2 6" xfId="5894" xr:uid="{00000000-0005-0000-0000-0000FB880000}"/>
    <cellStyle name="输入 3 17 5 2 7" xfId="5899" xr:uid="{00000000-0005-0000-0000-0000FC880000}"/>
    <cellStyle name="输入 3 17 5 2 8" xfId="36286" xr:uid="{00000000-0005-0000-0000-0000FD880000}"/>
    <cellStyle name="输入 3 17 5 3" xfId="36651" xr:uid="{00000000-0005-0000-0000-0000FE880000}"/>
    <cellStyle name="输入 3 17 5 4" xfId="36652" xr:uid="{00000000-0005-0000-0000-0000FF880000}"/>
    <cellStyle name="输入 3 17 5 5" xfId="36653" xr:uid="{00000000-0005-0000-0000-000000890000}"/>
    <cellStyle name="输入 3 17 5 6" xfId="34500" xr:uid="{00000000-0005-0000-0000-000001890000}"/>
    <cellStyle name="输入 3 17 5 6 2" xfId="36654" xr:uid="{00000000-0005-0000-0000-000002890000}"/>
    <cellStyle name="输入 3 17 5 6 3" xfId="36655" xr:uid="{00000000-0005-0000-0000-000003890000}"/>
    <cellStyle name="输入 3 17 5 7" xfId="34502" xr:uid="{00000000-0005-0000-0000-000004890000}"/>
    <cellStyle name="输入 3 17 5 8" xfId="34504" xr:uid="{00000000-0005-0000-0000-000005890000}"/>
    <cellStyle name="输入 3 17 5 9" xfId="9610" xr:uid="{00000000-0005-0000-0000-000006890000}"/>
    <cellStyle name="输入 3 17 6" xfId="35880" xr:uid="{00000000-0005-0000-0000-000007890000}"/>
    <cellStyle name="输入 3 17 6 2" xfId="19003" xr:uid="{00000000-0005-0000-0000-000008890000}"/>
    <cellStyle name="输入 3 17 6 2 2" xfId="10252" xr:uid="{00000000-0005-0000-0000-000009890000}"/>
    <cellStyle name="输入 3 17 6 2 3" xfId="10257" xr:uid="{00000000-0005-0000-0000-00000A890000}"/>
    <cellStyle name="输入 3 17 6 3" xfId="36656" xr:uid="{00000000-0005-0000-0000-00000B890000}"/>
    <cellStyle name="输入 3 17 6 4" xfId="36657" xr:uid="{00000000-0005-0000-0000-00000C890000}"/>
    <cellStyle name="输入 3 17 6 5" xfId="36658" xr:uid="{00000000-0005-0000-0000-00000D890000}"/>
    <cellStyle name="输入 3 17 6 6" xfId="15945" xr:uid="{00000000-0005-0000-0000-00000E890000}"/>
    <cellStyle name="输入 3 17 6 7" xfId="36659" xr:uid="{00000000-0005-0000-0000-00000F890000}"/>
    <cellStyle name="输入 3 17 6 8" xfId="36660" xr:uid="{00000000-0005-0000-0000-000010890000}"/>
    <cellStyle name="输入 3 17 7" xfId="36661" xr:uid="{00000000-0005-0000-0000-000011890000}"/>
    <cellStyle name="输入 3 17 8" xfId="36662" xr:uid="{00000000-0005-0000-0000-000012890000}"/>
    <cellStyle name="输入 3 17 9" xfId="36663" xr:uid="{00000000-0005-0000-0000-000013890000}"/>
    <cellStyle name="输入 3 17 9 2" xfId="36664" xr:uid="{00000000-0005-0000-0000-000014890000}"/>
    <cellStyle name="输入 3 17 9 3" xfId="36665" xr:uid="{00000000-0005-0000-0000-000015890000}"/>
    <cellStyle name="输入 3 18" xfId="31101" xr:uid="{00000000-0005-0000-0000-000016890000}"/>
    <cellStyle name="输入 3 18 10" xfId="15611" xr:uid="{00000000-0005-0000-0000-000017890000}"/>
    <cellStyle name="输入 3 18 11" xfId="15616" xr:uid="{00000000-0005-0000-0000-000018890000}"/>
    <cellStyle name="输入 3 18 12" xfId="2633" xr:uid="{00000000-0005-0000-0000-000019890000}"/>
    <cellStyle name="输入 3 18 13" xfId="9728" xr:uid="{00000000-0005-0000-0000-00001A890000}"/>
    <cellStyle name="输入 3 18 14" xfId="36666" xr:uid="{00000000-0005-0000-0000-00001B890000}"/>
    <cellStyle name="输入 3 18 2" xfId="13669" xr:uid="{00000000-0005-0000-0000-00001C890000}"/>
    <cellStyle name="输入 3 18 3" xfId="31104" xr:uid="{00000000-0005-0000-0000-00001D890000}"/>
    <cellStyle name="输入 3 18 4" xfId="27509" xr:uid="{00000000-0005-0000-0000-00001E890000}"/>
    <cellStyle name="输入 3 18 5" xfId="27512" xr:uid="{00000000-0005-0000-0000-00001F890000}"/>
    <cellStyle name="输入 3 18 5 10" xfId="34567" xr:uid="{00000000-0005-0000-0000-000020890000}"/>
    <cellStyle name="输入 3 18 5 11" xfId="36667" xr:uid="{00000000-0005-0000-0000-000021890000}"/>
    <cellStyle name="输入 3 18 5 2" xfId="36668" xr:uid="{00000000-0005-0000-0000-000022890000}"/>
    <cellStyle name="输入 3 18 5 2 2" xfId="3438" xr:uid="{00000000-0005-0000-0000-000023890000}"/>
    <cellStyle name="输入 3 18 5 2 2 2" xfId="36669" xr:uid="{00000000-0005-0000-0000-000024890000}"/>
    <cellStyle name="输入 3 18 5 2 2 3" xfId="36670" xr:uid="{00000000-0005-0000-0000-000025890000}"/>
    <cellStyle name="输入 3 18 5 2 3" xfId="3455" xr:uid="{00000000-0005-0000-0000-000026890000}"/>
    <cellStyle name="输入 3 18 5 2 4" xfId="8333" xr:uid="{00000000-0005-0000-0000-000027890000}"/>
    <cellStyle name="输入 3 18 5 2 5" xfId="8337" xr:uid="{00000000-0005-0000-0000-000028890000}"/>
    <cellStyle name="输入 3 18 5 2 6" xfId="7097" xr:uid="{00000000-0005-0000-0000-000029890000}"/>
    <cellStyle name="输入 3 18 5 2 7" xfId="7112" xr:uid="{00000000-0005-0000-0000-00002A890000}"/>
    <cellStyle name="输入 3 18 5 2 8" xfId="36327" xr:uid="{00000000-0005-0000-0000-00002B890000}"/>
    <cellStyle name="输入 3 18 5 3" xfId="36671" xr:uid="{00000000-0005-0000-0000-00002C890000}"/>
    <cellStyle name="输入 3 18 5 4" xfId="36672" xr:uid="{00000000-0005-0000-0000-00002D890000}"/>
    <cellStyle name="输入 3 18 5 5" xfId="36673" xr:uid="{00000000-0005-0000-0000-00002E890000}"/>
    <cellStyle name="输入 3 18 5 6" xfId="34585" xr:uid="{00000000-0005-0000-0000-00002F890000}"/>
    <cellStyle name="输入 3 18 5 6 2" xfId="36674" xr:uid="{00000000-0005-0000-0000-000030890000}"/>
    <cellStyle name="输入 3 18 5 6 3" xfId="36675" xr:uid="{00000000-0005-0000-0000-000031890000}"/>
    <cellStyle name="输入 3 18 5 7" xfId="34587" xr:uid="{00000000-0005-0000-0000-000032890000}"/>
    <cellStyle name="输入 3 18 5 8" xfId="34589" xr:uid="{00000000-0005-0000-0000-000033890000}"/>
    <cellStyle name="输入 3 18 5 9" xfId="34591" xr:uid="{00000000-0005-0000-0000-000034890000}"/>
    <cellStyle name="输入 3 18 6" xfId="27515" xr:uid="{00000000-0005-0000-0000-000035890000}"/>
    <cellStyle name="输入 3 18 6 2" xfId="36676" xr:uid="{00000000-0005-0000-0000-000036890000}"/>
    <cellStyle name="输入 3 18 6 2 2" xfId="36677" xr:uid="{00000000-0005-0000-0000-000037890000}"/>
    <cellStyle name="输入 3 18 6 2 3" xfId="36678" xr:uid="{00000000-0005-0000-0000-000038890000}"/>
    <cellStyle name="输入 3 18 6 3" xfId="36679" xr:uid="{00000000-0005-0000-0000-000039890000}"/>
    <cellStyle name="输入 3 18 6 4" xfId="36680" xr:uid="{00000000-0005-0000-0000-00003A890000}"/>
    <cellStyle name="输入 3 18 6 5" xfId="36681" xr:uid="{00000000-0005-0000-0000-00003B890000}"/>
    <cellStyle name="输入 3 18 6 6" xfId="36682" xr:uid="{00000000-0005-0000-0000-00003C890000}"/>
    <cellStyle name="输入 3 18 6 7" xfId="36683" xr:uid="{00000000-0005-0000-0000-00003D890000}"/>
    <cellStyle name="输入 3 18 6 8" xfId="36684" xr:uid="{00000000-0005-0000-0000-00003E890000}"/>
    <cellStyle name="输入 3 18 7" xfId="27519" xr:uid="{00000000-0005-0000-0000-00003F890000}"/>
    <cellStyle name="输入 3 18 8" xfId="27523" xr:uid="{00000000-0005-0000-0000-000040890000}"/>
    <cellStyle name="输入 3 18 9" xfId="27526" xr:uid="{00000000-0005-0000-0000-000041890000}"/>
    <cellStyle name="输入 3 18 9 2" xfId="32395" xr:uid="{00000000-0005-0000-0000-000042890000}"/>
    <cellStyle name="输入 3 18 9 3" xfId="32397" xr:uid="{00000000-0005-0000-0000-000043890000}"/>
    <cellStyle name="输入 3 19" xfId="31108" xr:uid="{00000000-0005-0000-0000-000044890000}"/>
    <cellStyle name="输入 3 19 10" xfId="36685" xr:uid="{00000000-0005-0000-0000-000045890000}"/>
    <cellStyle name="输入 3 19 11" xfId="17316" xr:uid="{00000000-0005-0000-0000-000046890000}"/>
    <cellStyle name="输入 3 19 12" xfId="17318" xr:uid="{00000000-0005-0000-0000-000047890000}"/>
    <cellStyle name="输入 3 19 13" xfId="17320" xr:uid="{00000000-0005-0000-0000-000048890000}"/>
    <cellStyle name="输入 3 19 14" xfId="9261" xr:uid="{00000000-0005-0000-0000-000049890000}"/>
    <cellStyle name="输入 3 19 2" xfId="36686" xr:uid="{00000000-0005-0000-0000-00004A890000}"/>
    <cellStyle name="输入 3 19 3" xfId="36687" xr:uid="{00000000-0005-0000-0000-00004B890000}"/>
    <cellStyle name="输入 3 19 4" xfId="27592" xr:uid="{00000000-0005-0000-0000-00004C890000}"/>
    <cellStyle name="输入 3 19 5" xfId="27594" xr:uid="{00000000-0005-0000-0000-00004D890000}"/>
    <cellStyle name="输入 3 19 5 10" xfId="36688" xr:uid="{00000000-0005-0000-0000-00004E890000}"/>
    <cellStyle name="输入 3 19 5 11" xfId="36689" xr:uid="{00000000-0005-0000-0000-00004F890000}"/>
    <cellStyle name="输入 3 19 5 2" xfId="36690" xr:uid="{00000000-0005-0000-0000-000050890000}"/>
    <cellStyle name="输入 3 19 5 2 2" xfId="36691" xr:uid="{00000000-0005-0000-0000-000051890000}"/>
    <cellStyle name="输入 3 19 5 2 2 2" xfId="32220" xr:uid="{00000000-0005-0000-0000-000052890000}"/>
    <cellStyle name="输入 3 19 5 2 2 3" xfId="32222" xr:uid="{00000000-0005-0000-0000-000053890000}"/>
    <cellStyle name="输入 3 19 5 2 3" xfId="4240" xr:uid="{00000000-0005-0000-0000-000054890000}"/>
    <cellStyle name="输入 3 19 5 2 4" xfId="4250" xr:uid="{00000000-0005-0000-0000-000055890000}"/>
    <cellStyle name="输入 3 19 5 2 5" xfId="4258" xr:uid="{00000000-0005-0000-0000-000056890000}"/>
    <cellStyle name="输入 3 19 5 2 6" xfId="6481" xr:uid="{00000000-0005-0000-0000-000057890000}"/>
    <cellStyle name="输入 3 19 5 2 7" xfId="6488" xr:uid="{00000000-0005-0000-0000-000058890000}"/>
    <cellStyle name="输入 3 19 5 2 8" xfId="28650" xr:uid="{00000000-0005-0000-0000-000059890000}"/>
    <cellStyle name="输入 3 19 5 3" xfId="249" xr:uid="{00000000-0005-0000-0000-00005A890000}"/>
    <cellStyle name="输入 3 19 5 4" xfId="13933" xr:uid="{00000000-0005-0000-0000-00005B890000}"/>
    <cellStyle name="输入 3 19 5 5" xfId="36111" xr:uid="{00000000-0005-0000-0000-00005C890000}"/>
    <cellStyle name="输入 3 19 5 6" xfId="36113" xr:uid="{00000000-0005-0000-0000-00005D890000}"/>
    <cellStyle name="输入 3 19 5 6 2" xfId="36117" xr:uid="{00000000-0005-0000-0000-00005E890000}"/>
    <cellStyle name="输入 3 19 5 6 3" xfId="36119" xr:uid="{00000000-0005-0000-0000-00005F890000}"/>
    <cellStyle name="输入 3 19 5 7" xfId="8892" xr:uid="{00000000-0005-0000-0000-000060890000}"/>
    <cellStyle name="输入 3 19 5 8" xfId="8897" xr:uid="{00000000-0005-0000-0000-000061890000}"/>
    <cellStyle name="输入 3 19 5 9" xfId="8902" xr:uid="{00000000-0005-0000-0000-000062890000}"/>
    <cellStyle name="输入 3 19 6" xfId="27596" xr:uid="{00000000-0005-0000-0000-000063890000}"/>
    <cellStyle name="输入 3 19 6 2" xfId="36692" xr:uid="{00000000-0005-0000-0000-000064890000}"/>
    <cellStyle name="输入 3 19 6 2 2" xfId="36693" xr:uid="{00000000-0005-0000-0000-000065890000}"/>
    <cellStyle name="输入 3 19 6 2 3" xfId="25527" xr:uid="{00000000-0005-0000-0000-000066890000}"/>
    <cellStyle name="输入 3 19 6 3" xfId="36126" xr:uid="{00000000-0005-0000-0000-000067890000}"/>
    <cellStyle name="输入 3 19 6 4" xfId="36128" xr:uid="{00000000-0005-0000-0000-000068890000}"/>
    <cellStyle name="输入 3 19 6 5" xfId="36130" xr:uid="{00000000-0005-0000-0000-000069890000}"/>
    <cellStyle name="输入 3 19 6 6" xfId="36132" xr:uid="{00000000-0005-0000-0000-00006A890000}"/>
    <cellStyle name="输入 3 19 6 7" xfId="1584" xr:uid="{00000000-0005-0000-0000-00006B890000}"/>
    <cellStyle name="输入 3 19 6 8" xfId="1600" xr:uid="{00000000-0005-0000-0000-00006C890000}"/>
    <cellStyle name="输入 3 19 7" xfId="18224" xr:uid="{00000000-0005-0000-0000-00006D890000}"/>
    <cellStyle name="输入 3 19 8" xfId="18229" xr:uid="{00000000-0005-0000-0000-00006E890000}"/>
    <cellStyle name="输入 3 19 9" xfId="18232" xr:uid="{00000000-0005-0000-0000-00006F890000}"/>
    <cellStyle name="输入 3 19 9 2" xfId="36694" xr:uid="{00000000-0005-0000-0000-000070890000}"/>
    <cellStyle name="输入 3 19 9 3" xfId="36695" xr:uid="{00000000-0005-0000-0000-000071890000}"/>
    <cellStyle name="输入 3 2" xfId="36696" xr:uid="{00000000-0005-0000-0000-000072890000}"/>
    <cellStyle name="输入 3 2 10" xfId="12021" xr:uid="{00000000-0005-0000-0000-000073890000}"/>
    <cellStyle name="输入 3 2 11" xfId="36697" xr:uid="{00000000-0005-0000-0000-000074890000}"/>
    <cellStyle name="输入 3 2 12" xfId="36698" xr:uid="{00000000-0005-0000-0000-000075890000}"/>
    <cellStyle name="输入 3 2 13" xfId="36699" xr:uid="{00000000-0005-0000-0000-000076890000}"/>
    <cellStyle name="输入 3 2 14" xfId="36700" xr:uid="{00000000-0005-0000-0000-000077890000}"/>
    <cellStyle name="输入 3 2 2" xfId="12767" xr:uid="{00000000-0005-0000-0000-000078890000}"/>
    <cellStyle name="输入 3 2 3" xfId="36701" xr:uid="{00000000-0005-0000-0000-000079890000}"/>
    <cellStyle name="输入 3 2 4" xfId="36702" xr:uid="{00000000-0005-0000-0000-00007A890000}"/>
    <cellStyle name="输入 3 2 5" xfId="36703" xr:uid="{00000000-0005-0000-0000-00007B890000}"/>
    <cellStyle name="输入 3 2 6" xfId="36704" xr:uid="{00000000-0005-0000-0000-00007C890000}"/>
    <cellStyle name="输入 3 2 7" xfId="36705" xr:uid="{00000000-0005-0000-0000-00007D890000}"/>
    <cellStyle name="输入 3 2 8" xfId="36706" xr:uid="{00000000-0005-0000-0000-00007E890000}"/>
    <cellStyle name="输入 3 2 9" xfId="36707" xr:uid="{00000000-0005-0000-0000-00007F890000}"/>
    <cellStyle name="输入 3 20" xfId="36641" xr:uid="{00000000-0005-0000-0000-000080890000}"/>
    <cellStyle name="输入 3 20 10" xfId="36708" xr:uid="{00000000-0005-0000-0000-000081890000}"/>
    <cellStyle name="输入 3 20 11" xfId="4388" xr:uid="{00000000-0005-0000-0000-000082890000}"/>
    <cellStyle name="输入 3 20 12" xfId="4403" xr:uid="{00000000-0005-0000-0000-000083890000}"/>
    <cellStyle name="输入 3 20 13" xfId="17276" xr:uid="{00000000-0005-0000-0000-000084890000}"/>
    <cellStyle name="输入 3 20 14" xfId="17279" xr:uid="{00000000-0005-0000-0000-000085890000}"/>
    <cellStyle name="输入 3 20 2" xfId="8568" xr:uid="{00000000-0005-0000-0000-000086890000}"/>
    <cellStyle name="输入 3 20 3" xfId="8570" xr:uid="{00000000-0005-0000-0000-000087890000}"/>
    <cellStyle name="输入 3 20 4" xfId="36709" xr:uid="{00000000-0005-0000-0000-000088890000}"/>
    <cellStyle name="输入 3 20 5" xfId="36710" xr:uid="{00000000-0005-0000-0000-000089890000}"/>
    <cellStyle name="输入 3 20 5 10" xfId="30117" xr:uid="{00000000-0005-0000-0000-00008A890000}"/>
    <cellStyle name="输入 3 20 5 11" xfId="30120" xr:uid="{00000000-0005-0000-0000-00008B890000}"/>
    <cellStyle name="输入 3 20 5 2" xfId="36711" xr:uid="{00000000-0005-0000-0000-00008C890000}"/>
    <cellStyle name="输入 3 20 5 2 2" xfId="36712" xr:uid="{00000000-0005-0000-0000-00008D890000}"/>
    <cellStyle name="输入 3 20 5 2 2 2" xfId="24184" xr:uid="{00000000-0005-0000-0000-00008E890000}"/>
    <cellStyle name="输入 3 20 5 2 2 3" xfId="36713" xr:uid="{00000000-0005-0000-0000-00008F890000}"/>
    <cellStyle name="输入 3 20 5 2 3" xfId="10085" xr:uid="{00000000-0005-0000-0000-000090890000}"/>
    <cellStyle name="输入 3 20 5 2 4" xfId="10087" xr:uid="{00000000-0005-0000-0000-000091890000}"/>
    <cellStyle name="输入 3 20 5 2 5" xfId="10091" xr:uid="{00000000-0005-0000-0000-000092890000}"/>
    <cellStyle name="输入 3 20 5 2 6" xfId="36714" xr:uid="{00000000-0005-0000-0000-000093890000}"/>
    <cellStyle name="输入 3 20 5 2 7" xfId="36715" xr:uid="{00000000-0005-0000-0000-000094890000}"/>
    <cellStyle name="输入 3 20 5 2 8" xfId="36716" xr:uid="{00000000-0005-0000-0000-000095890000}"/>
    <cellStyle name="输入 3 20 5 3" xfId="36717" xr:uid="{00000000-0005-0000-0000-000096890000}"/>
    <cellStyle name="输入 3 20 5 4" xfId="36718" xr:uid="{00000000-0005-0000-0000-000097890000}"/>
    <cellStyle name="输入 3 20 5 5" xfId="36719" xr:uid="{00000000-0005-0000-0000-000098890000}"/>
    <cellStyle name="输入 3 20 5 6" xfId="36720" xr:uid="{00000000-0005-0000-0000-000099890000}"/>
    <cellStyle name="输入 3 20 5 6 2" xfId="36721" xr:uid="{00000000-0005-0000-0000-00009A890000}"/>
    <cellStyle name="输入 3 20 5 6 3" xfId="36722" xr:uid="{00000000-0005-0000-0000-00009B890000}"/>
    <cellStyle name="输入 3 20 5 7" xfId="15419" xr:uid="{00000000-0005-0000-0000-00009C890000}"/>
    <cellStyle name="输入 3 20 5 8" xfId="15341" xr:uid="{00000000-0005-0000-0000-00009D890000}"/>
    <cellStyle name="输入 3 20 5 9" xfId="15348" xr:uid="{00000000-0005-0000-0000-00009E890000}"/>
    <cellStyle name="输入 3 20 6" xfId="36723" xr:uid="{00000000-0005-0000-0000-00009F890000}"/>
    <cellStyle name="输入 3 20 6 2" xfId="36724" xr:uid="{00000000-0005-0000-0000-0000A0890000}"/>
    <cellStyle name="输入 3 20 6 2 2" xfId="36725" xr:uid="{00000000-0005-0000-0000-0000A1890000}"/>
    <cellStyle name="输入 3 20 6 2 3" xfId="36726" xr:uid="{00000000-0005-0000-0000-0000A2890000}"/>
    <cellStyle name="输入 3 20 6 3" xfId="36727" xr:uid="{00000000-0005-0000-0000-0000A3890000}"/>
    <cellStyle name="输入 3 20 6 4" xfId="36728" xr:uid="{00000000-0005-0000-0000-0000A4890000}"/>
    <cellStyle name="输入 3 20 6 5" xfId="36729" xr:uid="{00000000-0005-0000-0000-0000A5890000}"/>
    <cellStyle name="输入 3 20 6 6" xfId="36730" xr:uid="{00000000-0005-0000-0000-0000A6890000}"/>
    <cellStyle name="输入 3 20 6 7" xfId="965" xr:uid="{00000000-0005-0000-0000-0000A7890000}"/>
    <cellStyle name="输入 3 20 6 8" xfId="996" xr:uid="{00000000-0005-0000-0000-0000A8890000}"/>
    <cellStyle name="输入 3 20 7" xfId="36731" xr:uid="{00000000-0005-0000-0000-0000A9890000}"/>
    <cellStyle name="输入 3 20 8" xfId="30887" xr:uid="{00000000-0005-0000-0000-0000AA890000}"/>
    <cellStyle name="输入 3 20 9" xfId="30889" xr:uid="{00000000-0005-0000-0000-0000AB890000}"/>
    <cellStyle name="输入 3 20 9 2" xfId="36732" xr:uid="{00000000-0005-0000-0000-0000AC890000}"/>
    <cellStyle name="输入 3 20 9 3" xfId="36733" xr:uid="{00000000-0005-0000-0000-0000AD890000}"/>
    <cellStyle name="输入 3 3" xfId="36734" xr:uid="{00000000-0005-0000-0000-0000AE890000}"/>
    <cellStyle name="输入 3 3 10" xfId="36735" xr:uid="{00000000-0005-0000-0000-0000AF890000}"/>
    <cellStyle name="输入 3 3 11" xfId="36736" xr:uid="{00000000-0005-0000-0000-0000B0890000}"/>
    <cellStyle name="输入 3 3 12" xfId="36737" xr:uid="{00000000-0005-0000-0000-0000B1890000}"/>
    <cellStyle name="输入 3 3 13" xfId="36738" xr:uid="{00000000-0005-0000-0000-0000B2890000}"/>
    <cellStyle name="输入 3 3 14" xfId="36739" xr:uid="{00000000-0005-0000-0000-0000B3890000}"/>
    <cellStyle name="输入 3 3 2" xfId="36740" xr:uid="{00000000-0005-0000-0000-0000B4890000}"/>
    <cellStyle name="输入 3 3 3" xfId="36741" xr:uid="{00000000-0005-0000-0000-0000B5890000}"/>
    <cellStyle name="输入 3 3 4" xfId="36742" xr:uid="{00000000-0005-0000-0000-0000B6890000}"/>
    <cellStyle name="输入 3 3 5" xfId="36743" xr:uid="{00000000-0005-0000-0000-0000B7890000}"/>
    <cellStyle name="输入 3 3 6" xfId="36744" xr:uid="{00000000-0005-0000-0000-0000B8890000}"/>
    <cellStyle name="输入 3 3 7" xfId="36745" xr:uid="{00000000-0005-0000-0000-0000B9890000}"/>
    <cellStyle name="输入 3 3 8" xfId="36746" xr:uid="{00000000-0005-0000-0000-0000BA890000}"/>
    <cellStyle name="输入 3 3 9" xfId="36747" xr:uid="{00000000-0005-0000-0000-0000BB890000}"/>
    <cellStyle name="输入 3 4" xfId="36748" xr:uid="{00000000-0005-0000-0000-0000BC890000}"/>
    <cellStyle name="输入 3 4 10" xfId="30991" xr:uid="{00000000-0005-0000-0000-0000BD890000}"/>
    <cellStyle name="输入 3 4 11" xfId="30993" xr:uid="{00000000-0005-0000-0000-0000BE890000}"/>
    <cellStyle name="输入 3 4 12" xfId="31012" xr:uid="{00000000-0005-0000-0000-0000BF890000}"/>
    <cellStyle name="输入 3 4 13" xfId="519" xr:uid="{00000000-0005-0000-0000-0000C0890000}"/>
    <cellStyle name="输入 3 4 14" xfId="6031" xr:uid="{00000000-0005-0000-0000-0000C1890000}"/>
    <cellStyle name="输入 3 4 2" xfId="36749" xr:uid="{00000000-0005-0000-0000-0000C2890000}"/>
    <cellStyle name="输入 3 4 3" xfId="36750" xr:uid="{00000000-0005-0000-0000-0000C3890000}"/>
    <cellStyle name="输入 3 4 4" xfId="36751" xr:uid="{00000000-0005-0000-0000-0000C4890000}"/>
    <cellStyle name="输入 3 4 5" xfId="36752" xr:uid="{00000000-0005-0000-0000-0000C5890000}"/>
    <cellStyle name="输入 3 4 6" xfId="36753" xr:uid="{00000000-0005-0000-0000-0000C6890000}"/>
    <cellStyle name="输入 3 4 7" xfId="36754" xr:uid="{00000000-0005-0000-0000-0000C7890000}"/>
    <cellStyle name="输入 3 4 8" xfId="36755" xr:uid="{00000000-0005-0000-0000-0000C8890000}"/>
    <cellStyle name="输入 3 4 9" xfId="36756" xr:uid="{00000000-0005-0000-0000-0000C9890000}"/>
    <cellStyle name="输入 3 5" xfId="36757" xr:uid="{00000000-0005-0000-0000-0000CA890000}"/>
    <cellStyle name="输入 3 6" xfId="36758" xr:uid="{00000000-0005-0000-0000-0000CB890000}"/>
    <cellStyle name="输入 3 7" xfId="36759" xr:uid="{00000000-0005-0000-0000-0000CC890000}"/>
    <cellStyle name="输入 3 8" xfId="36760" xr:uid="{00000000-0005-0000-0000-0000CD890000}"/>
    <cellStyle name="输入 3 9" xfId="1852" xr:uid="{00000000-0005-0000-0000-0000CE890000}"/>
    <cellStyle name="输入 4" xfId="36761" xr:uid="{00000000-0005-0000-0000-0000CF890000}"/>
    <cellStyle name="输入 4 10" xfId="36762" xr:uid="{00000000-0005-0000-0000-0000D0890000}"/>
    <cellStyle name="输入 4 11" xfId="36763" xr:uid="{00000000-0005-0000-0000-0000D1890000}"/>
    <cellStyle name="输入 4 12" xfId="36764" xr:uid="{00000000-0005-0000-0000-0000D2890000}"/>
    <cellStyle name="输入 4 13" xfId="36765" xr:uid="{00000000-0005-0000-0000-0000D3890000}"/>
    <cellStyle name="输入 4 14" xfId="36766" xr:uid="{00000000-0005-0000-0000-0000D4890000}"/>
    <cellStyle name="输入 4 15" xfId="36768" xr:uid="{00000000-0005-0000-0000-0000D5890000}"/>
    <cellStyle name="输入 4 16" xfId="12977" xr:uid="{00000000-0005-0000-0000-0000D6890000}"/>
    <cellStyle name="输入 4 17" xfId="12981" xr:uid="{00000000-0005-0000-0000-0000D7890000}"/>
    <cellStyle name="输入 4 17 10" xfId="23928" xr:uid="{00000000-0005-0000-0000-0000D8890000}"/>
    <cellStyle name="输入 4 17 11" xfId="23931" xr:uid="{00000000-0005-0000-0000-0000D9890000}"/>
    <cellStyle name="输入 4 17 12" xfId="23934" xr:uid="{00000000-0005-0000-0000-0000DA890000}"/>
    <cellStyle name="输入 4 17 13" xfId="23940" xr:uid="{00000000-0005-0000-0000-0000DB890000}"/>
    <cellStyle name="输入 4 17 14" xfId="23945" xr:uid="{00000000-0005-0000-0000-0000DC890000}"/>
    <cellStyle name="输入 4 17 2" xfId="25383" xr:uid="{00000000-0005-0000-0000-0000DD890000}"/>
    <cellStyle name="输入 4 17 3" xfId="36769" xr:uid="{00000000-0005-0000-0000-0000DE890000}"/>
    <cellStyle name="输入 4 17 4" xfId="36770" xr:uid="{00000000-0005-0000-0000-0000DF890000}"/>
    <cellStyle name="输入 4 17 5" xfId="36771" xr:uid="{00000000-0005-0000-0000-0000E0890000}"/>
    <cellStyle name="输入 4 17 5 10" xfId="24453" xr:uid="{00000000-0005-0000-0000-0000E1890000}"/>
    <cellStyle name="输入 4 17 5 11" xfId="24455" xr:uid="{00000000-0005-0000-0000-0000E2890000}"/>
    <cellStyle name="输入 4 17 5 2" xfId="24917" xr:uid="{00000000-0005-0000-0000-0000E3890000}"/>
    <cellStyle name="输入 4 17 5 2 2" xfId="36772" xr:uid="{00000000-0005-0000-0000-0000E4890000}"/>
    <cellStyle name="输入 4 17 5 2 2 2" xfId="11873" xr:uid="{00000000-0005-0000-0000-0000E5890000}"/>
    <cellStyle name="输入 4 17 5 2 2 3" xfId="31197" xr:uid="{00000000-0005-0000-0000-0000E6890000}"/>
    <cellStyle name="输入 4 17 5 2 3" xfId="36773" xr:uid="{00000000-0005-0000-0000-0000E7890000}"/>
    <cellStyle name="输入 4 17 5 2 4" xfId="36774" xr:uid="{00000000-0005-0000-0000-0000E8890000}"/>
    <cellStyle name="输入 4 17 5 2 5" xfId="36775" xr:uid="{00000000-0005-0000-0000-0000E9890000}"/>
    <cellStyle name="输入 4 17 5 2 6" xfId="36776" xr:uid="{00000000-0005-0000-0000-0000EA890000}"/>
    <cellStyle name="输入 4 17 5 2 7" xfId="36777" xr:uid="{00000000-0005-0000-0000-0000EB890000}"/>
    <cellStyle name="输入 4 17 5 2 8" xfId="36778" xr:uid="{00000000-0005-0000-0000-0000EC890000}"/>
    <cellStyle name="输入 4 17 5 3" xfId="24919" xr:uid="{00000000-0005-0000-0000-0000ED890000}"/>
    <cellStyle name="输入 4 17 5 4" xfId="24921" xr:uid="{00000000-0005-0000-0000-0000EE890000}"/>
    <cellStyle name="输入 4 17 5 5" xfId="24923" xr:uid="{00000000-0005-0000-0000-0000EF890000}"/>
    <cellStyle name="输入 4 17 5 6" xfId="36779" xr:uid="{00000000-0005-0000-0000-0000F0890000}"/>
    <cellStyle name="输入 4 17 5 6 2" xfId="36780" xr:uid="{00000000-0005-0000-0000-0000F1890000}"/>
    <cellStyle name="输入 4 17 5 6 3" xfId="36781" xr:uid="{00000000-0005-0000-0000-0000F2890000}"/>
    <cellStyle name="输入 4 17 5 7" xfId="36782" xr:uid="{00000000-0005-0000-0000-0000F3890000}"/>
    <cellStyle name="输入 4 17 5 8" xfId="36783" xr:uid="{00000000-0005-0000-0000-0000F4890000}"/>
    <cellStyle name="输入 4 17 5 9" xfId="36784" xr:uid="{00000000-0005-0000-0000-0000F5890000}"/>
    <cellStyle name="输入 4 17 6" xfId="36785" xr:uid="{00000000-0005-0000-0000-0000F6890000}"/>
    <cellStyle name="输入 4 17 6 2" xfId="14182" xr:uid="{00000000-0005-0000-0000-0000F7890000}"/>
    <cellStyle name="输入 4 17 6 2 2" xfId="36786" xr:uid="{00000000-0005-0000-0000-0000F8890000}"/>
    <cellStyle name="输入 4 17 6 2 3" xfId="36787" xr:uid="{00000000-0005-0000-0000-0000F9890000}"/>
    <cellStyle name="输入 4 17 6 3" xfId="14186" xr:uid="{00000000-0005-0000-0000-0000FA890000}"/>
    <cellStyle name="输入 4 17 6 4" xfId="8011" xr:uid="{00000000-0005-0000-0000-0000FB890000}"/>
    <cellStyle name="输入 4 17 6 5" xfId="36788" xr:uid="{00000000-0005-0000-0000-0000FC890000}"/>
    <cellStyle name="输入 4 17 6 6" xfId="36789" xr:uid="{00000000-0005-0000-0000-0000FD890000}"/>
    <cellStyle name="输入 4 17 6 7" xfId="36790" xr:uid="{00000000-0005-0000-0000-0000FE890000}"/>
    <cellStyle name="输入 4 17 6 8" xfId="36791" xr:uid="{00000000-0005-0000-0000-0000FF890000}"/>
    <cellStyle name="输入 4 17 7" xfId="36792" xr:uid="{00000000-0005-0000-0000-0000008A0000}"/>
    <cellStyle name="输入 4 17 8" xfId="36793" xr:uid="{00000000-0005-0000-0000-0000018A0000}"/>
    <cellStyle name="输入 4 17 9" xfId="36794" xr:uid="{00000000-0005-0000-0000-0000028A0000}"/>
    <cellStyle name="输入 4 17 9 2" xfId="36795" xr:uid="{00000000-0005-0000-0000-0000038A0000}"/>
    <cellStyle name="输入 4 17 9 3" xfId="36796" xr:uid="{00000000-0005-0000-0000-0000048A0000}"/>
    <cellStyle name="输入 4 18" xfId="12986" xr:uid="{00000000-0005-0000-0000-0000058A0000}"/>
    <cellStyle name="输入 4 18 10" xfId="36797" xr:uid="{00000000-0005-0000-0000-0000068A0000}"/>
    <cellStyle name="输入 4 18 11" xfId="36798" xr:uid="{00000000-0005-0000-0000-0000078A0000}"/>
    <cellStyle name="输入 4 18 12" xfId="4950" xr:uid="{00000000-0005-0000-0000-0000088A0000}"/>
    <cellStyle name="输入 4 18 13" xfId="11188" xr:uid="{00000000-0005-0000-0000-0000098A0000}"/>
    <cellStyle name="输入 4 18 14" xfId="36799" xr:uid="{00000000-0005-0000-0000-00000A8A0000}"/>
    <cellStyle name="输入 4 18 2" xfId="14153" xr:uid="{00000000-0005-0000-0000-00000B8A0000}"/>
    <cellStyle name="输入 4 18 3" xfId="33515" xr:uid="{00000000-0005-0000-0000-00000C8A0000}"/>
    <cellStyle name="输入 4 18 4" xfId="33517" xr:uid="{00000000-0005-0000-0000-00000D8A0000}"/>
    <cellStyle name="输入 4 18 5" xfId="33519" xr:uid="{00000000-0005-0000-0000-00000E8A0000}"/>
    <cellStyle name="输入 4 18 5 10" xfId="34682" xr:uid="{00000000-0005-0000-0000-00000F8A0000}"/>
    <cellStyle name="输入 4 18 5 11" xfId="31890" xr:uid="{00000000-0005-0000-0000-0000108A0000}"/>
    <cellStyle name="输入 4 18 5 2" xfId="18614" xr:uid="{00000000-0005-0000-0000-0000118A0000}"/>
    <cellStyle name="输入 4 18 5 2 2" xfId="33172" xr:uid="{00000000-0005-0000-0000-0000128A0000}"/>
    <cellStyle name="输入 4 18 5 2 2 2" xfId="30003" xr:uid="{00000000-0005-0000-0000-0000138A0000}"/>
    <cellStyle name="输入 4 18 5 2 2 3" xfId="30007" xr:uid="{00000000-0005-0000-0000-0000148A0000}"/>
    <cellStyle name="输入 4 18 5 2 3" xfId="33869" xr:uid="{00000000-0005-0000-0000-0000158A0000}"/>
    <cellStyle name="输入 4 18 5 2 4" xfId="36800" xr:uid="{00000000-0005-0000-0000-0000168A0000}"/>
    <cellStyle name="输入 4 18 5 2 5" xfId="36801" xr:uid="{00000000-0005-0000-0000-0000178A0000}"/>
    <cellStyle name="输入 4 18 5 2 6" xfId="36802" xr:uid="{00000000-0005-0000-0000-0000188A0000}"/>
    <cellStyle name="输入 4 18 5 2 7" xfId="36803" xr:uid="{00000000-0005-0000-0000-0000198A0000}"/>
    <cellStyle name="输入 4 18 5 2 8" xfId="36804" xr:uid="{00000000-0005-0000-0000-00001A8A0000}"/>
    <cellStyle name="输入 4 18 5 3" xfId="19413" xr:uid="{00000000-0005-0000-0000-00001B8A0000}"/>
    <cellStyle name="输入 4 18 5 4" xfId="17616" xr:uid="{00000000-0005-0000-0000-00001C8A0000}"/>
    <cellStyle name="输入 4 18 5 5" xfId="17621" xr:uid="{00000000-0005-0000-0000-00001D8A0000}"/>
    <cellStyle name="输入 4 18 5 6" xfId="29052" xr:uid="{00000000-0005-0000-0000-00001E8A0000}"/>
    <cellStyle name="输入 4 18 5 6 2" xfId="36805" xr:uid="{00000000-0005-0000-0000-00001F8A0000}"/>
    <cellStyle name="输入 4 18 5 6 3" xfId="36806" xr:uid="{00000000-0005-0000-0000-0000208A0000}"/>
    <cellStyle name="输入 4 18 5 7" xfId="29054" xr:uid="{00000000-0005-0000-0000-0000218A0000}"/>
    <cellStyle name="输入 4 18 5 8" xfId="29057" xr:uid="{00000000-0005-0000-0000-0000228A0000}"/>
    <cellStyle name="输入 4 18 5 9" xfId="29059" xr:uid="{00000000-0005-0000-0000-0000238A0000}"/>
    <cellStyle name="输入 4 18 6" xfId="33521" xr:uid="{00000000-0005-0000-0000-0000248A0000}"/>
    <cellStyle name="输入 4 18 6 2" xfId="36807" xr:uid="{00000000-0005-0000-0000-0000258A0000}"/>
    <cellStyle name="输入 4 18 6 2 2" xfId="36808" xr:uid="{00000000-0005-0000-0000-0000268A0000}"/>
    <cellStyle name="输入 4 18 6 2 3" xfId="36809" xr:uid="{00000000-0005-0000-0000-0000278A0000}"/>
    <cellStyle name="输入 4 18 6 3" xfId="36810" xr:uid="{00000000-0005-0000-0000-0000288A0000}"/>
    <cellStyle name="输入 4 18 6 4" xfId="36811" xr:uid="{00000000-0005-0000-0000-0000298A0000}"/>
    <cellStyle name="输入 4 18 6 5" xfId="36812" xr:uid="{00000000-0005-0000-0000-00002A8A0000}"/>
    <cellStyle name="输入 4 18 6 6" xfId="36813" xr:uid="{00000000-0005-0000-0000-00002B8A0000}"/>
    <cellStyle name="输入 4 18 6 7" xfId="36814" xr:uid="{00000000-0005-0000-0000-00002C8A0000}"/>
    <cellStyle name="输入 4 18 6 8" xfId="36815" xr:uid="{00000000-0005-0000-0000-00002D8A0000}"/>
    <cellStyle name="输入 4 18 7" xfId="33523" xr:uid="{00000000-0005-0000-0000-00002E8A0000}"/>
    <cellStyle name="输入 4 18 8" xfId="33525" xr:uid="{00000000-0005-0000-0000-00002F8A0000}"/>
    <cellStyle name="输入 4 18 9" xfId="36816" xr:uid="{00000000-0005-0000-0000-0000308A0000}"/>
    <cellStyle name="输入 4 18 9 2" xfId="36817" xr:uid="{00000000-0005-0000-0000-0000318A0000}"/>
    <cellStyle name="输入 4 18 9 3" xfId="36818" xr:uid="{00000000-0005-0000-0000-0000328A0000}"/>
    <cellStyle name="输入 4 19" xfId="5672" xr:uid="{00000000-0005-0000-0000-0000338A0000}"/>
    <cellStyle name="输入 4 19 10" xfId="36819" xr:uid="{00000000-0005-0000-0000-0000348A0000}"/>
    <cellStyle name="输入 4 19 11" xfId="18380" xr:uid="{00000000-0005-0000-0000-0000358A0000}"/>
    <cellStyle name="输入 4 19 12" xfId="5027" xr:uid="{00000000-0005-0000-0000-0000368A0000}"/>
    <cellStyle name="输入 4 19 13" xfId="6505" xr:uid="{00000000-0005-0000-0000-0000378A0000}"/>
    <cellStyle name="输入 4 19 14" xfId="16152" xr:uid="{00000000-0005-0000-0000-0000388A0000}"/>
    <cellStyle name="输入 4 19 2" xfId="14225" xr:uid="{00000000-0005-0000-0000-0000398A0000}"/>
    <cellStyle name="输入 4 19 3" xfId="24728" xr:uid="{00000000-0005-0000-0000-00003A8A0000}"/>
    <cellStyle name="输入 4 19 4" xfId="24731" xr:uid="{00000000-0005-0000-0000-00003B8A0000}"/>
    <cellStyle name="输入 4 19 5" xfId="24734" xr:uid="{00000000-0005-0000-0000-00003C8A0000}"/>
    <cellStyle name="输入 4 19 5 10" xfId="36820" xr:uid="{00000000-0005-0000-0000-00003D8A0000}"/>
    <cellStyle name="输入 4 19 5 11" xfId="20234" xr:uid="{00000000-0005-0000-0000-00003E8A0000}"/>
    <cellStyle name="输入 4 19 5 2" xfId="21894" xr:uid="{00000000-0005-0000-0000-00003F8A0000}"/>
    <cellStyle name="输入 4 19 5 2 2" xfId="36821" xr:uid="{00000000-0005-0000-0000-0000408A0000}"/>
    <cellStyle name="输入 4 19 5 2 2 2" xfId="36822" xr:uid="{00000000-0005-0000-0000-0000418A0000}"/>
    <cellStyle name="输入 4 19 5 2 2 3" xfId="36823" xr:uid="{00000000-0005-0000-0000-0000428A0000}"/>
    <cellStyle name="输入 4 19 5 2 3" xfId="29289" xr:uid="{00000000-0005-0000-0000-0000438A0000}"/>
    <cellStyle name="输入 4 19 5 2 4" xfId="29295" xr:uid="{00000000-0005-0000-0000-0000448A0000}"/>
    <cellStyle name="输入 4 19 5 2 5" xfId="29297" xr:uid="{00000000-0005-0000-0000-0000458A0000}"/>
    <cellStyle name="输入 4 19 5 2 6" xfId="14953" xr:uid="{00000000-0005-0000-0000-0000468A0000}"/>
    <cellStyle name="输入 4 19 5 2 7" xfId="14959" xr:uid="{00000000-0005-0000-0000-0000478A0000}"/>
    <cellStyle name="输入 4 19 5 2 8" xfId="14965" xr:uid="{00000000-0005-0000-0000-0000488A0000}"/>
    <cellStyle name="输入 4 19 5 3" xfId="21897" xr:uid="{00000000-0005-0000-0000-0000498A0000}"/>
    <cellStyle name="输入 4 19 5 4" xfId="36824" xr:uid="{00000000-0005-0000-0000-00004A8A0000}"/>
    <cellStyle name="输入 4 19 5 5" xfId="19023" xr:uid="{00000000-0005-0000-0000-00004B8A0000}"/>
    <cellStyle name="输入 4 19 5 6" xfId="19025" xr:uid="{00000000-0005-0000-0000-00004C8A0000}"/>
    <cellStyle name="输入 4 19 5 6 2" xfId="36825" xr:uid="{00000000-0005-0000-0000-00004D8A0000}"/>
    <cellStyle name="输入 4 19 5 6 3" xfId="36826" xr:uid="{00000000-0005-0000-0000-00004E8A0000}"/>
    <cellStyle name="输入 4 19 5 7" xfId="10885" xr:uid="{00000000-0005-0000-0000-00004F8A0000}"/>
    <cellStyle name="输入 4 19 5 8" xfId="10895" xr:uid="{00000000-0005-0000-0000-0000508A0000}"/>
    <cellStyle name="输入 4 19 5 9" xfId="10898" xr:uid="{00000000-0005-0000-0000-0000518A0000}"/>
    <cellStyle name="输入 4 19 6" xfId="24737" xr:uid="{00000000-0005-0000-0000-0000528A0000}"/>
    <cellStyle name="输入 4 19 6 2" xfId="36827" xr:uid="{00000000-0005-0000-0000-0000538A0000}"/>
    <cellStyle name="输入 4 19 6 2 2" xfId="36828" xr:uid="{00000000-0005-0000-0000-0000548A0000}"/>
    <cellStyle name="输入 4 19 6 2 3" xfId="29317" xr:uid="{00000000-0005-0000-0000-0000558A0000}"/>
    <cellStyle name="输入 4 19 6 3" xfId="36829" xr:uid="{00000000-0005-0000-0000-0000568A0000}"/>
    <cellStyle name="输入 4 19 6 4" xfId="36830" xr:uid="{00000000-0005-0000-0000-0000578A0000}"/>
    <cellStyle name="输入 4 19 6 5" xfId="36831" xr:uid="{00000000-0005-0000-0000-0000588A0000}"/>
    <cellStyle name="输入 4 19 6 6" xfId="36832" xr:uid="{00000000-0005-0000-0000-0000598A0000}"/>
    <cellStyle name="输入 4 19 6 7" xfId="5413" xr:uid="{00000000-0005-0000-0000-00005A8A0000}"/>
    <cellStyle name="输入 4 19 6 8" xfId="5426" xr:uid="{00000000-0005-0000-0000-00005B8A0000}"/>
    <cellStyle name="输入 4 19 7" xfId="24740" xr:uid="{00000000-0005-0000-0000-00005C8A0000}"/>
    <cellStyle name="输入 4 19 8" xfId="31288" xr:uid="{00000000-0005-0000-0000-00005D8A0000}"/>
    <cellStyle name="输入 4 19 9" xfId="36833" xr:uid="{00000000-0005-0000-0000-00005E8A0000}"/>
    <cellStyle name="输入 4 19 9 2" xfId="36834" xr:uid="{00000000-0005-0000-0000-00005F8A0000}"/>
    <cellStyle name="输入 4 19 9 3" xfId="36835" xr:uid="{00000000-0005-0000-0000-0000608A0000}"/>
    <cellStyle name="输入 4 2" xfId="36836" xr:uid="{00000000-0005-0000-0000-0000618A0000}"/>
    <cellStyle name="输入 4 20" xfId="36767" xr:uid="{00000000-0005-0000-0000-0000628A0000}"/>
    <cellStyle name="输入 4 20 10" xfId="36837" xr:uid="{00000000-0005-0000-0000-0000638A0000}"/>
    <cellStyle name="输入 4 20 11" xfId="5106" xr:uid="{00000000-0005-0000-0000-0000648A0000}"/>
    <cellStyle name="输入 4 20 12" xfId="5113" xr:uid="{00000000-0005-0000-0000-0000658A0000}"/>
    <cellStyle name="输入 4 20 13" xfId="18322" xr:uid="{00000000-0005-0000-0000-0000668A0000}"/>
    <cellStyle name="输入 4 20 14" xfId="18326" xr:uid="{00000000-0005-0000-0000-0000678A0000}"/>
    <cellStyle name="输入 4 20 2" xfId="36838" xr:uid="{00000000-0005-0000-0000-0000688A0000}"/>
    <cellStyle name="输入 4 20 3" xfId="36839" xr:uid="{00000000-0005-0000-0000-0000698A0000}"/>
    <cellStyle name="输入 4 20 4" xfId="36840" xr:uid="{00000000-0005-0000-0000-00006A8A0000}"/>
    <cellStyle name="输入 4 20 5" xfId="36841" xr:uid="{00000000-0005-0000-0000-00006B8A0000}"/>
    <cellStyle name="输入 4 20 5 10" xfId="36843" xr:uid="{00000000-0005-0000-0000-00006C8A0000}"/>
    <cellStyle name="输入 4 20 5 11" xfId="36844" xr:uid="{00000000-0005-0000-0000-00006D8A0000}"/>
    <cellStyle name="输入 4 20 5 2" xfId="36845" xr:uid="{00000000-0005-0000-0000-00006E8A0000}"/>
    <cellStyle name="输入 4 20 5 2 2" xfId="36847" xr:uid="{00000000-0005-0000-0000-00006F8A0000}"/>
    <cellStyle name="输入 4 20 5 2 2 2" xfId="36848" xr:uid="{00000000-0005-0000-0000-0000708A0000}"/>
    <cellStyle name="输入 4 20 5 2 2 3" xfId="36849" xr:uid="{00000000-0005-0000-0000-0000718A0000}"/>
    <cellStyle name="输入 4 20 5 2 3" xfId="36851" xr:uid="{00000000-0005-0000-0000-0000728A0000}"/>
    <cellStyle name="输入 4 20 5 2 4" xfId="11573" xr:uid="{00000000-0005-0000-0000-0000738A0000}"/>
    <cellStyle name="输入 4 20 5 2 5" xfId="11577" xr:uid="{00000000-0005-0000-0000-0000748A0000}"/>
    <cellStyle name="输入 4 20 5 2 6" xfId="36852" xr:uid="{00000000-0005-0000-0000-0000758A0000}"/>
    <cellStyle name="输入 4 20 5 2 7" xfId="36853" xr:uid="{00000000-0005-0000-0000-0000768A0000}"/>
    <cellStyle name="输入 4 20 5 2 8" xfId="36854" xr:uid="{00000000-0005-0000-0000-0000778A0000}"/>
    <cellStyle name="输入 4 20 5 3" xfId="36855" xr:uid="{00000000-0005-0000-0000-0000788A0000}"/>
    <cellStyle name="输入 4 20 5 4" xfId="36856" xr:uid="{00000000-0005-0000-0000-0000798A0000}"/>
    <cellStyle name="输入 4 20 5 5" xfId="36857" xr:uid="{00000000-0005-0000-0000-00007A8A0000}"/>
    <cellStyle name="输入 4 20 5 6" xfId="36858" xr:uid="{00000000-0005-0000-0000-00007B8A0000}"/>
    <cellStyle name="输入 4 20 5 6 2" xfId="2315" xr:uid="{00000000-0005-0000-0000-00007C8A0000}"/>
    <cellStyle name="输入 4 20 5 6 3" xfId="36859" xr:uid="{00000000-0005-0000-0000-00007D8A0000}"/>
    <cellStyle name="输入 4 20 5 7" xfId="18344" xr:uid="{00000000-0005-0000-0000-00007E8A0000}"/>
    <cellStyle name="输入 4 20 5 8" xfId="18358" xr:uid="{00000000-0005-0000-0000-00007F8A0000}"/>
    <cellStyle name="输入 4 20 5 9" xfId="18360" xr:uid="{00000000-0005-0000-0000-0000808A0000}"/>
    <cellStyle name="输入 4 20 6" xfId="33688" xr:uid="{00000000-0005-0000-0000-0000818A0000}"/>
    <cellStyle name="输入 4 20 6 2" xfId="19207" xr:uid="{00000000-0005-0000-0000-0000828A0000}"/>
    <cellStyle name="输入 4 20 6 2 2" xfId="36860" xr:uid="{00000000-0005-0000-0000-0000838A0000}"/>
    <cellStyle name="输入 4 20 6 2 3" xfId="36861" xr:uid="{00000000-0005-0000-0000-0000848A0000}"/>
    <cellStyle name="输入 4 20 6 3" xfId="19210" xr:uid="{00000000-0005-0000-0000-0000858A0000}"/>
    <cellStyle name="输入 4 20 6 4" xfId="36862" xr:uid="{00000000-0005-0000-0000-0000868A0000}"/>
    <cellStyle name="输入 4 20 6 5" xfId="36863" xr:uid="{00000000-0005-0000-0000-0000878A0000}"/>
    <cellStyle name="输入 4 20 6 6" xfId="36864" xr:uid="{00000000-0005-0000-0000-0000888A0000}"/>
    <cellStyle name="输入 4 20 6 7" xfId="4282" xr:uid="{00000000-0005-0000-0000-0000898A0000}"/>
    <cellStyle name="输入 4 20 6 8" xfId="4289" xr:uid="{00000000-0005-0000-0000-00008A8A0000}"/>
    <cellStyle name="输入 4 20 7" xfId="31281" xr:uid="{00000000-0005-0000-0000-00008B8A0000}"/>
    <cellStyle name="输入 4 20 8" xfId="31071" xr:uid="{00000000-0005-0000-0000-00008C8A0000}"/>
    <cellStyle name="输入 4 20 9" xfId="31074" xr:uid="{00000000-0005-0000-0000-00008D8A0000}"/>
    <cellStyle name="输入 4 20 9 2" xfId="36865" xr:uid="{00000000-0005-0000-0000-00008E8A0000}"/>
    <cellStyle name="输入 4 20 9 3" xfId="12809" xr:uid="{00000000-0005-0000-0000-00008F8A0000}"/>
    <cellStyle name="输入 4 3" xfId="36866" xr:uid="{00000000-0005-0000-0000-0000908A0000}"/>
    <cellStyle name="输入 4 4" xfId="36867" xr:uid="{00000000-0005-0000-0000-0000918A0000}"/>
    <cellStyle name="输入 4 5" xfId="36868" xr:uid="{00000000-0005-0000-0000-0000928A0000}"/>
    <cellStyle name="输入 4 6" xfId="36869" xr:uid="{00000000-0005-0000-0000-0000938A0000}"/>
    <cellStyle name="输入 4 7" xfId="1440" xr:uid="{00000000-0005-0000-0000-0000948A0000}"/>
    <cellStyle name="输入 4 8" xfId="1472" xr:uid="{00000000-0005-0000-0000-0000958A0000}"/>
    <cellStyle name="输入 4 9" xfId="36870" xr:uid="{00000000-0005-0000-0000-0000968A0000}"/>
    <cellStyle name="输入 5" xfId="36871" xr:uid="{00000000-0005-0000-0000-0000978A0000}"/>
    <cellStyle name="输入 5 10" xfId="9671" xr:uid="{00000000-0005-0000-0000-0000988A0000}"/>
    <cellStyle name="输入 5 11" xfId="17883" xr:uid="{00000000-0005-0000-0000-0000998A0000}"/>
    <cellStyle name="输入 5 12" xfId="9062" xr:uid="{00000000-0005-0000-0000-00009A8A0000}"/>
    <cellStyle name="输入 5 13" xfId="9069" xr:uid="{00000000-0005-0000-0000-00009B8A0000}"/>
    <cellStyle name="输入 5 14" xfId="9082" xr:uid="{00000000-0005-0000-0000-00009C8A0000}"/>
    <cellStyle name="输入 5 2" xfId="8417" xr:uid="{00000000-0005-0000-0000-00009D8A0000}"/>
    <cellStyle name="输入 5 3" xfId="8426" xr:uid="{00000000-0005-0000-0000-00009E8A0000}"/>
    <cellStyle name="输入 5 4" xfId="8438" xr:uid="{00000000-0005-0000-0000-00009F8A0000}"/>
    <cellStyle name="输入 5 5" xfId="36872" xr:uid="{00000000-0005-0000-0000-0000A08A0000}"/>
    <cellStyle name="输入 5 6" xfId="36873" xr:uid="{00000000-0005-0000-0000-0000A18A0000}"/>
    <cellStyle name="输入 5 7" xfId="36874" xr:uid="{00000000-0005-0000-0000-0000A28A0000}"/>
    <cellStyle name="输入 5 8" xfId="36875" xr:uid="{00000000-0005-0000-0000-0000A38A0000}"/>
    <cellStyle name="输入 5 9" xfId="36876" xr:uid="{00000000-0005-0000-0000-0000A48A0000}"/>
    <cellStyle name="输入 6" xfId="36877" xr:uid="{00000000-0005-0000-0000-0000A58A0000}"/>
    <cellStyle name="输入 6 10" xfId="22115" xr:uid="{00000000-0005-0000-0000-0000A68A0000}"/>
    <cellStyle name="输入 6 11" xfId="22120" xr:uid="{00000000-0005-0000-0000-0000A78A0000}"/>
    <cellStyle name="输入 6 12" xfId="22123" xr:uid="{00000000-0005-0000-0000-0000A88A0000}"/>
    <cellStyle name="输入 6 13" xfId="22126" xr:uid="{00000000-0005-0000-0000-0000A98A0000}"/>
    <cellStyle name="输入 6 14" xfId="22130" xr:uid="{00000000-0005-0000-0000-0000AA8A0000}"/>
    <cellStyle name="输入 6 2" xfId="3726" xr:uid="{00000000-0005-0000-0000-0000AB8A0000}"/>
    <cellStyle name="输入 6 3" xfId="11154" xr:uid="{00000000-0005-0000-0000-0000AC8A0000}"/>
    <cellStyle name="输入 6 4" xfId="35736" xr:uid="{00000000-0005-0000-0000-0000AD8A0000}"/>
    <cellStyle name="输入 6 5" xfId="35753" xr:uid="{00000000-0005-0000-0000-0000AE8A0000}"/>
    <cellStyle name="输入 6 6" xfId="35761" xr:uid="{00000000-0005-0000-0000-0000AF8A0000}"/>
    <cellStyle name="输入 6 7" xfId="32045" xr:uid="{00000000-0005-0000-0000-0000B08A0000}"/>
    <cellStyle name="输入 6 8" xfId="32049" xr:uid="{00000000-0005-0000-0000-0000B18A0000}"/>
    <cellStyle name="输入 6 9" xfId="36878" xr:uid="{00000000-0005-0000-0000-0000B28A0000}"/>
    <cellStyle name="输入 7" xfId="36879" xr:uid="{00000000-0005-0000-0000-0000B38A0000}"/>
    <cellStyle name="输入 8" xfId="36880" xr:uid="{00000000-0005-0000-0000-0000B48A0000}"/>
    <cellStyle name="输入 9" xfId="36066" xr:uid="{00000000-0005-0000-0000-0000B58A0000}"/>
    <cellStyle name="输出 10" xfId="11919" xr:uid="{00000000-0005-0000-0000-0000B68A0000}"/>
    <cellStyle name="输出 11" xfId="19567" xr:uid="{00000000-0005-0000-0000-0000B78A0000}"/>
    <cellStyle name="输出 12" xfId="19570" xr:uid="{00000000-0005-0000-0000-0000B88A0000}"/>
    <cellStyle name="输出 12 10" xfId="21922" xr:uid="{00000000-0005-0000-0000-0000B98A0000}"/>
    <cellStyle name="输出 12 11" xfId="21924" xr:uid="{00000000-0005-0000-0000-0000BA8A0000}"/>
    <cellStyle name="输出 12 12" xfId="21926" xr:uid="{00000000-0005-0000-0000-0000BB8A0000}"/>
    <cellStyle name="输出 12 13" xfId="10702" xr:uid="{00000000-0005-0000-0000-0000BC8A0000}"/>
    <cellStyle name="输出 12 14" xfId="10705" xr:uid="{00000000-0005-0000-0000-0000BD8A0000}"/>
    <cellStyle name="输出 12 2" xfId="36881" xr:uid="{00000000-0005-0000-0000-0000BE8A0000}"/>
    <cellStyle name="输出 12 3" xfId="36882" xr:uid="{00000000-0005-0000-0000-0000BF8A0000}"/>
    <cellStyle name="输出 12 4" xfId="36883" xr:uid="{00000000-0005-0000-0000-0000C08A0000}"/>
    <cellStyle name="输出 12 5" xfId="36884" xr:uid="{00000000-0005-0000-0000-0000C18A0000}"/>
    <cellStyle name="输出 12 5 10" xfId="5663" xr:uid="{00000000-0005-0000-0000-0000C28A0000}"/>
    <cellStyle name="输出 12 5 11" xfId="15570" xr:uid="{00000000-0005-0000-0000-0000C38A0000}"/>
    <cellStyle name="输出 12 5 2" xfId="36885" xr:uid="{00000000-0005-0000-0000-0000C48A0000}"/>
    <cellStyle name="输出 12 5 2 2" xfId="35074" xr:uid="{00000000-0005-0000-0000-0000C58A0000}"/>
    <cellStyle name="输出 12 5 2 2 2" xfId="14463" xr:uid="{00000000-0005-0000-0000-0000C68A0000}"/>
    <cellStyle name="输出 12 5 2 2 3" xfId="24393" xr:uid="{00000000-0005-0000-0000-0000C78A0000}"/>
    <cellStyle name="输出 12 5 2 3" xfId="35090" xr:uid="{00000000-0005-0000-0000-0000C88A0000}"/>
    <cellStyle name="输出 12 5 2 4" xfId="35098" xr:uid="{00000000-0005-0000-0000-0000C98A0000}"/>
    <cellStyle name="输出 12 5 2 5" xfId="35100" xr:uid="{00000000-0005-0000-0000-0000CA8A0000}"/>
    <cellStyle name="输出 12 5 2 6" xfId="14164" xr:uid="{00000000-0005-0000-0000-0000CB8A0000}"/>
    <cellStyle name="输出 12 5 2 7" xfId="36886" xr:uid="{00000000-0005-0000-0000-0000CC8A0000}"/>
    <cellStyle name="输出 12 5 2 8" xfId="36887" xr:uid="{00000000-0005-0000-0000-0000CD8A0000}"/>
    <cellStyle name="输出 12 5 3" xfId="36888" xr:uid="{00000000-0005-0000-0000-0000CE8A0000}"/>
    <cellStyle name="输出 12 5 4" xfId="36889" xr:uid="{00000000-0005-0000-0000-0000CF8A0000}"/>
    <cellStyle name="输出 12 5 5" xfId="36890" xr:uid="{00000000-0005-0000-0000-0000D08A0000}"/>
    <cellStyle name="输出 12 5 6" xfId="36891" xr:uid="{00000000-0005-0000-0000-0000D18A0000}"/>
    <cellStyle name="输出 12 5 6 2" xfId="36892" xr:uid="{00000000-0005-0000-0000-0000D28A0000}"/>
    <cellStyle name="输出 12 5 6 3" xfId="36893" xr:uid="{00000000-0005-0000-0000-0000D38A0000}"/>
    <cellStyle name="输出 12 5 7" xfId="36894" xr:uid="{00000000-0005-0000-0000-0000D48A0000}"/>
    <cellStyle name="输出 12 5 8" xfId="36895" xr:uid="{00000000-0005-0000-0000-0000D58A0000}"/>
    <cellStyle name="输出 12 5 9" xfId="36896" xr:uid="{00000000-0005-0000-0000-0000D68A0000}"/>
    <cellStyle name="输出 12 6" xfId="34086" xr:uid="{00000000-0005-0000-0000-0000D78A0000}"/>
    <cellStyle name="输出 12 6 2" xfId="36897" xr:uid="{00000000-0005-0000-0000-0000D88A0000}"/>
    <cellStyle name="输出 12 6 2 2" xfId="36898" xr:uid="{00000000-0005-0000-0000-0000D98A0000}"/>
    <cellStyle name="输出 12 6 2 3" xfId="36899" xr:uid="{00000000-0005-0000-0000-0000DA8A0000}"/>
    <cellStyle name="输出 12 6 3" xfId="36900" xr:uid="{00000000-0005-0000-0000-0000DB8A0000}"/>
    <cellStyle name="输出 12 6 4" xfId="36901" xr:uid="{00000000-0005-0000-0000-0000DC8A0000}"/>
    <cellStyle name="输出 12 6 5" xfId="36902" xr:uid="{00000000-0005-0000-0000-0000DD8A0000}"/>
    <cellStyle name="输出 12 6 6" xfId="33316" xr:uid="{00000000-0005-0000-0000-0000DE8A0000}"/>
    <cellStyle name="输出 12 6 7" xfId="33319" xr:uid="{00000000-0005-0000-0000-0000DF8A0000}"/>
    <cellStyle name="输出 12 6 8" xfId="36903" xr:uid="{00000000-0005-0000-0000-0000E08A0000}"/>
    <cellStyle name="输出 12 7" xfId="34088" xr:uid="{00000000-0005-0000-0000-0000E18A0000}"/>
    <cellStyle name="输出 12 8" xfId="36904" xr:uid="{00000000-0005-0000-0000-0000E28A0000}"/>
    <cellStyle name="输出 12 9" xfId="36905" xr:uid="{00000000-0005-0000-0000-0000E38A0000}"/>
    <cellStyle name="输出 12 9 2" xfId="17119" xr:uid="{00000000-0005-0000-0000-0000E48A0000}"/>
    <cellStyle name="输出 12 9 3" xfId="23851" xr:uid="{00000000-0005-0000-0000-0000E58A0000}"/>
    <cellStyle name="输出 13" xfId="19573" xr:uid="{00000000-0005-0000-0000-0000E68A0000}"/>
    <cellStyle name="输出 14" xfId="19580" xr:uid="{00000000-0005-0000-0000-0000E78A0000}"/>
    <cellStyle name="输出 15" xfId="19584" xr:uid="{00000000-0005-0000-0000-0000E88A0000}"/>
    <cellStyle name="输出 16" xfId="19588" xr:uid="{00000000-0005-0000-0000-0000E98A0000}"/>
    <cellStyle name="输出 16 10" xfId="36906" xr:uid="{00000000-0005-0000-0000-0000EA8A0000}"/>
    <cellStyle name="输出 16 11" xfId="35778" xr:uid="{00000000-0005-0000-0000-0000EB8A0000}"/>
    <cellStyle name="输出 16 12" xfId="35780" xr:uid="{00000000-0005-0000-0000-0000EC8A0000}"/>
    <cellStyle name="输出 16 13" xfId="35782" xr:uid="{00000000-0005-0000-0000-0000ED8A0000}"/>
    <cellStyle name="输出 16 14" xfId="35784" xr:uid="{00000000-0005-0000-0000-0000EE8A0000}"/>
    <cellStyle name="输出 16 2" xfId="36907" xr:uid="{00000000-0005-0000-0000-0000EF8A0000}"/>
    <cellStyle name="输出 16 3" xfId="36908" xr:uid="{00000000-0005-0000-0000-0000F08A0000}"/>
    <cellStyle name="输出 16 4" xfId="23493" xr:uid="{00000000-0005-0000-0000-0000F18A0000}"/>
    <cellStyle name="输出 16 5" xfId="23496" xr:uid="{00000000-0005-0000-0000-0000F28A0000}"/>
    <cellStyle name="输出 16 5 10" xfId="36909" xr:uid="{00000000-0005-0000-0000-0000F38A0000}"/>
    <cellStyle name="输出 16 5 11" xfId="36910" xr:uid="{00000000-0005-0000-0000-0000F48A0000}"/>
    <cellStyle name="输出 16 5 2" xfId="23675" xr:uid="{00000000-0005-0000-0000-0000F58A0000}"/>
    <cellStyle name="输出 16 5 2 2" xfId="23678" xr:uid="{00000000-0005-0000-0000-0000F68A0000}"/>
    <cellStyle name="输出 16 5 2 2 2" xfId="36911" xr:uid="{00000000-0005-0000-0000-0000F78A0000}"/>
    <cellStyle name="输出 16 5 2 2 3" xfId="36912" xr:uid="{00000000-0005-0000-0000-0000F88A0000}"/>
    <cellStyle name="输出 16 5 2 3" xfId="23681" xr:uid="{00000000-0005-0000-0000-0000F98A0000}"/>
    <cellStyle name="输出 16 5 2 4" xfId="29113" xr:uid="{00000000-0005-0000-0000-0000FA8A0000}"/>
    <cellStyle name="输出 16 5 2 5" xfId="29125" xr:uid="{00000000-0005-0000-0000-0000FB8A0000}"/>
    <cellStyle name="输出 16 5 2 6" xfId="29127" xr:uid="{00000000-0005-0000-0000-0000FC8A0000}"/>
    <cellStyle name="输出 16 5 2 7" xfId="2244" xr:uid="{00000000-0005-0000-0000-0000FD8A0000}"/>
    <cellStyle name="输出 16 5 2 8" xfId="2266" xr:uid="{00000000-0005-0000-0000-0000FE8A0000}"/>
    <cellStyle name="输出 16 5 3" xfId="35328" xr:uid="{00000000-0005-0000-0000-0000FF8A0000}"/>
    <cellStyle name="输出 16 5 4" xfId="35330" xr:uid="{00000000-0005-0000-0000-0000008B0000}"/>
    <cellStyle name="输出 16 5 5" xfId="36913" xr:uid="{00000000-0005-0000-0000-0000018B0000}"/>
    <cellStyle name="输出 16 5 6" xfId="36914" xr:uid="{00000000-0005-0000-0000-0000028B0000}"/>
    <cellStyle name="输出 16 5 6 2" xfId="36915" xr:uid="{00000000-0005-0000-0000-0000038B0000}"/>
    <cellStyle name="输出 16 5 6 3" xfId="36916" xr:uid="{00000000-0005-0000-0000-0000048B0000}"/>
    <cellStyle name="输出 16 5 7" xfId="36917" xr:uid="{00000000-0005-0000-0000-0000058B0000}"/>
    <cellStyle name="输出 16 5 8" xfId="36918" xr:uid="{00000000-0005-0000-0000-0000068B0000}"/>
    <cellStyle name="输出 16 5 9" xfId="36919" xr:uid="{00000000-0005-0000-0000-0000078B0000}"/>
    <cellStyle name="输出 16 6" xfId="36920" xr:uid="{00000000-0005-0000-0000-0000088B0000}"/>
    <cellStyle name="输出 16 6 2" xfId="23716" xr:uid="{00000000-0005-0000-0000-0000098B0000}"/>
    <cellStyle name="输出 16 6 2 2" xfId="23691" xr:uid="{00000000-0005-0000-0000-00000A8B0000}"/>
    <cellStyle name="输出 16 6 2 3" xfId="15602" xr:uid="{00000000-0005-0000-0000-00000B8B0000}"/>
    <cellStyle name="输出 16 6 3" xfId="36921" xr:uid="{00000000-0005-0000-0000-00000C8B0000}"/>
    <cellStyle name="输出 16 6 4" xfId="36922" xr:uid="{00000000-0005-0000-0000-00000D8B0000}"/>
    <cellStyle name="输出 16 6 5" xfId="36923" xr:uid="{00000000-0005-0000-0000-00000E8B0000}"/>
    <cellStyle name="输出 16 6 6" xfId="36924" xr:uid="{00000000-0005-0000-0000-00000F8B0000}"/>
    <cellStyle name="输出 16 6 7" xfId="36925" xr:uid="{00000000-0005-0000-0000-0000108B0000}"/>
    <cellStyle name="输出 16 6 8" xfId="36926" xr:uid="{00000000-0005-0000-0000-0000118B0000}"/>
    <cellStyle name="输出 16 7" xfId="36927" xr:uid="{00000000-0005-0000-0000-0000128B0000}"/>
    <cellStyle name="输出 16 8" xfId="36928" xr:uid="{00000000-0005-0000-0000-0000138B0000}"/>
    <cellStyle name="输出 16 9" xfId="36929" xr:uid="{00000000-0005-0000-0000-0000148B0000}"/>
    <cellStyle name="输出 16 9 2" xfId="36930" xr:uid="{00000000-0005-0000-0000-0000158B0000}"/>
    <cellStyle name="输出 16 9 3" xfId="36931" xr:uid="{00000000-0005-0000-0000-0000168B0000}"/>
    <cellStyle name="输出 17" xfId="36932" xr:uid="{00000000-0005-0000-0000-0000178B0000}"/>
    <cellStyle name="输出 17 10" xfId="21938" xr:uid="{00000000-0005-0000-0000-0000188B0000}"/>
    <cellStyle name="输出 17 11" xfId="25618" xr:uid="{00000000-0005-0000-0000-0000198B0000}"/>
    <cellStyle name="输出 17 12" xfId="36933" xr:uid="{00000000-0005-0000-0000-00001A8B0000}"/>
    <cellStyle name="输出 17 13" xfId="36934" xr:uid="{00000000-0005-0000-0000-00001B8B0000}"/>
    <cellStyle name="输出 17 14" xfId="36935" xr:uid="{00000000-0005-0000-0000-00001C8B0000}"/>
    <cellStyle name="输出 17 2" xfId="30795" xr:uid="{00000000-0005-0000-0000-00001D8B0000}"/>
    <cellStyle name="输出 17 3" xfId="25975" xr:uid="{00000000-0005-0000-0000-00001E8B0000}"/>
    <cellStyle name="输出 17 4" xfId="30797" xr:uid="{00000000-0005-0000-0000-00001F8B0000}"/>
    <cellStyle name="输出 17 5" xfId="30799" xr:uid="{00000000-0005-0000-0000-0000208B0000}"/>
    <cellStyle name="输出 17 5 10" xfId="36936" xr:uid="{00000000-0005-0000-0000-0000218B0000}"/>
    <cellStyle name="输出 17 5 11" xfId="36937" xr:uid="{00000000-0005-0000-0000-0000228B0000}"/>
    <cellStyle name="输出 17 5 2" xfId="32511" xr:uid="{00000000-0005-0000-0000-0000238B0000}"/>
    <cellStyle name="输出 17 5 2 2" xfId="36938" xr:uid="{00000000-0005-0000-0000-0000248B0000}"/>
    <cellStyle name="输出 17 5 2 2 2" xfId="36939" xr:uid="{00000000-0005-0000-0000-0000258B0000}"/>
    <cellStyle name="输出 17 5 2 2 3" xfId="36940" xr:uid="{00000000-0005-0000-0000-0000268B0000}"/>
    <cellStyle name="输出 17 5 2 3" xfId="36941" xr:uid="{00000000-0005-0000-0000-0000278B0000}"/>
    <cellStyle name="输出 17 5 2 4" xfId="36942" xr:uid="{00000000-0005-0000-0000-0000288B0000}"/>
    <cellStyle name="输出 17 5 2 5" xfId="36943" xr:uid="{00000000-0005-0000-0000-0000298B0000}"/>
    <cellStyle name="输出 17 5 2 6" xfId="36944" xr:uid="{00000000-0005-0000-0000-00002A8B0000}"/>
    <cellStyle name="输出 17 5 2 7" xfId="36945" xr:uid="{00000000-0005-0000-0000-00002B8B0000}"/>
    <cellStyle name="输出 17 5 2 8" xfId="36946" xr:uid="{00000000-0005-0000-0000-00002C8B0000}"/>
    <cellStyle name="输出 17 5 3" xfId="32513" xr:uid="{00000000-0005-0000-0000-00002D8B0000}"/>
    <cellStyle name="输出 17 5 4" xfId="36947" xr:uid="{00000000-0005-0000-0000-00002E8B0000}"/>
    <cellStyle name="输出 17 5 5" xfId="36948" xr:uid="{00000000-0005-0000-0000-00002F8B0000}"/>
    <cellStyle name="输出 17 5 6" xfId="36949" xr:uid="{00000000-0005-0000-0000-0000308B0000}"/>
    <cellStyle name="输出 17 5 6 2" xfId="36950" xr:uid="{00000000-0005-0000-0000-0000318B0000}"/>
    <cellStyle name="输出 17 5 6 3" xfId="36951" xr:uid="{00000000-0005-0000-0000-0000328B0000}"/>
    <cellStyle name="输出 17 5 7" xfId="36952" xr:uid="{00000000-0005-0000-0000-0000338B0000}"/>
    <cellStyle name="输出 17 5 8" xfId="36953" xr:uid="{00000000-0005-0000-0000-0000348B0000}"/>
    <cellStyle name="输出 17 5 9" xfId="36954" xr:uid="{00000000-0005-0000-0000-0000358B0000}"/>
    <cellStyle name="输出 17 6" xfId="30801" xr:uid="{00000000-0005-0000-0000-0000368B0000}"/>
    <cellStyle name="输出 17 6 2" xfId="36955" xr:uid="{00000000-0005-0000-0000-0000378B0000}"/>
    <cellStyle name="输出 17 6 2 2" xfId="36956" xr:uid="{00000000-0005-0000-0000-0000388B0000}"/>
    <cellStyle name="输出 17 6 2 3" xfId="36957" xr:uid="{00000000-0005-0000-0000-0000398B0000}"/>
    <cellStyle name="输出 17 6 3" xfId="36958" xr:uid="{00000000-0005-0000-0000-00003A8B0000}"/>
    <cellStyle name="输出 17 6 4" xfId="36959" xr:uid="{00000000-0005-0000-0000-00003B8B0000}"/>
    <cellStyle name="输出 17 6 5" xfId="36960" xr:uid="{00000000-0005-0000-0000-00003C8B0000}"/>
    <cellStyle name="输出 17 6 6" xfId="36961" xr:uid="{00000000-0005-0000-0000-00003D8B0000}"/>
    <cellStyle name="输出 17 6 7" xfId="36962" xr:uid="{00000000-0005-0000-0000-00003E8B0000}"/>
    <cellStyle name="输出 17 6 8" xfId="36963" xr:uid="{00000000-0005-0000-0000-00003F8B0000}"/>
    <cellStyle name="输出 17 7" xfId="30803" xr:uid="{00000000-0005-0000-0000-0000408B0000}"/>
    <cellStyle name="输出 17 8" xfId="25707" xr:uid="{00000000-0005-0000-0000-0000418B0000}"/>
    <cellStyle name="输出 17 9" xfId="36964" xr:uid="{00000000-0005-0000-0000-0000428B0000}"/>
    <cellStyle name="输出 17 9 2" xfId="36965" xr:uid="{00000000-0005-0000-0000-0000438B0000}"/>
    <cellStyle name="输出 17 9 3" xfId="36966" xr:uid="{00000000-0005-0000-0000-0000448B0000}"/>
    <cellStyle name="输出 18" xfId="36967" xr:uid="{00000000-0005-0000-0000-0000458B0000}"/>
    <cellStyle name="输出 18 10" xfId="27250" xr:uid="{00000000-0005-0000-0000-0000468B0000}"/>
    <cellStyle name="输出 18 11" xfId="36968" xr:uid="{00000000-0005-0000-0000-0000478B0000}"/>
    <cellStyle name="输出 18 12" xfId="36969" xr:uid="{00000000-0005-0000-0000-0000488B0000}"/>
    <cellStyle name="输出 18 13" xfId="36970" xr:uid="{00000000-0005-0000-0000-0000498B0000}"/>
    <cellStyle name="输出 18 14" xfId="36971" xr:uid="{00000000-0005-0000-0000-00004A8B0000}"/>
    <cellStyle name="输出 18 2" xfId="30838" xr:uid="{00000000-0005-0000-0000-00004B8B0000}"/>
    <cellStyle name="输出 18 3" xfId="30840" xr:uid="{00000000-0005-0000-0000-00004C8B0000}"/>
    <cellStyle name="输出 18 4" xfId="25956" xr:uid="{00000000-0005-0000-0000-00004D8B0000}"/>
    <cellStyle name="输出 18 5" xfId="30842" xr:uid="{00000000-0005-0000-0000-00004E8B0000}"/>
    <cellStyle name="输出 18 5 10" xfId="9683" xr:uid="{00000000-0005-0000-0000-00004F8B0000}"/>
    <cellStyle name="输出 18 5 11" xfId="36972" xr:uid="{00000000-0005-0000-0000-0000508B0000}"/>
    <cellStyle name="输出 18 5 2" xfId="9433" xr:uid="{00000000-0005-0000-0000-0000518B0000}"/>
    <cellStyle name="输出 18 5 2 2" xfId="36973" xr:uid="{00000000-0005-0000-0000-0000528B0000}"/>
    <cellStyle name="输出 18 5 2 2 2" xfId="16235" xr:uid="{00000000-0005-0000-0000-0000538B0000}"/>
    <cellStyle name="输出 18 5 2 2 3" xfId="2850" xr:uid="{00000000-0005-0000-0000-0000548B0000}"/>
    <cellStyle name="输出 18 5 2 3" xfId="36517" xr:uid="{00000000-0005-0000-0000-0000558B0000}"/>
    <cellStyle name="输出 18 5 2 4" xfId="36519" xr:uid="{00000000-0005-0000-0000-0000568B0000}"/>
    <cellStyle name="输出 18 5 2 5" xfId="36521" xr:uid="{00000000-0005-0000-0000-0000578B0000}"/>
    <cellStyle name="输出 18 5 2 6" xfId="36523" xr:uid="{00000000-0005-0000-0000-0000588B0000}"/>
    <cellStyle name="输出 18 5 2 7" xfId="35110" xr:uid="{00000000-0005-0000-0000-0000598B0000}"/>
    <cellStyle name="输出 18 5 2 8" xfId="35123" xr:uid="{00000000-0005-0000-0000-00005A8B0000}"/>
    <cellStyle name="输出 18 5 3" xfId="16387" xr:uid="{00000000-0005-0000-0000-00005B8B0000}"/>
    <cellStyle name="输出 18 5 4" xfId="16395" xr:uid="{00000000-0005-0000-0000-00005C8B0000}"/>
    <cellStyle name="输出 18 5 5" xfId="16775" xr:uid="{00000000-0005-0000-0000-00005D8B0000}"/>
    <cellStyle name="输出 18 5 6" xfId="35014" xr:uid="{00000000-0005-0000-0000-00005E8B0000}"/>
    <cellStyle name="输出 18 5 6 2" xfId="36974" xr:uid="{00000000-0005-0000-0000-00005F8B0000}"/>
    <cellStyle name="输出 18 5 6 3" xfId="24520" xr:uid="{00000000-0005-0000-0000-0000608B0000}"/>
    <cellStyle name="输出 18 5 7" xfId="34737" xr:uid="{00000000-0005-0000-0000-0000618B0000}"/>
    <cellStyle name="输出 18 5 8" xfId="36975" xr:uid="{00000000-0005-0000-0000-0000628B0000}"/>
    <cellStyle name="输出 18 5 9" xfId="25658" xr:uid="{00000000-0005-0000-0000-0000638B0000}"/>
    <cellStyle name="输出 18 6" xfId="30844" xr:uid="{00000000-0005-0000-0000-0000648B0000}"/>
    <cellStyle name="输出 18 6 2" xfId="9599" xr:uid="{00000000-0005-0000-0000-0000658B0000}"/>
    <cellStyle name="输出 18 6 2 2" xfId="35835" xr:uid="{00000000-0005-0000-0000-0000668B0000}"/>
    <cellStyle name="输出 18 6 2 3" xfId="35837" xr:uid="{00000000-0005-0000-0000-0000678B0000}"/>
    <cellStyle name="输出 18 6 3" xfId="11514" xr:uid="{00000000-0005-0000-0000-0000688B0000}"/>
    <cellStyle name="输出 18 6 4" xfId="12879" xr:uid="{00000000-0005-0000-0000-0000698B0000}"/>
    <cellStyle name="输出 18 6 5" xfId="12884" xr:uid="{00000000-0005-0000-0000-00006A8B0000}"/>
    <cellStyle name="输出 18 6 6" xfId="35016" xr:uid="{00000000-0005-0000-0000-00006B8B0000}"/>
    <cellStyle name="输出 18 6 7" xfId="36976" xr:uid="{00000000-0005-0000-0000-00006C8B0000}"/>
    <cellStyle name="输出 18 6 8" xfId="36977" xr:uid="{00000000-0005-0000-0000-00006D8B0000}"/>
    <cellStyle name="输出 18 7" xfId="30846" xr:uid="{00000000-0005-0000-0000-00006E8B0000}"/>
    <cellStyle name="输出 18 8" xfId="36978" xr:uid="{00000000-0005-0000-0000-00006F8B0000}"/>
    <cellStyle name="输出 18 9" xfId="36979" xr:uid="{00000000-0005-0000-0000-0000708B0000}"/>
    <cellStyle name="输出 18 9 2" xfId="36980" xr:uid="{00000000-0005-0000-0000-0000718B0000}"/>
    <cellStyle name="输出 18 9 3" xfId="36981" xr:uid="{00000000-0005-0000-0000-0000728B0000}"/>
    <cellStyle name="输出 19" xfId="36982" xr:uid="{00000000-0005-0000-0000-0000738B0000}"/>
    <cellStyle name="输出 2" xfId="36983" xr:uid="{00000000-0005-0000-0000-0000748B0000}"/>
    <cellStyle name="输出 2 10" xfId="36984" xr:uid="{00000000-0005-0000-0000-0000758B0000}"/>
    <cellStyle name="输出 2 11" xfId="36985" xr:uid="{00000000-0005-0000-0000-0000768B0000}"/>
    <cellStyle name="输出 2 12" xfId="36986" xr:uid="{00000000-0005-0000-0000-0000778B0000}"/>
    <cellStyle name="输出 2 13" xfId="36987" xr:uid="{00000000-0005-0000-0000-0000788B0000}"/>
    <cellStyle name="输出 2 14" xfId="36988" xr:uid="{00000000-0005-0000-0000-0000798B0000}"/>
    <cellStyle name="输出 2 15" xfId="36990" xr:uid="{00000000-0005-0000-0000-00007A8B0000}"/>
    <cellStyle name="输出 2 16" xfId="36991" xr:uid="{00000000-0005-0000-0000-00007B8B0000}"/>
    <cellStyle name="输出 2 17" xfId="34596" xr:uid="{00000000-0005-0000-0000-00007C8B0000}"/>
    <cellStyle name="输出 2 17 10" xfId="31006" xr:uid="{00000000-0005-0000-0000-00007D8B0000}"/>
    <cellStyle name="输出 2 17 11" xfId="31008" xr:uid="{00000000-0005-0000-0000-00007E8B0000}"/>
    <cellStyle name="输出 2 17 12" xfId="31010" xr:uid="{00000000-0005-0000-0000-00007F8B0000}"/>
    <cellStyle name="输出 2 17 13" xfId="36992" xr:uid="{00000000-0005-0000-0000-0000808B0000}"/>
    <cellStyle name="输出 2 17 14" xfId="36993" xr:uid="{00000000-0005-0000-0000-0000818B0000}"/>
    <cellStyle name="输出 2 17 2" xfId="13948" xr:uid="{00000000-0005-0000-0000-0000828B0000}"/>
    <cellStyle name="输出 2 17 3" xfId="13950" xr:uid="{00000000-0005-0000-0000-0000838B0000}"/>
    <cellStyle name="输出 2 17 4" xfId="12841" xr:uid="{00000000-0005-0000-0000-0000848B0000}"/>
    <cellStyle name="输出 2 17 5" xfId="36994" xr:uid="{00000000-0005-0000-0000-0000858B0000}"/>
    <cellStyle name="输出 2 17 5 10" xfId="36996" xr:uid="{00000000-0005-0000-0000-0000868B0000}"/>
    <cellStyle name="输出 2 17 5 11" xfId="36997" xr:uid="{00000000-0005-0000-0000-0000878B0000}"/>
    <cellStyle name="输出 2 17 5 2" xfId="36998" xr:uid="{00000000-0005-0000-0000-0000888B0000}"/>
    <cellStyle name="输出 2 17 5 2 2" xfId="16537" xr:uid="{00000000-0005-0000-0000-0000898B0000}"/>
    <cellStyle name="输出 2 17 5 2 2 2" xfId="35008" xr:uid="{00000000-0005-0000-0000-00008A8B0000}"/>
    <cellStyle name="输出 2 17 5 2 2 3" xfId="35012" xr:uid="{00000000-0005-0000-0000-00008B8B0000}"/>
    <cellStyle name="输出 2 17 5 2 3" xfId="16541" xr:uid="{00000000-0005-0000-0000-00008C8B0000}"/>
    <cellStyle name="输出 2 17 5 2 4" xfId="32646" xr:uid="{00000000-0005-0000-0000-00008D8B0000}"/>
    <cellStyle name="输出 2 17 5 2 5" xfId="32657" xr:uid="{00000000-0005-0000-0000-00008E8B0000}"/>
    <cellStyle name="输出 2 17 5 2 6" xfId="32660" xr:uid="{00000000-0005-0000-0000-00008F8B0000}"/>
    <cellStyle name="输出 2 17 5 2 7" xfId="32664" xr:uid="{00000000-0005-0000-0000-0000908B0000}"/>
    <cellStyle name="输出 2 17 5 2 8" xfId="37000" xr:uid="{00000000-0005-0000-0000-0000918B0000}"/>
    <cellStyle name="输出 2 17 5 3" xfId="37001" xr:uid="{00000000-0005-0000-0000-0000928B0000}"/>
    <cellStyle name="输出 2 17 5 4" xfId="37002" xr:uid="{00000000-0005-0000-0000-0000938B0000}"/>
    <cellStyle name="输出 2 17 5 5" xfId="23517" xr:uid="{00000000-0005-0000-0000-0000948B0000}"/>
    <cellStyle name="输出 2 17 5 6" xfId="23526" xr:uid="{00000000-0005-0000-0000-0000958B0000}"/>
    <cellStyle name="输出 2 17 5 6 2" xfId="37003" xr:uid="{00000000-0005-0000-0000-0000968B0000}"/>
    <cellStyle name="输出 2 17 5 6 3" xfId="37004" xr:uid="{00000000-0005-0000-0000-0000978B0000}"/>
    <cellStyle name="输出 2 17 5 7" xfId="23528" xr:uid="{00000000-0005-0000-0000-0000988B0000}"/>
    <cellStyle name="输出 2 17 5 8" xfId="23530" xr:uid="{00000000-0005-0000-0000-0000998B0000}"/>
    <cellStyle name="输出 2 17 5 9" xfId="23534" xr:uid="{00000000-0005-0000-0000-00009A8B0000}"/>
    <cellStyle name="输出 2 17 6" xfId="37005" xr:uid="{00000000-0005-0000-0000-00009B8B0000}"/>
    <cellStyle name="输出 2 17 6 2" xfId="37006" xr:uid="{00000000-0005-0000-0000-00009C8B0000}"/>
    <cellStyle name="输出 2 17 6 2 2" xfId="37007" xr:uid="{00000000-0005-0000-0000-00009D8B0000}"/>
    <cellStyle name="输出 2 17 6 2 3" xfId="37008" xr:uid="{00000000-0005-0000-0000-00009E8B0000}"/>
    <cellStyle name="输出 2 17 6 3" xfId="37009" xr:uid="{00000000-0005-0000-0000-00009F8B0000}"/>
    <cellStyle name="输出 2 17 6 4" xfId="37010" xr:uid="{00000000-0005-0000-0000-0000A08B0000}"/>
    <cellStyle name="输出 2 17 6 5" xfId="17243" xr:uid="{00000000-0005-0000-0000-0000A18B0000}"/>
    <cellStyle name="输出 2 17 6 6" xfId="17247" xr:uid="{00000000-0005-0000-0000-0000A28B0000}"/>
    <cellStyle name="输出 2 17 6 7" xfId="16217" xr:uid="{00000000-0005-0000-0000-0000A38B0000}"/>
    <cellStyle name="输出 2 17 6 8" xfId="16225" xr:uid="{00000000-0005-0000-0000-0000A48B0000}"/>
    <cellStyle name="输出 2 17 7" xfId="37011" xr:uid="{00000000-0005-0000-0000-0000A58B0000}"/>
    <cellStyle name="输出 2 17 8" xfId="37012" xr:uid="{00000000-0005-0000-0000-0000A68B0000}"/>
    <cellStyle name="输出 2 17 9" xfId="37013" xr:uid="{00000000-0005-0000-0000-0000A78B0000}"/>
    <cellStyle name="输出 2 17 9 2" xfId="37014" xr:uid="{00000000-0005-0000-0000-0000A88B0000}"/>
    <cellStyle name="输出 2 17 9 3" xfId="37015" xr:uid="{00000000-0005-0000-0000-0000A98B0000}"/>
    <cellStyle name="输出 2 18" xfId="34598" xr:uid="{00000000-0005-0000-0000-0000AA8B0000}"/>
    <cellStyle name="输出 2 18 10" xfId="28647" xr:uid="{00000000-0005-0000-0000-0000AB8B0000}"/>
    <cellStyle name="输出 2 18 11" xfId="37016" xr:uid="{00000000-0005-0000-0000-0000AC8B0000}"/>
    <cellStyle name="输出 2 18 12" xfId="37017" xr:uid="{00000000-0005-0000-0000-0000AD8B0000}"/>
    <cellStyle name="输出 2 18 13" xfId="37018" xr:uid="{00000000-0005-0000-0000-0000AE8B0000}"/>
    <cellStyle name="输出 2 18 14" xfId="37019" xr:uid="{00000000-0005-0000-0000-0000AF8B0000}"/>
    <cellStyle name="输出 2 18 2" xfId="37020" xr:uid="{00000000-0005-0000-0000-0000B08B0000}"/>
    <cellStyle name="输出 2 18 3" xfId="37021" xr:uid="{00000000-0005-0000-0000-0000B18B0000}"/>
    <cellStyle name="输出 2 18 4" xfId="37022" xr:uid="{00000000-0005-0000-0000-0000B28B0000}"/>
    <cellStyle name="输出 2 18 5" xfId="37023" xr:uid="{00000000-0005-0000-0000-0000B38B0000}"/>
    <cellStyle name="输出 2 18 5 10" xfId="37024" xr:uid="{00000000-0005-0000-0000-0000B48B0000}"/>
    <cellStyle name="输出 2 18 5 11" xfId="37025" xr:uid="{00000000-0005-0000-0000-0000B58B0000}"/>
    <cellStyle name="输出 2 18 5 2" xfId="30364" xr:uid="{00000000-0005-0000-0000-0000B68B0000}"/>
    <cellStyle name="输出 2 18 5 2 2" xfId="26799" xr:uid="{00000000-0005-0000-0000-0000B78B0000}"/>
    <cellStyle name="输出 2 18 5 2 2 2" xfId="26481" xr:uid="{00000000-0005-0000-0000-0000B88B0000}"/>
    <cellStyle name="输出 2 18 5 2 2 3" xfId="26493" xr:uid="{00000000-0005-0000-0000-0000B98B0000}"/>
    <cellStyle name="输出 2 18 5 2 3" xfId="37026" xr:uid="{00000000-0005-0000-0000-0000BA8B0000}"/>
    <cellStyle name="输出 2 18 5 2 4" xfId="684" xr:uid="{00000000-0005-0000-0000-0000BB8B0000}"/>
    <cellStyle name="输出 2 18 5 2 5" xfId="716" xr:uid="{00000000-0005-0000-0000-0000BC8B0000}"/>
    <cellStyle name="输出 2 18 5 2 6" xfId="6377" xr:uid="{00000000-0005-0000-0000-0000BD8B0000}"/>
    <cellStyle name="输出 2 18 5 2 7" xfId="6381" xr:uid="{00000000-0005-0000-0000-0000BE8B0000}"/>
    <cellStyle name="输出 2 18 5 2 8" xfId="6387" xr:uid="{00000000-0005-0000-0000-0000BF8B0000}"/>
    <cellStyle name="输出 2 18 5 3" xfId="30366" xr:uid="{00000000-0005-0000-0000-0000C08B0000}"/>
    <cellStyle name="输出 2 18 5 4" xfId="30368" xr:uid="{00000000-0005-0000-0000-0000C18B0000}"/>
    <cellStyle name="输出 2 18 5 5" xfId="30373" xr:uid="{00000000-0005-0000-0000-0000C28B0000}"/>
    <cellStyle name="输出 2 18 5 6" xfId="30376" xr:uid="{00000000-0005-0000-0000-0000C38B0000}"/>
    <cellStyle name="输出 2 18 5 6 2" xfId="5115" xr:uid="{00000000-0005-0000-0000-0000C48B0000}"/>
    <cellStyle name="输出 2 18 5 6 3" xfId="24826" xr:uid="{00000000-0005-0000-0000-0000C58B0000}"/>
    <cellStyle name="输出 2 18 5 7" xfId="30379" xr:uid="{00000000-0005-0000-0000-0000C68B0000}"/>
    <cellStyle name="输出 2 18 5 8" xfId="37028" xr:uid="{00000000-0005-0000-0000-0000C78B0000}"/>
    <cellStyle name="输出 2 18 5 9" xfId="37030" xr:uid="{00000000-0005-0000-0000-0000C88B0000}"/>
    <cellStyle name="输出 2 18 6" xfId="25944" xr:uid="{00000000-0005-0000-0000-0000C98B0000}"/>
    <cellStyle name="输出 2 18 6 2" xfId="30385" xr:uid="{00000000-0005-0000-0000-0000CA8B0000}"/>
    <cellStyle name="输出 2 18 6 2 2" xfId="30606" xr:uid="{00000000-0005-0000-0000-0000CB8B0000}"/>
    <cellStyle name="输出 2 18 6 2 3" xfId="37031" xr:uid="{00000000-0005-0000-0000-0000CC8B0000}"/>
    <cellStyle name="输出 2 18 6 3" xfId="30387" xr:uid="{00000000-0005-0000-0000-0000CD8B0000}"/>
    <cellStyle name="输出 2 18 6 4" xfId="30389" xr:uid="{00000000-0005-0000-0000-0000CE8B0000}"/>
    <cellStyle name="输出 2 18 6 5" xfId="30391" xr:uid="{00000000-0005-0000-0000-0000CF8B0000}"/>
    <cellStyle name="输出 2 18 6 6" xfId="30393" xr:uid="{00000000-0005-0000-0000-0000D08B0000}"/>
    <cellStyle name="输出 2 18 6 7" xfId="37032" xr:uid="{00000000-0005-0000-0000-0000D18B0000}"/>
    <cellStyle name="输出 2 18 6 8" xfId="37033" xr:uid="{00000000-0005-0000-0000-0000D28B0000}"/>
    <cellStyle name="输出 2 18 7" xfId="37034" xr:uid="{00000000-0005-0000-0000-0000D38B0000}"/>
    <cellStyle name="输出 2 18 8" xfId="37035" xr:uid="{00000000-0005-0000-0000-0000D48B0000}"/>
    <cellStyle name="输出 2 18 9" xfId="37036" xr:uid="{00000000-0005-0000-0000-0000D58B0000}"/>
    <cellStyle name="输出 2 18 9 2" xfId="37037" xr:uid="{00000000-0005-0000-0000-0000D68B0000}"/>
    <cellStyle name="输出 2 18 9 3" xfId="37038" xr:uid="{00000000-0005-0000-0000-0000D78B0000}"/>
    <cellStyle name="输出 2 19" xfId="34600" xr:uid="{00000000-0005-0000-0000-0000D88B0000}"/>
    <cellStyle name="输出 2 19 10" xfId="33201" xr:uid="{00000000-0005-0000-0000-0000D98B0000}"/>
    <cellStyle name="输出 2 19 11" xfId="33203" xr:uid="{00000000-0005-0000-0000-0000DA8B0000}"/>
    <cellStyle name="输出 2 19 12" xfId="33205" xr:uid="{00000000-0005-0000-0000-0000DB8B0000}"/>
    <cellStyle name="输出 2 19 13" xfId="37039" xr:uid="{00000000-0005-0000-0000-0000DC8B0000}"/>
    <cellStyle name="输出 2 19 14" xfId="37040" xr:uid="{00000000-0005-0000-0000-0000DD8B0000}"/>
    <cellStyle name="输出 2 19 2" xfId="22155" xr:uid="{00000000-0005-0000-0000-0000DE8B0000}"/>
    <cellStyle name="输出 2 19 3" xfId="22204" xr:uid="{00000000-0005-0000-0000-0000DF8B0000}"/>
    <cellStyle name="输出 2 19 4" xfId="37041" xr:uid="{00000000-0005-0000-0000-0000E08B0000}"/>
    <cellStyle name="输出 2 19 5" xfId="37042" xr:uid="{00000000-0005-0000-0000-0000E18B0000}"/>
    <cellStyle name="输出 2 19 5 10" xfId="37043" xr:uid="{00000000-0005-0000-0000-0000E28B0000}"/>
    <cellStyle name="输出 2 19 5 11" xfId="36842" xr:uid="{00000000-0005-0000-0000-0000E38B0000}"/>
    <cellStyle name="输出 2 19 5 2" xfId="30421" xr:uid="{00000000-0005-0000-0000-0000E48B0000}"/>
    <cellStyle name="输出 2 19 5 2 2" xfId="35791" xr:uid="{00000000-0005-0000-0000-0000E58B0000}"/>
    <cellStyle name="输出 2 19 5 2 2 2" xfId="37044" xr:uid="{00000000-0005-0000-0000-0000E68B0000}"/>
    <cellStyle name="输出 2 19 5 2 2 3" xfId="24586" xr:uid="{00000000-0005-0000-0000-0000E78B0000}"/>
    <cellStyle name="输出 2 19 5 2 3" xfId="35793" xr:uid="{00000000-0005-0000-0000-0000E88B0000}"/>
    <cellStyle name="输出 2 19 5 2 4" xfId="35795" xr:uid="{00000000-0005-0000-0000-0000E98B0000}"/>
    <cellStyle name="输出 2 19 5 2 5" xfId="35797" xr:uid="{00000000-0005-0000-0000-0000EA8B0000}"/>
    <cellStyle name="输出 2 19 5 2 6" xfId="35799" xr:uid="{00000000-0005-0000-0000-0000EB8B0000}"/>
    <cellStyle name="输出 2 19 5 2 7" xfId="36846" xr:uid="{00000000-0005-0000-0000-0000EC8B0000}"/>
    <cellStyle name="输出 2 19 5 2 8" xfId="36850" xr:uid="{00000000-0005-0000-0000-0000ED8B0000}"/>
    <cellStyle name="输出 2 19 5 3" xfId="30423" xr:uid="{00000000-0005-0000-0000-0000EE8B0000}"/>
    <cellStyle name="输出 2 19 5 4" xfId="30425" xr:uid="{00000000-0005-0000-0000-0000EF8B0000}"/>
    <cellStyle name="输出 2 19 5 5" xfId="11965" xr:uid="{00000000-0005-0000-0000-0000F08B0000}"/>
    <cellStyle name="输出 2 19 5 6" xfId="11972" xr:uid="{00000000-0005-0000-0000-0000F18B0000}"/>
    <cellStyle name="输出 2 19 5 6 2" xfId="1987" xr:uid="{00000000-0005-0000-0000-0000F28B0000}"/>
    <cellStyle name="输出 2 19 5 6 3" xfId="2007" xr:uid="{00000000-0005-0000-0000-0000F38B0000}"/>
    <cellStyle name="输出 2 19 5 7" xfId="8249" xr:uid="{00000000-0005-0000-0000-0000F48B0000}"/>
    <cellStyle name="输出 2 19 5 8" xfId="8258" xr:uid="{00000000-0005-0000-0000-0000F58B0000}"/>
    <cellStyle name="输出 2 19 5 9" xfId="8264" xr:uid="{00000000-0005-0000-0000-0000F68B0000}"/>
    <cellStyle name="输出 2 19 6" xfId="37045" xr:uid="{00000000-0005-0000-0000-0000F78B0000}"/>
    <cellStyle name="输出 2 19 6 2" xfId="30434" xr:uid="{00000000-0005-0000-0000-0000F88B0000}"/>
    <cellStyle name="输出 2 19 6 2 2" xfId="37046" xr:uid="{00000000-0005-0000-0000-0000F98B0000}"/>
    <cellStyle name="输出 2 19 6 2 3" xfId="37047" xr:uid="{00000000-0005-0000-0000-0000FA8B0000}"/>
    <cellStyle name="输出 2 19 6 3" xfId="30436" xr:uid="{00000000-0005-0000-0000-0000FB8B0000}"/>
    <cellStyle name="输出 2 19 6 4" xfId="30438" xr:uid="{00000000-0005-0000-0000-0000FC8B0000}"/>
    <cellStyle name="输出 2 19 6 5" xfId="23391" xr:uid="{00000000-0005-0000-0000-0000FD8B0000}"/>
    <cellStyle name="输出 2 19 6 6" xfId="23396" xr:uid="{00000000-0005-0000-0000-0000FE8B0000}"/>
    <cellStyle name="输出 2 19 6 7" xfId="23399" xr:uid="{00000000-0005-0000-0000-0000FF8B0000}"/>
    <cellStyle name="输出 2 19 6 8" xfId="23401" xr:uid="{00000000-0005-0000-0000-0000008C0000}"/>
    <cellStyle name="输出 2 19 7" xfId="37048" xr:uid="{00000000-0005-0000-0000-0000018C0000}"/>
    <cellStyle name="输出 2 19 8" xfId="37049" xr:uid="{00000000-0005-0000-0000-0000028C0000}"/>
    <cellStyle name="输出 2 19 9" xfId="37050" xr:uid="{00000000-0005-0000-0000-0000038C0000}"/>
    <cellStyle name="输出 2 19 9 2" xfId="10438" xr:uid="{00000000-0005-0000-0000-0000048C0000}"/>
    <cellStyle name="输出 2 19 9 3" xfId="37051" xr:uid="{00000000-0005-0000-0000-0000058C0000}"/>
    <cellStyle name="输出 2 2" xfId="11800" xr:uid="{00000000-0005-0000-0000-0000068C0000}"/>
    <cellStyle name="输出 2 2 10" xfId="25875" xr:uid="{00000000-0005-0000-0000-0000078C0000}"/>
    <cellStyle name="输出 2 2 11" xfId="31848" xr:uid="{00000000-0005-0000-0000-0000088C0000}"/>
    <cellStyle name="输出 2 2 12" xfId="31851" xr:uid="{00000000-0005-0000-0000-0000098C0000}"/>
    <cellStyle name="输出 2 2 13" xfId="31854" xr:uid="{00000000-0005-0000-0000-00000A8C0000}"/>
    <cellStyle name="输出 2 2 14" xfId="31857" xr:uid="{00000000-0005-0000-0000-00000B8C0000}"/>
    <cellStyle name="输出 2 2 2" xfId="29170" xr:uid="{00000000-0005-0000-0000-00000C8C0000}"/>
    <cellStyle name="输出 2 2 3" xfId="29173" xr:uid="{00000000-0005-0000-0000-00000D8C0000}"/>
    <cellStyle name="输出 2 2 4" xfId="29176" xr:uid="{00000000-0005-0000-0000-00000E8C0000}"/>
    <cellStyle name="输出 2 2 5" xfId="29179" xr:uid="{00000000-0005-0000-0000-00000F8C0000}"/>
    <cellStyle name="输出 2 2 6" xfId="34486" xr:uid="{00000000-0005-0000-0000-0000108C0000}"/>
    <cellStyle name="输出 2 2 7" xfId="34488" xr:uid="{00000000-0005-0000-0000-0000118C0000}"/>
    <cellStyle name="输出 2 2 8" xfId="37052" xr:uid="{00000000-0005-0000-0000-0000128C0000}"/>
    <cellStyle name="输出 2 2 9" xfId="37053" xr:uid="{00000000-0005-0000-0000-0000138C0000}"/>
    <cellStyle name="输出 2 20" xfId="36989" xr:uid="{00000000-0005-0000-0000-0000148C0000}"/>
    <cellStyle name="输出 2 20 10" xfId="37054" xr:uid="{00000000-0005-0000-0000-0000158C0000}"/>
    <cellStyle name="输出 2 20 11" xfId="37055" xr:uid="{00000000-0005-0000-0000-0000168C0000}"/>
    <cellStyle name="输出 2 20 12" xfId="37056" xr:uid="{00000000-0005-0000-0000-0000178C0000}"/>
    <cellStyle name="输出 2 20 13" xfId="37057" xr:uid="{00000000-0005-0000-0000-0000188C0000}"/>
    <cellStyle name="输出 2 20 14" xfId="37058" xr:uid="{00000000-0005-0000-0000-0000198C0000}"/>
    <cellStyle name="输出 2 20 2" xfId="37059" xr:uid="{00000000-0005-0000-0000-00001A8C0000}"/>
    <cellStyle name="输出 2 20 3" xfId="37060" xr:uid="{00000000-0005-0000-0000-00001B8C0000}"/>
    <cellStyle name="输出 2 20 4" xfId="37061" xr:uid="{00000000-0005-0000-0000-00001C8C0000}"/>
    <cellStyle name="输出 2 20 5" xfId="37062" xr:uid="{00000000-0005-0000-0000-00001D8C0000}"/>
    <cellStyle name="输出 2 20 5 10" xfId="2811" xr:uid="{00000000-0005-0000-0000-00001E8C0000}"/>
    <cellStyle name="输出 2 20 5 11" xfId="37063" xr:uid="{00000000-0005-0000-0000-00001F8C0000}"/>
    <cellStyle name="输出 2 20 5 2" xfId="37064" xr:uid="{00000000-0005-0000-0000-0000208C0000}"/>
    <cellStyle name="输出 2 20 5 2 2" xfId="37065" xr:uid="{00000000-0005-0000-0000-0000218C0000}"/>
    <cellStyle name="输出 2 20 5 2 2 2" xfId="37066" xr:uid="{00000000-0005-0000-0000-0000228C0000}"/>
    <cellStyle name="输出 2 20 5 2 2 3" xfId="37067" xr:uid="{00000000-0005-0000-0000-0000238C0000}"/>
    <cellStyle name="输出 2 20 5 2 3" xfId="37068" xr:uid="{00000000-0005-0000-0000-0000248C0000}"/>
    <cellStyle name="输出 2 20 5 2 4" xfId="37069" xr:uid="{00000000-0005-0000-0000-0000258C0000}"/>
    <cellStyle name="输出 2 20 5 2 5" xfId="37070" xr:uid="{00000000-0005-0000-0000-0000268C0000}"/>
    <cellStyle name="输出 2 20 5 2 6" xfId="13792" xr:uid="{00000000-0005-0000-0000-0000278C0000}"/>
    <cellStyle name="输出 2 20 5 2 7" xfId="13797" xr:uid="{00000000-0005-0000-0000-0000288C0000}"/>
    <cellStyle name="输出 2 20 5 2 8" xfId="13801" xr:uid="{00000000-0005-0000-0000-0000298C0000}"/>
    <cellStyle name="输出 2 20 5 3" xfId="37071" xr:uid="{00000000-0005-0000-0000-00002A8C0000}"/>
    <cellStyle name="输出 2 20 5 4" xfId="37072" xr:uid="{00000000-0005-0000-0000-00002B8C0000}"/>
    <cellStyle name="输出 2 20 5 5" xfId="37073" xr:uid="{00000000-0005-0000-0000-00002C8C0000}"/>
    <cellStyle name="输出 2 20 5 6" xfId="37074" xr:uid="{00000000-0005-0000-0000-00002D8C0000}"/>
    <cellStyle name="输出 2 20 5 6 2" xfId="37075" xr:uid="{00000000-0005-0000-0000-00002E8C0000}"/>
    <cellStyle name="输出 2 20 5 6 3" xfId="37076" xr:uid="{00000000-0005-0000-0000-00002F8C0000}"/>
    <cellStyle name="输出 2 20 5 7" xfId="37077" xr:uid="{00000000-0005-0000-0000-0000308C0000}"/>
    <cellStyle name="输出 2 20 5 8" xfId="37078" xr:uid="{00000000-0005-0000-0000-0000318C0000}"/>
    <cellStyle name="输出 2 20 5 9" xfId="37079" xr:uid="{00000000-0005-0000-0000-0000328C0000}"/>
    <cellStyle name="输出 2 20 6" xfId="37080" xr:uid="{00000000-0005-0000-0000-0000338C0000}"/>
    <cellStyle name="输出 2 20 6 2" xfId="37081" xr:uid="{00000000-0005-0000-0000-0000348C0000}"/>
    <cellStyle name="输出 2 20 6 2 2" xfId="37082" xr:uid="{00000000-0005-0000-0000-0000358C0000}"/>
    <cellStyle name="输出 2 20 6 2 3" xfId="37083" xr:uid="{00000000-0005-0000-0000-0000368C0000}"/>
    <cellStyle name="输出 2 20 6 3" xfId="37084" xr:uid="{00000000-0005-0000-0000-0000378C0000}"/>
    <cellStyle name="输出 2 20 6 4" xfId="37085" xr:uid="{00000000-0005-0000-0000-0000388C0000}"/>
    <cellStyle name="输出 2 20 6 5" xfId="13554" xr:uid="{00000000-0005-0000-0000-0000398C0000}"/>
    <cellStyle name="输出 2 20 6 6" xfId="28838" xr:uid="{00000000-0005-0000-0000-00003A8C0000}"/>
    <cellStyle name="输出 2 20 6 7" xfId="37086" xr:uid="{00000000-0005-0000-0000-00003B8C0000}"/>
    <cellStyle name="输出 2 20 6 8" xfId="37087" xr:uid="{00000000-0005-0000-0000-00003C8C0000}"/>
    <cellStyle name="输出 2 20 7" xfId="37088" xr:uid="{00000000-0005-0000-0000-00003D8C0000}"/>
    <cellStyle name="输出 2 20 8" xfId="37089" xr:uid="{00000000-0005-0000-0000-00003E8C0000}"/>
    <cellStyle name="输出 2 20 9" xfId="37090" xr:uid="{00000000-0005-0000-0000-00003F8C0000}"/>
    <cellStyle name="输出 2 20 9 2" xfId="37091" xr:uid="{00000000-0005-0000-0000-0000408C0000}"/>
    <cellStyle name="输出 2 20 9 3" xfId="37092" xr:uid="{00000000-0005-0000-0000-0000418C0000}"/>
    <cellStyle name="输出 2 3" xfId="11803" xr:uid="{00000000-0005-0000-0000-0000428C0000}"/>
    <cellStyle name="输出 2 3 10" xfId="35365" xr:uid="{00000000-0005-0000-0000-0000438C0000}"/>
    <cellStyle name="输出 2 3 11" xfId="35367" xr:uid="{00000000-0005-0000-0000-0000448C0000}"/>
    <cellStyle name="输出 2 3 12" xfId="37093" xr:uid="{00000000-0005-0000-0000-0000458C0000}"/>
    <cellStyle name="输出 2 3 13" xfId="37094" xr:uid="{00000000-0005-0000-0000-0000468C0000}"/>
    <cellStyle name="输出 2 3 14" xfId="37095" xr:uid="{00000000-0005-0000-0000-0000478C0000}"/>
    <cellStyle name="输出 2 3 2" xfId="27117" xr:uid="{00000000-0005-0000-0000-0000488C0000}"/>
    <cellStyle name="输出 2 3 3" xfId="9270" xr:uid="{00000000-0005-0000-0000-0000498C0000}"/>
    <cellStyle name="输出 2 3 4" xfId="9291" xr:uid="{00000000-0005-0000-0000-00004A8C0000}"/>
    <cellStyle name="输出 2 3 5" xfId="9293" xr:uid="{00000000-0005-0000-0000-00004B8C0000}"/>
    <cellStyle name="输出 2 3 6" xfId="8651" xr:uid="{00000000-0005-0000-0000-00004C8C0000}"/>
    <cellStyle name="输出 2 3 7" xfId="8655" xr:uid="{00000000-0005-0000-0000-00004D8C0000}"/>
    <cellStyle name="输出 2 3 8" xfId="8660" xr:uid="{00000000-0005-0000-0000-00004E8C0000}"/>
    <cellStyle name="输出 2 3 9" xfId="8665" xr:uid="{00000000-0005-0000-0000-00004F8C0000}"/>
    <cellStyle name="输出 2 4" xfId="22475" xr:uid="{00000000-0005-0000-0000-0000508C0000}"/>
    <cellStyle name="输出 2 4 10" xfId="18362" xr:uid="{00000000-0005-0000-0000-0000518C0000}"/>
    <cellStyle name="输出 2 4 11" xfId="6918" xr:uid="{00000000-0005-0000-0000-0000528C0000}"/>
    <cellStyle name="输出 2 4 12" xfId="6926" xr:uid="{00000000-0005-0000-0000-0000538C0000}"/>
    <cellStyle name="输出 2 4 13" xfId="6935" xr:uid="{00000000-0005-0000-0000-0000548C0000}"/>
    <cellStyle name="输出 2 4 14" xfId="4959" xr:uid="{00000000-0005-0000-0000-0000558C0000}"/>
    <cellStyle name="输出 2 4 2" xfId="37096" xr:uid="{00000000-0005-0000-0000-0000568C0000}"/>
    <cellStyle name="输出 2 4 3" xfId="37097" xr:uid="{00000000-0005-0000-0000-0000578C0000}"/>
    <cellStyle name="输出 2 4 4" xfId="37098" xr:uid="{00000000-0005-0000-0000-0000588C0000}"/>
    <cellStyle name="输出 2 4 5" xfId="37099" xr:uid="{00000000-0005-0000-0000-0000598C0000}"/>
    <cellStyle name="输出 2 4 6" xfId="37100" xr:uid="{00000000-0005-0000-0000-00005A8C0000}"/>
    <cellStyle name="输出 2 4 7" xfId="37101" xr:uid="{00000000-0005-0000-0000-00005B8C0000}"/>
    <cellStyle name="输出 2 4 8" xfId="37102" xr:uid="{00000000-0005-0000-0000-00005C8C0000}"/>
    <cellStyle name="输出 2 4 9" xfId="37103" xr:uid="{00000000-0005-0000-0000-00005D8C0000}"/>
    <cellStyle name="输出 2 5" xfId="27119" xr:uid="{00000000-0005-0000-0000-00005E8C0000}"/>
    <cellStyle name="输出 2 6" xfId="27121" xr:uid="{00000000-0005-0000-0000-00005F8C0000}"/>
    <cellStyle name="输出 2 7" xfId="27123" xr:uid="{00000000-0005-0000-0000-0000608C0000}"/>
    <cellStyle name="输出 2 8" xfId="27126" xr:uid="{00000000-0005-0000-0000-0000618C0000}"/>
    <cellStyle name="输出 2 9" xfId="27129" xr:uid="{00000000-0005-0000-0000-0000628C0000}"/>
    <cellStyle name="输出 3" xfId="37104" xr:uid="{00000000-0005-0000-0000-0000638C0000}"/>
    <cellStyle name="输出 3 10" xfId="37105" xr:uid="{00000000-0005-0000-0000-0000648C0000}"/>
    <cellStyle name="输出 3 11" xfId="37106" xr:uid="{00000000-0005-0000-0000-0000658C0000}"/>
    <cellStyle name="输出 3 12" xfId="37107" xr:uid="{00000000-0005-0000-0000-0000668C0000}"/>
    <cellStyle name="输出 3 13" xfId="21338" xr:uid="{00000000-0005-0000-0000-0000678C0000}"/>
    <cellStyle name="输出 3 14" xfId="21340" xr:uid="{00000000-0005-0000-0000-0000688C0000}"/>
    <cellStyle name="输出 3 15" xfId="37109" xr:uid="{00000000-0005-0000-0000-0000698C0000}"/>
    <cellStyle name="输出 3 16" xfId="37110" xr:uid="{00000000-0005-0000-0000-00006A8C0000}"/>
    <cellStyle name="输出 3 17" xfId="12229" xr:uid="{00000000-0005-0000-0000-00006B8C0000}"/>
    <cellStyle name="输出 3 17 10" xfId="37111" xr:uid="{00000000-0005-0000-0000-00006C8C0000}"/>
    <cellStyle name="输出 3 17 11" xfId="37112" xr:uid="{00000000-0005-0000-0000-00006D8C0000}"/>
    <cellStyle name="输出 3 17 12" xfId="37113" xr:uid="{00000000-0005-0000-0000-00006E8C0000}"/>
    <cellStyle name="输出 3 17 13" xfId="37114" xr:uid="{00000000-0005-0000-0000-00006F8C0000}"/>
    <cellStyle name="输出 3 17 14" xfId="37115" xr:uid="{00000000-0005-0000-0000-0000708C0000}"/>
    <cellStyle name="输出 3 17 2" xfId="37116" xr:uid="{00000000-0005-0000-0000-0000718C0000}"/>
    <cellStyle name="输出 3 17 2 2" xfId="37117" xr:uid="{00000000-0005-0000-0000-0000728C0000}"/>
    <cellStyle name="输出 3 17 3" xfId="37118" xr:uid="{00000000-0005-0000-0000-0000738C0000}"/>
    <cellStyle name="输出 3 17 4" xfId="37119" xr:uid="{00000000-0005-0000-0000-0000748C0000}"/>
    <cellStyle name="输出 3 17 5" xfId="37120" xr:uid="{00000000-0005-0000-0000-0000758C0000}"/>
    <cellStyle name="输出 3 17 5 10" xfId="2120" xr:uid="{00000000-0005-0000-0000-0000768C0000}"/>
    <cellStyle name="输出 3 17 5 11" xfId="37121" xr:uid="{00000000-0005-0000-0000-0000778C0000}"/>
    <cellStyle name="输出 3 17 5 2" xfId="37122" xr:uid="{00000000-0005-0000-0000-0000788C0000}"/>
    <cellStyle name="输出 3 17 5 2 2" xfId="37123" xr:uid="{00000000-0005-0000-0000-0000798C0000}"/>
    <cellStyle name="输出 3 17 5 2 2 2" xfId="24619" xr:uid="{00000000-0005-0000-0000-00007A8C0000}"/>
    <cellStyle name="输出 3 17 5 2 2 3" xfId="37124" xr:uid="{00000000-0005-0000-0000-00007B8C0000}"/>
    <cellStyle name="输出 3 17 5 2 3" xfId="37125" xr:uid="{00000000-0005-0000-0000-00007C8C0000}"/>
    <cellStyle name="输出 3 17 5 2 4" xfId="37126" xr:uid="{00000000-0005-0000-0000-00007D8C0000}"/>
    <cellStyle name="输出 3 17 5 2 5" xfId="25711" xr:uid="{00000000-0005-0000-0000-00007E8C0000}"/>
    <cellStyle name="输出 3 17 5 2 6" xfId="26202" xr:uid="{00000000-0005-0000-0000-00007F8C0000}"/>
    <cellStyle name="输出 3 17 5 2 7" xfId="26204" xr:uid="{00000000-0005-0000-0000-0000808C0000}"/>
    <cellStyle name="输出 3 17 5 2 8" xfId="26206" xr:uid="{00000000-0005-0000-0000-0000818C0000}"/>
    <cellStyle name="输出 3 17 5 3" xfId="37127" xr:uid="{00000000-0005-0000-0000-0000828C0000}"/>
    <cellStyle name="输出 3 17 5 4" xfId="37128" xr:uid="{00000000-0005-0000-0000-0000838C0000}"/>
    <cellStyle name="输出 3 17 5 5" xfId="23734" xr:uid="{00000000-0005-0000-0000-0000848C0000}"/>
    <cellStyle name="输出 3 17 5 6" xfId="23746" xr:uid="{00000000-0005-0000-0000-0000858C0000}"/>
    <cellStyle name="输出 3 17 5 6 2" xfId="37129" xr:uid="{00000000-0005-0000-0000-0000868C0000}"/>
    <cellStyle name="输出 3 17 5 6 3" xfId="37130" xr:uid="{00000000-0005-0000-0000-0000878C0000}"/>
    <cellStyle name="输出 3 17 5 7" xfId="23749" xr:uid="{00000000-0005-0000-0000-0000888C0000}"/>
    <cellStyle name="输出 3 17 5 8" xfId="23752" xr:uid="{00000000-0005-0000-0000-0000898C0000}"/>
    <cellStyle name="输出 3 17 5 9" xfId="23755" xr:uid="{00000000-0005-0000-0000-00008A8C0000}"/>
    <cellStyle name="输出 3 17 6" xfId="37131" xr:uid="{00000000-0005-0000-0000-00008B8C0000}"/>
    <cellStyle name="输出 3 17 6 2" xfId="37132" xr:uid="{00000000-0005-0000-0000-00008C8C0000}"/>
    <cellStyle name="输出 3 17 6 2 2" xfId="37133" xr:uid="{00000000-0005-0000-0000-00008D8C0000}"/>
    <cellStyle name="输出 3 17 6 2 3" xfId="37134" xr:uid="{00000000-0005-0000-0000-00008E8C0000}"/>
    <cellStyle name="输出 3 17 6 3" xfId="37135" xr:uid="{00000000-0005-0000-0000-00008F8C0000}"/>
    <cellStyle name="输出 3 17 6 4" xfId="25842" xr:uid="{00000000-0005-0000-0000-0000908C0000}"/>
    <cellStyle name="输出 3 17 6 5" xfId="23764" xr:uid="{00000000-0005-0000-0000-0000918C0000}"/>
    <cellStyle name="输出 3 17 6 6" xfId="23772" xr:uid="{00000000-0005-0000-0000-0000928C0000}"/>
    <cellStyle name="输出 3 17 6 7" xfId="23777" xr:uid="{00000000-0005-0000-0000-0000938C0000}"/>
    <cellStyle name="输出 3 17 6 8" xfId="23436" xr:uid="{00000000-0005-0000-0000-0000948C0000}"/>
    <cellStyle name="输出 3 17 7" xfId="37136" xr:uid="{00000000-0005-0000-0000-0000958C0000}"/>
    <cellStyle name="输出 3 17 8" xfId="37137" xr:uid="{00000000-0005-0000-0000-0000968C0000}"/>
    <cellStyle name="输出 3 17 9" xfId="37138" xr:uid="{00000000-0005-0000-0000-0000978C0000}"/>
    <cellStyle name="输出 3 17 9 2" xfId="17036" xr:uid="{00000000-0005-0000-0000-0000988C0000}"/>
    <cellStyle name="输出 3 17 9 3" xfId="3182" xr:uid="{00000000-0005-0000-0000-0000998C0000}"/>
    <cellStyle name="输出 3 18" xfId="12233" xr:uid="{00000000-0005-0000-0000-00009A8C0000}"/>
    <cellStyle name="输出 3 18 10" xfId="37139" xr:uid="{00000000-0005-0000-0000-00009B8C0000}"/>
    <cellStyle name="输出 3 18 11" xfId="36464" xr:uid="{00000000-0005-0000-0000-00009C8C0000}"/>
    <cellStyle name="输出 3 18 12" xfId="36466" xr:uid="{00000000-0005-0000-0000-00009D8C0000}"/>
    <cellStyle name="输出 3 18 13" xfId="37140" xr:uid="{00000000-0005-0000-0000-00009E8C0000}"/>
    <cellStyle name="输出 3 18 14" xfId="13234" xr:uid="{00000000-0005-0000-0000-00009F8C0000}"/>
    <cellStyle name="输出 3 18 2" xfId="37141" xr:uid="{00000000-0005-0000-0000-0000A08C0000}"/>
    <cellStyle name="输出 3 18 3" xfId="37142" xr:uid="{00000000-0005-0000-0000-0000A18C0000}"/>
    <cellStyle name="输出 3 18 4" xfId="37143" xr:uid="{00000000-0005-0000-0000-0000A28C0000}"/>
    <cellStyle name="输出 3 18 5" xfId="37144" xr:uid="{00000000-0005-0000-0000-0000A38C0000}"/>
    <cellStyle name="输出 3 18 5 10" xfId="15389" xr:uid="{00000000-0005-0000-0000-0000A48C0000}"/>
    <cellStyle name="输出 3 18 5 11" xfId="37145" xr:uid="{00000000-0005-0000-0000-0000A58C0000}"/>
    <cellStyle name="输出 3 18 5 2" xfId="37146" xr:uid="{00000000-0005-0000-0000-0000A68C0000}"/>
    <cellStyle name="输出 3 18 5 2 2" xfId="35536" xr:uid="{00000000-0005-0000-0000-0000A78C0000}"/>
    <cellStyle name="输出 3 18 5 2 2 2" xfId="37147" xr:uid="{00000000-0005-0000-0000-0000A88C0000}"/>
    <cellStyle name="输出 3 18 5 2 2 3" xfId="5597" xr:uid="{00000000-0005-0000-0000-0000A98C0000}"/>
    <cellStyle name="输出 3 18 5 2 3" xfId="35538" xr:uid="{00000000-0005-0000-0000-0000AA8C0000}"/>
    <cellStyle name="输出 3 18 5 2 4" xfId="7504" xr:uid="{00000000-0005-0000-0000-0000AB8C0000}"/>
    <cellStyle name="输出 3 18 5 2 5" xfId="5580" xr:uid="{00000000-0005-0000-0000-0000AC8C0000}"/>
    <cellStyle name="输出 3 18 5 2 6" xfId="8866" xr:uid="{00000000-0005-0000-0000-0000AD8C0000}"/>
    <cellStyle name="输出 3 18 5 2 7" xfId="8870" xr:uid="{00000000-0005-0000-0000-0000AE8C0000}"/>
    <cellStyle name="输出 3 18 5 2 8" xfId="1963" xr:uid="{00000000-0005-0000-0000-0000AF8C0000}"/>
    <cellStyle name="输出 3 18 5 3" xfId="37148" xr:uid="{00000000-0005-0000-0000-0000B08C0000}"/>
    <cellStyle name="输出 3 18 5 4" xfId="37149" xr:uid="{00000000-0005-0000-0000-0000B18C0000}"/>
    <cellStyle name="输出 3 18 5 5" xfId="37150" xr:uid="{00000000-0005-0000-0000-0000B28C0000}"/>
    <cellStyle name="输出 3 18 5 6" xfId="37151" xr:uid="{00000000-0005-0000-0000-0000B38C0000}"/>
    <cellStyle name="输出 3 18 5 6 2" xfId="37152" xr:uid="{00000000-0005-0000-0000-0000B48C0000}"/>
    <cellStyle name="输出 3 18 5 6 3" xfId="37153" xr:uid="{00000000-0005-0000-0000-0000B58C0000}"/>
    <cellStyle name="输出 3 18 5 7" xfId="37154" xr:uid="{00000000-0005-0000-0000-0000B68C0000}"/>
    <cellStyle name="输出 3 18 5 8" xfId="37155" xr:uid="{00000000-0005-0000-0000-0000B78C0000}"/>
    <cellStyle name="输出 3 18 5 9" xfId="37156" xr:uid="{00000000-0005-0000-0000-0000B88C0000}"/>
    <cellStyle name="输出 3 18 6" xfId="37157" xr:uid="{00000000-0005-0000-0000-0000B98C0000}"/>
    <cellStyle name="输出 3 18 6 2" xfId="37158" xr:uid="{00000000-0005-0000-0000-0000BA8C0000}"/>
    <cellStyle name="输出 3 18 6 2 2" xfId="35573" xr:uid="{00000000-0005-0000-0000-0000BB8C0000}"/>
    <cellStyle name="输出 3 18 6 2 3" xfId="35575" xr:uid="{00000000-0005-0000-0000-0000BC8C0000}"/>
    <cellStyle name="输出 3 18 6 3" xfId="24648" xr:uid="{00000000-0005-0000-0000-0000BD8C0000}"/>
    <cellStyle name="输出 3 18 6 4" xfId="37159" xr:uid="{00000000-0005-0000-0000-0000BE8C0000}"/>
    <cellStyle name="输出 3 18 6 5" xfId="37160" xr:uid="{00000000-0005-0000-0000-0000BF8C0000}"/>
    <cellStyle name="输出 3 18 6 6" xfId="37161" xr:uid="{00000000-0005-0000-0000-0000C08C0000}"/>
    <cellStyle name="输出 3 18 6 7" xfId="37162" xr:uid="{00000000-0005-0000-0000-0000C18C0000}"/>
    <cellStyle name="输出 3 18 6 8" xfId="37163" xr:uid="{00000000-0005-0000-0000-0000C28C0000}"/>
    <cellStyle name="输出 3 18 7" xfId="37164" xr:uid="{00000000-0005-0000-0000-0000C38C0000}"/>
    <cellStyle name="输出 3 18 8" xfId="37165" xr:uid="{00000000-0005-0000-0000-0000C48C0000}"/>
    <cellStyle name="输出 3 18 9" xfId="37166" xr:uid="{00000000-0005-0000-0000-0000C58C0000}"/>
    <cellStyle name="输出 3 18 9 2" xfId="37167" xr:uid="{00000000-0005-0000-0000-0000C68C0000}"/>
    <cellStyle name="输出 3 18 9 3" xfId="37168" xr:uid="{00000000-0005-0000-0000-0000C78C0000}"/>
    <cellStyle name="输出 3 19" xfId="25450" xr:uid="{00000000-0005-0000-0000-0000C88C0000}"/>
    <cellStyle name="输出 3 19 10" xfId="4034" xr:uid="{00000000-0005-0000-0000-0000C98C0000}"/>
    <cellStyle name="输出 3 19 11" xfId="4042" xr:uid="{00000000-0005-0000-0000-0000CA8C0000}"/>
    <cellStyle name="输出 3 19 12" xfId="4048" xr:uid="{00000000-0005-0000-0000-0000CB8C0000}"/>
    <cellStyle name="输出 3 19 13" xfId="4055" xr:uid="{00000000-0005-0000-0000-0000CC8C0000}"/>
    <cellStyle name="输出 3 19 14" xfId="4063" xr:uid="{00000000-0005-0000-0000-0000CD8C0000}"/>
    <cellStyle name="输出 3 19 2" xfId="21443" xr:uid="{00000000-0005-0000-0000-0000CE8C0000}"/>
    <cellStyle name="输出 3 19 3" xfId="22772" xr:uid="{00000000-0005-0000-0000-0000CF8C0000}"/>
    <cellStyle name="输出 3 19 4" xfId="37169" xr:uid="{00000000-0005-0000-0000-0000D08C0000}"/>
    <cellStyle name="输出 3 19 5" xfId="21694" xr:uid="{00000000-0005-0000-0000-0000D18C0000}"/>
    <cellStyle name="输出 3 19 5 10" xfId="37170" xr:uid="{00000000-0005-0000-0000-0000D28C0000}"/>
    <cellStyle name="输出 3 19 5 11" xfId="37171" xr:uid="{00000000-0005-0000-0000-0000D38C0000}"/>
    <cellStyle name="输出 3 19 5 2" xfId="37172" xr:uid="{00000000-0005-0000-0000-0000D48C0000}"/>
    <cellStyle name="输出 3 19 5 2 2" xfId="26302" xr:uid="{00000000-0005-0000-0000-0000D58C0000}"/>
    <cellStyle name="输出 3 19 5 2 2 2" xfId="18368" xr:uid="{00000000-0005-0000-0000-0000D68C0000}"/>
    <cellStyle name="输出 3 19 5 2 2 3" xfId="26308" xr:uid="{00000000-0005-0000-0000-0000D78C0000}"/>
    <cellStyle name="输出 3 19 5 2 3" xfId="26319" xr:uid="{00000000-0005-0000-0000-0000D88C0000}"/>
    <cellStyle name="输出 3 19 5 2 4" xfId="26321" xr:uid="{00000000-0005-0000-0000-0000D98C0000}"/>
    <cellStyle name="输出 3 19 5 2 5" xfId="26323" xr:uid="{00000000-0005-0000-0000-0000DA8C0000}"/>
    <cellStyle name="输出 3 19 5 2 6" xfId="37173" xr:uid="{00000000-0005-0000-0000-0000DB8C0000}"/>
    <cellStyle name="输出 3 19 5 2 7" xfId="37174" xr:uid="{00000000-0005-0000-0000-0000DC8C0000}"/>
    <cellStyle name="输出 3 19 5 2 8" xfId="37175" xr:uid="{00000000-0005-0000-0000-0000DD8C0000}"/>
    <cellStyle name="输出 3 19 5 3" xfId="37176" xr:uid="{00000000-0005-0000-0000-0000DE8C0000}"/>
    <cellStyle name="输出 3 19 5 4" xfId="37177" xr:uid="{00000000-0005-0000-0000-0000DF8C0000}"/>
    <cellStyle name="输出 3 19 5 5" xfId="23599" xr:uid="{00000000-0005-0000-0000-0000E08C0000}"/>
    <cellStyle name="输出 3 19 5 6" xfId="23608" xr:uid="{00000000-0005-0000-0000-0000E18C0000}"/>
    <cellStyle name="输出 3 19 5 6 2" xfId="21417" xr:uid="{00000000-0005-0000-0000-0000E28C0000}"/>
    <cellStyle name="输出 3 19 5 6 3" xfId="21420" xr:uid="{00000000-0005-0000-0000-0000E38C0000}"/>
    <cellStyle name="输出 3 19 5 7" xfId="23612" xr:uid="{00000000-0005-0000-0000-0000E48C0000}"/>
    <cellStyle name="输出 3 19 5 8" xfId="23616" xr:uid="{00000000-0005-0000-0000-0000E58C0000}"/>
    <cellStyle name="输出 3 19 5 9" xfId="23620" xr:uid="{00000000-0005-0000-0000-0000E68C0000}"/>
    <cellStyle name="输出 3 19 6" xfId="21697" xr:uid="{00000000-0005-0000-0000-0000E78C0000}"/>
    <cellStyle name="输出 3 19 6 2" xfId="37178" xr:uid="{00000000-0005-0000-0000-0000E88C0000}"/>
    <cellStyle name="输出 3 19 6 2 2" xfId="37179" xr:uid="{00000000-0005-0000-0000-0000E98C0000}"/>
    <cellStyle name="输出 3 19 6 2 3" xfId="37180" xr:uid="{00000000-0005-0000-0000-0000EA8C0000}"/>
    <cellStyle name="输出 3 19 6 3" xfId="37181" xr:uid="{00000000-0005-0000-0000-0000EB8C0000}"/>
    <cellStyle name="输出 3 19 6 4" xfId="37182" xr:uid="{00000000-0005-0000-0000-0000EC8C0000}"/>
    <cellStyle name="输出 3 19 6 5" xfId="23625" xr:uid="{00000000-0005-0000-0000-0000ED8C0000}"/>
    <cellStyle name="输出 3 19 6 6" xfId="23630" xr:uid="{00000000-0005-0000-0000-0000EE8C0000}"/>
    <cellStyle name="输出 3 19 6 7" xfId="23632" xr:uid="{00000000-0005-0000-0000-0000EF8C0000}"/>
    <cellStyle name="输出 3 19 6 8" xfId="23635" xr:uid="{00000000-0005-0000-0000-0000F08C0000}"/>
    <cellStyle name="输出 3 19 7" xfId="37183" xr:uid="{00000000-0005-0000-0000-0000F18C0000}"/>
    <cellStyle name="输出 3 19 8" xfId="37184" xr:uid="{00000000-0005-0000-0000-0000F28C0000}"/>
    <cellStyle name="输出 3 19 9" xfId="37185" xr:uid="{00000000-0005-0000-0000-0000F38C0000}"/>
    <cellStyle name="输出 3 19 9 2" xfId="28487" xr:uid="{00000000-0005-0000-0000-0000F48C0000}"/>
    <cellStyle name="输出 3 19 9 3" xfId="37186" xr:uid="{00000000-0005-0000-0000-0000F58C0000}"/>
    <cellStyle name="输出 3 2" xfId="9640" xr:uid="{00000000-0005-0000-0000-0000F68C0000}"/>
    <cellStyle name="输出 3 2 10" xfId="37187" xr:uid="{00000000-0005-0000-0000-0000F78C0000}"/>
    <cellStyle name="输出 3 2 11" xfId="37188" xr:uid="{00000000-0005-0000-0000-0000F88C0000}"/>
    <cellStyle name="输出 3 2 12" xfId="37189" xr:uid="{00000000-0005-0000-0000-0000F98C0000}"/>
    <cellStyle name="输出 3 2 13" xfId="37190" xr:uid="{00000000-0005-0000-0000-0000FA8C0000}"/>
    <cellStyle name="输出 3 2 14" xfId="37191" xr:uid="{00000000-0005-0000-0000-0000FB8C0000}"/>
    <cellStyle name="输出 3 2 2" xfId="8313" xr:uid="{00000000-0005-0000-0000-0000FC8C0000}"/>
    <cellStyle name="输出 3 2 3" xfId="6251" xr:uid="{00000000-0005-0000-0000-0000FD8C0000}"/>
    <cellStyle name="输出 3 2 4" xfId="10219" xr:uid="{00000000-0005-0000-0000-0000FE8C0000}"/>
    <cellStyle name="输出 3 2 5" xfId="10222" xr:uid="{00000000-0005-0000-0000-0000FF8C0000}"/>
    <cellStyle name="输出 3 2 6" xfId="10229" xr:uid="{00000000-0005-0000-0000-0000008D0000}"/>
    <cellStyle name="输出 3 2 7" xfId="6027" xr:uid="{00000000-0005-0000-0000-0000018D0000}"/>
    <cellStyle name="输出 3 2 8" xfId="6693" xr:uid="{00000000-0005-0000-0000-0000028D0000}"/>
    <cellStyle name="输出 3 2 9" xfId="37192" xr:uid="{00000000-0005-0000-0000-0000038D0000}"/>
    <cellStyle name="输出 3 20" xfId="37108" xr:uid="{00000000-0005-0000-0000-0000048D0000}"/>
    <cellStyle name="输出 3 20 10" xfId="37193" xr:uid="{00000000-0005-0000-0000-0000058D0000}"/>
    <cellStyle name="输出 3 20 11" xfId="37194" xr:uid="{00000000-0005-0000-0000-0000068D0000}"/>
    <cellStyle name="输出 3 20 12" xfId="37195" xr:uid="{00000000-0005-0000-0000-0000078D0000}"/>
    <cellStyle name="输出 3 20 13" xfId="37196" xr:uid="{00000000-0005-0000-0000-0000088D0000}"/>
    <cellStyle name="输出 3 20 14" xfId="37197" xr:uid="{00000000-0005-0000-0000-0000098D0000}"/>
    <cellStyle name="输出 3 20 2" xfId="6751" xr:uid="{00000000-0005-0000-0000-00000A8D0000}"/>
    <cellStyle name="输出 3 20 3" xfId="6763" xr:uid="{00000000-0005-0000-0000-00000B8D0000}"/>
    <cellStyle name="输出 3 20 4" xfId="37198" xr:uid="{00000000-0005-0000-0000-00000C8D0000}"/>
    <cellStyle name="输出 3 20 5" xfId="37199" xr:uid="{00000000-0005-0000-0000-00000D8D0000}"/>
    <cellStyle name="输出 3 20 5 10" xfId="37200" xr:uid="{00000000-0005-0000-0000-00000E8D0000}"/>
    <cellStyle name="输出 3 20 5 11" xfId="37201" xr:uid="{00000000-0005-0000-0000-00000F8D0000}"/>
    <cellStyle name="输出 3 20 5 2" xfId="37202" xr:uid="{00000000-0005-0000-0000-0000108D0000}"/>
    <cellStyle name="输出 3 20 5 2 2" xfId="2141" xr:uid="{00000000-0005-0000-0000-0000118D0000}"/>
    <cellStyle name="输出 3 20 5 2 2 2" xfId="37203" xr:uid="{00000000-0005-0000-0000-0000128D0000}"/>
    <cellStyle name="输出 3 20 5 2 2 3" xfId="37204" xr:uid="{00000000-0005-0000-0000-0000138D0000}"/>
    <cellStyle name="输出 3 20 5 2 3" xfId="2159" xr:uid="{00000000-0005-0000-0000-0000148D0000}"/>
    <cellStyle name="输出 3 20 5 2 4" xfId="2168" xr:uid="{00000000-0005-0000-0000-0000158D0000}"/>
    <cellStyle name="输出 3 20 5 2 5" xfId="2184" xr:uid="{00000000-0005-0000-0000-0000168D0000}"/>
    <cellStyle name="输出 3 20 5 2 6" xfId="2193" xr:uid="{00000000-0005-0000-0000-0000178D0000}"/>
    <cellStyle name="输出 3 20 5 2 7" xfId="2204" xr:uid="{00000000-0005-0000-0000-0000188D0000}"/>
    <cellStyle name="输出 3 20 5 2 8" xfId="37205" xr:uid="{00000000-0005-0000-0000-0000198D0000}"/>
    <cellStyle name="输出 3 20 5 3" xfId="37206" xr:uid="{00000000-0005-0000-0000-00001A8D0000}"/>
    <cellStyle name="输出 3 20 5 4" xfId="37207" xr:uid="{00000000-0005-0000-0000-00001B8D0000}"/>
    <cellStyle name="输出 3 20 5 5" xfId="37208" xr:uid="{00000000-0005-0000-0000-00001C8D0000}"/>
    <cellStyle name="输出 3 20 5 6" xfId="37209" xr:uid="{00000000-0005-0000-0000-00001D8D0000}"/>
    <cellStyle name="输出 3 20 5 6 2" xfId="37210" xr:uid="{00000000-0005-0000-0000-00001E8D0000}"/>
    <cellStyle name="输出 3 20 5 6 3" xfId="37211" xr:uid="{00000000-0005-0000-0000-00001F8D0000}"/>
    <cellStyle name="输出 3 20 5 7" xfId="37212" xr:uid="{00000000-0005-0000-0000-0000208D0000}"/>
    <cellStyle name="输出 3 20 5 8" xfId="37213" xr:uid="{00000000-0005-0000-0000-0000218D0000}"/>
    <cellStyle name="输出 3 20 5 9" xfId="37214" xr:uid="{00000000-0005-0000-0000-0000228D0000}"/>
    <cellStyle name="输出 3 20 6" xfId="37215" xr:uid="{00000000-0005-0000-0000-0000238D0000}"/>
    <cellStyle name="输出 3 20 6 2" xfId="37216" xr:uid="{00000000-0005-0000-0000-0000248D0000}"/>
    <cellStyle name="输出 3 20 6 2 2" xfId="37217" xr:uid="{00000000-0005-0000-0000-0000258D0000}"/>
    <cellStyle name="输出 3 20 6 2 3" xfId="37218" xr:uid="{00000000-0005-0000-0000-0000268D0000}"/>
    <cellStyle name="输出 3 20 6 3" xfId="37219" xr:uid="{00000000-0005-0000-0000-0000278D0000}"/>
    <cellStyle name="输出 3 20 6 4" xfId="37220" xr:uid="{00000000-0005-0000-0000-0000288D0000}"/>
    <cellStyle name="输出 3 20 6 5" xfId="37221" xr:uid="{00000000-0005-0000-0000-0000298D0000}"/>
    <cellStyle name="输出 3 20 6 6" xfId="37222" xr:uid="{00000000-0005-0000-0000-00002A8D0000}"/>
    <cellStyle name="输出 3 20 6 7" xfId="37223" xr:uid="{00000000-0005-0000-0000-00002B8D0000}"/>
    <cellStyle name="输出 3 20 6 8" xfId="10227" xr:uid="{00000000-0005-0000-0000-00002C8D0000}"/>
    <cellStyle name="输出 3 20 7" xfId="37224" xr:uid="{00000000-0005-0000-0000-00002D8D0000}"/>
    <cellStyle name="输出 3 20 8" xfId="37225" xr:uid="{00000000-0005-0000-0000-00002E8D0000}"/>
    <cellStyle name="输出 3 20 9" xfId="37226" xr:uid="{00000000-0005-0000-0000-00002F8D0000}"/>
    <cellStyle name="输出 3 20 9 2" xfId="37228" xr:uid="{00000000-0005-0000-0000-0000308D0000}"/>
    <cellStyle name="输出 3 20 9 3" xfId="37230" xr:uid="{00000000-0005-0000-0000-0000318D0000}"/>
    <cellStyle name="输出 3 3" xfId="13311" xr:uid="{00000000-0005-0000-0000-0000328D0000}"/>
    <cellStyle name="输出 3 3 10" xfId="37231" xr:uid="{00000000-0005-0000-0000-0000338D0000}"/>
    <cellStyle name="输出 3 3 11" xfId="37232" xr:uid="{00000000-0005-0000-0000-0000348D0000}"/>
    <cellStyle name="输出 3 3 12" xfId="17709" xr:uid="{00000000-0005-0000-0000-0000358D0000}"/>
    <cellStyle name="输出 3 3 13" xfId="17712" xr:uid="{00000000-0005-0000-0000-0000368D0000}"/>
    <cellStyle name="输出 3 3 14" xfId="37234" xr:uid="{00000000-0005-0000-0000-0000378D0000}"/>
    <cellStyle name="输出 3 3 2" xfId="391" xr:uid="{00000000-0005-0000-0000-0000388D0000}"/>
    <cellStyle name="输出 3 3 3" xfId="8403" xr:uid="{00000000-0005-0000-0000-0000398D0000}"/>
    <cellStyle name="输出 3 3 4" xfId="9360" xr:uid="{00000000-0005-0000-0000-00003A8D0000}"/>
    <cellStyle name="输出 3 3 5" xfId="27095" xr:uid="{00000000-0005-0000-0000-00003B8D0000}"/>
    <cellStyle name="输出 3 3 6" xfId="27097" xr:uid="{00000000-0005-0000-0000-00003C8D0000}"/>
    <cellStyle name="输出 3 3 7" xfId="27099" xr:uid="{00000000-0005-0000-0000-00003D8D0000}"/>
    <cellStyle name="输出 3 3 8" xfId="27101" xr:uid="{00000000-0005-0000-0000-00003E8D0000}"/>
    <cellStyle name="输出 3 3 9" xfId="27103" xr:uid="{00000000-0005-0000-0000-00003F8D0000}"/>
    <cellStyle name="输出 3 4" xfId="37235" xr:uid="{00000000-0005-0000-0000-0000408D0000}"/>
    <cellStyle name="输出 3 4 10" xfId="37236" xr:uid="{00000000-0005-0000-0000-0000418D0000}"/>
    <cellStyle name="输出 3 4 11" xfId="37237" xr:uid="{00000000-0005-0000-0000-0000428D0000}"/>
    <cellStyle name="输出 3 4 12" xfId="37238" xr:uid="{00000000-0005-0000-0000-0000438D0000}"/>
    <cellStyle name="输出 3 4 13" xfId="37240" xr:uid="{00000000-0005-0000-0000-0000448D0000}"/>
    <cellStyle name="输出 3 4 14" xfId="37242" xr:uid="{00000000-0005-0000-0000-0000458D0000}"/>
    <cellStyle name="输出 3 4 2" xfId="37243" xr:uid="{00000000-0005-0000-0000-0000468D0000}"/>
    <cellStyle name="输出 3 4 3" xfId="37244" xr:uid="{00000000-0005-0000-0000-0000478D0000}"/>
    <cellStyle name="输出 3 4 4" xfId="27159" xr:uid="{00000000-0005-0000-0000-0000488D0000}"/>
    <cellStyle name="输出 3 4 5" xfId="27161" xr:uid="{00000000-0005-0000-0000-0000498D0000}"/>
    <cellStyle name="输出 3 4 6" xfId="27163" xr:uid="{00000000-0005-0000-0000-00004A8D0000}"/>
    <cellStyle name="输出 3 4 7" xfId="27165" xr:uid="{00000000-0005-0000-0000-00004B8D0000}"/>
    <cellStyle name="输出 3 4 8" xfId="27167" xr:uid="{00000000-0005-0000-0000-00004C8D0000}"/>
    <cellStyle name="输出 3 4 9" xfId="27169" xr:uid="{00000000-0005-0000-0000-00004D8D0000}"/>
    <cellStyle name="输出 3 5" xfId="37245" xr:uid="{00000000-0005-0000-0000-00004E8D0000}"/>
    <cellStyle name="输出 3 6" xfId="37246" xr:uid="{00000000-0005-0000-0000-00004F8D0000}"/>
    <cellStyle name="输出 3 7" xfId="37247" xr:uid="{00000000-0005-0000-0000-0000508D0000}"/>
    <cellStyle name="输出 3 8" xfId="37248" xr:uid="{00000000-0005-0000-0000-0000518D0000}"/>
    <cellStyle name="输出 3 9" xfId="37249" xr:uid="{00000000-0005-0000-0000-0000528D0000}"/>
    <cellStyle name="输出 4" xfId="37250" xr:uid="{00000000-0005-0000-0000-0000538D0000}"/>
    <cellStyle name="输出 4 10" xfId="37251" xr:uid="{00000000-0005-0000-0000-0000548D0000}"/>
    <cellStyle name="输出 4 11" xfId="37252" xr:uid="{00000000-0005-0000-0000-0000558D0000}"/>
    <cellStyle name="输出 4 12" xfId="37253" xr:uid="{00000000-0005-0000-0000-0000568D0000}"/>
    <cellStyle name="输出 4 13" xfId="37254" xr:uid="{00000000-0005-0000-0000-0000578D0000}"/>
    <cellStyle name="输出 4 14" xfId="37255" xr:uid="{00000000-0005-0000-0000-0000588D0000}"/>
    <cellStyle name="输出 4 15" xfId="37257" xr:uid="{00000000-0005-0000-0000-0000598D0000}"/>
    <cellStyle name="输出 4 16" xfId="37258" xr:uid="{00000000-0005-0000-0000-00005A8D0000}"/>
    <cellStyle name="输出 4 17" xfId="37259" xr:uid="{00000000-0005-0000-0000-00005B8D0000}"/>
    <cellStyle name="输出 4 17 10" xfId="37260" xr:uid="{00000000-0005-0000-0000-00005C8D0000}"/>
    <cellStyle name="输出 4 17 11" xfId="37261" xr:uid="{00000000-0005-0000-0000-00005D8D0000}"/>
    <cellStyle name="输出 4 17 12" xfId="37262" xr:uid="{00000000-0005-0000-0000-00005E8D0000}"/>
    <cellStyle name="输出 4 17 13" xfId="37263" xr:uid="{00000000-0005-0000-0000-00005F8D0000}"/>
    <cellStyle name="输出 4 17 14" xfId="37264" xr:uid="{00000000-0005-0000-0000-0000608D0000}"/>
    <cellStyle name="输出 4 17 2" xfId="37265" xr:uid="{00000000-0005-0000-0000-0000618D0000}"/>
    <cellStyle name="输出 4 17 3" xfId="37266" xr:uid="{00000000-0005-0000-0000-0000628D0000}"/>
    <cellStyle name="输出 4 17 4" xfId="37267" xr:uid="{00000000-0005-0000-0000-0000638D0000}"/>
    <cellStyle name="输出 4 17 5" xfId="37268" xr:uid="{00000000-0005-0000-0000-0000648D0000}"/>
    <cellStyle name="输出 4 17 5 10" xfId="19815" xr:uid="{00000000-0005-0000-0000-0000658D0000}"/>
    <cellStyle name="输出 4 17 5 11" xfId="37269" xr:uid="{00000000-0005-0000-0000-0000668D0000}"/>
    <cellStyle name="输出 4 17 5 2" xfId="37270" xr:uid="{00000000-0005-0000-0000-0000678D0000}"/>
    <cellStyle name="输出 4 17 5 2 2" xfId="37271" xr:uid="{00000000-0005-0000-0000-0000688D0000}"/>
    <cellStyle name="输出 4 17 5 2 2 2" xfId="37272" xr:uid="{00000000-0005-0000-0000-0000698D0000}"/>
    <cellStyle name="输出 4 17 5 2 2 3" xfId="37273" xr:uid="{00000000-0005-0000-0000-00006A8D0000}"/>
    <cellStyle name="输出 4 17 5 2 3" xfId="37274" xr:uid="{00000000-0005-0000-0000-00006B8D0000}"/>
    <cellStyle name="输出 4 17 5 2 4" xfId="37275" xr:uid="{00000000-0005-0000-0000-00006C8D0000}"/>
    <cellStyle name="输出 4 17 5 2 5" xfId="37276" xr:uid="{00000000-0005-0000-0000-00006D8D0000}"/>
    <cellStyle name="输出 4 17 5 2 6" xfId="37277" xr:uid="{00000000-0005-0000-0000-00006E8D0000}"/>
    <cellStyle name="输出 4 17 5 2 7" xfId="37278" xr:uid="{00000000-0005-0000-0000-00006F8D0000}"/>
    <cellStyle name="输出 4 17 5 2 8" xfId="37279" xr:uid="{00000000-0005-0000-0000-0000708D0000}"/>
    <cellStyle name="输出 4 17 5 3" xfId="37280" xr:uid="{00000000-0005-0000-0000-0000718D0000}"/>
    <cellStyle name="输出 4 17 5 4" xfId="37281" xr:uid="{00000000-0005-0000-0000-0000728D0000}"/>
    <cellStyle name="输出 4 17 5 5" xfId="13969" xr:uid="{00000000-0005-0000-0000-0000738D0000}"/>
    <cellStyle name="输出 4 17 5 6" xfId="13988" xr:uid="{00000000-0005-0000-0000-0000748D0000}"/>
    <cellStyle name="输出 4 17 5 6 2" xfId="21571" xr:uid="{00000000-0005-0000-0000-0000758D0000}"/>
    <cellStyle name="输出 4 17 5 6 3" xfId="37282" xr:uid="{00000000-0005-0000-0000-0000768D0000}"/>
    <cellStyle name="输出 4 17 5 7" xfId="13998" xr:uid="{00000000-0005-0000-0000-0000778D0000}"/>
    <cellStyle name="输出 4 17 5 8" xfId="12358" xr:uid="{00000000-0005-0000-0000-0000788D0000}"/>
    <cellStyle name="输出 4 17 5 9" xfId="12369" xr:uid="{00000000-0005-0000-0000-0000798D0000}"/>
    <cellStyle name="输出 4 17 6" xfId="37283" xr:uid="{00000000-0005-0000-0000-00007A8D0000}"/>
    <cellStyle name="输出 4 17 6 2" xfId="37284" xr:uid="{00000000-0005-0000-0000-00007B8D0000}"/>
    <cellStyle name="输出 4 17 6 2 2" xfId="37286" xr:uid="{00000000-0005-0000-0000-00007C8D0000}"/>
    <cellStyle name="输出 4 17 6 2 3" xfId="37287" xr:uid="{00000000-0005-0000-0000-00007D8D0000}"/>
    <cellStyle name="输出 4 17 6 3" xfId="37288" xr:uid="{00000000-0005-0000-0000-00007E8D0000}"/>
    <cellStyle name="输出 4 17 6 4" xfId="37289" xr:uid="{00000000-0005-0000-0000-00007F8D0000}"/>
    <cellStyle name="输出 4 17 6 5" xfId="21766" xr:uid="{00000000-0005-0000-0000-0000808D0000}"/>
    <cellStyle name="输出 4 17 6 6" xfId="21772" xr:uid="{00000000-0005-0000-0000-0000818D0000}"/>
    <cellStyle name="输出 4 17 6 7" xfId="23797" xr:uid="{00000000-0005-0000-0000-0000828D0000}"/>
    <cellStyle name="输出 4 17 6 8" xfId="23801" xr:uid="{00000000-0005-0000-0000-0000838D0000}"/>
    <cellStyle name="输出 4 17 7" xfId="27396" xr:uid="{00000000-0005-0000-0000-0000848D0000}"/>
    <cellStyle name="输出 4 17 8" xfId="27402" xr:uid="{00000000-0005-0000-0000-0000858D0000}"/>
    <cellStyle name="输出 4 17 9" xfId="27404" xr:uid="{00000000-0005-0000-0000-0000868D0000}"/>
    <cellStyle name="输出 4 17 9 2" xfId="6474" xr:uid="{00000000-0005-0000-0000-0000878D0000}"/>
    <cellStyle name="输出 4 17 9 3" xfId="27358" xr:uid="{00000000-0005-0000-0000-0000888D0000}"/>
    <cellStyle name="输出 4 18" xfId="37290" xr:uid="{00000000-0005-0000-0000-0000898D0000}"/>
    <cellStyle name="输出 4 18 10" xfId="37291" xr:uid="{00000000-0005-0000-0000-00008A8D0000}"/>
    <cellStyle name="输出 4 18 11" xfId="29819" xr:uid="{00000000-0005-0000-0000-00008B8D0000}"/>
    <cellStyle name="输出 4 18 12" xfId="29652" xr:uid="{00000000-0005-0000-0000-00008C8D0000}"/>
    <cellStyle name="输出 4 18 13" xfId="37292" xr:uid="{00000000-0005-0000-0000-00008D8D0000}"/>
    <cellStyle name="输出 4 18 14" xfId="37293" xr:uid="{00000000-0005-0000-0000-00008E8D0000}"/>
    <cellStyle name="输出 4 18 2" xfId="37294" xr:uid="{00000000-0005-0000-0000-00008F8D0000}"/>
    <cellStyle name="输出 4 18 3" xfId="37295" xr:uid="{00000000-0005-0000-0000-0000908D0000}"/>
    <cellStyle name="输出 4 18 4" xfId="37296" xr:uid="{00000000-0005-0000-0000-0000918D0000}"/>
    <cellStyle name="输出 4 18 5" xfId="37297" xr:uid="{00000000-0005-0000-0000-0000928D0000}"/>
    <cellStyle name="输出 4 18 5 10" xfId="17047" xr:uid="{00000000-0005-0000-0000-0000938D0000}"/>
    <cellStyle name="输出 4 18 5 11" xfId="37298" xr:uid="{00000000-0005-0000-0000-0000948D0000}"/>
    <cellStyle name="输出 4 18 5 2" xfId="36076" xr:uid="{00000000-0005-0000-0000-0000958D0000}"/>
    <cellStyle name="输出 4 18 5 2 2" xfId="37299" xr:uid="{00000000-0005-0000-0000-0000968D0000}"/>
    <cellStyle name="输出 4 18 5 2 2 2" xfId="37300" xr:uid="{00000000-0005-0000-0000-0000978D0000}"/>
    <cellStyle name="输出 4 18 5 2 2 3" xfId="37301" xr:uid="{00000000-0005-0000-0000-0000988D0000}"/>
    <cellStyle name="输出 4 18 5 2 3" xfId="37302" xr:uid="{00000000-0005-0000-0000-0000998D0000}"/>
    <cellStyle name="输出 4 18 5 2 4" xfId="9950" xr:uid="{00000000-0005-0000-0000-00009A8D0000}"/>
    <cellStyle name="输出 4 18 5 2 5" xfId="9955" xr:uid="{00000000-0005-0000-0000-00009B8D0000}"/>
    <cellStyle name="输出 4 18 5 2 6" xfId="10860" xr:uid="{00000000-0005-0000-0000-00009C8D0000}"/>
    <cellStyle name="输出 4 18 5 2 7" xfId="10863" xr:uid="{00000000-0005-0000-0000-00009D8D0000}"/>
    <cellStyle name="输出 4 18 5 2 8" xfId="10867" xr:uid="{00000000-0005-0000-0000-00009E8D0000}"/>
    <cellStyle name="输出 4 18 5 3" xfId="36078" xr:uid="{00000000-0005-0000-0000-00009F8D0000}"/>
    <cellStyle name="输出 4 18 5 4" xfId="37303" xr:uid="{00000000-0005-0000-0000-0000A08D0000}"/>
    <cellStyle name="输出 4 18 5 5" xfId="37304" xr:uid="{00000000-0005-0000-0000-0000A18D0000}"/>
    <cellStyle name="输出 4 18 5 6" xfId="37305" xr:uid="{00000000-0005-0000-0000-0000A28D0000}"/>
    <cellStyle name="输出 4 18 5 6 2" xfId="6932" xr:uid="{00000000-0005-0000-0000-0000A38D0000}"/>
    <cellStyle name="输出 4 18 5 6 3" xfId="4964" xr:uid="{00000000-0005-0000-0000-0000A48D0000}"/>
    <cellStyle name="输出 4 18 5 7" xfId="37306" xr:uid="{00000000-0005-0000-0000-0000A58D0000}"/>
    <cellStyle name="输出 4 18 5 8" xfId="37307" xr:uid="{00000000-0005-0000-0000-0000A68D0000}"/>
    <cellStyle name="输出 4 18 5 9" xfId="37308" xr:uid="{00000000-0005-0000-0000-0000A78D0000}"/>
    <cellStyle name="输出 4 18 6" xfId="37309" xr:uid="{00000000-0005-0000-0000-0000A88D0000}"/>
    <cellStyle name="输出 4 18 6 2" xfId="37310" xr:uid="{00000000-0005-0000-0000-0000A98D0000}"/>
    <cellStyle name="输出 4 18 6 2 2" xfId="37311" xr:uid="{00000000-0005-0000-0000-0000AA8D0000}"/>
    <cellStyle name="输出 4 18 6 2 3" xfId="37312" xr:uid="{00000000-0005-0000-0000-0000AB8D0000}"/>
    <cellStyle name="输出 4 18 6 3" xfId="37313" xr:uid="{00000000-0005-0000-0000-0000AC8D0000}"/>
    <cellStyle name="输出 4 18 6 4" xfId="37314" xr:uid="{00000000-0005-0000-0000-0000AD8D0000}"/>
    <cellStyle name="输出 4 18 6 5" xfId="37315" xr:uid="{00000000-0005-0000-0000-0000AE8D0000}"/>
    <cellStyle name="输出 4 18 6 6" xfId="37316" xr:uid="{00000000-0005-0000-0000-0000AF8D0000}"/>
    <cellStyle name="输出 4 18 6 7" xfId="24327" xr:uid="{00000000-0005-0000-0000-0000B08D0000}"/>
    <cellStyle name="输出 4 18 6 8" xfId="24331" xr:uid="{00000000-0005-0000-0000-0000B18D0000}"/>
    <cellStyle name="输出 4 18 7" xfId="37317" xr:uid="{00000000-0005-0000-0000-0000B28D0000}"/>
    <cellStyle name="输出 4 18 8" xfId="37318" xr:uid="{00000000-0005-0000-0000-0000B38D0000}"/>
    <cellStyle name="输出 4 18 9" xfId="37319" xr:uid="{00000000-0005-0000-0000-0000B48D0000}"/>
    <cellStyle name="输出 4 18 9 2" xfId="37320" xr:uid="{00000000-0005-0000-0000-0000B58D0000}"/>
    <cellStyle name="输出 4 18 9 3" xfId="37321" xr:uid="{00000000-0005-0000-0000-0000B68D0000}"/>
    <cellStyle name="输出 4 19" xfId="37322" xr:uid="{00000000-0005-0000-0000-0000B78D0000}"/>
    <cellStyle name="输出 4 19 10" xfId="33108" xr:uid="{00000000-0005-0000-0000-0000B88D0000}"/>
    <cellStyle name="输出 4 19 11" xfId="33111" xr:uid="{00000000-0005-0000-0000-0000B98D0000}"/>
    <cellStyle name="输出 4 19 12" xfId="33115" xr:uid="{00000000-0005-0000-0000-0000BA8D0000}"/>
    <cellStyle name="输出 4 19 13" xfId="37323" xr:uid="{00000000-0005-0000-0000-0000BB8D0000}"/>
    <cellStyle name="输出 4 19 14" xfId="37324" xr:uid="{00000000-0005-0000-0000-0000BC8D0000}"/>
    <cellStyle name="输出 4 19 2" xfId="1874" xr:uid="{00000000-0005-0000-0000-0000BD8D0000}"/>
    <cellStyle name="输出 4 19 3" xfId="9038" xr:uid="{00000000-0005-0000-0000-0000BE8D0000}"/>
    <cellStyle name="输出 4 19 4" xfId="37325" xr:uid="{00000000-0005-0000-0000-0000BF8D0000}"/>
    <cellStyle name="输出 4 19 5" xfId="37326" xr:uid="{00000000-0005-0000-0000-0000C08D0000}"/>
    <cellStyle name="输出 4 19 5 10" xfId="37327" xr:uid="{00000000-0005-0000-0000-0000C18D0000}"/>
    <cellStyle name="输出 4 19 5 11" xfId="37328" xr:uid="{00000000-0005-0000-0000-0000C28D0000}"/>
    <cellStyle name="输出 4 19 5 2" xfId="15492" xr:uid="{00000000-0005-0000-0000-0000C38D0000}"/>
    <cellStyle name="输出 4 19 5 2 2" xfId="15501" xr:uid="{00000000-0005-0000-0000-0000C48D0000}"/>
    <cellStyle name="输出 4 19 5 2 2 2" xfId="37329" xr:uid="{00000000-0005-0000-0000-0000C58D0000}"/>
    <cellStyle name="输出 4 19 5 2 2 3" xfId="37330" xr:uid="{00000000-0005-0000-0000-0000C68D0000}"/>
    <cellStyle name="输出 4 19 5 2 3" xfId="15504" xr:uid="{00000000-0005-0000-0000-0000C78D0000}"/>
    <cellStyle name="输出 4 19 5 2 4" xfId="15509" xr:uid="{00000000-0005-0000-0000-0000C88D0000}"/>
    <cellStyle name="输出 4 19 5 2 5" xfId="15514" xr:uid="{00000000-0005-0000-0000-0000C98D0000}"/>
    <cellStyle name="输出 4 19 5 2 6" xfId="14599" xr:uid="{00000000-0005-0000-0000-0000CA8D0000}"/>
    <cellStyle name="输出 4 19 5 2 7" xfId="14607" xr:uid="{00000000-0005-0000-0000-0000CB8D0000}"/>
    <cellStyle name="输出 4 19 5 2 8" xfId="14611" xr:uid="{00000000-0005-0000-0000-0000CC8D0000}"/>
    <cellStyle name="输出 4 19 5 3" xfId="37331" xr:uid="{00000000-0005-0000-0000-0000CD8D0000}"/>
    <cellStyle name="输出 4 19 5 4" xfId="37332" xr:uid="{00000000-0005-0000-0000-0000CE8D0000}"/>
    <cellStyle name="输出 4 19 5 5" xfId="13625" xr:uid="{00000000-0005-0000-0000-0000CF8D0000}"/>
    <cellStyle name="输出 4 19 5 6" xfId="13637" xr:uid="{00000000-0005-0000-0000-0000D08D0000}"/>
    <cellStyle name="输出 4 19 5 6 2" xfId="21625" xr:uid="{00000000-0005-0000-0000-0000D18D0000}"/>
    <cellStyle name="输出 4 19 5 6 3" xfId="21628" xr:uid="{00000000-0005-0000-0000-0000D28D0000}"/>
    <cellStyle name="输出 4 19 5 7" xfId="13643" xr:uid="{00000000-0005-0000-0000-0000D38D0000}"/>
    <cellStyle name="输出 4 19 5 8" xfId="13648" xr:uid="{00000000-0005-0000-0000-0000D48D0000}"/>
    <cellStyle name="输出 4 19 5 9" xfId="12623" xr:uid="{00000000-0005-0000-0000-0000D58D0000}"/>
    <cellStyle name="输出 4 19 6" xfId="37333" xr:uid="{00000000-0005-0000-0000-0000D68D0000}"/>
    <cellStyle name="输出 4 19 6 2" xfId="37334" xr:uid="{00000000-0005-0000-0000-0000D78D0000}"/>
    <cellStyle name="输出 4 19 6 2 2" xfId="22410" xr:uid="{00000000-0005-0000-0000-0000D88D0000}"/>
    <cellStyle name="输出 4 19 6 2 3" xfId="22430" xr:uid="{00000000-0005-0000-0000-0000D98D0000}"/>
    <cellStyle name="输出 4 19 6 3" xfId="37335" xr:uid="{00000000-0005-0000-0000-0000DA8D0000}"/>
    <cellStyle name="输出 4 19 6 4" xfId="37336" xr:uid="{00000000-0005-0000-0000-0000DB8D0000}"/>
    <cellStyle name="输出 4 19 6 5" xfId="23822" xr:uid="{00000000-0005-0000-0000-0000DC8D0000}"/>
    <cellStyle name="输出 4 19 6 6" xfId="23824" xr:uid="{00000000-0005-0000-0000-0000DD8D0000}"/>
    <cellStyle name="输出 4 19 6 7" xfId="23826" xr:uid="{00000000-0005-0000-0000-0000DE8D0000}"/>
    <cellStyle name="输出 4 19 6 8" xfId="23828" xr:uid="{00000000-0005-0000-0000-0000DF8D0000}"/>
    <cellStyle name="输出 4 19 7" xfId="37337" xr:uid="{00000000-0005-0000-0000-0000E08D0000}"/>
    <cellStyle name="输出 4 19 8" xfId="37338" xr:uid="{00000000-0005-0000-0000-0000E18D0000}"/>
    <cellStyle name="输出 4 19 9" xfId="37339" xr:uid="{00000000-0005-0000-0000-0000E28D0000}"/>
    <cellStyle name="输出 4 19 9 2" xfId="29438" xr:uid="{00000000-0005-0000-0000-0000E38D0000}"/>
    <cellStyle name="输出 4 19 9 3" xfId="37340" xr:uid="{00000000-0005-0000-0000-0000E48D0000}"/>
    <cellStyle name="输出 4 2" xfId="37341" xr:uid="{00000000-0005-0000-0000-0000E58D0000}"/>
    <cellStyle name="输出 4 20" xfId="37256" xr:uid="{00000000-0005-0000-0000-0000E68D0000}"/>
    <cellStyle name="输出 4 20 10" xfId="37342" xr:uid="{00000000-0005-0000-0000-0000E78D0000}"/>
    <cellStyle name="输出 4 20 11" xfId="37343" xr:uid="{00000000-0005-0000-0000-0000E88D0000}"/>
    <cellStyle name="输出 4 20 12" xfId="37344" xr:uid="{00000000-0005-0000-0000-0000E98D0000}"/>
    <cellStyle name="输出 4 20 13" xfId="37345" xr:uid="{00000000-0005-0000-0000-0000EA8D0000}"/>
    <cellStyle name="输出 4 20 14" xfId="37347" xr:uid="{00000000-0005-0000-0000-0000EB8D0000}"/>
    <cellStyle name="输出 4 20 2" xfId="1570" xr:uid="{00000000-0005-0000-0000-0000EC8D0000}"/>
    <cellStyle name="输出 4 20 3" xfId="1589" xr:uid="{00000000-0005-0000-0000-0000ED8D0000}"/>
    <cellStyle name="输出 4 20 4" xfId="1605" xr:uid="{00000000-0005-0000-0000-0000EE8D0000}"/>
    <cellStyle name="输出 4 20 5" xfId="1620" xr:uid="{00000000-0005-0000-0000-0000EF8D0000}"/>
    <cellStyle name="输出 4 20 5 10" xfId="24016" xr:uid="{00000000-0005-0000-0000-0000F08D0000}"/>
    <cellStyle name="输出 4 20 5 11" xfId="24019" xr:uid="{00000000-0005-0000-0000-0000F18D0000}"/>
    <cellStyle name="输出 4 20 5 2" xfId="1626" xr:uid="{00000000-0005-0000-0000-0000F28D0000}"/>
    <cellStyle name="输出 4 20 5 2 2" xfId="37348" xr:uid="{00000000-0005-0000-0000-0000F38D0000}"/>
    <cellStyle name="输出 4 20 5 2 2 2" xfId="26956" xr:uid="{00000000-0005-0000-0000-0000F48D0000}"/>
    <cellStyle name="输出 4 20 5 2 2 3" xfId="26958" xr:uid="{00000000-0005-0000-0000-0000F58D0000}"/>
    <cellStyle name="输出 4 20 5 2 3" xfId="37349" xr:uid="{00000000-0005-0000-0000-0000F68D0000}"/>
    <cellStyle name="输出 4 20 5 2 4" xfId="37350" xr:uid="{00000000-0005-0000-0000-0000F78D0000}"/>
    <cellStyle name="输出 4 20 5 2 5" xfId="37351" xr:uid="{00000000-0005-0000-0000-0000F88D0000}"/>
    <cellStyle name="输出 4 20 5 2 6" xfId="37352" xr:uid="{00000000-0005-0000-0000-0000F98D0000}"/>
    <cellStyle name="输出 4 20 5 2 7" xfId="37353" xr:uid="{00000000-0005-0000-0000-0000FA8D0000}"/>
    <cellStyle name="输出 4 20 5 2 8" xfId="37354" xr:uid="{00000000-0005-0000-0000-0000FB8D0000}"/>
    <cellStyle name="输出 4 20 5 3" xfId="446" xr:uid="{00000000-0005-0000-0000-0000FC8D0000}"/>
    <cellStyle name="输出 4 20 5 4" xfId="13467" xr:uid="{00000000-0005-0000-0000-0000FD8D0000}"/>
    <cellStyle name="输出 4 20 5 5" xfId="13473" xr:uid="{00000000-0005-0000-0000-0000FE8D0000}"/>
    <cellStyle name="输出 4 20 5 6" xfId="21507" xr:uid="{00000000-0005-0000-0000-0000FF8D0000}"/>
    <cellStyle name="输出 4 20 5 6 2" xfId="16336" xr:uid="{00000000-0005-0000-0000-0000008E0000}"/>
    <cellStyle name="输出 4 20 5 6 3" xfId="37355" xr:uid="{00000000-0005-0000-0000-0000018E0000}"/>
    <cellStyle name="输出 4 20 5 7" xfId="21512" xr:uid="{00000000-0005-0000-0000-0000028E0000}"/>
    <cellStyle name="输出 4 20 5 8" xfId="21514" xr:uid="{00000000-0005-0000-0000-0000038E0000}"/>
    <cellStyle name="输出 4 20 5 9" xfId="21517" xr:uid="{00000000-0005-0000-0000-0000048E0000}"/>
    <cellStyle name="输出 4 20 6" xfId="1643" xr:uid="{00000000-0005-0000-0000-0000058E0000}"/>
    <cellStyle name="输出 4 20 6 2" xfId="37356" xr:uid="{00000000-0005-0000-0000-0000068E0000}"/>
    <cellStyle name="输出 4 20 6 2 2" xfId="37357" xr:uid="{00000000-0005-0000-0000-0000078E0000}"/>
    <cellStyle name="输出 4 20 6 2 3" xfId="37358" xr:uid="{00000000-0005-0000-0000-0000088E0000}"/>
    <cellStyle name="输出 4 20 6 3" xfId="37359" xr:uid="{00000000-0005-0000-0000-0000098E0000}"/>
    <cellStyle name="输出 4 20 6 4" xfId="37360" xr:uid="{00000000-0005-0000-0000-00000A8E0000}"/>
    <cellStyle name="输出 4 20 6 5" xfId="37361" xr:uid="{00000000-0005-0000-0000-00000B8E0000}"/>
    <cellStyle name="输出 4 20 6 6" xfId="21533" xr:uid="{00000000-0005-0000-0000-00000C8E0000}"/>
    <cellStyle name="输出 4 20 6 7" xfId="21536" xr:uid="{00000000-0005-0000-0000-00000D8E0000}"/>
    <cellStyle name="输出 4 20 6 8" xfId="16189" xr:uid="{00000000-0005-0000-0000-00000E8E0000}"/>
    <cellStyle name="输出 4 20 7" xfId="1658" xr:uid="{00000000-0005-0000-0000-00000F8E0000}"/>
    <cellStyle name="输出 4 20 8" xfId="1673" xr:uid="{00000000-0005-0000-0000-0000108E0000}"/>
    <cellStyle name="输出 4 20 9" xfId="37362" xr:uid="{00000000-0005-0000-0000-0000118E0000}"/>
    <cellStyle name="输出 4 20 9 2" xfId="37363" xr:uid="{00000000-0005-0000-0000-0000128E0000}"/>
    <cellStyle name="输出 4 20 9 3" xfId="37364" xr:uid="{00000000-0005-0000-0000-0000138E0000}"/>
    <cellStyle name="输出 4 3" xfId="813" xr:uid="{00000000-0005-0000-0000-0000148E0000}"/>
    <cellStyle name="输出 4 4" xfId="909" xr:uid="{00000000-0005-0000-0000-0000158E0000}"/>
    <cellStyle name="输出 4 5" xfId="944" xr:uid="{00000000-0005-0000-0000-0000168E0000}"/>
    <cellStyle name="输出 4 6" xfId="981" xr:uid="{00000000-0005-0000-0000-0000178E0000}"/>
    <cellStyle name="输出 4 7" xfId="1003" xr:uid="{00000000-0005-0000-0000-0000188E0000}"/>
    <cellStyle name="输出 4 8" xfId="35563" xr:uid="{00000000-0005-0000-0000-0000198E0000}"/>
    <cellStyle name="输出 4 9" xfId="35565" xr:uid="{00000000-0005-0000-0000-00001A8E0000}"/>
    <cellStyle name="输出 5" xfId="37365" xr:uid="{00000000-0005-0000-0000-00001B8E0000}"/>
    <cellStyle name="输出 5 10" xfId="37366" xr:uid="{00000000-0005-0000-0000-00001C8E0000}"/>
    <cellStyle name="输出 5 11" xfId="25296" xr:uid="{00000000-0005-0000-0000-00001D8E0000}"/>
    <cellStyle name="输出 5 12" xfId="25298" xr:uid="{00000000-0005-0000-0000-00001E8E0000}"/>
    <cellStyle name="输出 5 13" xfId="25300" xr:uid="{00000000-0005-0000-0000-00001F8E0000}"/>
    <cellStyle name="输出 5 14" xfId="25302" xr:uid="{00000000-0005-0000-0000-0000208E0000}"/>
    <cellStyle name="输出 5 2" xfId="37367" xr:uid="{00000000-0005-0000-0000-0000218E0000}"/>
    <cellStyle name="输出 5 3" xfId="37368" xr:uid="{00000000-0005-0000-0000-0000228E0000}"/>
    <cellStyle name="输出 5 4" xfId="37369" xr:uid="{00000000-0005-0000-0000-0000238E0000}"/>
    <cellStyle name="输出 5 5" xfId="37370" xr:uid="{00000000-0005-0000-0000-0000248E0000}"/>
    <cellStyle name="输出 5 6" xfId="37371" xr:uid="{00000000-0005-0000-0000-0000258E0000}"/>
    <cellStyle name="输出 5 7" xfId="37372" xr:uid="{00000000-0005-0000-0000-0000268E0000}"/>
    <cellStyle name="输出 5 8" xfId="37373" xr:uid="{00000000-0005-0000-0000-0000278E0000}"/>
    <cellStyle name="输出 5 9" xfId="37285" xr:uid="{00000000-0005-0000-0000-0000288E0000}"/>
    <cellStyle name="输出 6" xfId="37374" xr:uid="{00000000-0005-0000-0000-0000298E0000}"/>
    <cellStyle name="输出 6 10" xfId="37375" xr:uid="{00000000-0005-0000-0000-00002A8E0000}"/>
    <cellStyle name="输出 6 11" xfId="34171" xr:uid="{00000000-0005-0000-0000-00002B8E0000}"/>
    <cellStyle name="输出 6 12" xfId="34175" xr:uid="{00000000-0005-0000-0000-00002C8E0000}"/>
    <cellStyle name="输出 6 13" xfId="24650" xr:uid="{00000000-0005-0000-0000-00002D8E0000}"/>
    <cellStyle name="输出 6 14" xfId="34177" xr:uid="{00000000-0005-0000-0000-00002E8E0000}"/>
    <cellStyle name="输出 6 2" xfId="27820" xr:uid="{00000000-0005-0000-0000-00002F8E0000}"/>
    <cellStyle name="输出 6 3" xfId="27131" xr:uid="{00000000-0005-0000-0000-0000308E0000}"/>
    <cellStyle name="输出 6 4" xfId="27137" xr:uid="{00000000-0005-0000-0000-0000318E0000}"/>
    <cellStyle name="输出 6 5" xfId="27827" xr:uid="{00000000-0005-0000-0000-0000328E0000}"/>
    <cellStyle name="输出 6 6" xfId="27831" xr:uid="{00000000-0005-0000-0000-0000338E0000}"/>
    <cellStyle name="输出 6 7" xfId="37376" xr:uid="{00000000-0005-0000-0000-0000348E0000}"/>
    <cellStyle name="输出 6 8" xfId="37377" xr:uid="{00000000-0005-0000-0000-0000358E0000}"/>
    <cellStyle name="输出 6 9" xfId="37378" xr:uid="{00000000-0005-0000-0000-0000368E0000}"/>
    <cellStyle name="输出 7" xfId="37379" xr:uid="{00000000-0005-0000-0000-0000378E0000}"/>
    <cellStyle name="输出 8" xfId="35237" xr:uid="{00000000-0005-0000-0000-0000388E0000}"/>
    <cellStyle name="输出 9" xfId="35239" xr:uid="{00000000-0005-0000-0000-0000398E0000}"/>
    <cellStyle name="适中 10" xfId="37380" xr:uid="{00000000-0005-0000-0000-00003A8E0000}"/>
    <cellStyle name="适中 11" xfId="37381" xr:uid="{00000000-0005-0000-0000-00003B8E0000}"/>
    <cellStyle name="适中 12" xfId="37382" xr:uid="{00000000-0005-0000-0000-00003C8E0000}"/>
    <cellStyle name="适中 12 10" xfId="37383" xr:uid="{00000000-0005-0000-0000-00003D8E0000}"/>
    <cellStyle name="适中 12 11" xfId="37384" xr:uid="{00000000-0005-0000-0000-00003E8E0000}"/>
    <cellStyle name="适中 12 12" xfId="37385" xr:uid="{00000000-0005-0000-0000-00003F8E0000}"/>
    <cellStyle name="适中 12 13" xfId="37386" xr:uid="{00000000-0005-0000-0000-0000408E0000}"/>
    <cellStyle name="适中 12 14" xfId="37387" xr:uid="{00000000-0005-0000-0000-0000418E0000}"/>
    <cellStyle name="适中 12 2" xfId="37388" xr:uid="{00000000-0005-0000-0000-0000428E0000}"/>
    <cellStyle name="适中 12 3" xfId="37389" xr:uid="{00000000-0005-0000-0000-0000438E0000}"/>
    <cellStyle name="适中 12 4" xfId="37390" xr:uid="{00000000-0005-0000-0000-0000448E0000}"/>
    <cellStyle name="适中 12 5" xfId="37392" xr:uid="{00000000-0005-0000-0000-0000458E0000}"/>
    <cellStyle name="适中 12 5 10" xfId="37393" xr:uid="{00000000-0005-0000-0000-0000468E0000}"/>
    <cellStyle name="适中 12 5 11" xfId="37394" xr:uid="{00000000-0005-0000-0000-0000478E0000}"/>
    <cellStyle name="适中 12 5 2" xfId="5234" xr:uid="{00000000-0005-0000-0000-0000488E0000}"/>
    <cellStyle name="适中 12 5 2 2" xfId="37395" xr:uid="{00000000-0005-0000-0000-0000498E0000}"/>
    <cellStyle name="适中 12 5 2 2 2" xfId="23266" xr:uid="{00000000-0005-0000-0000-00004A8E0000}"/>
    <cellStyle name="适中 12 5 2 2 3" xfId="23269" xr:uid="{00000000-0005-0000-0000-00004B8E0000}"/>
    <cellStyle name="适中 12 5 2 3" xfId="37396" xr:uid="{00000000-0005-0000-0000-00004C8E0000}"/>
    <cellStyle name="适中 12 5 2 4" xfId="30652" xr:uid="{00000000-0005-0000-0000-00004D8E0000}"/>
    <cellStyle name="适中 12 5 2 5" xfId="30654" xr:uid="{00000000-0005-0000-0000-00004E8E0000}"/>
    <cellStyle name="适中 12 5 2 6" xfId="37397" xr:uid="{00000000-0005-0000-0000-00004F8E0000}"/>
    <cellStyle name="适中 12 5 2 7" xfId="37398" xr:uid="{00000000-0005-0000-0000-0000508E0000}"/>
    <cellStyle name="适中 12 5 2 8" xfId="37399" xr:uid="{00000000-0005-0000-0000-0000518E0000}"/>
    <cellStyle name="适中 12 5 3" xfId="37400" xr:uid="{00000000-0005-0000-0000-0000528E0000}"/>
    <cellStyle name="适中 12 5 4" xfId="37401" xr:uid="{00000000-0005-0000-0000-0000538E0000}"/>
    <cellStyle name="适中 12 5 5" xfId="37402" xr:uid="{00000000-0005-0000-0000-0000548E0000}"/>
    <cellStyle name="适中 12 5 6" xfId="37403" xr:uid="{00000000-0005-0000-0000-0000558E0000}"/>
    <cellStyle name="适中 12 5 6 2" xfId="15010" xr:uid="{00000000-0005-0000-0000-0000568E0000}"/>
    <cellStyle name="适中 12 5 6 3" xfId="15013" xr:uid="{00000000-0005-0000-0000-0000578E0000}"/>
    <cellStyle name="适中 12 5 7" xfId="37404" xr:uid="{00000000-0005-0000-0000-0000588E0000}"/>
    <cellStyle name="适中 12 5 8" xfId="37405" xr:uid="{00000000-0005-0000-0000-0000598E0000}"/>
    <cellStyle name="适中 12 5 9" xfId="4694" xr:uid="{00000000-0005-0000-0000-00005A8E0000}"/>
    <cellStyle name="适中 12 6" xfId="37407" xr:uid="{00000000-0005-0000-0000-00005B8E0000}"/>
    <cellStyle name="适中 12 6 2" xfId="37408" xr:uid="{00000000-0005-0000-0000-00005C8E0000}"/>
    <cellStyle name="适中 12 6 2 2" xfId="26145" xr:uid="{00000000-0005-0000-0000-00005D8E0000}"/>
    <cellStyle name="适中 12 6 2 3" xfId="37409" xr:uid="{00000000-0005-0000-0000-00005E8E0000}"/>
    <cellStyle name="适中 12 6 3" xfId="37410" xr:uid="{00000000-0005-0000-0000-00005F8E0000}"/>
    <cellStyle name="适中 12 6 4" xfId="37411" xr:uid="{00000000-0005-0000-0000-0000608E0000}"/>
    <cellStyle name="适中 12 6 5" xfId="37412" xr:uid="{00000000-0005-0000-0000-0000618E0000}"/>
    <cellStyle name="适中 12 6 6" xfId="37413" xr:uid="{00000000-0005-0000-0000-0000628E0000}"/>
    <cellStyle name="适中 12 6 7" xfId="37414" xr:uid="{00000000-0005-0000-0000-0000638E0000}"/>
    <cellStyle name="适中 12 6 8" xfId="37415" xr:uid="{00000000-0005-0000-0000-0000648E0000}"/>
    <cellStyle name="适中 12 7" xfId="37417" xr:uid="{00000000-0005-0000-0000-0000658E0000}"/>
    <cellStyle name="适中 12 8" xfId="37419" xr:uid="{00000000-0005-0000-0000-0000668E0000}"/>
    <cellStyle name="适中 12 9" xfId="37421" xr:uid="{00000000-0005-0000-0000-0000678E0000}"/>
    <cellStyle name="适中 12 9 2" xfId="37422" xr:uid="{00000000-0005-0000-0000-0000688E0000}"/>
    <cellStyle name="适中 12 9 3" xfId="37423" xr:uid="{00000000-0005-0000-0000-0000698E0000}"/>
    <cellStyle name="适中 13" xfId="21064" xr:uid="{00000000-0005-0000-0000-00006A8E0000}"/>
    <cellStyle name="适中 14" xfId="21067" xr:uid="{00000000-0005-0000-0000-00006B8E0000}"/>
    <cellStyle name="适中 15" xfId="26591" xr:uid="{00000000-0005-0000-0000-00006C8E0000}"/>
    <cellStyle name="适中 16" xfId="26593" xr:uid="{00000000-0005-0000-0000-00006D8E0000}"/>
    <cellStyle name="适中 16 10" xfId="28972" xr:uid="{00000000-0005-0000-0000-00006E8E0000}"/>
    <cellStyle name="适中 16 11" xfId="37424" xr:uid="{00000000-0005-0000-0000-00006F8E0000}"/>
    <cellStyle name="适中 16 12" xfId="37425" xr:uid="{00000000-0005-0000-0000-0000708E0000}"/>
    <cellStyle name="适中 16 13" xfId="37426" xr:uid="{00000000-0005-0000-0000-0000718E0000}"/>
    <cellStyle name="适中 16 14" xfId="29794" xr:uid="{00000000-0005-0000-0000-0000728E0000}"/>
    <cellStyle name="适中 16 2" xfId="11266" xr:uid="{00000000-0005-0000-0000-0000738E0000}"/>
    <cellStyle name="适中 16 3" xfId="11269" xr:uid="{00000000-0005-0000-0000-0000748E0000}"/>
    <cellStyle name="适中 16 4" xfId="37428" xr:uid="{00000000-0005-0000-0000-0000758E0000}"/>
    <cellStyle name="适中 16 5" xfId="37430" xr:uid="{00000000-0005-0000-0000-0000768E0000}"/>
    <cellStyle name="适中 16 5 10" xfId="37431" xr:uid="{00000000-0005-0000-0000-0000778E0000}"/>
    <cellStyle name="适中 16 5 11" xfId="37432" xr:uid="{00000000-0005-0000-0000-0000788E0000}"/>
    <cellStyle name="适中 16 5 2" xfId="13272" xr:uid="{00000000-0005-0000-0000-0000798E0000}"/>
    <cellStyle name="适中 16 5 2 2" xfId="29398" xr:uid="{00000000-0005-0000-0000-00007A8E0000}"/>
    <cellStyle name="适中 16 5 2 2 2" xfId="37433" xr:uid="{00000000-0005-0000-0000-00007B8E0000}"/>
    <cellStyle name="适中 16 5 2 2 3" xfId="37434" xr:uid="{00000000-0005-0000-0000-00007C8E0000}"/>
    <cellStyle name="适中 16 5 2 3" xfId="29400" xr:uid="{00000000-0005-0000-0000-00007D8E0000}"/>
    <cellStyle name="适中 16 5 2 4" xfId="23088" xr:uid="{00000000-0005-0000-0000-00007E8E0000}"/>
    <cellStyle name="适中 16 5 2 5" xfId="23092" xr:uid="{00000000-0005-0000-0000-00007F8E0000}"/>
    <cellStyle name="适中 16 5 2 6" xfId="14122" xr:uid="{00000000-0005-0000-0000-0000808E0000}"/>
    <cellStyle name="适中 16 5 2 7" xfId="14125" xr:uid="{00000000-0005-0000-0000-0000818E0000}"/>
    <cellStyle name="适中 16 5 2 8" xfId="23096" xr:uid="{00000000-0005-0000-0000-0000828E0000}"/>
    <cellStyle name="适中 16 5 3" xfId="10451" xr:uid="{00000000-0005-0000-0000-0000838E0000}"/>
    <cellStyle name="适中 16 5 4" xfId="18464" xr:uid="{00000000-0005-0000-0000-0000848E0000}"/>
    <cellStyle name="适中 16 5 5" xfId="16833" xr:uid="{00000000-0005-0000-0000-0000858E0000}"/>
    <cellStyle name="适中 16 5 6" xfId="16843" xr:uid="{00000000-0005-0000-0000-0000868E0000}"/>
    <cellStyle name="适中 16 5 6 2" xfId="37435" xr:uid="{00000000-0005-0000-0000-0000878E0000}"/>
    <cellStyle name="适中 16 5 6 3" xfId="37436" xr:uid="{00000000-0005-0000-0000-0000888E0000}"/>
    <cellStyle name="适中 16 5 7" xfId="20460" xr:uid="{00000000-0005-0000-0000-0000898E0000}"/>
    <cellStyle name="适中 16 5 8" xfId="20462" xr:uid="{00000000-0005-0000-0000-00008A8E0000}"/>
    <cellStyle name="适中 16 5 9" xfId="7015" xr:uid="{00000000-0005-0000-0000-00008B8E0000}"/>
    <cellStyle name="适中 16 6" xfId="37437" xr:uid="{00000000-0005-0000-0000-00008C8E0000}"/>
    <cellStyle name="适中 16 6 2" xfId="26673" xr:uid="{00000000-0005-0000-0000-00008D8E0000}"/>
    <cellStyle name="适中 16 6 2 2" xfId="37438" xr:uid="{00000000-0005-0000-0000-00008E8E0000}"/>
    <cellStyle name="适中 16 6 2 3" xfId="37439" xr:uid="{00000000-0005-0000-0000-00008F8E0000}"/>
    <cellStyle name="适中 16 6 3" xfId="26675" xr:uid="{00000000-0005-0000-0000-0000908E0000}"/>
    <cellStyle name="适中 16 6 4" xfId="26677" xr:uid="{00000000-0005-0000-0000-0000918E0000}"/>
    <cellStyle name="适中 16 6 5" xfId="26679" xr:uid="{00000000-0005-0000-0000-0000928E0000}"/>
    <cellStyle name="适中 16 6 6" xfId="26682" xr:uid="{00000000-0005-0000-0000-0000938E0000}"/>
    <cellStyle name="适中 16 6 7" xfId="37440" xr:uid="{00000000-0005-0000-0000-0000948E0000}"/>
    <cellStyle name="适中 16 6 8" xfId="37441" xr:uid="{00000000-0005-0000-0000-0000958E0000}"/>
    <cellStyle name="适中 16 7" xfId="37442" xr:uid="{00000000-0005-0000-0000-0000968E0000}"/>
    <cellStyle name="适中 16 8" xfId="37443" xr:uid="{00000000-0005-0000-0000-0000978E0000}"/>
    <cellStyle name="适中 16 9" xfId="37444" xr:uid="{00000000-0005-0000-0000-0000988E0000}"/>
    <cellStyle name="适中 16 9 2" xfId="26910" xr:uid="{00000000-0005-0000-0000-0000998E0000}"/>
    <cellStyle name="适中 16 9 3" xfId="26912" xr:uid="{00000000-0005-0000-0000-00009A8E0000}"/>
    <cellStyle name="适中 17" xfId="26595" xr:uid="{00000000-0005-0000-0000-00009B8E0000}"/>
    <cellStyle name="适中 17 10" xfId="37445" xr:uid="{00000000-0005-0000-0000-00009C8E0000}"/>
    <cellStyle name="适中 17 11" xfId="37446" xr:uid="{00000000-0005-0000-0000-00009D8E0000}"/>
    <cellStyle name="适中 17 12" xfId="37447" xr:uid="{00000000-0005-0000-0000-00009E8E0000}"/>
    <cellStyle name="适中 17 13" xfId="37448" xr:uid="{00000000-0005-0000-0000-00009F8E0000}"/>
    <cellStyle name="适中 17 14" xfId="37449" xr:uid="{00000000-0005-0000-0000-0000A08E0000}"/>
    <cellStyle name="适中 17 2" xfId="37450" xr:uid="{00000000-0005-0000-0000-0000A18E0000}"/>
    <cellStyle name="适中 17 3" xfId="37451" xr:uid="{00000000-0005-0000-0000-0000A28E0000}"/>
    <cellStyle name="适中 17 4" xfId="37452" xr:uid="{00000000-0005-0000-0000-0000A38E0000}"/>
    <cellStyle name="适中 17 5" xfId="37453" xr:uid="{00000000-0005-0000-0000-0000A48E0000}"/>
    <cellStyle name="适中 17 5 10" xfId="5155" xr:uid="{00000000-0005-0000-0000-0000A58E0000}"/>
    <cellStyle name="适中 17 5 11" xfId="5164" xr:uid="{00000000-0005-0000-0000-0000A68E0000}"/>
    <cellStyle name="适中 17 5 2" xfId="14771" xr:uid="{00000000-0005-0000-0000-0000A78E0000}"/>
    <cellStyle name="适中 17 5 2 2" xfId="37454" xr:uid="{00000000-0005-0000-0000-0000A88E0000}"/>
    <cellStyle name="适中 17 5 2 2 2" xfId="37455" xr:uid="{00000000-0005-0000-0000-0000A98E0000}"/>
    <cellStyle name="适中 17 5 2 2 3" xfId="35332" xr:uid="{00000000-0005-0000-0000-0000AA8E0000}"/>
    <cellStyle name="适中 17 5 2 3" xfId="37456" xr:uid="{00000000-0005-0000-0000-0000AB8E0000}"/>
    <cellStyle name="适中 17 5 2 4" xfId="23782" xr:uid="{00000000-0005-0000-0000-0000AC8E0000}"/>
    <cellStyle name="适中 17 5 2 5" xfId="8350" xr:uid="{00000000-0005-0000-0000-0000AD8E0000}"/>
    <cellStyle name="适中 17 5 2 6" xfId="7750" xr:uid="{00000000-0005-0000-0000-0000AE8E0000}"/>
    <cellStyle name="适中 17 5 2 7" xfId="14190" xr:uid="{00000000-0005-0000-0000-0000AF8E0000}"/>
    <cellStyle name="适中 17 5 2 8" xfId="23785" xr:uid="{00000000-0005-0000-0000-0000B08E0000}"/>
    <cellStyle name="适中 17 5 3" xfId="20619" xr:uid="{00000000-0005-0000-0000-0000B18E0000}"/>
    <cellStyle name="适中 17 5 4" xfId="20622" xr:uid="{00000000-0005-0000-0000-0000B28E0000}"/>
    <cellStyle name="适中 17 5 5" xfId="20625" xr:uid="{00000000-0005-0000-0000-0000B38E0000}"/>
    <cellStyle name="适中 17 5 6" xfId="20628" xr:uid="{00000000-0005-0000-0000-0000B48E0000}"/>
    <cellStyle name="适中 17 5 6 2" xfId="35212" xr:uid="{00000000-0005-0000-0000-0000B58E0000}"/>
    <cellStyle name="适中 17 5 6 3" xfId="10318" xr:uid="{00000000-0005-0000-0000-0000B68E0000}"/>
    <cellStyle name="适中 17 5 7" xfId="35214" xr:uid="{00000000-0005-0000-0000-0000B78E0000}"/>
    <cellStyle name="适中 17 5 8" xfId="35216" xr:uid="{00000000-0005-0000-0000-0000B88E0000}"/>
    <cellStyle name="适中 17 5 9" xfId="35218" xr:uid="{00000000-0005-0000-0000-0000B98E0000}"/>
    <cellStyle name="适中 17 6" xfId="37457" xr:uid="{00000000-0005-0000-0000-0000BA8E0000}"/>
    <cellStyle name="适中 17 6 2" xfId="37458" xr:uid="{00000000-0005-0000-0000-0000BB8E0000}"/>
    <cellStyle name="适中 17 6 2 2" xfId="37459" xr:uid="{00000000-0005-0000-0000-0000BC8E0000}"/>
    <cellStyle name="适中 17 6 2 3" xfId="37460" xr:uid="{00000000-0005-0000-0000-0000BD8E0000}"/>
    <cellStyle name="适中 17 6 3" xfId="37461" xr:uid="{00000000-0005-0000-0000-0000BE8E0000}"/>
    <cellStyle name="适中 17 6 4" xfId="37462" xr:uid="{00000000-0005-0000-0000-0000BF8E0000}"/>
    <cellStyle name="适中 17 6 5" xfId="37463" xr:uid="{00000000-0005-0000-0000-0000C08E0000}"/>
    <cellStyle name="适中 17 6 6" xfId="37464" xr:uid="{00000000-0005-0000-0000-0000C18E0000}"/>
    <cellStyle name="适中 17 6 7" xfId="37465" xr:uid="{00000000-0005-0000-0000-0000C28E0000}"/>
    <cellStyle name="适中 17 6 8" xfId="37466" xr:uid="{00000000-0005-0000-0000-0000C38E0000}"/>
    <cellStyle name="适中 17 7" xfId="37467" xr:uid="{00000000-0005-0000-0000-0000C48E0000}"/>
    <cellStyle name="适中 17 8" xfId="37468" xr:uid="{00000000-0005-0000-0000-0000C58E0000}"/>
    <cellStyle name="适中 17 9" xfId="37469" xr:uid="{00000000-0005-0000-0000-0000C68E0000}"/>
    <cellStyle name="适中 17 9 2" xfId="37470" xr:uid="{00000000-0005-0000-0000-0000C78E0000}"/>
    <cellStyle name="适中 17 9 3" xfId="37471" xr:uid="{00000000-0005-0000-0000-0000C88E0000}"/>
    <cellStyle name="适中 18" xfId="26597" xr:uid="{00000000-0005-0000-0000-0000C98E0000}"/>
    <cellStyle name="适中 18 10" xfId="37472" xr:uid="{00000000-0005-0000-0000-0000CA8E0000}"/>
    <cellStyle name="适中 18 11" xfId="37473" xr:uid="{00000000-0005-0000-0000-0000CB8E0000}"/>
    <cellStyle name="适中 18 12" xfId="35235" xr:uid="{00000000-0005-0000-0000-0000CC8E0000}"/>
    <cellStyle name="适中 18 13" xfId="35241" xr:uid="{00000000-0005-0000-0000-0000CD8E0000}"/>
    <cellStyle name="适中 18 14" xfId="35243" xr:uid="{00000000-0005-0000-0000-0000CE8E0000}"/>
    <cellStyle name="适中 18 2" xfId="37474" xr:uid="{00000000-0005-0000-0000-0000CF8E0000}"/>
    <cellStyle name="适中 18 3" xfId="37475" xr:uid="{00000000-0005-0000-0000-0000D08E0000}"/>
    <cellStyle name="适中 18 4" xfId="37476" xr:uid="{00000000-0005-0000-0000-0000D18E0000}"/>
    <cellStyle name="适中 18 5" xfId="37477" xr:uid="{00000000-0005-0000-0000-0000D28E0000}"/>
    <cellStyle name="适中 18 5 10" xfId="4356" xr:uid="{00000000-0005-0000-0000-0000D38E0000}"/>
    <cellStyle name="适中 18 5 11" xfId="4361" xr:uid="{00000000-0005-0000-0000-0000D48E0000}"/>
    <cellStyle name="适中 18 5 2" xfId="37478" xr:uid="{00000000-0005-0000-0000-0000D58E0000}"/>
    <cellStyle name="适中 18 5 2 2" xfId="37479" xr:uid="{00000000-0005-0000-0000-0000D68E0000}"/>
    <cellStyle name="适中 18 5 2 2 2" xfId="37480" xr:uid="{00000000-0005-0000-0000-0000D78E0000}"/>
    <cellStyle name="适中 18 5 2 2 3" xfId="37481" xr:uid="{00000000-0005-0000-0000-0000D88E0000}"/>
    <cellStyle name="适中 18 5 2 3" xfId="37482" xr:uid="{00000000-0005-0000-0000-0000D98E0000}"/>
    <cellStyle name="适中 18 5 2 4" xfId="2365" xr:uid="{00000000-0005-0000-0000-0000DA8E0000}"/>
    <cellStyle name="适中 18 5 2 5" xfId="2387" xr:uid="{00000000-0005-0000-0000-0000DB8E0000}"/>
    <cellStyle name="适中 18 5 2 6" xfId="2619" xr:uid="{00000000-0005-0000-0000-0000DC8E0000}"/>
    <cellStyle name="适中 18 5 2 7" xfId="2722" xr:uid="{00000000-0005-0000-0000-0000DD8E0000}"/>
    <cellStyle name="适中 18 5 2 8" xfId="2742" xr:uid="{00000000-0005-0000-0000-0000DE8E0000}"/>
    <cellStyle name="适中 18 5 3" xfId="37483" xr:uid="{00000000-0005-0000-0000-0000DF8E0000}"/>
    <cellStyle name="适中 18 5 4" xfId="37484" xr:uid="{00000000-0005-0000-0000-0000E08E0000}"/>
    <cellStyle name="适中 18 5 5" xfId="37485" xr:uid="{00000000-0005-0000-0000-0000E18E0000}"/>
    <cellStyle name="适中 18 5 6" xfId="37486" xr:uid="{00000000-0005-0000-0000-0000E28E0000}"/>
    <cellStyle name="适中 18 5 6 2" xfId="37487" xr:uid="{00000000-0005-0000-0000-0000E38E0000}"/>
    <cellStyle name="适中 18 5 6 3" xfId="37488" xr:uid="{00000000-0005-0000-0000-0000E48E0000}"/>
    <cellStyle name="适中 18 5 7" xfId="37489" xr:uid="{00000000-0005-0000-0000-0000E58E0000}"/>
    <cellStyle name="适中 18 5 8" xfId="37490" xr:uid="{00000000-0005-0000-0000-0000E68E0000}"/>
    <cellStyle name="适中 18 5 9" xfId="37491" xr:uid="{00000000-0005-0000-0000-0000E78E0000}"/>
    <cellStyle name="适中 18 6" xfId="37492" xr:uid="{00000000-0005-0000-0000-0000E88E0000}"/>
    <cellStyle name="适中 18 6 2" xfId="37493" xr:uid="{00000000-0005-0000-0000-0000E98E0000}"/>
    <cellStyle name="适中 18 6 2 2" xfId="9622" xr:uid="{00000000-0005-0000-0000-0000EA8E0000}"/>
    <cellStyle name="适中 18 6 2 3" xfId="9627" xr:uid="{00000000-0005-0000-0000-0000EB8E0000}"/>
    <cellStyle name="适中 18 6 3" xfId="37227" xr:uid="{00000000-0005-0000-0000-0000EC8E0000}"/>
    <cellStyle name="适中 18 6 4" xfId="37229" xr:uid="{00000000-0005-0000-0000-0000ED8E0000}"/>
    <cellStyle name="适中 18 6 5" xfId="37494" xr:uid="{00000000-0005-0000-0000-0000EE8E0000}"/>
    <cellStyle name="适中 18 6 6" xfId="37495" xr:uid="{00000000-0005-0000-0000-0000EF8E0000}"/>
    <cellStyle name="适中 18 6 7" xfId="37496" xr:uid="{00000000-0005-0000-0000-0000F08E0000}"/>
    <cellStyle name="适中 18 6 8" xfId="37497" xr:uid="{00000000-0005-0000-0000-0000F18E0000}"/>
    <cellStyle name="适中 18 7" xfId="37498" xr:uid="{00000000-0005-0000-0000-0000F28E0000}"/>
    <cellStyle name="适中 18 8" xfId="37499" xr:uid="{00000000-0005-0000-0000-0000F38E0000}"/>
    <cellStyle name="适中 18 9" xfId="37500" xr:uid="{00000000-0005-0000-0000-0000F48E0000}"/>
    <cellStyle name="适中 18 9 2" xfId="37501" xr:uid="{00000000-0005-0000-0000-0000F58E0000}"/>
    <cellStyle name="适中 18 9 3" xfId="37502" xr:uid="{00000000-0005-0000-0000-0000F68E0000}"/>
    <cellStyle name="适中 19" xfId="26599" xr:uid="{00000000-0005-0000-0000-0000F78E0000}"/>
    <cellStyle name="适中 2" xfId="398" xr:uid="{00000000-0005-0000-0000-0000F88E0000}"/>
    <cellStyle name="适中 2 10" xfId="20841" xr:uid="{00000000-0005-0000-0000-0000F98E0000}"/>
    <cellStyle name="适中 2 11" xfId="20844" xr:uid="{00000000-0005-0000-0000-0000FA8E0000}"/>
    <cellStyle name="适中 2 12" xfId="20847" xr:uid="{00000000-0005-0000-0000-0000FB8E0000}"/>
    <cellStyle name="适中 2 13" xfId="15409" xr:uid="{00000000-0005-0000-0000-0000FC8E0000}"/>
    <cellStyle name="适中 2 14" xfId="13210" xr:uid="{00000000-0005-0000-0000-0000FD8E0000}"/>
    <cellStyle name="适中 2 15" xfId="13219" xr:uid="{00000000-0005-0000-0000-0000FE8E0000}"/>
    <cellStyle name="适中 2 16" xfId="15414" xr:uid="{00000000-0005-0000-0000-0000FF8E0000}"/>
    <cellStyle name="适中 2 17" xfId="15421" xr:uid="{00000000-0005-0000-0000-0000008F0000}"/>
    <cellStyle name="适中 2 17 10" xfId="37503" xr:uid="{00000000-0005-0000-0000-0000018F0000}"/>
    <cellStyle name="适中 2 17 11" xfId="37504" xr:uid="{00000000-0005-0000-0000-0000028F0000}"/>
    <cellStyle name="适中 2 17 12" xfId="37505" xr:uid="{00000000-0005-0000-0000-0000038F0000}"/>
    <cellStyle name="适中 2 17 13" xfId="37506" xr:uid="{00000000-0005-0000-0000-0000048F0000}"/>
    <cellStyle name="适中 2 17 14" xfId="37507" xr:uid="{00000000-0005-0000-0000-0000058F0000}"/>
    <cellStyle name="适中 2 17 2" xfId="37508" xr:uid="{00000000-0005-0000-0000-0000068F0000}"/>
    <cellStyle name="适中 2 17 3" xfId="29723" xr:uid="{00000000-0005-0000-0000-0000078F0000}"/>
    <cellStyle name="适中 2 17 4" xfId="29725" xr:uid="{00000000-0005-0000-0000-0000088F0000}"/>
    <cellStyle name="适中 2 17 5" xfId="37509" xr:uid="{00000000-0005-0000-0000-0000098F0000}"/>
    <cellStyle name="适中 2 17 5 10" xfId="37510" xr:uid="{00000000-0005-0000-0000-00000A8F0000}"/>
    <cellStyle name="适中 2 17 5 11" xfId="37511" xr:uid="{00000000-0005-0000-0000-00000B8F0000}"/>
    <cellStyle name="适中 2 17 5 2" xfId="37512" xr:uid="{00000000-0005-0000-0000-00000C8F0000}"/>
    <cellStyle name="适中 2 17 5 2 2" xfId="37513" xr:uid="{00000000-0005-0000-0000-00000D8F0000}"/>
    <cellStyle name="适中 2 17 5 2 2 2" xfId="37514" xr:uid="{00000000-0005-0000-0000-00000E8F0000}"/>
    <cellStyle name="适中 2 17 5 2 2 3" xfId="37515" xr:uid="{00000000-0005-0000-0000-00000F8F0000}"/>
    <cellStyle name="适中 2 17 5 2 3" xfId="37516" xr:uid="{00000000-0005-0000-0000-0000108F0000}"/>
    <cellStyle name="适中 2 17 5 2 4" xfId="37517" xr:uid="{00000000-0005-0000-0000-0000118F0000}"/>
    <cellStyle name="适中 2 17 5 2 5" xfId="37518" xr:uid="{00000000-0005-0000-0000-0000128F0000}"/>
    <cellStyle name="适中 2 17 5 2 6" xfId="37519" xr:uid="{00000000-0005-0000-0000-0000138F0000}"/>
    <cellStyle name="适中 2 17 5 2 7" xfId="37520" xr:uid="{00000000-0005-0000-0000-0000148F0000}"/>
    <cellStyle name="适中 2 17 5 2 8" xfId="30593" xr:uid="{00000000-0005-0000-0000-0000158F0000}"/>
    <cellStyle name="适中 2 17 5 3" xfId="37521" xr:uid="{00000000-0005-0000-0000-0000168F0000}"/>
    <cellStyle name="适中 2 17 5 4" xfId="30894" xr:uid="{00000000-0005-0000-0000-0000178F0000}"/>
    <cellStyle name="适中 2 17 5 5" xfId="30903" xr:uid="{00000000-0005-0000-0000-0000188F0000}"/>
    <cellStyle name="适中 2 17 5 6" xfId="30905" xr:uid="{00000000-0005-0000-0000-0000198F0000}"/>
    <cellStyle name="适中 2 17 5 6 2" xfId="37522" xr:uid="{00000000-0005-0000-0000-00001A8F0000}"/>
    <cellStyle name="适中 2 17 5 6 3" xfId="37523" xr:uid="{00000000-0005-0000-0000-00001B8F0000}"/>
    <cellStyle name="适中 2 17 5 7" xfId="30907" xr:uid="{00000000-0005-0000-0000-00001C8F0000}"/>
    <cellStyle name="适中 2 17 5 8" xfId="30909" xr:uid="{00000000-0005-0000-0000-00001D8F0000}"/>
    <cellStyle name="适中 2 17 5 9" xfId="30913" xr:uid="{00000000-0005-0000-0000-00001E8F0000}"/>
    <cellStyle name="适中 2 17 6" xfId="36281" xr:uid="{00000000-0005-0000-0000-00001F8F0000}"/>
    <cellStyle name="适中 2 17 6 2" xfId="37524" xr:uid="{00000000-0005-0000-0000-0000208F0000}"/>
    <cellStyle name="适中 2 17 6 2 2" xfId="37525" xr:uid="{00000000-0005-0000-0000-0000218F0000}"/>
    <cellStyle name="适中 2 17 6 2 3" xfId="37526" xr:uid="{00000000-0005-0000-0000-0000228F0000}"/>
    <cellStyle name="适中 2 17 6 3" xfId="37527" xr:uid="{00000000-0005-0000-0000-0000238F0000}"/>
    <cellStyle name="适中 2 17 6 4" xfId="30918" xr:uid="{00000000-0005-0000-0000-0000248F0000}"/>
    <cellStyle name="适中 2 17 6 5" xfId="20804" xr:uid="{00000000-0005-0000-0000-0000258F0000}"/>
    <cellStyle name="适中 2 17 6 6" xfId="20807" xr:uid="{00000000-0005-0000-0000-0000268F0000}"/>
    <cellStyle name="适中 2 17 6 7" xfId="20810" xr:uid="{00000000-0005-0000-0000-0000278F0000}"/>
    <cellStyle name="适中 2 17 6 8" xfId="20813" xr:uid="{00000000-0005-0000-0000-0000288F0000}"/>
    <cellStyle name="适中 2 17 7" xfId="36283" xr:uid="{00000000-0005-0000-0000-0000298F0000}"/>
    <cellStyle name="适中 2 17 8" xfId="37528" xr:uid="{00000000-0005-0000-0000-00002A8F0000}"/>
    <cellStyle name="适中 2 17 9" xfId="37529" xr:uid="{00000000-0005-0000-0000-00002B8F0000}"/>
    <cellStyle name="适中 2 17 9 2" xfId="37530" xr:uid="{00000000-0005-0000-0000-00002C8F0000}"/>
    <cellStyle name="适中 2 17 9 3" xfId="37531" xr:uid="{00000000-0005-0000-0000-00002D8F0000}"/>
    <cellStyle name="适中 2 18" xfId="15344" xr:uid="{00000000-0005-0000-0000-00002E8F0000}"/>
    <cellStyle name="适中 2 18 10" xfId="37532" xr:uid="{00000000-0005-0000-0000-00002F8F0000}"/>
    <cellStyle name="适中 2 18 11" xfId="37533" xr:uid="{00000000-0005-0000-0000-0000308F0000}"/>
    <cellStyle name="适中 2 18 12" xfId="37534" xr:uid="{00000000-0005-0000-0000-0000318F0000}"/>
    <cellStyle name="适中 2 18 13" xfId="37535" xr:uid="{00000000-0005-0000-0000-0000328F0000}"/>
    <cellStyle name="适中 2 18 14" xfId="37536" xr:uid="{00000000-0005-0000-0000-0000338F0000}"/>
    <cellStyle name="适中 2 18 2" xfId="29636" xr:uid="{00000000-0005-0000-0000-0000348F0000}"/>
    <cellStyle name="适中 2 18 3" xfId="32344" xr:uid="{00000000-0005-0000-0000-0000358F0000}"/>
    <cellStyle name="适中 2 18 4" xfId="32346" xr:uid="{00000000-0005-0000-0000-0000368F0000}"/>
    <cellStyle name="适中 2 18 5" xfId="31589" xr:uid="{00000000-0005-0000-0000-0000378F0000}"/>
    <cellStyle name="适中 2 18 5 10" xfId="37537" xr:uid="{00000000-0005-0000-0000-0000388F0000}"/>
    <cellStyle name="适中 2 18 5 11" xfId="4633" xr:uid="{00000000-0005-0000-0000-0000398F0000}"/>
    <cellStyle name="适中 2 18 5 2" xfId="37538" xr:uid="{00000000-0005-0000-0000-00003A8F0000}"/>
    <cellStyle name="适中 2 18 5 2 2" xfId="6136" xr:uid="{00000000-0005-0000-0000-00003B8F0000}"/>
    <cellStyle name="适中 2 18 5 2 2 2" xfId="37539" xr:uid="{00000000-0005-0000-0000-00003C8F0000}"/>
    <cellStyle name="适中 2 18 5 2 2 3" xfId="37540" xr:uid="{00000000-0005-0000-0000-00003D8F0000}"/>
    <cellStyle name="适中 2 18 5 2 3" xfId="37541" xr:uid="{00000000-0005-0000-0000-00003E8F0000}"/>
    <cellStyle name="适中 2 18 5 2 4" xfId="37542" xr:uid="{00000000-0005-0000-0000-00003F8F0000}"/>
    <cellStyle name="适中 2 18 5 2 5" xfId="37543" xr:uid="{00000000-0005-0000-0000-0000408F0000}"/>
    <cellStyle name="适中 2 18 5 2 6" xfId="37544" xr:uid="{00000000-0005-0000-0000-0000418F0000}"/>
    <cellStyle name="适中 2 18 5 2 7" xfId="37545" xr:uid="{00000000-0005-0000-0000-0000428F0000}"/>
    <cellStyle name="适中 2 18 5 2 8" xfId="31634" xr:uid="{00000000-0005-0000-0000-0000438F0000}"/>
    <cellStyle name="适中 2 18 5 3" xfId="37546" xr:uid="{00000000-0005-0000-0000-0000448F0000}"/>
    <cellStyle name="适中 2 18 5 4" xfId="30458" xr:uid="{00000000-0005-0000-0000-0000458F0000}"/>
    <cellStyle name="适中 2 18 5 5" xfId="19232" xr:uid="{00000000-0005-0000-0000-0000468F0000}"/>
    <cellStyle name="适中 2 18 5 6" xfId="22352" xr:uid="{00000000-0005-0000-0000-0000478F0000}"/>
    <cellStyle name="适中 2 18 5 6 2" xfId="37547" xr:uid="{00000000-0005-0000-0000-0000488F0000}"/>
    <cellStyle name="适中 2 18 5 6 3" xfId="37548" xr:uid="{00000000-0005-0000-0000-0000498F0000}"/>
    <cellStyle name="适中 2 18 5 7" xfId="22355" xr:uid="{00000000-0005-0000-0000-00004A8F0000}"/>
    <cellStyle name="适中 2 18 5 8" xfId="22358" xr:uid="{00000000-0005-0000-0000-00004B8F0000}"/>
    <cellStyle name="适中 2 18 5 9" xfId="22361" xr:uid="{00000000-0005-0000-0000-00004C8F0000}"/>
    <cellStyle name="适中 2 18 6" xfId="31592" xr:uid="{00000000-0005-0000-0000-00004D8F0000}"/>
    <cellStyle name="适中 2 18 6 2" xfId="37549" xr:uid="{00000000-0005-0000-0000-00004E8F0000}"/>
    <cellStyle name="适中 2 18 6 2 2" xfId="6238" xr:uid="{00000000-0005-0000-0000-00004F8F0000}"/>
    <cellStyle name="适中 2 18 6 2 3" xfId="37550" xr:uid="{00000000-0005-0000-0000-0000508F0000}"/>
    <cellStyle name="适中 2 18 6 3" xfId="37551" xr:uid="{00000000-0005-0000-0000-0000518F0000}"/>
    <cellStyle name="适中 2 18 6 4" xfId="23413" xr:uid="{00000000-0005-0000-0000-0000528F0000}"/>
    <cellStyle name="适中 2 18 6 5" xfId="30950" xr:uid="{00000000-0005-0000-0000-0000538F0000}"/>
    <cellStyle name="适中 2 18 6 6" xfId="30953" xr:uid="{00000000-0005-0000-0000-0000548F0000}"/>
    <cellStyle name="适中 2 18 6 7" xfId="30955" xr:uid="{00000000-0005-0000-0000-0000558F0000}"/>
    <cellStyle name="适中 2 18 6 8" xfId="30957" xr:uid="{00000000-0005-0000-0000-0000568F0000}"/>
    <cellStyle name="适中 2 18 7" xfId="32348" xr:uid="{00000000-0005-0000-0000-0000578F0000}"/>
    <cellStyle name="适中 2 18 8" xfId="16303" xr:uid="{00000000-0005-0000-0000-0000588F0000}"/>
    <cellStyle name="适中 2 18 9" xfId="16310" xr:uid="{00000000-0005-0000-0000-0000598F0000}"/>
    <cellStyle name="适中 2 18 9 2" xfId="33984" xr:uid="{00000000-0005-0000-0000-00005A8F0000}"/>
    <cellStyle name="适中 2 18 9 3" xfId="33986" xr:uid="{00000000-0005-0000-0000-00005B8F0000}"/>
    <cellStyle name="适中 2 19" xfId="15351" xr:uid="{00000000-0005-0000-0000-00005C8F0000}"/>
    <cellStyle name="适中 2 19 10" xfId="37552" xr:uid="{00000000-0005-0000-0000-00005D8F0000}"/>
    <cellStyle name="适中 2 19 11" xfId="37553" xr:uid="{00000000-0005-0000-0000-00005E8F0000}"/>
    <cellStyle name="适中 2 19 12" xfId="3103" xr:uid="{00000000-0005-0000-0000-00005F8F0000}"/>
    <cellStyle name="适中 2 19 13" xfId="3139" xr:uid="{00000000-0005-0000-0000-0000608F0000}"/>
    <cellStyle name="适中 2 19 14" xfId="37554" xr:uid="{00000000-0005-0000-0000-0000618F0000}"/>
    <cellStyle name="适中 2 19 2" xfId="32351" xr:uid="{00000000-0005-0000-0000-0000628F0000}"/>
    <cellStyle name="适中 2 19 3" xfId="32353" xr:uid="{00000000-0005-0000-0000-0000638F0000}"/>
    <cellStyle name="适中 2 19 4" xfId="32355" xr:uid="{00000000-0005-0000-0000-0000648F0000}"/>
    <cellStyle name="适中 2 19 5" xfId="32357" xr:uid="{00000000-0005-0000-0000-0000658F0000}"/>
    <cellStyle name="适中 2 19 5 10" xfId="28320" xr:uid="{00000000-0005-0000-0000-0000668F0000}"/>
    <cellStyle name="适中 2 19 5 11" xfId="28322" xr:uid="{00000000-0005-0000-0000-0000678F0000}"/>
    <cellStyle name="适中 2 19 5 2" xfId="37555" xr:uid="{00000000-0005-0000-0000-0000688F0000}"/>
    <cellStyle name="适中 2 19 5 2 2" xfId="37556" xr:uid="{00000000-0005-0000-0000-0000698F0000}"/>
    <cellStyle name="适中 2 19 5 2 2 2" xfId="37557" xr:uid="{00000000-0005-0000-0000-00006A8F0000}"/>
    <cellStyle name="适中 2 19 5 2 2 3" xfId="37558" xr:uid="{00000000-0005-0000-0000-00006B8F0000}"/>
    <cellStyle name="适中 2 19 5 2 3" xfId="37559" xr:uid="{00000000-0005-0000-0000-00006C8F0000}"/>
    <cellStyle name="适中 2 19 5 2 4" xfId="37560" xr:uid="{00000000-0005-0000-0000-00006D8F0000}"/>
    <cellStyle name="适中 2 19 5 2 5" xfId="37561" xr:uid="{00000000-0005-0000-0000-00006E8F0000}"/>
    <cellStyle name="适中 2 19 5 2 6" xfId="31495" xr:uid="{00000000-0005-0000-0000-00006F8F0000}"/>
    <cellStyle name="适中 2 19 5 2 7" xfId="31498" xr:uid="{00000000-0005-0000-0000-0000708F0000}"/>
    <cellStyle name="适中 2 19 5 2 8" xfId="31501" xr:uid="{00000000-0005-0000-0000-0000718F0000}"/>
    <cellStyle name="适中 2 19 5 3" xfId="37562" xr:uid="{00000000-0005-0000-0000-0000728F0000}"/>
    <cellStyle name="适中 2 19 5 4" xfId="37563" xr:uid="{00000000-0005-0000-0000-0000738F0000}"/>
    <cellStyle name="适中 2 19 5 5" xfId="37564" xr:uid="{00000000-0005-0000-0000-0000748F0000}"/>
    <cellStyle name="适中 2 19 5 6" xfId="37565" xr:uid="{00000000-0005-0000-0000-0000758F0000}"/>
    <cellStyle name="适中 2 19 5 6 2" xfId="37566" xr:uid="{00000000-0005-0000-0000-0000768F0000}"/>
    <cellStyle name="适中 2 19 5 6 3" xfId="37567" xr:uid="{00000000-0005-0000-0000-0000778F0000}"/>
    <cellStyle name="适中 2 19 5 7" xfId="16005" xr:uid="{00000000-0005-0000-0000-0000788F0000}"/>
    <cellStyle name="适中 2 19 5 8" xfId="16008" xr:uid="{00000000-0005-0000-0000-0000798F0000}"/>
    <cellStyle name="适中 2 19 5 9" xfId="16011" xr:uid="{00000000-0005-0000-0000-00007A8F0000}"/>
    <cellStyle name="适中 2 19 6" xfId="32360" xr:uid="{00000000-0005-0000-0000-00007B8F0000}"/>
    <cellStyle name="适中 2 19 6 2" xfId="37568" xr:uid="{00000000-0005-0000-0000-00007C8F0000}"/>
    <cellStyle name="适中 2 19 6 2 2" xfId="37569" xr:uid="{00000000-0005-0000-0000-00007D8F0000}"/>
    <cellStyle name="适中 2 19 6 2 3" xfId="37570" xr:uid="{00000000-0005-0000-0000-00007E8F0000}"/>
    <cellStyle name="适中 2 19 6 3" xfId="37571" xr:uid="{00000000-0005-0000-0000-00007F8F0000}"/>
    <cellStyle name="适中 2 19 6 4" xfId="37572" xr:uid="{00000000-0005-0000-0000-0000808F0000}"/>
    <cellStyle name="适中 2 19 6 5" xfId="37573" xr:uid="{00000000-0005-0000-0000-0000818F0000}"/>
    <cellStyle name="适中 2 19 6 6" xfId="37574" xr:uid="{00000000-0005-0000-0000-0000828F0000}"/>
    <cellStyle name="适中 2 19 6 7" xfId="37575" xr:uid="{00000000-0005-0000-0000-0000838F0000}"/>
    <cellStyle name="适中 2 19 6 8" xfId="37576" xr:uid="{00000000-0005-0000-0000-0000848F0000}"/>
    <cellStyle name="适中 2 19 7" xfId="37577" xr:uid="{00000000-0005-0000-0000-0000858F0000}"/>
    <cellStyle name="适中 2 19 8" xfId="37578" xr:uid="{00000000-0005-0000-0000-0000868F0000}"/>
    <cellStyle name="适中 2 19 9" xfId="37579" xr:uid="{00000000-0005-0000-0000-0000878F0000}"/>
    <cellStyle name="适中 2 19 9 2" xfId="34019" xr:uid="{00000000-0005-0000-0000-0000888F0000}"/>
    <cellStyle name="适中 2 19 9 3" xfId="34021" xr:uid="{00000000-0005-0000-0000-0000898F0000}"/>
    <cellStyle name="适中 2 2" xfId="37580" xr:uid="{00000000-0005-0000-0000-00008A8F0000}"/>
    <cellStyle name="适中 2 2 10" xfId="28049" xr:uid="{00000000-0005-0000-0000-00008B8F0000}"/>
    <cellStyle name="适中 2 2 11" xfId="10412" xr:uid="{00000000-0005-0000-0000-00008C8F0000}"/>
    <cellStyle name="适中 2 2 12" xfId="10425" xr:uid="{00000000-0005-0000-0000-00008D8F0000}"/>
    <cellStyle name="适中 2 2 13" xfId="10431" xr:uid="{00000000-0005-0000-0000-00008E8F0000}"/>
    <cellStyle name="适中 2 2 14" xfId="10437" xr:uid="{00000000-0005-0000-0000-00008F8F0000}"/>
    <cellStyle name="适中 2 2 2" xfId="37581" xr:uid="{00000000-0005-0000-0000-0000908F0000}"/>
    <cellStyle name="适中 2 2 3" xfId="37582" xr:uid="{00000000-0005-0000-0000-0000918F0000}"/>
    <cellStyle name="适中 2 2 4" xfId="37583" xr:uid="{00000000-0005-0000-0000-0000928F0000}"/>
    <cellStyle name="适中 2 2 5" xfId="37584" xr:uid="{00000000-0005-0000-0000-0000938F0000}"/>
    <cellStyle name="适中 2 2 6" xfId="37585" xr:uid="{00000000-0005-0000-0000-0000948F0000}"/>
    <cellStyle name="适中 2 2 7" xfId="37586" xr:uid="{00000000-0005-0000-0000-0000958F0000}"/>
    <cellStyle name="适中 2 2 8" xfId="37587" xr:uid="{00000000-0005-0000-0000-0000968F0000}"/>
    <cellStyle name="适中 2 2 9" xfId="37588" xr:uid="{00000000-0005-0000-0000-0000978F0000}"/>
    <cellStyle name="适中 2 20" xfId="13218" xr:uid="{00000000-0005-0000-0000-0000988F0000}"/>
    <cellStyle name="适中 2 20 10" xfId="37589" xr:uid="{00000000-0005-0000-0000-0000998F0000}"/>
    <cellStyle name="适中 2 20 11" xfId="37590" xr:uid="{00000000-0005-0000-0000-00009A8F0000}"/>
    <cellStyle name="适中 2 20 12" xfId="37591" xr:uid="{00000000-0005-0000-0000-00009B8F0000}"/>
    <cellStyle name="适中 2 20 13" xfId="37592" xr:uid="{00000000-0005-0000-0000-00009C8F0000}"/>
    <cellStyle name="适中 2 20 14" xfId="37593" xr:uid="{00000000-0005-0000-0000-00009D8F0000}"/>
    <cellStyle name="适中 2 20 2" xfId="37594" xr:uid="{00000000-0005-0000-0000-00009E8F0000}"/>
    <cellStyle name="适中 2 20 3" xfId="37595" xr:uid="{00000000-0005-0000-0000-00009F8F0000}"/>
    <cellStyle name="适中 2 20 4" xfId="37596" xr:uid="{00000000-0005-0000-0000-0000A08F0000}"/>
    <cellStyle name="适中 2 20 5" xfId="37597" xr:uid="{00000000-0005-0000-0000-0000A18F0000}"/>
    <cellStyle name="适中 2 20 5 10" xfId="37598" xr:uid="{00000000-0005-0000-0000-0000A28F0000}"/>
    <cellStyle name="适中 2 20 5 11" xfId="37599" xr:uid="{00000000-0005-0000-0000-0000A38F0000}"/>
    <cellStyle name="适中 2 20 5 2" xfId="37600" xr:uid="{00000000-0005-0000-0000-0000A48F0000}"/>
    <cellStyle name="适中 2 20 5 2 2" xfId="37601" xr:uid="{00000000-0005-0000-0000-0000A58F0000}"/>
    <cellStyle name="适中 2 20 5 2 2 2" xfId="37602" xr:uid="{00000000-0005-0000-0000-0000A68F0000}"/>
    <cellStyle name="适中 2 20 5 2 2 3" xfId="37603" xr:uid="{00000000-0005-0000-0000-0000A78F0000}"/>
    <cellStyle name="适中 2 20 5 2 3" xfId="37604" xr:uid="{00000000-0005-0000-0000-0000A88F0000}"/>
    <cellStyle name="适中 2 20 5 2 4" xfId="25669" xr:uid="{00000000-0005-0000-0000-0000A98F0000}"/>
    <cellStyle name="适中 2 20 5 2 5" xfId="37605" xr:uid="{00000000-0005-0000-0000-0000AA8F0000}"/>
    <cellStyle name="适中 2 20 5 2 6" xfId="37606" xr:uid="{00000000-0005-0000-0000-0000AB8F0000}"/>
    <cellStyle name="适中 2 20 5 2 7" xfId="37607" xr:uid="{00000000-0005-0000-0000-0000AC8F0000}"/>
    <cellStyle name="适中 2 20 5 2 8" xfId="37608" xr:uid="{00000000-0005-0000-0000-0000AD8F0000}"/>
    <cellStyle name="适中 2 20 5 3" xfId="37609" xr:uid="{00000000-0005-0000-0000-0000AE8F0000}"/>
    <cellStyle name="适中 2 20 5 4" xfId="37610" xr:uid="{00000000-0005-0000-0000-0000AF8F0000}"/>
    <cellStyle name="适中 2 20 5 5" xfId="37611" xr:uid="{00000000-0005-0000-0000-0000B08F0000}"/>
    <cellStyle name="适中 2 20 5 6" xfId="37612" xr:uid="{00000000-0005-0000-0000-0000B18F0000}"/>
    <cellStyle name="适中 2 20 5 6 2" xfId="7316" xr:uid="{00000000-0005-0000-0000-0000B28F0000}"/>
    <cellStyle name="适中 2 20 5 6 3" xfId="23705" xr:uid="{00000000-0005-0000-0000-0000B38F0000}"/>
    <cellStyle name="适中 2 20 5 7" xfId="37613" xr:uid="{00000000-0005-0000-0000-0000B48F0000}"/>
    <cellStyle name="适中 2 20 5 8" xfId="37614" xr:uid="{00000000-0005-0000-0000-0000B58F0000}"/>
    <cellStyle name="适中 2 20 5 9" xfId="34675" xr:uid="{00000000-0005-0000-0000-0000B68F0000}"/>
    <cellStyle name="适中 2 20 6" xfId="37615" xr:uid="{00000000-0005-0000-0000-0000B78F0000}"/>
    <cellStyle name="适中 2 20 6 2" xfId="8205" xr:uid="{00000000-0005-0000-0000-0000B88F0000}"/>
    <cellStyle name="适中 2 20 6 2 2" xfId="37616" xr:uid="{00000000-0005-0000-0000-0000B98F0000}"/>
    <cellStyle name="适中 2 20 6 2 3" xfId="37617" xr:uid="{00000000-0005-0000-0000-0000BA8F0000}"/>
    <cellStyle name="适中 2 20 6 3" xfId="8212" xr:uid="{00000000-0005-0000-0000-0000BB8F0000}"/>
    <cellStyle name="适中 2 20 6 4" xfId="12080" xr:uid="{00000000-0005-0000-0000-0000BC8F0000}"/>
    <cellStyle name="适中 2 20 6 5" xfId="12085" xr:uid="{00000000-0005-0000-0000-0000BD8F0000}"/>
    <cellStyle name="适中 2 20 6 6" xfId="12089" xr:uid="{00000000-0005-0000-0000-0000BE8F0000}"/>
    <cellStyle name="适中 2 20 6 7" xfId="23151" xr:uid="{00000000-0005-0000-0000-0000BF8F0000}"/>
    <cellStyle name="适中 2 20 6 8" xfId="37618" xr:uid="{00000000-0005-0000-0000-0000C08F0000}"/>
    <cellStyle name="适中 2 20 7" xfId="28655" xr:uid="{00000000-0005-0000-0000-0000C18F0000}"/>
    <cellStyle name="适中 2 20 8" xfId="28657" xr:uid="{00000000-0005-0000-0000-0000C28F0000}"/>
    <cellStyle name="适中 2 20 9" xfId="28659" xr:uid="{00000000-0005-0000-0000-0000C38F0000}"/>
    <cellStyle name="适中 2 20 9 2" xfId="37619" xr:uid="{00000000-0005-0000-0000-0000C48F0000}"/>
    <cellStyle name="适中 2 20 9 3" xfId="37620" xr:uid="{00000000-0005-0000-0000-0000C58F0000}"/>
    <cellStyle name="适中 2 3" xfId="37621" xr:uid="{00000000-0005-0000-0000-0000C68F0000}"/>
    <cellStyle name="适中 2 3 10" xfId="37622" xr:uid="{00000000-0005-0000-0000-0000C78F0000}"/>
    <cellStyle name="适中 2 3 11" xfId="37623" xr:uid="{00000000-0005-0000-0000-0000C88F0000}"/>
    <cellStyle name="适中 2 3 12" xfId="37624" xr:uid="{00000000-0005-0000-0000-0000C98F0000}"/>
    <cellStyle name="适中 2 3 13" xfId="37625" xr:uid="{00000000-0005-0000-0000-0000CA8F0000}"/>
    <cellStyle name="适中 2 3 14" xfId="37626" xr:uid="{00000000-0005-0000-0000-0000CB8F0000}"/>
    <cellStyle name="适中 2 3 2" xfId="37627" xr:uid="{00000000-0005-0000-0000-0000CC8F0000}"/>
    <cellStyle name="适中 2 3 3" xfId="37628" xr:uid="{00000000-0005-0000-0000-0000CD8F0000}"/>
    <cellStyle name="适中 2 3 4" xfId="37629" xr:uid="{00000000-0005-0000-0000-0000CE8F0000}"/>
    <cellStyle name="适中 2 3 5" xfId="35803" xr:uid="{00000000-0005-0000-0000-0000CF8F0000}"/>
    <cellStyle name="适中 2 3 6" xfId="35805" xr:uid="{00000000-0005-0000-0000-0000D08F0000}"/>
    <cellStyle name="适中 2 3 7" xfId="35807" xr:uid="{00000000-0005-0000-0000-0000D18F0000}"/>
    <cellStyle name="适中 2 3 8" xfId="35847" xr:uid="{00000000-0005-0000-0000-0000D28F0000}"/>
    <cellStyle name="适中 2 3 9" xfId="35485" xr:uid="{00000000-0005-0000-0000-0000D38F0000}"/>
    <cellStyle name="适中 2 4" xfId="37630" xr:uid="{00000000-0005-0000-0000-0000D48F0000}"/>
    <cellStyle name="适中 2 4 10" xfId="28692" xr:uid="{00000000-0005-0000-0000-0000D58F0000}"/>
    <cellStyle name="适中 2 4 11" xfId="28706" xr:uid="{00000000-0005-0000-0000-0000D68F0000}"/>
    <cellStyle name="适中 2 4 12" xfId="28720" xr:uid="{00000000-0005-0000-0000-0000D78F0000}"/>
    <cellStyle name="适中 2 4 13" xfId="28722" xr:uid="{00000000-0005-0000-0000-0000D88F0000}"/>
    <cellStyle name="适中 2 4 14" xfId="28724" xr:uid="{00000000-0005-0000-0000-0000D98F0000}"/>
    <cellStyle name="适中 2 4 2" xfId="37391" xr:uid="{00000000-0005-0000-0000-0000DA8F0000}"/>
    <cellStyle name="适中 2 4 3" xfId="37406" xr:uid="{00000000-0005-0000-0000-0000DB8F0000}"/>
    <cellStyle name="适中 2 4 4" xfId="37416" xr:uid="{00000000-0005-0000-0000-0000DC8F0000}"/>
    <cellStyle name="适中 2 4 5" xfId="37418" xr:uid="{00000000-0005-0000-0000-0000DD8F0000}"/>
    <cellStyle name="适中 2 4 6" xfId="37420" xr:uid="{00000000-0005-0000-0000-0000DE8F0000}"/>
    <cellStyle name="适中 2 4 7" xfId="37632" xr:uid="{00000000-0005-0000-0000-0000DF8F0000}"/>
    <cellStyle name="适中 2 4 8" xfId="37634" xr:uid="{00000000-0005-0000-0000-0000E08F0000}"/>
    <cellStyle name="适中 2 4 9" xfId="35510" xr:uid="{00000000-0005-0000-0000-0000E18F0000}"/>
    <cellStyle name="适中 2 5" xfId="37635" xr:uid="{00000000-0005-0000-0000-0000E28F0000}"/>
    <cellStyle name="适中 2 6" xfId="37636" xr:uid="{00000000-0005-0000-0000-0000E38F0000}"/>
    <cellStyle name="适中 2 7" xfId="37637" xr:uid="{00000000-0005-0000-0000-0000E48F0000}"/>
    <cellStyle name="适中 2 8" xfId="37638" xr:uid="{00000000-0005-0000-0000-0000E58F0000}"/>
    <cellStyle name="适中 2 9" xfId="37639" xr:uid="{00000000-0005-0000-0000-0000E68F0000}"/>
    <cellStyle name="适中 3" xfId="10069" xr:uid="{00000000-0005-0000-0000-0000E78F0000}"/>
    <cellStyle name="适中 3 10" xfId="37640" xr:uid="{00000000-0005-0000-0000-0000E88F0000}"/>
    <cellStyle name="适中 3 11" xfId="37641" xr:uid="{00000000-0005-0000-0000-0000E98F0000}"/>
    <cellStyle name="适中 3 12" xfId="37642" xr:uid="{00000000-0005-0000-0000-0000EA8F0000}"/>
    <cellStyle name="适中 3 13" xfId="29017" xr:uid="{00000000-0005-0000-0000-0000EB8F0000}"/>
    <cellStyle name="适中 3 14" xfId="25557" xr:uid="{00000000-0005-0000-0000-0000EC8F0000}"/>
    <cellStyle name="适中 3 15" xfId="24556" xr:uid="{00000000-0005-0000-0000-0000ED8F0000}"/>
    <cellStyle name="适中 3 16" xfId="1256" xr:uid="{00000000-0005-0000-0000-0000EE8F0000}"/>
    <cellStyle name="适中 3 17" xfId="13112" xr:uid="{00000000-0005-0000-0000-0000EF8F0000}"/>
    <cellStyle name="适中 3 17 10" xfId="17711" xr:uid="{00000000-0005-0000-0000-0000F08F0000}"/>
    <cellStyle name="适中 3 17 11" xfId="37233" xr:uid="{00000000-0005-0000-0000-0000F18F0000}"/>
    <cellStyle name="适中 3 17 12" xfId="37643" xr:uid="{00000000-0005-0000-0000-0000F28F0000}"/>
    <cellStyle name="适中 3 17 13" xfId="37644" xr:uid="{00000000-0005-0000-0000-0000F38F0000}"/>
    <cellStyle name="适中 3 17 14" xfId="37645" xr:uid="{00000000-0005-0000-0000-0000F48F0000}"/>
    <cellStyle name="适中 3 17 2" xfId="37346" xr:uid="{00000000-0005-0000-0000-0000F58F0000}"/>
    <cellStyle name="适中 3 17 2 2" xfId="37646" xr:uid="{00000000-0005-0000-0000-0000F68F0000}"/>
    <cellStyle name="适中 3 17 3" xfId="37647" xr:uid="{00000000-0005-0000-0000-0000F78F0000}"/>
    <cellStyle name="适中 3 17 4" xfId="37648" xr:uid="{00000000-0005-0000-0000-0000F88F0000}"/>
    <cellStyle name="适中 3 17 5" xfId="37649" xr:uid="{00000000-0005-0000-0000-0000F98F0000}"/>
    <cellStyle name="适中 3 17 5 10" xfId="37650" xr:uid="{00000000-0005-0000-0000-0000FA8F0000}"/>
    <cellStyle name="适中 3 17 5 11" xfId="37651" xr:uid="{00000000-0005-0000-0000-0000FB8F0000}"/>
    <cellStyle name="适中 3 17 5 2" xfId="37652" xr:uid="{00000000-0005-0000-0000-0000FC8F0000}"/>
    <cellStyle name="适中 3 17 5 2 2" xfId="37653" xr:uid="{00000000-0005-0000-0000-0000FD8F0000}"/>
    <cellStyle name="适中 3 17 5 2 2 2" xfId="26855" xr:uid="{00000000-0005-0000-0000-0000FE8F0000}"/>
    <cellStyle name="适中 3 17 5 2 2 3" xfId="26857" xr:uid="{00000000-0005-0000-0000-0000FF8F0000}"/>
    <cellStyle name="适中 3 17 5 2 3" xfId="37654" xr:uid="{00000000-0005-0000-0000-000000900000}"/>
    <cellStyle name="适中 3 17 5 2 4" xfId="37655" xr:uid="{00000000-0005-0000-0000-000001900000}"/>
    <cellStyle name="适中 3 17 5 2 5" xfId="37656" xr:uid="{00000000-0005-0000-0000-000002900000}"/>
    <cellStyle name="适中 3 17 5 2 6" xfId="37657" xr:uid="{00000000-0005-0000-0000-000003900000}"/>
    <cellStyle name="适中 3 17 5 2 7" xfId="37658" xr:uid="{00000000-0005-0000-0000-000004900000}"/>
    <cellStyle name="适中 3 17 5 2 8" xfId="37659" xr:uid="{00000000-0005-0000-0000-000005900000}"/>
    <cellStyle name="适中 3 17 5 3" xfId="37660" xr:uid="{00000000-0005-0000-0000-000006900000}"/>
    <cellStyle name="适中 3 17 5 4" xfId="31077" xr:uid="{00000000-0005-0000-0000-000007900000}"/>
    <cellStyle name="适中 3 17 5 5" xfId="31083" xr:uid="{00000000-0005-0000-0000-000008900000}"/>
    <cellStyle name="适中 3 17 5 6" xfId="31085" xr:uid="{00000000-0005-0000-0000-000009900000}"/>
    <cellStyle name="适中 3 17 5 6 2" xfId="37661" xr:uid="{00000000-0005-0000-0000-00000A900000}"/>
    <cellStyle name="适中 3 17 5 6 3" xfId="37662" xr:uid="{00000000-0005-0000-0000-00000B900000}"/>
    <cellStyle name="适中 3 17 5 7" xfId="25942" xr:uid="{00000000-0005-0000-0000-00000C900000}"/>
    <cellStyle name="适中 3 17 5 8" xfId="31087" xr:uid="{00000000-0005-0000-0000-00000D900000}"/>
    <cellStyle name="适中 3 17 5 9" xfId="24008" xr:uid="{00000000-0005-0000-0000-00000E900000}"/>
    <cellStyle name="适中 3 17 6" xfId="35383" xr:uid="{00000000-0005-0000-0000-00000F900000}"/>
    <cellStyle name="适中 3 17 6 2" xfId="37663" xr:uid="{00000000-0005-0000-0000-000010900000}"/>
    <cellStyle name="适中 3 17 6 2 2" xfId="22086" xr:uid="{00000000-0005-0000-0000-000011900000}"/>
    <cellStyle name="适中 3 17 6 2 3" xfId="22090" xr:uid="{00000000-0005-0000-0000-000012900000}"/>
    <cellStyle name="适中 3 17 6 3" xfId="37664" xr:uid="{00000000-0005-0000-0000-000013900000}"/>
    <cellStyle name="适中 3 17 6 4" xfId="22202" xr:uid="{00000000-0005-0000-0000-000014900000}"/>
    <cellStyle name="适中 3 17 6 5" xfId="21486" xr:uid="{00000000-0005-0000-0000-000015900000}"/>
    <cellStyle name="适中 3 17 6 6" xfId="21489" xr:uid="{00000000-0005-0000-0000-000016900000}"/>
    <cellStyle name="适中 3 17 6 7" xfId="21493" xr:uid="{00000000-0005-0000-0000-000017900000}"/>
    <cellStyle name="适中 3 17 6 8" xfId="21497" xr:uid="{00000000-0005-0000-0000-000018900000}"/>
    <cellStyle name="适中 3 17 7" xfId="35386" xr:uid="{00000000-0005-0000-0000-000019900000}"/>
    <cellStyle name="适中 3 17 8" xfId="35389" xr:uid="{00000000-0005-0000-0000-00001A900000}"/>
    <cellStyle name="适中 3 17 9" xfId="35391" xr:uid="{00000000-0005-0000-0000-00001B900000}"/>
    <cellStyle name="适中 3 17 9 2" xfId="35395" xr:uid="{00000000-0005-0000-0000-00001C900000}"/>
    <cellStyle name="适中 3 17 9 3" xfId="11819" xr:uid="{00000000-0005-0000-0000-00001D900000}"/>
    <cellStyle name="适中 3 18" xfId="15383" xr:uid="{00000000-0005-0000-0000-00001E900000}"/>
    <cellStyle name="适中 3 18 10" xfId="37239" xr:uid="{00000000-0005-0000-0000-00001F900000}"/>
    <cellStyle name="适中 3 18 11" xfId="37241" xr:uid="{00000000-0005-0000-0000-000020900000}"/>
    <cellStyle name="适中 3 18 12" xfId="37665" xr:uid="{00000000-0005-0000-0000-000021900000}"/>
    <cellStyle name="适中 3 18 13" xfId="37666" xr:uid="{00000000-0005-0000-0000-000022900000}"/>
    <cellStyle name="适中 3 18 14" xfId="37667" xr:uid="{00000000-0005-0000-0000-000023900000}"/>
    <cellStyle name="适中 3 18 2" xfId="37668" xr:uid="{00000000-0005-0000-0000-000024900000}"/>
    <cellStyle name="适中 3 18 3" xfId="37669" xr:uid="{00000000-0005-0000-0000-000025900000}"/>
    <cellStyle name="适中 3 18 4" xfId="37670" xr:uid="{00000000-0005-0000-0000-000026900000}"/>
    <cellStyle name="适中 3 18 5" xfId="37671" xr:uid="{00000000-0005-0000-0000-000027900000}"/>
    <cellStyle name="适中 3 18 5 10" xfId="37672" xr:uid="{00000000-0005-0000-0000-000028900000}"/>
    <cellStyle name="适中 3 18 5 11" xfId="18201" xr:uid="{00000000-0005-0000-0000-000029900000}"/>
    <cellStyle name="适中 3 18 5 2" xfId="36643" xr:uid="{00000000-0005-0000-0000-00002A900000}"/>
    <cellStyle name="适中 3 18 5 2 2" xfId="8616" xr:uid="{00000000-0005-0000-0000-00002B900000}"/>
    <cellStyle name="适中 3 18 5 2 2 2" xfId="14006" xr:uid="{00000000-0005-0000-0000-00002C900000}"/>
    <cellStyle name="适中 3 18 5 2 2 3" xfId="14012" xr:uid="{00000000-0005-0000-0000-00002D900000}"/>
    <cellStyle name="适中 3 18 5 2 3" xfId="35855" xr:uid="{00000000-0005-0000-0000-00002E900000}"/>
    <cellStyle name="适中 3 18 5 2 4" xfId="35857" xr:uid="{00000000-0005-0000-0000-00002F900000}"/>
    <cellStyle name="适中 3 18 5 2 5" xfId="35861" xr:uid="{00000000-0005-0000-0000-000030900000}"/>
    <cellStyle name="适中 3 18 5 2 6" xfId="35863" xr:uid="{00000000-0005-0000-0000-000031900000}"/>
    <cellStyle name="适中 3 18 5 2 7" xfId="35865" xr:uid="{00000000-0005-0000-0000-000032900000}"/>
    <cellStyle name="适中 3 18 5 2 8" xfId="30940" xr:uid="{00000000-0005-0000-0000-000033900000}"/>
    <cellStyle name="适中 3 18 5 3" xfId="36645" xr:uid="{00000000-0005-0000-0000-000034900000}"/>
    <cellStyle name="适中 3 18 5 4" xfId="31100" xr:uid="{00000000-0005-0000-0000-000035900000}"/>
    <cellStyle name="适中 3 18 5 5" xfId="31107" xr:uid="{00000000-0005-0000-0000-000036900000}"/>
    <cellStyle name="适中 3 18 5 6" xfId="31111" xr:uid="{00000000-0005-0000-0000-000037900000}"/>
    <cellStyle name="适中 3 18 5 6 2" xfId="37673" xr:uid="{00000000-0005-0000-0000-000038900000}"/>
    <cellStyle name="适中 3 18 5 6 3" xfId="37674" xr:uid="{00000000-0005-0000-0000-000039900000}"/>
    <cellStyle name="适中 3 18 5 7" xfId="31114" xr:uid="{00000000-0005-0000-0000-00003A900000}"/>
    <cellStyle name="适中 3 18 5 8" xfId="31117" xr:uid="{00000000-0005-0000-0000-00003B900000}"/>
    <cellStyle name="适中 3 18 5 9" xfId="24042" xr:uid="{00000000-0005-0000-0000-00003C900000}"/>
    <cellStyle name="适中 3 18 6" xfId="35416" xr:uid="{00000000-0005-0000-0000-00003D900000}"/>
    <cellStyle name="适中 3 18 6 2" xfId="37675" xr:uid="{00000000-0005-0000-0000-00003E900000}"/>
    <cellStyle name="适中 3 18 6 2 2" xfId="8772" xr:uid="{00000000-0005-0000-0000-00003F900000}"/>
    <cellStyle name="适中 3 18 6 2 3" xfId="35898" xr:uid="{00000000-0005-0000-0000-000040900000}"/>
    <cellStyle name="适中 3 18 6 3" xfId="25424" xr:uid="{00000000-0005-0000-0000-000041900000}"/>
    <cellStyle name="适中 3 18 6 4" xfId="25426" xr:uid="{00000000-0005-0000-0000-000042900000}"/>
    <cellStyle name="适中 3 18 6 5" xfId="25429" xr:uid="{00000000-0005-0000-0000-000043900000}"/>
    <cellStyle name="适中 3 18 6 6" xfId="25432" xr:uid="{00000000-0005-0000-0000-000044900000}"/>
    <cellStyle name="适中 3 18 6 7" xfId="25435" xr:uid="{00000000-0005-0000-0000-000045900000}"/>
    <cellStyle name="适中 3 18 6 8" xfId="25438" xr:uid="{00000000-0005-0000-0000-000046900000}"/>
    <cellStyle name="适中 3 18 7" xfId="3687" xr:uid="{00000000-0005-0000-0000-000047900000}"/>
    <cellStyle name="适中 3 18 8" xfId="3691" xr:uid="{00000000-0005-0000-0000-000048900000}"/>
    <cellStyle name="适中 3 18 9" xfId="35418" xr:uid="{00000000-0005-0000-0000-000049900000}"/>
    <cellStyle name="适中 3 18 9 2" xfId="35421" xr:uid="{00000000-0005-0000-0000-00004A900000}"/>
    <cellStyle name="适中 3 18 9 3" xfId="35423" xr:uid="{00000000-0005-0000-0000-00004B900000}"/>
    <cellStyle name="适中 3 19" xfId="15385" xr:uid="{00000000-0005-0000-0000-00004C900000}"/>
    <cellStyle name="适中 3 19 10" xfId="37676" xr:uid="{00000000-0005-0000-0000-00004D900000}"/>
    <cellStyle name="适中 3 19 11" xfId="37677" xr:uid="{00000000-0005-0000-0000-00004E900000}"/>
    <cellStyle name="适中 3 19 12" xfId="37678" xr:uid="{00000000-0005-0000-0000-00004F900000}"/>
    <cellStyle name="适中 3 19 13" xfId="37679" xr:uid="{00000000-0005-0000-0000-000050900000}"/>
    <cellStyle name="适中 3 19 14" xfId="37680" xr:uid="{00000000-0005-0000-0000-000051900000}"/>
    <cellStyle name="适中 3 19 2" xfId="37681" xr:uid="{00000000-0005-0000-0000-000052900000}"/>
    <cellStyle name="适中 3 19 3" xfId="37682" xr:uid="{00000000-0005-0000-0000-000053900000}"/>
    <cellStyle name="适中 3 19 4" xfId="37683" xr:uid="{00000000-0005-0000-0000-000054900000}"/>
    <cellStyle name="适中 3 19 5" xfId="37684" xr:uid="{00000000-0005-0000-0000-000055900000}"/>
    <cellStyle name="适中 3 19 5 10" xfId="11844" xr:uid="{00000000-0005-0000-0000-000056900000}"/>
    <cellStyle name="适中 3 19 5 11" xfId="35664" xr:uid="{00000000-0005-0000-0000-000057900000}"/>
    <cellStyle name="适中 3 19 5 2" xfId="17799" xr:uid="{00000000-0005-0000-0000-000058900000}"/>
    <cellStyle name="适中 3 19 5 2 2" xfId="37685" xr:uid="{00000000-0005-0000-0000-000059900000}"/>
    <cellStyle name="适中 3 19 5 2 2 2" xfId="37687" xr:uid="{00000000-0005-0000-0000-00005A900000}"/>
    <cellStyle name="适中 3 19 5 2 2 3" xfId="37689" xr:uid="{00000000-0005-0000-0000-00005B900000}"/>
    <cellStyle name="适中 3 19 5 2 3" xfId="37690" xr:uid="{00000000-0005-0000-0000-00005C900000}"/>
    <cellStyle name="适中 3 19 5 2 4" xfId="37691" xr:uid="{00000000-0005-0000-0000-00005D900000}"/>
    <cellStyle name="适中 3 19 5 2 5" xfId="37692" xr:uid="{00000000-0005-0000-0000-00005E900000}"/>
    <cellStyle name="适中 3 19 5 2 6" xfId="37693" xr:uid="{00000000-0005-0000-0000-00005F900000}"/>
    <cellStyle name="适中 3 19 5 2 7" xfId="37694" xr:uid="{00000000-0005-0000-0000-000060900000}"/>
    <cellStyle name="适中 3 19 5 2 8" xfId="37695" xr:uid="{00000000-0005-0000-0000-000061900000}"/>
    <cellStyle name="适中 3 19 5 3" xfId="2435" xr:uid="{00000000-0005-0000-0000-000062900000}"/>
    <cellStyle name="适中 3 19 5 4" xfId="2457" xr:uid="{00000000-0005-0000-0000-000063900000}"/>
    <cellStyle name="适中 3 19 5 5" xfId="2473" xr:uid="{00000000-0005-0000-0000-000064900000}"/>
    <cellStyle name="适中 3 19 5 6" xfId="2490" xr:uid="{00000000-0005-0000-0000-000065900000}"/>
    <cellStyle name="适中 3 19 5 6 2" xfId="35607" xr:uid="{00000000-0005-0000-0000-000066900000}"/>
    <cellStyle name="适中 3 19 5 6 3" xfId="35609" xr:uid="{00000000-0005-0000-0000-000067900000}"/>
    <cellStyle name="适中 3 19 5 7" xfId="2502" xr:uid="{00000000-0005-0000-0000-000068900000}"/>
    <cellStyle name="适中 3 19 5 8" xfId="2510" xr:uid="{00000000-0005-0000-0000-000069900000}"/>
    <cellStyle name="适中 3 19 5 9" xfId="2519" xr:uid="{00000000-0005-0000-0000-00006A900000}"/>
    <cellStyle name="适中 3 19 6" xfId="37696" xr:uid="{00000000-0005-0000-0000-00006B900000}"/>
    <cellStyle name="适中 3 19 6 2" xfId="9685" xr:uid="{00000000-0005-0000-0000-00006C900000}"/>
    <cellStyle name="适中 3 19 6 2 2" xfId="37698" xr:uid="{00000000-0005-0000-0000-00006D900000}"/>
    <cellStyle name="适中 3 19 6 2 3" xfId="13007" xr:uid="{00000000-0005-0000-0000-00006E900000}"/>
    <cellStyle name="适中 3 19 6 3" xfId="13197" xr:uid="{00000000-0005-0000-0000-00006F900000}"/>
    <cellStyle name="适中 3 19 6 4" xfId="13201" xr:uid="{00000000-0005-0000-0000-000070900000}"/>
    <cellStyle name="适中 3 19 6 5" xfId="15094" xr:uid="{00000000-0005-0000-0000-000071900000}"/>
    <cellStyle name="适中 3 19 6 6" xfId="37699" xr:uid="{00000000-0005-0000-0000-000072900000}"/>
    <cellStyle name="适中 3 19 6 7" xfId="37700" xr:uid="{00000000-0005-0000-0000-000073900000}"/>
    <cellStyle name="适中 3 19 6 8" xfId="37701" xr:uid="{00000000-0005-0000-0000-000074900000}"/>
    <cellStyle name="适中 3 19 7" xfId="37702" xr:uid="{00000000-0005-0000-0000-000075900000}"/>
    <cellStyle name="适中 3 19 8" xfId="37703" xr:uid="{00000000-0005-0000-0000-000076900000}"/>
    <cellStyle name="适中 3 19 9" xfId="12739" xr:uid="{00000000-0005-0000-0000-000077900000}"/>
    <cellStyle name="适中 3 19 9 2" xfId="37704" xr:uid="{00000000-0005-0000-0000-000078900000}"/>
    <cellStyle name="适中 3 19 9 3" xfId="2568" xr:uid="{00000000-0005-0000-0000-000079900000}"/>
    <cellStyle name="适中 3 2" xfId="14127" xr:uid="{00000000-0005-0000-0000-00007A900000}"/>
    <cellStyle name="适中 3 2 10" xfId="28132" xr:uid="{00000000-0005-0000-0000-00007B900000}"/>
    <cellStyle name="适中 3 2 11" xfId="28134" xr:uid="{00000000-0005-0000-0000-00007C900000}"/>
    <cellStyle name="适中 3 2 12" xfId="28140" xr:uid="{00000000-0005-0000-0000-00007D900000}"/>
    <cellStyle name="适中 3 2 13" xfId="22103" xr:uid="{00000000-0005-0000-0000-00007E900000}"/>
    <cellStyle name="适中 3 2 14" xfId="22107" xr:uid="{00000000-0005-0000-0000-00007F900000}"/>
    <cellStyle name="适中 3 2 2" xfId="37705" xr:uid="{00000000-0005-0000-0000-000080900000}"/>
    <cellStyle name="适中 3 2 3" xfId="37706" xr:uid="{00000000-0005-0000-0000-000081900000}"/>
    <cellStyle name="适中 3 2 4" xfId="37707" xr:uid="{00000000-0005-0000-0000-000082900000}"/>
    <cellStyle name="适中 3 2 5" xfId="37708" xr:uid="{00000000-0005-0000-0000-000083900000}"/>
    <cellStyle name="适中 3 2 6" xfId="37709" xr:uid="{00000000-0005-0000-0000-000084900000}"/>
    <cellStyle name="适中 3 2 7" xfId="37710" xr:uid="{00000000-0005-0000-0000-000085900000}"/>
    <cellStyle name="适中 3 2 8" xfId="8009" xr:uid="{00000000-0005-0000-0000-000086900000}"/>
    <cellStyle name="适中 3 2 9" xfId="8021" xr:uid="{00000000-0005-0000-0000-000087900000}"/>
    <cellStyle name="适中 3 20" xfId="24555" xr:uid="{00000000-0005-0000-0000-000088900000}"/>
    <cellStyle name="适中 3 20 10" xfId="22285" xr:uid="{00000000-0005-0000-0000-000089900000}"/>
    <cellStyle name="适中 3 20 11" xfId="22288" xr:uid="{00000000-0005-0000-0000-00008A900000}"/>
    <cellStyle name="适中 3 20 12" xfId="37711" xr:uid="{00000000-0005-0000-0000-00008B900000}"/>
    <cellStyle name="适中 3 20 13" xfId="37712" xr:uid="{00000000-0005-0000-0000-00008C900000}"/>
    <cellStyle name="适中 3 20 14" xfId="37713" xr:uid="{00000000-0005-0000-0000-00008D900000}"/>
    <cellStyle name="适中 3 20 2" xfId="9417" xr:uid="{00000000-0005-0000-0000-00008E900000}"/>
    <cellStyle name="适中 3 20 3" xfId="10238" xr:uid="{00000000-0005-0000-0000-00008F900000}"/>
    <cellStyle name="适中 3 20 4" xfId="37714" xr:uid="{00000000-0005-0000-0000-000090900000}"/>
    <cellStyle name="适中 3 20 5" xfId="37715" xr:uid="{00000000-0005-0000-0000-000091900000}"/>
    <cellStyle name="适中 3 20 5 10" xfId="37427" xr:uid="{00000000-0005-0000-0000-000092900000}"/>
    <cellStyle name="适中 3 20 5 11" xfId="37429" xr:uid="{00000000-0005-0000-0000-000093900000}"/>
    <cellStyle name="适中 3 20 5 2" xfId="33080" xr:uid="{00000000-0005-0000-0000-000094900000}"/>
    <cellStyle name="适中 3 20 5 2 2" xfId="34306" xr:uid="{00000000-0005-0000-0000-000095900000}"/>
    <cellStyle name="适中 3 20 5 2 2 2" xfId="37716" xr:uid="{00000000-0005-0000-0000-000096900000}"/>
    <cellStyle name="适中 3 20 5 2 2 3" xfId="37717" xr:uid="{00000000-0005-0000-0000-000097900000}"/>
    <cellStyle name="适中 3 20 5 2 3" xfId="34308" xr:uid="{00000000-0005-0000-0000-000098900000}"/>
    <cellStyle name="适中 3 20 5 2 4" xfId="34310" xr:uid="{00000000-0005-0000-0000-000099900000}"/>
    <cellStyle name="适中 3 20 5 2 5" xfId="34312" xr:uid="{00000000-0005-0000-0000-00009A900000}"/>
    <cellStyle name="适中 3 20 5 2 6" xfId="34314" xr:uid="{00000000-0005-0000-0000-00009B900000}"/>
    <cellStyle name="适中 3 20 5 2 7" xfId="295" xr:uid="{00000000-0005-0000-0000-00009C900000}"/>
    <cellStyle name="适中 3 20 5 2 8" xfId="37718" xr:uid="{00000000-0005-0000-0000-00009D900000}"/>
    <cellStyle name="适中 3 20 5 3" xfId="37719" xr:uid="{00000000-0005-0000-0000-00009E900000}"/>
    <cellStyle name="适中 3 20 5 4" xfId="37720" xr:uid="{00000000-0005-0000-0000-00009F900000}"/>
    <cellStyle name="适中 3 20 5 5" xfId="37721" xr:uid="{00000000-0005-0000-0000-0000A0900000}"/>
    <cellStyle name="适中 3 20 5 6" xfId="37722" xr:uid="{00000000-0005-0000-0000-0000A1900000}"/>
    <cellStyle name="适中 3 20 5 6 2" xfId="24259" xr:uid="{00000000-0005-0000-0000-0000A2900000}"/>
    <cellStyle name="适中 3 20 5 6 3" xfId="24261" xr:uid="{00000000-0005-0000-0000-0000A3900000}"/>
    <cellStyle name="适中 3 20 5 7" xfId="37723" xr:uid="{00000000-0005-0000-0000-0000A4900000}"/>
    <cellStyle name="适中 3 20 5 8" xfId="37724" xr:uid="{00000000-0005-0000-0000-0000A5900000}"/>
    <cellStyle name="适中 3 20 5 9" xfId="24121" xr:uid="{00000000-0005-0000-0000-0000A6900000}"/>
    <cellStyle name="适中 3 20 6" xfId="37725" xr:uid="{00000000-0005-0000-0000-0000A7900000}"/>
    <cellStyle name="适中 3 20 6 2" xfId="37726" xr:uid="{00000000-0005-0000-0000-0000A8900000}"/>
    <cellStyle name="适中 3 20 6 2 2" xfId="37727" xr:uid="{00000000-0005-0000-0000-0000A9900000}"/>
    <cellStyle name="适中 3 20 6 2 3" xfId="37728" xr:uid="{00000000-0005-0000-0000-0000AA900000}"/>
    <cellStyle name="适中 3 20 6 3" xfId="37729" xr:uid="{00000000-0005-0000-0000-0000AB900000}"/>
    <cellStyle name="适中 3 20 6 4" xfId="37730" xr:uid="{00000000-0005-0000-0000-0000AC900000}"/>
    <cellStyle name="适中 3 20 6 5" xfId="37731" xr:uid="{00000000-0005-0000-0000-0000AD900000}"/>
    <cellStyle name="适中 3 20 6 6" xfId="32710" xr:uid="{00000000-0005-0000-0000-0000AE900000}"/>
    <cellStyle name="适中 3 20 6 7" xfId="32712" xr:uid="{00000000-0005-0000-0000-0000AF900000}"/>
    <cellStyle name="适中 3 20 6 8" xfId="37732" xr:uid="{00000000-0005-0000-0000-0000B0900000}"/>
    <cellStyle name="适中 3 20 7" xfId="37733" xr:uid="{00000000-0005-0000-0000-0000B1900000}"/>
    <cellStyle name="适中 3 20 8" xfId="37734" xr:uid="{00000000-0005-0000-0000-0000B2900000}"/>
    <cellStyle name="适中 3 20 9" xfId="37735" xr:uid="{00000000-0005-0000-0000-0000B3900000}"/>
    <cellStyle name="适中 3 20 9 2" xfId="28154" xr:uid="{00000000-0005-0000-0000-0000B4900000}"/>
    <cellStyle name="适中 3 20 9 3" xfId="28157" xr:uid="{00000000-0005-0000-0000-0000B5900000}"/>
    <cellStyle name="适中 3 3" xfId="37736" xr:uid="{00000000-0005-0000-0000-0000B6900000}"/>
    <cellStyle name="适中 3 3 10" xfId="37737" xr:uid="{00000000-0005-0000-0000-0000B7900000}"/>
    <cellStyle name="适中 3 3 11" xfId="37738" xr:uid="{00000000-0005-0000-0000-0000B8900000}"/>
    <cellStyle name="适中 3 3 12" xfId="37739" xr:uid="{00000000-0005-0000-0000-0000B9900000}"/>
    <cellStyle name="适中 3 3 13" xfId="37740" xr:uid="{00000000-0005-0000-0000-0000BA900000}"/>
    <cellStyle name="适中 3 3 14" xfId="37741" xr:uid="{00000000-0005-0000-0000-0000BB900000}"/>
    <cellStyle name="适中 3 3 2" xfId="37742" xr:uid="{00000000-0005-0000-0000-0000BC900000}"/>
    <cellStyle name="适中 3 3 3" xfId="37743" xr:uid="{00000000-0005-0000-0000-0000BD900000}"/>
    <cellStyle name="适中 3 3 4" xfId="37744" xr:uid="{00000000-0005-0000-0000-0000BE900000}"/>
    <cellStyle name="适中 3 3 5" xfId="10661" xr:uid="{00000000-0005-0000-0000-0000BF900000}"/>
    <cellStyle name="适中 3 3 6" xfId="10663" xr:uid="{00000000-0005-0000-0000-0000C0900000}"/>
    <cellStyle name="适中 3 3 7" xfId="17610" xr:uid="{00000000-0005-0000-0000-0000C1900000}"/>
    <cellStyle name="适中 3 3 8" xfId="17623" xr:uid="{00000000-0005-0000-0000-0000C2900000}"/>
    <cellStyle name="适中 3 3 9" xfId="17627" xr:uid="{00000000-0005-0000-0000-0000C3900000}"/>
    <cellStyle name="适中 3 4" xfId="37745" xr:uid="{00000000-0005-0000-0000-0000C4900000}"/>
    <cellStyle name="适中 3 4 10" xfId="37746" xr:uid="{00000000-0005-0000-0000-0000C5900000}"/>
    <cellStyle name="适中 3 4 11" xfId="37747" xr:uid="{00000000-0005-0000-0000-0000C6900000}"/>
    <cellStyle name="适中 3 4 12" xfId="37748" xr:uid="{00000000-0005-0000-0000-0000C7900000}"/>
    <cellStyle name="适中 3 4 13" xfId="37749" xr:uid="{00000000-0005-0000-0000-0000C8900000}"/>
    <cellStyle name="适中 3 4 14" xfId="37750" xr:uid="{00000000-0005-0000-0000-0000C9900000}"/>
    <cellStyle name="适中 3 4 2" xfId="37751" xr:uid="{00000000-0005-0000-0000-0000CA900000}"/>
    <cellStyle name="适中 3 4 3" xfId="37752" xr:uid="{00000000-0005-0000-0000-0000CB900000}"/>
    <cellStyle name="适中 3 4 4" xfId="37753" xr:uid="{00000000-0005-0000-0000-0000CC900000}"/>
    <cellStyle name="适中 3 4 5" xfId="37754" xr:uid="{00000000-0005-0000-0000-0000CD900000}"/>
    <cellStyle name="适中 3 4 6" xfId="37755" xr:uid="{00000000-0005-0000-0000-0000CE900000}"/>
    <cellStyle name="适中 3 4 7" xfId="37756" xr:uid="{00000000-0005-0000-0000-0000CF900000}"/>
    <cellStyle name="适中 3 4 8" xfId="37757" xr:uid="{00000000-0005-0000-0000-0000D0900000}"/>
    <cellStyle name="适中 3 4 9" xfId="35531" xr:uid="{00000000-0005-0000-0000-0000D1900000}"/>
    <cellStyle name="适中 3 5" xfId="37758" xr:uid="{00000000-0005-0000-0000-0000D2900000}"/>
    <cellStyle name="适中 3 6" xfId="37759" xr:uid="{00000000-0005-0000-0000-0000D3900000}"/>
    <cellStyle name="适中 3 7" xfId="37760" xr:uid="{00000000-0005-0000-0000-0000D4900000}"/>
    <cellStyle name="适中 3 8" xfId="37761" xr:uid="{00000000-0005-0000-0000-0000D5900000}"/>
    <cellStyle name="适中 3 9" xfId="24415" xr:uid="{00000000-0005-0000-0000-0000D6900000}"/>
    <cellStyle name="适中 4" xfId="10074" xr:uid="{00000000-0005-0000-0000-0000D7900000}"/>
    <cellStyle name="适中 4 10" xfId="37631" xr:uid="{00000000-0005-0000-0000-0000D8900000}"/>
    <cellStyle name="适中 4 11" xfId="37633" xr:uid="{00000000-0005-0000-0000-0000D9900000}"/>
    <cellStyle name="适中 4 12" xfId="35509" xr:uid="{00000000-0005-0000-0000-0000DA900000}"/>
    <cellStyle name="适中 4 13" xfId="35514" xr:uid="{00000000-0005-0000-0000-0000DB900000}"/>
    <cellStyle name="适中 4 14" xfId="25036" xr:uid="{00000000-0005-0000-0000-0000DC900000}"/>
    <cellStyle name="适中 4 15" xfId="25041" xr:uid="{00000000-0005-0000-0000-0000DD900000}"/>
    <cellStyle name="适中 4 16" xfId="35516" xr:uid="{00000000-0005-0000-0000-0000DE900000}"/>
    <cellStyle name="适中 4 17" xfId="7763" xr:uid="{00000000-0005-0000-0000-0000DF900000}"/>
    <cellStyle name="适中 4 17 10" xfId="37762" xr:uid="{00000000-0005-0000-0000-0000E0900000}"/>
    <cellStyle name="适中 4 17 11" xfId="37763" xr:uid="{00000000-0005-0000-0000-0000E1900000}"/>
    <cellStyle name="适中 4 17 12" xfId="37764" xr:uid="{00000000-0005-0000-0000-0000E2900000}"/>
    <cellStyle name="适中 4 17 13" xfId="37765" xr:uid="{00000000-0005-0000-0000-0000E3900000}"/>
    <cellStyle name="适中 4 17 14" xfId="37766" xr:uid="{00000000-0005-0000-0000-0000E4900000}"/>
    <cellStyle name="适中 4 17 2" xfId="8735" xr:uid="{00000000-0005-0000-0000-0000E5900000}"/>
    <cellStyle name="适中 4 17 3" xfId="8742" xr:uid="{00000000-0005-0000-0000-0000E6900000}"/>
    <cellStyle name="适中 4 17 4" xfId="21783" xr:uid="{00000000-0005-0000-0000-0000E7900000}"/>
    <cellStyle name="适中 4 17 5" xfId="21785" xr:uid="{00000000-0005-0000-0000-0000E8900000}"/>
    <cellStyle name="适中 4 17 5 10" xfId="37767" xr:uid="{00000000-0005-0000-0000-0000E9900000}"/>
    <cellStyle name="适中 4 17 5 11" xfId="37768" xr:uid="{00000000-0005-0000-0000-0000EA900000}"/>
    <cellStyle name="适中 4 17 5 2" xfId="37769" xr:uid="{00000000-0005-0000-0000-0000EB900000}"/>
    <cellStyle name="适中 4 17 5 2 2" xfId="37770" xr:uid="{00000000-0005-0000-0000-0000EC900000}"/>
    <cellStyle name="适中 4 17 5 2 2 2" xfId="37771" xr:uid="{00000000-0005-0000-0000-0000ED900000}"/>
    <cellStyle name="适中 4 17 5 2 2 3" xfId="37772" xr:uid="{00000000-0005-0000-0000-0000EE900000}"/>
    <cellStyle name="适中 4 17 5 2 3" xfId="37773" xr:uid="{00000000-0005-0000-0000-0000EF900000}"/>
    <cellStyle name="适中 4 17 5 2 4" xfId="37774" xr:uid="{00000000-0005-0000-0000-0000F0900000}"/>
    <cellStyle name="适中 4 17 5 2 5" xfId="37775" xr:uid="{00000000-0005-0000-0000-0000F1900000}"/>
    <cellStyle name="适中 4 17 5 2 6" xfId="10652" xr:uid="{00000000-0005-0000-0000-0000F2900000}"/>
    <cellStyle name="适中 4 17 5 2 7" xfId="9194" xr:uid="{00000000-0005-0000-0000-0000F3900000}"/>
    <cellStyle name="适中 4 17 5 2 8" xfId="9198" xr:uid="{00000000-0005-0000-0000-0000F4900000}"/>
    <cellStyle name="适中 4 17 5 3" xfId="37776" xr:uid="{00000000-0005-0000-0000-0000F5900000}"/>
    <cellStyle name="适中 4 17 5 4" xfId="37777" xr:uid="{00000000-0005-0000-0000-0000F6900000}"/>
    <cellStyle name="适中 4 17 5 5" xfId="37778" xr:uid="{00000000-0005-0000-0000-0000F7900000}"/>
    <cellStyle name="适中 4 17 5 6" xfId="37779" xr:uid="{00000000-0005-0000-0000-0000F8900000}"/>
    <cellStyle name="适中 4 17 5 6 2" xfId="25019" xr:uid="{00000000-0005-0000-0000-0000F9900000}"/>
    <cellStyle name="适中 4 17 5 6 3" xfId="37780" xr:uid="{00000000-0005-0000-0000-0000FA900000}"/>
    <cellStyle name="适中 4 17 5 7" xfId="37781" xr:uid="{00000000-0005-0000-0000-0000FB900000}"/>
    <cellStyle name="适中 4 17 5 8" xfId="37782" xr:uid="{00000000-0005-0000-0000-0000FC900000}"/>
    <cellStyle name="适中 4 17 5 9" xfId="24158" xr:uid="{00000000-0005-0000-0000-0000FD900000}"/>
    <cellStyle name="适中 4 17 6" xfId="21787" xr:uid="{00000000-0005-0000-0000-0000FE900000}"/>
    <cellStyle name="适中 4 17 6 2" xfId="37783" xr:uid="{00000000-0005-0000-0000-0000FF900000}"/>
    <cellStyle name="适中 4 17 6 2 2" xfId="37784" xr:uid="{00000000-0005-0000-0000-000000910000}"/>
    <cellStyle name="适中 4 17 6 2 3" xfId="4380" xr:uid="{00000000-0005-0000-0000-000001910000}"/>
    <cellStyle name="适中 4 17 6 3" xfId="37785" xr:uid="{00000000-0005-0000-0000-000002910000}"/>
    <cellStyle name="适中 4 17 6 4" xfId="37786" xr:uid="{00000000-0005-0000-0000-000003910000}"/>
    <cellStyle name="适中 4 17 6 5" xfId="22291" xr:uid="{00000000-0005-0000-0000-000004910000}"/>
    <cellStyle name="适中 4 17 6 6" xfId="22293" xr:uid="{00000000-0005-0000-0000-000005910000}"/>
    <cellStyle name="适中 4 17 6 7" xfId="22295" xr:uid="{00000000-0005-0000-0000-000006910000}"/>
    <cellStyle name="适中 4 17 6 8" xfId="22297" xr:uid="{00000000-0005-0000-0000-000007910000}"/>
    <cellStyle name="适中 4 17 7" xfId="21790" xr:uid="{00000000-0005-0000-0000-000008910000}"/>
    <cellStyle name="适中 4 17 8" xfId="21794" xr:uid="{00000000-0005-0000-0000-000009910000}"/>
    <cellStyle name="适中 4 17 9" xfId="4884" xr:uid="{00000000-0005-0000-0000-00000A910000}"/>
    <cellStyle name="适中 4 17 9 2" xfId="17626" xr:uid="{00000000-0005-0000-0000-00000B910000}"/>
    <cellStyle name="适中 4 17 9 3" xfId="17631" xr:uid="{00000000-0005-0000-0000-00000C910000}"/>
    <cellStyle name="适中 4 18" xfId="7773" xr:uid="{00000000-0005-0000-0000-00000D910000}"/>
    <cellStyle name="适中 4 18 10" xfId="37787" xr:uid="{00000000-0005-0000-0000-00000E910000}"/>
    <cellStyle name="适中 4 18 11" xfId="37788" xr:uid="{00000000-0005-0000-0000-00000F910000}"/>
    <cellStyle name="适中 4 18 12" xfId="37789" xr:uid="{00000000-0005-0000-0000-000010910000}"/>
    <cellStyle name="适中 4 18 13" xfId="37790" xr:uid="{00000000-0005-0000-0000-000011910000}"/>
    <cellStyle name="适中 4 18 14" xfId="37791" xr:uid="{00000000-0005-0000-0000-000012910000}"/>
    <cellStyle name="适中 4 18 2" xfId="28942" xr:uid="{00000000-0005-0000-0000-000013910000}"/>
    <cellStyle name="适中 4 18 3" xfId="28944" xr:uid="{00000000-0005-0000-0000-000014910000}"/>
    <cellStyle name="适中 4 18 4" xfId="37792" xr:uid="{00000000-0005-0000-0000-000015910000}"/>
    <cellStyle name="适中 4 18 5" xfId="31514" xr:uid="{00000000-0005-0000-0000-000016910000}"/>
    <cellStyle name="适中 4 18 5 10" xfId="2068" xr:uid="{00000000-0005-0000-0000-000017910000}"/>
    <cellStyle name="适中 4 18 5 11" xfId="3108" xr:uid="{00000000-0005-0000-0000-000018910000}"/>
    <cellStyle name="适中 4 18 5 2" xfId="37793" xr:uid="{00000000-0005-0000-0000-000019910000}"/>
    <cellStyle name="适中 4 18 5 2 2" xfId="4527" xr:uid="{00000000-0005-0000-0000-00001A910000}"/>
    <cellStyle name="适中 4 18 5 2 2 2" xfId="37794" xr:uid="{00000000-0005-0000-0000-00001B910000}"/>
    <cellStyle name="适中 4 18 5 2 2 3" xfId="37795" xr:uid="{00000000-0005-0000-0000-00001C910000}"/>
    <cellStyle name="适中 4 18 5 2 3" xfId="37796" xr:uid="{00000000-0005-0000-0000-00001D910000}"/>
    <cellStyle name="适中 4 18 5 2 4" xfId="37797" xr:uid="{00000000-0005-0000-0000-00001E910000}"/>
    <cellStyle name="适中 4 18 5 2 5" xfId="37798" xr:uid="{00000000-0005-0000-0000-00001F910000}"/>
    <cellStyle name="适中 4 18 5 2 6" xfId="394" xr:uid="{00000000-0005-0000-0000-000020910000}"/>
    <cellStyle name="适中 4 18 5 2 7" xfId="8406" xr:uid="{00000000-0005-0000-0000-000021910000}"/>
    <cellStyle name="适中 4 18 5 2 8" xfId="9363" xr:uid="{00000000-0005-0000-0000-000022910000}"/>
    <cellStyle name="适中 4 18 5 3" xfId="35481" xr:uid="{00000000-0005-0000-0000-000023910000}"/>
    <cellStyle name="适中 4 18 5 4" xfId="35483" xr:uid="{00000000-0005-0000-0000-000024910000}"/>
    <cellStyle name="适中 4 18 5 5" xfId="37799" xr:uid="{00000000-0005-0000-0000-000025910000}"/>
    <cellStyle name="适中 4 18 5 6" xfId="37800" xr:uid="{00000000-0005-0000-0000-000026910000}"/>
    <cellStyle name="适中 4 18 5 6 2" xfId="37801" xr:uid="{00000000-0005-0000-0000-000027910000}"/>
    <cellStyle name="适中 4 18 5 6 3" xfId="37802" xr:uid="{00000000-0005-0000-0000-000028910000}"/>
    <cellStyle name="适中 4 18 5 7" xfId="34240" xr:uid="{00000000-0005-0000-0000-000029910000}"/>
    <cellStyle name="适中 4 18 5 8" xfId="34244" xr:uid="{00000000-0005-0000-0000-00002A910000}"/>
    <cellStyle name="适中 4 18 5 9" xfId="24194" xr:uid="{00000000-0005-0000-0000-00002B910000}"/>
    <cellStyle name="适中 4 18 6" xfId="31517" xr:uid="{00000000-0005-0000-0000-00002C910000}"/>
    <cellStyle name="适中 4 18 6 2" xfId="32611" xr:uid="{00000000-0005-0000-0000-00002D910000}"/>
    <cellStyle name="适中 4 18 6 2 2" xfId="10794" xr:uid="{00000000-0005-0000-0000-00002E910000}"/>
    <cellStyle name="适中 4 18 6 2 3" xfId="37803" xr:uid="{00000000-0005-0000-0000-00002F910000}"/>
    <cellStyle name="适中 4 18 6 3" xfId="32613" xr:uid="{00000000-0005-0000-0000-000030910000}"/>
    <cellStyle name="适中 4 18 6 4" xfId="37804" xr:uid="{00000000-0005-0000-0000-000031910000}"/>
    <cellStyle name="适中 4 18 6 5" xfId="37805" xr:uid="{00000000-0005-0000-0000-000032910000}"/>
    <cellStyle name="适中 4 18 6 6" xfId="37806" xr:uid="{00000000-0005-0000-0000-000033910000}"/>
    <cellStyle name="适中 4 18 6 7" xfId="37807" xr:uid="{00000000-0005-0000-0000-000034910000}"/>
    <cellStyle name="适中 4 18 6 8" xfId="37808" xr:uid="{00000000-0005-0000-0000-000035910000}"/>
    <cellStyle name="适中 4 18 7" xfId="6701" xr:uid="{00000000-0005-0000-0000-000036910000}"/>
    <cellStyle name="适中 4 18 8" xfId="35546" xr:uid="{00000000-0005-0000-0000-000037910000}"/>
    <cellStyle name="适中 4 18 9" xfId="35548" xr:uid="{00000000-0005-0000-0000-000038910000}"/>
    <cellStyle name="适中 4 18 9 2" xfId="35550" xr:uid="{00000000-0005-0000-0000-000039910000}"/>
    <cellStyle name="适中 4 18 9 3" xfId="35558" xr:uid="{00000000-0005-0000-0000-00003A910000}"/>
    <cellStyle name="适中 4 19" xfId="8747" xr:uid="{00000000-0005-0000-0000-00003B910000}"/>
    <cellStyle name="适中 4 19 10" xfId="37809" xr:uid="{00000000-0005-0000-0000-00003C910000}"/>
    <cellStyle name="适中 4 19 11" xfId="37810" xr:uid="{00000000-0005-0000-0000-00003D910000}"/>
    <cellStyle name="适中 4 19 12" xfId="37811" xr:uid="{00000000-0005-0000-0000-00003E910000}"/>
    <cellStyle name="适中 4 19 13" xfId="37812" xr:uid="{00000000-0005-0000-0000-00003F910000}"/>
    <cellStyle name="适中 4 19 14" xfId="37813" xr:uid="{00000000-0005-0000-0000-000040910000}"/>
    <cellStyle name="适中 4 19 2" xfId="3501" xr:uid="{00000000-0005-0000-0000-000041910000}"/>
    <cellStyle name="适中 4 19 3" xfId="3512" xr:uid="{00000000-0005-0000-0000-000042910000}"/>
    <cellStyle name="适中 4 19 4" xfId="3424" xr:uid="{00000000-0005-0000-0000-000043910000}"/>
    <cellStyle name="适中 4 19 5" xfId="3446" xr:uid="{00000000-0005-0000-0000-000044910000}"/>
    <cellStyle name="适中 4 19 5 10" xfId="37814" xr:uid="{00000000-0005-0000-0000-000045910000}"/>
    <cellStyle name="适中 4 19 5 11" xfId="37815" xr:uid="{00000000-0005-0000-0000-000046910000}"/>
    <cellStyle name="适中 4 19 5 2" xfId="37816" xr:uid="{00000000-0005-0000-0000-000047910000}"/>
    <cellStyle name="适中 4 19 5 2 2" xfId="37817" xr:uid="{00000000-0005-0000-0000-000048910000}"/>
    <cellStyle name="适中 4 19 5 2 2 2" xfId="37818" xr:uid="{00000000-0005-0000-0000-000049910000}"/>
    <cellStyle name="适中 4 19 5 2 2 3" xfId="37819" xr:uid="{00000000-0005-0000-0000-00004A910000}"/>
    <cellStyle name="适中 4 19 5 2 3" xfId="37820" xr:uid="{00000000-0005-0000-0000-00004B910000}"/>
    <cellStyle name="适中 4 19 5 2 4" xfId="37821" xr:uid="{00000000-0005-0000-0000-00004C910000}"/>
    <cellStyle name="适中 4 19 5 2 5" xfId="37822" xr:uid="{00000000-0005-0000-0000-00004D910000}"/>
    <cellStyle name="适中 4 19 5 2 6" xfId="11359" xr:uid="{00000000-0005-0000-0000-00004E910000}"/>
    <cellStyle name="适中 4 19 5 2 7" xfId="9569" xr:uid="{00000000-0005-0000-0000-00004F910000}"/>
    <cellStyle name="适中 4 19 5 2 8" xfId="9573" xr:uid="{00000000-0005-0000-0000-000050910000}"/>
    <cellStyle name="适中 4 19 5 3" xfId="37823" xr:uid="{00000000-0005-0000-0000-000051910000}"/>
    <cellStyle name="适中 4 19 5 4" xfId="37824" xr:uid="{00000000-0005-0000-0000-000052910000}"/>
    <cellStyle name="适中 4 19 5 5" xfId="37825" xr:uid="{00000000-0005-0000-0000-000053910000}"/>
    <cellStyle name="适中 4 19 5 6" xfId="37826" xr:uid="{00000000-0005-0000-0000-000054910000}"/>
    <cellStyle name="适中 4 19 5 6 2" xfId="37827" xr:uid="{00000000-0005-0000-0000-000055910000}"/>
    <cellStyle name="适中 4 19 5 6 3" xfId="25939" xr:uid="{00000000-0005-0000-0000-000056910000}"/>
    <cellStyle name="适中 4 19 5 7" xfId="17716" xr:uid="{00000000-0005-0000-0000-000057910000}"/>
    <cellStyle name="适中 4 19 5 8" xfId="17719" xr:uid="{00000000-0005-0000-0000-000058910000}"/>
    <cellStyle name="适中 4 19 5 9" xfId="17723" xr:uid="{00000000-0005-0000-0000-000059910000}"/>
    <cellStyle name="适中 4 19 6" xfId="3529" xr:uid="{00000000-0005-0000-0000-00005A910000}"/>
    <cellStyle name="适中 4 19 6 2" xfId="37828" xr:uid="{00000000-0005-0000-0000-00005B910000}"/>
    <cellStyle name="适中 4 19 6 2 2" xfId="37829" xr:uid="{00000000-0005-0000-0000-00005C910000}"/>
    <cellStyle name="适中 4 19 6 2 3" xfId="37830" xr:uid="{00000000-0005-0000-0000-00005D910000}"/>
    <cellStyle name="适中 4 19 6 3" xfId="37831" xr:uid="{00000000-0005-0000-0000-00005E910000}"/>
    <cellStyle name="适中 4 19 6 4" xfId="37832" xr:uid="{00000000-0005-0000-0000-00005F910000}"/>
    <cellStyle name="适中 4 19 6 5" xfId="37833" xr:uid="{00000000-0005-0000-0000-000060910000}"/>
    <cellStyle name="适中 4 19 6 6" xfId="37834" xr:uid="{00000000-0005-0000-0000-000061910000}"/>
    <cellStyle name="适中 4 19 6 7" xfId="37835" xr:uid="{00000000-0005-0000-0000-000062910000}"/>
    <cellStyle name="适中 4 19 6 8" xfId="32290" xr:uid="{00000000-0005-0000-0000-000063910000}"/>
    <cellStyle name="适中 4 19 7" xfId="3536" xr:uid="{00000000-0005-0000-0000-000064910000}"/>
    <cellStyle name="适中 4 19 8" xfId="5381" xr:uid="{00000000-0005-0000-0000-000065910000}"/>
    <cellStyle name="适中 4 19 9" xfId="1024" xr:uid="{00000000-0005-0000-0000-000066910000}"/>
    <cellStyle name="适中 4 19 9 2" xfId="37836" xr:uid="{00000000-0005-0000-0000-000067910000}"/>
    <cellStyle name="适中 4 19 9 3" xfId="37837" xr:uid="{00000000-0005-0000-0000-000068910000}"/>
    <cellStyle name="适中 4 2" xfId="6645" xr:uid="{00000000-0005-0000-0000-000069910000}"/>
    <cellStyle name="适中 4 20" xfId="25040" xr:uid="{00000000-0005-0000-0000-00006A910000}"/>
    <cellStyle name="适中 4 20 10" xfId="37838" xr:uid="{00000000-0005-0000-0000-00006B910000}"/>
    <cellStyle name="适中 4 20 11" xfId="37839" xr:uid="{00000000-0005-0000-0000-00006C910000}"/>
    <cellStyle name="适中 4 20 12" xfId="37840" xr:uid="{00000000-0005-0000-0000-00006D910000}"/>
    <cellStyle name="适中 4 20 13" xfId="37841" xr:uid="{00000000-0005-0000-0000-00006E910000}"/>
    <cellStyle name="适中 4 20 14" xfId="16683" xr:uid="{00000000-0005-0000-0000-00006F910000}"/>
    <cellStyle name="适中 4 20 2" xfId="37842" xr:uid="{00000000-0005-0000-0000-000070910000}"/>
    <cellStyle name="适中 4 20 3" xfId="37843" xr:uid="{00000000-0005-0000-0000-000071910000}"/>
    <cellStyle name="适中 4 20 4" xfId="37844" xr:uid="{00000000-0005-0000-0000-000072910000}"/>
    <cellStyle name="适中 4 20 5" xfId="37845" xr:uid="{00000000-0005-0000-0000-000073910000}"/>
    <cellStyle name="适中 4 20 5 10" xfId="37846" xr:uid="{00000000-0005-0000-0000-000074910000}"/>
    <cellStyle name="适中 4 20 5 11" xfId="37847" xr:uid="{00000000-0005-0000-0000-000075910000}"/>
    <cellStyle name="适中 4 20 5 2" xfId="37848" xr:uid="{00000000-0005-0000-0000-000076910000}"/>
    <cellStyle name="适中 4 20 5 2 2" xfId="37849" xr:uid="{00000000-0005-0000-0000-000077910000}"/>
    <cellStyle name="适中 4 20 5 2 2 2" xfId="16534" xr:uid="{00000000-0005-0000-0000-000078910000}"/>
    <cellStyle name="适中 4 20 5 2 2 3" xfId="37850" xr:uid="{00000000-0005-0000-0000-000079910000}"/>
    <cellStyle name="适中 4 20 5 2 3" xfId="37851" xr:uid="{00000000-0005-0000-0000-00007A910000}"/>
    <cellStyle name="适中 4 20 5 2 4" xfId="37852" xr:uid="{00000000-0005-0000-0000-00007B910000}"/>
    <cellStyle name="适中 4 20 5 2 5" xfId="37853" xr:uid="{00000000-0005-0000-0000-00007C910000}"/>
    <cellStyle name="适中 4 20 5 2 6" xfId="37854" xr:uid="{00000000-0005-0000-0000-00007D910000}"/>
    <cellStyle name="适中 4 20 5 2 7" xfId="3135" xr:uid="{00000000-0005-0000-0000-00007E910000}"/>
    <cellStyle name="适中 4 20 5 2 8" xfId="37855" xr:uid="{00000000-0005-0000-0000-00007F910000}"/>
    <cellStyle name="适中 4 20 5 3" xfId="37856" xr:uid="{00000000-0005-0000-0000-000080910000}"/>
    <cellStyle name="适中 4 20 5 4" xfId="37697" xr:uid="{00000000-0005-0000-0000-000081910000}"/>
    <cellStyle name="适中 4 20 5 5" xfId="13006" xr:uid="{00000000-0005-0000-0000-000082910000}"/>
    <cellStyle name="适中 4 20 5 6" xfId="13020" xr:uid="{00000000-0005-0000-0000-000083910000}"/>
    <cellStyle name="适中 4 20 5 6 2" xfId="37857" xr:uid="{00000000-0005-0000-0000-000084910000}"/>
    <cellStyle name="适中 4 20 5 6 3" xfId="37858" xr:uid="{00000000-0005-0000-0000-000085910000}"/>
    <cellStyle name="适中 4 20 5 7" xfId="30640" xr:uid="{00000000-0005-0000-0000-000086910000}"/>
    <cellStyle name="适中 4 20 5 8" xfId="30642" xr:uid="{00000000-0005-0000-0000-000087910000}"/>
    <cellStyle name="适中 4 20 5 9" xfId="14534" xr:uid="{00000000-0005-0000-0000-000088910000}"/>
    <cellStyle name="适中 4 20 6" xfId="37859" xr:uid="{00000000-0005-0000-0000-000089910000}"/>
    <cellStyle name="适中 4 20 6 2" xfId="12163" xr:uid="{00000000-0005-0000-0000-00008A910000}"/>
    <cellStyle name="适中 4 20 6 2 2" xfId="4062" xr:uid="{00000000-0005-0000-0000-00008B910000}"/>
    <cellStyle name="适中 4 20 6 2 3" xfId="4071" xr:uid="{00000000-0005-0000-0000-00008C910000}"/>
    <cellStyle name="适中 4 20 6 3" xfId="12172" xr:uid="{00000000-0005-0000-0000-00008D910000}"/>
    <cellStyle name="适中 4 20 6 4" xfId="12180" xr:uid="{00000000-0005-0000-0000-00008E910000}"/>
    <cellStyle name="适中 4 20 6 5" xfId="12189" xr:uid="{00000000-0005-0000-0000-00008F910000}"/>
    <cellStyle name="适中 4 20 6 6" xfId="13039" xr:uid="{00000000-0005-0000-0000-000090910000}"/>
    <cellStyle name="适中 4 20 6 7" xfId="16664" xr:uid="{00000000-0005-0000-0000-000091910000}"/>
    <cellStyle name="适中 4 20 6 8" xfId="30663" xr:uid="{00000000-0005-0000-0000-000092910000}"/>
    <cellStyle name="适中 4 20 7" xfId="37860" xr:uid="{00000000-0005-0000-0000-000093910000}"/>
    <cellStyle name="适中 4 20 8" xfId="15488" xr:uid="{00000000-0005-0000-0000-000094910000}"/>
    <cellStyle name="适中 4 20 9" xfId="18787" xr:uid="{00000000-0005-0000-0000-000095910000}"/>
    <cellStyle name="适中 4 20 9 2" xfId="37861" xr:uid="{00000000-0005-0000-0000-000096910000}"/>
    <cellStyle name="适中 4 20 9 3" xfId="36995" xr:uid="{00000000-0005-0000-0000-000097910000}"/>
    <cellStyle name="适中 4 3" xfId="6652" xr:uid="{00000000-0005-0000-0000-000098910000}"/>
    <cellStyle name="适中 4 4" xfId="325" xr:uid="{00000000-0005-0000-0000-000099910000}"/>
    <cellStyle name="适中 4 5" xfId="600" xr:uid="{00000000-0005-0000-0000-00009A910000}"/>
    <cellStyle name="适中 4 6" xfId="614" xr:uid="{00000000-0005-0000-0000-00009B910000}"/>
    <cellStyle name="适中 4 7" xfId="645" xr:uid="{00000000-0005-0000-0000-00009C910000}"/>
    <cellStyle name="适中 4 8" xfId="2095" xr:uid="{00000000-0005-0000-0000-00009D910000}"/>
    <cellStyle name="适中 4 9" xfId="2099" xr:uid="{00000000-0005-0000-0000-00009E910000}"/>
    <cellStyle name="适中 5" xfId="10079" xr:uid="{00000000-0005-0000-0000-00009F910000}"/>
    <cellStyle name="适中 5 10" xfId="15192" xr:uid="{00000000-0005-0000-0000-0000A0910000}"/>
    <cellStyle name="适中 5 11" xfId="15197" xr:uid="{00000000-0005-0000-0000-0000A1910000}"/>
    <cellStyle name="适中 5 12" xfId="15201" xr:uid="{00000000-0005-0000-0000-0000A2910000}"/>
    <cellStyle name="适中 5 13" xfId="15205" xr:uid="{00000000-0005-0000-0000-0000A3910000}"/>
    <cellStyle name="适中 5 14" xfId="15239" xr:uid="{00000000-0005-0000-0000-0000A4910000}"/>
    <cellStyle name="适中 5 2" xfId="9024" xr:uid="{00000000-0005-0000-0000-0000A5910000}"/>
    <cellStyle name="适中 5 3" xfId="15064" xr:uid="{00000000-0005-0000-0000-0000A6910000}"/>
    <cellStyle name="适中 5 4" xfId="11252" xr:uid="{00000000-0005-0000-0000-0000A7910000}"/>
    <cellStyle name="适中 5 5" xfId="11256" xr:uid="{00000000-0005-0000-0000-0000A8910000}"/>
    <cellStyle name="适中 5 6" xfId="15066" xr:uid="{00000000-0005-0000-0000-0000A9910000}"/>
    <cellStyle name="适中 5 7" xfId="37862" xr:uid="{00000000-0005-0000-0000-0000AA910000}"/>
    <cellStyle name="适中 5 8" xfId="37863" xr:uid="{00000000-0005-0000-0000-0000AB910000}"/>
    <cellStyle name="适中 5 9" xfId="37864" xr:uid="{00000000-0005-0000-0000-0000AC910000}"/>
    <cellStyle name="适中 6" xfId="10081" xr:uid="{00000000-0005-0000-0000-0000AD910000}"/>
    <cellStyle name="适中 6 10" xfId="30372" xr:uid="{00000000-0005-0000-0000-0000AE910000}"/>
    <cellStyle name="适中 6 11" xfId="30375" xr:uid="{00000000-0005-0000-0000-0000AF910000}"/>
    <cellStyle name="适中 6 12" xfId="30378" xr:uid="{00000000-0005-0000-0000-0000B0910000}"/>
    <cellStyle name="适中 6 13" xfId="37027" xr:uid="{00000000-0005-0000-0000-0000B1910000}"/>
    <cellStyle name="适中 6 14" xfId="37029" xr:uid="{00000000-0005-0000-0000-0000B2910000}"/>
    <cellStyle name="适中 6 2" xfId="37865" xr:uid="{00000000-0005-0000-0000-0000B3910000}"/>
    <cellStyle name="适中 6 3" xfId="37866" xr:uid="{00000000-0005-0000-0000-0000B4910000}"/>
    <cellStyle name="适中 6 4" xfId="8187" xr:uid="{00000000-0005-0000-0000-0000B5910000}"/>
    <cellStyle name="适中 6 5" xfId="8196" xr:uid="{00000000-0005-0000-0000-0000B6910000}"/>
    <cellStyle name="适中 6 6" xfId="33428" xr:uid="{00000000-0005-0000-0000-0000B7910000}"/>
    <cellStyle name="适中 6 7" xfId="33430" xr:uid="{00000000-0005-0000-0000-0000B8910000}"/>
    <cellStyle name="适中 6 8" xfId="33432" xr:uid="{00000000-0005-0000-0000-0000B9910000}"/>
    <cellStyle name="适中 6 9" xfId="33435" xr:uid="{00000000-0005-0000-0000-0000BA910000}"/>
    <cellStyle name="适中 7" xfId="37867" xr:uid="{00000000-0005-0000-0000-0000BB910000}"/>
    <cellStyle name="适中 8" xfId="37868" xr:uid="{00000000-0005-0000-0000-0000BC910000}"/>
    <cellStyle name="适中 9" xfId="35709" xr:uid="{00000000-0005-0000-0000-0000BD910000}"/>
    <cellStyle name="連結的儲存格" xfId="37869" xr:uid="{00000000-0005-0000-0000-0000BE910000}"/>
    <cellStyle name="链接单元格 10" xfId="37870" xr:uid="{00000000-0005-0000-0000-0000BF910000}"/>
    <cellStyle name="链接单元格 11" xfId="37871" xr:uid="{00000000-0005-0000-0000-0000C0910000}"/>
    <cellStyle name="链接单元格 12" xfId="37872" xr:uid="{00000000-0005-0000-0000-0000C1910000}"/>
    <cellStyle name="链接单元格 12 10" xfId="37873" xr:uid="{00000000-0005-0000-0000-0000C2910000}"/>
    <cellStyle name="链接单元格 12 11" xfId="37874" xr:uid="{00000000-0005-0000-0000-0000C3910000}"/>
    <cellStyle name="链接单元格 12 12" xfId="37875" xr:uid="{00000000-0005-0000-0000-0000C4910000}"/>
    <cellStyle name="链接单元格 12 13" xfId="31256" xr:uid="{00000000-0005-0000-0000-0000C5910000}"/>
    <cellStyle name="链接单元格 12 14" xfId="31258" xr:uid="{00000000-0005-0000-0000-0000C6910000}"/>
    <cellStyle name="链接单元格 12 2" xfId="24753" xr:uid="{00000000-0005-0000-0000-0000C7910000}"/>
    <cellStyle name="链接单元格 12 3" xfId="24755" xr:uid="{00000000-0005-0000-0000-0000C8910000}"/>
    <cellStyle name="链接单元格 12 4" xfId="24757" xr:uid="{00000000-0005-0000-0000-0000C9910000}"/>
    <cellStyle name="链接单元格 12 5" xfId="24760" xr:uid="{00000000-0005-0000-0000-0000CA910000}"/>
    <cellStyle name="链接单元格 12 5 10" xfId="37876" xr:uid="{00000000-0005-0000-0000-0000CB910000}"/>
    <cellStyle name="链接单元格 12 5 11" xfId="37877" xr:uid="{00000000-0005-0000-0000-0000CC910000}"/>
    <cellStyle name="链接单元格 12 5 2" xfId="24763" xr:uid="{00000000-0005-0000-0000-0000CD910000}"/>
    <cellStyle name="链接单元格 12 5 2 2" xfId="37878" xr:uid="{00000000-0005-0000-0000-0000CE910000}"/>
    <cellStyle name="链接单元格 12 5 2 2 2" xfId="37879" xr:uid="{00000000-0005-0000-0000-0000CF910000}"/>
    <cellStyle name="链接单元格 12 5 2 2 3" xfId="37880" xr:uid="{00000000-0005-0000-0000-0000D0910000}"/>
    <cellStyle name="链接单元格 12 5 2 3" xfId="37881" xr:uid="{00000000-0005-0000-0000-0000D1910000}"/>
    <cellStyle name="链接单元格 12 5 2 4" xfId="37882" xr:uid="{00000000-0005-0000-0000-0000D2910000}"/>
    <cellStyle name="链接单元格 12 5 2 5" xfId="37883" xr:uid="{00000000-0005-0000-0000-0000D3910000}"/>
    <cellStyle name="链接单元格 12 5 2 6" xfId="37884" xr:uid="{00000000-0005-0000-0000-0000D4910000}"/>
    <cellStyle name="链接单元格 12 5 2 7" xfId="37885" xr:uid="{00000000-0005-0000-0000-0000D5910000}"/>
    <cellStyle name="链接单元格 12 5 2 8" xfId="37886" xr:uid="{00000000-0005-0000-0000-0000D6910000}"/>
    <cellStyle name="链接单元格 12 5 3" xfId="24765" xr:uid="{00000000-0005-0000-0000-0000D7910000}"/>
    <cellStyle name="链接单元格 12 5 4" xfId="10851" xr:uid="{00000000-0005-0000-0000-0000D8910000}"/>
    <cellStyle name="链接单元格 12 5 5" xfId="10855" xr:uid="{00000000-0005-0000-0000-0000D9910000}"/>
    <cellStyle name="链接单元格 12 5 6" xfId="14438" xr:uid="{00000000-0005-0000-0000-0000DA910000}"/>
    <cellStyle name="链接单元格 12 5 6 2" xfId="28384" xr:uid="{00000000-0005-0000-0000-0000DB910000}"/>
    <cellStyle name="链接单元格 12 5 6 3" xfId="28388" xr:uid="{00000000-0005-0000-0000-0000DC910000}"/>
    <cellStyle name="链接单元格 12 5 7" xfId="14440" xr:uid="{00000000-0005-0000-0000-0000DD910000}"/>
    <cellStyle name="链接单元格 12 5 8" xfId="14444" xr:uid="{00000000-0005-0000-0000-0000DE910000}"/>
    <cellStyle name="链接单元格 12 5 9" xfId="37887" xr:uid="{00000000-0005-0000-0000-0000DF910000}"/>
    <cellStyle name="链接单元格 12 6" xfId="21813" xr:uid="{00000000-0005-0000-0000-0000E0910000}"/>
    <cellStyle name="链接单元格 12 6 2" xfId="37888" xr:uid="{00000000-0005-0000-0000-0000E1910000}"/>
    <cellStyle name="链接单元格 12 6 2 2" xfId="27188" xr:uid="{00000000-0005-0000-0000-0000E2910000}"/>
    <cellStyle name="链接单元格 12 6 2 3" xfId="27190" xr:uid="{00000000-0005-0000-0000-0000E3910000}"/>
    <cellStyle name="链接单元格 12 6 3" xfId="37889" xr:uid="{00000000-0005-0000-0000-0000E4910000}"/>
    <cellStyle name="链接单元格 12 6 4" xfId="37890" xr:uid="{00000000-0005-0000-0000-0000E5910000}"/>
    <cellStyle name="链接单元格 12 6 5" xfId="37891" xr:uid="{00000000-0005-0000-0000-0000E6910000}"/>
    <cellStyle name="链接单元格 12 6 6" xfId="37892" xr:uid="{00000000-0005-0000-0000-0000E7910000}"/>
    <cellStyle name="链接单元格 12 6 7" xfId="37893" xr:uid="{00000000-0005-0000-0000-0000E8910000}"/>
    <cellStyle name="链接单元格 12 6 8" xfId="25614" xr:uid="{00000000-0005-0000-0000-0000E9910000}"/>
    <cellStyle name="链接单元格 12 7" xfId="18753" xr:uid="{00000000-0005-0000-0000-0000EA910000}"/>
    <cellStyle name="链接单元格 12 8" xfId="24769" xr:uid="{00000000-0005-0000-0000-0000EB910000}"/>
    <cellStyle name="链接单元格 12 9" xfId="37894" xr:uid="{00000000-0005-0000-0000-0000EC910000}"/>
    <cellStyle name="链接单元格 12 9 2" xfId="37895" xr:uid="{00000000-0005-0000-0000-0000ED910000}"/>
    <cellStyle name="链接单元格 12 9 3" xfId="37896" xr:uid="{00000000-0005-0000-0000-0000EE910000}"/>
    <cellStyle name="链接单元格 13" xfId="37897" xr:uid="{00000000-0005-0000-0000-0000EF910000}"/>
    <cellStyle name="链接单元格 14" xfId="37898" xr:uid="{00000000-0005-0000-0000-0000F0910000}"/>
    <cellStyle name="链接单元格 15" xfId="37899" xr:uid="{00000000-0005-0000-0000-0000F1910000}"/>
    <cellStyle name="链接单元格 16" xfId="37900" xr:uid="{00000000-0005-0000-0000-0000F2910000}"/>
    <cellStyle name="链接单元格 16 10" xfId="4667" xr:uid="{00000000-0005-0000-0000-0000F3910000}"/>
    <cellStyle name="链接单元格 16 11" xfId="4670" xr:uid="{00000000-0005-0000-0000-0000F4910000}"/>
    <cellStyle name="链接单元格 16 12" xfId="4674" xr:uid="{00000000-0005-0000-0000-0000F5910000}"/>
    <cellStyle name="链接单元格 16 13" xfId="4678" xr:uid="{00000000-0005-0000-0000-0000F6910000}"/>
    <cellStyle name="链接单元格 16 14" xfId="4684" xr:uid="{00000000-0005-0000-0000-0000F7910000}"/>
    <cellStyle name="链接单元格 16 2" xfId="24783" xr:uid="{00000000-0005-0000-0000-0000F8910000}"/>
    <cellStyle name="链接单元格 16 3" xfId="28441" xr:uid="{00000000-0005-0000-0000-0000F9910000}"/>
    <cellStyle name="链接单元格 16 4" xfId="28444" xr:uid="{00000000-0005-0000-0000-0000FA910000}"/>
    <cellStyle name="链接单元格 16 5" xfId="28447" xr:uid="{00000000-0005-0000-0000-0000FB910000}"/>
    <cellStyle name="链接单元格 16 5 10" xfId="37901" xr:uid="{00000000-0005-0000-0000-0000FC910000}"/>
    <cellStyle name="链接单元格 16 5 11" xfId="37902" xr:uid="{00000000-0005-0000-0000-0000FD910000}"/>
    <cellStyle name="链接单元格 16 5 2" xfId="37903" xr:uid="{00000000-0005-0000-0000-0000FE910000}"/>
    <cellStyle name="链接单元格 16 5 2 2" xfId="37904" xr:uid="{00000000-0005-0000-0000-0000FF910000}"/>
    <cellStyle name="链接单元格 16 5 2 2 2" xfId="37905" xr:uid="{00000000-0005-0000-0000-000000920000}"/>
    <cellStyle name="链接单元格 16 5 2 2 3" xfId="19856" xr:uid="{00000000-0005-0000-0000-000001920000}"/>
    <cellStyle name="链接单元格 16 5 2 3" xfId="37906" xr:uid="{00000000-0005-0000-0000-000002920000}"/>
    <cellStyle name="链接单元格 16 5 2 4" xfId="37907" xr:uid="{00000000-0005-0000-0000-000003920000}"/>
    <cellStyle name="链接单元格 16 5 2 5" xfId="37908" xr:uid="{00000000-0005-0000-0000-000004920000}"/>
    <cellStyle name="链接单元格 16 5 2 6" xfId="37909" xr:uid="{00000000-0005-0000-0000-000005920000}"/>
    <cellStyle name="链接单元格 16 5 2 7" xfId="37910" xr:uid="{00000000-0005-0000-0000-000006920000}"/>
    <cellStyle name="链接单元格 16 5 2 8" xfId="37911" xr:uid="{00000000-0005-0000-0000-000007920000}"/>
    <cellStyle name="链接单元格 16 5 3" xfId="37912" xr:uid="{00000000-0005-0000-0000-000008920000}"/>
    <cellStyle name="链接单元格 16 5 4" xfId="37913" xr:uid="{00000000-0005-0000-0000-000009920000}"/>
    <cellStyle name="链接单元格 16 5 5" xfId="37914" xr:uid="{00000000-0005-0000-0000-00000A920000}"/>
    <cellStyle name="链接单元格 16 5 6" xfId="37915" xr:uid="{00000000-0005-0000-0000-00000B920000}"/>
    <cellStyle name="链接单元格 16 5 6 2" xfId="17014" xr:uid="{00000000-0005-0000-0000-00000C920000}"/>
    <cellStyle name="链接单元格 16 5 6 3" xfId="17018" xr:uid="{00000000-0005-0000-0000-00000D920000}"/>
    <cellStyle name="链接单元格 16 5 7" xfId="37916" xr:uid="{00000000-0005-0000-0000-00000E920000}"/>
    <cellStyle name="链接单元格 16 5 8" xfId="37917" xr:uid="{00000000-0005-0000-0000-00000F920000}"/>
    <cellStyle name="链接单元格 16 5 9" xfId="37918" xr:uid="{00000000-0005-0000-0000-000010920000}"/>
    <cellStyle name="链接单元格 16 6" xfId="24544" xr:uid="{00000000-0005-0000-0000-000011920000}"/>
    <cellStyle name="链接单元格 16 6 2" xfId="32626" xr:uid="{00000000-0005-0000-0000-000012920000}"/>
    <cellStyle name="链接单元格 16 6 2 2" xfId="7350" xr:uid="{00000000-0005-0000-0000-000013920000}"/>
    <cellStyle name="链接单元格 16 6 2 3" xfId="7357" xr:uid="{00000000-0005-0000-0000-000014920000}"/>
    <cellStyle name="链接单元格 16 6 3" xfId="32630" xr:uid="{00000000-0005-0000-0000-000015920000}"/>
    <cellStyle name="链接单元格 16 6 4" xfId="26731" xr:uid="{00000000-0005-0000-0000-000016920000}"/>
    <cellStyle name="链接单元格 16 6 5" xfId="12254" xr:uid="{00000000-0005-0000-0000-000017920000}"/>
    <cellStyle name="链接单元格 16 6 6" xfId="12271" xr:uid="{00000000-0005-0000-0000-000018920000}"/>
    <cellStyle name="链接单元格 16 6 7" xfId="10098" xr:uid="{00000000-0005-0000-0000-000019920000}"/>
    <cellStyle name="链接单元格 16 6 8" xfId="10105" xr:uid="{00000000-0005-0000-0000-00001A920000}"/>
    <cellStyle name="链接单元格 16 7" xfId="28450" xr:uid="{00000000-0005-0000-0000-00001B920000}"/>
    <cellStyle name="链接单元格 16 8" xfId="28453" xr:uid="{00000000-0005-0000-0000-00001C920000}"/>
    <cellStyle name="链接单元格 16 9" xfId="16075" xr:uid="{00000000-0005-0000-0000-00001D920000}"/>
    <cellStyle name="链接单元格 16 9 2" xfId="11347" xr:uid="{00000000-0005-0000-0000-00001E920000}"/>
    <cellStyle name="链接单元格 16 9 3" xfId="11354" xr:uid="{00000000-0005-0000-0000-00001F920000}"/>
    <cellStyle name="链接单元格 17" xfId="37919" xr:uid="{00000000-0005-0000-0000-000020920000}"/>
    <cellStyle name="链接单元格 17 10" xfId="37920" xr:uid="{00000000-0005-0000-0000-000021920000}"/>
    <cellStyle name="链接单元格 17 11" xfId="37921" xr:uid="{00000000-0005-0000-0000-000022920000}"/>
    <cellStyle name="链接单元格 17 12" xfId="37922" xr:uid="{00000000-0005-0000-0000-000023920000}"/>
    <cellStyle name="链接单元格 17 13" xfId="37923" xr:uid="{00000000-0005-0000-0000-000024920000}"/>
    <cellStyle name="链接单元格 17 14" xfId="37924" xr:uid="{00000000-0005-0000-0000-000025920000}"/>
    <cellStyle name="链接单元格 17 2" xfId="37925" xr:uid="{00000000-0005-0000-0000-000026920000}"/>
    <cellStyle name="链接单元格 17 3" xfId="32635" xr:uid="{00000000-0005-0000-0000-000027920000}"/>
    <cellStyle name="链接单元格 17 4" xfId="32637" xr:uid="{00000000-0005-0000-0000-000028920000}"/>
    <cellStyle name="链接单元格 17 5" xfId="16536" xr:uid="{00000000-0005-0000-0000-000029920000}"/>
    <cellStyle name="链接单元格 17 5 10" xfId="7467" xr:uid="{00000000-0005-0000-0000-00002A920000}"/>
    <cellStyle name="链接单元格 17 5 11" xfId="7474" xr:uid="{00000000-0005-0000-0000-00002B920000}"/>
    <cellStyle name="链接单元格 17 5 2" xfId="35007" xr:uid="{00000000-0005-0000-0000-00002C920000}"/>
    <cellStyle name="链接单元格 17 5 2 2" xfId="37926" xr:uid="{00000000-0005-0000-0000-00002D920000}"/>
    <cellStyle name="链接单元格 17 5 2 2 2" xfId="37927" xr:uid="{00000000-0005-0000-0000-00002E920000}"/>
    <cellStyle name="链接单元格 17 5 2 2 3" xfId="37928" xr:uid="{00000000-0005-0000-0000-00002F920000}"/>
    <cellStyle name="链接单元格 17 5 2 3" xfId="37929" xr:uid="{00000000-0005-0000-0000-000030920000}"/>
    <cellStyle name="链接单元格 17 5 2 4" xfId="16195" xr:uid="{00000000-0005-0000-0000-000031920000}"/>
    <cellStyle name="链接单元格 17 5 2 5" xfId="14299" xr:uid="{00000000-0005-0000-0000-000032920000}"/>
    <cellStyle name="链接单元格 17 5 2 6" xfId="14305" xr:uid="{00000000-0005-0000-0000-000033920000}"/>
    <cellStyle name="链接单元格 17 5 2 7" xfId="16261" xr:uid="{00000000-0005-0000-0000-000034920000}"/>
    <cellStyle name="链接单元格 17 5 2 8" xfId="16264" xr:uid="{00000000-0005-0000-0000-000035920000}"/>
    <cellStyle name="链接单元格 17 5 3" xfId="35011" xr:uid="{00000000-0005-0000-0000-000036920000}"/>
    <cellStyle name="链接单元格 17 5 4" xfId="37930" xr:uid="{00000000-0005-0000-0000-000037920000}"/>
    <cellStyle name="链接单元格 17 5 5" xfId="15555" xr:uid="{00000000-0005-0000-0000-000038920000}"/>
    <cellStyle name="链接单元格 17 5 6" xfId="15557" xr:uid="{00000000-0005-0000-0000-000039920000}"/>
    <cellStyle name="链接单元格 17 5 6 2" xfId="37931" xr:uid="{00000000-0005-0000-0000-00003A920000}"/>
    <cellStyle name="链接单元格 17 5 6 3" xfId="37932" xr:uid="{00000000-0005-0000-0000-00003B920000}"/>
    <cellStyle name="链接单元格 17 5 7" xfId="13156" xr:uid="{00000000-0005-0000-0000-00003C920000}"/>
    <cellStyle name="链接单元格 17 5 8" xfId="13184" xr:uid="{00000000-0005-0000-0000-00003D920000}"/>
    <cellStyle name="链接单元格 17 5 9" xfId="13187" xr:uid="{00000000-0005-0000-0000-00003E920000}"/>
    <cellStyle name="链接单元格 17 6" xfId="16540" xr:uid="{00000000-0005-0000-0000-00003F920000}"/>
    <cellStyle name="链接单元格 17 6 2" xfId="32639" xr:uid="{00000000-0005-0000-0000-000040920000}"/>
    <cellStyle name="链接单元格 17 6 2 2" xfId="23532" xr:uid="{00000000-0005-0000-0000-000041920000}"/>
    <cellStyle name="链接单元格 17 6 2 3" xfId="23536" xr:uid="{00000000-0005-0000-0000-000042920000}"/>
    <cellStyle name="链接单元格 17 6 3" xfId="32641" xr:uid="{00000000-0005-0000-0000-000043920000}"/>
    <cellStyle name="链接单元格 17 6 4" xfId="32643" xr:uid="{00000000-0005-0000-0000-000044920000}"/>
    <cellStyle name="链接单元格 17 6 5" xfId="15562" xr:uid="{00000000-0005-0000-0000-000045920000}"/>
    <cellStyle name="链接单元格 17 6 6" xfId="15565" xr:uid="{00000000-0005-0000-0000-000046920000}"/>
    <cellStyle name="链接单元格 17 6 7" xfId="13205" xr:uid="{00000000-0005-0000-0000-000047920000}"/>
    <cellStyle name="链接单元格 17 6 8" xfId="13227" xr:uid="{00000000-0005-0000-0000-000048920000}"/>
    <cellStyle name="链接单元格 17 7" xfId="32645" xr:uid="{00000000-0005-0000-0000-000049920000}"/>
    <cellStyle name="链接单元格 17 8" xfId="32656" xr:uid="{00000000-0005-0000-0000-00004A920000}"/>
    <cellStyle name="链接单元格 17 9" xfId="32659" xr:uid="{00000000-0005-0000-0000-00004B920000}"/>
    <cellStyle name="链接单元格 17 9 2" xfId="37933" xr:uid="{00000000-0005-0000-0000-00004C920000}"/>
    <cellStyle name="链接单元格 17 9 3" xfId="37934" xr:uid="{00000000-0005-0000-0000-00004D920000}"/>
    <cellStyle name="链接单元格 18" xfId="37935" xr:uid="{00000000-0005-0000-0000-00004E920000}"/>
    <cellStyle name="链接单元格 18 10" xfId="37936" xr:uid="{00000000-0005-0000-0000-00004F920000}"/>
    <cellStyle name="链接单元格 18 11" xfId="37937" xr:uid="{00000000-0005-0000-0000-000050920000}"/>
    <cellStyle name="链接单元格 18 12" xfId="37938" xr:uid="{00000000-0005-0000-0000-000051920000}"/>
    <cellStyle name="链接单元格 18 13" xfId="37939" xr:uid="{00000000-0005-0000-0000-000052920000}"/>
    <cellStyle name="链接单元格 18 14" xfId="37940" xr:uid="{00000000-0005-0000-0000-000053920000}"/>
    <cellStyle name="链接单元格 18 2" xfId="37941" xr:uid="{00000000-0005-0000-0000-000054920000}"/>
    <cellStyle name="链接单元格 18 3" xfId="21303" xr:uid="{00000000-0005-0000-0000-000055920000}"/>
    <cellStyle name="链接单元格 18 4" xfId="21305" xr:uid="{00000000-0005-0000-0000-000056920000}"/>
    <cellStyle name="链接单元格 18 5" xfId="37942" xr:uid="{00000000-0005-0000-0000-000057920000}"/>
    <cellStyle name="链接单元格 18 5 10" xfId="37943" xr:uid="{00000000-0005-0000-0000-000058920000}"/>
    <cellStyle name="链接单元格 18 5 11" xfId="35867" xr:uid="{00000000-0005-0000-0000-000059920000}"/>
    <cellStyle name="链接单元格 18 5 2" xfId="37944" xr:uid="{00000000-0005-0000-0000-00005A920000}"/>
    <cellStyle name="链接单元格 18 5 2 2" xfId="37945" xr:uid="{00000000-0005-0000-0000-00005B920000}"/>
    <cellStyle name="链接单元格 18 5 2 2 2" xfId="28370" xr:uid="{00000000-0005-0000-0000-00005C920000}"/>
    <cellStyle name="链接单元格 18 5 2 2 3" xfId="3720" xr:uid="{00000000-0005-0000-0000-00005D920000}"/>
    <cellStyle name="链接单元格 18 5 2 3" xfId="37946" xr:uid="{00000000-0005-0000-0000-00005E920000}"/>
    <cellStyle name="链接单元格 18 5 2 4" xfId="37947" xr:uid="{00000000-0005-0000-0000-00005F920000}"/>
    <cellStyle name="链接单元格 18 5 2 5" xfId="37948" xr:uid="{00000000-0005-0000-0000-000060920000}"/>
    <cellStyle name="链接单元格 18 5 2 6" xfId="37949" xr:uid="{00000000-0005-0000-0000-000061920000}"/>
    <cellStyle name="链接单元格 18 5 2 7" xfId="37950" xr:uid="{00000000-0005-0000-0000-000062920000}"/>
    <cellStyle name="链接单元格 18 5 2 8" xfId="37951" xr:uid="{00000000-0005-0000-0000-000063920000}"/>
    <cellStyle name="链接单元格 18 5 3" xfId="37952" xr:uid="{00000000-0005-0000-0000-000064920000}"/>
    <cellStyle name="链接单元格 18 5 4" xfId="37953" xr:uid="{00000000-0005-0000-0000-000065920000}"/>
    <cellStyle name="链接单元格 18 5 5" xfId="37954" xr:uid="{00000000-0005-0000-0000-000066920000}"/>
    <cellStyle name="链接单元格 18 5 6" xfId="37955" xr:uid="{00000000-0005-0000-0000-000067920000}"/>
    <cellStyle name="链接单元格 18 5 6 2" xfId="37956" xr:uid="{00000000-0005-0000-0000-000068920000}"/>
    <cellStyle name="链接单元格 18 5 6 3" xfId="37957" xr:uid="{00000000-0005-0000-0000-000069920000}"/>
    <cellStyle name="链接单元格 18 5 7" xfId="37958" xr:uid="{00000000-0005-0000-0000-00006A920000}"/>
    <cellStyle name="链接单元格 18 5 8" xfId="37959" xr:uid="{00000000-0005-0000-0000-00006B920000}"/>
    <cellStyle name="链接单元格 18 5 9" xfId="37960" xr:uid="{00000000-0005-0000-0000-00006C920000}"/>
    <cellStyle name="链接单元格 18 6" xfId="37961" xr:uid="{00000000-0005-0000-0000-00006D920000}"/>
    <cellStyle name="链接单元格 18 6 2" xfId="3857" xr:uid="{00000000-0005-0000-0000-00006E920000}"/>
    <cellStyle name="链接单元格 18 6 2 2" xfId="37962" xr:uid="{00000000-0005-0000-0000-00006F920000}"/>
    <cellStyle name="链接单元格 18 6 2 3" xfId="37963" xr:uid="{00000000-0005-0000-0000-000070920000}"/>
    <cellStyle name="链接单元格 18 6 3" xfId="3892" xr:uid="{00000000-0005-0000-0000-000071920000}"/>
    <cellStyle name="链接单元格 18 6 4" xfId="4996" xr:uid="{00000000-0005-0000-0000-000072920000}"/>
    <cellStyle name="链接单元格 18 6 5" xfId="11996" xr:uid="{00000000-0005-0000-0000-000073920000}"/>
    <cellStyle name="链接单元格 18 6 6" xfId="4168" xr:uid="{00000000-0005-0000-0000-000074920000}"/>
    <cellStyle name="链接单元格 18 6 7" xfId="4178" xr:uid="{00000000-0005-0000-0000-000075920000}"/>
    <cellStyle name="链接单元格 18 6 8" xfId="12013" xr:uid="{00000000-0005-0000-0000-000076920000}"/>
    <cellStyle name="链接单元格 18 7" xfId="37964" xr:uid="{00000000-0005-0000-0000-000077920000}"/>
    <cellStyle name="链接单元格 18 8" xfId="37965" xr:uid="{00000000-0005-0000-0000-000078920000}"/>
    <cellStyle name="链接单元格 18 9" xfId="37966" xr:uid="{00000000-0005-0000-0000-000079920000}"/>
    <cellStyle name="链接单元格 18 9 2" xfId="37967" xr:uid="{00000000-0005-0000-0000-00007A920000}"/>
    <cellStyle name="链接单元格 18 9 3" xfId="37968" xr:uid="{00000000-0005-0000-0000-00007B920000}"/>
    <cellStyle name="链接单元格 19" xfId="4803" xr:uid="{00000000-0005-0000-0000-00007C920000}"/>
    <cellStyle name="链接单元格 2" xfId="37969" xr:uid="{00000000-0005-0000-0000-00007D920000}"/>
    <cellStyle name="链接单元格 2 10" xfId="16390" xr:uid="{00000000-0005-0000-0000-00007E920000}"/>
    <cellStyle name="链接单元格 2 11" xfId="16398" xr:uid="{00000000-0005-0000-0000-00007F920000}"/>
    <cellStyle name="链接单元格 2 12" xfId="37970" xr:uid="{00000000-0005-0000-0000-000080920000}"/>
    <cellStyle name="链接单元格 2 13" xfId="37971" xr:uid="{00000000-0005-0000-0000-000081920000}"/>
    <cellStyle name="链接单元格 2 14" xfId="34739" xr:uid="{00000000-0005-0000-0000-000082920000}"/>
    <cellStyle name="链接单元格 2 15" xfId="34743" xr:uid="{00000000-0005-0000-0000-000083920000}"/>
    <cellStyle name="链接单元格 2 16" xfId="25656" xr:uid="{00000000-0005-0000-0000-000084920000}"/>
    <cellStyle name="链接单元格 2 17" xfId="34745" xr:uid="{00000000-0005-0000-0000-000085920000}"/>
    <cellStyle name="链接单元格 2 17 10" xfId="19739" xr:uid="{00000000-0005-0000-0000-000086920000}"/>
    <cellStyle name="链接单元格 2 17 11" xfId="19741" xr:uid="{00000000-0005-0000-0000-000087920000}"/>
    <cellStyle name="链接单元格 2 17 12" xfId="37972" xr:uid="{00000000-0005-0000-0000-000088920000}"/>
    <cellStyle name="链接单元格 2 17 13" xfId="37973" xr:uid="{00000000-0005-0000-0000-000089920000}"/>
    <cellStyle name="链接单元格 2 17 14" xfId="37974" xr:uid="{00000000-0005-0000-0000-00008A920000}"/>
    <cellStyle name="链接单元格 2 17 2" xfId="37975" xr:uid="{00000000-0005-0000-0000-00008B920000}"/>
    <cellStyle name="链接单元格 2 17 3" xfId="37976" xr:uid="{00000000-0005-0000-0000-00008C920000}"/>
    <cellStyle name="链接单元格 2 17 4" xfId="37977" xr:uid="{00000000-0005-0000-0000-00008D920000}"/>
    <cellStyle name="链接单元格 2 17 5" xfId="37978" xr:uid="{00000000-0005-0000-0000-00008E920000}"/>
    <cellStyle name="链接单元格 2 17 5 10" xfId="6847" xr:uid="{00000000-0005-0000-0000-00008F920000}"/>
    <cellStyle name="链接单元格 2 17 5 11" xfId="6850" xr:uid="{00000000-0005-0000-0000-000090920000}"/>
    <cellStyle name="链接单元格 2 17 5 2" xfId="37979" xr:uid="{00000000-0005-0000-0000-000091920000}"/>
    <cellStyle name="链接单元格 2 17 5 2 2" xfId="37980" xr:uid="{00000000-0005-0000-0000-000092920000}"/>
    <cellStyle name="链接单元格 2 17 5 2 2 2" xfId="24168" xr:uid="{00000000-0005-0000-0000-000093920000}"/>
    <cellStyle name="链接单元格 2 17 5 2 2 3" xfId="24170" xr:uid="{00000000-0005-0000-0000-000094920000}"/>
    <cellStyle name="链接单元格 2 17 5 2 3" xfId="23067" xr:uid="{00000000-0005-0000-0000-000095920000}"/>
    <cellStyle name="链接单元格 2 17 5 2 4" xfId="23069" xr:uid="{00000000-0005-0000-0000-000096920000}"/>
    <cellStyle name="链接单元格 2 17 5 2 5" xfId="37981" xr:uid="{00000000-0005-0000-0000-000097920000}"/>
    <cellStyle name="链接单元格 2 17 5 2 6" xfId="37982" xr:uid="{00000000-0005-0000-0000-000098920000}"/>
    <cellStyle name="链接单元格 2 17 5 2 7" xfId="542" xr:uid="{00000000-0005-0000-0000-000099920000}"/>
    <cellStyle name="链接单元格 2 17 5 2 8" xfId="574" xr:uid="{00000000-0005-0000-0000-00009A920000}"/>
    <cellStyle name="链接单元格 2 17 5 3" xfId="37983" xr:uid="{00000000-0005-0000-0000-00009B920000}"/>
    <cellStyle name="链接单元格 2 17 5 4" xfId="37984" xr:uid="{00000000-0005-0000-0000-00009C920000}"/>
    <cellStyle name="链接单元格 2 17 5 5" xfId="37985" xr:uid="{00000000-0005-0000-0000-00009D920000}"/>
    <cellStyle name="链接单元格 2 17 5 6" xfId="37986" xr:uid="{00000000-0005-0000-0000-00009E920000}"/>
    <cellStyle name="链接单元格 2 17 5 6 2" xfId="11078" xr:uid="{00000000-0005-0000-0000-00009F920000}"/>
    <cellStyle name="链接单元格 2 17 5 6 3" xfId="333" xr:uid="{00000000-0005-0000-0000-0000A0920000}"/>
    <cellStyle name="链接单元格 2 17 5 7" xfId="37987" xr:uid="{00000000-0005-0000-0000-0000A1920000}"/>
    <cellStyle name="链接单元格 2 17 5 8" xfId="37988" xr:uid="{00000000-0005-0000-0000-0000A2920000}"/>
    <cellStyle name="链接单元格 2 17 5 9" xfId="37989" xr:uid="{00000000-0005-0000-0000-0000A3920000}"/>
    <cellStyle name="链接单元格 2 17 6" xfId="37990" xr:uid="{00000000-0005-0000-0000-0000A4920000}"/>
    <cellStyle name="链接单元格 2 17 6 2" xfId="28965" xr:uid="{00000000-0005-0000-0000-0000A5920000}"/>
    <cellStyle name="链接单元格 2 17 6 2 2" xfId="25678" xr:uid="{00000000-0005-0000-0000-0000A6920000}"/>
    <cellStyle name="链接单元格 2 17 6 2 3" xfId="37991" xr:uid="{00000000-0005-0000-0000-0000A7920000}"/>
    <cellStyle name="链接单元格 2 17 6 3" xfId="28967" xr:uid="{00000000-0005-0000-0000-0000A8920000}"/>
    <cellStyle name="链接单元格 2 17 6 4" xfId="28969" xr:uid="{00000000-0005-0000-0000-0000A9920000}"/>
    <cellStyle name="链接单元格 2 17 6 5" xfId="14956" xr:uid="{00000000-0005-0000-0000-0000AA920000}"/>
    <cellStyle name="链接单元格 2 17 6 6" xfId="14962" xr:uid="{00000000-0005-0000-0000-0000AB920000}"/>
    <cellStyle name="链接单元格 2 17 6 7" xfId="37992" xr:uid="{00000000-0005-0000-0000-0000AC920000}"/>
    <cellStyle name="链接单元格 2 17 6 8" xfId="37993" xr:uid="{00000000-0005-0000-0000-0000AD920000}"/>
    <cellStyle name="链接单元格 2 17 7" xfId="37994" xr:uid="{00000000-0005-0000-0000-0000AE920000}"/>
    <cellStyle name="链接单元格 2 17 8" xfId="37995" xr:uid="{00000000-0005-0000-0000-0000AF920000}"/>
    <cellStyle name="链接单元格 2 17 9" xfId="37996" xr:uid="{00000000-0005-0000-0000-0000B0920000}"/>
    <cellStyle name="链接单元格 2 17 9 2" xfId="37997" xr:uid="{00000000-0005-0000-0000-0000B1920000}"/>
    <cellStyle name="链接单元格 2 17 9 3" xfId="25763" xr:uid="{00000000-0005-0000-0000-0000B2920000}"/>
    <cellStyle name="链接单元格 2 18" xfId="10341" xr:uid="{00000000-0005-0000-0000-0000B3920000}"/>
    <cellStyle name="链接单元格 2 18 10" xfId="11285" xr:uid="{00000000-0005-0000-0000-0000B4920000}"/>
    <cellStyle name="链接单元格 2 18 11" xfId="11289" xr:uid="{00000000-0005-0000-0000-0000B5920000}"/>
    <cellStyle name="链接单元格 2 18 12" xfId="37998" xr:uid="{00000000-0005-0000-0000-0000B6920000}"/>
    <cellStyle name="链接单元格 2 18 13" xfId="37999" xr:uid="{00000000-0005-0000-0000-0000B7920000}"/>
    <cellStyle name="链接单元格 2 18 14" xfId="32715" xr:uid="{00000000-0005-0000-0000-0000B8920000}"/>
    <cellStyle name="链接单元格 2 18 2" xfId="35256" xr:uid="{00000000-0005-0000-0000-0000B9920000}"/>
    <cellStyle name="链接单元格 2 18 3" xfId="38000" xr:uid="{00000000-0005-0000-0000-0000BA920000}"/>
    <cellStyle name="链接单元格 2 18 4" xfId="38001" xr:uid="{00000000-0005-0000-0000-0000BB920000}"/>
    <cellStyle name="链接单元格 2 18 5" xfId="38002" xr:uid="{00000000-0005-0000-0000-0000BC920000}"/>
    <cellStyle name="链接单元格 2 18 5 10" xfId="38003" xr:uid="{00000000-0005-0000-0000-0000BD920000}"/>
    <cellStyle name="链接单元格 2 18 5 11" xfId="38004" xr:uid="{00000000-0005-0000-0000-0000BE920000}"/>
    <cellStyle name="链接单元格 2 18 5 2" xfId="38005" xr:uid="{00000000-0005-0000-0000-0000BF920000}"/>
    <cellStyle name="链接单元格 2 18 5 2 2" xfId="38006" xr:uid="{00000000-0005-0000-0000-0000C0920000}"/>
    <cellStyle name="链接单元格 2 18 5 2 2 2" xfId="12804" xr:uid="{00000000-0005-0000-0000-0000C1920000}"/>
    <cellStyle name="链接单元格 2 18 5 2 2 3" xfId="38007" xr:uid="{00000000-0005-0000-0000-0000C2920000}"/>
    <cellStyle name="链接单元格 2 18 5 2 3" xfId="15021" xr:uid="{00000000-0005-0000-0000-0000C3920000}"/>
    <cellStyle name="链接单元格 2 18 5 2 4" xfId="15023" xr:uid="{00000000-0005-0000-0000-0000C4920000}"/>
    <cellStyle name="链接单元格 2 18 5 2 5" xfId="15027" xr:uid="{00000000-0005-0000-0000-0000C5920000}"/>
    <cellStyle name="链接单元格 2 18 5 2 6" xfId="15031" xr:uid="{00000000-0005-0000-0000-0000C6920000}"/>
    <cellStyle name="链接单元格 2 18 5 2 7" xfId="15045" xr:uid="{00000000-0005-0000-0000-0000C7920000}"/>
    <cellStyle name="链接单元格 2 18 5 2 8" xfId="4117" xr:uid="{00000000-0005-0000-0000-0000C8920000}"/>
    <cellStyle name="链接单元格 2 18 5 3" xfId="38008" xr:uid="{00000000-0005-0000-0000-0000C9920000}"/>
    <cellStyle name="链接单元格 2 18 5 4" xfId="38009" xr:uid="{00000000-0005-0000-0000-0000CA920000}"/>
    <cellStyle name="链接单元格 2 18 5 5" xfId="38010" xr:uid="{00000000-0005-0000-0000-0000CB920000}"/>
    <cellStyle name="链接单元格 2 18 5 6" xfId="38011" xr:uid="{00000000-0005-0000-0000-0000CC920000}"/>
    <cellStyle name="链接单元格 2 18 5 6 2" xfId="38012" xr:uid="{00000000-0005-0000-0000-0000CD920000}"/>
    <cellStyle name="链接单元格 2 18 5 6 3" xfId="38013" xr:uid="{00000000-0005-0000-0000-0000CE920000}"/>
    <cellStyle name="链接单元格 2 18 5 7" xfId="38014" xr:uid="{00000000-0005-0000-0000-0000CF920000}"/>
    <cellStyle name="链接单元格 2 18 5 8" xfId="38015" xr:uid="{00000000-0005-0000-0000-0000D0920000}"/>
    <cellStyle name="链接单元格 2 18 5 9" xfId="38016" xr:uid="{00000000-0005-0000-0000-0000D1920000}"/>
    <cellStyle name="链接单元格 2 18 6" xfId="38017" xr:uid="{00000000-0005-0000-0000-0000D2920000}"/>
    <cellStyle name="链接单元格 2 18 6 2" xfId="28985" xr:uid="{00000000-0005-0000-0000-0000D3920000}"/>
    <cellStyle name="链接单元格 2 18 6 2 2" xfId="38018" xr:uid="{00000000-0005-0000-0000-0000D4920000}"/>
    <cellStyle name="链接单元格 2 18 6 2 3" xfId="38019" xr:uid="{00000000-0005-0000-0000-0000D5920000}"/>
    <cellStyle name="链接单元格 2 18 6 3" xfId="28987" xr:uid="{00000000-0005-0000-0000-0000D6920000}"/>
    <cellStyle name="链接单元格 2 18 6 4" xfId="28989" xr:uid="{00000000-0005-0000-0000-0000D7920000}"/>
    <cellStyle name="链接单元格 2 18 6 5" xfId="28991" xr:uid="{00000000-0005-0000-0000-0000D8920000}"/>
    <cellStyle name="链接单元格 2 18 6 6" xfId="28993" xr:uid="{00000000-0005-0000-0000-0000D9920000}"/>
    <cellStyle name="链接单元格 2 18 6 7" xfId="38020" xr:uid="{00000000-0005-0000-0000-0000DA920000}"/>
    <cellStyle name="链接单元格 2 18 6 8" xfId="38021" xr:uid="{00000000-0005-0000-0000-0000DB920000}"/>
    <cellStyle name="链接单元格 2 18 7" xfId="38022" xr:uid="{00000000-0005-0000-0000-0000DC920000}"/>
    <cellStyle name="链接单元格 2 18 8" xfId="38023" xr:uid="{00000000-0005-0000-0000-0000DD920000}"/>
    <cellStyle name="链接单元格 2 18 9" xfId="38024" xr:uid="{00000000-0005-0000-0000-0000DE920000}"/>
    <cellStyle name="链接单元格 2 18 9 2" xfId="1688" xr:uid="{00000000-0005-0000-0000-0000DF920000}"/>
    <cellStyle name="链接单元格 2 18 9 3" xfId="1742" xr:uid="{00000000-0005-0000-0000-0000E0920000}"/>
    <cellStyle name="链接单元格 2 19" xfId="10345" xr:uid="{00000000-0005-0000-0000-0000E1920000}"/>
    <cellStyle name="链接单元格 2 19 10" xfId="38025" xr:uid="{00000000-0005-0000-0000-0000E2920000}"/>
    <cellStyle name="链接单元格 2 19 11" xfId="18299" xr:uid="{00000000-0005-0000-0000-0000E3920000}"/>
    <cellStyle name="链接单元格 2 19 12" xfId="38026" xr:uid="{00000000-0005-0000-0000-0000E4920000}"/>
    <cellStyle name="链接单元格 2 19 13" xfId="38027" xr:uid="{00000000-0005-0000-0000-0000E5920000}"/>
    <cellStyle name="链接单元格 2 19 14" xfId="38028" xr:uid="{00000000-0005-0000-0000-0000E6920000}"/>
    <cellStyle name="链接单元格 2 19 2" xfId="38030" xr:uid="{00000000-0005-0000-0000-0000E7920000}"/>
    <cellStyle name="链接单元格 2 19 3" xfId="38032" xr:uid="{00000000-0005-0000-0000-0000E8920000}"/>
    <cellStyle name="链接单元格 2 19 4" xfId="30464" xr:uid="{00000000-0005-0000-0000-0000E9920000}"/>
    <cellStyle name="链接单元格 2 19 5" xfId="30467" xr:uid="{00000000-0005-0000-0000-0000EA920000}"/>
    <cellStyle name="链接单元格 2 19 5 10" xfId="38033" xr:uid="{00000000-0005-0000-0000-0000EB920000}"/>
    <cellStyle name="链接单元格 2 19 5 11" xfId="38034" xr:uid="{00000000-0005-0000-0000-0000EC920000}"/>
    <cellStyle name="链接单元格 2 19 5 2" xfId="38035" xr:uid="{00000000-0005-0000-0000-0000ED920000}"/>
    <cellStyle name="链接单元格 2 19 5 2 2" xfId="19963" xr:uid="{00000000-0005-0000-0000-0000EE920000}"/>
    <cellStyle name="链接单元格 2 19 5 2 2 2" xfId="38036" xr:uid="{00000000-0005-0000-0000-0000EF920000}"/>
    <cellStyle name="链接单元格 2 19 5 2 2 3" xfId="24702" xr:uid="{00000000-0005-0000-0000-0000F0920000}"/>
    <cellStyle name="链接单元格 2 19 5 2 3" xfId="19967" xr:uid="{00000000-0005-0000-0000-0000F1920000}"/>
    <cellStyle name="链接单元格 2 19 5 2 4" xfId="19973" xr:uid="{00000000-0005-0000-0000-0000F2920000}"/>
    <cellStyle name="链接单元格 2 19 5 2 5" xfId="19979" xr:uid="{00000000-0005-0000-0000-0000F3920000}"/>
    <cellStyle name="链接单元格 2 19 5 2 6" xfId="19983" xr:uid="{00000000-0005-0000-0000-0000F4920000}"/>
    <cellStyle name="链接单元格 2 19 5 2 7" xfId="24081" xr:uid="{00000000-0005-0000-0000-0000F5920000}"/>
    <cellStyle name="链接单元格 2 19 5 2 8" xfId="24086" xr:uid="{00000000-0005-0000-0000-0000F6920000}"/>
    <cellStyle name="链接单元格 2 19 5 3" xfId="38037" xr:uid="{00000000-0005-0000-0000-0000F7920000}"/>
    <cellStyle name="链接单元格 2 19 5 4" xfId="38038" xr:uid="{00000000-0005-0000-0000-0000F8920000}"/>
    <cellStyle name="链接单元格 2 19 5 5" xfId="38039" xr:uid="{00000000-0005-0000-0000-0000F9920000}"/>
    <cellStyle name="链接单元格 2 19 5 6" xfId="38040" xr:uid="{00000000-0005-0000-0000-0000FA920000}"/>
    <cellStyle name="链接单元格 2 19 5 6 2" xfId="32787" xr:uid="{00000000-0005-0000-0000-0000FB920000}"/>
    <cellStyle name="链接单元格 2 19 5 6 3" xfId="32789" xr:uid="{00000000-0005-0000-0000-0000FC920000}"/>
    <cellStyle name="链接单元格 2 19 5 7" xfId="38041" xr:uid="{00000000-0005-0000-0000-0000FD920000}"/>
    <cellStyle name="链接单元格 2 19 5 8" xfId="38042" xr:uid="{00000000-0005-0000-0000-0000FE920000}"/>
    <cellStyle name="链接单元格 2 19 5 9" xfId="38043" xr:uid="{00000000-0005-0000-0000-0000FF920000}"/>
    <cellStyle name="链接单元格 2 19 6" xfId="1978" xr:uid="{00000000-0005-0000-0000-000000930000}"/>
    <cellStyle name="链接单元格 2 19 6 2" xfId="38044" xr:uid="{00000000-0005-0000-0000-000001930000}"/>
    <cellStyle name="链接单元格 2 19 6 2 2" xfId="38045" xr:uid="{00000000-0005-0000-0000-000002930000}"/>
    <cellStyle name="链接单元格 2 19 6 2 3" xfId="38046" xr:uid="{00000000-0005-0000-0000-000003930000}"/>
    <cellStyle name="链接单元格 2 19 6 3" xfId="38047" xr:uid="{00000000-0005-0000-0000-000004930000}"/>
    <cellStyle name="链接单元格 2 19 6 4" xfId="38048" xr:uid="{00000000-0005-0000-0000-000005930000}"/>
    <cellStyle name="链接单元格 2 19 6 5" xfId="38049" xr:uid="{00000000-0005-0000-0000-000006930000}"/>
    <cellStyle name="链接单元格 2 19 6 6" xfId="12211" xr:uid="{00000000-0005-0000-0000-000007930000}"/>
    <cellStyle name="链接单元格 2 19 6 7" xfId="4646" xr:uid="{00000000-0005-0000-0000-000008930000}"/>
    <cellStyle name="链接单元格 2 19 6 8" xfId="4654" xr:uid="{00000000-0005-0000-0000-000009930000}"/>
    <cellStyle name="链接单元格 2 19 7" xfId="1984" xr:uid="{00000000-0005-0000-0000-00000A930000}"/>
    <cellStyle name="链接单元格 2 19 8" xfId="2004" xr:uid="{00000000-0005-0000-0000-00000B930000}"/>
    <cellStyle name="链接单元格 2 19 9" xfId="2217" xr:uid="{00000000-0005-0000-0000-00000C930000}"/>
    <cellStyle name="链接单元格 2 19 9 2" xfId="24971" xr:uid="{00000000-0005-0000-0000-00000D930000}"/>
    <cellStyle name="链接单元格 2 19 9 3" xfId="24973" xr:uid="{00000000-0005-0000-0000-00000E930000}"/>
    <cellStyle name="链接单元格 2 2" xfId="16635" xr:uid="{00000000-0005-0000-0000-00000F930000}"/>
    <cellStyle name="链接单元格 2 2 10" xfId="38050" xr:uid="{00000000-0005-0000-0000-000010930000}"/>
    <cellStyle name="链接单元格 2 2 11" xfId="38051" xr:uid="{00000000-0005-0000-0000-000011930000}"/>
    <cellStyle name="链接单元格 2 2 12" xfId="38052" xr:uid="{00000000-0005-0000-0000-000012930000}"/>
    <cellStyle name="链接单元格 2 2 13" xfId="38053" xr:uid="{00000000-0005-0000-0000-000013930000}"/>
    <cellStyle name="链接单元格 2 2 14" xfId="38054" xr:uid="{00000000-0005-0000-0000-000014930000}"/>
    <cellStyle name="链接单元格 2 2 2" xfId="38055" xr:uid="{00000000-0005-0000-0000-000015930000}"/>
    <cellStyle name="链接单元格 2 2 3" xfId="38056" xr:uid="{00000000-0005-0000-0000-000016930000}"/>
    <cellStyle name="链接单元格 2 2 4" xfId="38057" xr:uid="{00000000-0005-0000-0000-000017930000}"/>
    <cellStyle name="链接单元格 2 2 5" xfId="38058" xr:uid="{00000000-0005-0000-0000-000018930000}"/>
    <cellStyle name="链接单元格 2 2 6" xfId="38059" xr:uid="{00000000-0005-0000-0000-000019930000}"/>
    <cellStyle name="链接单元格 2 2 7" xfId="38060" xr:uid="{00000000-0005-0000-0000-00001A930000}"/>
    <cellStyle name="链接单元格 2 2 8" xfId="38061" xr:uid="{00000000-0005-0000-0000-00001B930000}"/>
    <cellStyle name="链接单元格 2 2 9" xfId="35633" xr:uid="{00000000-0005-0000-0000-00001C930000}"/>
    <cellStyle name="链接单元格 2 20" xfId="34742" xr:uid="{00000000-0005-0000-0000-00001D930000}"/>
    <cellStyle name="链接单元格 2 20 10" xfId="565" xr:uid="{00000000-0005-0000-0000-00001E930000}"/>
    <cellStyle name="链接单元格 2 20 11" xfId="410" xr:uid="{00000000-0005-0000-0000-00001F930000}"/>
    <cellStyle name="链接单元格 2 20 12" xfId="38062" xr:uid="{00000000-0005-0000-0000-000020930000}"/>
    <cellStyle name="链接单元格 2 20 13" xfId="38063" xr:uid="{00000000-0005-0000-0000-000021930000}"/>
    <cellStyle name="链接单元格 2 20 14" xfId="38064" xr:uid="{00000000-0005-0000-0000-000022930000}"/>
    <cellStyle name="链接单元格 2 20 2" xfId="38065" xr:uid="{00000000-0005-0000-0000-000023930000}"/>
    <cellStyle name="链接单元格 2 20 3" xfId="38066" xr:uid="{00000000-0005-0000-0000-000024930000}"/>
    <cellStyle name="链接单元格 2 20 4" xfId="38067" xr:uid="{00000000-0005-0000-0000-000025930000}"/>
    <cellStyle name="链接单元格 2 20 5" xfId="38068" xr:uid="{00000000-0005-0000-0000-000026930000}"/>
    <cellStyle name="链接单元格 2 20 5 10" xfId="14051" xr:uid="{00000000-0005-0000-0000-000027930000}"/>
    <cellStyle name="链接单元格 2 20 5 11" xfId="14053" xr:uid="{00000000-0005-0000-0000-000028930000}"/>
    <cellStyle name="链接单元格 2 20 5 2" xfId="38069" xr:uid="{00000000-0005-0000-0000-000029930000}"/>
    <cellStyle name="链接单元格 2 20 5 2 2" xfId="38070" xr:uid="{00000000-0005-0000-0000-00002A930000}"/>
    <cellStyle name="链接单元格 2 20 5 2 2 2" xfId="38071" xr:uid="{00000000-0005-0000-0000-00002B930000}"/>
    <cellStyle name="链接单元格 2 20 5 2 2 3" xfId="38072" xr:uid="{00000000-0005-0000-0000-00002C930000}"/>
    <cellStyle name="链接单元格 2 20 5 2 3" xfId="38073" xr:uid="{00000000-0005-0000-0000-00002D930000}"/>
    <cellStyle name="链接单元格 2 20 5 2 4" xfId="38074" xr:uid="{00000000-0005-0000-0000-00002E930000}"/>
    <cellStyle name="链接单元格 2 20 5 2 5" xfId="38075" xr:uid="{00000000-0005-0000-0000-00002F930000}"/>
    <cellStyle name="链接单元格 2 20 5 2 6" xfId="12184" xr:uid="{00000000-0005-0000-0000-000030930000}"/>
    <cellStyle name="链接单元格 2 20 5 2 7" xfId="13035" xr:uid="{00000000-0005-0000-0000-000031930000}"/>
    <cellStyle name="链接单元格 2 20 5 2 8" xfId="33569" xr:uid="{00000000-0005-0000-0000-000032930000}"/>
    <cellStyle name="链接单元格 2 20 5 3" xfId="38076" xr:uid="{00000000-0005-0000-0000-000033930000}"/>
    <cellStyle name="链接单元格 2 20 5 4" xfId="38077" xr:uid="{00000000-0005-0000-0000-000034930000}"/>
    <cellStyle name="链接单元格 2 20 5 5" xfId="38078" xr:uid="{00000000-0005-0000-0000-000035930000}"/>
    <cellStyle name="链接单元格 2 20 5 6" xfId="38079" xr:uid="{00000000-0005-0000-0000-000036930000}"/>
    <cellStyle name="链接单元格 2 20 5 6 2" xfId="38080" xr:uid="{00000000-0005-0000-0000-000037930000}"/>
    <cellStyle name="链接单元格 2 20 5 6 3" xfId="38081" xr:uid="{00000000-0005-0000-0000-000038930000}"/>
    <cellStyle name="链接单元格 2 20 5 7" xfId="38082" xr:uid="{00000000-0005-0000-0000-000039930000}"/>
    <cellStyle name="链接单元格 2 20 5 8" xfId="7835" xr:uid="{00000000-0005-0000-0000-00003A930000}"/>
    <cellStyle name="链接单元格 2 20 5 9" xfId="7845" xr:uid="{00000000-0005-0000-0000-00003B930000}"/>
    <cellStyle name="链接单元格 2 20 6" xfId="38083" xr:uid="{00000000-0005-0000-0000-00003C930000}"/>
    <cellStyle name="链接单元格 2 20 6 2" xfId="38084" xr:uid="{00000000-0005-0000-0000-00003D930000}"/>
    <cellStyle name="链接单元格 2 20 6 2 2" xfId="38085" xr:uid="{00000000-0005-0000-0000-00003E930000}"/>
    <cellStyle name="链接单元格 2 20 6 2 3" xfId="38086" xr:uid="{00000000-0005-0000-0000-00003F930000}"/>
    <cellStyle name="链接单元格 2 20 6 3" xfId="38087" xr:uid="{00000000-0005-0000-0000-000040930000}"/>
    <cellStyle name="链接单元格 2 20 6 4" xfId="38088" xr:uid="{00000000-0005-0000-0000-000041930000}"/>
    <cellStyle name="链接单元格 2 20 6 5" xfId="38089" xr:uid="{00000000-0005-0000-0000-000042930000}"/>
    <cellStyle name="链接单元格 2 20 6 6" xfId="12454" xr:uid="{00000000-0005-0000-0000-000043930000}"/>
    <cellStyle name="链接单元格 2 20 6 7" xfId="19445" xr:uid="{00000000-0005-0000-0000-000044930000}"/>
    <cellStyle name="链接单元格 2 20 6 8" xfId="19447" xr:uid="{00000000-0005-0000-0000-000045930000}"/>
    <cellStyle name="链接单元格 2 20 7" xfId="38090" xr:uid="{00000000-0005-0000-0000-000046930000}"/>
    <cellStyle name="链接单元格 2 20 8" xfId="38091" xr:uid="{00000000-0005-0000-0000-000047930000}"/>
    <cellStyle name="链接单元格 2 20 9" xfId="38092" xr:uid="{00000000-0005-0000-0000-000048930000}"/>
    <cellStyle name="链接单元格 2 20 9 2" xfId="38093" xr:uid="{00000000-0005-0000-0000-000049930000}"/>
    <cellStyle name="链接单元格 2 20 9 3" xfId="17123" xr:uid="{00000000-0005-0000-0000-00004A930000}"/>
    <cellStyle name="链接单元格 2 3" xfId="16657" xr:uid="{00000000-0005-0000-0000-00004B930000}"/>
    <cellStyle name="链接单元格 2 3 10" xfId="24080" xr:uid="{00000000-0005-0000-0000-00004C930000}"/>
    <cellStyle name="链接单元格 2 3 11" xfId="24085" xr:uid="{00000000-0005-0000-0000-00004D930000}"/>
    <cellStyle name="链接单元格 2 3 12" xfId="38094" xr:uid="{00000000-0005-0000-0000-00004E930000}"/>
    <cellStyle name="链接单元格 2 3 13" xfId="38095" xr:uid="{00000000-0005-0000-0000-00004F930000}"/>
    <cellStyle name="链接单元格 2 3 14" xfId="38096" xr:uid="{00000000-0005-0000-0000-000050930000}"/>
    <cellStyle name="链接单元格 2 3 2" xfId="2518" xr:uid="{00000000-0005-0000-0000-000051930000}"/>
    <cellStyle name="链接单元格 2 3 3" xfId="5125" xr:uid="{00000000-0005-0000-0000-000052930000}"/>
    <cellStyle name="链接单元格 2 3 4" xfId="10725" xr:uid="{00000000-0005-0000-0000-000053930000}"/>
    <cellStyle name="链接单元格 2 3 5" xfId="24091" xr:uid="{00000000-0005-0000-0000-000054930000}"/>
    <cellStyle name="链接单元格 2 3 6" xfId="24094" xr:uid="{00000000-0005-0000-0000-000055930000}"/>
    <cellStyle name="链接单元格 2 3 7" xfId="24098" xr:uid="{00000000-0005-0000-0000-000056930000}"/>
    <cellStyle name="链接单元格 2 3 8" xfId="24101" xr:uid="{00000000-0005-0000-0000-000057930000}"/>
    <cellStyle name="链接单元格 2 3 9" xfId="24104" xr:uid="{00000000-0005-0000-0000-000058930000}"/>
    <cellStyle name="链接单元格 2 4" xfId="6940" xr:uid="{00000000-0005-0000-0000-000059930000}"/>
    <cellStyle name="链接单元格 2 4 10" xfId="25517" xr:uid="{00000000-0005-0000-0000-00005A930000}"/>
    <cellStyle name="链接单元格 2 4 11" xfId="38097" xr:uid="{00000000-0005-0000-0000-00005B930000}"/>
    <cellStyle name="链接单元格 2 4 12" xfId="38098" xr:uid="{00000000-0005-0000-0000-00005C930000}"/>
    <cellStyle name="链接单元格 2 4 13" xfId="38099" xr:uid="{00000000-0005-0000-0000-00005D930000}"/>
    <cellStyle name="链接单元格 2 4 14" xfId="38100" xr:uid="{00000000-0005-0000-0000-00005E930000}"/>
    <cellStyle name="链接单元格 2 4 2" xfId="2531" xr:uid="{00000000-0005-0000-0000-00005F930000}"/>
    <cellStyle name="链接单元格 2 4 3" xfId="2551" xr:uid="{00000000-0005-0000-0000-000060930000}"/>
    <cellStyle name="链接单元格 2 4 4" xfId="24109" xr:uid="{00000000-0005-0000-0000-000061930000}"/>
    <cellStyle name="链接单元格 2 4 5" xfId="24111" xr:uid="{00000000-0005-0000-0000-000062930000}"/>
    <cellStyle name="链接单元格 2 4 6" xfId="24113" xr:uid="{00000000-0005-0000-0000-000063930000}"/>
    <cellStyle name="链接单元格 2 4 7" xfId="24116" xr:uid="{00000000-0005-0000-0000-000064930000}"/>
    <cellStyle name="链接单元格 2 4 8" xfId="24118" xr:uid="{00000000-0005-0000-0000-000065930000}"/>
    <cellStyle name="链接单元格 2 4 9" xfId="38101" xr:uid="{00000000-0005-0000-0000-000066930000}"/>
    <cellStyle name="链接单元格 2 5" xfId="6945" xr:uid="{00000000-0005-0000-0000-000067930000}"/>
    <cellStyle name="链接单元格 2 6" xfId="6950" xr:uid="{00000000-0005-0000-0000-000068930000}"/>
    <cellStyle name="链接单元格 2 7" xfId="6217" xr:uid="{00000000-0005-0000-0000-000069930000}"/>
    <cellStyle name="链接单元格 2 8" xfId="38102" xr:uid="{00000000-0005-0000-0000-00006A930000}"/>
    <cellStyle name="链接单元格 2 9" xfId="38103" xr:uid="{00000000-0005-0000-0000-00006B930000}"/>
    <cellStyle name="链接单元格 3" xfId="38104" xr:uid="{00000000-0005-0000-0000-00006C930000}"/>
    <cellStyle name="链接单元格 3 10" xfId="38105" xr:uid="{00000000-0005-0000-0000-00006D930000}"/>
    <cellStyle name="链接单元格 3 11" xfId="38106" xr:uid="{00000000-0005-0000-0000-00006E930000}"/>
    <cellStyle name="链接单元格 3 12" xfId="38107" xr:uid="{00000000-0005-0000-0000-00006F930000}"/>
    <cellStyle name="链接单元格 3 13" xfId="38108" xr:uid="{00000000-0005-0000-0000-000070930000}"/>
    <cellStyle name="链接单元格 3 14" xfId="38109" xr:uid="{00000000-0005-0000-0000-000071930000}"/>
    <cellStyle name="链接单元格 3 15" xfId="38111" xr:uid="{00000000-0005-0000-0000-000072930000}"/>
    <cellStyle name="链接单元格 3 16" xfId="38112" xr:uid="{00000000-0005-0000-0000-000073930000}"/>
    <cellStyle name="链接单元格 3 17" xfId="38113" xr:uid="{00000000-0005-0000-0000-000074930000}"/>
    <cellStyle name="链接单元格 3 17 10" xfId="27013" xr:uid="{00000000-0005-0000-0000-000075930000}"/>
    <cellStyle name="链接单元格 3 17 11" xfId="38114" xr:uid="{00000000-0005-0000-0000-000076930000}"/>
    <cellStyle name="链接单元格 3 17 12" xfId="33575" xr:uid="{00000000-0005-0000-0000-000077930000}"/>
    <cellStyle name="链接单元格 3 17 13" xfId="33577" xr:uid="{00000000-0005-0000-0000-000078930000}"/>
    <cellStyle name="链接单元格 3 17 14" xfId="33579" xr:uid="{00000000-0005-0000-0000-000079930000}"/>
    <cellStyle name="链接单元格 3 17 2" xfId="38115" xr:uid="{00000000-0005-0000-0000-00007A930000}"/>
    <cellStyle name="链接单元格 3 17 2 2" xfId="23670" xr:uid="{00000000-0005-0000-0000-00007B930000}"/>
    <cellStyle name="链接单元格 3 17 3" xfId="38116" xr:uid="{00000000-0005-0000-0000-00007C930000}"/>
    <cellStyle name="链接单元格 3 17 4" xfId="38117" xr:uid="{00000000-0005-0000-0000-00007D930000}"/>
    <cellStyle name="链接单元格 3 17 5" xfId="38118" xr:uid="{00000000-0005-0000-0000-00007E930000}"/>
    <cellStyle name="链接单元格 3 17 5 10" xfId="7402" xr:uid="{00000000-0005-0000-0000-00007F930000}"/>
    <cellStyle name="链接单元格 3 17 5 11" xfId="7414" xr:uid="{00000000-0005-0000-0000-000080930000}"/>
    <cellStyle name="链接单元格 3 17 5 2" xfId="35324" xr:uid="{00000000-0005-0000-0000-000081930000}"/>
    <cellStyle name="链接单元格 3 17 5 2 2" xfId="8695" xr:uid="{00000000-0005-0000-0000-000082930000}"/>
    <cellStyle name="链接单元格 3 17 5 2 2 2" xfId="38119" xr:uid="{00000000-0005-0000-0000-000083930000}"/>
    <cellStyle name="链接单元格 3 17 5 2 2 3" xfId="38120" xr:uid="{00000000-0005-0000-0000-000084930000}"/>
    <cellStyle name="链接单元格 3 17 5 2 3" xfId="23200" xr:uid="{00000000-0005-0000-0000-000085930000}"/>
    <cellStyle name="链接单元格 3 17 5 2 4" xfId="23202" xr:uid="{00000000-0005-0000-0000-000086930000}"/>
    <cellStyle name="链接单元格 3 17 5 2 5" xfId="38121" xr:uid="{00000000-0005-0000-0000-000087930000}"/>
    <cellStyle name="链接单元格 3 17 5 2 6" xfId="38122" xr:uid="{00000000-0005-0000-0000-000088930000}"/>
    <cellStyle name="链接单元格 3 17 5 2 7" xfId="36093" xr:uid="{00000000-0005-0000-0000-000089930000}"/>
    <cellStyle name="链接单元格 3 17 5 2 8" xfId="36095" xr:uid="{00000000-0005-0000-0000-00008A930000}"/>
    <cellStyle name="链接单元格 3 17 5 3" xfId="35326" xr:uid="{00000000-0005-0000-0000-00008B930000}"/>
    <cellStyle name="链接单元格 3 17 5 4" xfId="38123" xr:uid="{00000000-0005-0000-0000-00008C930000}"/>
    <cellStyle name="链接单元格 3 17 5 5" xfId="38124" xr:uid="{00000000-0005-0000-0000-00008D930000}"/>
    <cellStyle name="链接单元格 3 17 5 6" xfId="38125" xr:uid="{00000000-0005-0000-0000-00008E930000}"/>
    <cellStyle name="链接单元格 3 17 5 6 2" xfId="38126" xr:uid="{00000000-0005-0000-0000-00008F930000}"/>
    <cellStyle name="链接单元格 3 17 5 6 3" xfId="38127" xr:uid="{00000000-0005-0000-0000-000090930000}"/>
    <cellStyle name="链接单元格 3 17 5 7" xfId="38128" xr:uid="{00000000-0005-0000-0000-000091930000}"/>
    <cellStyle name="链接单元格 3 17 5 8" xfId="38129" xr:uid="{00000000-0005-0000-0000-000092930000}"/>
    <cellStyle name="链接单元格 3 17 5 9" xfId="38130" xr:uid="{00000000-0005-0000-0000-000093930000}"/>
    <cellStyle name="链接单元格 3 17 6" xfId="38131" xr:uid="{00000000-0005-0000-0000-000094930000}"/>
    <cellStyle name="链接单元格 3 17 6 2" xfId="2243" xr:uid="{00000000-0005-0000-0000-000095930000}"/>
    <cellStyle name="链接单元格 3 17 6 2 2" xfId="38132" xr:uid="{00000000-0005-0000-0000-000096930000}"/>
    <cellStyle name="链接单元格 3 17 6 2 3" xfId="38133" xr:uid="{00000000-0005-0000-0000-000097930000}"/>
    <cellStyle name="链接单元格 3 17 6 3" xfId="2265" xr:uid="{00000000-0005-0000-0000-000098930000}"/>
    <cellStyle name="链接单元格 3 17 6 4" xfId="2280" xr:uid="{00000000-0005-0000-0000-000099930000}"/>
    <cellStyle name="链接单元格 3 17 6 5" xfId="2292" xr:uid="{00000000-0005-0000-0000-00009A930000}"/>
    <cellStyle name="链接单元格 3 17 6 6" xfId="828" xr:uid="{00000000-0005-0000-0000-00009B930000}"/>
    <cellStyle name="链接单元格 3 17 6 7" xfId="38134" xr:uid="{00000000-0005-0000-0000-00009C930000}"/>
    <cellStyle name="链接单元格 3 17 6 8" xfId="843" xr:uid="{00000000-0005-0000-0000-00009D930000}"/>
    <cellStyle name="链接单元格 3 17 7" xfId="38135" xr:uid="{00000000-0005-0000-0000-00009E930000}"/>
    <cellStyle name="链接单元格 3 17 8" xfId="38136" xr:uid="{00000000-0005-0000-0000-00009F930000}"/>
    <cellStyle name="链接单元格 3 17 9" xfId="38137" xr:uid="{00000000-0005-0000-0000-0000A0930000}"/>
    <cellStyle name="链接单元格 3 17 9 2" xfId="38138" xr:uid="{00000000-0005-0000-0000-0000A1930000}"/>
    <cellStyle name="链接单元格 3 17 9 3" xfId="38139" xr:uid="{00000000-0005-0000-0000-0000A2930000}"/>
    <cellStyle name="链接单元格 3 18" xfId="38140" xr:uid="{00000000-0005-0000-0000-0000A3930000}"/>
    <cellStyle name="链接单元格 3 18 10" xfId="38141" xr:uid="{00000000-0005-0000-0000-0000A4930000}"/>
    <cellStyle name="链接单元格 3 18 11" xfId="38142" xr:uid="{00000000-0005-0000-0000-0000A5930000}"/>
    <cellStyle name="链接单元格 3 18 12" xfId="38143" xr:uid="{00000000-0005-0000-0000-0000A6930000}"/>
    <cellStyle name="链接单元格 3 18 13" xfId="6797" xr:uid="{00000000-0005-0000-0000-0000A7930000}"/>
    <cellStyle name="链接单元格 3 18 14" xfId="6906" xr:uid="{00000000-0005-0000-0000-0000A8930000}"/>
    <cellStyle name="链接单元格 3 18 2" xfId="38144" xr:uid="{00000000-0005-0000-0000-0000A9930000}"/>
    <cellStyle name="链接单元格 3 18 3" xfId="38145" xr:uid="{00000000-0005-0000-0000-0000AA930000}"/>
    <cellStyle name="链接单元格 3 18 4" xfId="38146" xr:uid="{00000000-0005-0000-0000-0000AB930000}"/>
    <cellStyle name="链接单元格 3 18 5" xfId="38147" xr:uid="{00000000-0005-0000-0000-0000AC930000}"/>
    <cellStyle name="链接单元格 3 18 5 10" xfId="38148" xr:uid="{00000000-0005-0000-0000-0000AD930000}"/>
    <cellStyle name="链接单元格 3 18 5 11" xfId="12208" xr:uid="{00000000-0005-0000-0000-0000AE930000}"/>
    <cellStyle name="链接单元格 3 18 5 2" xfId="15586" xr:uid="{00000000-0005-0000-0000-0000AF930000}"/>
    <cellStyle name="链接单元格 3 18 5 2 2" xfId="20410" xr:uid="{00000000-0005-0000-0000-0000B0930000}"/>
    <cellStyle name="链接单元格 3 18 5 2 2 2" xfId="20247" xr:uid="{00000000-0005-0000-0000-0000B1930000}"/>
    <cellStyle name="链接单元格 3 18 5 2 2 3" xfId="2449" xr:uid="{00000000-0005-0000-0000-0000B2930000}"/>
    <cellStyle name="链接单元格 3 18 5 2 3" xfId="20425" xr:uid="{00000000-0005-0000-0000-0000B3930000}"/>
    <cellStyle name="链接单元格 3 18 5 2 4" xfId="20427" xr:uid="{00000000-0005-0000-0000-0000B4930000}"/>
    <cellStyle name="链接单元格 3 18 5 2 5" xfId="17121" xr:uid="{00000000-0005-0000-0000-0000B5930000}"/>
    <cellStyle name="链接单元格 3 18 5 2 6" xfId="17125" xr:uid="{00000000-0005-0000-0000-0000B6930000}"/>
    <cellStyle name="链接单元格 3 18 5 2 7" xfId="20431" xr:uid="{00000000-0005-0000-0000-0000B7930000}"/>
    <cellStyle name="链接单元格 3 18 5 2 8" xfId="20434" xr:uid="{00000000-0005-0000-0000-0000B8930000}"/>
    <cellStyle name="链接单元格 3 18 5 3" xfId="15589" xr:uid="{00000000-0005-0000-0000-0000B9930000}"/>
    <cellStyle name="链接单元格 3 18 5 4" xfId="15593" xr:uid="{00000000-0005-0000-0000-0000BA930000}"/>
    <cellStyle name="链接单元格 3 18 5 5" xfId="15597" xr:uid="{00000000-0005-0000-0000-0000BB930000}"/>
    <cellStyle name="链接单元格 3 18 5 6" xfId="16570" xr:uid="{00000000-0005-0000-0000-0000BC930000}"/>
    <cellStyle name="链接单元格 3 18 5 6 2" xfId="20452" xr:uid="{00000000-0005-0000-0000-0000BD930000}"/>
    <cellStyle name="链接单元格 3 18 5 6 3" xfId="20454" xr:uid="{00000000-0005-0000-0000-0000BE930000}"/>
    <cellStyle name="链接单元格 3 18 5 7" xfId="36488" xr:uid="{00000000-0005-0000-0000-0000BF930000}"/>
    <cellStyle name="链接单元格 3 18 5 8" xfId="36490" xr:uid="{00000000-0005-0000-0000-0000C0930000}"/>
    <cellStyle name="链接单元格 3 18 5 9" xfId="38149" xr:uid="{00000000-0005-0000-0000-0000C1930000}"/>
    <cellStyle name="链接单元格 3 18 6" xfId="38150" xr:uid="{00000000-0005-0000-0000-0000C2930000}"/>
    <cellStyle name="链接单元格 3 18 6 2" xfId="2630" xr:uid="{00000000-0005-0000-0000-0000C3930000}"/>
    <cellStyle name="链接单元格 3 18 6 2 2" xfId="20464" xr:uid="{00000000-0005-0000-0000-0000C4930000}"/>
    <cellStyle name="链接单元格 3 18 6 2 3" xfId="20471" xr:uid="{00000000-0005-0000-0000-0000C5930000}"/>
    <cellStyle name="链接单元格 3 18 6 3" xfId="9725" xr:uid="{00000000-0005-0000-0000-0000C6930000}"/>
    <cellStyle name="链接单元格 3 18 6 4" xfId="15619" xr:uid="{00000000-0005-0000-0000-0000C7930000}"/>
    <cellStyle name="链接单元格 3 18 6 5" xfId="15623" xr:uid="{00000000-0005-0000-0000-0000C8930000}"/>
    <cellStyle name="链接单元格 3 18 6 6" xfId="20503" xr:uid="{00000000-0005-0000-0000-0000C9930000}"/>
    <cellStyle name="链接单元格 3 18 6 7" xfId="21113" xr:uid="{00000000-0005-0000-0000-0000CA930000}"/>
    <cellStyle name="链接单元格 3 18 6 8" xfId="21115" xr:uid="{00000000-0005-0000-0000-0000CB930000}"/>
    <cellStyle name="链接单元格 3 18 7" xfId="38151" xr:uid="{00000000-0005-0000-0000-0000CC930000}"/>
    <cellStyle name="链接单元格 3 18 8" xfId="38152" xr:uid="{00000000-0005-0000-0000-0000CD930000}"/>
    <cellStyle name="链接单元格 3 18 9" xfId="38153" xr:uid="{00000000-0005-0000-0000-0000CE930000}"/>
    <cellStyle name="链接单元格 3 18 9 2" xfId="38154" xr:uid="{00000000-0005-0000-0000-0000CF930000}"/>
    <cellStyle name="链接单元格 3 18 9 3" xfId="38155" xr:uid="{00000000-0005-0000-0000-0000D0930000}"/>
    <cellStyle name="链接单元格 3 19" xfId="38156" xr:uid="{00000000-0005-0000-0000-0000D1930000}"/>
    <cellStyle name="链接单元格 3 19 10" xfId="38157" xr:uid="{00000000-0005-0000-0000-0000D2930000}"/>
    <cellStyle name="链接单元格 3 19 11" xfId="38158" xr:uid="{00000000-0005-0000-0000-0000D3930000}"/>
    <cellStyle name="链接单元格 3 19 12" xfId="38159" xr:uid="{00000000-0005-0000-0000-0000D4930000}"/>
    <cellStyle name="链接单元格 3 19 13" xfId="38160" xr:uid="{00000000-0005-0000-0000-0000D5930000}"/>
    <cellStyle name="链接单元格 3 19 14" xfId="38161" xr:uid="{00000000-0005-0000-0000-0000D6930000}"/>
    <cellStyle name="链接单元格 3 19 2" xfId="38162" xr:uid="{00000000-0005-0000-0000-0000D7930000}"/>
    <cellStyle name="链接单元格 3 19 3" xfId="38163" xr:uid="{00000000-0005-0000-0000-0000D8930000}"/>
    <cellStyle name="链接单元格 3 19 4" xfId="23419" xr:uid="{00000000-0005-0000-0000-0000D9930000}"/>
    <cellStyle name="链接单元格 3 19 5" xfId="5617" xr:uid="{00000000-0005-0000-0000-0000DA930000}"/>
    <cellStyle name="链接单元格 3 19 5 10" xfId="38164" xr:uid="{00000000-0005-0000-0000-0000DB930000}"/>
    <cellStyle name="链接单元格 3 19 5 11" xfId="38165" xr:uid="{00000000-0005-0000-0000-0000DC930000}"/>
    <cellStyle name="链接单元格 3 19 5 2" xfId="38166" xr:uid="{00000000-0005-0000-0000-0000DD930000}"/>
    <cellStyle name="链接单元格 3 19 5 2 2" xfId="3032" xr:uid="{00000000-0005-0000-0000-0000DE930000}"/>
    <cellStyle name="链接单元格 3 19 5 2 2 2" xfId="5782" xr:uid="{00000000-0005-0000-0000-0000DF930000}"/>
    <cellStyle name="链接单元格 3 19 5 2 2 3" xfId="5810" xr:uid="{00000000-0005-0000-0000-0000E0930000}"/>
    <cellStyle name="链接单元格 3 19 5 2 3" xfId="3042" xr:uid="{00000000-0005-0000-0000-0000E1930000}"/>
    <cellStyle name="链接单元格 3 19 5 2 4" xfId="5845" xr:uid="{00000000-0005-0000-0000-0000E2930000}"/>
    <cellStyle name="链接单元格 3 19 5 2 5" xfId="5857" xr:uid="{00000000-0005-0000-0000-0000E3930000}"/>
    <cellStyle name="链接单元格 3 19 5 2 6" xfId="20835" xr:uid="{00000000-0005-0000-0000-0000E4930000}"/>
    <cellStyle name="链接单元格 3 19 5 2 7" xfId="23509" xr:uid="{00000000-0005-0000-0000-0000E5930000}"/>
    <cellStyle name="链接单元格 3 19 5 2 8" xfId="23112" xr:uid="{00000000-0005-0000-0000-0000E6930000}"/>
    <cellStyle name="链接单元格 3 19 5 3" xfId="38167" xr:uid="{00000000-0005-0000-0000-0000E7930000}"/>
    <cellStyle name="链接单元格 3 19 5 4" xfId="38168" xr:uid="{00000000-0005-0000-0000-0000E8930000}"/>
    <cellStyle name="链接单元格 3 19 5 5" xfId="38169" xr:uid="{00000000-0005-0000-0000-0000E9930000}"/>
    <cellStyle name="链接单元格 3 19 5 6" xfId="38170" xr:uid="{00000000-0005-0000-0000-0000EA930000}"/>
    <cellStyle name="链接单元格 3 19 5 6 2" xfId="38171" xr:uid="{00000000-0005-0000-0000-0000EB930000}"/>
    <cellStyle name="链接单元格 3 19 5 6 3" xfId="38172" xr:uid="{00000000-0005-0000-0000-0000EC930000}"/>
    <cellStyle name="链接单元格 3 19 5 7" xfId="38173" xr:uid="{00000000-0005-0000-0000-0000ED930000}"/>
    <cellStyle name="链接单元格 3 19 5 8" xfId="38174" xr:uid="{00000000-0005-0000-0000-0000EE930000}"/>
    <cellStyle name="链接单元格 3 19 5 9" xfId="38175" xr:uid="{00000000-0005-0000-0000-0000EF930000}"/>
    <cellStyle name="链接单元格 3 19 6" xfId="38176" xr:uid="{00000000-0005-0000-0000-0000F0930000}"/>
    <cellStyle name="链接单元格 3 19 6 2" xfId="16452" xr:uid="{00000000-0005-0000-0000-0000F1930000}"/>
    <cellStyle name="链接单元格 3 19 6 2 2" xfId="38177" xr:uid="{00000000-0005-0000-0000-0000F2930000}"/>
    <cellStyle name="链接单元格 3 19 6 2 3" xfId="25965" xr:uid="{00000000-0005-0000-0000-0000F3930000}"/>
    <cellStyle name="链接单元格 3 19 6 3" xfId="3958" xr:uid="{00000000-0005-0000-0000-0000F4930000}"/>
    <cellStyle name="链接单元格 3 19 6 4" xfId="3983" xr:uid="{00000000-0005-0000-0000-0000F5930000}"/>
    <cellStyle name="链接单元格 3 19 6 5" xfId="4915" xr:uid="{00000000-0005-0000-0000-0000F6930000}"/>
    <cellStyle name="链接单元格 3 19 6 6" xfId="5217" xr:uid="{00000000-0005-0000-0000-0000F7930000}"/>
    <cellStyle name="链接单元格 3 19 6 7" xfId="2839" xr:uid="{00000000-0005-0000-0000-0000F8930000}"/>
    <cellStyle name="链接单元格 3 19 6 8" xfId="2860" xr:uid="{00000000-0005-0000-0000-0000F9930000}"/>
    <cellStyle name="链接单元格 3 19 7" xfId="38178" xr:uid="{00000000-0005-0000-0000-0000FA930000}"/>
    <cellStyle name="链接单元格 3 19 8" xfId="5635" xr:uid="{00000000-0005-0000-0000-0000FB930000}"/>
    <cellStyle name="链接单元格 3 19 9" xfId="3030" xr:uid="{00000000-0005-0000-0000-0000FC930000}"/>
    <cellStyle name="链接单元格 3 19 9 2" xfId="25193" xr:uid="{00000000-0005-0000-0000-0000FD930000}"/>
    <cellStyle name="链接单元格 3 19 9 3" xfId="25196" xr:uid="{00000000-0005-0000-0000-0000FE930000}"/>
    <cellStyle name="链接单元格 3 2" xfId="38179" xr:uid="{00000000-0005-0000-0000-0000FF930000}"/>
    <cellStyle name="链接单元格 3 2 10" xfId="11721" xr:uid="{00000000-0005-0000-0000-000000940000}"/>
    <cellStyle name="链接单元格 3 2 11" xfId="11729" xr:uid="{00000000-0005-0000-0000-000001940000}"/>
    <cellStyle name="链接单元格 3 2 12" xfId="38180" xr:uid="{00000000-0005-0000-0000-000002940000}"/>
    <cellStyle name="链接单元格 3 2 13" xfId="38181" xr:uid="{00000000-0005-0000-0000-000003940000}"/>
    <cellStyle name="链接单元格 3 2 14" xfId="38182" xr:uid="{00000000-0005-0000-0000-000004940000}"/>
    <cellStyle name="链接单元格 3 2 2" xfId="29273" xr:uid="{00000000-0005-0000-0000-000005940000}"/>
    <cellStyle name="链接单元格 3 2 3" xfId="29276" xr:uid="{00000000-0005-0000-0000-000006940000}"/>
    <cellStyle name="链接单元格 3 2 4" xfId="29278" xr:uid="{00000000-0005-0000-0000-000007940000}"/>
    <cellStyle name="链接单元格 3 2 5" xfId="16691" xr:uid="{00000000-0005-0000-0000-000008940000}"/>
    <cellStyle name="链接单元格 3 2 6" xfId="16697" xr:uid="{00000000-0005-0000-0000-000009940000}"/>
    <cellStyle name="链接单元格 3 2 7" xfId="34883" xr:uid="{00000000-0005-0000-0000-00000A940000}"/>
    <cellStyle name="链接单元格 3 2 8" xfId="34885" xr:uid="{00000000-0005-0000-0000-00000B940000}"/>
    <cellStyle name="链接单元格 3 2 9" xfId="34887" xr:uid="{00000000-0005-0000-0000-00000C940000}"/>
    <cellStyle name="链接单元格 3 20" xfId="38110" xr:uid="{00000000-0005-0000-0000-00000D940000}"/>
    <cellStyle name="链接单元格 3 20 10" xfId="23709" xr:uid="{00000000-0005-0000-0000-00000E940000}"/>
    <cellStyle name="链接单元格 3 20 11" xfId="23713" xr:uid="{00000000-0005-0000-0000-00000F940000}"/>
    <cellStyle name="链接单元格 3 20 12" xfId="38183" xr:uid="{00000000-0005-0000-0000-000010940000}"/>
    <cellStyle name="链接单元格 3 20 13" xfId="38184" xr:uid="{00000000-0005-0000-0000-000011940000}"/>
    <cellStyle name="链接单元格 3 20 14" xfId="38185" xr:uid="{00000000-0005-0000-0000-000012940000}"/>
    <cellStyle name="链接单元格 3 20 2" xfId="38186" xr:uid="{00000000-0005-0000-0000-000013940000}"/>
    <cellStyle name="链接单元格 3 20 3" xfId="38187" xr:uid="{00000000-0005-0000-0000-000014940000}"/>
    <cellStyle name="链接单元格 3 20 4" xfId="38188" xr:uid="{00000000-0005-0000-0000-000015940000}"/>
    <cellStyle name="链接单元格 3 20 5" xfId="38189" xr:uid="{00000000-0005-0000-0000-000016940000}"/>
    <cellStyle name="链接单元格 3 20 5 10" xfId="38190" xr:uid="{00000000-0005-0000-0000-000017940000}"/>
    <cellStyle name="链接单元格 3 20 5 11" xfId="38191" xr:uid="{00000000-0005-0000-0000-000018940000}"/>
    <cellStyle name="链接单元格 3 20 5 2" xfId="35266" xr:uid="{00000000-0005-0000-0000-000019940000}"/>
    <cellStyle name="链接单元格 3 20 5 2 2" xfId="38192" xr:uid="{00000000-0005-0000-0000-00001A940000}"/>
    <cellStyle name="链接单元格 3 20 5 2 2 2" xfId="38193" xr:uid="{00000000-0005-0000-0000-00001B940000}"/>
    <cellStyle name="链接单元格 3 20 5 2 2 3" xfId="38194" xr:uid="{00000000-0005-0000-0000-00001C940000}"/>
    <cellStyle name="链接单元格 3 20 5 2 3" xfId="38195" xr:uid="{00000000-0005-0000-0000-00001D940000}"/>
    <cellStyle name="链接单元格 3 20 5 2 4" xfId="38196" xr:uid="{00000000-0005-0000-0000-00001E940000}"/>
    <cellStyle name="链接单元格 3 20 5 2 5" xfId="38197" xr:uid="{00000000-0005-0000-0000-00001F940000}"/>
    <cellStyle name="链接单元格 3 20 5 2 6" xfId="38198" xr:uid="{00000000-0005-0000-0000-000020940000}"/>
    <cellStyle name="链接单元格 3 20 5 2 7" xfId="38199" xr:uid="{00000000-0005-0000-0000-000021940000}"/>
    <cellStyle name="链接单元格 3 20 5 2 8" xfId="32243" xr:uid="{00000000-0005-0000-0000-000022940000}"/>
    <cellStyle name="链接单元格 3 20 5 3" xfId="35268" xr:uid="{00000000-0005-0000-0000-000023940000}"/>
    <cellStyle name="链接单元格 3 20 5 4" xfId="38029" xr:uid="{00000000-0005-0000-0000-000024940000}"/>
    <cellStyle name="链接单元格 3 20 5 5" xfId="38031" xr:uid="{00000000-0005-0000-0000-000025940000}"/>
    <cellStyle name="链接单元格 3 20 5 6" xfId="30463" xr:uid="{00000000-0005-0000-0000-000026940000}"/>
    <cellStyle name="链接单元格 3 20 5 6 2" xfId="38200" xr:uid="{00000000-0005-0000-0000-000027940000}"/>
    <cellStyle name="链接单元格 3 20 5 6 3" xfId="38201" xr:uid="{00000000-0005-0000-0000-000028940000}"/>
    <cellStyle name="链接单元格 3 20 5 7" xfId="30466" xr:uid="{00000000-0005-0000-0000-000029940000}"/>
    <cellStyle name="链接单元格 3 20 5 8" xfId="1977" xr:uid="{00000000-0005-0000-0000-00002A940000}"/>
    <cellStyle name="链接单元格 3 20 5 9" xfId="1983" xr:uid="{00000000-0005-0000-0000-00002B940000}"/>
    <cellStyle name="链接单元格 3 20 6" xfId="38202" xr:uid="{00000000-0005-0000-0000-00002C940000}"/>
    <cellStyle name="链接单元格 3 20 6 2" xfId="38203" xr:uid="{00000000-0005-0000-0000-00002D940000}"/>
    <cellStyle name="链接单元格 3 20 6 2 2" xfId="38204" xr:uid="{00000000-0005-0000-0000-00002E940000}"/>
    <cellStyle name="链接单元格 3 20 6 2 3" xfId="38205" xr:uid="{00000000-0005-0000-0000-00002F940000}"/>
    <cellStyle name="链接单元格 3 20 6 3" xfId="38206" xr:uid="{00000000-0005-0000-0000-000030940000}"/>
    <cellStyle name="链接单元格 3 20 6 4" xfId="38207" xr:uid="{00000000-0005-0000-0000-000031940000}"/>
    <cellStyle name="链接单元格 3 20 6 5" xfId="38208" xr:uid="{00000000-0005-0000-0000-000032940000}"/>
    <cellStyle name="链接单元格 3 20 6 6" xfId="38209" xr:uid="{00000000-0005-0000-0000-000033940000}"/>
    <cellStyle name="链接单元格 3 20 6 7" xfId="38210" xr:uid="{00000000-0005-0000-0000-000034940000}"/>
    <cellStyle name="链接单元格 3 20 6 8" xfId="38211" xr:uid="{00000000-0005-0000-0000-000035940000}"/>
    <cellStyle name="链接单元格 3 20 7" xfId="38212" xr:uid="{00000000-0005-0000-0000-000036940000}"/>
    <cellStyle name="链接单元格 3 20 8" xfId="38213" xr:uid="{00000000-0005-0000-0000-000037940000}"/>
    <cellStyle name="链接单元格 3 20 9" xfId="38214" xr:uid="{00000000-0005-0000-0000-000038940000}"/>
    <cellStyle name="链接单元格 3 20 9 2" xfId="38215" xr:uid="{00000000-0005-0000-0000-000039940000}"/>
    <cellStyle name="链接单元格 3 20 9 3" xfId="38216" xr:uid="{00000000-0005-0000-0000-00003A940000}"/>
    <cellStyle name="链接单元格 3 3" xfId="38217" xr:uid="{00000000-0005-0000-0000-00003B940000}"/>
    <cellStyle name="链接单元格 3 3 10" xfId="38218" xr:uid="{00000000-0005-0000-0000-00003C940000}"/>
    <cellStyle name="链接单元格 3 3 11" xfId="38219" xr:uid="{00000000-0005-0000-0000-00003D940000}"/>
    <cellStyle name="链接单元格 3 3 12" xfId="38220" xr:uid="{00000000-0005-0000-0000-00003E940000}"/>
    <cellStyle name="链接单元格 3 3 13" xfId="38221" xr:uid="{00000000-0005-0000-0000-00003F940000}"/>
    <cellStyle name="链接单元格 3 3 14" xfId="38222" xr:uid="{00000000-0005-0000-0000-000040940000}"/>
    <cellStyle name="链接单元格 3 3 2" xfId="38223" xr:uid="{00000000-0005-0000-0000-000041940000}"/>
    <cellStyle name="链接单元格 3 3 3" xfId="38224" xr:uid="{00000000-0005-0000-0000-000042940000}"/>
    <cellStyle name="链接单元格 3 3 4" xfId="38225" xr:uid="{00000000-0005-0000-0000-000043940000}"/>
    <cellStyle name="链接单元格 3 3 5" xfId="38226" xr:uid="{00000000-0005-0000-0000-000044940000}"/>
    <cellStyle name="链接单元格 3 3 6" xfId="38227" xr:uid="{00000000-0005-0000-0000-000045940000}"/>
    <cellStyle name="链接单元格 3 3 7" xfId="38228" xr:uid="{00000000-0005-0000-0000-000046940000}"/>
    <cellStyle name="链接单元格 3 3 8" xfId="38229" xr:uid="{00000000-0005-0000-0000-000047940000}"/>
    <cellStyle name="链接单元格 3 3 9" xfId="38230" xr:uid="{00000000-0005-0000-0000-000048940000}"/>
    <cellStyle name="链接单元格 3 4" xfId="38231" xr:uid="{00000000-0005-0000-0000-000049940000}"/>
    <cellStyle name="链接单元格 3 4 10" xfId="38232" xr:uid="{00000000-0005-0000-0000-00004A940000}"/>
    <cellStyle name="链接单元格 3 4 11" xfId="38233" xr:uid="{00000000-0005-0000-0000-00004B940000}"/>
    <cellStyle name="链接单元格 3 4 12" xfId="38234" xr:uid="{00000000-0005-0000-0000-00004C940000}"/>
    <cellStyle name="链接单元格 3 4 13" xfId="38235" xr:uid="{00000000-0005-0000-0000-00004D940000}"/>
    <cellStyle name="链接单元格 3 4 14" xfId="1709" xr:uid="{00000000-0005-0000-0000-00004E940000}"/>
    <cellStyle name="链接单元格 3 4 2" xfId="26378" xr:uid="{00000000-0005-0000-0000-00004F940000}"/>
    <cellStyle name="链接单元格 3 4 3" xfId="26380" xr:uid="{00000000-0005-0000-0000-000050940000}"/>
    <cellStyle name="链接单元格 3 4 4" xfId="26382" xr:uid="{00000000-0005-0000-0000-000051940000}"/>
    <cellStyle name="链接单元格 3 4 5" xfId="26384" xr:uid="{00000000-0005-0000-0000-000052940000}"/>
    <cellStyle name="链接单元格 3 4 6" xfId="38236" xr:uid="{00000000-0005-0000-0000-000053940000}"/>
    <cellStyle name="链接单元格 3 4 7" xfId="38237" xr:uid="{00000000-0005-0000-0000-000054940000}"/>
    <cellStyle name="链接单元格 3 4 8" xfId="38238" xr:uid="{00000000-0005-0000-0000-000055940000}"/>
    <cellStyle name="链接单元格 3 4 9" xfId="38239" xr:uid="{00000000-0005-0000-0000-000056940000}"/>
    <cellStyle name="链接单元格 3 5" xfId="38240" xr:uid="{00000000-0005-0000-0000-000057940000}"/>
    <cellStyle name="链接单元格 3 6" xfId="38241" xr:uid="{00000000-0005-0000-0000-000058940000}"/>
    <cellStyle name="链接单元格 3 7" xfId="38242" xr:uid="{00000000-0005-0000-0000-000059940000}"/>
    <cellStyle name="链接单元格 3 8" xfId="38243" xr:uid="{00000000-0005-0000-0000-00005A940000}"/>
    <cellStyle name="链接单元格 3 9" xfId="38244" xr:uid="{00000000-0005-0000-0000-00005B940000}"/>
    <cellStyle name="链接单元格 4" xfId="38245" xr:uid="{00000000-0005-0000-0000-00005C940000}"/>
    <cellStyle name="链接单元格 4 10" xfId="38246" xr:uid="{00000000-0005-0000-0000-00005D940000}"/>
    <cellStyle name="链接单元格 4 11" xfId="38247" xr:uid="{00000000-0005-0000-0000-00005E940000}"/>
    <cellStyle name="链接单元格 4 12" xfId="38248" xr:uid="{00000000-0005-0000-0000-00005F940000}"/>
    <cellStyle name="链接单元格 4 13" xfId="38249" xr:uid="{00000000-0005-0000-0000-000060940000}"/>
    <cellStyle name="链接单元格 4 14" xfId="38250" xr:uid="{00000000-0005-0000-0000-000061940000}"/>
    <cellStyle name="链接单元格 4 15" xfId="38252" xr:uid="{00000000-0005-0000-0000-000062940000}"/>
    <cellStyle name="链接单元格 4 16" xfId="22267" xr:uid="{00000000-0005-0000-0000-000063940000}"/>
    <cellStyle name="链接单元格 4 17" xfId="22269" xr:uid="{00000000-0005-0000-0000-000064940000}"/>
    <cellStyle name="链接单元格 4 17 10" xfId="38253" xr:uid="{00000000-0005-0000-0000-000065940000}"/>
    <cellStyle name="链接单元格 4 17 11" xfId="38254" xr:uid="{00000000-0005-0000-0000-000066940000}"/>
    <cellStyle name="链接单元格 4 17 12" xfId="38255" xr:uid="{00000000-0005-0000-0000-000067940000}"/>
    <cellStyle name="链接单元格 4 17 13" xfId="38256" xr:uid="{00000000-0005-0000-0000-000068940000}"/>
    <cellStyle name="链接单元格 4 17 14" xfId="38257" xr:uid="{00000000-0005-0000-0000-000069940000}"/>
    <cellStyle name="链接单元格 4 17 2" xfId="38258" xr:uid="{00000000-0005-0000-0000-00006A940000}"/>
    <cellStyle name="链接单元格 4 17 3" xfId="38259" xr:uid="{00000000-0005-0000-0000-00006B940000}"/>
    <cellStyle name="链接单元格 4 17 4" xfId="38260" xr:uid="{00000000-0005-0000-0000-00006C940000}"/>
    <cellStyle name="链接单元格 4 17 5" xfId="38261" xr:uid="{00000000-0005-0000-0000-00006D940000}"/>
    <cellStyle name="链接单元格 4 17 5 10" xfId="38262" xr:uid="{00000000-0005-0000-0000-00006E940000}"/>
    <cellStyle name="链接单元格 4 17 5 11" xfId="38263" xr:uid="{00000000-0005-0000-0000-00006F940000}"/>
    <cellStyle name="链接单元格 4 17 5 2" xfId="38264" xr:uid="{00000000-0005-0000-0000-000070940000}"/>
    <cellStyle name="链接单元格 4 17 5 2 2" xfId="27244" xr:uid="{00000000-0005-0000-0000-000071940000}"/>
    <cellStyle name="链接单元格 4 17 5 2 2 2" xfId="38265" xr:uid="{00000000-0005-0000-0000-000072940000}"/>
    <cellStyle name="链接单元格 4 17 5 2 2 3" xfId="38266" xr:uid="{00000000-0005-0000-0000-000073940000}"/>
    <cellStyle name="链接单元格 4 17 5 2 3" xfId="3624" xr:uid="{00000000-0005-0000-0000-000074940000}"/>
    <cellStyle name="链接单元格 4 17 5 2 4" xfId="315" xr:uid="{00000000-0005-0000-0000-000075940000}"/>
    <cellStyle name="链接单元格 4 17 5 2 5" xfId="1701" xr:uid="{00000000-0005-0000-0000-000076940000}"/>
    <cellStyle name="链接单元格 4 17 5 2 6" xfId="1726" xr:uid="{00000000-0005-0000-0000-000077940000}"/>
    <cellStyle name="链接单元格 4 17 5 2 7" xfId="38267" xr:uid="{00000000-0005-0000-0000-000078940000}"/>
    <cellStyle name="链接单元格 4 17 5 2 8" xfId="38268" xr:uid="{00000000-0005-0000-0000-000079940000}"/>
    <cellStyle name="链接单元格 4 17 5 3" xfId="38269" xr:uid="{00000000-0005-0000-0000-00007A940000}"/>
    <cellStyle name="链接单元格 4 17 5 4" xfId="38270" xr:uid="{00000000-0005-0000-0000-00007B940000}"/>
    <cellStyle name="链接单元格 4 17 5 5" xfId="38271" xr:uid="{00000000-0005-0000-0000-00007C940000}"/>
    <cellStyle name="链接单元格 4 17 5 6" xfId="38272" xr:uid="{00000000-0005-0000-0000-00007D940000}"/>
    <cellStyle name="链接单元格 4 17 5 6 2" xfId="38273" xr:uid="{00000000-0005-0000-0000-00007E940000}"/>
    <cellStyle name="链接单元格 4 17 5 6 3" xfId="38274" xr:uid="{00000000-0005-0000-0000-00007F940000}"/>
    <cellStyle name="链接单元格 4 17 5 7" xfId="38275" xr:uid="{00000000-0005-0000-0000-000080940000}"/>
    <cellStyle name="链接单元格 4 17 5 8" xfId="38276" xr:uid="{00000000-0005-0000-0000-000081940000}"/>
    <cellStyle name="链接单元格 4 17 5 9" xfId="38277" xr:uid="{00000000-0005-0000-0000-000082940000}"/>
    <cellStyle name="链接单元格 4 17 6" xfId="38278" xr:uid="{00000000-0005-0000-0000-000083940000}"/>
    <cellStyle name="链接单元格 4 17 6 2" xfId="29310" xr:uid="{00000000-0005-0000-0000-000084940000}"/>
    <cellStyle name="链接单元格 4 17 6 2 2" xfId="38279" xr:uid="{00000000-0005-0000-0000-000085940000}"/>
    <cellStyle name="链接单元格 4 17 6 2 3" xfId="38280" xr:uid="{00000000-0005-0000-0000-000086940000}"/>
    <cellStyle name="链接单元格 4 17 6 3" xfId="29312" xr:uid="{00000000-0005-0000-0000-000087940000}"/>
    <cellStyle name="链接单元格 4 17 6 4" xfId="22112" xr:uid="{00000000-0005-0000-0000-000088940000}"/>
    <cellStyle name="链接单元格 4 17 6 5" xfId="22137" xr:uid="{00000000-0005-0000-0000-000089940000}"/>
    <cellStyle name="链接单元格 4 17 6 6" xfId="14751" xr:uid="{00000000-0005-0000-0000-00008A940000}"/>
    <cellStyle name="链接单元格 4 17 6 7" xfId="14755" xr:uid="{00000000-0005-0000-0000-00008B940000}"/>
    <cellStyle name="链接单元格 4 17 6 8" xfId="14759" xr:uid="{00000000-0005-0000-0000-00008C940000}"/>
    <cellStyle name="链接单元格 4 17 7" xfId="38281" xr:uid="{00000000-0005-0000-0000-00008D940000}"/>
    <cellStyle name="链接单元格 4 17 8" xfId="38282" xr:uid="{00000000-0005-0000-0000-00008E940000}"/>
    <cellStyle name="链接单元格 4 17 9" xfId="38283" xr:uid="{00000000-0005-0000-0000-00008F940000}"/>
    <cellStyle name="链接单元格 4 17 9 2" xfId="1588" xr:uid="{00000000-0005-0000-0000-000090940000}"/>
    <cellStyle name="链接单元格 4 17 9 3" xfId="1604" xr:uid="{00000000-0005-0000-0000-000091940000}"/>
    <cellStyle name="链接单元格 4 18" xfId="38284" xr:uid="{00000000-0005-0000-0000-000092940000}"/>
    <cellStyle name="链接单元格 4 18 10" xfId="273" xr:uid="{00000000-0005-0000-0000-000093940000}"/>
    <cellStyle name="链接单元格 4 18 11" xfId="1351" xr:uid="{00000000-0005-0000-0000-000094940000}"/>
    <cellStyle name="链接单元格 4 18 12" xfId="15075" xr:uid="{00000000-0005-0000-0000-000095940000}"/>
    <cellStyle name="链接单元格 4 18 13" xfId="38285" xr:uid="{00000000-0005-0000-0000-000096940000}"/>
    <cellStyle name="链接单元格 4 18 14" xfId="38286" xr:uid="{00000000-0005-0000-0000-000097940000}"/>
    <cellStyle name="链接单元格 4 18 2" xfId="38287" xr:uid="{00000000-0005-0000-0000-000098940000}"/>
    <cellStyle name="链接单元格 4 18 3" xfId="38288" xr:uid="{00000000-0005-0000-0000-000099940000}"/>
    <cellStyle name="链接单元格 4 18 4" xfId="38289" xr:uid="{00000000-0005-0000-0000-00009A940000}"/>
    <cellStyle name="链接单元格 4 18 5" xfId="38290" xr:uid="{00000000-0005-0000-0000-00009B940000}"/>
    <cellStyle name="链接单元格 4 18 5 10" xfId="38291" xr:uid="{00000000-0005-0000-0000-00009C940000}"/>
    <cellStyle name="链接单元格 4 18 5 11" xfId="38292" xr:uid="{00000000-0005-0000-0000-00009D940000}"/>
    <cellStyle name="链接单元格 4 18 5 2" xfId="38293" xr:uid="{00000000-0005-0000-0000-00009E940000}"/>
    <cellStyle name="链接单元格 4 18 5 2 2" xfId="34777" xr:uid="{00000000-0005-0000-0000-00009F940000}"/>
    <cellStyle name="链接单元格 4 18 5 2 2 2" xfId="38294" xr:uid="{00000000-0005-0000-0000-0000A0940000}"/>
    <cellStyle name="链接单元格 4 18 5 2 2 3" xfId="6530" xr:uid="{00000000-0005-0000-0000-0000A1940000}"/>
    <cellStyle name="链接单元格 4 18 5 2 3" xfId="38295" xr:uid="{00000000-0005-0000-0000-0000A2940000}"/>
    <cellStyle name="链接单元格 4 18 5 2 4" xfId="38296" xr:uid="{00000000-0005-0000-0000-0000A3940000}"/>
    <cellStyle name="链接单元格 4 18 5 2 5" xfId="38297" xr:uid="{00000000-0005-0000-0000-0000A4940000}"/>
    <cellStyle name="链接单元格 4 18 5 2 6" xfId="38298" xr:uid="{00000000-0005-0000-0000-0000A5940000}"/>
    <cellStyle name="链接单元格 4 18 5 2 7" xfId="38299" xr:uid="{00000000-0005-0000-0000-0000A6940000}"/>
    <cellStyle name="链接单元格 4 18 5 2 8" xfId="38300" xr:uid="{00000000-0005-0000-0000-0000A7940000}"/>
    <cellStyle name="链接单元格 4 18 5 3" xfId="38301" xr:uid="{00000000-0005-0000-0000-0000A8940000}"/>
    <cellStyle name="链接单元格 4 18 5 4" xfId="38302" xr:uid="{00000000-0005-0000-0000-0000A9940000}"/>
    <cellStyle name="链接单元格 4 18 5 5" xfId="38303" xr:uid="{00000000-0005-0000-0000-0000AA940000}"/>
    <cellStyle name="链接单元格 4 18 5 6" xfId="38304" xr:uid="{00000000-0005-0000-0000-0000AB940000}"/>
    <cellStyle name="链接单元格 4 18 5 6 2" xfId="38305" xr:uid="{00000000-0005-0000-0000-0000AC940000}"/>
    <cellStyle name="链接单元格 4 18 5 6 3" xfId="38306" xr:uid="{00000000-0005-0000-0000-0000AD940000}"/>
    <cellStyle name="链接单元格 4 18 5 7" xfId="38307" xr:uid="{00000000-0005-0000-0000-0000AE940000}"/>
    <cellStyle name="链接单元格 4 18 5 8" xfId="38308" xr:uid="{00000000-0005-0000-0000-0000AF940000}"/>
    <cellStyle name="链接单元格 4 18 5 9" xfId="38309" xr:uid="{00000000-0005-0000-0000-0000B0940000}"/>
    <cellStyle name="链接单元格 4 18 6" xfId="38310" xr:uid="{00000000-0005-0000-0000-0000B1940000}"/>
    <cellStyle name="链接单元格 4 18 6 2" xfId="29352" xr:uid="{00000000-0005-0000-0000-0000B2940000}"/>
    <cellStyle name="链接单元格 4 18 6 2 2" xfId="7328" xr:uid="{00000000-0005-0000-0000-0000B3940000}"/>
    <cellStyle name="链接单元格 4 18 6 2 3" xfId="7337" xr:uid="{00000000-0005-0000-0000-0000B4940000}"/>
    <cellStyle name="链接单元格 4 18 6 3" xfId="27346" xr:uid="{00000000-0005-0000-0000-0000B5940000}"/>
    <cellStyle name="链接单元格 4 18 6 4" xfId="21906" xr:uid="{00000000-0005-0000-0000-0000B6940000}"/>
    <cellStyle name="链接单元格 4 18 6 5" xfId="694" xr:uid="{00000000-0005-0000-0000-0000B7940000}"/>
    <cellStyle name="链接单元格 4 18 6 6" xfId="728" xr:uid="{00000000-0005-0000-0000-0000B8940000}"/>
    <cellStyle name="链接单元格 4 18 6 7" xfId="753" xr:uid="{00000000-0005-0000-0000-0000B9940000}"/>
    <cellStyle name="链接单元格 4 18 6 8" xfId="1279" xr:uid="{00000000-0005-0000-0000-0000BA940000}"/>
    <cellStyle name="链接单元格 4 18 7" xfId="38311" xr:uid="{00000000-0005-0000-0000-0000BB940000}"/>
    <cellStyle name="链接单元格 4 18 8" xfId="38312" xr:uid="{00000000-0005-0000-0000-0000BC940000}"/>
    <cellStyle name="链接单元格 4 18 9" xfId="38313" xr:uid="{00000000-0005-0000-0000-0000BD940000}"/>
    <cellStyle name="链接单元格 4 18 9 2" xfId="2144" xr:uid="{00000000-0005-0000-0000-0000BE940000}"/>
    <cellStyle name="链接单元格 4 18 9 3" xfId="2162" xr:uid="{00000000-0005-0000-0000-0000BF940000}"/>
    <cellStyle name="链接单元格 4 19" xfId="38314" xr:uid="{00000000-0005-0000-0000-0000C0940000}"/>
    <cellStyle name="链接单元格 4 19 10" xfId="38315" xr:uid="{00000000-0005-0000-0000-0000C1940000}"/>
    <cellStyle name="链接单元格 4 19 11" xfId="38316" xr:uid="{00000000-0005-0000-0000-0000C2940000}"/>
    <cellStyle name="链接单元格 4 19 12" xfId="38317" xr:uid="{00000000-0005-0000-0000-0000C3940000}"/>
    <cellStyle name="链接单元格 4 19 13" xfId="38318" xr:uid="{00000000-0005-0000-0000-0000C4940000}"/>
    <cellStyle name="链接单元格 4 19 14" xfId="38319" xr:uid="{00000000-0005-0000-0000-0000C5940000}"/>
    <cellStyle name="链接单元格 4 19 2" xfId="38320" xr:uid="{00000000-0005-0000-0000-0000C6940000}"/>
    <cellStyle name="链接单元格 4 19 3" xfId="38321" xr:uid="{00000000-0005-0000-0000-0000C7940000}"/>
    <cellStyle name="链接单元格 4 19 4" xfId="38322" xr:uid="{00000000-0005-0000-0000-0000C8940000}"/>
    <cellStyle name="链接单元格 4 19 5" xfId="38323" xr:uid="{00000000-0005-0000-0000-0000C9940000}"/>
    <cellStyle name="链接单元格 4 19 5 10" xfId="3801" xr:uid="{00000000-0005-0000-0000-0000CA940000}"/>
    <cellStyle name="链接单元格 4 19 5 11" xfId="38324" xr:uid="{00000000-0005-0000-0000-0000CB940000}"/>
    <cellStyle name="链接单元格 4 19 5 2" xfId="38325" xr:uid="{00000000-0005-0000-0000-0000CC940000}"/>
    <cellStyle name="链接单元格 4 19 5 2 2" xfId="38326" xr:uid="{00000000-0005-0000-0000-0000CD940000}"/>
    <cellStyle name="链接单元格 4 19 5 2 2 2" xfId="38327" xr:uid="{00000000-0005-0000-0000-0000CE940000}"/>
    <cellStyle name="链接单元格 4 19 5 2 2 3" xfId="38328" xr:uid="{00000000-0005-0000-0000-0000CF940000}"/>
    <cellStyle name="链接单元格 4 19 5 2 3" xfId="30308" xr:uid="{00000000-0005-0000-0000-0000D0940000}"/>
    <cellStyle name="链接单元格 4 19 5 2 4" xfId="31170" xr:uid="{00000000-0005-0000-0000-0000D1940000}"/>
    <cellStyle name="链接单元格 4 19 5 2 5" xfId="38329" xr:uid="{00000000-0005-0000-0000-0000D2940000}"/>
    <cellStyle name="链接单元格 4 19 5 2 6" xfId="21562" xr:uid="{00000000-0005-0000-0000-0000D3940000}"/>
    <cellStyle name="链接单元格 4 19 5 2 7" xfId="38330" xr:uid="{00000000-0005-0000-0000-0000D4940000}"/>
    <cellStyle name="链接单元格 4 19 5 2 8" xfId="21472" xr:uid="{00000000-0005-0000-0000-0000D5940000}"/>
    <cellStyle name="链接单元格 4 19 5 3" xfId="38331" xr:uid="{00000000-0005-0000-0000-0000D6940000}"/>
    <cellStyle name="链接单元格 4 19 5 4" xfId="38332" xr:uid="{00000000-0005-0000-0000-0000D7940000}"/>
    <cellStyle name="链接单元格 4 19 5 5" xfId="38333" xr:uid="{00000000-0005-0000-0000-0000D8940000}"/>
    <cellStyle name="链接单元格 4 19 5 6" xfId="38334" xr:uid="{00000000-0005-0000-0000-0000D9940000}"/>
    <cellStyle name="链接单元格 4 19 5 6 2" xfId="38335" xr:uid="{00000000-0005-0000-0000-0000DA940000}"/>
    <cellStyle name="链接单元格 4 19 5 6 3" xfId="38336" xr:uid="{00000000-0005-0000-0000-0000DB940000}"/>
    <cellStyle name="链接单元格 4 19 5 7" xfId="38337" xr:uid="{00000000-0005-0000-0000-0000DC940000}"/>
    <cellStyle name="链接单元格 4 19 5 8" xfId="38338" xr:uid="{00000000-0005-0000-0000-0000DD940000}"/>
    <cellStyle name="链接单元格 4 19 5 9" xfId="38339" xr:uid="{00000000-0005-0000-0000-0000DE940000}"/>
    <cellStyle name="链接单元格 4 19 6" xfId="38340" xr:uid="{00000000-0005-0000-0000-0000DF940000}"/>
    <cellStyle name="链接单元格 4 19 6 2" xfId="28237" xr:uid="{00000000-0005-0000-0000-0000E0940000}"/>
    <cellStyle name="链接单元格 4 19 6 2 2" xfId="38341" xr:uid="{00000000-0005-0000-0000-0000E1940000}"/>
    <cellStyle name="链接单元格 4 19 6 2 3" xfId="25460" xr:uid="{00000000-0005-0000-0000-0000E2940000}"/>
    <cellStyle name="链接单元格 4 19 6 3" xfId="28239" xr:uid="{00000000-0005-0000-0000-0000E3940000}"/>
    <cellStyle name="链接单元格 4 19 6 4" xfId="22214" xr:uid="{00000000-0005-0000-0000-0000E4940000}"/>
    <cellStyle name="链接单元格 4 19 6 5" xfId="13279" xr:uid="{00000000-0005-0000-0000-0000E5940000}"/>
    <cellStyle name="链接单元格 4 19 6 6" xfId="13283" xr:uid="{00000000-0005-0000-0000-0000E6940000}"/>
    <cellStyle name="链接单元格 4 19 6 7" xfId="13286" xr:uid="{00000000-0005-0000-0000-0000E7940000}"/>
    <cellStyle name="链接单元格 4 19 6 8" xfId="13356" xr:uid="{00000000-0005-0000-0000-0000E8940000}"/>
    <cellStyle name="链接单元格 4 19 7" xfId="38342" xr:uid="{00000000-0005-0000-0000-0000E9940000}"/>
    <cellStyle name="链接单元格 4 19 8" xfId="38343" xr:uid="{00000000-0005-0000-0000-0000EA940000}"/>
    <cellStyle name="链接单元格 4 19 9" xfId="38344" xr:uid="{00000000-0005-0000-0000-0000EB940000}"/>
    <cellStyle name="链接单元格 4 19 9 2" xfId="2548" xr:uid="{00000000-0005-0000-0000-0000EC940000}"/>
    <cellStyle name="链接单元格 4 19 9 3" xfId="2405" xr:uid="{00000000-0005-0000-0000-0000ED940000}"/>
    <cellStyle name="链接单元格 4 2" xfId="38345" xr:uid="{00000000-0005-0000-0000-0000EE940000}"/>
    <cellStyle name="链接单元格 4 20" xfId="38251" xr:uid="{00000000-0005-0000-0000-0000EF940000}"/>
    <cellStyle name="链接单元格 4 20 10" xfId="38346" xr:uid="{00000000-0005-0000-0000-0000F0940000}"/>
    <cellStyle name="链接单元格 4 20 11" xfId="38347" xr:uid="{00000000-0005-0000-0000-0000F1940000}"/>
    <cellStyle name="链接单元格 4 20 12" xfId="38348" xr:uid="{00000000-0005-0000-0000-0000F2940000}"/>
    <cellStyle name="链接单元格 4 20 13" xfId="38349" xr:uid="{00000000-0005-0000-0000-0000F3940000}"/>
    <cellStyle name="链接单元格 4 20 14" xfId="38350" xr:uid="{00000000-0005-0000-0000-0000F4940000}"/>
    <cellStyle name="链接单元格 4 20 2" xfId="38351" xr:uid="{00000000-0005-0000-0000-0000F5940000}"/>
    <cellStyle name="链接单元格 4 20 3" xfId="38352" xr:uid="{00000000-0005-0000-0000-0000F6940000}"/>
    <cellStyle name="链接单元格 4 20 4" xfId="38353" xr:uid="{00000000-0005-0000-0000-0000F7940000}"/>
    <cellStyle name="链接单元格 4 20 5" xfId="38354" xr:uid="{00000000-0005-0000-0000-0000F8940000}"/>
    <cellStyle name="链接单元格 4 20 5 10" xfId="32910" xr:uid="{00000000-0005-0000-0000-0000F9940000}"/>
    <cellStyle name="链接单元格 4 20 5 11" xfId="38355" xr:uid="{00000000-0005-0000-0000-0000FA940000}"/>
    <cellStyle name="链接单元格 4 20 5 2" xfId="38356" xr:uid="{00000000-0005-0000-0000-0000FB940000}"/>
    <cellStyle name="链接单元格 4 20 5 2 2" xfId="38357" xr:uid="{00000000-0005-0000-0000-0000FC940000}"/>
    <cellStyle name="链接单元格 4 20 5 2 2 2" xfId="38358" xr:uid="{00000000-0005-0000-0000-0000FD940000}"/>
    <cellStyle name="链接单元格 4 20 5 2 2 3" xfId="38359" xr:uid="{00000000-0005-0000-0000-0000FE940000}"/>
    <cellStyle name="链接单元格 4 20 5 2 3" xfId="38360" xr:uid="{00000000-0005-0000-0000-0000FF940000}"/>
    <cellStyle name="链接单元格 4 20 5 2 4" xfId="38361" xr:uid="{00000000-0005-0000-0000-000000950000}"/>
    <cellStyle name="链接单元格 4 20 5 2 5" xfId="38362" xr:uid="{00000000-0005-0000-0000-000001950000}"/>
    <cellStyle name="链接单元格 4 20 5 2 6" xfId="38363" xr:uid="{00000000-0005-0000-0000-000002950000}"/>
    <cellStyle name="链接单元格 4 20 5 2 7" xfId="38364" xr:uid="{00000000-0005-0000-0000-000003950000}"/>
    <cellStyle name="链接单元格 4 20 5 2 8" xfId="26960" xr:uid="{00000000-0005-0000-0000-000004950000}"/>
    <cellStyle name="链接单元格 4 20 5 3" xfId="38365" xr:uid="{00000000-0005-0000-0000-000005950000}"/>
    <cellStyle name="链接单元格 4 20 5 4" xfId="38366" xr:uid="{00000000-0005-0000-0000-000006950000}"/>
    <cellStyle name="链接单元格 4 20 5 5" xfId="38367" xr:uid="{00000000-0005-0000-0000-000007950000}"/>
    <cellStyle name="链接单元格 4 20 5 6" xfId="38368" xr:uid="{00000000-0005-0000-0000-000008950000}"/>
    <cellStyle name="链接单元格 4 20 5 6 2" xfId="38369" xr:uid="{00000000-0005-0000-0000-000009950000}"/>
    <cellStyle name="链接单元格 4 20 5 6 3" xfId="38370" xr:uid="{00000000-0005-0000-0000-00000A950000}"/>
    <cellStyle name="链接单元格 4 20 5 7" xfId="38371" xr:uid="{00000000-0005-0000-0000-00000B950000}"/>
    <cellStyle name="链接单元格 4 20 5 8" xfId="38372" xr:uid="{00000000-0005-0000-0000-00000C950000}"/>
    <cellStyle name="链接单元格 4 20 5 9" xfId="9577" xr:uid="{00000000-0005-0000-0000-00000D950000}"/>
    <cellStyle name="链接单元格 4 20 6" xfId="38373" xr:uid="{00000000-0005-0000-0000-00000E950000}"/>
    <cellStyle name="链接单元格 4 20 6 2" xfId="38374" xr:uid="{00000000-0005-0000-0000-00000F950000}"/>
    <cellStyle name="链接单元格 4 20 6 2 2" xfId="38375" xr:uid="{00000000-0005-0000-0000-000010950000}"/>
    <cellStyle name="链接单元格 4 20 6 2 3" xfId="38376" xr:uid="{00000000-0005-0000-0000-000011950000}"/>
    <cellStyle name="链接单元格 4 20 6 3" xfId="38377" xr:uid="{00000000-0005-0000-0000-000012950000}"/>
    <cellStyle name="链接单元格 4 20 6 4" xfId="20304" xr:uid="{00000000-0005-0000-0000-000013950000}"/>
    <cellStyle name="链接单元格 4 20 6 5" xfId="20310" xr:uid="{00000000-0005-0000-0000-000014950000}"/>
    <cellStyle name="链接单元格 4 20 6 6" xfId="4438" xr:uid="{00000000-0005-0000-0000-000015950000}"/>
    <cellStyle name="链接单元格 4 20 6 7" xfId="4454" xr:uid="{00000000-0005-0000-0000-000016950000}"/>
    <cellStyle name="链接单元格 4 20 6 8" xfId="4470" xr:uid="{00000000-0005-0000-0000-000017950000}"/>
    <cellStyle name="链接单元格 4 20 7" xfId="38378" xr:uid="{00000000-0005-0000-0000-000018950000}"/>
    <cellStyle name="链接单元格 4 20 8" xfId="38379" xr:uid="{00000000-0005-0000-0000-000019950000}"/>
    <cellStyle name="链接单元格 4 20 9" xfId="38380" xr:uid="{00000000-0005-0000-0000-00001A950000}"/>
    <cellStyle name="链接单元格 4 20 9 2" xfId="38381" xr:uid="{00000000-0005-0000-0000-00001B950000}"/>
    <cellStyle name="链接单元格 4 20 9 3" xfId="38382" xr:uid="{00000000-0005-0000-0000-00001C950000}"/>
    <cellStyle name="链接单元格 4 3" xfId="38383" xr:uid="{00000000-0005-0000-0000-00001D950000}"/>
    <cellStyle name="链接单元格 4 4" xfId="38384" xr:uid="{00000000-0005-0000-0000-00001E950000}"/>
    <cellStyle name="链接单元格 4 5" xfId="38385" xr:uid="{00000000-0005-0000-0000-00001F950000}"/>
    <cellStyle name="链接单元格 4 6" xfId="38386" xr:uid="{00000000-0005-0000-0000-000020950000}"/>
    <cellStyle name="链接单元格 4 7" xfId="38387" xr:uid="{00000000-0005-0000-0000-000021950000}"/>
    <cellStyle name="链接单元格 4 8" xfId="38388" xr:uid="{00000000-0005-0000-0000-000022950000}"/>
    <cellStyle name="链接单元格 4 9" xfId="38389" xr:uid="{00000000-0005-0000-0000-000023950000}"/>
    <cellStyle name="链接单元格 5" xfId="38390" xr:uid="{00000000-0005-0000-0000-000024950000}"/>
    <cellStyle name="链接单元格 5 10" xfId="32663" xr:uid="{00000000-0005-0000-0000-000025950000}"/>
    <cellStyle name="链接单元格 5 11" xfId="36999" xr:uid="{00000000-0005-0000-0000-000026950000}"/>
    <cellStyle name="链接单元格 5 12" xfId="32153" xr:uid="{00000000-0005-0000-0000-000027950000}"/>
    <cellStyle name="链接单元格 5 13" xfId="32156" xr:uid="{00000000-0005-0000-0000-000028950000}"/>
    <cellStyle name="链接单元格 5 14" xfId="38391" xr:uid="{00000000-0005-0000-0000-000029950000}"/>
    <cellStyle name="链接单元格 5 2" xfId="19389" xr:uid="{00000000-0005-0000-0000-00002A950000}"/>
    <cellStyle name="链接单元格 5 3" xfId="19391" xr:uid="{00000000-0005-0000-0000-00002B950000}"/>
    <cellStyle name="链接单元格 5 4" xfId="19393" xr:uid="{00000000-0005-0000-0000-00002C950000}"/>
    <cellStyle name="链接单元格 5 5" xfId="19396" xr:uid="{00000000-0005-0000-0000-00002D950000}"/>
    <cellStyle name="链接单元格 5 6" xfId="6608" xr:uid="{00000000-0005-0000-0000-00002E950000}"/>
    <cellStyle name="链接单元格 5 7" xfId="37686" xr:uid="{00000000-0005-0000-0000-00002F950000}"/>
    <cellStyle name="链接单元格 5 8" xfId="37688" xr:uid="{00000000-0005-0000-0000-000030950000}"/>
    <cellStyle name="链接单元格 5 9" xfId="38392" xr:uid="{00000000-0005-0000-0000-000031950000}"/>
    <cellStyle name="链接单元格 6" xfId="18590" xr:uid="{00000000-0005-0000-0000-000032950000}"/>
    <cellStyle name="链接单元格 6 10" xfId="28542" xr:uid="{00000000-0005-0000-0000-000033950000}"/>
    <cellStyle name="链接单元格 6 11" xfId="28544" xr:uid="{00000000-0005-0000-0000-000034950000}"/>
    <cellStyle name="链接单元格 6 12" xfId="28546" xr:uid="{00000000-0005-0000-0000-000035950000}"/>
    <cellStyle name="链接单元格 6 13" xfId="28548" xr:uid="{00000000-0005-0000-0000-000036950000}"/>
    <cellStyle name="链接单元格 6 14" xfId="28564" xr:uid="{00000000-0005-0000-0000-000037950000}"/>
    <cellStyle name="链接单元格 6 2" xfId="7628" xr:uid="{00000000-0005-0000-0000-000038950000}"/>
    <cellStyle name="链接单元格 6 3" xfId="8927" xr:uid="{00000000-0005-0000-0000-000039950000}"/>
    <cellStyle name="链接单元格 6 4" xfId="914" xr:uid="{00000000-0005-0000-0000-00003A950000}"/>
    <cellStyle name="链接单元格 6 5" xfId="952" xr:uid="{00000000-0005-0000-0000-00003B950000}"/>
    <cellStyle name="链接单元格 6 6" xfId="988" xr:uid="{00000000-0005-0000-0000-00003C950000}"/>
    <cellStyle name="链接单元格 6 7" xfId="1010" xr:uid="{00000000-0005-0000-0000-00003D950000}"/>
    <cellStyle name="链接单元格 6 8" xfId="1048" xr:uid="{00000000-0005-0000-0000-00003E950000}"/>
    <cellStyle name="链接单元格 6 9" xfId="1068" xr:uid="{00000000-0005-0000-0000-00003F950000}"/>
    <cellStyle name="链接单元格 7" xfId="18594" xr:uid="{00000000-0005-0000-0000-000040950000}"/>
    <cellStyle name="链接单元格 8" xfId="18597" xr:uid="{00000000-0005-0000-0000-000041950000}"/>
    <cellStyle name="链接单元格 9" xfId="18602" xr:uid="{00000000-0005-0000-0000-000042950000}"/>
  </cellStyles>
  <dxfs count="2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 xr9:uid="{00000000-0011-0000-FFFF-FFFF00000000}">
      <tableStyleElement type="wholeTable" dxfId="241"/>
      <tableStyleElement type="headerRow" dxfId="240"/>
      <tableStyleElement type="totalRow" dxfId="239"/>
      <tableStyleElement type="firstColumn" dxfId="238"/>
      <tableStyleElement type="lastColumn" dxfId="237"/>
      <tableStyleElement type="firstRowStripe" dxfId="236"/>
      <tableStyleElement type="firstColumnStripe" dxfId="235"/>
    </tableStyle>
    <tableStyle name="PivotStylePreset2_Accent1" table="0" count="10" xr9:uid="{00000000-0011-0000-FFFF-FFFF01000000}">
      <tableStyleElement type="headerRow" dxfId="234"/>
      <tableStyleElement type="totalRow" dxfId="233"/>
      <tableStyleElement type="firstRowStripe" dxfId="232"/>
      <tableStyleElement type="firstColumnStripe" dxfId="231"/>
      <tableStyleElement type="firstSubtotalRow" dxfId="230"/>
      <tableStyleElement type="secondSubtotalRow" dxfId="229"/>
      <tableStyleElement type="firstRowSubheading" dxfId="228"/>
      <tableStyleElement type="secondRowSubheading" dxfId="227"/>
      <tableStyleElement type="pageFieldLabels" dxfId="226"/>
      <tableStyleElement type="pageFieldValues" dxfId="225"/>
    </tableStyle>
  </tableStyles>
  <colors>
    <mruColors>
      <color rgb="FF0066FF"/>
      <color rgb="FF8FE2FF"/>
      <color rgb="FF0000FF"/>
      <color rgb="FF66CCFF"/>
      <color rgb="FF4843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2" name="Text Box 17" hidden="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3" name="Text Box 17" hidden="1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4" name="Text Box 17" hidden="1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5" name="Text Box 17" hidden="1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6" name="Text Box 17" hidden="1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7" name="Text Box 17" hidden="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8" name="Text Box 17" hidden="1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9" name="Text Box 17" hidden="1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0" name="Text Box 17" hidden="1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1" name="Text Box 17" hidden="1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2" name="Text Box 17" hidden="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3" name="Text Box 17" hidden="1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4" name="Text Box 17" hidden="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170</xdr:row>
      <xdr:rowOff>0</xdr:rowOff>
    </xdr:from>
    <xdr:ext cx="68580" cy="274320"/>
    <xdr:sp macro="" textlink="">
      <xdr:nvSpPr>
        <xdr:cNvPr id="15" name="Text Box 17" hidden="1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 txBox="1">
          <a:spLocks noChangeArrowheads="1"/>
        </xdr:cNvSpPr>
      </xdr:nvSpPr>
      <xdr:spPr bwMode="auto">
        <a:xfrm>
          <a:off x="6581775" y="1461135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6" name="Text Box 17" hidden="1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7" name="Text Box 17" hidden="1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8" name="Text Box 17" hidden="1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19" name="Text Box 17" hidden="1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0" name="Text Box 17" hidden="1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1" name="Text Box 17" hidden="1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2" name="Text Box 17" hidden="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3" name="Text Box 17" hidden="1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4" name="Text Box 17" hidden="1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5" name="Text Box 17" hidden="1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6" name="Text Box 17" hidden="1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7" name="Text Box 17" hidden="1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8" name="Text Box 17" hidden="1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10</xdr:col>
      <xdr:colOff>0</xdr:colOff>
      <xdr:row>169</xdr:row>
      <xdr:rowOff>0</xdr:rowOff>
    </xdr:from>
    <xdr:ext cx="68580" cy="274320"/>
    <xdr:sp macro="" textlink="">
      <xdr:nvSpPr>
        <xdr:cNvPr id="29" name="Text Box 17" hidden="1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 txBox="1">
          <a:spLocks noChangeArrowheads="1"/>
        </xdr:cNvSpPr>
      </xdr:nvSpPr>
      <xdr:spPr bwMode="auto">
        <a:xfrm>
          <a:off x="6581775" y="136112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0" name="Text Box 17" hidden="1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1" name="Text Box 17" hidden="1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2" name="Text Box 17" hidden="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3" name="Text Box 17" hidden="1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4" name="Text Box 17" hidden="1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5" name="Text Box 17" hidden="1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6" name="Text Box 17" hidden="1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7" name="Text Box 17" hidden="1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8" name="Text Box 17" hidden="1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39" name="Text Box 17" hidden="1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0" name="Text Box 17" hidden="1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1" name="Text Box 17" hidden="1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2" name="Text Box 17" hidden="1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13</xdr:col>
      <xdr:colOff>0</xdr:colOff>
      <xdr:row>171</xdr:row>
      <xdr:rowOff>0</xdr:rowOff>
    </xdr:from>
    <xdr:ext cx="68580" cy="274320"/>
    <xdr:sp macro="" textlink="">
      <xdr:nvSpPr>
        <xdr:cNvPr id="43" name="Text Box 17" hidden="1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SpPr txBox="1">
          <a:spLocks noChangeArrowheads="1"/>
        </xdr:cNvSpPr>
      </xdr:nvSpPr>
      <xdr:spPr bwMode="auto">
        <a:xfrm>
          <a:off x="6581775" y="144018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2" name="Text Box 17" hidden="1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3" name="Text Box 17" hidden="1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4" name="Text Box 17" hidden="1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5" name="Text Box 17" hidden="1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6" name="Text Box 17" hidden="1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7" name="Text Box 17" hidden="1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8" name="Text Box 17" hidden="1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79" name="Text Box 17" hidden="1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0" name="Text Box 17" hidden="1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1" name="Text Box 17" hidden="1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2" name="Text Box 17" hidden="1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3" name="Text Box 17" hidden="1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4" name="Text Box 17" hidden="1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8</xdr:col>
      <xdr:colOff>0</xdr:colOff>
      <xdr:row>178</xdr:row>
      <xdr:rowOff>0</xdr:rowOff>
    </xdr:from>
    <xdr:ext cx="68580" cy="274320"/>
    <xdr:sp macro="" textlink="">
      <xdr:nvSpPr>
        <xdr:cNvPr id="85" name="Text Box 17" hidden="1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 txBox="1">
          <a:spLocks noChangeArrowheads="1"/>
        </xdr:cNvSpPr>
      </xdr:nvSpPr>
      <xdr:spPr bwMode="auto">
        <a:xfrm>
          <a:off x="6581775" y="18602325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8" name="Text Box 17" hidden="1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59" name="Text Box 17" hidden="1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0" name="Text Box 17" hidden="1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1" name="Text Box 17" hidden="1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2" name="Text Box 17" hidden="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3" name="Text Box 17" hidden="1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4" name="Text Box 17" hidden="1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5" name="Text Box 17" hidden="1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6" name="Text Box 17" hidden="1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7" name="Text Box 17" hidden="1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8" name="Text Box 17" hidden="1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69" name="Text Box 17" hidden="1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0" name="Text Box 17" hidden="1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208</xdr:row>
      <xdr:rowOff>0</xdr:rowOff>
    </xdr:from>
    <xdr:ext cx="68580" cy="274320"/>
    <xdr:sp macro="" textlink="">
      <xdr:nvSpPr>
        <xdr:cNvPr id="71" name="Text Box 17" hidden="1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SpPr txBox="1">
          <a:spLocks noChangeArrowheads="1"/>
        </xdr:cNvSpPr>
      </xdr:nvSpPr>
      <xdr:spPr bwMode="auto">
        <a:xfrm>
          <a:off x="6581775" y="16764000"/>
          <a:ext cx="68580" cy="274320"/>
        </a:xfrm>
        <a:prstGeom prst="rect">
          <a:avLst/>
        </a:prstGeom>
        <a:noFill/>
        <a:ln>
          <a:noFill/>
        </a:ln>
        <a:effectLst>
          <a:outerShdw dist="35921" dir="2700000" algn="ctr" rotWithShape="0">
            <a:srgbClr val="000000"/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101</xdr:row>
          <xdr:rowOff>7620</xdr:rowOff>
        </xdr:from>
        <xdr:to>
          <xdr:col>3</xdr:col>
          <xdr:colOff>228600</xdr:colOff>
          <xdr:row>102</xdr:row>
          <xdr:rowOff>30480</xdr:rowOff>
        </xdr:to>
        <xdr:sp macro="" textlink="">
          <xdr:nvSpPr>
            <xdr:cNvPr id="18433" name="Control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10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&#205;NH&#7852;PH&#7852;PH%20NH&#7852;PH&#7852;PGUY&#202;NH&#7852;PH&#7852;P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PC\Desktop\BANG%20KE%20VC%20THANG%2001%20_SOTRA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ÍNHẬPHẬPH NHẬPHẬPGUYÊNHẬPHẬP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ANG 01"/>
      <sheetName val="CHI HO T.1 (2)"/>
      <sheetName val="CHI HO T.1"/>
    </sheetNames>
    <sheetDataSet>
      <sheetData sheetId="0"/>
      <sheetData sheetId="1"/>
      <sheetData sheetId="2">
        <row r="4">
          <cell r="K4">
            <v>1590000</v>
          </cell>
        </row>
        <row r="6">
          <cell r="K6">
            <v>795000</v>
          </cell>
        </row>
        <row r="7">
          <cell r="K7">
            <v>795000</v>
          </cell>
        </row>
        <row r="8">
          <cell r="K8">
            <v>795000</v>
          </cell>
        </row>
        <row r="9">
          <cell r="K9">
            <v>795000</v>
          </cell>
        </row>
        <row r="10">
          <cell r="K10">
            <v>870000</v>
          </cell>
        </row>
        <row r="11">
          <cell r="K11">
            <v>870000</v>
          </cell>
        </row>
        <row r="12">
          <cell r="K12">
            <v>900000</v>
          </cell>
        </row>
        <row r="13">
          <cell r="K13">
            <v>900000</v>
          </cell>
        </row>
        <row r="14">
          <cell r="K14">
            <v>900000</v>
          </cell>
        </row>
        <row r="15">
          <cell r="K15">
            <v>1000000</v>
          </cell>
        </row>
        <row r="16">
          <cell r="K16">
            <v>1000000</v>
          </cell>
        </row>
        <row r="17">
          <cell r="K17">
            <v>1000000</v>
          </cell>
        </row>
        <row r="18">
          <cell r="K18">
            <v>1000000</v>
          </cell>
        </row>
        <row r="19">
          <cell r="K19">
            <v>1450000</v>
          </cell>
        </row>
        <row r="20">
          <cell r="K20">
            <v>1000000</v>
          </cell>
        </row>
        <row r="21">
          <cell r="K21">
            <v>870000</v>
          </cell>
        </row>
        <row r="22">
          <cell r="K22">
            <v>870000</v>
          </cell>
        </row>
        <row r="23">
          <cell r="K23">
            <v>1000000</v>
          </cell>
        </row>
        <row r="24">
          <cell r="K24">
            <v>1000000</v>
          </cell>
        </row>
        <row r="25">
          <cell r="K25">
            <v>1500000</v>
          </cell>
        </row>
        <row r="26">
          <cell r="K26">
            <v>900000</v>
          </cell>
        </row>
        <row r="36">
          <cell r="K36">
            <v>20210000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javascript:void(0)" TargetMode="External"/><Relationship Id="rId18" Type="http://schemas.openxmlformats.org/officeDocument/2006/relationships/hyperlink" Target="javascript:void(0)" TargetMode="External"/><Relationship Id="rId26" Type="http://schemas.openxmlformats.org/officeDocument/2006/relationships/hyperlink" Target="javascript:void(0)" TargetMode="External"/><Relationship Id="rId39" Type="http://schemas.openxmlformats.org/officeDocument/2006/relationships/hyperlink" Target="javascript:void(0)" TargetMode="External"/><Relationship Id="rId21" Type="http://schemas.openxmlformats.org/officeDocument/2006/relationships/hyperlink" Target="javascript:void(0)" TargetMode="External"/><Relationship Id="rId34" Type="http://schemas.openxmlformats.org/officeDocument/2006/relationships/hyperlink" Target="javascript:void(0)" TargetMode="External"/><Relationship Id="rId42" Type="http://schemas.openxmlformats.org/officeDocument/2006/relationships/hyperlink" Target="javascript:void(0)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6" Type="http://schemas.openxmlformats.org/officeDocument/2006/relationships/hyperlink" Target="javascript:void(0)" TargetMode="External"/><Relationship Id="rId29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24" Type="http://schemas.openxmlformats.org/officeDocument/2006/relationships/hyperlink" Target="javascript:void(0)" TargetMode="External"/><Relationship Id="rId32" Type="http://schemas.openxmlformats.org/officeDocument/2006/relationships/hyperlink" Target="javascript:void(0)" TargetMode="External"/><Relationship Id="rId37" Type="http://schemas.openxmlformats.org/officeDocument/2006/relationships/hyperlink" Target="javascript:void(0)" TargetMode="External"/><Relationship Id="rId40" Type="http://schemas.openxmlformats.org/officeDocument/2006/relationships/hyperlink" Target="javascript:void(0)" TargetMode="External"/><Relationship Id="rId45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hyperlink" Target="javascript:void(0)" TargetMode="External"/><Relationship Id="rId23" Type="http://schemas.openxmlformats.org/officeDocument/2006/relationships/hyperlink" Target="javascript:void(0)" TargetMode="External"/><Relationship Id="rId28" Type="http://schemas.openxmlformats.org/officeDocument/2006/relationships/hyperlink" Target="javascript:void(0)" TargetMode="External"/><Relationship Id="rId36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19" Type="http://schemas.openxmlformats.org/officeDocument/2006/relationships/hyperlink" Target="javascript:void(0)" TargetMode="External"/><Relationship Id="rId31" Type="http://schemas.openxmlformats.org/officeDocument/2006/relationships/hyperlink" Target="javascript:void(0)" TargetMode="External"/><Relationship Id="rId44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hyperlink" Target="javascript:void(0)" TargetMode="External"/><Relationship Id="rId22" Type="http://schemas.openxmlformats.org/officeDocument/2006/relationships/hyperlink" Target="javascript:void(0)" TargetMode="External"/><Relationship Id="rId27" Type="http://schemas.openxmlformats.org/officeDocument/2006/relationships/hyperlink" Target="javascript:void(0)" TargetMode="External"/><Relationship Id="rId30" Type="http://schemas.openxmlformats.org/officeDocument/2006/relationships/hyperlink" Target="javascript:void(0)" TargetMode="External"/><Relationship Id="rId35" Type="http://schemas.openxmlformats.org/officeDocument/2006/relationships/hyperlink" Target="javascript:void(0)" TargetMode="External"/><Relationship Id="rId43" Type="http://schemas.openxmlformats.org/officeDocument/2006/relationships/hyperlink" Target="javascript:void(0)" TargetMode="External"/><Relationship Id="rId8" Type="http://schemas.openxmlformats.org/officeDocument/2006/relationships/hyperlink" Target="https://www.wanhai.com/views/cargoTrack/BookingInfoPage.xhtml?file_num=65580&amp;top_file_num=64735&amp;parent_id=64738" TargetMode="External"/><Relationship Id="rId3" Type="http://schemas.openxmlformats.org/officeDocument/2006/relationships/hyperlink" Target="javascript:void(0)" TargetMode="External"/><Relationship Id="rId12" Type="http://schemas.openxmlformats.org/officeDocument/2006/relationships/hyperlink" Target="javascript:void(0)" TargetMode="External"/><Relationship Id="rId17" Type="http://schemas.openxmlformats.org/officeDocument/2006/relationships/hyperlink" Target="javascript:void(0)" TargetMode="External"/><Relationship Id="rId25" Type="http://schemas.openxmlformats.org/officeDocument/2006/relationships/hyperlink" Target="javascript:void(0)" TargetMode="External"/><Relationship Id="rId33" Type="http://schemas.openxmlformats.org/officeDocument/2006/relationships/hyperlink" Target="javascript:void(0)" TargetMode="External"/><Relationship Id="rId38" Type="http://schemas.openxmlformats.org/officeDocument/2006/relationships/hyperlink" Target="javascript:void(0)" TargetMode="External"/><Relationship Id="rId46" Type="http://schemas.openxmlformats.org/officeDocument/2006/relationships/hyperlink" Target="javascript:void(0)" TargetMode="External"/><Relationship Id="rId20" Type="http://schemas.openxmlformats.org/officeDocument/2006/relationships/hyperlink" Target="javascript:void(0)" TargetMode="External"/><Relationship Id="rId41" Type="http://schemas.openxmlformats.org/officeDocument/2006/relationships/hyperlink" Target="javascript:void(0)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5.bin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javascript:void(0)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javascript:void(0)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0.bin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0" Type="http://schemas.openxmlformats.org/officeDocument/2006/relationships/comments" Target="../comments6.xml"/><Relationship Id="rId4" Type="http://schemas.openxmlformats.org/officeDocument/2006/relationships/hyperlink" Target="javascript:void(0)" TargetMode="External"/><Relationship Id="rId9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javascript:void(0)" TargetMode="External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javascript:void(0)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javascript:void(0)" TargetMode="External"/><Relationship Id="rId7" Type="http://schemas.openxmlformats.org/officeDocument/2006/relationships/hyperlink" Target="javascript:void(0)" TargetMode="External"/><Relationship Id="rId12" Type="http://schemas.openxmlformats.org/officeDocument/2006/relationships/printerSettings" Target="../printerSettings/printerSettings16.bin"/><Relationship Id="rId2" Type="http://schemas.openxmlformats.org/officeDocument/2006/relationships/hyperlink" Target="javascript:void(0)" TargetMode="External"/><Relationship Id="rId16" Type="http://schemas.openxmlformats.org/officeDocument/2006/relationships/image" Target="../media/image1.emf"/><Relationship Id="rId1" Type="http://schemas.openxmlformats.org/officeDocument/2006/relationships/hyperlink" Target="javascript:void(0)" TargetMode="External"/><Relationship Id="rId6" Type="http://schemas.openxmlformats.org/officeDocument/2006/relationships/hyperlink" Target="javascript:void(0)" TargetMode="External"/><Relationship Id="rId11" Type="http://schemas.openxmlformats.org/officeDocument/2006/relationships/hyperlink" Target="javascript:void(0)" TargetMode="External"/><Relationship Id="rId5" Type="http://schemas.openxmlformats.org/officeDocument/2006/relationships/hyperlink" Target="javascript:void(0)" TargetMode="External"/><Relationship Id="rId15" Type="http://schemas.openxmlformats.org/officeDocument/2006/relationships/control" Target="../activeX/activeX1.xml"/><Relationship Id="rId10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Relationship Id="rId9" Type="http://schemas.openxmlformats.org/officeDocument/2006/relationships/hyperlink" Target="javascript:void(0)" TargetMode="External"/><Relationship Id="rId14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888C0-C87E-4982-A691-3CAA064965EF}">
  <dimension ref="A1:CP266"/>
  <sheetViews>
    <sheetView zoomScale="115" zoomScaleNormal="115" workbookViewId="0">
      <pane xSplit="8" ySplit="4" topLeftCell="I180" activePane="bottomRight" state="frozen"/>
      <selection pane="topRight" activeCell="I1" sqref="I1"/>
      <selection pane="bottomLeft" activeCell="A5" sqref="A5"/>
      <selection pane="bottomRight" activeCell="B188" sqref="B188"/>
    </sheetView>
  </sheetViews>
  <sheetFormatPr defaultColWidth="10.33203125" defaultRowHeight="13.2"/>
  <cols>
    <col min="1" max="1" width="7" style="1" customWidth="1"/>
    <col min="2" max="2" width="20.44140625" style="2" customWidth="1"/>
    <col min="3" max="3" width="14.109375" style="3" customWidth="1"/>
    <col min="4" max="4" width="14.109375" style="4" customWidth="1"/>
    <col min="5" max="5" width="20.109375" style="4" customWidth="1"/>
    <col min="6" max="6" width="13" style="5" customWidth="1"/>
    <col min="7" max="8" width="5.109375" style="6" customWidth="1"/>
    <col min="9" max="9" width="20.6640625" style="7" customWidth="1"/>
    <col min="10" max="10" width="9.6640625" style="6" customWidth="1"/>
    <col min="11" max="11" width="13.44140625" style="6" customWidth="1"/>
    <col min="12" max="13" width="9.88671875" style="1" customWidth="1"/>
    <col min="14" max="14" width="17" style="6" customWidth="1"/>
    <col min="15" max="15" width="24.5546875" style="6" customWidth="1"/>
    <col min="16" max="16" width="4.6640625" style="6" hidden="1" customWidth="1"/>
    <col min="17" max="17" width="13.33203125" style="5" customWidth="1"/>
    <col min="18" max="18" width="12.109375" style="8" customWidth="1"/>
    <col min="19" max="19" width="19.33203125" style="8" hidden="1" customWidth="1"/>
    <col min="20" max="20" width="9.88671875" style="6" hidden="1" customWidth="1"/>
    <col min="21" max="21" width="11" style="6" hidden="1" customWidth="1"/>
    <col min="22" max="22" width="11.33203125" style="6" hidden="1" customWidth="1"/>
    <col min="23" max="23" width="27.5546875" style="6" hidden="1" customWidth="1"/>
    <col min="24" max="24" width="0" style="5" hidden="1" customWidth="1"/>
    <col min="25" max="28" width="0" style="6" hidden="1" customWidth="1"/>
    <col min="29" max="29" width="0" style="9" hidden="1" customWidth="1"/>
    <col min="30" max="31" width="0" style="6" hidden="1" customWidth="1"/>
    <col min="32" max="32" width="0" style="5" hidden="1" customWidth="1"/>
    <col min="33" max="33" width="0" style="8" hidden="1" customWidth="1"/>
    <col min="34" max="36" width="0" style="6" hidden="1" customWidth="1"/>
    <col min="37" max="39" width="0" style="8" hidden="1" customWidth="1"/>
    <col min="40" max="40" width="0" style="6" hidden="1" customWidth="1"/>
    <col min="41" max="43" width="0" style="10" hidden="1" customWidth="1"/>
    <col min="44" max="48" width="0" style="9" hidden="1" customWidth="1"/>
    <col min="49" max="52" width="0" style="6" hidden="1" customWidth="1"/>
    <col min="53" max="53" width="0" style="9" hidden="1" customWidth="1"/>
    <col min="54" max="57" width="0" style="6" hidden="1" customWidth="1"/>
    <col min="58" max="58" width="0" style="9" hidden="1" customWidth="1"/>
    <col min="59" max="61" width="0" style="6" hidden="1" customWidth="1"/>
    <col min="62" max="63" width="0" style="5" hidden="1" customWidth="1"/>
    <col min="64" max="64" width="0" style="11" hidden="1" customWidth="1"/>
    <col min="65" max="65" width="10.33203125" style="11"/>
    <col min="66" max="66" width="0" style="12" hidden="1" customWidth="1"/>
    <col min="67" max="74" width="0" style="8" hidden="1" customWidth="1"/>
    <col min="75" max="93" width="0" style="6" hidden="1" customWidth="1"/>
    <col min="94" max="258" width="10.33203125" style="13"/>
    <col min="259" max="259" width="7" style="13" customWidth="1"/>
    <col min="260" max="260" width="13" style="13" customWidth="1"/>
    <col min="261" max="261" width="14.109375" style="13" customWidth="1"/>
    <col min="262" max="262" width="17.33203125" style="13" customWidth="1"/>
    <col min="263" max="263" width="18.88671875" style="13" customWidth="1"/>
    <col min="264" max="264" width="14.109375" style="13" customWidth="1"/>
    <col min="265" max="265" width="21.5546875" style="13" customWidth="1"/>
    <col min="266" max="267" width="14.109375" style="13" customWidth="1"/>
    <col min="268" max="268" width="15" style="13" customWidth="1"/>
    <col min="269" max="269" width="13.33203125" style="13" customWidth="1"/>
    <col min="270" max="270" width="17" style="13" customWidth="1"/>
    <col min="271" max="271" width="24.88671875" style="13" customWidth="1"/>
    <col min="272" max="272" width="14.44140625" style="13" customWidth="1"/>
    <col min="273" max="273" width="23.109375" style="13" customWidth="1"/>
    <col min="274" max="274" width="13.109375" style="13" customWidth="1"/>
    <col min="275" max="278" width="0" style="13" hidden="1" customWidth="1"/>
    <col min="279" max="514" width="10.33203125" style="13"/>
    <col min="515" max="515" width="7" style="13" customWidth="1"/>
    <col min="516" max="516" width="13" style="13" customWidth="1"/>
    <col min="517" max="517" width="14.109375" style="13" customWidth="1"/>
    <col min="518" max="518" width="17.33203125" style="13" customWidth="1"/>
    <col min="519" max="519" width="18.88671875" style="13" customWidth="1"/>
    <col min="520" max="520" width="14.109375" style="13" customWidth="1"/>
    <col min="521" max="521" width="21.5546875" style="13" customWidth="1"/>
    <col min="522" max="523" width="14.109375" style="13" customWidth="1"/>
    <col min="524" max="524" width="15" style="13" customWidth="1"/>
    <col min="525" max="525" width="13.33203125" style="13" customWidth="1"/>
    <col min="526" max="526" width="17" style="13" customWidth="1"/>
    <col min="527" max="527" width="24.88671875" style="13" customWidth="1"/>
    <col min="528" max="528" width="14.44140625" style="13" customWidth="1"/>
    <col min="529" max="529" width="23.109375" style="13" customWidth="1"/>
    <col min="530" max="530" width="13.109375" style="13" customWidth="1"/>
    <col min="531" max="534" width="0" style="13" hidden="1" customWidth="1"/>
    <col min="535" max="770" width="10.33203125" style="13"/>
    <col min="771" max="771" width="7" style="13" customWidth="1"/>
    <col min="772" max="772" width="13" style="13" customWidth="1"/>
    <col min="773" max="773" width="14.109375" style="13" customWidth="1"/>
    <col min="774" max="774" width="17.33203125" style="13" customWidth="1"/>
    <col min="775" max="775" width="18.88671875" style="13" customWidth="1"/>
    <col min="776" max="776" width="14.109375" style="13" customWidth="1"/>
    <col min="777" max="777" width="21.5546875" style="13" customWidth="1"/>
    <col min="778" max="779" width="14.109375" style="13" customWidth="1"/>
    <col min="780" max="780" width="15" style="13" customWidth="1"/>
    <col min="781" max="781" width="13.33203125" style="13" customWidth="1"/>
    <col min="782" max="782" width="17" style="13" customWidth="1"/>
    <col min="783" max="783" width="24.88671875" style="13" customWidth="1"/>
    <col min="784" max="784" width="14.44140625" style="13" customWidth="1"/>
    <col min="785" max="785" width="23.109375" style="13" customWidth="1"/>
    <col min="786" max="786" width="13.109375" style="13" customWidth="1"/>
    <col min="787" max="790" width="0" style="13" hidden="1" customWidth="1"/>
    <col min="791" max="1026" width="10.33203125" style="13"/>
    <col min="1027" max="1027" width="7" style="13" customWidth="1"/>
    <col min="1028" max="1028" width="13" style="13" customWidth="1"/>
    <col min="1029" max="1029" width="14.109375" style="13" customWidth="1"/>
    <col min="1030" max="1030" width="17.33203125" style="13" customWidth="1"/>
    <col min="1031" max="1031" width="18.88671875" style="13" customWidth="1"/>
    <col min="1032" max="1032" width="14.109375" style="13" customWidth="1"/>
    <col min="1033" max="1033" width="21.5546875" style="13" customWidth="1"/>
    <col min="1034" max="1035" width="14.109375" style="13" customWidth="1"/>
    <col min="1036" max="1036" width="15" style="13" customWidth="1"/>
    <col min="1037" max="1037" width="13.33203125" style="13" customWidth="1"/>
    <col min="1038" max="1038" width="17" style="13" customWidth="1"/>
    <col min="1039" max="1039" width="24.88671875" style="13" customWidth="1"/>
    <col min="1040" max="1040" width="14.44140625" style="13" customWidth="1"/>
    <col min="1041" max="1041" width="23.109375" style="13" customWidth="1"/>
    <col min="1042" max="1042" width="13.109375" style="13" customWidth="1"/>
    <col min="1043" max="1046" width="0" style="13" hidden="1" customWidth="1"/>
    <col min="1047" max="1282" width="10.33203125" style="13"/>
    <col min="1283" max="1283" width="7" style="13" customWidth="1"/>
    <col min="1284" max="1284" width="13" style="13" customWidth="1"/>
    <col min="1285" max="1285" width="14.109375" style="13" customWidth="1"/>
    <col min="1286" max="1286" width="17.33203125" style="13" customWidth="1"/>
    <col min="1287" max="1287" width="18.88671875" style="13" customWidth="1"/>
    <col min="1288" max="1288" width="14.109375" style="13" customWidth="1"/>
    <col min="1289" max="1289" width="21.5546875" style="13" customWidth="1"/>
    <col min="1290" max="1291" width="14.109375" style="13" customWidth="1"/>
    <col min="1292" max="1292" width="15" style="13" customWidth="1"/>
    <col min="1293" max="1293" width="13.33203125" style="13" customWidth="1"/>
    <col min="1294" max="1294" width="17" style="13" customWidth="1"/>
    <col min="1295" max="1295" width="24.88671875" style="13" customWidth="1"/>
    <col min="1296" max="1296" width="14.44140625" style="13" customWidth="1"/>
    <col min="1297" max="1297" width="23.109375" style="13" customWidth="1"/>
    <col min="1298" max="1298" width="13.109375" style="13" customWidth="1"/>
    <col min="1299" max="1302" width="0" style="13" hidden="1" customWidth="1"/>
    <col min="1303" max="1538" width="10.33203125" style="13"/>
    <col min="1539" max="1539" width="7" style="13" customWidth="1"/>
    <col min="1540" max="1540" width="13" style="13" customWidth="1"/>
    <col min="1541" max="1541" width="14.109375" style="13" customWidth="1"/>
    <col min="1542" max="1542" width="17.33203125" style="13" customWidth="1"/>
    <col min="1543" max="1543" width="18.88671875" style="13" customWidth="1"/>
    <col min="1544" max="1544" width="14.109375" style="13" customWidth="1"/>
    <col min="1545" max="1545" width="21.5546875" style="13" customWidth="1"/>
    <col min="1546" max="1547" width="14.109375" style="13" customWidth="1"/>
    <col min="1548" max="1548" width="15" style="13" customWidth="1"/>
    <col min="1549" max="1549" width="13.33203125" style="13" customWidth="1"/>
    <col min="1550" max="1550" width="17" style="13" customWidth="1"/>
    <col min="1551" max="1551" width="24.88671875" style="13" customWidth="1"/>
    <col min="1552" max="1552" width="14.44140625" style="13" customWidth="1"/>
    <col min="1553" max="1553" width="23.109375" style="13" customWidth="1"/>
    <col min="1554" max="1554" width="13.109375" style="13" customWidth="1"/>
    <col min="1555" max="1558" width="0" style="13" hidden="1" customWidth="1"/>
    <col min="1559" max="1794" width="10.33203125" style="13"/>
    <col min="1795" max="1795" width="7" style="13" customWidth="1"/>
    <col min="1796" max="1796" width="13" style="13" customWidth="1"/>
    <col min="1797" max="1797" width="14.109375" style="13" customWidth="1"/>
    <col min="1798" max="1798" width="17.33203125" style="13" customWidth="1"/>
    <col min="1799" max="1799" width="18.88671875" style="13" customWidth="1"/>
    <col min="1800" max="1800" width="14.109375" style="13" customWidth="1"/>
    <col min="1801" max="1801" width="21.5546875" style="13" customWidth="1"/>
    <col min="1802" max="1803" width="14.109375" style="13" customWidth="1"/>
    <col min="1804" max="1804" width="15" style="13" customWidth="1"/>
    <col min="1805" max="1805" width="13.33203125" style="13" customWidth="1"/>
    <col min="1806" max="1806" width="17" style="13" customWidth="1"/>
    <col min="1807" max="1807" width="24.88671875" style="13" customWidth="1"/>
    <col min="1808" max="1808" width="14.44140625" style="13" customWidth="1"/>
    <col min="1809" max="1809" width="23.109375" style="13" customWidth="1"/>
    <col min="1810" max="1810" width="13.109375" style="13" customWidth="1"/>
    <col min="1811" max="1814" width="0" style="13" hidden="1" customWidth="1"/>
    <col min="1815" max="2050" width="10.33203125" style="13"/>
    <col min="2051" max="2051" width="7" style="13" customWidth="1"/>
    <col min="2052" max="2052" width="13" style="13" customWidth="1"/>
    <col min="2053" max="2053" width="14.109375" style="13" customWidth="1"/>
    <col min="2054" max="2054" width="17.33203125" style="13" customWidth="1"/>
    <col min="2055" max="2055" width="18.88671875" style="13" customWidth="1"/>
    <col min="2056" max="2056" width="14.109375" style="13" customWidth="1"/>
    <col min="2057" max="2057" width="21.5546875" style="13" customWidth="1"/>
    <col min="2058" max="2059" width="14.109375" style="13" customWidth="1"/>
    <col min="2060" max="2060" width="15" style="13" customWidth="1"/>
    <col min="2061" max="2061" width="13.33203125" style="13" customWidth="1"/>
    <col min="2062" max="2062" width="17" style="13" customWidth="1"/>
    <col min="2063" max="2063" width="24.88671875" style="13" customWidth="1"/>
    <col min="2064" max="2064" width="14.44140625" style="13" customWidth="1"/>
    <col min="2065" max="2065" width="23.109375" style="13" customWidth="1"/>
    <col min="2066" max="2066" width="13.109375" style="13" customWidth="1"/>
    <col min="2067" max="2070" width="0" style="13" hidden="1" customWidth="1"/>
    <col min="2071" max="2306" width="10.33203125" style="13"/>
    <col min="2307" max="2307" width="7" style="13" customWidth="1"/>
    <col min="2308" max="2308" width="13" style="13" customWidth="1"/>
    <col min="2309" max="2309" width="14.109375" style="13" customWidth="1"/>
    <col min="2310" max="2310" width="17.33203125" style="13" customWidth="1"/>
    <col min="2311" max="2311" width="18.88671875" style="13" customWidth="1"/>
    <col min="2312" max="2312" width="14.109375" style="13" customWidth="1"/>
    <col min="2313" max="2313" width="21.5546875" style="13" customWidth="1"/>
    <col min="2314" max="2315" width="14.109375" style="13" customWidth="1"/>
    <col min="2316" max="2316" width="15" style="13" customWidth="1"/>
    <col min="2317" max="2317" width="13.33203125" style="13" customWidth="1"/>
    <col min="2318" max="2318" width="17" style="13" customWidth="1"/>
    <col min="2319" max="2319" width="24.88671875" style="13" customWidth="1"/>
    <col min="2320" max="2320" width="14.44140625" style="13" customWidth="1"/>
    <col min="2321" max="2321" width="23.109375" style="13" customWidth="1"/>
    <col min="2322" max="2322" width="13.109375" style="13" customWidth="1"/>
    <col min="2323" max="2326" width="0" style="13" hidden="1" customWidth="1"/>
    <col min="2327" max="2562" width="10.33203125" style="13"/>
    <col min="2563" max="2563" width="7" style="13" customWidth="1"/>
    <col min="2564" max="2564" width="13" style="13" customWidth="1"/>
    <col min="2565" max="2565" width="14.109375" style="13" customWidth="1"/>
    <col min="2566" max="2566" width="17.33203125" style="13" customWidth="1"/>
    <col min="2567" max="2567" width="18.88671875" style="13" customWidth="1"/>
    <col min="2568" max="2568" width="14.109375" style="13" customWidth="1"/>
    <col min="2569" max="2569" width="21.5546875" style="13" customWidth="1"/>
    <col min="2570" max="2571" width="14.109375" style="13" customWidth="1"/>
    <col min="2572" max="2572" width="15" style="13" customWidth="1"/>
    <col min="2573" max="2573" width="13.33203125" style="13" customWidth="1"/>
    <col min="2574" max="2574" width="17" style="13" customWidth="1"/>
    <col min="2575" max="2575" width="24.88671875" style="13" customWidth="1"/>
    <col min="2576" max="2576" width="14.44140625" style="13" customWidth="1"/>
    <col min="2577" max="2577" width="23.109375" style="13" customWidth="1"/>
    <col min="2578" max="2578" width="13.109375" style="13" customWidth="1"/>
    <col min="2579" max="2582" width="0" style="13" hidden="1" customWidth="1"/>
    <col min="2583" max="2818" width="10.33203125" style="13"/>
    <col min="2819" max="2819" width="7" style="13" customWidth="1"/>
    <col min="2820" max="2820" width="13" style="13" customWidth="1"/>
    <col min="2821" max="2821" width="14.109375" style="13" customWidth="1"/>
    <col min="2822" max="2822" width="17.33203125" style="13" customWidth="1"/>
    <col min="2823" max="2823" width="18.88671875" style="13" customWidth="1"/>
    <col min="2824" max="2824" width="14.109375" style="13" customWidth="1"/>
    <col min="2825" max="2825" width="21.5546875" style="13" customWidth="1"/>
    <col min="2826" max="2827" width="14.109375" style="13" customWidth="1"/>
    <col min="2828" max="2828" width="15" style="13" customWidth="1"/>
    <col min="2829" max="2829" width="13.33203125" style="13" customWidth="1"/>
    <col min="2830" max="2830" width="17" style="13" customWidth="1"/>
    <col min="2831" max="2831" width="24.88671875" style="13" customWidth="1"/>
    <col min="2832" max="2832" width="14.44140625" style="13" customWidth="1"/>
    <col min="2833" max="2833" width="23.109375" style="13" customWidth="1"/>
    <col min="2834" max="2834" width="13.109375" style="13" customWidth="1"/>
    <col min="2835" max="2838" width="0" style="13" hidden="1" customWidth="1"/>
    <col min="2839" max="3074" width="10.33203125" style="13"/>
    <col min="3075" max="3075" width="7" style="13" customWidth="1"/>
    <col min="3076" max="3076" width="13" style="13" customWidth="1"/>
    <col min="3077" max="3077" width="14.109375" style="13" customWidth="1"/>
    <col min="3078" max="3078" width="17.33203125" style="13" customWidth="1"/>
    <col min="3079" max="3079" width="18.88671875" style="13" customWidth="1"/>
    <col min="3080" max="3080" width="14.109375" style="13" customWidth="1"/>
    <col min="3081" max="3081" width="21.5546875" style="13" customWidth="1"/>
    <col min="3082" max="3083" width="14.109375" style="13" customWidth="1"/>
    <col min="3084" max="3084" width="15" style="13" customWidth="1"/>
    <col min="3085" max="3085" width="13.33203125" style="13" customWidth="1"/>
    <col min="3086" max="3086" width="17" style="13" customWidth="1"/>
    <col min="3087" max="3087" width="24.88671875" style="13" customWidth="1"/>
    <col min="3088" max="3088" width="14.44140625" style="13" customWidth="1"/>
    <col min="3089" max="3089" width="23.109375" style="13" customWidth="1"/>
    <col min="3090" max="3090" width="13.109375" style="13" customWidth="1"/>
    <col min="3091" max="3094" width="0" style="13" hidden="1" customWidth="1"/>
    <col min="3095" max="3330" width="10.33203125" style="13"/>
    <col min="3331" max="3331" width="7" style="13" customWidth="1"/>
    <col min="3332" max="3332" width="13" style="13" customWidth="1"/>
    <col min="3333" max="3333" width="14.109375" style="13" customWidth="1"/>
    <col min="3334" max="3334" width="17.33203125" style="13" customWidth="1"/>
    <col min="3335" max="3335" width="18.88671875" style="13" customWidth="1"/>
    <col min="3336" max="3336" width="14.109375" style="13" customWidth="1"/>
    <col min="3337" max="3337" width="21.5546875" style="13" customWidth="1"/>
    <col min="3338" max="3339" width="14.109375" style="13" customWidth="1"/>
    <col min="3340" max="3340" width="15" style="13" customWidth="1"/>
    <col min="3341" max="3341" width="13.33203125" style="13" customWidth="1"/>
    <col min="3342" max="3342" width="17" style="13" customWidth="1"/>
    <col min="3343" max="3343" width="24.88671875" style="13" customWidth="1"/>
    <col min="3344" max="3344" width="14.44140625" style="13" customWidth="1"/>
    <col min="3345" max="3345" width="23.109375" style="13" customWidth="1"/>
    <col min="3346" max="3346" width="13.109375" style="13" customWidth="1"/>
    <col min="3347" max="3350" width="0" style="13" hidden="1" customWidth="1"/>
    <col min="3351" max="3586" width="10.33203125" style="13"/>
    <col min="3587" max="3587" width="7" style="13" customWidth="1"/>
    <col min="3588" max="3588" width="13" style="13" customWidth="1"/>
    <col min="3589" max="3589" width="14.109375" style="13" customWidth="1"/>
    <col min="3590" max="3590" width="17.33203125" style="13" customWidth="1"/>
    <col min="3591" max="3591" width="18.88671875" style="13" customWidth="1"/>
    <col min="3592" max="3592" width="14.109375" style="13" customWidth="1"/>
    <col min="3593" max="3593" width="21.5546875" style="13" customWidth="1"/>
    <col min="3594" max="3595" width="14.109375" style="13" customWidth="1"/>
    <col min="3596" max="3596" width="15" style="13" customWidth="1"/>
    <col min="3597" max="3597" width="13.33203125" style="13" customWidth="1"/>
    <col min="3598" max="3598" width="17" style="13" customWidth="1"/>
    <col min="3599" max="3599" width="24.88671875" style="13" customWidth="1"/>
    <col min="3600" max="3600" width="14.44140625" style="13" customWidth="1"/>
    <col min="3601" max="3601" width="23.109375" style="13" customWidth="1"/>
    <col min="3602" max="3602" width="13.109375" style="13" customWidth="1"/>
    <col min="3603" max="3606" width="0" style="13" hidden="1" customWidth="1"/>
    <col min="3607" max="3842" width="10.33203125" style="13"/>
    <col min="3843" max="3843" width="7" style="13" customWidth="1"/>
    <col min="3844" max="3844" width="13" style="13" customWidth="1"/>
    <col min="3845" max="3845" width="14.109375" style="13" customWidth="1"/>
    <col min="3846" max="3846" width="17.33203125" style="13" customWidth="1"/>
    <col min="3847" max="3847" width="18.88671875" style="13" customWidth="1"/>
    <col min="3848" max="3848" width="14.109375" style="13" customWidth="1"/>
    <col min="3849" max="3849" width="21.5546875" style="13" customWidth="1"/>
    <col min="3850" max="3851" width="14.109375" style="13" customWidth="1"/>
    <col min="3852" max="3852" width="15" style="13" customWidth="1"/>
    <col min="3853" max="3853" width="13.33203125" style="13" customWidth="1"/>
    <col min="3854" max="3854" width="17" style="13" customWidth="1"/>
    <col min="3855" max="3855" width="24.88671875" style="13" customWidth="1"/>
    <col min="3856" max="3856" width="14.44140625" style="13" customWidth="1"/>
    <col min="3857" max="3857" width="23.109375" style="13" customWidth="1"/>
    <col min="3858" max="3858" width="13.109375" style="13" customWidth="1"/>
    <col min="3859" max="3862" width="0" style="13" hidden="1" customWidth="1"/>
    <col min="3863" max="4098" width="10.33203125" style="13"/>
    <col min="4099" max="4099" width="7" style="13" customWidth="1"/>
    <col min="4100" max="4100" width="13" style="13" customWidth="1"/>
    <col min="4101" max="4101" width="14.109375" style="13" customWidth="1"/>
    <col min="4102" max="4102" width="17.33203125" style="13" customWidth="1"/>
    <col min="4103" max="4103" width="18.88671875" style="13" customWidth="1"/>
    <col min="4104" max="4104" width="14.109375" style="13" customWidth="1"/>
    <col min="4105" max="4105" width="21.5546875" style="13" customWidth="1"/>
    <col min="4106" max="4107" width="14.109375" style="13" customWidth="1"/>
    <col min="4108" max="4108" width="15" style="13" customWidth="1"/>
    <col min="4109" max="4109" width="13.33203125" style="13" customWidth="1"/>
    <col min="4110" max="4110" width="17" style="13" customWidth="1"/>
    <col min="4111" max="4111" width="24.88671875" style="13" customWidth="1"/>
    <col min="4112" max="4112" width="14.44140625" style="13" customWidth="1"/>
    <col min="4113" max="4113" width="23.109375" style="13" customWidth="1"/>
    <col min="4114" max="4114" width="13.109375" style="13" customWidth="1"/>
    <col min="4115" max="4118" width="0" style="13" hidden="1" customWidth="1"/>
    <col min="4119" max="4354" width="10.33203125" style="13"/>
    <col min="4355" max="4355" width="7" style="13" customWidth="1"/>
    <col min="4356" max="4356" width="13" style="13" customWidth="1"/>
    <col min="4357" max="4357" width="14.109375" style="13" customWidth="1"/>
    <col min="4358" max="4358" width="17.33203125" style="13" customWidth="1"/>
    <col min="4359" max="4359" width="18.88671875" style="13" customWidth="1"/>
    <col min="4360" max="4360" width="14.109375" style="13" customWidth="1"/>
    <col min="4361" max="4361" width="21.5546875" style="13" customWidth="1"/>
    <col min="4362" max="4363" width="14.109375" style="13" customWidth="1"/>
    <col min="4364" max="4364" width="15" style="13" customWidth="1"/>
    <col min="4365" max="4365" width="13.33203125" style="13" customWidth="1"/>
    <col min="4366" max="4366" width="17" style="13" customWidth="1"/>
    <col min="4367" max="4367" width="24.88671875" style="13" customWidth="1"/>
    <col min="4368" max="4368" width="14.44140625" style="13" customWidth="1"/>
    <col min="4369" max="4369" width="23.109375" style="13" customWidth="1"/>
    <col min="4370" max="4370" width="13.109375" style="13" customWidth="1"/>
    <col min="4371" max="4374" width="0" style="13" hidden="1" customWidth="1"/>
    <col min="4375" max="4610" width="10.33203125" style="13"/>
    <col min="4611" max="4611" width="7" style="13" customWidth="1"/>
    <col min="4612" max="4612" width="13" style="13" customWidth="1"/>
    <col min="4613" max="4613" width="14.109375" style="13" customWidth="1"/>
    <col min="4614" max="4614" width="17.33203125" style="13" customWidth="1"/>
    <col min="4615" max="4615" width="18.88671875" style="13" customWidth="1"/>
    <col min="4616" max="4616" width="14.109375" style="13" customWidth="1"/>
    <col min="4617" max="4617" width="21.5546875" style="13" customWidth="1"/>
    <col min="4618" max="4619" width="14.109375" style="13" customWidth="1"/>
    <col min="4620" max="4620" width="15" style="13" customWidth="1"/>
    <col min="4621" max="4621" width="13.33203125" style="13" customWidth="1"/>
    <col min="4622" max="4622" width="17" style="13" customWidth="1"/>
    <col min="4623" max="4623" width="24.88671875" style="13" customWidth="1"/>
    <col min="4624" max="4624" width="14.44140625" style="13" customWidth="1"/>
    <col min="4625" max="4625" width="23.109375" style="13" customWidth="1"/>
    <col min="4626" max="4626" width="13.109375" style="13" customWidth="1"/>
    <col min="4627" max="4630" width="0" style="13" hidden="1" customWidth="1"/>
    <col min="4631" max="4866" width="10.33203125" style="13"/>
    <col min="4867" max="4867" width="7" style="13" customWidth="1"/>
    <col min="4868" max="4868" width="13" style="13" customWidth="1"/>
    <col min="4869" max="4869" width="14.109375" style="13" customWidth="1"/>
    <col min="4870" max="4870" width="17.33203125" style="13" customWidth="1"/>
    <col min="4871" max="4871" width="18.88671875" style="13" customWidth="1"/>
    <col min="4872" max="4872" width="14.109375" style="13" customWidth="1"/>
    <col min="4873" max="4873" width="21.5546875" style="13" customWidth="1"/>
    <col min="4874" max="4875" width="14.109375" style="13" customWidth="1"/>
    <col min="4876" max="4876" width="15" style="13" customWidth="1"/>
    <col min="4877" max="4877" width="13.33203125" style="13" customWidth="1"/>
    <col min="4878" max="4878" width="17" style="13" customWidth="1"/>
    <col min="4879" max="4879" width="24.88671875" style="13" customWidth="1"/>
    <col min="4880" max="4880" width="14.44140625" style="13" customWidth="1"/>
    <col min="4881" max="4881" width="23.109375" style="13" customWidth="1"/>
    <col min="4882" max="4882" width="13.109375" style="13" customWidth="1"/>
    <col min="4883" max="4886" width="0" style="13" hidden="1" customWidth="1"/>
    <col min="4887" max="5122" width="10.33203125" style="13"/>
    <col min="5123" max="5123" width="7" style="13" customWidth="1"/>
    <col min="5124" max="5124" width="13" style="13" customWidth="1"/>
    <col min="5125" max="5125" width="14.109375" style="13" customWidth="1"/>
    <col min="5126" max="5126" width="17.33203125" style="13" customWidth="1"/>
    <col min="5127" max="5127" width="18.88671875" style="13" customWidth="1"/>
    <col min="5128" max="5128" width="14.109375" style="13" customWidth="1"/>
    <col min="5129" max="5129" width="21.5546875" style="13" customWidth="1"/>
    <col min="5130" max="5131" width="14.109375" style="13" customWidth="1"/>
    <col min="5132" max="5132" width="15" style="13" customWidth="1"/>
    <col min="5133" max="5133" width="13.33203125" style="13" customWidth="1"/>
    <col min="5134" max="5134" width="17" style="13" customWidth="1"/>
    <col min="5135" max="5135" width="24.88671875" style="13" customWidth="1"/>
    <col min="5136" max="5136" width="14.44140625" style="13" customWidth="1"/>
    <col min="5137" max="5137" width="23.109375" style="13" customWidth="1"/>
    <col min="5138" max="5138" width="13.109375" style="13" customWidth="1"/>
    <col min="5139" max="5142" width="0" style="13" hidden="1" customWidth="1"/>
    <col min="5143" max="5378" width="10.33203125" style="13"/>
    <col min="5379" max="5379" width="7" style="13" customWidth="1"/>
    <col min="5380" max="5380" width="13" style="13" customWidth="1"/>
    <col min="5381" max="5381" width="14.109375" style="13" customWidth="1"/>
    <col min="5382" max="5382" width="17.33203125" style="13" customWidth="1"/>
    <col min="5383" max="5383" width="18.88671875" style="13" customWidth="1"/>
    <col min="5384" max="5384" width="14.109375" style="13" customWidth="1"/>
    <col min="5385" max="5385" width="21.5546875" style="13" customWidth="1"/>
    <col min="5386" max="5387" width="14.109375" style="13" customWidth="1"/>
    <col min="5388" max="5388" width="15" style="13" customWidth="1"/>
    <col min="5389" max="5389" width="13.33203125" style="13" customWidth="1"/>
    <col min="5390" max="5390" width="17" style="13" customWidth="1"/>
    <col min="5391" max="5391" width="24.88671875" style="13" customWidth="1"/>
    <col min="5392" max="5392" width="14.44140625" style="13" customWidth="1"/>
    <col min="5393" max="5393" width="23.109375" style="13" customWidth="1"/>
    <col min="5394" max="5394" width="13.109375" style="13" customWidth="1"/>
    <col min="5395" max="5398" width="0" style="13" hidden="1" customWidth="1"/>
    <col min="5399" max="5634" width="10.33203125" style="13"/>
    <col min="5635" max="5635" width="7" style="13" customWidth="1"/>
    <col min="5636" max="5636" width="13" style="13" customWidth="1"/>
    <col min="5637" max="5637" width="14.109375" style="13" customWidth="1"/>
    <col min="5638" max="5638" width="17.33203125" style="13" customWidth="1"/>
    <col min="5639" max="5639" width="18.88671875" style="13" customWidth="1"/>
    <col min="5640" max="5640" width="14.109375" style="13" customWidth="1"/>
    <col min="5641" max="5641" width="21.5546875" style="13" customWidth="1"/>
    <col min="5642" max="5643" width="14.109375" style="13" customWidth="1"/>
    <col min="5644" max="5644" width="15" style="13" customWidth="1"/>
    <col min="5645" max="5645" width="13.33203125" style="13" customWidth="1"/>
    <col min="5646" max="5646" width="17" style="13" customWidth="1"/>
    <col min="5647" max="5647" width="24.88671875" style="13" customWidth="1"/>
    <col min="5648" max="5648" width="14.44140625" style="13" customWidth="1"/>
    <col min="5649" max="5649" width="23.109375" style="13" customWidth="1"/>
    <col min="5650" max="5650" width="13.109375" style="13" customWidth="1"/>
    <col min="5651" max="5654" width="0" style="13" hidden="1" customWidth="1"/>
    <col min="5655" max="5890" width="10.33203125" style="13"/>
    <col min="5891" max="5891" width="7" style="13" customWidth="1"/>
    <col min="5892" max="5892" width="13" style="13" customWidth="1"/>
    <col min="5893" max="5893" width="14.109375" style="13" customWidth="1"/>
    <col min="5894" max="5894" width="17.33203125" style="13" customWidth="1"/>
    <col min="5895" max="5895" width="18.88671875" style="13" customWidth="1"/>
    <col min="5896" max="5896" width="14.109375" style="13" customWidth="1"/>
    <col min="5897" max="5897" width="21.5546875" style="13" customWidth="1"/>
    <col min="5898" max="5899" width="14.109375" style="13" customWidth="1"/>
    <col min="5900" max="5900" width="15" style="13" customWidth="1"/>
    <col min="5901" max="5901" width="13.33203125" style="13" customWidth="1"/>
    <col min="5902" max="5902" width="17" style="13" customWidth="1"/>
    <col min="5903" max="5903" width="24.88671875" style="13" customWidth="1"/>
    <col min="5904" max="5904" width="14.44140625" style="13" customWidth="1"/>
    <col min="5905" max="5905" width="23.109375" style="13" customWidth="1"/>
    <col min="5906" max="5906" width="13.109375" style="13" customWidth="1"/>
    <col min="5907" max="5910" width="0" style="13" hidden="1" customWidth="1"/>
    <col min="5911" max="6146" width="10.33203125" style="13"/>
    <col min="6147" max="6147" width="7" style="13" customWidth="1"/>
    <col min="6148" max="6148" width="13" style="13" customWidth="1"/>
    <col min="6149" max="6149" width="14.109375" style="13" customWidth="1"/>
    <col min="6150" max="6150" width="17.33203125" style="13" customWidth="1"/>
    <col min="6151" max="6151" width="18.88671875" style="13" customWidth="1"/>
    <col min="6152" max="6152" width="14.109375" style="13" customWidth="1"/>
    <col min="6153" max="6153" width="21.5546875" style="13" customWidth="1"/>
    <col min="6154" max="6155" width="14.109375" style="13" customWidth="1"/>
    <col min="6156" max="6156" width="15" style="13" customWidth="1"/>
    <col min="6157" max="6157" width="13.33203125" style="13" customWidth="1"/>
    <col min="6158" max="6158" width="17" style="13" customWidth="1"/>
    <col min="6159" max="6159" width="24.88671875" style="13" customWidth="1"/>
    <col min="6160" max="6160" width="14.44140625" style="13" customWidth="1"/>
    <col min="6161" max="6161" width="23.109375" style="13" customWidth="1"/>
    <col min="6162" max="6162" width="13.109375" style="13" customWidth="1"/>
    <col min="6163" max="6166" width="0" style="13" hidden="1" customWidth="1"/>
    <col min="6167" max="6402" width="10.33203125" style="13"/>
    <col min="6403" max="6403" width="7" style="13" customWidth="1"/>
    <col min="6404" max="6404" width="13" style="13" customWidth="1"/>
    <col min="6405" max="6405" width="14.109375" style="13" customWidth="1"/>
    <col min="6406" max="6406" width="17.33203125" style="13" customWidth="1"/>
    <col min="6407" max="6407" width="18.88671875" style="13" customWidth="1"/>
    <col min="6408" max="6408" width="14.109375" style="13" customWidth="1"/>
    <col min="6409" max="6409" width="21.5546875" style="13" customWidth="1"/>
    <col min="6410" max="6411" width="14.109375" style="13" customWidth="1"/>
    <col min="6412" max="6412" width="15" style="13" customWidth="1"/>
    <col min="6413" max="6413" width="13.33203125" style="13" customWidth="1"/>
    <col min="6414" max="6414" width="17" style="13" customWidth="1"/>
    <col min="6415" max="6415" width="24.88671875" style="13" customWidth="1"/>
    <col min="6416" max="6416" width="14.44140625" style="13" customWidth="1"/>
    <col min="6417" max="6417" width="23.109375" style="13" customWidth="1"/>
    <col min="6418" max="6418" width="13.109375" style="13" customWidth="1"/>
    <col min="6419" max="6422" width="0" style="13" hidden="1" customWidth="1"/>
    <col min="6423" max="6658" width="10.33203125" style="13"/>
    <col min="6659" max="6659" width="7" style="13" customWidth="1"/>
    <col min="6660" max="6660" width="13" style="13" customWidth="1"/>
    <col min="6661" max="6661" width="14.109375" style="13" customWidth="1"/>
    <col min="6662" max="6662" width="17.33203125" style="13" customWidth="1"/>
    <col min="6663" max="6663" width="18.88671875" style="13" customWidth="1"/>
    <col min="6664" max="6664" width="14.109375" style="13" customWidth="1"/>
    <col min="6665" max="6665" width="21.5546875" style="13" customWidth="1"/>
    <col min="6666" max="6667" width="14.109375" style="13" customWidth="1"/>
    <col min="6668" max="6668" width="15" style="13" customWidth="1"/>
    <col min="6669" max="6669" width="13.33203125" style="13" customWidth="1"/>
    <col min="6670" max="6670" width="17" style="13" customWidth="1"/>
    <col min="6671" max="6671" width="24.88671875" style="13" customWidth="1"/>
    <col min="6672" max="6672" width="14.44140625" style="13" customWidth="1"/>
    <col min="6673" max="6673" width="23.109375" style="13" customWidth="1"/>
    <col min="6674" max="6674" width="13.109375" style="13" customWidth="1"/>
    <col min="6675" max="6678" width="0" style="13" hidden="1" customWidth="1"/>
    <col min="6679" max="6914" width="10.33203125" style="13"/>
    <col min="6915" max="6915" width="7" style="13" customWidth="1"/>
    <col min="6916" max="6916" width="13" style="13" customWidth="1"/>
    <col min="6917" max="6917" width="14.109375" style="13" customWidth="1"/>
    <col min="6918" max="6918" width="17.33203125" style="13" customWidth="1"/>
    <col min="6919" max="6919" width="18.88671875" style="13" customWidth="1"/>
    <col min="6920" max="6920" width="14.109375" style="13" customWidth="1"/>
    <col min="6921" max="6921" width="21.5546875" style="13" customWidth="1"/>
    <col min="6922" max="6923" width="14.109375" style="13" customWidth="1"/>
    <col min="6924" max="6924" width="15" style="13" customWidth="1"/>
    <col min="6925" max="6925" width="13.33203125" style="13" customWidth="1"/>
    <col min="6926" max="6926" width="17" style="13" customWidth="1"/>
    <col min="6927" max="6927" width="24.88671875" style="13" customWidth="1"/>
    <col min="6928" max="6928" width="14.44140625" style="13" customWidth="1"/>
    <col min="6929" max="6929" width="23.109375" style="13" customWidth="1"/>
    <col min="6930" max="6930" width="13.109375" style="13" customWidth="1"/>
    <col min="6931" max="6934" width="0" style="13" hidden="1" customWidth="1"/>
    <col min="6935" max="7170" width="10.33203125" style="13"/>
    <col min="7171" max="7171" width="7" style="13" customWidth="1"/>
    <col min="7172" max="7172" width="13" style="13" customWidth="1"/>
    <col min="7173" max="7173" width="14.109375" style="13" customWidth="1"/>
    <col min="7174" max="7174" width="17.33203125" style="13" customWidth="1"/>
    <col min="7175" max="7175" width="18.88671875" style="13" customWidth="1"/>
    <col min="7176" max="7176" width="14.109375" style="13" customWidth="1"/>
    <col min="7177" max="7177" width="21.5546875" style="13" customWidth="1"/>
    <col min="7178" max="7179" width="14.109375" style="13" customWidth="1"/>
    <col min="7180" max="7180" width="15" style="13" customWidth="1"/>
    <col min="7181" max="7181" width="13.33203125" style="13" customWidth="1"/>
    <col min="7182" max="7182" width="17" style="13" customWidth="1"/>
    <col min="7183" max="7183" width="24.88671875" style="13" customWidth="1"/>
    <col min="7184" max="7184" width="14.44140625" style="13" customWidth="1"/>
    <col min="7185" max="7185" width="23.109375" style="13" customWidth="1"/>
    <col min="7186" max="7186" width="13.109375" style="13" customWidth="1"/>
    <col min="7187" max="7190" width="0" style="13" hidden="1" customWidth="1"/>
    <col min="7191" max="7426" width="10.33203125" style="13"/>
    <col min="7427" max="7427" width="7" style="13" customWidth="1"/>
    <col min="7428" max="7428" width="13" style="13" customWidth="1"/>
    <col min="7429" max="7429" width="14.109375" style="13" customWidth="1"/>
    <col min="7430" max="7430" width="17.33203125" style="13" customWidth="1"/>
    <col min="7431" max="7431" width="18.88671875" style="13" customWidth="1"/>
    <col min="7432" max="7432" width="14.109375" style="13" customWidth="1"/>
    <col min="7433" max="7433" width="21.5546875" style="13" customWidth="1"/>
    <col min="7434" max="7435" width="14.109375" style="13" customWidth="1"/>
    <col min="7436" max="7436" width="15" style="13" customWidth="1"/>
    <col min="7437" max="7437" width="13.33203125" style="13" customWidth="1"/>
    <col min="7438" max="7438" width="17" style="13" customWidth="1"/>
    <col min="7439" max="7439" width="24.88671875" style="13" customWidth="1"/>
    <col min="7440" max="7440" width="14.44140625" style="13" customWidth="1"/>
    <col min="7441" max="7441" width="23.109375" style="13" customWidth="1"/>
    <col min="7442" max="7442" width="13.109375" style="13" customWidth="1"/>
    <col min="7443" max="7446" width="0" style="13" hidden="1" customWidth="1"/>
    <col min="7447" max="7682" width="10.33203125" style="13"/>
    <col min="7683" max="7683" width="7" style="13" customWidth="1"/>
    <col min="7684" max="7684" width="13" style="13" customWidth="1"/>
    <col min="7685" max="7685" width="14.109375" style="13" customWidth="1"/>
    <col min="7686" max="7686" width="17.33203125" style="13" customWidth="1"/>
    <col min="7687" max="7687" width="18.88671875" style="13" customWidth="1"/>
    <col min="7688" max="7688" width="14.109375" style="13" customWidth="1"/>
    <col min="7689" max="7689" width="21.5546875" style="13" customWidth="1"/>
    <col min="7690" max="7691" width="14.109375" style="13" customWidth="1"/>
    <col min="7692" max="7692" width="15" style="13" customWidth="1"/>
    <col min="7693" max="7693" width="13.33203125" style="13" customWidth="1"/>
    <col min="7694" max="7694" width="17" style="13" customWidth="1"/>
    <col min="7695" max="7695" width="24.88671875" style="13" customWidth="1"/>
    <col min="7696" max="7696" width="14.44140625" style="13" customWidth="1"/>
    <col min="7697" max="7697" width="23.109375" style="13" customWidth="1"/>
    <col min="7698" max="7698" width="13.109375" style="13" customWidth="1"/>
    <col min="7699" max="7702" width="0" style="13" hidden="1" customWidth="1"/>
    <col min="7703" max="7938" width="10.33203125" style="13"/>
    <col min="7939" max="7939" width="7" style="13" customWidth="1"/>
    <col min="7940" max="7940" width="13" style="13" customWidth="1"/>
    <col min="7941" max="7941" width="14.109375" style="13" customWidth="1"/>
    <col min="7942" max="7942" width="17.33203125" style="13" customWidth="1"/>
    <col min="7943" max="7943" width="18.88671875" style="13" customWidth="1"/>
    <col min="7944" max="7944" width="14.109375" style="13" customWidth="1"/>
    <col min="7945" max="7945" width="21.5546875" style="13" customWidth="1"/>
    <col min="7946" max="7947" width="14.109375" style="13" customWidth="1"/>
    <col min="7948" max="7948" width="15" style="13" customWidth="1"/>
    <col min="7949" max="7949" width="13.33203125" style="13" customWidth="1"/>
    <col min="7950" max="7950" width="17" style="13" customWidth="1"/>
    <col min="7951" max="7951" width="24.88671875" style="13" customWidth="1"/>
    <col min="7952" max="7952" width="14.44140625" style="13" customWidth="1"/>
    <col min="7953" max="7953" width="23.109375" style="13" customWidth="1"/>
    <col min="7954" max="7954" width="13.109375" style="13" customWidth="1"/>
    <col min="7955" max="7958" width="0" style="13" hidden="1" customWidth="1"/>
    <col min="7959" max="8194" width="10.33203125" style="13"/>
    <col min="8195" max="8195" width="7" style="13" customWidth="1"/>
    <col min="8196" max="8196" width="13" style="13" customWidth="1"/>
    <col min="8197" max="8197" width="14.109375" style="13" customWidth="1"/>
    <col min="8198" max="8198" width="17.33203125" style="13" customWidth="1"/>
    <col min="8199" max="8199" width="18.88671875" style="13" customWidth="1"/>
    <col min="8200" max="8200" width="14.109375" style="13" customWidth="1"/>
    <col min="8201" max="8201" width="21.5546875" style="13" customWidth="1"/>
    <col min="8202" max="8203" width="14.109375" style="13" customWidth="1"/>
    <col min="8204" max="8204" width="15" style="13" customWidth="1"/>
    <col min="8205" max="8205" width="13.33203125" style="13" customWidth="1"/>
    <col min="8206" max="8206" width="17" style="13" customWidth="1"/>
    <col min="8207" max="8207" width="24.88671875" style="13" customWidth="1"/>
    <col min="8208" max="8208" width="14.44140625" style="13" customWidth="1"/>
    <col min="8209" max="8209" width="23.109375" style="13" customWidth="1"/>
    <col min="8210" max="8210" width="13.109375" style="13" customWidth="1"/>
    <col min="8211" max="8214" width="0" style="13" hidden="1" customWidth="1"/>
    <col min="8215" max="8450" width="10.33203125" style="13"/>
    <col min="8451" max="8451" width="7" style="13" customWidth="1"/>
    <col min="8452" max="8452" width="13" style="13" customWidth="1"/>
    <col min="8453" max="8453" width="14.109375" style="13" customWidth="1"/>
    <col min="8454" max="8454" width="17.33203125" style="13" customWidth="1"/>
    <col min="8455" max="8455" width="18.88671875" style="13" customWidth="1"/>
    <col min="8456" max="8456" width="14.109375" style="13" customWidth="1"/>
    <col min="8457" max="8457" width="21.5546875" style="13" customWidth="1"/>
    <col min="8458" max="8459" width="14.109375" style="13" customWidth="1"/>
    <col min="8460" max="8460" width="15" style="13" customWidth="1"/>
    <col min="8461" max="8461" width="13.33203125" style="13" customWidth="1"/>
    <col min="8462" max="8462" width="17" style="13" customWidth="1"/>
    <col min="8463" max="8463" width="24.88671875" style="13" customWidth="1"/>
    <col min="8464" max="8464" width="14.44140625" style="13" customWidth="1"/>
    <col min="8465" max="8465" width="23.109375" style="13" customWidth="1"/>
    <col min="8466" max="8466" width="13.109375" style="13" customWidth="1"/>
    <col min="8467" max="8470" width="0" style="13" hidden="1" customWidth="1"/>
    <col min="8471" max="8706" width="10.33203125" style="13"/>
    <col min="8707" max="8707" width="7" style="13" customWidth="1"/>
    <col min="8708" max="8708" width="13" style="13" customWidth="1"/>
    <col min="8709" max="8709" width="14.109375" style="13" customWidth="1"/>
    <col min="8710" max="8710" width="17.33203125" style="13" customWidth="1"/>
    <col min="8711" max="8711" width="18.88671875" style="13" customWidth="1"/>
    <col min="8712" max="8712" width="14.109375" style="13" customWidth="1"/>
    <col min="8713" max="8713" width="21.5546875" style="13" customWidth="1"/>
    <col min="8714" max="8715" width="14.109375" style="13" customWidth="1"/>
    <col min="8716" max="8716" width="15" style="13" customWidth="1"/>
    <col min="8717" max="8717" width="13.33203125" style="13" customWidth="1"/>
    <col min="8718" max="8718" width="17" style="13" customWidth="1"/>
    <col min="8719" max="8719" width="24.88671875" style="13" customWidth="1"/>
    <col min="8720" max="8720" width="14.44140625" style="13" customWidth="1"/>
    <col min="8721" max="8721" width="23.109375" style="13" customWidth="1"/>
    <col min="8722" max="8722" width="13.109375" style="13" customWidth="1"/>
    <col min="8723" max="8726" width="0" style="13" hidden="1" customWidth="1"/>
    <col min="8727" max="8962" width="10.33203125" style="13"/>
    <col min="8963" max="8963" width="7" style="13" customWidth="1"/>
    <col min="8964" max="8964" width="13" style="13" customWidth="1"/>
    <col min="8965" max="8965" width="14.109375" style="13" customWidth="1"/>
    <col min="8966" max="8966" width="17.33203125" style="13" customWidth="1"/>
    <col min="8967" max="8967" width="18.88671875" style="13" customWidth="1"/>
    <col min="8968" max="8968" width="14.109375" style="13" customWidth="1"/>
    <col min="8969" max="8969" width="21.5546875" style="13" customWidth="1"/>
    <col min="8970" max="8971" width="14.109375" style="13" customWidth="1"/>
    <col min="8972" max="8972" width="15" style="13" customWidth="1"/>
    <col min="8973" max="8973" width="13.33203125" style="13" customWidth="1"/>
    <col min="8974" max="8974" width="17" style="13" customWidth="1"/>
    <col min="8975" max="8975" width="24.88671875" style="13" customWidth="1"/>
    <col min="8976" max="8976" width="14.44140625" style="13" customWidth="1"/>
    <col min="8977" max="8977" width="23.109375" style="13" customWidth="1"/>
    <col min="8978" max="8978" width="13.109375" style="13" customWidth="1"/>
    <col min="8979" max="8982" width="0" style="13" hidden="1" customWidth="1"/>
    <col min="8983" max="9218" width="10.33203125" style="13"/>
    <col min="9219" max="9219" width="7" style="13" customWidth="1"/>
    <col min="9220" max="9220" width="13" style="13" customWidth="1"/>
    <col min="9221" max="9221" width="14.109375" style="13" customWidth="1"/>
    <col min="9222" max="9222" width="17.33203125" style="13" customWidth="1"/>
    <col min="9223" max="9223" width="18.88671875" style="13" customWidth="1"/>
    <col min="9224" max="9224" width="14.109375" style="13" customWidth="1"/>
    <col min="9225" max="9225" width="21.5546875" style="13" customWidth="1"/>
    <col min="9226" max="9227" width="14.109375" style="13" customWidth="1"/>
    <col min="9228" max="9228" width="15" style="13" customWidth="1"/>
    <col min="9229" max="9229" width="13.33203125" style="13" customWidth="1"/>
    <col min="9230" max="9230" width="17" style="13" customWidth="1"/>
    <col min="9231" max="9231" width="24.88671875" style="13" customWidth="1"/>
    <col min="9232" max="9232" width="14.44140625" style="13" customWidth="1"/>
    <col min="9233" max="9233" width="23.109375" style="13" customWidth="1"/>
    <col min="9234" max="9234" width="13.109375" style="13" customWidth="1"/>
    <col min="9235" max="9238" width="0" style="13" hidden="1" customWidth="1"/>
    <col min="9239" max="9474" width="10.33203125" style="13"/>
    <col min="9475" max="9475" width="7" style="13" customWidth="1"/>
    <col min="9476" max="9476" width="13" style="13" customWidth="1"/>
    <col min="9477" max="9477" width="14.109375" style="13" customWidth="1"/>
    <col min="9478" max="9478" width="17.33203125" style="13" customWidth="1"/>
    <col min="9479" max="9479" width="18.88671875" style="13" customWidth="1"/>
    <col min="9480" max="9480" width="14.109375" style="13" customWidth="1"/>
    <col min="9481" max="9481" width="21.5546875" style="13" customWidth="1"/>
    <col min="9482" max="9483" width="14.109375" style="13" customWidth="1"/>
    <col min="9484" max="9484" width="15" style="13" customWidth="1"/>
    <col min="9485" max="9485" width="13.33203125" style="13" customWidth="1"/>
    <col min="9486" max="9486" width="17" style="13" customWidth="1"/>
    <col min="9487" max="9487" width="24.88671875" style="13" customWidth="1"/>
    <col min="9488" max="9488" width="14.44140625" style="13" customWidth="1"/>
    <col min="9489" max="9489" width="23.109375" style="13" customWidth="1"/>
    <col min="9490" max="9490" width="13.109375" style="13" customWidth="1"/>
    <col min="9491" max="9494" width="0" style="13" hidden="1" customWidth="1"/>
    <col min="9495" max="9730" width="10.33203125" style="13"/>
    <col min="9731" max="9731" width="7" style="13" customWidth="1"/>
    <col min="9732" max="9732" width="13" style="13" customWidth="1"/>
    <col min="9733" max="9733" width="14.109375" style="13" customWidth="1"/>
    <col min="9734" max="9734" width="17.33203125" style="13" customWidth="1"/>
    <col min="9735" max="9735" width="18.88671875" style="13" customWidth="1"/>
    <col min="9736" max="9736" width="14.109375" style="13" customWidth="1"/>
    <col min="9737" max="9737" width="21.5546875" style="13" customWidth="1"/>
    <col min="9738" max="9739" width="14.109375" style="13" customWidth="1"/>
    <col min="9740" max="9740" width="15" style="13" customWidth="1"/>
    <col min="9741" max="9741" width="13.33203125" style="13" customWidth="1"/>
    <col min="9742" max="9742" width="17" style="13" customWidth="1"/>
    <col min="9743" max="9743" width="24.88671875" style="13" customWidth="1"/>
    <col min="9744" max="9744" width="14.44140625" style="13" customWidth="1"/>
    <col min="9745" max="9745" width="23.109375" style="13" customWidth="1"/>
    <col min="9746" max="9746" width="13.109375" style="13" customWidth="1"/>
    <col min="9747" max="9750" width="0" style="13" hidden="1" customWidth="1"/>
    <col min="9751" max="9986" width="10.33203125" style="13"/>
    <col min="9987" max="9987" width="7" style="13" customWidth="1"/>
    <col min="9988" max="9988" width="13" style="13" customWidth="1"/>
    <col min="9989" max="9989" width="14.109375" style="13" customWidth="1"/>
    <col min="9990" max="9990" width="17.33203125" style="13" customWidth="1"/>
    <col min="9991" max="9991" width="18.88671875" style="13" customWidth="1"/>
    <col min="9992" max="9992" width="14.109375" style="13" customWidth="1"/>
    <col min="9993" max="9993" width="21.5546875" style="13" customWidth="1"/>
    <col min="9994" max="9995" width="14.109375" style="13" customWidth="1"/>
    <col min="9996" max="9996" width="15" style="13" customWidth="1"/>
    <col min="9997" max="9997" width="13.33203125" style="13" customWidth="1"/>
    <col min="9998" max="9998" width="17" style="13" customWidth="1"/>
    <col min="9999" max="9999" width="24.88671875" style="13" customWidth="1"/>
    <col min="10000" max="10000" width="14.44140625" style="13" customWidth="1"/>
    <col min="10001" max="10001" width="23.109375" style="13" customWidth="1"/>
    <col min="10002" max="10002" width="13.109375" style="13" customWidth="1"/>
    <col min="10003" max="10006" width="0" style="13" hidden="1" customWidth="1"/>
    <col min="10007" max="10242" width="10.33203125" style="13"/>
    <col min="10243" max="10243" width="7" style="13" customWidth="1"/>
    <col min="10244" max="10244" width="13" style="13" customWidth="1"/>
    <col min="10245" max="10245" width="14.109375" style="13" customWidth="1"/>
    <col min="10246" max="10246" width="17.33203125" style="13" customWidth="1"/>
    <col min="10247" max="10247" width="18.88671875" style="13" customWidth="1"/>
    <col min="10248" max="10248" width="14.109375" style="13" customWidth="1"/>
    <col min="10249" max="10249" width="21.5546875" style="13" customWidth="1"/>
    <col min="10250" max="10251" width="14.109375" style="13" customWidth="1"/>
    <col min="10252" max="10252" width="15" style="13" customWidth="1"/>
    <col min="10253" max="10253" width="13.33203125" style="13" customWidth="1"/>
    <col min="10254" max="10254" width="17" style="13" customWidth="1"/>
    <col min="10255" max="10255" width="24.88671875" style="13" customWidth="1"/>
    <col min="10256" max="10256" width="14.44140625" style="13" customWidth="1"/>
    <col min="10257" max="10257" width="23.109375" style="13" customWidth="1"/>
    <col min="10258" max="10258" width="13.109375" style="13" customWidth="1"/>
    <col min="10259" max="10262" width="0" style="13" hidden="1" customWidth="1"/>
    <col min="10263" max="10498" width="10.33203125" style="13"/>
    <col min="10499" max="10499" width="7" style="13" customWidth="1"/>
    <col min="10500" max="10500" width="13" style="13" customWidth="1"/>
    <col min="10501" max="10501" width="14.109375" style="13" customWidth="1"/>
    <col min="10502" max="10502" width="17.33203125" style="13" customWidth="1"/>
    <col min="10503" max="10503" width="18.88671875" style="13" customWidth="1"/>
    <col min="10504" max="10504" width="14.109375" style="13" customWidth="1"/>
    <col min="10505" max="10505" width="21.5546875" style="13" customWidth="1"/>
    <col min="10506" max="10507" width="14.109375" style="13" customWidth="1"/>
    <col min="10508" max="10508" width="15" style="13" customWidth="1"/>
    <col min="10509" max="10509" width="13.33203125" style="13" customWidth="1"/>
    <col min="10510" max="10510" width="17" style="13" customWidth="1"/>
    <col min="10511" max="10511" width="24.88671875" style="13" customWidth="1"/>
    <col min="10512" max="10512" width="14.44140625" style="13" customWidth="1"/>
    <col min="10513" max="10513" width="23.109375" style="13" customWidth="1"/>
    <col min="10514" max="10514" width="13.109375" style="13" customWidth="1"/>
    <col min="10515" max="10518" width="0" style="13" hidden="1" customWidth="1"/>
    <col min="10519" max="10754" width="10.33203125" style="13"/>
    <col min="10755" max="10755" width="7" style="13" customWidth="1"/>
    <col min="10756" max="10756" width="13" style="13" customWidth="1"/>
    <col min="10757" max="10757" width="14.109375" style="13" customWidth="1"/>
    <col min="10758" max="10758" width="17.33203125" style="13" customWidth="1"/>
    <col min="10759" max="10759" width="18.88671875" style="13" customWidth="1"/>
    <col min="10760" max="10760" width="14.109375" style="13" customWidth="1"/>
    <col min="10761" max="10761" width="21.5546875" style="13" customWidth="1"/>
    <col min="10762" max="10763" width="14.109375" style="13" customWidth="1"/>
    <col min="10764" max="10764" width="15" style="13" customWidth="1"/>
    <col min="10765" max="10765" width="13.33203125" style="13" customWidth="1"/>
    <col min="10766" max="10766" width="17" style="13" customWidth="1"/>
    <col min="10767" max="10767" width="24.88671875" style="13" customWidth="1"/>
    <col min="10768" max="10768" width="14.44140625" style="13" customWidth="1"/>
    <col min="10769" max="10769" width="23.109375" style="13" customWidth="1"/>
    <col min="10770" max="10770" width="13.109375" style="13" customWidth="1"/>
    <col min="10771" max="10774" width="0" style="13" hidden="1" customWidth="1"/>
    <col min="10775" max="11010" width="10.33203125" style="13"/>
    <col min="11011" max="11011" width="7" style="13" customWidth="1"/>
    <col min="11012" max="11012" width="13" style="13" customWidth="1"/>
    <col min="11013" max="11013" width="14.109375" style="13" customWidth="1"/>
    <col min="11014" max="11014" width="17.33203125" style="13" customWidth="1"/>
    <col min="11015" max="11015" width="18.88671875" style="13" customWidth="1"/>
    <col min="11016" max="11016" width="14.109375" style="13" customWidth="1"/>
    <col min="11017" max="11017" width="21.5546875" style="13" customWidth="1"/>
    <col min="11018" max="11019" width="14.109375" style="13" customWidth="1"/>
    <col min="11020" max="11020" width="15" style="13" customWidth="1"/>
    <col min="11021" max="11021" width="13.33203125" style="13" customWidth="1"/>
    <col min="11022" max="11022" width="17" style="13" customWidth="1"/>
    <col min="11023" max="11023" width="24.88671875" style="13" customWidth="1"/>
    <col min="11024" max="11024" width="14.44140625" style="13" customWidth="1"/>
    <col min="11025" max="11025" width="23.109375" style="13" customWidth="1"/>
    <col min="11026" max="11026" width="13.109375" style="13" customWidth="1"/>
    <col min="11027" max="11030" width="0" style="13" hidden="1" customWidth="1"/>
    <col min="11031" max="11266" width="10.33203125" style="13"/>
    <col min="11267" max="11267" width="7" style="13" customWidth="1"/>
    <col min="11268" max="11268" width="13" style="13" customWidth="1"/>
    <col min="11269" max="11269" width="14.109375" style="13" customWidth="1"/>
    <col min="11270" max="11270" width="17.33203125" style="13" customWidth="1"/>
    <col min="11271" max="11271" width="18.88671875" style="13" customWidth="1"/>
    <col min="11272" max="11272" width="14.109375" style="13" customWidth="1"/>
    <col min="11273" max="11273" width="21.5546875" style="13" customWidth="1"/>
    <col min="11274" max="11275" width="14.109375" style="13" customWidth="1"/>
    <col min="11276" max="11276" width="15" style="13" customWidth="1"/>
    <col min="11277" max="11277" width="13.33203125" style="13" customWidth="1"/>
    <col min="11278" max="11278" width="17" style="13" customWidth="1"/>
    <col min="11279" max="11279" width="24.88671875" style="13" customWidth="1"/>
    <col min="11280" max="11280" width="14.44140625" style="13" customWidth="1"/>
    <col min="11281" max="11281" width="23.109375" style="13" customWidth="1"/>
    <col min="11282" max="11282" width="13.109375" style="13" customWidth="1"/>
    <col min="11283" max="11286" width="0" style="13" hidden="1" customWidth="1"/>
    <col min="11287" max="11522" width="10.33203125" style="13"/>
    <col min="11523" max="11523" width="7" style="13" customWidth="1"/>
    <col min="11524" max="11524" width="13" style="13" customWidth="1"/>
    <col min="11525" max="11525" width="14.109375" style="13" customWidth="1"/>
    <col min="11526" max="11526" width="17.33203125" style="13" customWidth="1"/>
    <col min="11527" max="11527" width="18.88671875" style="13" customWidth="1"/>
    <col min="11528" max="11528" width="14.109375" style="13" customWidth="1"/>
    <col min="11529" max="11529" width="21.5546875" style="13" customWidth="1"/>
    <col min="11530" max="11531" width="14.109375" style="13" customWidth="1"/>
    <col min="11532" max="11532" width="15" style="13" customWidth="1"/>
    <col min="11533" max="11533" width="13.33203125" style="13" customWidth="1"/>
    <col min="11534" max="11534" width="17" style="13" customWidth="1"/>
    <col min="11535" max="11535" width="24.88671875" style="13" customWidth="1"/>
    <col min="11536" max="11536" width="14.44140625" style="13" customWidth="1"/>
    <col min="11537" max="11537" width="23.109375" style="13" customWidth="1"/>
    <col min="11538" max="11538" width="13.109375" style="13" customWidth="1"/>
    <col min="11539" max="11542" width="0" style="13" hidden="1" customWidth="1"/>
    <col min="11543" max="11778" width="10.33203125" style="13"/>
    <col min="11779" max="11779" width="7" style="13" customWidth="1"/>
    <col min="11780" max="11780" width="13" style="13" customWidth="1"/>
    <col min="11781" max="11781" width="14.109375" style="13" customWidth="1"/>
    <col min="11782" max="11782" width="17.33203125" style="13" customWidth="1"/>
    <col min="11783" max="11783" width="18.88671875" style="13" customWidth="1"/>
    <col min="11784" max="11784" width="14.109375" style="13" customWidth="1"/>
    <col min="11785" max="11785" width="21.5546875" style="13" customWidth="1"/>
    <col min="11786" max="11787" width="14.109375" style="13" customWidth="1"/>
    <col min="11788" max="11788" width="15" style="13" customWidth="1"/>
    <col min="11789" max="11789" width="13.33203125" style="13" customWidth="1"/>
    <col min="11790" max="11790" width="17" style="13" customWidth="1"/>
    <col min="11791" max="11791" width="24.88671875" style="13" customWidth="1"/>
    <col min="11792" max="11792" width="14.44140625" style="13" customWidth="1"/>
    <col min="11793" max="11793" width="23.109375" style="13" customWidth="1"/>
    <col min="11794" max="11794" width="13.109375" style="13" customWidth="1"/>
    <col min="11795" max="11798" width="0" style="13" hidden="1" customWidth="1"/>
    <col min="11799" max="12034" width="10.33203125" style="13"/>
    <col min="12035" max="12035" width="7" style="13" customWidth="1"/>
    <col min="12036" max="12036" width="13" style="13" customWidth="1"/>
    <col min="12037" max="12037" width="14.109375" style="13" customWidth="1"/>
    <col min="12038" max="12038" width="17.33203125" style="13" customWidth="1"/>
    <col min="12039" max="12039" width="18.88671875" style="13" customWidth="1"/>
    <col min="12040" max="12040" width="14.109375" style="13" customWidth="1"/>
    <col min="12041" max="12041" width="21.5546875" style="13" customWidth="1"/>
    <col min="12042" max="12043" width="14.109375" style="13" customWidth="1"/>
    <col min="12044" max="12044" width="15" style="13" customWidth="1"/>
    <col min="12045" max="12045" width="13.33203125" style="13" customWidth="1"/>
    <col min="12046" max="12046" width="17" style="13" customWidth="1"/>
    <col min="12047" max="12047" width="24.88671875" style="13" customWidth="1"/>
    <col min="12048" max="12048" width="14.44140625" style="13" customWidth="1"/>
    <col min="12049" max="12049" width="23.109375" style="13" customWidth="1"/>
    <col min="12050" max="12050" width="13.109375" style="13" customWidth="1"/>
    <col min="12051" max="12054" width="0" style="13" hidden="1" customWidth="1"/>
    <col min="12055" max="12290" width="10.33203125" style="13"/>
    <col min="12291" max="12291" width="7" style="13" customWidth="1"/>
    <col min="12292" max="12292" width="13" style="13" customWidth="1"/>
    <col min="12293" max="12293" width="14.109375" style="13" customWidth="1"/>
    <col min="12294" max="12294" width="17.33203125" style="13" customWidth="1"/>
    <col min="12295" max="12295" width="18.88671875" style="13" customWidth="1"/>
    <col min="12296" max="12296" width="14.109375" style="13" customWidth="1"/>
    <col min="12297" max="12297" width="21.5546875" style="13" customWidth="1"/>
    <col min="12298" max="12299" width="14.109375" style="13" customWidth="1"/>
    <col min="12300" max="12300" width="15" style="13" customWidth="1"/>
    <col min="12301" max="12301" width="13.33203125" style="13" customWidth="1"/>
    <col min="12302" max="12302" width="17" style="13" customWidth="1"/>
    <col min="12303" max="12303" width="24.88671875" style="13" customWidth="1"/>
    <col min="12304" max="12304" width="14.44140625" style="13" customWidth="1"/>
    <col min="12305" max="12305" width="23.109375" style="13" customWidth="1"/>
    <col min="12306" max="12306" width="13.109375" style="13" customWidth="1"/>
    <col min="12307" max="12310" width="0" style="13" hidden="1" customWidth="1"/>
    <col min="12311" max="12546" width="10.33203125" style="13"/>
    <col min="12547" max="12547" width="7" style="13" customWidth="1"/>
    <col min="12548" max="12548" width="13" style="13" customWidth="1"/>
    <col min="12549" max="12549" width="14.109375" style="13" customWidth="1"/>
    <col min="12550" max="12550" width="17.33203125" style="13" customWidth="1"/>
    <col min="12551" max="12551" width="18.88671875" style="13" customWidth="1"/>
    <col min="12552" max="12552" width="14.109375" style="13" customWidth="1"/>
    <col min="12553" max="12553" width="21.5546875" style="13" customWidth="1"/>
    <col min="12554" max="12555" width="14.109375" style="13" customWidth="1"/>
    <col min="12556" max="12556" width="15" style="13" customWidth="1"/>
    <col min="12557" max="12557" width="13.33203125" style="13" customWidth="1"/>
    <col min="12558" max="12558" width="17" style="13" customWidth="1"/>
    <col min="12559" max="12559" width="24.88671875" style="13" customWidth="1"/>
    <col min="12560" max="12560" width="14.44140625" style="13" customWidth="1"/>
    <col min="12561" max="12561" width="23.109375" style="13" customWidth="1"/>
    <col min="12562" max="12562" width="13.109375" style="13" customWidth="1"/>
    <col min="12563" max="12566" width="0" style="13" hidden="1" customWidth="1"/>
    <col min="12567" max="12802" width="10.33203125" style="13"/>
    <col min="12803" max="12803" width="7" style="13" customWidth="1"/>
    <col min="12804" max="12804" width="13" style="13" customWidth="1"/>
    <col min="12805" max="12805" width="14.109375" style="13" customWidth="1"/>
    <col min="12806" max="12806" width="17.33203125" style="13" customWidth="1"/>
    <col min="12807" max="12807" width="18.88671875" style="13" customWidth="1"/>
    <col min="12808" max="12808" width="14.109375" style="13" customWidth="1"/>
    <col min="12809" max="12809" width="21.5546875" style="13" customWidth="1"/>
    <col min="12810" max="12811" width="14.109375" style="13" customWidth="1"/>
    <col min="12812" max="12812" width="15" style="13" customWidth="1"/>
    <col min="12813" max="12813" width="13.33203125" style="13" customWidth="1"/>
    <col min="12814" max="12814" width="17" style="13" customWidth="1"/>
    <col min="12815" max="12815" width="24.88671875" style="13" customWidth="1"/>
    <col min="12816" max="12816" width="14.44140625" style="13" customWidth="1"/>
    <col min="12817" max="12817" width="23.109375" style="13" customWidth="1"/>
    <col min="12818" max="12818" width="13.109375" style="13" customWidth="1"/>
    <col min="12819" max="12822" width="0" style="13" hidden="1" customWidth="1"/>
    <col min="12823" max="13058" width="10.33203125" style="13"/>
    <col min="13059" max="13059" width="7" style="13" customWidth="1"/>
    <col min="13060" max="13060" width="13" style="13" customWidth="1"/>
    <col min="13061" max="13061" width="14.109375" style="13" customWidth="1"/>
    <col min="13062" max="13062" width="17.33203125" style="13" customWidth="1"/>
    <col min="13063" max="13063" width="18.88671875" style="13" customWidth="1"/>
    <col min="13064" max="13064" width="14.109375" style="13" customWidth="1"/>
    <col min="13065" max="13065" width="21.5546875" style="13" customWidth="1"/>
    <col min="13066" max="13067" width="14.109375" style="13" customWidth="1"/>
    <col min="13068" max="13068" width="15" style="13" customWidth="1"/>
    <col min="13069" max="13069" width="13.33203125" style="13" customWidth="1"/>
    <col min="13070" max="13070" width="17" style="13" customWidth="1"/>
    <col min="13071" max="13071" width="24.88671875" style="13" customWidth="1"/>
    <col min="13072" max="13072" width="14.44140625" style="13" customWidth="1"/>
    <col min="13073" max="13073" width="23.109375" style="13" customWidth="1"/>
    <col min="13074" max="13074" width="13.109375" style="13" customWidth="1"/>
    <col min="13075" max="13078" width="0" style="13" hidden="1" customWidth="1"/>
    <col min="13079" max="13314" width="10.33203125" style="13"/>
    <col min="13315" max="13315" width="7" style="13" customWidth="1"/>
    <col min="13316" max="13316" width="13" style="13" customWidth="1"/>
    <col min="13317" max="13317" width="14.109375" style="13" customWidth="1"/>
    <col min="13318" max="13318" width="17.33203125" style="13" customWidth="1"/>
    <col min="13319" max="13319" width="18.88671875" style="13" customWidth="1"/>
    <col min="13320" max="13320" width="14.109375" style="13" customWidth="1"/>
    <col min="13321" max="13321" width="21.5546875" style="13" customWidth="1"/>
    <col min="13322" max="13323" width="14.109375" style="13" customWidth="1"/>
    <col min="13324" max="13324" width="15" style="13" customWidth="1"/>
    <col min="13325" max="13325" width="13.33203125" style="13" customWidth="1"/>
    <col min="13326" max="13326" width="17" style="13" customWidth="1"/>
    <col min="13327" max="13327" width="24.88671875" style="13" customWidth="1"/>
    <col min="13328" max="13328" width="14.44140625" style="13" customWidth="1"/>
    <col min="13329" max="13329" width="23.109375" style="13" customWidth="1"/>
    <col min="13330" max="13330" width="13.109375" style="13" customWidth="1"/>
    <col min="13331" max="13334" width="0" style="13" hidden="1" customWidth="1"/>
    <col min="13335" max="13570" width="10.33203125" style="13"/>
    <col min="13571" max="13571" width="7" style="13" customWidth="1"/>
    <col min="13572" max="13572" width="13" style="13" customWidth="1"/>
    <col min="13573" max="13573" width="14.109375" style="13" customWidth="1"/>
    <col min="13574" max="13574" width="17.33203125" style="13" customWidth="1"/>
    <col min="13575" max="13575" width="18.88671875" style="13" customWidth="1"/>
    <col min="13576" max="13576" width="14.109375" style="13" customWidth="1"/>
    <col min="13577" max="13577" width="21.5546875" style="13" customWidth="1"/>
    <col min="13578" max="13579" width="14.109375" style="13" customWidth="1"/>
    <col min="13580" max="13580" width="15" style="13" customWidth="1"/>
    <col min="13581" max="13581" width="13.33203125" style="13" customWidth="1"/>
    <col min="13582" max="13582" width="17" style="13" customWidth="1"/>
    <col min="13583" max="13583" width="24.88671875" style="13" customWidth="1"/>
    <col min="13584" max="13584" width="14.44140625" style="13" customWidth="1"/>
    <col min="13585" max="13585" width="23.109375" style="13" customWidth="1"/>
    <col min="13586" max="13586" width="13.109375" style="13" customWidth="1"/>
    <col min="13587" max="13590" width="0" style="13" hidden="1" customWidth="1"/>
    <col min="13591" max="13826" width="10.33203125" style="13"/>
    <col min="13827" max="13827" width="7" style="13" customWidth="1"/>
    <col min="13828" max="13828" width="13" style="13" customWidth="1"/>
    <col min="13829" max="13829" width="14.109375" style="13" customWidth="1"/>
    <col min="13830" max="13830" width="17.33203125" style="13" customWidth="1"/>
    <col min="13831" max="13831" width="18.88671875" style="13" customWidth="1"/>
    <col min="13832" max="13832" width="14.109375" style="13" customWidth="1"/>
    <col min="13833" max="13833" width="21.5546875" style="13" customWidth="1"/>
    <col min="13834" max="13835" width="14.109375" style="13" customWidth="1"/>
    <col min="13836" max="13836" width="15" style="13" customWidth="1"/>
    <col min="13837" max="13837" width="13.33203125" style="13" customWidth="1"/>
    <col min="13838" max="13838" width="17" style="13" customWidth="1"/>
    <col min="13839" max="13839" width="24.88671875" style="13" customWidth="1"/>
    <col min="13840" max="13840" width="14.44140625" style="13" customWidth="1"/>
    <col min="13841" max="13841" width="23.109375" style="13" customWidth="1"/>
    <col min="13842" max="13842" width="13.109375" style="13" customWidth="1"/>
    <col min="13843" max="13846" width="0" style="13" hidden="1" customWidth="1"/>
    <col min="13847" max="14082" width="10.33203125" style="13"/>
    <col min="14083" max="14083" width="7" style="13" customWidth="1"/>
    <col min="14084" max="14084" width="13" style="13" customWidth="1"/>
    <col min="14085" max="14085" width="14.109375" style="13" customWidth="1"/>
    <col min="14086" max="14086" width="17.33203125" style="13" customWidth="1"/>
    <col min="14087" max="14087" width="18.88671875" style="13" customWidth="1"/>
    <col min="14088" max="14088" width="14.109375" style="13" customWidth="1"/>
    <col min="14089" max="14089" width="21.5546875" style="13" customWidth="1"/>
    <col min="14090" max="14091" width="14.109375" style="13" customWidth="1"/>
    <col min="14092" max="14092" width="15" style="13" customWidth="1"/>
    <col min="14093" max="14093" width="13.33203125" style="13" customWidth="1"/>
    <col min="14094" max="14094" width="17" style="13" customWidth="1"/>
    <col min="14095" max="14095" width="24.88671875" style="13" customWidth="1"/>
    <col min="14096" max="14096" width="14.44140625" style="13" customWidth="1"/>
    <col min="14097" max="14097" width="23.109375" style="13" customWidth="1"/>
    <col min="14098" max="14098" width="13.109375" style="13" customWidth="1"/>
    <col min="14099" max="14102" width="0" style="13" hidden="1" customWidth="1"/>
    <col min="14103" max="14338" width="10.33203125" style="13"/>
    <col min="14339" max="14339" width="7" style="13" customWidth="1"/>
    <col min="14340" max="14340" width="13" style="13" customWidth="1"/>
    <col min="14341" max="14341" width="14.109375" style="13" customWidth="1"/>
    <col min="14342" max="14342" width="17.33203125" style="13" customWidth="1"/>
    <col min="14343" max="14343" width="18.88671875" style="13" customWidth="1"/>
    <col min="14344" max="14344" width="14.109375" style="13" customWidth="1"/>
    <col min="14345" max="14345" width="21.5546875" style="13" customWidth="1"/>
    <col min="14346" max="14347" width="14.109375" style="13" customWidth="1"/>
    <col min="14348" max="14348" width="15" style="13" customWidth="1"/>
    <col min="14349" max="14349" width="13.33203125" style="13" customWidth="1"/>
    <col min="14350" max="14350" width="17" style="13" customWidth="1"/>
    <col min="14351" max="14351" width="24.88671875" style="13" customWidth="1"/>
    <col min="14352" max="14352" width="14.44140625" style="13" customWidth="1"/>
    <col min="14353" max="14353" width="23.109375" style="13" customWidth="1"/>
    <col min="14354" max="14354" width="13.109375" style="13" customWidth="1"/>
    <col min="14355" max="14358" width="0" style="13" hidden="1" customWidth="1"/>
    <col min="14359" max="14594" width="10.33203125" style="13"/>
    <col min="14595" max="14595" width="7" style="13" customWidth="1"/>
    <col min="14596" max="14596" width="13" style="13" customWidth="1"/>
    <col min="14597" max="14597" width="14.109375" style="13" customWidth="1"/>
    <col min="14598" max="14598" width="17.33203125" style="13" customWidth="1"/>
    <col min="14599" max="14599" width="18.88671875" style="13" customWidth="1"/>
    <col min="14600" max="14600" width="14.109375" style="13" customWidth="1"/>
    <col min="14601" max="14601" width="21.5546875" style="13" customWidth="1"/>
    <col min="14602" max="14603" width="14.109375" style="13" customWidth="1"/>
    <col min="14604" max="14604" width="15" style="13" customWidth="1"/>
    <col min="14605" max="14605" width="13.33203125" style="13" customWidth="1"/>
    <col min="14606" max="14606" width="17" style="13" customWidth="1"/>
    <col min="14607" max="14607" width="24.88671875" style="13" customWidth="1"/>
    <col min="14608" max="14608" width="14.44140625" style="13" customWidth="1"/>
    <col min="14609" max="14609" width="23.109375" style="13" customWidth="1"/>
    <col min="14610" max="14610" width="13.109375" style="13" customWidth="1"/>
    <col min="14611" max="14614" width="0" style="13" hidden="1" customWidth="1"/>
    <col min="14615" max="14850" width="10.33203125" style="13"/>
    <col min="14851" max="14851" width="7" style="13" customWidth="1"/>
    <col min="14852" max="14852" width="13" style="13" customWidth="1"/>
    <col min="14853" max="14853" width="14.109375" style="13" customWidth="1"/>
    <col min="14854" max="14854" width="17.33203125" style="13" customWidth="1"/>
    <col min="14855" max="14855" width="18.88671875" style="13" customWidth="1"/>
    <col min="14856" max="14856" width="14.109375" style="13" customWidth="1"/>
    <col min="14857" max="14857" width="21.5546875" style="13" customWidth="1"/>
    <col min="14858" max="14859" width="14.109375" style="13" customWidth="1"/>
    <col min="14860" max="14860" width="15" style="13" customWidth="1"/>
    <col min="14861" max="14861" width="13.33203125" style="13" customWidth="1"/>
    <col min="14862" max="14862" width="17" style="13" customWidth="1"/>
    <col min="14863" max="14863" width="24.88671875" style="13" customWidth="1"/>
    <col min="14864" max="14864" width="14.44140625" style="13" customWidth="1"/>
    <col min="14865" max="14865" width="23.109375" style="13" customWidth="1"/>
    <col min="14866" max="14866" width="13.109375" style="13" customWidth="1"/>
    <col min="14867" max="14870" width="0" style="13" hidden="1" customWidth="1"/>
    <col min="14871" max="15106" width="10.33203125" style="13"/>
    <col min="15107" max="15107" width="7" style="13" customWidth="1"/>
    <col min="15108" max="15108" width="13" style="13" customWidth="1"/>
    <col min="15109" max="15109" width="14.109375" style="13" customWidth="1"/>
    <col min="15110" max="15110" width="17.33203125" style="13" customWidth="1"/>
    <col min="15111" max="15111" width="18.88671875" style="13" customWidth="1"/>
    <col min="15112" max="15112" width="14.109375" style="13" customWidth="1"/>
    <col min="15113" max="15113" width="21.5546875" style="13" customWidth="1"/>
    <col min="15114" max="15115" width="14.109375" style="13" customWidth="1"/>
    <col min="15116" max="15116" width="15" style="13" customWidth="1"/>
    <col min="15117" max="15117" width="13.33203125" style="13" customWidth="1"/>
    <col min="15118" max="15118" width="17" style="13" customWidth="1"/>
    <col min="15119" max="15119" width="24.88671875" style="13" customWidth="1"/>
    <col min="15120" max="15120" width="14.44140625" style="13" customWidth="1"/>
    <col min="15121" max="15121" width="23.109375" style="13" customWidth="1"/>
    <col min="15122" max="15122" width="13.109375" style="13" customWidth="1"/>
    <col min="15123" max="15126" width="0" style="13" hidden="1" customWidth="1"/>
    <col min="15127" max="15362" width="10.33203125" style="13"/>
    <col min="15363" max="15363" width="7" style="13" customWidth="1"/>
    <col min="15364" max="15364" width="13" style="13" customWidth="1"/>
    <col min="15365" max="15365" width="14.109375" style="13" customWidth="1"/>
    <col min="15366" max="15366" width="17.33203125" style="13" customWidth="1"/>
    <col min="15367" max="15367" width="18.88671875" style="13" customWidth="1"/>
    <col min="15368" max="15368" width="14.109375" style="13" customWidth="1"/>
    <col min="15369" max="15369" width="21.5546875" style="13" customWidth="1"/>
    <col min="15370" max="15371" width="14.109375" style="13" customWidth="1"/>
    <col min="15372" max="15372" width="15" style="13" customWidth="1"/>
    <col min="15373" max="15373" width="13.33203125" style="13" customWidth="1"/>
    <col min="15374" max="15374" width="17" style="13" customWidth="1"/>
    <col min="15375" max="15375" width="24.88671875" style="13" customWidth="1"/>
    <col min="15376" max="15376" width="14.44140625" style="13" customWidth="1"/>
    <col min="15377" max="15377" width="23.109375" style="13" customWidth="1"/>
    <col min="15378" max="15378" width="13.109375" style="13" customWidth="1"/>
    <col min="15379" max="15382" width="0" style="13" hidden="1" customWidth="1"/>
    <col min="15383" max="15618" width="10.33203125" style="13"/>
    <col min="15619" max="15619" width="7" style="13" customWidth="1"/>
    <col min="15620" max="15620" width="13" style="13" customWidth="1"/>
    <col min="15621" max="15621" width="14.109375" style="13" customWidth="1"/>
    <col min="15622" max="15622" width="17.33203125" style="13" customWidth="1"/>
    <col min="15623" max="15623" width="18.88671875" style="13" customWidth="1"/>
    <col min="15624" max="15624" width="14.109375" style="13" customWidth="1"/>
    <col min="15625" max="15625" width="21.5546875" style="13" customWidth="1"/>
    <col min="15626" max="15627" width="14.109375" style="13" customWidth="1"/>
    <col min="15628" max="15628" width="15" style="13" customWidth="1"/>
    <col min="15629" max="15629" width="13.33203125" style="13" customWidth="1"/>
    <col min="15630" max="15630" width="17" style="13" customWidth="1"/>
    <col min="15631" max="15631" width="24.88671875" style="13" customWidth="1"/>
    <col min="15632" max="15632" width="14.44140625" style="13" customWidth="1"/>
    <col min="15633" max="15633" width="23.109375" style="13" customWidth="1"/>
    <col min="15634" max="15634" width="13.109375" style="13" customWidth="1"/>
    <col min="15635" max="15638" width="0" style="13" hidden="1" customWidth="1"/>
    <col min="15639" max="15874" width="10.33203125" style="13"/>
    <col min="15875" max="15875" width="7" style="13" customWidth="1"/>
    <col min="15876" max="15876" width="13" style="13" customWidth="1"/>
    <col min="15877" max="15877" width="14.109375" style="13" customWidth="1"/>
    <col min="15878" max="15878" width="17.33203125" style="13" customWidth="1"/>
    <col min="15879" max="15879" width="18.88671875" style="13" customWidth="1"/>
    <col min="15880" max="15880" width="14.109375" style="13" customWidth="1"/>
    <col min="15881" max="15881" width="21.5546875" style="13" customWidth="1"/>
    <col min="15882" max="15883" width="14.109375" style="13" customWidth="1"/>
    <col min="15884" max="15884" width="15" style="13" customWidth="1"/>
    <col min="15885" max="15885" width="13.33203125" style="13" customWidth="1"/>
    <col min="15886" max="15886" width="17" style="13" customWidth="1"/>
    <col min="15887" max="15887" width="24.88671875" style="13" customWidth="1"/>
    <col min="15888" max="15888" width="14.44140625" style="13" customWidth="1"/>
    <col min="15889" max="15889" width="23.109375" style="13" customWidth="1"/>
    <col min="15890" max="15890" width="13.109375" style="13" customWidth="1"/>
    <col min="15891" max="15894" width="0" style="13" hidden="1" customWidth="1"/>
    <col min="15895" max="16130" width="10.33203125" style="13"/>
    <col min="16131" max="16131" width="7" style="13" customWidth="1"/>
    <col min="16132" max="16132" width="13" style="13" customWidth="1"/>
    <col min="16133" max="16133" width="14.109375" style="13" customWidth="1"/>
    <col min="16134" max="16134" width="17.33203125" style="13" customWidth="1"/>
    <col min="16135" max="16135" width="18.88671875" style="13" customWidth="1"/>
    <col min="16136" max="16136" width="14.109375" style="13" customWidth="1"/>
    <col min="16137" max="16137" width="21.5546875" style="13" customWidth="1"/>
    <col min="16138" max="16139" width="14.109375" style="13" customWidth="1"/>
    <col min="16140" max="16140" width="15" style="13" customWidth="1"/>
    <col min="16141" max="16141" width="13.33203125" style="13" customWidth="1"/>
    <col min="16142" max="16142" width="17" style="13" customWidth="1"/>
    <col min="16143" max="16143" width="24.88671875" style="13" customWidth="1"/>
    <col min="16144" max="16144" width="14.44140625" style="13" customWidth="1"/>
    <col min="16145" max="16145" width="23.109375" style="13" customWidth="1"/>
    <col min="16146" max="16146" width="13.109375" style="13" customWidth="1"/>
    <col min="16147" max="16150" width="0" style="13" hidden="1" customWidth="1"/>
    <col min="16151" max="16384" width="10.33203125" style="13"/>
  </cols>
  <sheetData>
    <row r="1" spans="1:93" ht="15" customHeight="1">
      <c r="J1" s="125"/>
      <c r="K1" s="125"/>
      <c r="L1" s="125"/>
      <c r="M1" s="125"/>
      <c r="N1" s="125"/>
    </row>
    <row r="2" spans="1:93" ht="20.399999999999999">
      <c r="B2" s="3283" t="s">
        <v>1</v>
      </c>
      <c r="C2" s="3283"/>
      <c r="D2" s="3283"/>
      <c r="E2" s="3283"/>
      <c r="F2" s="3283"/>
      <c r="G2" s="3283"/>
      <c r="H2" s="3283"/>
      <c r="I2" s="3283"/>
      <c r="J2" s="3283"/>
      <c r="K2" s="3283"/>
      <c r="L2" s="3283"/>
      <c r="M2" s="3283"/>
      <c r="N2" s="3283"/>
      <c r="O2" s="294"/>
      <c r="P2" s="294"/>
      <c r="Q2" s="294"/>
      <c r="R2" s="10"/>
      <c r="S2" s="10"/>
      <c r="T2" s="11"/>
      <c r="U2" s="11"/>
    </row>
    <row r="3" spans="1:93">
      <c r="J3" s="3282" t="s">
        <v>0</v>
      </c>
      <c r="K3" s="3282"/>
      <c r="L3" s="3282"/>
      <c r="M3" s="3282"/>
      <c r="N3" s="3282"/>
    </row>
    <row r="4" spans="1:93" ht="26.4">
      <c r="A4" s="29" t="s">
        <v>2</v>
      </c>
      <c r="B4" s="30" t="s">
        <v>3</v>
      </c>
      <c r="C4" s="31" t="s">
        <v>4</v>
      </c>
      <c r="D4" s="30" t="s">
        <v>5</v>
      </c>
      <c r="E4" s="30" t="s">
        <v>6</v>
      </c>
      <c r="F4" s="32" t="s">
        <v>7</v>
      </c>
      <c r="G4" s="33" t="s">
        <v>8</v>
      </c>
      <c r="H4" s="33" t="s">
        <v>9</v>
      </c>
      <c r="I4" s="34" t="s">
        <v>10</v>
      </c>
      <c r="J4" s="35" t="s">
        <v>11</v>
      </c>
      <c r="K4" s="35" t="s">
        <v>12</v>
      </c>
      <c r="L4" s="33" t="s">
        <v>13</v>
      </c>
      <c r="M4" s="33" t="s">
        <v>214</v>
      </c>
      <c r="N4" s="33" t="s">
        <v>14</v>
      </c>
      <c r="O4" s="29" t="s">
        <v>15</v>
      </c>
      <c r="P4" s="29"/>
      <c r="Q4" s="36" t="s">
        <v>16</v>
      </c>
      <c r="R4" s="37" t="s">
        <v>17</v>
      </c>
      <c r="S4" s="38" t="s">
        <v>18</v>
      </c>
      <c r="T4" s="39" t="s">
        <v>19</v>
      </c>
      <c r="U4" s="39" t="s">
        <v>20</v>
      </c>
      <c r="V4" s="39" t="s">
        <v>21</v>
      </c>
      <c r="W4" s="40" t="s">
        <v>106</v>
      </c>
      <c r="X4" s="41" t="s">
        <v>22</v>
      </c>
      <c r="Y4" s="40" t="s">
        <v>23</v>
      </c>
      <c r="Z4" s="40" t="s">
        <v>24</v>
      </c>
      <c r="AA4" s="40" t="s">
        <v>25</v>
      </c>
      <c r="AB4" s="40" t="s">
        <v>26</v>
      </c>
      <c r="AC4" s="40" t="s">
        <v>27</v>
      </c>
      <c r="AD4" s="40" t="s">
        <v>28</v>
      </c>
      <c r="AE4" s="40" t="s">
        <v>29</v>
      </c>
      <c r="AF4" s="41" t="s">
        <v>30</v>
      </c>
      <c r="AG4" s="42" t="s">
        <v>31</v>
      </c>
      <c r="AH4" s="40" t="s">
        <v>32</v>
      </c>
      <c r="AI4" s="40" t="s">
        <v>33</v>
      </c>
      <c r="AJ4" s="40" t="s">
        <v>34</v>
      </c>
      <c r="AK4" s="42" t="s">
        <v>35</v>
      </c>
      <c r="AL4" s="42" t="s">
        <v>36</v>
      </c>
      <c r="AM4" s="42" t="s">
        <v>37</v>
      </c>
      <c r="AN4" s="40" t="s">
        <v>38</v>
      </c>
      <c r="AO4" s="42" t="s">
        <v>39</v>
      </c>
      <c r="AP4" s="42" t="s">
        <v>40</v>
      </c>
      <c r="AQ4" s="42" t="s">
        <v>41</v>
      </c>
      <c r="AR4" s="40" t="s">
        <v>42</v>
      </c>
      <c r="AS4" s="40" t="s">
        <v>43</v>
      </c>
      <c r="AT4" s="40" t="s">
        <v>44</v>
      </c>
      <c r="AU4" s="40" t="s">
        <v>45</v>
      </c>
      <c r="AV4" s="40" t="s">
        <v>46</v>
      </c>
      <c r="AW4" s="40" t="s">
        <v>47</v>
      </c>
      <c r="AX4" s="40" t="s">
        <v>48</v>
      </c>
      <c r="AY4" s="40" t="s">
        <v>49</v>
      </c>
      <c r="AZ4" s="40" t="s">
        <v>50</v>
      </c>
      <c r="BA4" s="40" t="s">
        <v>51</v>
      </c>
      <c r="BB4" s="40" t="s">
        <v>52</v>
      </c>
      <c r="BC4" s="40" t="s">
        <v>53</v>
      </c>
      <c r="BD4" s="40" t="s">
        <v>54</v>
      </c>
      <c r="BE4" s="40" t="s">
        <v>55</v>
      </c>
      <c r="BF4" s="40" t="s">
        <v>56</v>
      </c>
      <c r="BG4" s="40" t="s">
        <v>57</v>
      </c>
      <c r="BH4" s="40" t="s">
        <v>58</v>
      </c>
      <c r="BI4" s="40" t="s">
        <v>59</v>
      </c>
      <c r="BJ4" s="41" t="s">
        <v>60</v>
      </c>
      <c r="BK4" s="41" t="s">
        <v>61</v>
      </c>
      <c r="BL4" s="40" t="s">
        <v>62</v>
      </c>
      <c r="BM4" s="40" t="s">
        <v>63</v>
      </c>
      <c r="BN4" s="41" t="s">
        <v>64</v>
      </c>
      <c r="BO4" s="42" t="s">
        <v>65</v>
      </c>
      <c r="BP4" s="42" t="s">
        <v>66</v>
      </c>
      <c r="BQ4" s="42" t="s">
        <v>67</v>
      </c>
      <c r="BR4" s="42" t="s">
        <v>68</v>
      </c>
      <c r="BS4" s="42" t="s">
        <v>69</v>
      </c>
      <c r="BT4" s="42" t="s">
        <v>70</v>
      </c>
      <c r="BU4" s="42" t="s">
        <v>71</v>
      </c>
      <c r="BV4" s="42" t="s">
        <v>72</v>
      </c>
      <c r="BW4" s="40" t="s">
        <v>73</v>
      </c>
      <c r="BX4" s="40" t="s">
        <v>74</v>
      </c>
      <c r="BY4" s="40" t="s">
        <v>75</v>
      </c>
      <c r="BZ4" s="40" t="s">
        <v>76</v>
      </c>
      <c r="CA4" s="40" t="s">
        <v>77</v>
      </c>
      <c r="CB4" s="40" t="s">
        <v>78</v>
      </c>
      <c r="CC4" s="40" t="s">
        <v>79</v>
      </c>
      <c r="CD4" s="40" t="s">
        <v>80</v>
      </c>
      <c r="CE4" s="40" t="s">
        <v>81</v>
      </c>
      <c r="CF4" s="40" t="s">
        <v>82</v>
      </c>
      <c r="CG4" s="40" t="s">
        <v>83</v>
      </c>
      <c r="CH4" s="40" t="s">
        <v>84</v>
      </c>
      <c r="CI4" s="40" t="s">
        <v>85</v>
      </c>
      <c r="CJ4" s="40" t="s">
        <v>86</v>
      </c>
      <c r="CK4" s="40" t="s">
        <v>87</v>
      </c>
      <c r="CL4" s="40" t="s">
        <v>88</v>
      </c>
      <c r="CM4" s="40" t="s">
        <v>89</v>
      </c>
      <c r="CN4" s="40" t="s">
        <v>90</v>
      </c>
      <c r="CO4" s="43" t="s">
        <v>91</v>
      </c>
    </row>
    <row r="5" spans="1:93">
      <c r="A5" s="44">
        <v>1</v>
      </c>
      <c r="B5" s="178" t="s">
        <v>118</v>
      </c>
      <c r="C5" s="46">
        <v>44930</v>
      </c>
      <c r="D5" s="47" t="s">
        <v>104</v>
      </c>
      <c r="E5" s="126"/>
      <c r="F5" s="296">
        <v>44963</v>
      </c>
      <c r="G5" s="167">
        <v>1</v>
      </c>
      <c r="H5" s="167"/>
      <c r="I5" s="160" t="s">
        <v>105</v>
      </c>
      <c r="J5" s="180">
        <f t="shared" ref="J5:J17" si="0">(G5*$C$255)+(G5*$C$256)+(H5*$D$255+H5*$D$256)+(G5*$C$258+H5*$D$258)</f>
        <v>1300000</v>
      </c>
      <c r="K5" s="181">
        <f t="shared" ref="K5:K12" si="1">SUM(G5:I5)*250000</f>
        <v>250000</v>
      </c>
      <c r="L5" s="182">
        <v>300000</v>
      </c>
      <c r="M5" s="182"/>
      <c r="N5" s="183">
        <f>+SUM(J5:M5)</f>
        <v>1850000</v>
      </c>
      <c r="O5" s="172">
        <v>7242946470</v>
      </c>
      <c r="P5" s="129"/>
      <c r="Q5" s="130"/>
      <c r="R5" s="190">
        <v>790</v>
      </c>
      <c r="S5" s="50"/>
      <c r="T5" s="48"/>
      <c r="U5" s="48"/>
      <c r="V5" s="48"/>
      <c r="W5" s="44" t="s">
        <v>107</v>
      </c>
      <c r="X5" s="49"/>
      <c r="Y5" s="48"/>
      <c r="Z5" s="48"/>
      <c r="AA5" s="48"/>
      <c r="AB5" s="48"/>
      <c r="AC5" s="51"/>
      <c r="AD5" s="48"/>
      <c r="AE5" s="48"/>
      <c r="AF5" s="49"/>
      <c r="AG5" s="50"/>
      <c r="AH5" s="48"/>
      <c r="AI5" s="48"/>
      <c r="AJ5" s="48"/>
      <c r="AK5" s="50"/>
      <c r="AL5" s="50"/>
      <c r="AM5" s="50"/>
      <c r="AN5" s="48"/>
      <c r="AO5" s="52"/>
      <c r="AP5" s="52"/>
      <c r="AQ5" s="52"/>
      <c r="AR5" s="51"/>
      <c r="AS5" s="51"/>
      <c r="AT5" s="51"/>
      <c r="AU5" s="51"/>
      <c r="AV5" s="51"/>
      <c r="AW5" s="48"/>
      <c r="AX5" s="48"/>
      <c r="AY5" s="48"/>
      <c r="AZ5" s="48"/>
      <c r="BA5" s="51"/>
      <c r="BB5" s="48"/>
      <c r="BC5" s="48"/>
      <c r="BD5" s="48"/>
      <c r="BE5" s="48"/>
      <c r="BF5" s="51"/>
      <c r="BG5" s="48"/>
      <c r="BH5" s="48"/>
      <c r="BI5" s="48"/>
      <c r="BJ5" s="49"/>
      <c r="BK5" s="49"/>
      <c r="BL5" s="53"/>
      <c r="BM5" s="185" t="s">
        <v>108</v>
      </c>
      <c r="BN5" s="54"/>
      <c r="BO5" s="50"/>
      <c r="BP5" s="50"/>
      <c r="BQ5" s="50"/>
      <c r="BR5" s="50"/>
      <c r="BS5" s="50"/>
      <c r="BT5" s="50"/>
      <c r="BU5" s="50"/>
      <c r="BV5" s="50"/>
      <c r="BW5" s="48"/>
      <c r="BX5" s="48"/>
      <c r="BY5" s="48"/>
      <c r="BZ5" s="48"/>
      <c r="CA5" s="48"/>
      <c r="CB5" s="48"/>
      <c r="CC5" s="48"/>
      <c r="CD5" s="48"/>
      <c r="CE5" s="48"/>
      <c r="CF5" s="48"/>
      <c r="CG5" s="48"/>
      <c r="CH5" s="48"/>
      <c r="CI5" s="48"/>
      <c r="CJ5" s="48"/>
      <c r="CK5" s="48"/>
      <c r="CL5" s="48"/>
      <c r="CM5" s="48"/>
      <c r="CN5" s="48"/>
      <c r="CO5" s="55"/>
    </row>
    <row r="6" spans="1:93">
      <c r="A6" s="44">
        <v>2</v>
      </c>
      <c r="B6" s="178" t="s">
        <v>119</v>
      </c>
      <c r="C6" s="46">
        <v>44931</v>
      </c>
      <c r="D6" s="47" t="s">
        <v>109</v>
      </c>
      <c r="E6" s="126"/>
      <c r="F6" s="296">
        <v>44963</v>
      </c>
      <c r="G6" s="167"/>
      <c r="H6" s="167">
        <v>1</v>
      </c>
      <c r="I6" s="160" t="s">
        <v>110</v>
      </c>
      <c r="J6" s="180">
        <f t="shared" si="0"/>
        <v>2000000</v>
      </c>
      <c r="K6" s="181">
        <f t="shared" si="1"/>
        <v>250000</v>
      </c>
      <c r="L6" s="182">
        <v>300000</v>
      </c>
      <c r="M6" s="182"/>
      <c r="N6" s="183">
        <f t="shared" ref="N6:N59" si="2">+SUM(J6:M6)</f>
        <v>2550000</v>
      </c>
      <c r="O6" s="172" t="s">
        <v>111</v>
      </c>
      <c r="P6" s="129"/>
      <c r="Q6" s="130"/>
      <c r="R6" s="190">
        <v>1600</v>
      </c>
      <c r="S6" s="50"/>
      <c r="T6" s="48"/>
      <c r="U6" s="48"/>
      <c r="V6" s="48"/>
      <c r="W6" s="44" t="s">
        <v>112</v>
      </c>
      <c r="X6" s="49"/>
      <c r="Y6" s="48"/>
      <c r="Z6" s="48"/>
      <c r="AA6" s="48"/>
      <c r="AB6" s="48"/>
      <c r="AC6" s="51"/>
      <c r="AD6" s="48"/>
      <c r="AE6" s="48"/>
      <c r="AF6" s="49"/>
      <c r="AG6" s="50"/>
      <c r="AH6" s="48"/>
      <c r="AI6" s="48"/>
      <c r="AJ6" s="48"/>
      <c r="AK6" s="50"/>
      <c r="AL6" s="50"/>
      <c r="AM6" s="50"/>
      <c r="AN6" s="48"/>
      <c r="AO6" s="52"/>
      <c r="AP6" s="52"/>
      <c r="AQ6" s="52"/>
      <c r="AR6" s="51"/>
      <c r="AS6" s="51"/>
      <c r="AT6" s="51"/>
      <c r="AU6" s="51"/>
      <c r="AV6" s="51"/>
      <c r="AW6" s="48"/>
      <c r="AX6" s="48"/>
      <c r="AY6" s="48"/>
      <c r="AZ6" s="48"/>
      <c r="BA6" s="51"/>
      <c r="BB6" s="48"/>
      <c r="BC6" s="48"/>
      <c r="BD6" s="48"/>
      <c r="BE6" s="48"/>
      <c r="BF6" s="51"/>
      <c r="BG6" s="48"/>
      <c r="BH6" s="48"/>
      <c r="BI6" s="48"/>
      <c r="BJ6" s="49"/>
      <c r="BK6" s="49"/>
      <c r="BL6" s="53"/>
      <c r="BM6" s="185" t="s">
        <v>108</v>
      </c>
      <c r="BN6" s="54"/>
      <c r="BO6" s="50"/>
      <c r="BP6" s="50"/>
      <c r="BQ6" s="50"/>
      <c r="BR6" s="50"/>
      <c r="BS6" s="50"/>
      <c r="BT6" s="50"/>
      <c r="BU6" s="50"/>
      <c r="BV6" s="50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55"/>
    </row>
    <row r="7" spans="1:93">
      <c r="A7" s="44">
        <v>3</v>
      </c>
      <c r="B7" s="178" t="s">
        <v>117</v>
      </c>
      <c r="C7" s="46">
        <v>44931</v>
      </c>
      <c r="D7" s="47" t="s">
        <v>113</v>
      </c>
      <c r="E7" s="126"/>
      <c r="F7" s="296">
        <v>44963</v>
      </c>
      <c r="G7" s="167">
        <v>1</v>
      </c>
      <c r="H7" s="167"/>
      <c r="I7" s="160" t="s">
        <v>115</v>
      </c>
      <c r="J7" s="180">
        <f t="shared" si="0"/>
        <v>1300000</v>
      </c>
      <c r="K7" s="181">
        <f t="shared" si="1"/>
        <v>250000</v>
      </c>
      <c r="L7" s="182">
        <v>300000</v>
      </c>
      <c r="M7" s="182"/>
      <c r="N7" s="183">
        <f t="shared" si="2"/>
        <v>1850000</v>
      </c>
      <c r="O7" s="172" t="s">
        <v>114</v>
      </c>
      <c r="P7" s="129"/>
      <c r="Q7" s="130"/>
      <c r="R7" s="190">
        <v>200</v>
      </c>
      <c r="S7" s="50"/>
      <c r="T7" s="48"/>
      <c r="U7" s="48"/>
      <c r="V7" s="48"/>
      <c r="W7" s="44" t="s">
        <v>116</v>
      </c>
      <c r="X7" s="49"/>
      <c r="Y7" s="48"/>
      <c r="Z7" s="48"/>
      <c r="AA7" s="48"/>
      <c r="AB7" s="48"/>
      <c r="AC7" s="51"/>
      <c r="AD7" s="48"/>
      <c r="AE7" s="48"/>
      <c r="AF7" s="49"/>
      <c r="AG7" s="50"/>
      <c r="AH7" s="48"/>
      <c r="AI7" s="48"/>
      <c r="AJ7" s="48"/>
      <c r="AK7" s="50"/>
      <c r="AL7" s="50"/>
      <c r="AM7" s="50"/>
      <c r="AN7" s="48"/>
      <c r="AO7" s="52"/>
      <c r="AP7" s="52"/>
      <c r="AQ7" s="52"/>
      <c r="AR7" s="51"/>
      <c r="AS7" s="51"/>
      <c r="AT7" s="51"/>
      <c r="AU7" s="51"/>
      <c r="AV7" s="51"/>
      <c r="AW7" s="48"/>
      <c r="AX7" s="48"/>
      <c r="AY7" s="48"/>
      <c r="AZ7" s="48"/>
      <c r="BA7" s="51"/>
      <c r="BB7" s="48"/>
      <c r="BC7" s="48"/>
      <c r="BD7" s="48"/>
      <c r="BE7" s="48"/>
      <c r="BF7" s="51"/>
      <c r="BG7" s="48"/>
      <c r="BH7" s="48"/>
      <c r="BI7" s="48"/>
      <c r="BJ7" s="49"/>
      <c r="BK7" s="49"/>
      <c r="BL7" s="53"/>
      <c r="BM7" s="185" t="s">
        <v>108</v>
      </c>
      <c r="BN7" s="54"/>
      <c r="BO7" s="50"/>
      <c r="BP7" s="50"/>
      <c r="BQ7" s="50"/>
      <c r="BR7" s="50"/>
      <c r="BS7" s="50"/>
      <c r="BT7" s="50"/>
      <c r="BU7" s="50"/>
      <c r="BV7" s="50"/>
      <c r="BW7" s="48"/>
      <c r="BX7" s="48"/>
      <c r="BY7" s="48"/>
      <c r="BZ7" s="48"/>
      <c r="CA7" s="48"/>
      <c r="CB7" s="48"/>
      <c r="CC7" s="48"/>
      <c r="CD7" s="48"/>
      <c r="CE7" s="48"/>
      <c r="CF7" s="48"/>
      <c r="CG7" s="48"/>
      <c r="CH7" s="48"/>
      <c r="CI7" s="48"/>
      <c r="CJ7" s="48"/>
      <c r="CK7" s="48"/>
      <c r="CL7" s="48"/>
      <c r="CM7" s="48"/>
      <c r="CN7" s="48"/>
      <c r="CO7" s="55"/>
    </row>
    <row r="8" spans="1:93" ht="66">
      <c r="A8" s="44">
        <v>4</v>
      </c>
      <c r="B8" s="179">
        <v>105204164550</v>
      </c>
      <c r="C8" s="46">
        <v>44931</v>
      </c>
      <c r="D8" s="47" t="s">
        <v>120</v>
      </c>
      <c r="E8" s="126"/>
      <c r="F8" s="296">
        <v>44963</v>
      </c>
      <c r="G8" s="167">
        <v>5</v>
      </c>
      <c r="H8" s="167"/>
      <c r="I8" s="160" t="s">
        <v>122</v>
      </c>
      <c r="J8" s="180">
        <f t="shared" si="0"/>
        <v>6500000</v>
      </c>
      <c r="K8" s="181">
        <f t="shared" si="1"/>
        <v>1250000</v>
      </c>
      <c r="L8" s="182"/>
      <c r="M8" s="182"/>
      <c r="N8" s="183">
        <f t="shared" si="2"/>
        <v>7750000</v>
      </c>
      <c r="O8" s="172" t="s">
        <v>121</v>
      </c>
      <c r="P8" s="129"/>
      <c r="Q8" s="130"/>
      <c r="R8" s="190">
        <v>5</v>
      </c>
      <c r="S8" s="50"/>
      <c r="T8" s="48"/>
      <c r="U8" s="48"/>
      <c r="V8" s="48"/>
      <c r="W8" s="44"/>
      <c r="X8" s="49"/>
      <c r="Y8" s="48"/>
      <c r="Z8" s="48"/>
      <c r="AA8" s="48"/>
      <c r="AB8" s="48"/>
      <c r="AC8" s="51"/>
      <c r="AD8" s="48"/>
      <c r="AE8" s="48"/>
      <c r="AF8" s="49"/>
      <c r="AG8" s="50"/>
      <c r="AH8" s="48"/>
      <c r="AI8" s="48"/>
      <c r="AJ8" s="48"/>
      <c r="AK8" s="50"/>
      <c r="AL8" s="50"/>
      <c r="AM8" s="50"/>
      <c r="AN8" s="48"/>
      <c r="AO8" s="52"/>
      <c r="AP8" s="52"/>
      <c r="AQ8" s="52"/>
      <c r="AR8" s="51"/>
      <c r="AS8" s="51"/>
      <c r="AT8" s="51"/>
      <c r="AU8" s="51"/>
      <c r="AV8" s="51"/>
      <c r="AW8" s="48"/>
      <c r="AX8" s="48"/>
      <c r="AY8" s="48"/>
      <c r="AZ8" s="48"/>
      <c r="BA8" s="51"/>
      <c r="BB8" s="48"/>
      <c r="BC8" s="48"/>
      <c r="BD8" s="48"/>
      <c r="BE8" s="48"/>
      <c r="BF8" s="51"/>
      <c r="BG8" s="48"/>
      <c r="BH8" s="48"/>
      <c r="BI8" s="48"/>
      <c r="BJ8" s="49"/>
      <c r="BK8" s="49"/>
      <c r="BL8" s="53"/>
      <c r="BM8" s="186" t="s">
        <v>123</v>
      </c>
      <c r="BN8" s="54"/>
      <c r="BO8" s="50"/>
      <c r="BP8" s="50"/>
      <c r="BQ8" s="50"/>
      <c r="BR8" s="50"/>
      <c r="BS8" s="50"/>
      <c r="BT8" s="50"/>
      <c r="BU8" s="50"/>
      <c r="BV8" s="50"/>
      <c r="BW8" s="48"/>
      <c r="BX8" s="48"/>
      <c r="BY8" s="48"/>
      <c r="BZ8" s="48"/>
      <c r="CA8" s="48"/>
      <c r="CB8" s="48"/>
      <c r="CC8" s="48"/>
      <c r="CD8" s="48"/>
      <c r="CE8" s="48"/>
      <c r="CF8" s="48"/>
      <c r="CG8" s="48"/>
      <c r="CH8" s="48"/>
      <c r="CI8" s="48"/>
      <c r="CJ8" s="48"/>
      <c r="CK8" s="48"/>
      <c r="CL8" s="48"/>
      <c r="CM8" s="48"/>
      <c r="CN8" s="48"/>
      <c r="CO8" s="55"/>
    </row>
    <row r="9" spans="1:93" ht="39.6">
      <c r="A9" s="44">
        <v>5</v>
      </c>
      <c r="B9" s="179">
        <v>105204217530</v>
      </c>
      <c r="C9" s="46">
        <v>44932</v>
      </c>
      <c r="D9" s="47" t="s">
        <v>124</v>
      </c>
      <c r="E9" s="131"/>
      <c r="F9" s="296">
        <v>44963</v>
      </c>
      <c r="G9" s="167"/>
      <c r="H9" s="167">
        <v>3</v>
      </c>
      <c r="I9" s="160" t="s">
        <v>125</v>
      </c>
      <c r="J9" s="180">
        <f t="shared" si="0"/>
        <v>6000000</v>
      </c>
      <c r="K9" s="181">
        <f t="shared" si="1"/>
        <v>750000</v>
      </c>
      <c r="L9" s="182"/>
      <c r="M9" s="182"/>
      <c r="N9" s="183">
        <f t="shared" si="2"/>
        <v>6750000</v>
      </c>
      <c r="O9" s="173" t="s">
        <v>126</v>
      </c>
      <c r="P9" s="133"/>
      <c r="Q9" s="134"/>
      <c r="R9" s="190">
        <v>3300</v>
      </c>
      <c r="S9" s="58"/>
      <c r="T9" s="56"/>
      <c r="U9" s="56"/>
      <c r="V9" s="56"/>
      <c r="W9" s="44"/>
      <c r="X9" s="57"/>
      <c r="Y9" s="56"/>
      <c r="Z9" s="56"/>
      <c r="AA9" s="56"/>
      <c r="AB9" s="56"/>
      <c r="AC9" s="59"/>
      <c r="AD9" s="56"/>
      <c r="AE9" s="56"/>
      <c r="AF9" s="57"/>
      <c r="AG9" s="58"/>
      <c r="AH9" s="56"/>
      <c r="AI9" s="56"/>
      <c r="AJ9" s="56"/>
      <c r="AK9" s="58"/>
      <c r="AL9" s="58"/>
      <c r="AM9" s="58"/>
      <c r="AN9" s="56"/>
      <c r="AO9" s="60"/>
      <c r="AP9" s="60"/>
      <c r="AQ9" s="60"/>
      <c r="AR9" s="59"/>
      <c r="AS9" s="59"/>
      <c r="AT9" s="59"/>
      <c r="AU9" s="59"/>
      <c r="AV9" s="59"/>
      <c r="AW9" s="56"/>
      <c r="AX9" s="56"/>
      <c r="AY9" s="56"/>
      <c r="AZ9" s="56"/>
      <c r="BA9" s="59"/>
      <c r="BB9" s="56"/>
      <c r="BC9" s="56"/>
      <c r="BD9" s="56"/>
      <c r="BE9" s="56"/>
      <c r="BF9" s="59"/>
      <c r="BG9" s="56"/>
      <c r="BH9" s="56"/>
      <c r="BI9" s="56"/>
      <c r="BJ9" s="57"/>
      <c r="BK9" s="57"/>
      <c r="BL9" s="61"/>
      <c r="BM9" s="186" t="s">
        <v>123</v>
      </c>
      <c r="BN9" s="62"/>
      <c r="BO9" s="58"/>
      <c r="BP9" s="58"/>
      <c r="BQ9" s="58"/>
      <c r="BR9" s="58"/>
      <c r="BS9" s="58"/>
      <c r="BT9" s="58"/>
      <c r="BU9" s="58"/>
      <c r="BV9" s="58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63"/>
    </row>
    <row r="10" spans="1:93" ht="12.75" customHeight="1">
      <c r="A10" s="64">
        <v>6</v>
      </c>
      <c r="B10" s="179">
        <v>105210601050</v>
      </c>
      <c r="C10" s="46">
        <v>44935</v>
      </c>
      <c r="D10" s="47" t="s">
        <v>127</v>
      </c>
      <c r="E10" s="131"/>
      <c r="F10" s="296" t="s">
        <v>164</v>
      </c>
      <c r="G10" s="167"/>
      <c r="H10" s="167"/>
      <c r="I10" s="135" t="s">
        <v>128</v>
      </c>
      <c r="J10" s="180">
        <f t="shared" si="0"/>
        <v>0</v>
      </c>
      <c r="K10" s="181">
        <f t="shared" si="1"/>
        <v>0</v>
      </c>
      <c r="L10" s="137"/>
      <c r="M10" s="137"/>
      <c r="N10" s="183">
        <f t="shared" si="2"/>
        <v>0</v>
      </c>
      <c r="O10" s="174" t="s">
        <v>129</v>
      </c>
      <c r="P10" s="138"/>
      <c r="Q10" s="130"/>
      <c r="R10" s="190">
        <v>1</v>
      </c>
      <c r="S10" s="67"/>
      <c r="T10" s="65"/>
      <c r="U10" s="65"/>
      <c r="V10" s="65"/>
      <c r="W10" s="44"/>
      <c r="X10" s="69"/>
      <c r="Y10" s="65"/>
      <c r="Z10" s="65"/>
      <c r="AA10" s="65"/>
      <c r="AB10" s="65"/>
      <c r="AC10" s="51"/>
      <c r="AD10" s="70"/>
      <c r="AE10" s="65"/>
      <c r="AF10" s="49"/>
      <c r="AG10" s="50"/>
      <c r="AH10" s="65"/>
      <c r="AI10" s="65"/>
      <c r="AJ10" s="65"/>
      <c r="AK10" s="50"/>
      <c r="AL10" s="67"/>
      <c r="AM10" s="67"/>
      <c r="AN10" s="68"/>
      <c r="AO10" s="71"/>
      <c r="AP10" s="72"/>
      <c r="AQ10" s="73"/>
      <c r="AR10" s="74"/>
      <c r="AS10" s="74"/>
      <c r="AT10" s="74"/>
      <c r="AU10" s="74"/>
      <c r="AV10" s="74"/>
      <c r="AW10" s="70"/>
      <c r="AX10" s="65"/>
      <c r="AY10" s="70"/>
      <c r="AZ10" s="70"/>
      <c r="BA10" s="75"/>
      <c r="BB10" s="65"/>
      <c r="BC10" s="65"/>
      <c r="BD10" s="65"/>
      <c r="BE10" s="70"/>
      <c r="BF10" s="74"/>
      <c r="BG10" s="65"/>
      <c r="BH10" s="65"/>
      <c r="BI10" s="48"/>
      <c r="BJ10" s="49"/>
      <c r="BK10" s="76"/>
      <c r="BL10" s="53"/>
      <c r="BM10" s="186" t="s">
        <v>123</v>
      </c>
      <c r="BN10" s="77"/>
      <c r="BO10" s="67"/>
      <c r="BP10" s="67"/>
      <c r="BQ10" s="50"/>
      <c r="BR10" s="67"/>
      <c r="BS10" s="67"/>
      <c r="BT10" s="67"/>
      <c r="BU10" s="50"/>
      <c r="BV10" s="50"/>
      <c r="BW10" s="70"/>
      <c r="BX10" s="65"/>
      <c r="BY10" s="65"/>
      <c r="BZ10" s="65"/>
      <c r="CA10" s="65"/>
      <c r="CB10" s="65"/>
      <c r="CC10" s="70"/>
      <c r="CD10" s="70"/>
      <c r="CE10" s="70"/>
      <c r="CF10" s="70"/>
      <c r="CG10" s="70"/>
      <c r="CH10" s="70"/>
      <c r="CI10" s="70"/>
      <c r="CJ10" s="65"/>
      <c r="CK10" s="65"/>
      <c r="CL10" s="65"/>
      <c r="CM10" s="65"/>
      <c r="CN10" s="65"/>
      <c r="CO10" s="65"/>
    </row>
    <row r="11" spans="1:93" ht="54" customHeight="1">
      <c r="A11" s="64">
        <v>7</v>
      </c>
      <c r="B11" s="179">
        <v>105216259630</v>
      </c>
      <c r="C11" s="46">
        <v>44936</v>
      </c>
      <c r="D11" s="47" t="s">
        <v>130</v>
      </c>
      <c r="E11" s="126"/>
      <c r="F11" s="296" t="s">
        <v>164</v>
      </c>
      <c r="G11" s="167"/>
      <c r="H11" s="167">
        <v>4</v>
      </c>
      <c r="I11" s="160" t="s">
        <v>132</v>
      </c>
      <c r="J11" s="180">
        <f t="shared" si="0"/>
        <v>8000000</v>
      </c>
      <c r="K11" s="181">
        <f t="shared" si="1"/>
        <v>1000000</v>
      </c>
      <c r="L11" s="137"/>
      <c r="M11" s="137"/>
      <c r="N11" s="183">
        <f t="shared" si="2"/>
        <v>9000000</v>
      </c>
      <c r="O11" s="174" t="s">
        <v>131</v>
      </c>
      <c r="P11" s="138"/>
      <c r="Q11" s="130"/>
      <c r="R11" s="190">
        <v>160</v>
      </c>
      <c r="S11" s="67"/>
      <c r="T11" s="65"/>
      <c r="U11" s="65"/>
      <c r="V11" s="65"/>
      <c r="W11" s="44"/>
      <c r="X11" s="69"/>
      <c r="Y11" s="65"/>
      <c r="Z11" s="65"/>
      <c r="AA11" s="65"/>
      <c r="AB11" s="65"/>
      <c r="AC11" s="51"/>
      <c r="AD11" s="70"/>
      <c r="AE11" s="65"/>
      <c r="AF11" s="49"/>
      <c r="AG11" s="50"/>
      <c r="AH11" s="65"/>
      <c r="AI11" s="65"/>
      <c r="AJ11" s="65"/>
      <c r="AK11" s="50"/>
      <c r="AL11" s="67"/>
      <c r="AM11" s="67"/>
      <c r="AN11" s="68"/>
      <c r="AO11" s="71"/>
      <c r="AP11" s="72"/>
      <c r="AQ11" s="73"/>
      <c r="AR11" s="74"/>
      <c r="AS11" s="74"/>
      <c r="AT11" s="74"/>
      <c r="AU11" s="74"/>
      <c r="AV11" s="74"/>
      <c r="AW11" s="70"/>
      <c r="AX11" s="65"/>
      <c r="AY11" s="70"/>
      <c r="AZ11" s="70"/>
      <c r="BA11" s="75"/>
      <c r="BB11" s="65"/>
      <c r="BC11" s="65"/>
      <c r="BD11" s="65"/>
      <c r="BE11" s="70"/>
      <c r="BF11" s="74"/>
      <c r="BG11" s="65"/>
      <c r="BH11" s="65"/>
      <c r="BI11" s="48"/>
      <c r="BJ11" s="49"/>
      <c r="BK11" s="76"/>
      <c r="BL11" s="53"/>
      <c r="BM11" s="186" t="s">
        <v>123</v>
      </c>
      <c r="BN11" s="77"/>
      <c r="BO11" s="67"/>
      <c r="BP11" s="67"/>
      <c r="BQ11" s="50"/>
      <c r="BR11" s="67"/>
      <c r="BS11" s="67"/>
      <c r="BT11" s="67"/>
      <c r="BU11" s="50"/>
      <c r="BV11" s="50"/>
      <c r="BW11" s="70"/>
      <c r="BX11" s="65"/>
      <c r="BY11" s="65"/>
      <c r="BZ11" s="65"/>
      <c r="CA11" s="65"/>
      <c r="CB11" s="65"/>
      <c r="CC11" s="70"/>
      <c r="CD11" s="70"/>
      <c r="CE11" s="70"/>
      <c r="CF11" s="70"/>
      <c r="CG11" s="70"/>
      <c r="CH11" s="70"/>
      <c r="CI11" s="70"/>
      <c r="CJ11" s="65"/>
      <c r="CK11" s="65"/>
      <c r="CL11" s="65"/>
      <c r="CM11" s="65"/>
      <c r="CN11" s="65"/>
      <c r="CO11" s="65"/>
    </row>
    <row r="12" spans="1:93" ht="42" customHeight="1">
      <c r="A12" s="64">
        <v>8</v>
      </c>
      <c r="B12" s="179">
        <v>105214353860</v>
      </c>
      <c r="C12" s="184">
        <v>44936</v>
      </c>
      <c r="D12" s="47" t="s">
        <v>133</v>
      </c>
      <c r="E12" s="126"/>
      <c r="F12" s="296" t="s">
        <v>164</v>
      </c>
      <c r="G12" s="167"/>
      <c r="H12" s="167">
        <v>3</v>
      </c>
      <c r="I12" s="160" t="s">
        <v>134</v>
      </c>
      <c r="J12" s="180">
        <f t="shared" si="0"/>
        <v>6000000</v>
      </c>
      <c r="K12" s="181">
        <f t="shared" si="1"/>
        <v>750000</v>
      </c>
      <c r="L12" s="137"/>
      <c r="M12" s="137"/>
      <c r="N12" s="183">
        <f t="shared" si="2"/>
        <v>6750000</v>
      </c>
      <c r="O12" s="174" t="s">
        <v>135</v>
      </c>
      <c r="P12" s="138"/>
      <c r="Q12" s="130"/>
      <c r="R12" s="190">
        <v>3300</v>
      </c>
      <c r="S12" s="67"/>
      <c r="T12" s="65"/>
      <c r="U12" s="65"/>
      <c r="V12" s="65"/>
      <c r="W12" s="44"/>
      <c r="X12" s="69"/>
      <c r="Y12" s="65"/>
      <c r="Z12" s="65"/>
      <c r="AA12" s="65"/>
      <c r="AB12" s="65"/>
      <c r="AC12" s="51"/>
      <c r="AD12" s="70"/>
      <c r="AE12" s="65"/>
      <c r="AF12" s="49"/>
      <c r="AG12" s="50"/>
      <c r="AH12" s="65"/>
      <c r="AI12" s="65"/>
      <c r="AJ12" s="65"/>
      <c r="AK12" s="50"/>
      <c r="AL12" s="67"/>
      <c r="AM12" s="67"/>
      <c r="AN12" s="68"/>
      <c r="AO12" s="71"/>
      <c r="AP12" s="72"/>
      <c r="AQ12" s="73"/>
      <c r="AR12" s="74"/>
      <c r="AS12" s="74"/>
      <c r="AT12" s="74"/>
      <c r="AU12" s="74"/>
      <c r="AV12" s="74"/>
      <c r="AW12" s="70"/>
      <c r="AX12" s="65"/>
      <c r="AY12" s="70"/>
      <c r="AZ12" s="70"/>
      <c r="BA12" s="75"/>
      <c r="BB12" s="65"/>
      <c r="BC12" s="65"/>
      <c r="BD12" s="65"/>
      <c r="BE12" s="70"/>
      <c r="BF12" s="74"/>
      <c r="BG12" s="65"/>
      <c r="BH12" s="65"/>
      <c r="BI12" s="48"/>
      <c r="BJ12" s="49"/>
      <c r="BK12" s="76"/>
      <c r="BL12" s="53"/>
      <c r="BM12" s="187" t="s">
        <v>136</v>
      </c>
      <c r="BN12" s="77"/>
      <c r="BO12" s="67"/>
      <c r="BP12" s="67"/>
      <c r="BQ12" s="50"/>
      <c r="BR12" s="67"/>
      <c r="BS12" s="67"/>
      <c r="BT12" s="67"/>
      <c r="BU12" s="50"/>
      <c r="BV12" s="50"/>
      <c r="BW12" s="70"/>
      <c r="BX12" s="65"/>
      <c r="BY12" s="65"/>
      <c r="BZ12" s="65"/>
      <c r="CA12" s="65"/>
      <c r="CB12" s="65"/>
      <c r="CC12" s="70"/>
      <c r="CD12" s="70"/>
      <c r="CE12" s="70"/>
      <c r="CF12" s="70"/>
      <c r="CG12" s="70"/>
      <c r="CH12" s="70"/>
      <c r="CI12" s="70"/>
      <c r="CJ12" s="65"/>
      <c r="CK12" s="65"/>
      <c r="CL12" s="65"/>
      <c r="CM12" s="65"/>
      <c r="CN12" s="65"/>
      <c r="CO12" s="65"/>
    </row>
    <row r="13" spans="1:93" ht="12.75" customHeight="1">
      <c r="A13" s="64">
        <v>9</v>
      </c>
      <c r="B13" s="178" t="s">
        <v>137</v>
      </c>
      <c r="C13" s="188">
        <v>44936</v>
      </c>
      <c r="D13" s="47" t="s">
        <v>149</v>
      </c>
      <c r="E13" s="126"/>
      <c r="F13" s="296" t="s">
        <v>164</v>
      </c>
      <c r="G13" s="167"/>
      <c r="H13" s="167">
        <v>1</v>
      </c>
      <c r="I13" s="160" t="s">
        <v>146</v>
      </c>
      <c r="J13" s="180">
        <f t="shared" si="0"/>
        <v>2000000</v>
      </c>
      <c r="K13" s="181">
        <f t="shared" ref="K13:K21" si="3">SUM(G13:I13)*250000</f>
        <v>250000</v>
      </c>
      <c r="L13" s="182">
        <v>300000</v>
      </c>
      <c r="M13" s="182"/>
      <c r="N13" s="183">
        <f t="shared" si="2"/>
        <v>2550000</v>
      </c>
      <c r="O13" s="174" t="s">
        <v>142</v>
      </c>
      <c r="P13" s="138"/>
      <c r="Q13" s="130"/>
      <c r="R13" s="190">
        <v>1120</v>
      </c>
      <c r="S13" s="67"/>
      <c r="T13" s="65"/>
      <c r="U13" s="65"/>
      <c r="V13" s="65"/>
      <c r="W13" s="44"/>
      <c r="X13" s="69"/>
      <c r="Y13" s="65"/>
      <c r="Z13" s="65"/>
      <c r="AA13" s="65"/>
      <c r="AB13" s="65"/>
      <c r="AC13" s="51"/>
      <c r="AD13" s="70"/>
      <c r="AE13" s="65"/>
      <c r="AF13" s="49"/>
      <c r="AG13" s="50"/>
      <c r="AH13" s="65"/>
      <c r="AI13" s="65"/>
      <c r="AJ13" s="65"/>
      <c r="AK13" s="50"/>
      <c r="AL13" s="67"/>
      <c r="AM13" s="67"/>
      <c r="AN13" s="68"/>
      <c r="AO13" s="71"/>
      <c r="AP13" s="72"/>
      <c r="AQ13" s="73"/>
      <c r="AR13" s="74"/>
      <c r="AS13" s="74"/>
      <c r="AT13" s="74"/>
      <c r="AU13" s="74"/>
      <c r="AV13" s="74"/>
      <c r="AW13" s="70"/>
      <c r="AX13" s="65"/>
      <c r="AY13" s="70"/>
      <c r="AZ13" s="70"/>
      <c r="BA13" s="75"/>
      <c r="BB13" s="65"/>
      <c r="BC13" s="65"/>
      <c r="BD13" s="65"/>
      <c r="BE13" s="70"/>
      <c r="BF13" s="74"/>
      <c r="BG13" s="65"/>
      <c r="BH13" s="65"/>
      <c r="BI13" s="48"/>
      <c r="BJ13" s="49"/>
      <c r="BK13" s="76"/>
      <c r="BL13" s="53"/>
      <c r="BM13" s="185" t="s">
        <v>108</v>
      </c>
      <c r="BN13" s="77"/>
      <c r="BO13" s="67"/>
      <c r="BP13" s="67"/>
      <c r="BQ13" s="50"/>
      <c r="BR13" s="67"/>
      <c r="BS13" s="67"/>
      <c r="BT13" s="67"/>
      <c r="BU13" s="50"/>
      <c r="BV13" s="50"/>
      <c r="BW13" s="70"/>
      <c r="BX13" s="65"/>
      <c r="BY13" s="65"/>
      <c r="BZ13" s="65"/>
      <c r="CA13" s="65"/>
      <c r="CB13" s="65"/>
      <c r="CC13" s="70"/>
      <c r="CD13" s="70"/>
      <c r="CE13" s="70"/>
      <c r="CF13" s="70"/>
      <c r="CG13" s="70"/>
      <c r="CH13" s="70"/>
      <c r="CI13" s="70"/>
      <c r="CJ13" s="65"/>
      <c r="CK13" s="65"/>
      <c r="CL13" s="65"/>
      <c r="CM13" s="65"/>
      <c r="CN13" s="65"/>
      <c r="CO13" s="65"/>
    </row>
    <row r="14" spans="1:93" ht="12.75" customHeight="1">
      <c r="A14" s="64">
        <v>10</v>
      </c>
      <c r="B14" s="178" t="s">
        <v>138</v>
      </c>
      <c r="C14" s="188">
        <v>44938</v>
      </c>
      <c r="D14" s="47" t="s">
        <v>150</v>
      </c>
      <c r="E14" s="126"/>
      <c r="F14" s="296" t="s">
        <v>164</v>
      </c>
      <c r="G14" s="167"/>
      <c r="H14" s="167">
        <v>2</v>
      </c>
      <c r="I14" s="160" t="s">
        <v>147</v>
      </c>
      <c r="J14" s="180">
        <f t="shared" si="0"/>
        <v>4000000</v>
      </c>
      <c r="K14" s="181">
        <f t="shared" si="3"/>
        <v>500000</v>
      </c>
      <c r="L14" s="182">
        <v>300000</v>
      </c>
      <c r="M14" s="182"/>
      <c r="N14" s="183">
        <f t="shared" si="2"/>
        <v>4800000</v>
      </c>
      <c r="O14" s="174">
        <v>2712750210</v>
      </c>
      <c r="P14" s="138"/>
      <c r="Q14" s="130"/>
      <c r="R14" s="190">
        <v>40</v>
      </c>
      <c r="S14" s="67"/>
      <c r="T14" s="65"/>
      <c r="U14" s="65"/>
      <c r="V14" s="65"/>
      <c r="W14" s="44"/>
      <c r="X14" s="69"/>
      <c r="Y14" s="65"/>
      <c r="Z14" s="65"/>
      <c r="AA14" s="65"/>
      <c r="AB14" s="65"/>
      <c r="AC14" s="51"/>
      <c r="AD14" s="70"/>
      <c r="AE14" s="65"/>
      <c r="AF14" s="49"/>
      <c r="AG14" s="50"/>
      <c r="AH14" s="65"/>
      <c r="AI14" s="65"/>
      <c r="AJ14" s="65"/>
      <c r="AK14" s="50"/>
      <c r="AL14" s="67"/>
      <c r="AM14" s="67"/>
      <c r="AN14" s="68"/>
      <c r="AO14" s="71"/>
      <c r="AP14" s="72"/>
      <c r="AQ14" s="73"/>
      <c r="AR14" s="74"/>
      <c r="AS14" s="74"/>
      <c r="AT14" s="74"/>
      <c r="AU14" s="74"/>
      <c r="AV14" s="74"/>
      <c r="AW14" s="70"/>
      <c r="AX14" s="65"/>
      <c r="AY14" s="70"/>
      <c r="AZ14" s="70"/>
      <c r="BA14" s="75"/>
      <c r="BB14" s="65"/>
      <c r="BC14" s="65"/>
      <c r="BD14" s="65"/>
      <c r="BE14" s="70"/>
      <c r="BF14" s="74"/>
      <c r="BG14" s="65"/>
      <c r="BH14" s="65"/>
      <c r="BI14" s="48"/>
      <c r="BJ14" s="49"/>
      <c r="BK14" s="76"/>
      <c r="BL14" s="53"/>
      <c r="BM14" s="185" t="s">
        <v>108</v>
      </c>
      <c r="BN14" s="77"/>
      <c r="BO14" s="67"/>
      <c r="BP14" s="67"/>
      <c r="BQ14" s="50"/>
      <c r="BR14" s="67"/>
      <c r="BS14" s="67"/>
      <c r="BT14" s="67"/>
      <c r="BU14" s="50"/>
      <c r="BV14" s="50"/>
      <c r="BW14" s="70"/>
      <c r="BX14" s="65"/>
      <c r="BY14" s="65"/>
      <c r="BZ14" s="65"/>
      <c r="CA14" s="65"/>
      <c r="CB14" s="65"/>
      <c r="CC14" s="70"/>
      <c r="CD14" s="70"/>
      <c r="CE14" s="70"/>
      <c r="CF14" s="70"/>
      <c r="CG14" s="70"/>
      <c r="CH14" s="70"/>
      <c r="CI14" s="70"/>
      <c r="CJ14" s="65"/>
      <c r="CK14" s="65"/>
      <c r="CL14" s="65"/>
      <c r="CM14" s="65"/>
      <c r="CN14" s="65"/>
      <c r="CO14" s="65"/>
    </row>
    <row r="15" spans="1:93" ht="12.75" customHeight="1">
      <c r="A15" s="78">
        <v>11</v>
      </c>
      <c r="B15" s="189" t="s">
        <v>139</v>
      </c>
      <c r="C15" s="188">
        <v>44942</v>
      </c>
      <c r="D15" s="47" t="s">
        <v>151</v>
      </c>
      <c r="E15" s="126"/>
      <c r="F15" s="296" t="s">
        <v>164</v>
      </c>
      <c r="G15" s="167"/>
      <c r="H15" s="167"/>
      <c r="I15" s="160" t="s">
        <v>102</v>
      </c>
      <c r="J15" s="180">
        <f t="shared" si="0"/>
        <v>0</v>
      </c>
      <c r="K15" s="181">
        <f t="shared" si="3"/>
        <v>0</v>
      </c>
      <c r="L15" s="137"/>
      <c r="M15" s="137"/>
      <c r="N15" s="183">
        <f t="shared" si="2"/>
        <v>0</v>
      </c>
      <c r="O15" s="174" t="s">
        <v>143</v>
      </c>
      <c r="P15" s="140"/>
      <c r="Q15" s="141"/>
      <c r="R15" s="190">
        <v>6</v>
      </c>
      <c r="S15" s="80"/>
      <c r="T15" s="79"/>
      <c r="U15" s="79"/>
      <c r="V15" s="79"/>
      <c r="W15" s="44"/>
      <c r="X15" s="46"/>
      <c r="Y15" s="79"/>
      <c r="Z15" s="79"/>
      <c r="AA15" s="79"/>
      <c r="AB15" s="79"/>
      <c r="AC15" s="81"/>
      <c r="AD15" s="82"/>
      <c r="AE15" s="79"/>
      <c r="AF15" s="46"/>
      <c r="AG15" s="83"/>
      <c r="AH15" s="79"/>
      <c r="AI15" s="79"/>
      <c r="AJ15" s="79"/>
      <c r="AK15" s="83"/>
      <c r="AL15" s="80"/>
      <c r="AM15" s="80"/>
      <c r="AN15" s="79"/>
      <c r="AO15" s="84"/>
      <c r="AP15" s="84"/>
      <c r="AQ15" s="84"/>
      <c r="AR15" s="85"/>
      <c r="AS15" s="85"/>
      <c r="AT15" s="85"/>
      <c r="AU15" s="85"/>
      <c r="AV15" s="85"/>
      <c r="AW15" s="82"/>
      <c r="AX15" s="79"/>
      <c r="AY15" s="82"/>
      <c r="AZ15" s="82"/>
      <c r="BA15" s="86"/>
      <c r="BB15" s="79"/>
      <c r="BC15" s="79"/>
      <c r="BD15" s="79"/>
      <c r="BE15" s="82"/>
      <c r="BF15" s="85"/>
      <c r="BG15" s="79"/>
      <c r="BH15" s="79"/>
      <c r="BI15" s="87"/>
      <c r="BJ15" s="46"/>
      <c r="BK15" s="88"/>
      <c r="BL15" s="89"/>
      <c r="BM15" s="186" t="s">
        <v>123</v>
      </c>
      <c r="BN15" s="90"/>
      <c r="BO15" s="80"/>
      <c r="BP15" s="80"/>
      <c r="BQ15" s="83"/>
      <c r="BR15" s="80"/>
      <c r="BS15" s="80"/>
      <c r="BT15" s="80"/>
      <c r="BU15" s="83"/>
      <c r="BV15" s="83"/>
      <c r="BW15" s="82"/>
      <c r="BX15" s="79"/>
      <c r="BY15" s="79"/>
      <c r="BZ15" s="79"/>
      <c r="CA15" s="79"/>
      <c r="CB15" s="79"/>
      <c r="CC15" s="82"/>
      <c r="CD15" s="82"/>
      <c r="CE15" s="82"/>
      <c r="CF15" s="82"/>
      <c r="CG15" s="82"/>
      <c r="CH15" s="82"/>
      <c r="CI15" s="82"/>
      <c r="CJ15" s="79"/>
      <c r="CK15" s="79"/>
      <c r="CL15" s="79"/>
      <c r="CM15" s="79"/>
      <c r="CN15" s="79"/>
      <c r="CO15" s="79"/>
    </row>
    <row r="16" spans="1:93" ht="12.75" customHeight="1">
      <c r="A16" s="78">
        <v>12</v>
      </c>
      <c r="B16" s="189" t="s">
        <v>140</v>
      </c>
      <c r="C16" s="188">
        <v>44942</v>
      </c>
      <c r="D16" s="47" t="s">
        <v>152</v>
      </c>
      <c r="E16" s="126"/>
      <c r="F16" s="296" t="s">
        <v>164</v>
      </c>
      <c r="G16" s="167"/>
      <c r="H16" s="167"/>
      <c r="I16" s="160" t="s">
        <v>102</v>
      </c>
      <c r="J16" s="180">
        <f t="shared" si="0"/>
        <v>0</v>
      </c>
      <c r="K16" s="181">
        <f t="shared" si="3"/>
        <v>0</v>
      </c>
      <c r="L16" s="137"/>
      <c r="M16" s="137"/>
      <c r="N16" s="183">
        <f t="shared" si="2"/>
        <v>0</v>
      </c>
      <c r="O16" s="174" t="s">
        <v>144</v>
      </c>
      <c r="P16" s="140"/>
      <c r="Q16" s="142"/>
      <c r="R16" s="190">
        <v>6</v>
      </c>
      <c r="S16" s="80"/>
      <c r="T16" s="79"/>
      <c r="U16" s="79"/>
      <c r="V16" s="79"/>
      <c r="W16" s="44"/>
      <c r="X16" s="46"/>
      <c r="Y16" s="79"/>
      <c r="Z16" s="79"/>
      <c r="AA16" s="79"/>
      <c r="AB16" s="79"/>
      <c r="AC16" s="81"/>
      <c r="AD16" s="82"/>
      <c r="AE16" s="79"/>
      <c r="AF16" s="46"/>
      <c r="AG16" s="83"/>
      <c r="AH16" s="79"/>
      <c r="AI16" s="79"/>
      <c r="AJ16" s="79"/>
      <c r="AK16" s="83"/>
      <c r="AL16" s="80"/>
      <c r="AM16" s="80"/>
      <c r="AN16" s="79"/>
      <c r="AO16" s="84"/>
      <c r="AP16" s="84"/>
      <c r="AQ16" s="84"/>
      <c r="AR16" s="85"/>
      <c r="AS16" s="85"/>
      <c r="AT16" s="85"/>
      <c r="AU16" s="85"/>
      <c r="AV16" s="85"/>
      <c r="AW16" s="82"/>
      <c r="AX16" s="79"/>
      <c r="AY16" s="82"/>
      <c r="AZ16" s="82"/>
      <c r="BA16" s="86"/>
      <c r="BB16" s="79"/>
      <c r="BC16" s="79"/>
      <c r="BD16" s="79"/>
      <c r="BE16" s="82"/>
      <c r="BF16" s="85"/>
      <c r="BG16" s="79"/>
      <c r="BH16" s="79"/>
      <c r="BI16" s="87"/>
      <c r="BJ16" s="46"/>
      <c r="BK16" s="88"/>
      <c r="BL16" s="89"/>
      <c r="BM16" s="186" t="s">
        <v>123</v>
      </c>
      <c r="BN16" s="90"/>
      <c r="BO16" s="80"/>
      <c r="BP16" s="80"/>
      <c r="BQ16" s="83"/>
      <c r="BR16" s="80"/>
      <c r="BS16" s="80"/>
      <c r="BT16" s="80"/>
      <c r="BU16" s="83"/>
      <c r="BV16" s="83"/>
      <c r="BW16" s="82"/>
      <c r="BX16" s="79"/>
      <c r="BY16" s="79"/>
      <c r="BZ16" s="79"/>
      <c r="CA16" s="79"/>
      <c r="CB16" s="79"/>
      <c r="CC16" s="82"/>
      <c r="CD16" s="82"/>
      <c r="CE16" s="82"/>
      <c r="CF16" s="82"/>
      <c r="CG16" s="82"/>
      <c r="CH16" s="82"/>
      <c r="CI16" s="82"/>
      <c r="CJ16" s="79"/>
      <c r="CK16" s="79"/>
      <c r="CL16" s="79"/>
      <c r="CM16" s="79"/>
      <c r="CN16" s="79"/>
      <c r="CO16" s="79"/>
    </row>
    <row r="17" spans="1:94" ht="39.6">
      <c r="A17" s="78">
        <v>13</v>
      </c>
      <c r="B17" s="189" t="s">
        <v>141</v>
      </c>
      <c r="C17" s="188">
        <v>44942</v>
      </c>
      <c r="D17" s="47" t="s">
        <v>153</v>
      </c>
      <c r="E17" s="126"/>
      <c r="F17" s="296" t="s">
        <v>164</v>
      </c>
      <c r="G17" s="167"/>
      <c r="H17" s="167">
        <v>3</v>
      </c>
      <c r="I17" s="160" t="s">
        <v>148</v>
      </c>
      <c r="J17" s="180">
        <f t="shared" si="0"/>
        <v>6000000</v>
      </c>
      <c r="K17" s="181">
        <f t="shared" si="3"/>
        <v>750000</v>
      </c>
      <c r="L17" s="137"/>
      <c r="M17" s="137"/>
      <c r="N17" s="183">
        <f t="shared" si="2"/>
        <v>6750000</v>
      </c>
      <c r="O17" s="174" t="s">
        <v>145</v>
      </c>
      <c r="P17" s="145"/>
      <c r="Q17" s="142"/>
      <c r="R17" s="190">
        <v>3300</v>
      </c>
      <c r="S17" s="83"/>
      <c r="T17" s="87"/>
      <c r="U17" s="87"/>
      <c r="V17" s="87"/>
      <c r="W17" s="44"/>
      <c r="X17" s="91"/>
      <c r="Y17" s="92"/>
      <c r="Z17" s="92"/>
      <c r="AA17" s="92"/>
      <c r="AB17" s="92"/>
      <c r="AC17" s="51"/>
      <c r="AD17" s="93"/>
      <c r="AE17" s="92"/>
      <c r="AF17" s="91"/>
      <c r="AG17" s="94"/>
      <c r="AH17" s="92"/>
      <c r="AI17" s="92"/>
      <c r="AJ17" s="92"/>
      <c r="AK17" s="94"/>
      <c r="AL17" s="94"/>
      <c r="AM17" s="94"/>
      <c r="AN17" s="92"/>
      <c r="AO17" s="94"/>
      <c r="AP17" s="94"/>
      <c r="AQ17" s="94"/>
      <c r="AR17" s="95"/>
      <c r="AS17" s="95"/>
      <c r="AT17" s="95"/>
      <c r="AU17" s="95"/>
      <c r="AV17" s="95"/>
      <c r="AW17" s="93"/>
      <c r="AX17" s="92"/>
      <c r="AY17" s="93"/>
      <c r="AZ17" s="93"/>
      <c r="BA17" s="96"/>
      <c r="BB17" s="92"/>
      <c r="BC17" s="92"/>
      <c r="BD17" s="92"/>
      <c r="BE17" s="93"/>
      <c r="BF17" s="95"/>
      <c r="BG17" s="92"/>
      <c r="BH17" s="92"/>
      <c r="BI17" s="92"/>
      <c r="BJ17" s="91"/>
      <c r="BK17" s="91"/>
      <c r="BL17" s="92"/>
      <c r="BM17" s="186" t="s">
        <v>123</v>
      </c>
      <c r="BN17" s="97"/>
      <c r="BO17" s="94"/>
      <c r="BP17" s="94"/>
      <c r="BQ17" s="94"/>
      <c r="BR17" s="94"/>
      <c r="BS17" s="94"/>
      <c r="BT17" s="94"/>
      <c r="BU17" s="94"/>
      <c r="BV17" s="94"/>
      <c r="BW17" s="93"/>
      <c r="BX17" s="93"/>
      <c r="BY17" s="92"/>
      <c r="BZ17" s="92"/>
      <c r="CA17" s="92"/>
      <c r="CB17" s="92"/>
      <c r="CC17" s="93"/>
      <c r="CD17" s="93"/>
      <c r="CE17" s="93"/>
      <c r="CF17" s="93"/>
      <c r="CG17" s="93"/>
      <c r="CH17" s="93"/>
      <c r="CI17" s="93"/>
      <c r="CJ17" s="92"/>
      <c r="CK17" s="92"/>
      <c r="CL17" s="93"/>
      <c r="CM17" s="92"/>
      <c r="CN17" s="92"/>
      <c r="CO17" s="92"/>
    </row>
    <row r="18" spans="1:94">
      <c r="A18" s="98">
        <v>14</v>
      </c>
      <c r="B18" s="178" t="s">
        <v>154</v>
      </c>
      <c r="C18" s="188" t="s">
        <v>155</v>
      </c>
      <c r="D18" s="47" t="s">
        <v>163</v>
      </c>
      <c r="E18" s="126"/>
      <c r="F18" s="296">
        <v>44963</v>
      </c>
      <c r="G18" s="191">
        <v>1</v>
      </c>
      <c r="H18" s="191"/>
      <c r="I18" s="160" t="s">
        <v>158</v>
      </c>
      <c r="J18" s="180">
        <f>(G18*$C$255)+(G18*$C$256)+(H18*$D$255+H18*$D$256)+(G18*$C$258+H18*$D$258)</f>
        <v>1300000</v>
      </c>
      <c r="K18" s="181">
        <f t="shared" si="3"/>
        <v>250000</v>
      </c>
      <c r="L18" s="182">
        <v>300000</v>
      </c>
      <c r="M18" s="182"/>
      <c r="N18" s="183">
        <f t="shared" si="2"/>
        <v>1850000</v>
      </c>
      <c r="O18" s="174" t="s">
        <v>160</v>
      </c>
      <c r="P18" s="145"/>
      <c r="Q18" s="142"/>
      <c r="R18" s="190">
        <v>280</v>
      </c>
      <c r="S18" s="83"/>
      <c r="T18" s="87"/>
      <c r="U18" s="87"/>
      <c r="V18" s="87"/>
      <c r="W18" s="44"/>
      <c r="X18" s="91"/>
      <c r="Y18" s="92"/>
      <c r="Z18" s="92"/>
      <c r="AA18" s="92"/>
      <c r="AB18" s="92"/>
      <c r="AC18" s="51"/>
      <c r="AD18" s="93"/>
      <c r="AE18" s="92"/>
      <c r="AF18" s="91"/>
      <c r="AG18" s="94"/>
      <c r="AH18" s="92"/>
      <c r="AI18" s="92"/>
      <c r="AJ18" s="92"/>
      <c r="AK18" s="94"/>
      <c r="AL18" s="94"/>
      <c r="AM18" s="94"/>
      <c r="AN18" s="93"/>
      <c r="AO18" s="94"/>
      <c r="AP18" s="94"/>
      <c r="AQ18" s="94"/>
      <c r="AR18" s="95"/>
      <c r="AS18" s="95"/>
      <c r="AT18" s="95"/>
      <c r="AU18" s="95"/>
      <c r="AV18" s="95"/>
      <c r="AW18" s="93"/>
      <c r="AX18" s="92"/>
      <c r="AY18" s="93"/>
      <c r="AZ18" s="93"/>
      <c r="BA18" s="96"/>
      <c r="BB18" s="92"/>
      <c r="BC18" s="92"/>
      <c r="BD18" s="92"/>
      <c r="BE18" s="93"/>
      <c r="BF18" s="95"/>
      <c r="BG18" s="92"/>
      <c r="BH18" s="92"/>
      <c r="BI18" s="92"/>
      <c r="BJ18" s="91"/>
      <c r="BK18" s="91"/>
      <c r="BL18" s="92"/>
      <c r="BM18" s="185" t="s">
        <v>108</v>
      </c>
      <c r="BN18" s="97"/>
      <c r="BO18" s="94"/>
      <c r="BP18" s="94"/>
      <c r="BQ18" s="94"/>
      <c r="BR18" s="94"/>
      <c r="BS18" s="94"/>
      <c r="BT18" s="94"/>
      <c r="BU18" s="94"/>
      <c r="BV18" s="94"/>
      <c r="BW18" s="93"/>
      <c r="BX18" s="92"/>
      <c r="BY18" s="92"/>
      <c r="BZ18" s="92"/>
      <c r="CA18" s="92"/>
      <c r="CB18" s="93"/>
      <c r="CC18" s="93"/>
      <c r="CD18" s="93"/>
      <c r="CE18" s="93"/>
      <c r="CF18" s="93"/>
      <c r="CG18" s="93"/>
      <c r="CH18" s="93"/>
      <c r="CI18" s="93"/>
      <c r="CJ18" s="92"/>
      <c r="CK18" s="92"/>
      <c r="CL18" s="92"/>
      <c r="CM18" s="92"/>
      <c r="CN18" s="92"/>
      <c r="CO18" s="93"/>
    </row>
    <row r="19" spans="1:94" ht="26.4">
      <c r="A19" s="98">
        <v>15</v>
      </c>
      <c r="B19" s="178" t="s">
        <v>156</v>
      </c>
      <c r="C19" s="188" t="s">
        <v>157</v>
      </c>
      <c r="D19" s="47" t="s">
        <v>162</v>
      </c>
      <c r="E19" s="126"/>
      <c r="F19" s="296">
        <v>44963</v>
      </c>
      <c r="G19" s="191"/>
      <c r="H19" s="191">
        <v>2</v>
      </c>
      <c r="I19" s="160" t="s">
        <v>159</v>
      </c>
      <c r="J19" s="180">
        <f>(G19*$C$255)+(G19*$C$256)+(H19*$D$255+H19*$D$256)+(G19*$C$258+H19*$D$258)</f>
        <v>4000000</v>
      </c>
      <c r="K19" s="181">
        <f t="shared" si="3"/>
        <v>500000</v>
      </c>
      <c r="L19" s="182">
        <v>300000</v>
      </c>
      <c r="M19" s="182"/>
      <c r="N19" s="183">
        <f t="shared" si="2"/>
        <v>4800000</v>
      </c>
      <c r="O19" s="174" t="s">
        <v>161</v>
      </c>
      <c r="P19" s="145"/>
      <c r="Q19" s="142"/>
      <c r="R19" s="190">
        <v>72</v>
      </c>
      <c r="S19" s="83"/>
      <c r="T19" s="87"/>
      <c r="U19" s="87"/>
      <c r="V19" s="87"/>
      <c r="W19" s="44"/>
      <c r="X19" s="91"/>
      <c r="Y19" s="92"/>
      <c r="Z19" s="92"/>
      <c r="AA19" s="92"/>
      <c r="AB19" s="92"/>
      <c r="AC19" s="51"/>
      <c r="AD19" s="93"/>
      <c r="AE19" s="92"/>
      <c r="AF19" s="91"/>
      <c r="AG19" s="94"/>
      <c r="AH19" s="92"/>
      <c r="AI19" s="92"/>
      <c r="AJ19" s="92"/>
      <c r="AK19" s="94"/>
      <c r="AL19" s="94"/>
      <c r="AM19" s="94"/>
      <c r="AN19" s="93"/>
      <c r="AO19" s="94"/>
      <c r="AP19" s="94"/>
      <c r="AQ19" s="94"/>
      <c r="AR19" s="95"/>
      <c r="AS19" s="95"/>
      <c r="AT19" s="95"/>
      <c r="AU19" s="95"/>
      <c r="AV19" s="95"/>
      <c r="AW19" s="93"/>
      <c r="AX19" s="92"/>
      <c r="AY19" s="93"/>
      <c r="AZ19" s="93"/>
      <c r="BA19" s="96"/>
      <c r="BB19" s="92"/>
      <c r="BC19" s="93"/>
      <c r="BD19" s="92"/>
      <c r="BE19" s="93"/>
      <c r="BF19" s="95"/>
      <c r="BG19" s="92"/>
      <c r="BH19" s="92"/>
      <c r="BI19" s="92"/>
      <c r="BJ19" s="91"/>
      <c r="BK19" s="91"/>
      <c r="BL19" s="92"/>
      <c r="BM19" s="185" t="s">
        <v>108</v>
      </c>
      <c r="BN19" s="97"/>
      <c r="BO19" s="94"/>
      <c r="BP19" s="94"/>
      <c r="BQ19" s="94"/>
      <c r="BR19" s="94"/>
      <c r="BS19" s="94"/>
      <c r="BT19" s="94"/>
      <c r="BU19" s="94"/>
      <c r="BV19" s="94"/>
      <c r="BW19" s="93"/>
      <c r="BX19" s="92"/>
      <c r="BY19" s="92"/>
      <c r="BZ19" s="92"/>
      <c r="CA19" s="92"/>
      <c r="CB19" s="93"/>
      <c r="CC19" s="93"/>
      <c r="CD19" s="93"/>
      <c r="CE19" s="93"/>
      <c r="CF19" s="93"/>
      <c r="CG19" s="93"/>
      <c r="CH19" s="93"/>
      <c r="CI19" s="93"/>
      <c r="CJ19" s="92"/>
      <c r="CK19" s="92"/>
      <c r="CL19" s="92"/>
      <c r="CM19" s="92"/>
      <c r="CN19" s="92"/>
      <c r="CO19" s="93"/>
    </row>
    <row r="20" spans="1:94" ht="39.6">
      <c r="A20" s="98">
        <v>16</v>
      </c>
      <c r="B20" s="189" t="s">
        <v>166</v>
      </c>
      <c r="C20" s="188" t="s">
        <v>157</v>
      </c>
      <c r="D20" s="47" t="s">
        <v>165</v>
      </c>
      <c r="E20" s="126"/>
      <c r="F20" s="296">
        <v>44963</v>
      </c>
      <c r="G20" s="167">
        <v>3</v>
      </c>
      <c r="H20" s="167"/>
      <c r="I20" s="162" t="s">
        <v>168</v>
      </c>
      <c r="J20" s="180">
        <f>(G20*$C$255)+(G20*$C$256)+(H20*$D$255+H20*$D$256)+(G20*$C$258+H20*$D$258)</f>
        <v>3900000</v>
      </c>
      <c r="K20" s="181">
        <f t="shared" si="3"/>
        <v>750000</v>
      </c>
      <c r="L20" s="137"/>
      <c r="M20" s="137"/>
      <c r="N20" s="183">
        <f t="shared" si="2"/>
        <v>4650000</v>
      </c>
      <c r="O20" s="175" t="s">
        <v>167</v>
      </c>
      <c r="P20" s="145"/>
      <c r="Q20" s="142"/>
      <c r="R20" s="190">
        <v>3</v>
      </c>
      <c r="S20" s="83"/>
      <c r="T20" s="87"/>
      <c r="U20" s="87"/>
      <c r="V20" s="87"/>
      <c r="W20" s="44"/>
      <c r="X20" s="91"/>
      <c r="Y20" s="92"/>
      <c r="Z20" s="92"/>
      <c r="AA20" s="92"/>
      <c r="AB20" s="92"/>
      <c r="AC20" s="51"/>
      <c r="AD20" s="93"/>
      <c r="AE20" s="92"/>
      <c r="AF20" s="91"/>
      <c r="AG20" s="94"/>
      <c r="AH20" s="92"/>
      <c r="AI20" s="92"/>
      <c r="AJ20" s="92"/>
      <c r="AK20" s="94"/>
      <c r="AL20" s="94"/>
      <c r="AM20" s="94"/>
      <c r="AN20" s="93"/>
      <c r="AO20" s="94"/>
      <c r="AP20" s="94"/>
      <c r="AQ20" s="94"/>
      <c r="AR20" s="95"/>
      <c r="AS20" s="95"/>
      <c r="AT20" s="95"/>
      <c r="AU20" s="95"/>
      <c r="AV20" s="95"/>
      <c r="AW20" s="93"/>
      <c r="AX20" s="92"/>
      <c r="AY20" s="93"/>
      <c r="AZ20" s="93"/>
      <c r="BA20" s="96"/>
      <c r="BB20" s="92"/>
      <c r="BC20" s="93"/>
      <c r="BD20" s="92"/>
      <c r="BE20" s="93"/>
      <c r="BF20" s="95"/>
      <c r="BG20" s="92"/>
      <c r="BH20" s="92"/>
      <c r="BI20" s="92"/>
      <c r="BJ20" s="91"/>
      <c r="BK20" s="91"/>
      <c r="BL20" s="92"/>
      <c r="BM20" s="187" t="s">
        <v>136</v>
      </c>
      <c r="BN20" s="97"/>
      <c r="BO20" s="94"/>
      <c r="BP20" s="94"/>
      <c r="BQ20" s="94"/>
      <c r="BR20" s="94"/>
      <c r="BS20" s="94"/>
      <c r="BT20" s="94"/>
      <c r="BU20" s="94"/>
      <c r="BV20" s="94"/>
      <c r="BW20" s="93"/>
      <c r="BX20" s="92"/>
      <c r="BY20" s="92"/>
      <c r="BZ20" s="92"/>
      <c r="CA20" s="92"/>
      <c r="CB20" s="93"/>
      <c r="CC20" s="93"/>
      <c r="CD20" s="93"/>
      <c r="CE20" s="93"/>
      <c r="CF20" s="93"/>
      <c r="CG20" s="93"/>
      <c r="CH20" s="93"/>
      <c r="CI20" s="93"/>
      <c r="CJ20" s="92"/>
      <c r="CK20" s="92"/>
      <c r="CL20" s="92"/>
      <c r="CM20" s="92"/>
      <c r="CN20" s="92"/>
      <c r="CO20" s="93"/>
    </row>
    <row r="21" spans="1:94">
      <c r="A21" s="98">
        <v>17</v>
      </c>
      <c r="B21" s="178" t="s">
        <v>170</v>
      </c>
      <c r="C21" s="46">
        <v>44928</v>
      </c>
      <c r="D21" s="47" t="s">
        <v>169</v>
      </c>
      <c r="E21" s="145" t="s">
        <v>171</v>
      </c>
      <c r="F21" s="296">
        <v>44963</v>
      </c>
      <c r="G21" s="167"/>
      <c r="H21" s="192">
        <v>1</v>
      </c>
      <c r="I21" s="162" t="s">
        <v>173</v>
      </c>
      <c r="J21" s="180">
        <f>(G21*$C$255)+(G21*$C$256)+(H21*$D$255+H21*$D$256)+(G21*$C$258+H21*$D$258)</f>
        <v>2000000</v>
      </c>
      <c r="K21" s="181">
        <f t="shared" si="3"/>
        <v>250000</v>
      </c>
      <c r="L21" s="182">
        <v>300000</v>
      </c>
      <c r="M21" s="182"/>
      <c r="N21" s="183">
        <f t="shared" si="2"/>
        <v>2550000</v>
      </c>
      <c r="O21" s="175" t="s">
        <v>172</v>
      </c>
      <c r="P21" s="145"/>
      <c r="Q21" s="142"/>
      <c r="R21" s="190">
        <v>28</v>
      </c>
      <c r="S21" s="83"/>
      <c r="T21" s="87"/>
      <c r="U21" s="87"/>
      <c r="V21" s="87"/>
      <c r="W21" s="44"/>
      <c r="X21" s="91"/>
      <c r="Y21" s="92"/>
      <c r="Z21" s="92"/>
      <c r="AA21" s="92"/>
      <c r="AB21" s="92"/>
      <c r="AC21" s="51"/>
      <c r="AD21" s="93"/>
      <c r="AE21" s="92"/>
      <c r="AF21" s="91"/>
      <c r="AG21" s="94"/>
      <c r="AH21" s="92"/>
      <c r="AI21" s="92"/>
      <c r="AJ21" s="92"/>
      <c r="AK21" s="94"/>
      <c r="AL21" s="94"/>
      <c r="AM21" s="94"/>
      <c r="AN21" s="92"/>
      <c r="AO21" s="94"/>
      <c r="AP21" s="94"/>
      <c r="AQ21" s="94"/>
      <c r="AR21" s="95"/>
      <c r="AS21" s="95"/>
      <c r="AT21" s="95"/>
      <c r="AU21" s="95"/>
      <c r="AV21" s="95"/>
      <c r="AW21" s="93"/>
      <c r="AX21" s="92"/>
      <c r="AY21" s="93"/>
      <c r="AZ21" s="93"/>
      <c r="BA21" s="96"/>
      <c r="BB21" s="92"/>
      <c r="BC21" s="92"/>
      <c r="BD21" s="92"/>
      <c r="BE21" s="93"/>
      <c r="BF21" s="95"/>
      <c r="BG21" s="92"/>
      <c r="BH21" s="92"/>
      <c r="BI21" s="92"/>
      <c r="BJ21" s="91"/>
      <c r="BK21" s="91"/>
      <c r="BL21" s="92"/>
      <c r="BM21" s="185" t="s">
        <v>108</v>
      </c>
      <c r="BN21" s="97"/>
      <c r="BO21" s="94"/>
      <c r="BP21" s="94"/>
      <c r="BQ21" s="94"/>
      <c r="BR21" s="94"/>
      <c r="BS21" s="94"/>
      <c r="BT21" s="94"/>
      <c r="BU21" s="94"/>
      <c r="BV21" s="94"/>
      <c r="BW21" s="93"/>
      <c r="BX21" s="92"/>
      <c r="BY21" s="92"/>
      <c r="BZ21" s="92"/>
      <c r="CA21" s="92"/>
      <c r="CB21" s="92"/>
      <c r="CC21" s="93"/>
      <c r="CD21" s="93"/>
      <c r="CE21" s="93"/>
      <c r="CF21" s="93"/>
      <c r="CG21" s="93"/>
      <c r="CH21" s="93"/>
      <c r="CI21" s="93"/>
      <c r="CJ21" s="92"/>
      <c r="CK21" s="92"/>
      <c r="CL21" s="92"/>
      <c r="CM21" s="92"/>
      <c r="CN21" s="92"/>
      <c r="CO21" s="92"/>
    </row>
    <row r="22" spans="1:94" ht="26.4">
      <c r="A22" s="99">
        <v>18</v>
      </c>
      <c r="B22" s="189" t="s">
        <v>216</v>
      </c>
      <c r="C22" s="188">
        <v>44932</v>
      </c>
      <c r="D22" s="100" t="s">
        <v>215</v>
      </c>
      <c r="E22" s="126"/>
      <c r="F22" s="127"/>
      <c r="G22" s="167"/>
      <c r="H22" s="167"/>
      <c r="I22" s="168"/>
      <c r="J22" s="136"/>
      <c r="K22" s="136"/>
      <c r="L22" s="137"/>
      <c r="M22" s="137"/>
      <c r="N22" s="183">
        <f t="shared" si="2"/>
        <v>0</v>
      </c>
      <c r="O22" s="176"/>
      <c r="P22" s="147"/>
      <c r="Q22" s="148"/>
      <c r="R22" s="190"/>
      <c r="S22" s="66"/>
      <c r="T22" s="102"/>
      <c r="U22" s="102"/>
      <c r="V22" s="102"/>
      <c r="W22" s="44"/>
      <c r="X22" s="103"/>
      <c r="Y22" s="101"/>
      <c r="Z22" s="101"/>
      <c r="AA22" s="101"/>
      <c r="AB22" s="101"/>
      <c r="AC22" s="51"/>
      <c r="AD22" s="104"/>
      <c r="AE22" s="101"/>
      <c r="AF22" s="103"/>
      <c r="AG22" s="105"/>
      <c r="AH22" s="101"/>
      <c r="AI22" s="101"/>
      <c r="AJ22" s="101"/>
      <c r="AK22" s="105"/>
      <c r="AL22" s="105"/>
      <c r="AM22" s="105"/>
      <c r="AN22" s="101"/>
      <c r="AO22" s="105"/>
      <c r="AP22" s="105"/>
      <c r="AQ22" s="105"/>
      <c r="AR22" s="106"/>
      <c r="AS22" s="106"/>
      <c r="AT22" s="106"/>
      <c r="AU22" s="106"/>
      <c r="AV22" s="106"/>
      <c r="AW22" s="104"/>
      <c r="AX22" s="101"/>
      <c r="AY22" s="104"/>
      <c r="AZ22" s="104"/>
      <c r="BA22" s="107"/>
      <c r="BB22" s="101"/>
      <c r="BC22" s="101"/>
      <c r="BD22" s="101"/>
      <c r="BE22" s="104"/>
      <c r="BF22" s="106"/>
      <c r="BG22" s="101"/>
      <c r="BH22" s="101"/>
      <c r="BI22" s="101"/>
      <c r="BJ22" s="103"/>
      <c r="BK22" s="103"/>
      <c r="BL22" s="101"/>
      <c r="BM22" s="185"/>
      <c r="BN22" s="108"/>
      <c r="BO22" s="105"/>
      <c r="BP22" s="105"/>
      <c r="BQ22" s="105"/>
      <c r="BR22" s="105"/>
      <c r="BS22" s="105"/>
      <c r="BT22" s="105"/>
      <c r="BU22" s="105"/>
      <c r="BV22" s="105"/>
      <c r="BW22" s="104"/>
      <c r="BX22" s="101"/>
      <c r="BY22" s="101"/>
      <c r="BZ22" s="101"/>
      <c r="CA22" s="101"/>
      <c r="CB22" s="101"/>
      <c r="CC22" s="104"/>
      <c r="CD22" s="104"/>
      <c r="CE22" s="104"/>
      <c r="CF22" s="104"/>
      <c r="CG22" s="104"/>
      <c r="CH22" s="104"/>
      <c r="CI22" s="104"/>
      <c r="CJ22" s="101"/>
      <c r="CK22" s="101"/>
      <c r="CL22" s="101"/>
      <c r="CM22" s="101"/>
      <c r="CN22" s="101"/>
      <c r="CO22" s="101"/>
    </row>
    <row r="23" spans="1:94">
      <c r="A23" s="98"/>
      <c r="B23" s="3278" t="s">
        <v>219</v>
      </c>
      <c r="C23" s="3279"/>
      <c r="D23" s="3279"/>
      <c r="E23" s="3279"/>
      <c r="F23" s="3279"/>
      <c r="G23" s="3279"/>
      <c r="H23" s="3280"/>
      <c r="I23" s="297"/>
      <c r="J23" s="298"/>
      <c r="K23" s="298"/>
      <c r="L23" s="299"/>
      <c r="M23" s="299"/>
      <c r="N23" s="300"/>
      <c r="O23" s="301"/>
      <c r="P23" s="302"/>
      <c r="Q23" s="303"/>
      <c r="R23" s="304"/>
      <c r="S23" s="305"/>
      <c r="T23" s="302"/>
      <c r="U23" s="302"/>
      <c r="V23" s="302"/>
      <c r="W23" s="306"/>
      <c r="X23" s="307"/>
      <c r="Y23" s="308"/>
      <c r="Z23" s="308"/>
      <c r="AA23" s="308"/>
      <c r="AB23" s="308"/>
      <c r="AC23" s="309"/>
      <c r="AD23" s="310"/>
      <c r="AE23" s="308"/>
      <c r="AF23" s="307"/>
      <c r="AG23" s="311"/>
      <c r="AH23" s="308"/>
      <c r="AI23" s="308"/>
      <c r="AJ23" s="308"/>
      <c r="AK23" s="311"/>
      <c r="AL23" s="311"/>
      <c r="AM23" s="311"/>
      <c r="AN23" s="308"/>
      <c r="AO23" s="311"/>
      <c r="AP23" s="311"/>
      <c r="AQ23" s="311"/>
      <c r="AR23" s="312"/>
      <c r="AS23" s="312"/>
      <c r="AT23" s="312"/>
      <c r="AU23" s="312"/>
      <c r="AV23" s="312"/>
      <c r="AW23" s="310"/>
      <c r="AX23" s="308"/>
      <c r="AY23" s="310"/>
      <c r="AZ23" s="310"/>
      <c r="BA23" s="313"/>
      <c r="BB23" s="308"/>
      <c r="BC23" s="308"/>
      <c r="BD23" s="308"/>
      <c r="BE23" s="310"/>
      <c r="BF23" s="312"/>
      <c r="BG23" s="308"/>
      <c r="BH23" s="308"/>
      <c r="BI23" s="308"/>
      <c r="BJ23" s="307"/>
      <c r="BK23" s="307"/>
      <c r="BL23" s="308"/>
      <c r="BM23" s="186"/>
      <c r="BN23" s="97"/>
      <c r="BO23" s="94"/>
      <c r="BP23" s="94"/>
      <c r="BQ23" s="94"/>
      <c r="BR23" s="94"/>
      <c r="BS23" s="94"/>
      <c r="BT23" s="94"/>
      <c r="BU23" s="94"/>
      <c r="BV23" s="94"/>
      <c r="BW23" s="93"/>
      <c r="BX23" s="92"/>
      <c r="BY23" s="92"/>
      <c r="BZ23" s="92"/>
      <c r="CA23" s="92"/>
      <c r="CB23" s="92"/>
      <c r="CC23" s="93"/>
      <c r="CD23" s="93"/>
      <c r="CE23" s="93"/>
      <c r="CF23" s="93"/>
      <c r="CG23" s="93"/>
      <c r="CH23" s="93"/>
      <c r="CI23" s="93"/>
      <c r="CJ23" s="92"/>
      <c r="CK23" s="92"/>
      <c r="CL23" s="92"/>
      <c r="CM23" s="92"/>
      <c r="CN23" s="92"/>
      <c r="CO23" s="92"/>
    </row>
    <row r="24" spans="1:94" ht="13.8">
      <c r="A24" s="98">
        <v>1</v>
      </c>
      <c r="B24" s="189" t="s">
        <v>222</v>
      </c>
      <c r="C24" s="188">
        <v>44964</v>
      </c>
      <c r="D24" s="47" t="s">
        <v>224</v>
      </c>
      <c r="E24" s="126"/>
      <c r="F24" s="127" t="s">
        <v>283</v>
      </c>
      <c r="G24" s="167" t="s">
        <v>128</v>
      </c>
      <c r="H24" s="167"/>
      <c r="I24" s="169"/>
      <c r="J24" s="136"/>
      <c r="K24" s="136"/>
      <c r="L24" s="137"/>
      <c r="M24" s="137"/>
      <c r="N24" s="183">
        <f t="shared" si="2"/>
        <v>0</v>
      </c>
      <c r="O24" s="314" t="s">
        <v>220</v>
      </c>
      <c r="P24" s="145"/>
      <c r="Q24" s="141"/>
      <c r="R24" s="190">
        <v>1</v>
      </c>
      <c r="S24" s="83"/>
      <c r="T24" s="87"/>
      <c r="U24" s="87"/>
      <c r="V24" s="87"/>
      <c r="W24" s="44"/>
      <c r="X24" s="91"/>
      <c r="Y24" s="92"/>
      <c r="Z24" s="92"/>
      <c r="AA24" s="92"/>
      <c r="AB24" s="92"/>
      <c r="AC24" s="96"/>
      <c r="AD24" s="93"/>
      <c r="AE24" s="92"/>
      <c r="AF24" s="91"/>
      <c r="AG24" s="94"/>
      <c r="AH24" s="92"/>
      <c r="AI24" s="92"/>
      <c r="AJ24" s="92"/>
      <c r="AK24" s="94"/>
      <c r="AL24" s="94"/>
      <c r="AM24" s="94"/>
      <c r="AN24" s="93"/>
      <c r="AO24" s="94"/>
      <c r="AP24" s="94"/>
      <c r="AQ24" s="94"/>
      <c r="AR24" s="95"/>
      <c r="AS24" s="95"/>
      <c r="AT24" s="95"/>
      <c r="AU24" s="95"/>
      <c r="AV24" s="95"/>
      <c r="AW24" s="93"/>
      <c r="AX24" s="92"/>
      <c r="AY24" s="93"/>
      <c r="AZ24" s="93"/>
      <c r="BA24" s="96"/>
      <c r="BB24" s="92"/>
      <c r="BC24" s="92"/>
      <c r="BD24" s="92"/>
      <c r="BE24" s="93"/>
      <c r="BF24" s="95"/>
      <c r="BG24" s="92"/>
      <c r="BH24" s="92"/>
      <c r="BI24" s="92"/>
      <c r="BJ24" s="91"/>
      <c r="BK24" s="91"/>
      <c r="BL24" s="92"/>
      <c r="BM24" s="186" t="s">
        <v>123</v>
      </c>
      <c r="BN24" s="97"/>
      <c r="BO24" s="94"/>
      <c r="BP24" s="94"/>
      <c r="BQ24" s="94"/>
      <c r="BR24" s="94"/>
      <c r="BS24" s="94"/>
      <c r="BT24" s="94"/>
      <c r="BU24" s="94"/>
      <c r="BV24" s="94"/>
      <c r="BW24" s="93"/>
      <c r="BX24" s="92"/>
      <c r="BY24" s="92"/>
      <c r="BZ24" s="92"/>
      <c r="CA24" s="92"/>
      <c r="CB24" s="93"/>
      <c r="CC24" s="93"/>
      <c r="CD24" s="93"/>
      <c r="CE24" s="93"/>
      <c r="CF24" s="93"/>
      <c r="CG24" s="93"/>
      <c r="CH24" s="93"/>
      <c r="CI24" s="93"/>
      <c r="CJ24" s="92"/>
      <c r="CK24" s="92"/>
      <c r="CL24" s="92"/>
      <c r="CM24" s="92"/>
      <c r="CN24" s="92"/>
      <c r="CO24" s="93"/>
      <c r="CP24" s="13" t="s">
        <v>206</v>
      </c>
    </row>
    <row r="25" spans="1:94" ht="13.8">
      <c r="A25" s="98">
        <f>+A24+1</f>
        <v>2</v>
      </c>
      <c r="B25" s="189" t="s">
        <v>223</v>
      </c>
      <c r="C25" s="188">
        <v>44964</v>
      </c>
      <c r="D25" s="47" t="s">
        <v>225</v>
      </c>
      <c r="E25" s="126"/>
      <c r="F25" s="127" t="s">
        <v>283</v>
      </c>
      <c r="G25" s="167" t="s">
        <v>128</v>
      </c>
      <c r="H25" s="167"/>
      <c r="I25" s="164"/>
      <c r="J25" s="136"/>
      <c r="K25" s="136"/>
      <c r="L25" s="137"/>
      <c r="M25" s="137"/>
      <c r="N25" s="183">
        <f t="shared" si="2"/>
        <v>0</v>
      </c>
      <c r="O25" s="314" t="s">
        <v>221</v>
      </c>
      <c r="P25" s="145"/>
      <c r="Q25" s="141"/>
      <c r="R25" s="190">
        <v>1</v>
      </c>
      <c r="S25" s="83"/>
      <c r="T25" s="87"/>
      <c r="U25" s="87"/>
      <c r="V25" s="87"/>
      <c r="W25" s="44"/>
      <c r="X25" s="91"/>
      <c r="Y25" s="92"/>
      <c r="Z25" s="92"/>
      <c r="AA25" s="92"/>
      <c r="AB25" s="92"/>
      <c r="AC25" s="96"/>
      <c r="AD25" s="93"/>
      <c r="AE25" s="92"/>
      <c r="AF25" s="91"/>
      <c r="AG25" s="94"/>
      <c r="AH25" s="92"/>
      <c r="AI25" s="92"/>
      <c r="AJ25" s="92"/>
      <c r="AK25" s="94"/>
      <c r="AL25" s="94"/>
      <c r="AM25" s="94"/>
      <c r="AN25" s="93"/>
      <c r="AO25" s="94"/>
      <c r="AP25" s="94"/>
      <c r="AQ25" s="94"/>
      <c r="AR25" s="95"/>
      <c r="AS25" s="95"/>
      <c r="AT25" s="95"/>
      <c r="AU25" s="95"/>
      <c r="AV25" s="95"/>
      <c r="AW25" s="93"/>
      <c r="AX25" s="92"/>
      <c r="AY25" s="93"/>
      <c r="AZ25" s="93"/>
      <c r="BA25" s="96"/>
      <c r="BB25" s="92"/>
      <c r="BC25" s="92"/>
      <c r="BD25" s="92"/>
      <c r="BE25" s="93"/>
      <c r="BF25" s="95"/>
      <c r="BG25" s="92"/>
      <c r="BH25" s="92"/>
      <c r="BI25" s="92"/>
      <c r="BJ25" s="91"/>
      <c r="BK25" s="91"/>
      <c r="BL25" s="92"/>
      <c r="BM25" s="186" t="s">
        <v>123</v>
      </c>
      <c r="BN25" s="97"/>
      <c r="BO25" s="94"/>
      <c r="BP25" s="94"/>
      <c r="BQ25" s="94"/>
      <c r="BR25" s="94"/>
      <c r="BS25" s="94"/>
      <c r="BT25" s="94"/>
      <c r="BU25" s="94"/>
      <c r="BV25" s="94"/>
      <c r="BW25" s="92"/>
      <c r="BX25" s="92"/>
      <c r="BY25" s="92"/>
      <c r="BZ25" s="92"/>
      <c r="CA25" s="92"/>
      <c r="CB25" s="93"/>
      <c r="CC25" s="93"/>
      <c r="CD25" s="93"/>
      <c r="CE25" s="93"/>
      <c r="CF25" s="93"/>
      <c r="CG25" s="93"/>
      <c r="CH25" s="93"/>
      <c r="CI25" s="93"/>
      <c r="CJ25" s="92"/>
      <c r="CK25" s="92"/>
      <c r="CL25" s="92"/>
      <c r="CM25" s="92"/>
      <c r="CN25" s="92"/>
      <c r="CO25" s="109"/>
      <c r="CP25" s="13" t="s">
        <v>206</v>
      </c>
    </row>
    <row r="26" spans="1:94" ht="15.6">
      <c r="A26" s="98">
        <f t="shared" ref="A26:A59" si="4">+A25+1</f>
        <v>3</v>
      </c>
      <c r="B26" s="178" t="s">
        <v>226</v>
      </c>
      <c r="C26" s="188">
        <v>44964</v>
      </c>
      <c r="D26" s="47" t="s">
        <v>240</v>
      </c>
      <c r="E26" s="126"/>
      <c r="F26" s="127" t="s">
        <v>283</v>
      </c>
      <c r="G26" s="167" t="s">
        <v>102</v>
      </c>
      <c r="H26" s="167"/>
      <c r="I26" s="317"/>
      <c r="J26" s="180" t="e">
        <f>(G26*$C$255)+(G26*$C$256)+(H26*$D$255+H26*$D$256)+(G26*$C$258+H26*$D$258)</f>
        <v>#VALUE!</v>
      </c>
      <c r="K26" s="181">
        <f>SUM(G26:I26)*250000</f>
        <v>0</v>
      </c>
      <c r="L26" s="182">
        <v>300000</v>
      </c>
      <c r="M26" s="137"/>
      <c r="N26" s="183" t="e">
        <f t="shared" si="2"/>
        <v>#VALUE!</v>
      </c>
      <c r="O26" s="316" t="s">
        <v>231</v>
      </c>
      <c r="P26" s="145"/>
      <c r="Q26" s="141"/>
      <c r="R26" s="315">
        <v>2</v>
      </c>
      <c r="S26" s="83"/>
      <c r="T26" s="87"/>
      <c r="U26" s="87"/>
      <c r="V26" s="87"/>
      <c r="W26" s="44"/>
      <c r="X26" s="91"/>
      <c r="Y26" s="92"/>
      <c r="Z26" s="92"/>
      <c r="AA26" s="92"/>
      <c r="AB26" s="92"/>
      <c r="AC26" s="96"/>
      <c r="AD26" s="93"/>
      <c r="AE26" s="92"/>
      <c r="AF26" s="91"/>
      <c r="AG26" s="94"/>
      <c r="AH26" s="92"/>
      <c r="AI26" s="92"/>
      <c r="AJ26" s="92"/>
      <c r="AK26" s="94"/>
      <c r="AL26" s="94"/>
      <c r="AM26" s="94"/>
      <c r="AN26" s="93"/>
      <c r="AO26" s="94"/>
      <c r="AP26" s="94"/>
      <c r="AQ26" s="94"/>
      <c r="AR26" s="95"/>
      <c r="AS26" s="95"/>
      <c r="AT26" s="95"/>
      <c r="AU26" s="95"/>
      <c r="AV26" s="95"/>
      <c r="AW26" s="93"/>
      <c r="AX26" s="92"/>
      <c r="AY26" s="93"/>
      <c r="AZ26" s="93"/>
      <c r="BA26" s="96"/>
      <c r="BB26" s="92"/>
      <c r="BC26" s="92"/>
      <c r="BD26" s="92"/>
      <c r="BE26" s="93"/>
      <c r="BF26" s="95"/>
      <c r="BG26" s="92"/>
      <c r="BH26" s="92"/>
      <c r="BI26" s="92"/>
      <c r="BJ26" s="91"/>
      <c r="BK26" s="91"/>
      <c r="BL26" s="92"/>
      <c r="BM26" s="186" t="s">
        <v>123</v>
      </c>
      <c r="BN26" s="97"/>
      <c r="BO26" s="94"/>
      <c r="BP26" s="94"/>
      <c r="BQ26" s="94"/>
      <c r="BR26" s="94"/>
      <c r="BS26" s="94"/>
      <c r="BT26" s="94"/>
      <c r="BU26" s="94"/>
      <c r="BV26" s="94"/>
      <c r="BW26" s="93"/>
      <c r="BX26" s="92"/>
      <c r="BY26" s="92"/>
      <c r="BZ26" s="92"/>
      <c r="CA26" s="92"/>
      <c r="CB26" s="93"/>
      <c r="CC26" s="93"/>
      <c r="CD26" s="93"/>
      <c r="CE26" s="93"/>
      <c r="CF26" s="93"/>
      <c r="CG26" s="93"/>
      <c r="CH26" s="93"/>
      <c r="CI26" s="93"/>
      <c r="CJ26" s="92"/>
      <c r="CK26" s="93"/>
      <c r="CL26" s="93"/>
      <c r="CM26" s="92"/>
      <c r="CN26" s="92"/>
      <c r="CO26" s="93"/>
      <c r="CP26" s="13" t="s">
        <v>210</v>
      </c>
    </row>
    <row r="27" spans="1:94" ht="27.6">
      <c r="A27" s="98">
        <f t="shared" si="4"/>
        <v>4</v>
      </c>
      <c r="B27" s="178" t="s">
        <v>227</v>
      </c>
      <c r="C27" s="188">
        <v>44964</v>
      </c>
      <c r="D27" s="47" t="s">
        <v>241</v>
      </c>
      <c r="E27" s="126"/>
      <c r="F27" s="127" t="s">
        <v>283</v>
      </c>
      <c r="G27" s="167"/>
      <c r="H27" s="167">
        <v>2</v>
      </c>
      <c r="I27" s="317" t="s">
        <v>236</v>
      </c>
      <c r="J27" s="180">
        <f t="shared" ref="J27:J32" si="5">(G27*$C$255)+(G27*$C$256)+(H27*$D$255+H27*$D$256)+(G27*$C$258+H27*$D$258)</f>
        <v>4000000</v>
      </c>
      <c r="K27" s="181">
        <f t="shared" ref="K27:K32" si="6">SUM(G27:I27)*250000</f>
        <v>500000</v>
      </c>
      <c r="L27" s="182">
        <v>300000</v>
      </c>
      <c r="M27" s="137"/>
      <c r="N27" s="183">
        <f t="shared" si="2"/>
        <v>4800000</v>
      </c>
      <c r="O27" s="316" t="s">
        <v>232</v>
      </c>
      <c r="P27" s="145"/>
      <c r="Q27" s="141"/>
      <c r="R27" s="315">
        <v>72</v>
      </c>
      <c r="S27" s="83"/>
      <c r="T27" s="87"/>
      <c r="U27" s="87"/>
      <c r="V27" s="87"/>
      <c r="W27" s="44"/>
      <c r="X27" s="88"/>
      <c r="Y27" s="79"/>
      <c r="Z27" s="79"/>
      <c r="AA27" s="79"/>
      <c r="AB27" s="79"/>
      <c r="AC27" s="86"/>
      <c r="AD27" s="82"/>
      <c r="AE27" s="79"/>
      <c r="AF27" s="88"/>
      <c r="AG27" s="80"/>
      <c r="AH27" s="79"/>
      <c r="AI27" s="79"/>
      <c r="AJ27" s="79"/>
      <c r="AK27" s="80"/>
      <c r="AL27" s="80"/>
      <c r="AM27" s="80"/>
      <c r="AN27" s="82"/>
      <c r="AO27" s="80"/>
      <c r="AP27" s="80"/>
      <c r="AQ27" s="80"/>
      <c r="AR27" s="85"/>
      <c r="AS27" s="85"/>
      <c r="AT27" s="85"/>
      <c r="AU27" s="85"/>
      <c r="AV27" s="85"/>
      <c r="AW27" s="82"/>
      <c r="AX27" s="79"/>
      <c r="AY27" s="82"/>
      <c r="AZ27" s="82"/>
      <c r="BA27" s="86"/>
      <c r="BB27" s="79"/>
      <c r="BC27" s="79"/>
      <c r="BD27" s="79"/>
      <c r="BE27" s="82"/>
      <c r="BF27" s="85"/>
      <c r="BG27" s="79"/>
      <c r="BH27" s="79"/>
      <c r="BI27" s="79"/>
      <c r="BJ27" s="88"/>
      <c r="BK27" s="88"/>
      <c r="BL27" s="79"/>
      <c r="BM27" s="185" t="s">
        <v>108</v>
      </c>
      <c r="BN27" s="90"/>
      <c r="BO27" s="80"/>
      <c r="BP27" s="80"/>
      <c r="BQ27" s="80"/>
      <c r="BR27" s="80"/>
      <c r="BS27" s="80"/>
      <c r="BT27" s="80"/>
      <c r="BU27" s="80"/>
      <c r="BV27" s="80"/>
      <c r="BW27" s="82"/>
      <c r="BX27" s="79"/>
      <c r="BY27" s="79"/>
      <c r="BZ27" s="79"/>
      <c r="CA27" s="79"/>
      <c r="CB27" s="82"/>
      <c r="CC27" s="82"/>
      <c r="CD27" s="82"/>
      <c r="CE27" s="82"/>
      <c r="CF27" s="82"/>
      <c r="CG27" s="82"/>
      <c r="CH27" s="82"/>
      <c r="CI27" s="82"/>
      <c r="CJ27" s="79"/>
      <c r="CK27" s="79"/>
      <c r="CL27" s="79"/>
      <c r="CM27" s="79"/>
      <c r="CN27" s="79"/>
      <c r="CO27" s="82"/>
      <c r="CP27" s="13" t="s">
        <v>210</v>
      </c>
    </row>
    <row r="28" spans="1:94" ht="15.6">
      <c r="A28" s="98">
        <f t="shared" si="4"/>
        <v>5</v>
      </c>
      <c r="B28" s="178" t="s">
        <v>228</v>
      </c>
      <c r="C28" s="188">
        <v>44964</v>
      </c>
      <c r="D28" s="47" t="s">
        <v>242</v>
      </c>
      <c r="E28" s="126"/>
      <c r="F28" s="127" t="s">
        <v>283</v>
      </c>
      <c r="G28" s="167"/>
      <c r="H28" s="167">
        <v>1</v>
      </c>
      <c r="I28" s="317" t="s">
        <v>237</v>
      </c>
      <c r="J28" s="180">
        <f t="shared" si="5"/>
        <v>2000000</v>
      </c>
      <c r="K28" s="181">
        <f t="shared" si="6"/>
        <v>250000</v>
      </c>
      <c r="L28" s="182">
        <v>300000</v>
      </c>
      <c r="M28" s="137"/>
      <c r="N28" s="183">
        <f t="shared" si="2"/>
        <v>2550000</v>
      </c>
      <c r="O28" s="316" t="s">
        <v>233</v>
      </c>
      <c r="P28" s="145"/>
      <c r="Q28" s="141"/>
      <c r="R28" s="315">
        <v>600</v>
      </c>
      <c r="S28" s="83"/>
      <c r="T28" s="87"/>
      <c r="U28" s="87"/>
      <c r="V28" s="87"/>
      <c r="W28" s="44"/>
      <c r="X28" s="88"/>
      <c r="Y28" s="79"/>
      <c r="Z28" s="79"/>
      <c r="AA28" s="79"/>
      <c r="AB28" s="79"/>
      <c r="AC28" s="85"/>
      <c r="AD28" s="82"/>
      <c r="AE28" s="79"/>
      <c r="AF28" s="88"/>
      <c r="AG28" s="80"/>
      <c r="AH28" s="79"/>
      <c r="AI28" s="79"/>
      <c r="AJ28" s="79"/>
      <c r="AK28" s="80"/>
      <c r="AL28" s="80"/>
      <c r="AM28" s="80"/>
      <c r="AN28" s="79"/>
      <c r="AO28" s="80"/>
      <c r="AP28" s="80"/>
      <c r="AQ28" s="80"/>
      <c r="AR28" s="85"/>
      <c r="AS28" s="85"/>
      <c r="AT28" s="85"/>
      <c r="AU28" s="85"/>
      <c r="AV28" s="85"/>
      <c r="AW28" s="82"/>
      <c r="AX28" s="79"/>
      <c r="AY28" s="82"/>
      <c r="AZ28" s="82"/>
      <c r="BA28" s="86"/>
      <c r="BB28" s="79"/>
      <c r="BC28" s="79"/>
      <c r="BD28" s="79"/>
      <c r="BE28" s="82"/>
      <c r="BF28" s="85"/>
      <c r="BG28" s="79"/>
      <c r="BH28" s="79"/>
      <c r="BI28" s="79"/>
      <c r="BJ28" s="88"/>
      <c r="BK28" s="88"/>
      <c r="BL28" s="79"/>
      <c r="BM28" s="185" t="s">
        <v>108</v>
      </c>
      <c r="BN28" s="90"/>
      <c r="BO28" s="80"/>
      <c r="BP28" s="80"/>
      <c r="BQ28" s="80"/>
      <c r="BR28" s="80"/>
      <c r="BS28" s="80"/>
      <c r="BT28" s="80"/>
      <c r="BU28" s="80"/>
      <c r="BV28" s="80"/>
      <c r="BW28" s="82"/>
      <c r="BX28" s="79"/>
      <c r="BY28" s="79"/>
      <c r="BZ28" s="79"/>
      <c r="CA28" s="79"/>
      <c r="CB28" s="79"/>
      <c r="CC28" s="82"/>
      <c r="CD28" s="82"/>
      <c r="CE28" s="82"/>
      <c r="CF28" s="82"/>
      <c r="CG28" s="82"/>
      <c r="CH28" s="79"/>
      <c r="CI28" s="82"/>
      <c r="CJ28" s="79"/>
      <c r="CK28" s="79"/>
      <c r="CL28" s="79"/>
      <c r="CM28" s="79"/>
      <c r="CN28" s="79"/>
      <c r="CO28" s="79"/>
      <c r="CP28" s="13" t="s">
        <v>210</v>
      </c>
    </row>
    <row r="29" spans="1:94" ht="15.6">
      <c r="A29" s="98">
        <f t="shared" si="4"/>
        <v>6</v>
      </c>
      <c r="B29" s="178" t="s">
        <v>229</v>
      </c>
      <c r="C29" s="188">
        <v>44964</v>
      </c>
      <c r="D29" s="47" t="s">
        <v>243</v>
      </c>
      <c r="E29" s="126"/>
      <c r="F29" s="127" t="s">
        <v>283</v>
      </c>
      <c r="G29" s="167"/>
      <c r="H29" s="167">
        <v>1</v>
      </c>
      <c r="I29" s="317" t="s">
        <v>238</v>
      </c>
      <c r="J29" s="180">
        <f t="shared" si="5"/>
        <v>2000000</v>
      </c>
      <c r="K29" s="181">
        <f t="shared" si="6"/>
        <v>250000</v>
      </c>
      <c r="L29" s="182">
        <v>300000</v>
      </c>
      <c r="M29" s="137"/>
      <c r="N29" s="183">
        <f t="shared" si="2"/>
        <v>2550000</v>
      </c>
      <c r="O29" s="316" t="s">
        <v>234</v>
      </c>
      <c r="P29" s="145"/>
      <c r="Q29" s="141"/>
      <c r="R29" s="315">
        <v>1000</v>
      </c>
      <c r="S29" s="83"/>
      <c r="T29" s="87"/>
      <c r="U29" s="87"/>
      <c r="V29" s="87"/>
      <c r="W29" s="44"/>
      <c r="X29" s="88"/>
      <c r="Y29" s="79"/>
      <c r="Z29" s="79"/>
      <c r="AA29" s="79"/>
      <c r="AB29" s="79"/>
      <c r="AC29" s="85"/>
      <c r="AD29" s="82"/>
      <c r="AE29" s="79"/>
      <c r="AF29" s="88"/>
      <c r="AG29" s="80"/>
      <c r="AH29" s="79"/>
      <c r="AI29" s="79"/>
      <c r="AJ29" s="79"/>
      <c r="AK29" s="80"/>
      <c r="AL29" s="80"/>
      <c r="AM29" s="80"/>
      <c r="AN29" s="79"/>
      <c r="AO29" s="80"/>
      <c r="AP29" s="80"/>
      <c r="AQ29" s="80"/>
      <c r="AR29" s="85"/>
      <c r="AS29" s="85"/>
      <c r="AT29" s="85"/>
      <c r="AU29" s="85"/>
      <c r="AV29" s="85"/>
      <c r="AW29" s="82"/>
      <c r="AX29" s="79"/>
      <c r="AY29" s="82"/>
      <c r="AZ29" s="82"/>
      <c r="BA29" s="86"/>
      <c r="BB29" s="79"/>
      <c r="BC29" s="79"/>
      <c r="BD29" s="79"/>
      <c r="BE29" s="82"/>
      <c r="BF29" s="85"/>
      <c r="BG29" s="79"/>
      <c r="BH29" s="79"/>
      <c r="BI29" s="79"/>
      <c r="BJ29" s="88"/>
      <c r="BK29" s="88"/>
      <c r="BL29" s="79"/>
      <c r="BM29" s="185" t="s">
        <v>108</v>
      </c>
      <c r="BN29" s="90"/>
      <c r="BO29" s="80"/>
      <c r="BP29" s="80"/>
      <c r="BQ29" s="80"/>
      <c r="BR29" s="80"/>
      <c r="BS29" s="80"/>
      <c r="BT29" s="80"/>
      <c r="BU29" s="80"/>
      <c r="BV29" s="80"/>
      <c r="BW29" s="82"/>
      <c r="BX29" s="79"/>
      <c r="BY29" s="79"/>
      <c r="BZ29" s="79"/>
      <c r="CA29" s="79"/>
      <c r="CB29" s="79"/>
      <c r="CC29" s="82"/>
      <c r="CD29" s="82"/>
      <c r="CE29" s="82"/>
      <c r="CF29" s="82"/>
      <c r="CG29" s="82"/>
      <c r="CH29" s="79"/>
      <c r="CI29" s="82"/>
      <c r="CJ29" s="79"/>
      <c r="CK29" s="79"/>
      <c r="CL29" s="79"/>
      <c r="CM29" s="79"/>
      <c r="CN29" s="79"/>
      <c r="CO29" s="79"/>
      <c r="CP29" s="13" t="s">
        <v>210</v>
      </c>
    </row>
    <row r="30" spans="1:94" ht="15.6">
      <c r="A30" s="98">
        <f t="shared" si="4"/>
        <v>7</v>
      </c>
      <c r="B30" s="178" t="s">
        <v>230</v>
      </c>
      <c r="C30" s="188">
        <v>44964</v>
      </c>
      <c r="D30" s="47" t="s">
        <v>244</v>
      </c>
      <c r="E30" s="126"/>
      <c r="F30" s="127" t="s">
        <v>283</v>
      </c>
      <c r="G30" s="167">
        <v>1</v>
      </c>
      <c r="H30" s="167"/>
      <c r="I30" s="317" t="s">
        <v>239</v>
      </c>
      <c r="J30" s="180">
        <f t="shared" si="5"/>
        <v>1300000</v>
      </c>
      <c r="K30" s="181">
        <f t="shared" si="6"/>
        <v>250000</v>
      </c>
      <c r="L30" s="182">
        <v>300000</v>
      </c>
      <c r="M30" s="137"/>
      <c r="N30" s="183">
        <f t="shared" si="2"/>
        <v>1850000</v>
      </c>
      <c r="O30" s="316" t="s">
        <v>235</v>
      </c>
      <c r="P30" s="145"/>
      <c r="Q30" s="141"/>
      <c r="R30" s="315">
        <v>1104</v>
      </c>
      <c r="S30" s="83"/>
      <c r="T30" s="87"/>
      <c r="U30" s="87"/>
      <c r="V30" s="87"/>
      <c r="W30" s="44"/>
      <c r="X30" s="88"/>
      <c r="Y30" s="79"/>
      <c r="Z30" s="79"/>
      <c r="AA30" s="79"/>
      <c r="AB30" s="79"/>
      <c r="AC30" s="86"/>
      <c r="AD30" s="82"/>
      <c r="AE30" s="79"/>
      <c r="AF30" s="88"/>
      <c r="AG30" s="80"/>
      <c r="AH30" s="79"/>
      <c r="AI30" s="79"/>
      <c r="AJ30" s="79"/>
      <c r="AK30" s="80"/>
      <c r="AL30" s="80"/>
      <c r="AM30" s="80"/>
      <c r="AN30" s="79"/>
      <c r="AO30" s="80"/>
      <c r="AP30" s="80"/>
      <c r="AQ30" s="80"/>
      <c r="AR30" s="85"/>
      <c r="AS30" s="85"/>
      <c r="AT30" s="85"/>
      <c r="AU30" s="85"/>
      <c r="AV30" s="85"/>
      <c r="AW30" s="82"/>
      <c r="AX30" s="79"/>
      <c r="AY30" s="82"/>
      <c r="AZ30" s="82"/>
      <c r="BA30" s="86"/>
      <c r="BB30" s="79"/>
      <c r="BC30" s="79"/>
      <c r="BD30" s="79"/>
      <c r="BE30" s="82"/>
      <c r="BF30" s="85"/>
      <c r="BG30" s="79"/>
      <c r="BH30" s="79"/>
      <c r="BI30" s="79"/>
      <c r="BJ30" s="88"/>
      <c r="BK30" s="88"/>
      <c r="BL30" s="79"/>
      <c r="BM30" s="185" t="s">
        <v>108</v>
      </c>
      <c r="BN30" s="90"/>
      <c r="BO30" s="80"/>
      <c r="BP30" s="80"/>
      <c r="BQ30" s="80"/>
      <c r="BR30" s="80"/>
      <c r="BS30" s="80"/>
      <c r="BT30" s="80"/>
      <c r="BU30" s="80"/>
      <c r="BV30" s="80"/>
      <c r="BW30" s="82"/>
      <c r="BX30" s="79"/>
      <c r="BY30" s="79"/>
      <c r="BZ30" s="79"/>
      <c r="CA30" s="79"/>
      <c r="CB30" s="79"/>
      <c r="CC30" s="82"/>
      <c r="CD30" s="82"/>
      <c r="CE30" s="82"/>
      <c r="CF30" s="82"/>
      <c r="CG30" s="82"/>
      <c r="CH30" s="82"/>
      <c r="CI30" s="82"/>
      <c r="CJ30" s="79"/>
      <c r="CK30" s="79"/>
      <c r="CL30" s="79"/>
      <c r="CM30" s="79"/>
      <c r="CN30" s="79"/>
      <c r="CO30" s="79"/>
      <c r="CP30" s="13" t="s">
        <v>210</v>
      </c>
    </row>
    <row r="31" spans="1:94" ht="15.6">
      <c r="A31" s="98">
        <f t="shared" si="4"/>
        <v>8</v>
      </c>
      <c r="B31" s="178" t="s">
        <v>245</v>
      </c>
      <c r="C31" s="188">
        <v>44965</v>
      </c>
      <c r="D31" s="47" t="s">
        <v>250</v>
      </c>
      <c r="E31" s="126"/>
      <c r="F31" s="127" t="s">
        <v>283</v>
      </c>
      <c r="G31" s="167"/>
      <c r="H31" s="167">
        <v>1</v>
      </c>
      <c r="I31" s="317" t="s">
        <v>247</v>
      </c>
      <c r="J31" s="180">
        <f t="shared" si="5"/>
        <v>2000000</v>
      </c>
      <c r="K31" s="181">
        <f t="shared" si="6"/>
        <v>250000</v>
      </c>
      <c r="L31" s="182">
        <v>300000</v>
      </c>
      <c r="M31" s="137"/>
      <c r="N31" s="183">
        <f t="shared" si="2"/>
        <v>2550000</v>
      </c>
      <c r="O31" s="318">
        <v>2713562690</v>
      </c>
      <c r="P31" s="145"/>
      <c r="Q31" s="141"/>
      <c r="R31" s="315">
        <v>36</v>
      </c>
      <c r="S31" s="83"/>
      <c r="T31" s="87"/>
      <c r="U31" s="87"/>
      <c r="V31" s="87"/>
      <c r="W31" s="44"/>
      <c r="X31" s="88"/>
      <c r="Y31" s="79"/>
      <c r="Z31" s="79"/>
      <c r="AA31" s="79"/>
      <c r="AB31" s="79"/>
      <c r="AC31" s="86"/>
      <c r="AD31" s="79"/>
      <c r="AE31" s="79"/>
      <c r="AF31" s="88"/>
      <c r="AG31" s="80"/>
      <c r="AH31" s="79"/>
      <c r="AI31" s="79"/>
      <c r="AJ31" s="79"/>
      <c r="AK31" s="80"/>
      <c r="AL31" s="80"/>
      <c r="AM31" s="80"/>
      <c r="AN31" s="79"/>
      <c r="AO31" s="80"/>
      <c r="AP31" s="80"/>
      <c r="AQ31" s="80"/>
      <c r="AR31" s="85"/>
      <c r="AS31" s="85"/>
      <c r="AT31" s="85"/>
      <c r="AU31" s="85"/>
      <c r="AV31" s="85"/>
      <c r="AW31" s="82"/>
      <c r="AX31" s="79"/>
      <c r="AY31" s="82"/>
      <c r="AZ31" s="82"/>
      <c r="BA31" s="86"/>
      <c r="BB31" s="79"/>
      <c r="BC31" s="79"/>
      <c r="BD31" s="79"/>
      <c r="BE31" s="82"/>
      <c r="BF31" s="85"/>
      <c r="BG31" s="79"/>
      <c r="BH31" s="79"/>
      <c r="BI31" s="79"/>
      <c r="BJ31" s="88"/>
      <c r="BK31" s="88"/>
      <c r="BL31" s="79"/>
      <c r="BM31" s="185" t="s">
        <v>108</v>
      </c>
      <c r="BN31" s="90"/>
      <c r="BO31" s="80"/>
      <c r="BP31" s="80"/>
      <c r="BQ31" s="80"/>
      <c r="BR31" s="80"/>
      <c r="BS31" s="80"/>
      <c r="BT31" s="80"/>
      <c r="BU31" s="80"/>
      <c r="BV31" s="80"/>
      <c r="BW31" s="82"/>
      <c r="BX31" s="79"/>
      <c r="BY31" s="79"/>
      <c r="BZ31" s="79"/>
      <c r="CA31" s="79"/>
      <c r="CB31" s="79"/>
      <c r="CC31" s="82"/>
      <c r="CD31" s="82"/>
      <c r="CE31" s="82"/>
      <c r="CF31" s="82"/>
      <c r="CG31" s="82"/>
      <c r="CH31" s="79"/>
      <c r="CI31" s="82"/>
      <c r="CJ31" s="79"/>
      <c r="CK31" s="79"/>
      <c r="CL31" s="79"/>
      <c r="CM31" s="82"/>
      <c r="CN31" s="82"/>
      <c r="CO31" s="79"/>
      <c r="CP31" s="13" t="s">
        <v>210</v>
      </c>
    </row>
    <row r="32" spans="1:94" ht="15.6">
      <c r="A32" s="98">
        <f t="shared" si="4"/>
        <v>9</v>
      </c>
      <c r="B32" s="178" t="s">
        <v>246</v>
      </c>
      <c r="C32" s="188">
        <v>44965</v>
      </c>
      <c r="D32" s="47" t="s">
        <v>251</v>
      </c>
      <c r="E32" s="126"/>
      <c r="F32" s="127" t="s">
        <v>283</v>
      </c>
      <c r="G32" s="167"/>
      <c r="H32" s="167">
        <v>1</v>
      </c>
      <c r="I32" s="317" t="s">
        <v>248</v>
      </c>
      <c r="J32" s="180">
        <f t="shared" si="5"/>
        <v>2000000</v>
      </c>
      <c r="K32" s="181">
        <f t="shared" si="6"/>
        <v>250000</v>
      </c>
      <c r="L32" s="182">
        <v>300000</v>
      </c>
      <c r="M32" s="137"/>
      <c r="N32" s="183">
        <f t="shared" si="2"/>
        <v>2550000</v>
      </c>
      <c r="O32" s="318" t="s">
        <v>249</v>
      </c>
      <c r="P32" s="145"/>
      <c r="Q32" s="141"/>
      <c r="R32" s="315">
        <v>36</v>
      </c>
      <c r="S32" s="83"/>
      <c r="T32" s="87"/>
      <c r="U32" s="87"/>
      <c r="V32" s="87"/>
      <c r="W32" s="44"/>
      <c r="X32" s="88"/>
      <c r="Y32" s="79"/>
      <c r="Z32" s="79"/>
      <c r="AA32" s="79"/>
      <c r="AB32" s="79"/>
      <c r="AC32" s="86"/>
      <c r="AD32" s="82"/>
      <c r="AE32" s="79"/>
      <c r="AF32" s="88"/>
      <c r="AG32" s="80"/>
      <c r="AH32" s="79"/>
      <c r="AI32" s="79"/>
      <c r="AJ32" s="79"/>
      <c r="AK32" s="80"/>
      <c r="AL32" s="80"/>
      <c r="AM32" s="80"/>
      <c r="AN32" s="79"/>
      <c r="AO32" s="80"/>
      <c r="AP32" s="80"/>
      <c r="AQ32" s="80"/>
      <c r="AR32" s="85"/>
      <c r="AS32" s="85"/>
      <c r="AT32" s="85"/>
      <c r="AU32" s="85"/>
      <c r="AV32" s="85"/>
      <c r="AW32" s="82"/>
      <c r="AX32" s="79"/>
      <c r="AY32" s="82"/>
      <c r="AZ32" s="82"/>
      <c r="BA32" s="86"/>
      <c r="BB32" s="79"/>
      <c r="BC32" s="79"/>
      <c r="BD32" s="79"/>
      <c r="BE32" s="82"/>
      <c r="BF32" s="85"/>
      <c r="BG32" s="79"/>
      <c r="BH32" s="79"/>
      <c r="BI32" s="79"/>
      <c r="BJ32" s="88"/>
      <c r="BK32" s="88"/>
      <c r="BL32" s="79"/>
      <c r="BM32" s="185" t="s">
        <v>108</v>
      </c>
      <c r="BN32" s="90"/>
      <c r="BO32" s="80"/>
      <c r="BP32" s="80"/>
      <c r="BQ32" s="80"/>
      <c r="BR32" s="80"/>
      <c r="BS32" s="80"/>
      <c r="BT32" s="80"/>
      <c r="BU32" s="80"/>
      <c r="BV32" s="80"/>
      <c r="BW32" s="82"/>
      <c r="BX32" s="79"/>
      <c r="BY32" s="79"/>
      <c r="BZ32" s="79"/>
      <c r="CA32" s="79"/>
      <c r="CB32" s="79"/>
      <c r="CC32" s="82"/>
      <c r="CD32" s="82"/>
      <c r="CE32" s="82"/>
      <c r="CF32" s="82"/>
      <c r="CG32" s="82"/>
      <c r="CH32" s="82"/>
      <c r="CI32" s="82"/>
      <c r="CJ32" s="79"/>
      <c r="CK32" s="79"/>
      <c r="CL32" s="79"/>
      <c r="CM32" s="79"/>
      <c r="CN32" s="79"/>
      <c r="CO32" s="79"/>
      <c r="CP32" s="13" t="s">
        <v>210</v>
      </c>
    </row>
    <row r="33" spans="1:94" ht="26.4">
      <c r="A33" s="98">
        <f t="shared" si="4"/>
        <v>10</v>
      </c>
      <c r="B33" s="189" t="s">
        <v>254</v>
      </c>
      <c r="C33" s="188">
        <v>44967</v>
      </c>
      <c r="D33" s="47" t="s">
        <v>273</v>
      </c>
      <c r="E33" s="126"/>
      <c r="F33" s="127" t="s">
        <v>283</v>
      </c>
      <c r="G33" s="167">
        <v>2</v>
      </c>
      <c r="H33" s="167"/>
      <c r="I33" s="170" t="s">
        <v>259</v>
      </c>
      <c r="J33" s="180">
        <f>(G33*$C$255)+(G33*$C$256)+(H33*$D$255+H33*$D$256)+(G33*$C$258+H33*$D$258)</f>
        <v>2600000</v>
      </c>
      <c r="K33" s="181">
        <f t="shared" ref="K33:K38" si="7">SUM(G33:I33)*250000</f>
        <v>500000</v>
      </c>
      <c r="L33" s="182"/>
      <c r="M33" s="137"/>
      <c r="N33" s="183">
        <f t="shared" si="2"/>
        <v>3100000</v>
      </c>
      <c r="O33" s="318" t="s">
        <v>264</v>
      </c>
      <c r="P33" s="145"/>
      <c r="Q33" s="141"/>
      <c r="R33" s="315">
        <v>2</v>
      </c>
      <c r="S33" s="83"/>
      <c r="T33" s="87"/>
      <c r="U33" s="87"/>
      <c r="V33" s="87"/>
      <c r="W33" s="44"/>
      <c r="X33" s="88"/>
      <c r="Y33" s="79"/>
      <c r="Z33" s="79"/>
      <c r="AA33" s="79"/>
      <c r="AB33" s="79"/>
      <c r="AC33" s="86"/>
      <c r="AD33" s="82"/>
      <c r="AE33" s="79"/>
      <c r="AF33" s="88"/>
      <c r="AG33" s="80"/>
      <c r="AH33" s="79"/>
      <c r="AI33" s="79"/>
      <c r="AJ33" s="79"/>
      <c r="AK33" s="80"/>
      <c r="AL33" s="80"/>
      <c r="AM33" s="80"/>
      <c r="AN33" s="79"/>
      <c r="AO33" s="80"/>
      <c r="AP33" s="80"/>
      <c r="AQ33" s="80"/>
      <c r="AR33" s="85"/>
      <c r="AS33" s="85"/>
      <c r="AT33" s="85"/>
      <c r="AU33" s="85"/>
      <c r="AV33" s="85"/>
      <c r="AW33" s="82"/>
      <c r="AX33" s="79"/>
      <c r="AY33" s="82"/>
      <c r="AZ33" s="82"/>
      <c r="BA33" s="86"/>
      <c r="BB33" s="79"/>
      <c r="BC33" s="79"/>
      <c r="BD33" s="79"/>
      <c r="BE33" s="82"/>
      <c r="BF33" s="85"/>
      <c r="BG33" s="79"/>
      <c r="BH33" s="79"/>
      <c r="BI33" s="79"/>
      <c r="BJ33" s="88"/>
      <c r="BK33" s="88"/>
      <c r="BL33" s="79"/>
      <c r="BM33" s="187" t="s">
        <v>136</v>
      </c>
      <c r="BN33" s="90"/>
      <c r="BO33" s="80"/>
      <c r="BP33" s="80"/>
      <c r="BQ33" s="80"/>
      <c r="BR33" s="80"/>
      <c r="BS33" s="80"/>
      <c r="BT33" s="80"/>
      <c r="BU33" s="80"/>
      <c r="BV33" s="80"/>
      <c r="BW33" s="82"/>
      <c r="BX33" s="79"/>
      <c r="BY33" s="79"/>
      <c r="BZ33" s="79"/>
      <c r="CA33" s="79"/>
      <c r="CB33" s="79"/>
      <c r="CC33" s="82"/>
      <c r="CD33" s="82"/>
      <c r="CE33" s="82"/>
      <c r="CF33" s="82"/>
      <c r="CG33" s="82"/>
      <c r="CH33" s="82"/>
      <c r="CI33" s="82"/>
      <c r="CJ33" s="79"/>
      <c r="CK33" s="79"/>
      <c r="CL33" s="79"/>
      <c r="CM33" s="79"/>
      <c r="CN33" s="79"/>
      <c r="CO33" s="79"/>
      <c r="CP33" s="13" t="s">
        <v>206</v>
      </c>
    </row>
    <row r="34" spans="1:94" ht="39.6">
      <c r="A34" s="98">
        <f t="shared" si="4"/>
        <v>11</v>
      </c>
      <c r="B34" s="178" t="s">
        <v>255</v>
      </c>
      <c r="C34" s="188">
        <v>44967</v>
      </c>
      <c r="D34" s="47" t="s">
        <v>274</v>
      </c>
      <c r="E34" s="126"/>
      <c r="F34" s="127" t="s">
        <v>283</v>
      </c>
      <c r="G34" s="167"/>
      <c r="H34" s="167">
        <v>3</v>
      </c>
      <c r="I34" s="171" t="s">
        <v>260</v>
      </c>
      <c r="J34" s="180">
        <f>(G34*$C$255)+(G34*$C$256)+(H34*$D$255+H34*$D$256)+(G34*$C$258+H34*$D$258)</f>
        <v>6000000</v>
      </c>
      <c r="K34" s="181">
        <f t="shared" si="7"/>
        <v>750000</v>
      </c>
      <c r="L34" s="182">
        <v>300000</v>
      </c>
      <c r="M34" s="137"/>
      <c r="N34" s="183">
        <f t="shared" si="2"/>
        <v>7050000</v>
      </c>
      <c r="O34" s="318" t="s">
        <v>265</v>
      </c>
      <c r="P34" s="145"/>
      <c r="Q34" s="141"/>
      <c r="R34" s="315">
        <v>5500</v>
      </c>
      <c r="S34" s="83"/>
      <c r="T34" s="87"/>
      <c r="U34" s="87"/>
      <c r="V34" s="87"/>
      <c r="W34" s="44"/>
      <c r="X34" s="88"/>
      <c r="Y34" s="79"/>
      <c r="Z34" s="79"/>
      <c r="AA34" s="79"/>
      <c r="AB34" s="79"/>
      <c r="AC34" s="86"/>
      <c r="AD34" s="82"/>
      <c r="AE34" s="79"/>
      <c r="AF34" s="88"/>
      <c r="AG34" s="80"/>
      <c r="AH34" s="79"/>
      <c r="AI34" s="79"/>
      <c r="AJ34" s="79"/>
      <c r="AK34" s="80"/>
      <c r="AL34" s="80"/>
      <c r="AM34" s="80"/>
      <c r="AN34" s="79"/>
      <c r="AO34" s="80"/>
      <c r="AP34" s="80"/>
      <c r="AQ34" s="80"/>
      <c r="AR34" s="85"/>
      <c r="AS34" s="85"/>
      <c r="AT34" s="85"/>
      <c r="AU34" s="85"/>
      <c r="AV34" s="85"/>
      <c r="AW34" s="82"/>
      <c r="AX34" s="79"/>
      <c r="AY34" s="82"/>
      <c r="AZ34" s="82"/>
      <c r="BA34" s="86"/>
      <c r="BB34" s="79"/>
      <c r="BC34" s="79"/>
      <c r="BD34" s="79"/>
      <c r="BE34" s="82"/>
      <c r="BF34" s="85"/>
      <c r="BG34" s="79"/>
      <c r="BH34" s="79"/>
      <c r="BI34" s="79"/>
      <c r="BJ34" s="88"/>
      <c r="BK34" s="88"/>
      <c r="BL34" s="79"/>
      <c r="BM34" s="185" t="s">
        <v>108</v>
      </c>
      <c r="BN34" s="90"/>
      <c r="BO34" s="80"/>
      <c r="BP34" s="80"/>
      <c r="BQ34" s="80"/>
      <c r="BR34" s="80"/>
      <c r="BS34" s="80"/>
      <c r="BT34" s="80"/>
      <c r="BU34" s="80"/>
      <c r="BV34" s="80"/>
      <c r="BW34" s="82"/>
      <c r="BX34" s="79"/>
      <c r="BY34" s="79"/>
      <c r="BZ34" s="79"/>
      <c r="CA34" s="79"/>
      <c r="CB34" s="79"/>
      <c r="CC34" s="82"/>
      <c r="CD34" s="82"/>
      <c r="CE34" s="82"/>
      <c r="CF34" s="82"/>
      <c r="CG34" s="82"/>
      <c r="CH34" s="82"/>
      <c r="CI34" s="82"/>
      <c r="CJ34" s="79"/>
      <c r="CK34" s="79"/>
      <c r="CL34" s="79"/>
      <c r="CM34" s="79"/>
      <c r="CN34" s="79"/>
      <c r="CO34" s="79"/>
      <c r="CP34" s="13" t="s">
        <v>210</v>
      </c>
    </row>
    <row r="35" spans="1:94" ht="26.4">
      <c r="A35" s="98">
        <f t="shared" si="4"/>
        <v>12</v>
      </c>
      <c r="B35" s="319" t="s">
        <v>256</v>
      </c>
      <c r="C35" s="188">
        <v>44967</v>
      </c>
      <c r="D35" s="47" t="s">
        <v>275</v>
      </c>
      <c r="E35" s="126"/>
      <c r="F35" s="127" t="s">
        <v>283</v>
      </c>
      <c r="G35" s="167"/>
      <c r="H35" s="167">
        <v>1</v>
      </c>
      <c r="I35" s="170" t="s">
        <v>261</v>
      </c>
      <c r="J35" s="180">
        <f>(G35*$C$255)+(G35*$C$256)+(H35*$D$255+H35*$D$256)+(G35*$C$258+H35*$D$258)</f>
        <v>2000000</v>
      </c>
      <c r="K35" s="181">
        <f t="shared" si="7"/>
        <v>250000</v>
      </c>
      <c r="L35" s="182">
        <v>300000</v>
      </c>
      <c r="M35" s="137"/>
      <c r="N35" s="183">
        <f t="shared" si="2"/>
        <v>2550000</v>
      </c>
      <c r="O35" s="318" t="s">
        <v>249</v>
      </c>
      <c r="P35" s="145"/>
      <c r="Q35" s="141"/>
      <c r="R35" s="315">
        <v>36</v>
      </c>
      <c r="S35" s="83"/>
      <c r="T35" s="87"/>
      <c r="U35" s="87"/>
      <c r="V35" s="87"/>
      <c r="W35" s="44"/>
      <c r="X35" s="88"/>
      <c r="Y35" s="79"/>
      <c r="Z35" s="79"/>
      <c r="AA35" s="79"/>
      <c r="AB35" s="79"/>
      <c r="AC35" s="86"/>
      <c r="AD35" s="82"/>
      <c r="AE35" s="79"/>
      <c r="AF35" s="88"/>
      <c r="AG35" s="80"/>
      <c r="AH35" s="79"/>
      <c r="AI35" s="79"/>
      <c r="AJ35" s="79"/>
      <c r="AK35" s="80"/>
      <c r="AL35" s="80"/>
      <c r="AM35" s="80"/>
      <c r="AN35" s="79"/>
      <c r="AO35" s="80"/>
      <c r="AP35" s="80"/>
      <c r="AQ35" s="80"/>
      <c r="AR35" s="85"/>
      <c r="AS35" s="85"/>
      <c r="AT35" s="85"/>
      <c r="AU35" s="85"/>
      <c r="AV35" s="85"/>
      <c r="AW35" s="82"/>
      <c r="AX35" s="79"/>
      <c r="AY35" s="82"/>
      <c r="AZ35" s="82"/>
      <c r="BA35" s="86"/>
      <c r="BB35" s="79"/>
      <c r="BC35" s="79"/>
      <c r="BD35" s="79"/>
      <c r="BE35" s="82"/>
      <c r="BF35" s="85"/>
      <c r="BG35" s="79"/>
      <c r="BH35" s="79"/>
      <c r="BI35" s="79"/>
      <c r="BJ35" s="88"/>
      <c r="BK35" s="88"/>
      <c r="BL35" s="79"/>
      <c r="BM35" s="185" t="s">
        <v>108</v>
      </c>
      <c r="BN35" s="90"/>
      <c r="BO35" s="80"/>
      <c r="BP35" s="80"/>
      <c r="BQ35" s="80"/>
      <c r="BR35" s="80"/>
      <c r="BS35" s="80"/>
      <c r="BT35" s="80"/>
      <c r="BU35" s="80"/>
      <c r="BV35" s="80"/>
      <c r="BW35" s="82"/>
      <c r="BX35" s="79"/>
      <c r="BY35" s="79"/>
      <c r="BZ35" s="79"/>
      <c r="CA35" s="79"/>
      <c r="CB35" s="79"/>
      <c r="CC35" s="82"/>
      <c r="CD35" s="82"/>
      <c r="CE35" s="82"/>
      <c r="CF35" s="82"/>
      <c r="CG35" s="82"/>
      <c r="CH35" s="82"/>
      <c r="CI35" s="82"/>
      <c r="CJ35" s="79"/>
      <c r="CK35" s="79"/>
      <c r="CL35" s="79"/>
      <c r="CM35" s="79"/>
      <c r="CN35" s="79"/>
      <c r="CO35" s="79"/>
      <c r="CP35" s="13" t="s">
        <v>210</v>
      </c>
    </row>
    <row r="36" spans="1:94" ht="15.6">
      <c r="A36" s="98">
        <f t="shared" si="4"/>
        <v>13</v>
      </c>
      <c r="B36" s="178" t="s">
        <v>257</v>
      </c>
      <c r="C36" s="188">
        <v>44970</v>
      </c>
      <c r="D36" s="47" t="s">
        <v>276</v>
      </c>
      <c r="E36" s="126"/>
      <c r="F36" s="127" t="s">
        <v>283</v>
      </c>
      <c r="G36" s="167">
        <v>1</v>
      </c>
      <c r="H36" s="167"/>
      <c r="I36" s="170" t="s">
        <v>262</v>
      </c>
      <c r="J36" s="180">
        <f>(G36*$C$255)+(G36*$C$256)+(H36*$D$255+H36*$D$256)+(G36*$C$258+H36*$D$258)</f>
        <v>1300000</v>
      </c>
      <c r="K36" s="181">
        <f t="shared" si="7"/>
        <v>250000</v>
      </c>
      <c r="L36" s="182">
        <v>300000</v>
      </c>
      <c r="M36" s="137"/>
      <c r="N36" s="183">
        <f t="shared" si="2"/>
        <v>1850000</v>
      </c>
      <c r="O36" s="318" t="s">
        <v>266</v>
      </c>
      <c r="P36" s="145"/>
      <c r="Q36" s="141"/>
      <c r="R36" s="315">
        <v>600</v>
      </c>
      <c r="S36" s="83"/>
      <c r="T36" s="87"/>
      <c r="U36" s="87"/>
      <c r="V36" s="87"/>
      <c r="W36" s="44"/>
      <c r="X36" s="88"/>
      <c r="Y36" s="79"/>
      <c r="Z36" s="79"/>
      <c r="AA36" s="79"/>
      <c r="AB36" s="79"/>
      <c r="AC36" s="86"/>
      <c r="AD36" s="82"/>
      <c r="AE36" s="79"/>
      <c r="AF36" s="88"/>
      <c r="AG36" s="80"/>
      <c r="AH36" s="79"/>
      <c r="AI36" s="79"/>
      <c r="AJ36" s="79"/>
      <c r="AK36" s="80"/>
      <c r="AL36" s="80"/>
      <c r="AM36" s="80"/>
      <c r="AN36" s="79"/>
      <c r="AO36" s="80"/>
      <c r="AP36" s="80"/>
      <c r="AQ36" s="80"/>
      <c r="AR36" s="85"/>
      <c r="AS36" s="85"/>
      <c r="AT36" s="85"/>
      <c r="AU36" s="85"/>
      <c r="AV36" s="85"/>
      <c r="AW36" s="82"/>
      <c r="AX36" s="79"/>
      <c r="AY36" s="82"/>
      <c r="AZ36" s="82"/>
      <c r="BA36" s="86"/>
      <c r="BB36" s="79"/>
      <c r="BC36" s="79"/>
      <c r="BD36" s="79"/>
      <c r="BE36" s="82"/>
      <c r="BF36" s="85"/>
      <c r="BG36" s="79"/>
      <c r="BH36" s="79"/>
      <c r="BI36" s="79"/>
      <c r="BJ36" s="88"/>
      <c r="BK36" s="88"/>
      <c r="BL36" s="79"/>
      <c r="BM36" s="185" t="s">
        <v>108</v>
      </c>
      <c r="BN36" s="90"/>
      <c r="BO36" s="80"/>
      <c r="BP36" s="80"/>
      <c r="BQ36" s="80"/>
      <c r="BR36" s="80"/>
      <c r="BS36" s="80"/>
      <c r="BT36" s="80"/>
      <c r="BU36" s="80"/>
      <c r="BV36" s="80"/>
      <c r="BW36" s="82"/>
      <c r="BX36" s="79"/>
      <c r="BY36" s="79"/>
      <c r="BZ36" s="79"/>
      <c r="CA36" s="79"/>
      <c r="CB36" s="79"/>
      <c r="CC36" s="82"/>
      <c r="CD36" s="82"/>
      <c r="CE36" s="82"/>
      <c r="CF36" s="82"/>
      <c r="CG36" s="82"/>
      <c r="CH36" s="82"/>
      <c r="CI36" s="82"/>
      <c r="CJ36" s="79"/>
      <c r="CK36" s="79"/>
      <c r="CL36" s="79"/>
      <c r="CM36" s="79"/>
      <c r="CN36" s="79"/>
      <c r="CO36" s="79"/>
      <c r="CP36" s="13" t="s">
        <v>210</v>
      </c>
    </row>
    <row r="37" spans="1:94" ht="26.4">
      <c r="A37" s="98">
        <f t="shared" si="4"/>
        <v>14</v>
      </c>
      <c r="B37" s="178" t="s">
        <v>258</v>
      </c>
      <c r="C37" s="188">
        <v>44970</v>
      </c>
      <c r="D37" s="47" t="s">
        <v>277</v>
      </c>
      <c r="E37" s="126"/>
      <c r="F37" s="127" t="s">
        <v>283</v>
      </c>
      <c r="G37" s="167"/>
      <c r="H37" s="167">
        <v>2</v>
      </c>
      <c r="I37" s="170" t="s">
        <v>263</v>
      </c>
      <c r="J37" s="180">
        <f>(G37*$C$255)+(G37*$C$256)+(H37*$D$255+H37*$D$256)+(G37*$C$258+H37*$D$258)</f>
        <v>4000000</v>
      </c>
      <c r="K37" s="181">
        <f t="shared" si="7"/>
        <v>500000</v>
      </c>
      <c r="L37" s="182">
        <v>300000</v>
      </c>
      <c r="M37" s="152"/>
      <c r="N37" s="183">
        <f t="shared" si="2"/>
        <v>4800000</v>
      </c>
      <c r="O37" s="318" t="s">
        <v>267</v>
      </c>
      <c r="P37" s="145"/>
      <c r="Q37" s="141"/>
      <c r="R37" s="315">
        <v>68</v>
      </c>
      <c r="S37" s="83"/>
      <c r="T37" s="87"/>
      <c r="U37" s="87"/>
      <c r="V37" s="87"/>
      <c r="W37" s="44"/>
      <c r="X37" s="88"/>
      <c r="Y37" s="79"/>
      <c r="Z37" s="79"/>
      <c r="AA37" s="79"/>
      <c r="AB37" s="79"/>
      <c r="AC37" s="86"/>
      <c r="AD37" s="82"/>
      <c r="AE37" s="79"/>
      <c r="AF37" s="88"/>
      <c r="AG37" s="80"/>
      <c r="AH37" s="79"/>
      <c r="AI37" s="79"/>
      <c r="AJ37" s="79"/>
      <c r="AK37" s="80"/>
      <c r="AL37" s="80"/>
      <c r="AM37" s="80"/>
      <c r="AN37" s="79"/>
      <c r="AO37" s="80"/>
      <c r="AP37" s="80"/>
      <c r="AQ37" s="80"/>
      <c r="AR37" s="85"/>
      <c r="AS37" s="85"/>
      <c r="AT37" s="85"/>
      <c r="AU37" s="85"/>
      <c r="AV37" s="85"/>
      <c r="AW37" s="82"/>
      <c r="AX37" s="79"/>
      <c r="AY37" s="82"/>
      <c r="AZ37" s="82"/>
      <c r="BA37" s="86"/>
      <c r="BB37" s="79"/>
      <c r="BC37" s="79"/>
      <c r="BD37" s="79"/>
      <c r="BE37" s="82"/>
      <c r="BF37" s="85"/>
      <c r="BG37" s="79"/>
      <c r="BH37" s="79"/>
      <c r="BI37" s="79"/>
      <c r="BJ37" s="88"/>
      <c r="BK37" s="88"/>
      <c r="BL37" s="79"/>
      <c r="BM37" s="185" t="s">
        <v>108</v>
      </c>
      <c r="BN37" s="90"/>
      <c r="BO37" s="80"/>
      <c r="BP37" s="80"/>
      <c r="BQ37" s="80"/>
      <c r="BR37" s="80"/>
      <c r="BS37" s="80"/>
      <c r="BT37" s="80"/>
      <c r="BU37" s="80"/>
      <c r="BV37" s="80"/>
      <c r="BW37" s="82"/>
      <c r="BX37" s="79"/>
      <c r="BY37" s="79"/>
      <c r="BZ37" s="79"/>
      <c r="CA37" s="79"/>
      <c r="CB37" s="79"/>
      <c r="CC37" s="82"/>
      <c r="CD37" s="82"/>
      <c r="CE37" s="82"/>
      <c r="CF37" s="82"/>
      <c r="CG37" s="82"/>
      <c r="CH37" s="82"/>
      <c r="CI37" s="82"/>
      <c r="CJ37" s="79"/>
      <c r="CK37" s="79"/>
      <c r="CL37" s="79"/>
      <c r="CM37" s="79"/>
      <c r="CN37" s="79"/>
      <c r="CO37" s="79"/>
      <c r="CP37" s="13" t="s">
        <v>210</v>
      </c>
    </row>
    <row r="38" spans="1:94" ht="26.4">
      <c r="A38" s="98">
        <f t="shared" si="4"/>
        <v>15</v>
      </c>
      <c r="B38" s="189" t="s">
        <v>268</v>
      </c>
      <c r="C38" s="188">
        <v>44971</v>
      </c>
      <c r="D38" s="47" t="s">
        <v>278</v>
      </c>
      <c r="E38" s="126"/>
      <c r="F38" s="127" t="s">
        <v>283</v>
      </c>
      <c r="G38" s="167">
        <v>2</v>
      </c>
      <c r="H38" s="167"/>
      <c r="I38" s="170" t="s">
        <v>270</v>
      </c>
      <c r="J38" s="180">
        <f t="shared" ref="J38:J59" si="8">(G38*$C$255)+(G38*$C$256)+(H38*$D$255+H38*$D$256)+(G38*$C$258+H38*$D$258)</f>
        <v>2600000</v>
      </c>
      <c r="K38" s="181">
        <f t="shared" si="7"/>
        <v>500000</v>
      </c>
      <c r="L38" s="152"/>
      <c r="M38" s="152"/>
      <c r="N38" s="183">
        <f t="shared" si="2"/>
        <v>3100000</v>
      </c>
      <c r="O38" s="177" t="s">
        <v>269</v>
      </c>
      <c r="P38" s="145"/>
      <c r="Q38" s="141"/>
      <c r="R38" s="190">
        <v>1200</v>
      </c>
      <c r="S38" s="83"/>
      <c r="T38" s="87"/>
      <c r="U38" s="87"/>
      <c r="V38" s="87"/>
      <c r="W38" s="44"/>
      <c r="X38" s="88"/>
      <c r="Y38" s="79"/>
      <c r="Z38" s="79"/>
      <c r="AA38" s="79"/>
      <c r="AB38" s="79"/>
      <c r="AC38" s="86"/>
      <c r="AD38" s="82"/>
      <c r="AE38" s="79"/>
      <c r="AF38" s="88"/>
      <c r="AG38" s="80"/>
      <c r="AH38" s="79"/>
      <c r="AI38" s="79"/>
      <c r="AJ38" s="79"/>
      <c r="AK38" s="80"/>
      <c r="AL38" s="80"/>
      <c r="AM38" s="80"/>
      <c r="AN38" s="79"/>
      <c r="AO38" s="80"/>
      <c r="AP38" s="80"/>
      <c r="AQ38" s="80"/>
      <c r="AR38" s="85"/>
      <c r="AS38" s="85"/>
      <c r="AT38" s="85"/>
      <c r="AU38" s="85"/>
      <c r="AV38" s="85"/>
      <c r="AW38" s="82"/>
      <c r="AX38" s="79"/>
      <c r="AY38" s="82"/>
      <c r="AZ38" s="82"/>
      <c r="BA38" s="86"/>
      <c r="BB38" s="79"/>
      <c r="BC38" s="79"/>
      <c r="BD38" s="79"/>
      <c r="BE38" s="82"/>
      <c r="BF38" s="85"/>
      <c r="BG38" s="79"/>
      <c r="BH38" s="79"/>
      <c r="BI38" s="79"/>
      <c r="BJ38" s="88"/>
      <c r="BK38" s="88"/>
      <c r="BL38" s="79"/>
      <c r="BM38" s="186" t="s">
        <v>123</v>
      </c>
      <c r="BN38" s="90"/>
      <c r="BO38" s="80"/>
      <c r="BP38" s="80"/>
      <c r="BQ38" s="80"/>
      <c r="BR38" s="80"/>
      <c r="BS38" s="80"/>
      <c r="BT38" s="80"/>
      <c r="BU38" s="80"/>
      <c r="BV38" s="80"/>
      <c r="BW38" s="82"/>
      <c r="BX38" s="79"/>
      <c r="BY38" s="79"/>
      <c r="BZ38" s="79"/>
      <c r="CA38" s="79"/>
      <c r="CB38" s="79"/>
      <c r="CC38" s="82"/>
      <c r="CD38" s="82"/>
      <c r="CE38" s="82"/>
      <c r="CF38" s="82"/>
      <c r="CG38" s="82"/>
      <c r="CH38" s="82"/>
      <c r="CI38" s="82"/>
      <c r="CJ38" s="79"/>
      <c r="CK38" s="79"/>
      <c r="CL38" s="79"/>
      <c r="CM38" s="79"/>
      <c r="CN38" s="79"/>
      <c r="CO38" s="79"/>
      <c r="CP38" s="13" t="s">
        <v>206</v>
      </c>
    </row>
    <row r="39" spans="1:94">
      <c r="A39" s="98">
        <f t="shared" si="4"/>
        <v>16</v>
      </c>
      <c r="B39" s="178" t="s">
        <v>294</v>
      </c>
      <c r="C39" s="188" t="s">
        <v>279</v>
      </c>
      <c r="D39" s="47" t="s">
        <v>358</v>
      </c>
      <c r="E39" s="126"/>
      <c r="F39" s="127" t="s">
        <v>388</v>
      </c>
      <c r="G39" s="167"/>
      <c r="H39" s="167">
        <v>1</v>
      </c>
      <c r="I39" s="170" t="s">
        <v>318</v>
      </c>
      <c r="J39" s="180">
        <f t="shared" si="8"/>
        <v>2000000</v>
      </c>
      <c r="K39" s="136"/>
      <c r="L39" s="182">
        <v>300000</v>
      </c>
      <c r="M39" s="152"/>
      <c r="N39" s="183">
        <f t="shared" si="2"/>
        <v>2300000</v>
      </c>
      <c r="O39" s="177" t="s">
        <v>319</v>
      </c>
      <c r="P39" s="145"/>
      <c r="Q39" s="141"/>
      <c r="R39" s="190">
        <v>36</v>
      </c>
      <c r="S39" s="83"/>
      <c r="T39" s="87"/>
      <c r="U39" s="87"/>
      <c r="V39" s="87"/>
      <c r="W39" s="44"/>
      <c r="X39" s="88"/>
      <c r="Y39" s="79"/>
      <c r="Z39" s="79"/>
      <c r="AA39" s="79"/>
      <c r="AB39" s="79"/>
      <c r="AC39" s="86"/>
      <c r="AD39" s="82"/>
      <c r="AE39" s="79"/>
      <c r="AF39" s="88"/>
      <c r="AG39" s="80"/>
      <c r="AH39" s="79"/>
      <c r="AI39" s="79"/>
      <c r="AJ39" s="79"/>
      <c r="AK39" s="80"/>
      <c r="AL39" s="80"/>
      <c r="AM39" s="80"/>
      <c r="AN39" s="79"/>
      <c r="AO39" s="80"/>
      <c r="AP39" s="80"/>
      <c r="AQ39" s="80"/>
      <c r="AR39" s="85"/>
      <c r="AS39" s="85"/>
      <c r="AT39" s="85"/>
      <c r="AU39" s="85"/>
      <c r="AV39" s="85"/>
      <c r="AW39" s="82"/>
      <c r="AX39" s="79"/>
      <c r="AY39" s="82"/>
      <c r="AZ39" s="82"/>
      <c r="BA39" s="86"/>
      <c r="BB39" s="79"/>
      <c r="BC39" s="79"/>
      <c r="BD39" s="79"/>
      <c r="BE39" s="82"/>
      <c r="BF39" s="85"/>
      <c r="BG39" s="79"/>
      <c r="BH39" s="79"/>
      <c r="BI39" s="79"/>
      <c r="BJ39" s="88"/>
      <c r="BK39" s="88"/>
      <c r="BL39" s="79"/>
      <c r="BM39" s="185" t="s">
        <v>108</v>
      </c>
      <c r="BN39" s="90"/>
      <c r="BO39" s="80"/>
      <c r="BP39" s="80"/>
      <c r="BQ39" s="80"/>
      <c r="BR39" s="80"/>
      <c r="BS39" s="80"/>
      <c r="BT39" s="80"/>
      <c r="BU39" s="80"/>
      <c r="BV39" s="80"/>
      <c r="BW39" s="82"/>
      <c r="BX39" s="79"/>
      <c r="BY39" s="79"/>
      <c r="BZ39" s="79"/>
      <c r="CA39" s="79"/>
      <c r="CB39" s="79"/>
      <c r="CC39" s="82"/>
      <c r="CD39" s="82"/>
      <c r="CE39" s="82"/>
      <c r="CF39" s="82"/>
      <c r="CG39" s="82"/>
      <c r="CH39" s="82"/>
      <c r="CI39" s="82"/>
      <c r="CJ39" s="79"/>
      <c r="CK39" s="79"/>
      <c r="CL39" s="79"/>
      <c r="CM39" s="79"/>
      <c r="CN39" s="79"/>
      <c r="CO39" s="79"/>
      <c r="CP39" s="13" t="s">
        <v>210</v>
      </c>
    </row>
    <row r="40" spans="1:94">
      <c r="A40" s="98">
        <f t="shared" si="4"/>
        <v>17</v>
      </c>
      <c r="B40" s="178" t="s">
        <v>295</v>
      </c>
      <c r="C40" s="188" t="s">
        <v>296</v>
      </c>
      <c r="D40" s="47" t="s">
        <v>359</v>
      </c>
      <c r="E40" s="153"/>
      <c r="F40" s="127" t="s">
        <v>388</v>
      </c>
      <c r="G40" s="167"/>
      <c r="H40" s="167">
        <v>1</v>
      </c>
      <c r="I40" s="170" t="s">
        <v>325</v>
      </c>
      <c r="J40" s="180">
        <f t="shared" si="8"/>
        <v>2000000</v>
      </c>
      <c r="K40" s="136"/>
      <c r="L40" s="182">
        <v>300000</v>
      </c>
      <c r="M40" s="152"/>
      <c r="N40" s="183">
        <f t="shared" si="2"/>
        <v>2300000</v>
      </c>
      <c r="O40" s="177" t="s">
        <v>319</v>
      </c>
      <c r="P40" s="145"/>
      <c r="Q40" s="141"/>
      <c r="R40" s="190">
        <v>36</v>
      </c>
      <c r="S40" s="83"/>
      <c r="T40" s="87"/>
      <c r="U40" s="87"/>
      <c r="V40" s="87"/>
      <c r="W40" s="44"/>
      <c r="X40" s="88"/>
      <c r="Y40" s="79"/>
      <c r="Z40" s="79"/>
      <c r="AA40" s="79"/>
      <c r="AB40" s="79"/>
      <c r="AC40" s="86"/>
      <c r="AD40" s="82"/>
      <c r="AE40" s="79"/>
      <c r="AF40" s="88"/>
      <c r="AG40" s="80"/>
      <c r="AH40" s="79"/>
      <c r="AI40" s="79"/>
      <c r="AJ40" s="79"/>
      <c r="AK40" s="80"/>
      <c r="AL40" s="80"/>
      <c r="AM40" s="80"/>
      <c r="AN40" s="79"/>
      <c r="AO40" s="80"/>
      <c r="AP40" s="80"/>
      <c r="AQ40" s="80"/>
      <c r="AR40" s="85"/>
      <c r="AS40" s="85"/>
      <c r="AT40" s="85"/>
      <c r="AU40" s="85"/>
      <c r="AV40" s="85"/>
      <c r="AW40" s="82"/>
      <c r="AX40" s="79"/>
      <c r="AY40" s="82"/>
      <c r="AZ40" s="82"/>
      <c r="BA40" s="86"/>
      <c r="BB40" s="79"/>
      <c r="BC40" s="79"/>
      <c r="BD40" s="79"/>
      <c r="BE40" s="82"/>
      <c r="BF40" s="85"/>
      <c r="BG40" s="79"/>
      <c r="BH40" s="79"/>
      <c r="BI40" s="79"/>
      <c r="BJ40" s="88"/>
      <c r="BK40" s="88"/>
      <c r="BL40" s="79"/>
      <c r="BM40" s="185" t="s">
        <v>108</v>
      </c>
      <c r="BN40" s="90"/>
      <c r="BO40" s="80"/>
      <c r="BP40" s="80"/>
      <c r="BQ40" s="80"/>
      <c r="BR40" s="80"/>
      <c r="BS40" s="80"/>
      <c r="BT40" s="80"/>
      <c r="BU40" s="80"/>
      <c r="BV40" s="80"/>
      <c r="BW40" s="82"/>
      <c r="BX40" s="79"/>
      <c r="BY40" s="79"/>
      <c r="BZ40" s="79"/>
      <c r="CA40" s="79"/>
      <c r="CB40" s="79"/>
      <c r="CC40" s="82"/>
      <c r="CD40" s="82"/>
      <c r="CE40" s="82"/>
      <c r="CF40" s="82"/>
      <c r="CG40" s="82"/>
      <c r="CH40" s="82"/>
      <c r="CI40" s="82"/>
      <c r="CJ40" s="79"/>
      <c r="CK40" s="79"/>
      <c r="CL40" s="79"/>
      <c r="CM40" s="79"/>
      <c r="CN40" s="79"/>
      <c r="CO40" s="79"/>
      <c r="CP40" s="13" t="s">
        <v>210</v>
      </c>
    </row>
    <row r="41" spans="1:94" ht="26.4">
      <c r="A41" s="98">
        <f t="shared" si="4"/>
        <v>18</v>
      </c>
      <c r="B41" s="319" t="s">
        <v>297</v>
      </c>
      <c r="C41" s="188" t="s">
        <v>296</v>
      </c>
      <c r="D41" s="47" t="s">
        <v>360</v>
      </c>
      <c r="E41" s="126"/>
      <c r="F41" s="127" t="s">
        <v>388</v>
      </c>
      <c r="G41" s="167"/>
      <c r="H41" s="167">
        <v>1</v>
      </c>
      <c r="I41" s="170" t="s">
        <v>326</v>
      </c>
      <c r="J41" s="180">
        <f t="shared" si="8"/>
        <v>2000000</v>
      </c>
      <c r="K41" s="136"/>
      <c r="L41" s="182">
        <v>300000</v>
      </c>
      <c r="M41" s="137"/>
      <c r="N41" s="183">
        <f t="shared" si="2"/>
        <v>2300000</v>
      </c>
      <c r="O41" s="177" t="s">
        <v>319</v>
      </c>
      <c r="P41" s="145"/>
      <c r="Q41" s="141"/>
      <c r="R41" s="190">
        <v>34</v>
      </c>
      <c r="S41" s="83"/>
      <c r="T41" s="87"/>
      <c r="U41" s="87"/>
      <c r="V41" s="87"/>
      <c r="W41" s="44"/>
      <c r="X41" s="88"/>
      <c r="Y41" s="79"/>
      <c r="Z41" s="79"/>
      <c r="AA41" s="79"/>
      <c r="AB41" s="79"/>
      <c r="AC41" s="86"/>
      <c r="AD41" s="82"/>
      <c r="AE41" s="79"/>
      <c r="AF41" s="88"/>
      <c r="AG41" s="80"/>
      <c r="AH41" s="79"/>
      <c r="AI41" s="79"/>
      <c r="AJ41" s="79"/>
      <c r="AK41" s="80"/>
      <c r="AL41" s="80"/>
      <c r="AM41" s="80"/>
      <c r="AN41" s="79"/>
      <c r="AO41" s="80"/>
      <c r="AP41" s="80"/>
      <c r="AQ41" s="80"/>
      <c r="AR41" s="85"/>
      <c r="AS41" s="85"/>
      <c r="AT41" s="85"/>
      <c r="AU41" s="85"/>
      <c r="AV41" s="85"/>
      <c r="AW41" s="82"/>
      <c r="AX41" s="79"/>
      <c r="AY41" s="82"/>
      <c r="AZ41" s="82"/>
      <c r="BA41" s="86"/>
      <c r="BB41" s="79"/>
      <c r="BC41" s="79"/>
      <c r="BD41" s="79"/>
      <c r="BE41" s="82"/>
      <c r="BF41" s="85"/>
      <c r="BG41" s="79"/>
      <c r="BH41" s="79"/>
      <c r="BI41" s="79"/>
      <c r="BJ41" s="88"/>
      <c r="BK41" s="88"/>
      <c r="BL41" s="79"/>
      <c r="BM41" s="185" t="s">
        <v>108</v>
      </c>
      <c r="BN41" s="90"/>
      <c r="BO41" s="80"/>
      <c r="BP41" s="80"/>
      <c r="BQ41" s="80"/>
      <c r="BR41" s="80"/>
      <c r="BS41" s="80"/>
      <c r="BT41" s="80"/>
      <c r="BU41" s="80"/>
      <c r="BV41" s="80"/>
      <c r="BW41" s="82"/>
      <c r="BX41" s="79"/>
      <c r="BY41" s="79"/>
      <c r="BZ41" s="79"/>
      <c r="CA41" s="79"/>
      <c r="CB41" s="79"/>
      <c r="CC41" s="82"/>
      <c r="CD41" s="82"/>
      <c r="CE41" s="82"/>
      <c r="CF41" s="82"/>
      <c r="CG41" s="82"/>
      <c r="CH41" s="82"/>
      <c r="CI41" s="82"/>
      <c r="CJ41" s="79"/>
      <c r="CK41" s="79"/>
      <c r="CL41" s="79"/>
      <c r="CM41" s="79"/>
      <c r="CN41" s="79"/>
      <c r="CO41" s="79"/>
      <c r="CP41" s="13" t="s">
        <v>210</v>
      </c>
    </row>
    <row r="42" spans="1:94">
      <c r="A42" s="98">
        <f t="shared" si="4"/>
        <v>19</v>
      </c>
      <c r="B42" s="189" t="s">
        <v>298</v>
      </c>
      <c r="C42" s="188" t="s">
        <v>299</v>
      </c>
      <c r="D42" s="47" t="s">
        <v>352</v>
      </c>
      <c r="E42" s="126"/>
      <c r="F42" s="127" t="s">
        <v>388</v>
      </c>
      <c r="G42" s="167">
        <v>1</v>
      </c>
      <c r="H42" s="167"/>
      <c r="I42" s="170" t="s">
        <v>327</v>
      </c>
      <c r="J42" s="180">
        <f t="shared" si="8"/>
        <v>1300000</v>
      </c>
      <c r="K42" s="156"/>
      <c r="L42" s="157"/>
      <c r="M42" s="157"/>
      <c r="N42" s="183">
        <f t="shared" si="2"/>
        <v>1300000</v>
      </c>
      <c r="O42" s="177" t="s">
        <v>320</v>
      </c>
      <c r="P42" s="145"/>
      <c r="Q42" s="141"/>
      <c r="R42" s="190">
        <v>20</v>
      </c>
      <c r="S42" s="83"/>
      <c r="T42" s="87"/>
      <c r="U42" s="87"/>
      <c r="V42" s="87"/>
      <c r="W42" s="44"/>
      <c r="X42" s="88"/>
      <c r="Y42" s="79"/>
      <c r="Z42" s="79"/>
      <c r="AA42" s="79"/>
      <c r="AB42" s="79"/>
      <c r="AC42" s="86"/>
      <c r="AD42" s="82"/>
      <c r="AE42" s="79"/>
      <c r="AF42" s="88"/>
      <c r="AG42" s="80"/>
      <c r="AH42" s="79"/>
      <c r="AI42" s="79"/>
      <c r="AJ42" s="79"/>
      <c r="AK42" s="80"/>
      <c r="AL42" s="80"/>
      <c r="AM42" s="80"/>
      <c r="AN42" s="79"/>
      <c r="AO42" s="80"/>
      <c r="AP42" s="80"/>
      <c r="AQ42" s="80"/>
      <c r="AR42" s="85"/>
      <c r="AS42" s="85"/>
      <c r="AT42" s="85"/>
      <c r="AU42" s="85"/>
      <c r="AV42" s="85"/>
      <c r="AW42" s="82"/>
      <c r="AX42" s="79"/>
      <c r="AY42" s="82"/>
      <c r="AZ42" s="82"/>
      <c r="BA42" s="86"/>
      <c r="BB42" s="79"/>
      <c r="BC42" s="79"/>
      <c r="BD42" s="79"/>
      <c r="BE42" s="82"/>
      <c r="BF42" s="85"/>
      <c r="BG42" s="79"/>
      <c r="BH42" s="79"/>
      <c r="BI42" s="79"/>
      <c r="BJ42" s="88"/>
      <c r="BK42" s="88"/>
      <c r="BL42" s="79"/>
      <c r="BM42" s="186" t="s">
        <v>123</v>
      </c>
      <c r="BN42" s="90"/>
      <c r="BO42" s="80"/>
      <c r="BP42" s="80"/>
      <c r="BQ42" s="80"/>
      <c r="BR42" s="80"/>
      <c r="BS42" s="80"/>
      <c r="BT42" s="80"/>
      <c r="BU42" s="80"/>
      <c r="BV42" s="80"/>
      <c r="BW42" s="82"/>
      <c r="BX42" s="79"/>
      <c r="BY42" s="79"/>
      <c r="BZ42" s="79"/>
      <c r="CA42" s="79"/>
      <c r="CB42" s="79"/>
      <c r="CC42" s="82"/>
      <c r="CD42" s="82"/>
      <c r="CE42" s="82"/>
      <c r="CF42" s="82"/>
      <c r="CG42" s="82"/>
      <c r="CH42" s="82"/>
      <c r="CI42" s="82"/>
      <c r="CJ42" s="79"/>
      <c r="CK42" s="79"/>
      <c r="CL42" s="79"/>
      <c r="CM42" s="79"/>
      <c r="CN42" s="79"/>
      <c r="CO42" s="79"/>
      <c r="CP42" s="13" t="s">
        <v>206</v>
      </c>
    </row>
    <row r="43" spans="1:94">
      <c r="A43" s="98">
        <f t="shared" si="4"/>
        <v>20</v>
      </c>
      <c r="B43" s="178" t="s">
        <v>300</v>
      </c>
      <c r="C43" s="188" t="s">
        <v>299</v>
      </c>
      <c r="D43" s="47" t="s">
        <v>361</v>
      </c>
      <c r="E43" s="126"/>
      <c r="F43" s="127" t="s">
        <v>388</v>
      </c>
      <c r="G43" s="167">
        <v>1</v>
      </c>
      <c r="H43" s="167"/>
      <c r="I43" s="170" t="s">
        <v>328</v>
      </c>
      <c r="J43" s="180">
        <f t="shared" si="8"/>
        <v>1300000</v>
      </c>
      <c r="K43" s="156"/>
      <c r="L43" s="182">
        <v>300000</v>
      </c>
      <c r="M43" s="157"/>
      <c r="N43" s="183">
        <f t="shared" si="2"/>
        <v>1600000</v>
      </c>
      <c r="O43" s="177" t="s">
        <v>321</v>
      </c>
      <c r="P43" s="145"/>
      <c r="Q43" s="141"/>
      <c r="R43" s="190">
        <v>640</v>
      </c>
      <c r="S43" s="83"/>
      <c r="T43" s="87"/>
      <c r="U43" s="87"/>
      <c r="V43" s="87"/>
      <c r="W43" s="44"/>
      <c r="X43" s="88"/>
      <c r="Y43" s="79"/>
      <c r="Z43" s="79"/>
      <c r="AA43" s="79"/>
      <c r="AB43" s="79"/>
      <c r="AC43" s="86"/>
      <c r="AD43" s="82"/>
      <c r="AE43" s="79"/>
      <c r="AF43" s="88"/>
      <c r="AG43" s="80"/>
      <c r="AH43" s="79"/>
      <c r="AI43" s="79"/>
      <c r="AJ43" s="79"/>
      <c r="AK43" s="80"/>
      <c r="AL43" s="80"/>
      <c r="AM43" s="80"/>
      <c r="AN43" s="79"/>
      <c r="AO43" s="80"/>
      <c r="AP43" s="80"/>
      <c r="AQ43" s="80"/>
      <c r="AR43" s="85"/>
      <c r="AS43" s="85"/>
      <c r="AT43" s="85"/>
      <c r="AU43" s="85"/>
      <c r="AV43" s="85"/>
      <c r="AW43" s="82"/>
      <c r="AX43" s="79"/>
      <c r="AY43" s="82"/>
      <c r="AZ43" s="82"/>
      <c r="BA43" s="86"/>
      <c r="BB43" s="79"/>
      <c r="BC43" s="79"/>
      <c r="BD43" s="79"/>
      <c r="BE43" s="82"/>
      <c r="BF43" s="85"/>
      <c r="BG43" s="79"/>
      <c r="BH43" s="79"/>
      <c r="BI43" s="79"/>
      <c r="BJ43" s="88"/>
      <c r="BK43" s="88"/>
      <c r="BL43" s="79"/>
      <c r="BM43" s="185" t="s">
        <v>108</v>
      </c>
      <c r="BN43" s="90"/>
      <c r="BO43" s="80"/>
      <c r="BP43" s="80"/>
      <c r="BQ43" s="80"/>
      <c r="BR43" s="80"/>
      <c r="BS43" s="80"/>
      <c r="BT43" s="80"/>
      <c r="BU43" s="80"/>
      <c r="BV43" s="80"/>
      <c r="BW43" s="82"/>
      <c r="BX43" s="79"/>
      <c r="BY43" s="79"/>
      <c r="BZ43" s="79"/>
      <c r="CA43" s="79"/>
      <c r="CB43" s="79"/>
      <c r="CC43" s="82"/>
      <c r="CD43" s="82"/>
      <c r="CE43" s="82"/>
      <c r="CF43" s="82"/>
      <c r="CG43" s="82"/>
      <c r="CH43" s="82"/>
      <c r="CI43" s="82"/>
      <c r="CJ43" s="79"/>
      <c r="CK43" s="79"/>
      <c r="CL43" s="79"/>
      <c r="CM43" s="79"/>
      <c r="CN43" s="79"/>
      <c r="CO43" s="79"/>
      <c r="CP43" s="13" t="s">
        <v>210</v>
      </c>
    </row>
    <row r="44" spans="1:94">
      <c r="A44" s="98">
        <f t="shared" si="4"/>
        <v>21</v>
      </c>
      <c r="B44" s="178" t="s">
        <v>301</v>
      </c>
      <c r="C44" s="188" t="s">
        <v>299</v>
      </c>
      <c r="D44" s="47" t="s">
        <v>362</v>
      </c>
      <c r="E44" s="159"/>
      <c r="F44" s="127" t="s">
        <v>388</v>
      </c>
      <c r="G44" s="167">
        <v>1</v>
      </c>
      <c r="H44" s="167"/>
      <c r="I44" s="170" t="s">
        <v>329</v>
      </c>
      <c r="J44" s="180">
        <f t="shared" si="8"/>
        <v>1300000</v>
      </c>
      <c r="K44" s="156"/>
      <c r="L44" s="182">
        <v>300000</v>
      </c>
      <c r="M44" s="157"/>
      <c r="N44" s="183">
        <f t="shared" si="2"/>
        <v>1600000</v>
      </c>
      <c r="O44" s="177">
        <v>2714208250</v>
      </c>
      <c r="P44" s="145"/>
      <c r="Q44" s="141"/>
      <c r="R44" s="190">
        <v>734</v>
      </c>
      <c r="S44" s="83"/>
      <c r="T44" s="87"/>
      <c r="U44" s="87"/>
      <c r="V44" s="87"/>
      <c r="W44" s="44"/>
      <c r="X44" s="88"/>
      <c r="Y44" s="79"/>
      <c r="Z44" s="79"/>
      <c r="AA44" s="79"/>
      <c r="AB44" s="79"/>
      <c r="AC44" s="86"/>
      <c r="AD44" s="82"/>
      <c r="AE44" s="79"/>
      <c r="AF44" s="88"/>
      <c r="AG44" s="80"/>
      <c r="AH44" s="79"/>
      <c r="AI44" s="79"/>
      <c r="AJ44" s="79"/>
      <c r="AK44" s="80"/>
      <c r="AL44" s="80"/>
      <c r="AM44" s="80"/>
      <c r="AN44" s="79"/>
      <c r="AO44" s="80"/>
      <c r="AP44" s="80"/>
      <c r="AQ44" s="80"/>
      <c r="AR44" s="85"/>
      <c r="AS44" s="85"/>
      <c r="AT44" s="85"/>
      <c r="AU44" s="85"/>
      <c r="AV44" s="85"/>
      <c r="AW44" s="82"/>
      <c r="AX44" s="79"/>
      <c r="AY44" s="82"/>
      <c r="AZ44" s="82"/>
      <c r="BA44" s="86"/>
      <c r="BB44" s="79"/>
      <c r="BC44" s="79"/>
      <c r="BD44" s="79"/>
      <c r="BE44" s="82"/>
      <c r="BF44" s="85"/>
      <c r="BG44" s="79"/>
      <c r="BH44" s="79"/>
      <c r="BI44" s="79"/>
      <c r="BJ44" s="88"/>
      <c r="BK44" s="88"/>
      <c r="BL44" s="79"/>
      <c r="BM44" s="185" t="s">
        <v>108</v>
      </c>
      <c r="BN44" s="90"/>
      <c r="BO44" s="80"/>
      <c r="BP44" s="80"/>
      <c r="BQ44" s="80"/>
      <c r="BR44" s="80"/>
      <c r="BS44" s="80"/>
      <c r="BT44" s="80"/>
      <c r="BU44" s="80"/>
      <c r="BV44" s="80"/>
      <c r="BW44" s="82"/>
      <c r="BX44" s="79"/>
      <c r="BY44" s="79"/>
      <c r="BZ44" s="79"/>
      <c r="CA44" s="79"/>
      <c r="CB44" s="79"/>
      <c r="CC44" s="82"/>
      <c r="CD44" s="82"/>
      <c r="CE44" s="82"/>
      <c r="CF44" s="82"/>
      <c r="CG44" s="82"/>
      <c r="CH44" s="82"/>
      <c r="CI44" s="82"/>
      <c r="CJ44" s="79"/>
      <c r="CK44" s="79"/>
      <c r="CL44" s="79"/>
      <c r="CM44" s="79"/>
      <c r="CN44" s="79"/>
      <c r="CO44" s="79"/>
      <c r="CP44" s="13" t="s">
        <v>210</v>
      </c>
    </row>
    <row r="45" spans="1:94" ht="26.4">
      <c r="A45" s="98">
        <f t="shared" si="4"/>
        <v>22</v>
      </c>
      <c r="B45" s="178" t="s">
        <v>302</v>
      </c>
      <c r="C45" s="188" t="s">
        <v>299</v>
      </c>
      <c r="D45" s="47" t="s">
        <v>379</v>
      </c>
      <c r="E45" s="126"/>
      <c r="F45" s="127" t="s">
        <v>388</v>
      </c>
      <c r="G45" s="167"/>
      <c r="H45" s="167"/>
      <c r="I45" s="170" t="s">
        <v>330</v>
      </c>
      <c r="J45" s="155">
        <v>1000000</v>
      </c>
      <c r="K45" s="156"/>
      <c r="L45" s="182">
        <v>300000</v>
      </c>
      <c r="M45" s="157"/>
      <c r="N45" s="183">
        <f t="shared" si="2"/>
        <v>1300000</v>
      </c>
      <c r="O45" s="177" t="s">
        <v>322</v>
      </c>
      <c r="P45" s="145"/>
      <c r="Q45" s="141"/>
      <c r="R45" s="190">
        <v>56</v>
      </c>
      <c r="S45" s="83"/>
      <c r="T45" s="87"/>
      <c r="U45" s="87"/>
      <c r="V45" s="87"/>
      <c r="W45" s="44"/>
      <c r="X45" s="88"/>
      <c r="Y45" s="79"/>
      <c r="Z45" s="79"/>
      <c r="AA45" s="79"/>
      <c r="AB45" s="79"/>
      <c r="AC45" s="86"/>
      <c r="AD45" s="82"/>
      <c r="AE45" s="79"/>
      <c r="AF45" s="88"/>
      <c r="AG45" s="80"/>
      <c r="AH45" s="79"/>
      <c r="AI45" s="79"/>
      <c r="AJ45" s="79"/>
      <c r="AK45" s="80"/>
      <c r="AL45" s="80"/>
      <c r="AM45" s="80"/>
      <c r="AN45" s="79"/>
      <c r="AO45" s="80"/>
      <c r="AP45" s="80"/>
      <c r="AQ45" s="80"/>
      <c r="AR45" s="85"/>
      <c r="AS45" s="85"/>
      <c r="AT45" s="85"/>
      <c r="AU45" s="85"/>
      <c r="AV45" s="85"/>
      <c r="AW45" s="82"/>
      <c r="AX45" s="79"/>
      <c r="AY45" s="82"/>
      <c r="AZ45" s="82"/>
      <c r="BA45" s="86"/>
      <c r="BB45" s="79"/>
      <c r="BC45" s="79"/>
      <c r="BD45" s="79"/>
      <c r="BE45" s="82"/>
      <c r="BF45" s="85"/>
      <c r="BG45" s="79"/>
      <c r="BH45" s="79"/>
      <c r="BI45" s="79"/>
      <c r="BJ45" s="88"/>
      <c r="BK45" s="88"/>
      <c r="BL45" s="79"/>
      <c r="BM45" s="185" t="s">
        <v>108</v>
      </c>
      <c r="BN45" s="90"/>
      <c r="BO45" s="80"/>
      <c r="BP45" s="80"/>
      <c r="BQ45" s="80"/>
      <c r="BR45" s="80"/>
      <c r="BS45" s="80"/>
      <c r="BT45" s="80"/>
      <c r="BU45" s="80"/>
      <c r="BV45" s="80"/>
      <c r="BW45" s="82"/>
      <c r="BX45" s="79"/>
      <c r="BY45" s="79"/>
      <c r="BZ45" s="79"/>
      <c r="CA45" s="79"/>
      <c r="CB45" s="79"/>
      <c r="CC45" s="82"/>
      <c r="CD45" s="82"/>
      <c r="CE45" s="82"/>
      <c r="CF45" s="82"/>
      <c r="CG45" s="82"/>
      <c r="CH45" s="82"/>
      <c r="CI45" s="82"/>
      <c r="CJ45" s="79"/>
      <c r="CK45" s="79"/>
      <c r="CL45" s="79"/>
      <c r="CM45" s="79"/>
      <c r="CN45" s="79"/>
      <c r="CO45" s="79"/>
      <c r="CP45" s="13" t="s">
        <v>210</v>
      </c>
    </row>
    <row r="46" spans="1:94">
      <c r="A46" s="98">
        <f t="shared" si="4"/>
        <v>23</v>
      </c>
      <c r="B46" s="178" t="s">
        <v>303</v>
      </c>
      <c r="C46" s="188" t="s">
        <v>304</v>
      </c>
      <c r="D46" s="47" t="s">
        <v>363</v>
      </c>
      <c r="E46" s="126"/>
      <c r="F46" s="127" t="s">
        <v>388</v>
      </c>
      <c r="G46" s="167">
        <v>1</v>
      </c>
      <c r="H46" s="167"/>
      <c r="I46" s="170" t="s">
        <v>331</v>
      </c>
      <c r="J46" s="180">
        <f t="shared" si="8"/>
        <v>1300000</v>
      </c>
      <c r="K46" s="156"/>
      <c r="L46" s="182">
        <v>300000</v>
      </c>
      <c r="M46" s="157"/>
      <c r="N46" s="183">
        <f t="shared" si="2"/>
        <v>1600000</v>
      </c>
      <c r="O46" s="177" t="s">
        <v>323</v>
      </c>
      <c r="P46" s="145"/>
      <c r="Q46" s="141"/>
      <c r="R46" s="190">
        <v>660</v>
      </c>
      <c r="S46" s="83"/>
      <c r="T46" s="87"/>
      <c r="U46" s="87"/>
      <c r="V46" s="87"/>
      <c r="W46" s="44"/>
      <c r="X46" s="88"/>
      <c r="Y46" s="79"/>
      <c r="Z46" s="79"/>
      <c r="AA46" s="79"/>
      <c r="AB46" s="79"/>
      <c r="AC46" s="86"/>
      <c r="AD46" s="82"/>
      <c r="AE46" s="79"/>
      <c r="AF46" s="88"/>
      <c r="AG46" s="80"/>
      <c r="AH46" s="79"/>
      <c r="AI46" s="79"/>
      <c r="AJ46" s="79"/>
      <c r="AK46" s="80"/>
      <c r="AL46" s="80"/>
      <c r="AM46" s="80"/>
      <c r="AN46" s="79"/>
      <c r="AO46" s="80"/>
      <c r="AP46" s="80"/>
      <c r="AQ46" s="80"/>
      <c r="AR46" s="85"/>
      <c r="AS46" s="85"/>
      <c r="AT46" s="85"/>
      <c r="AU46" s="85"/>
      <c r="AV46" s="85"/>
      <c r="AW46" s="82"/>
      <c r="AX46" s="79"/>
      <c r="AY46" s="82"/>
      <c r="AZ46" s="82"/>
      <c r="BA46" s="86"/>
      <c r="BB46" s="79"/>
      <c r="BC46" s="79"/>
      <c r="BD46" s="79"/>
      <c r="BE46" s="82"/>
      <c r="BF46" s="85"/>
      <c r="BG46" s="79"/>
      <c r="BH46" s="79"/>
      <c r="BI46" s="79"/>
      <c r="BJ46" s="88"/>
      <c r="BK46" s="88"/>
      <c r="BL46" s="79"/>
      <c r="BM46" s="186" t="s">
        <v>123</v>
      </c>
      <c r="BN46" s="90"/>
      <c r="BO46" s="80"/>
      <c r="BP46" s="80"/>
      <c r="BQ46" s="80"/>
      <c r="BR46" s="80"/>
      <c r="BS46" s="80"/>
      <c r="BT46" s="80"/>
      <c r="BU46" s="80"/>
      <c r="BV46" s="80"/>
      <c r="BW46" s="82"/>
      <c r="BX46" s="79"/>
      <c r="BY46" s="79"/>
      <c r="BZ46" s="79"/>
      <c r="CA46" s="79"/>
      <c r="CB46" s="79"/>
      <c r="CC46" s="82"/>
      <c r="CD46" s="82"/>
      <c r="CE46" s="82"/>
      <c r="CF46" s="82"/>
      <c r="CG46" s="82"/>
      <c r="CH46" s="82"/>
      <c r="CI46" s="82"/>
      <c r="CJ46" s="79"/>
      <c r="CK46" s="79"/>
      <c r="CL46" s="79"/>
      <c r="CM46" s="79"/>
      <c r="CN46" s="79"/>
      <c r="CO46" s="79"/>
    </row>
    <row r="47" spans="1:94">
      <c r="A47" s="98">
        <f t="shared" si="4"/>
        <v>24</v>
      </c>
      <c r="B47" s="189" t="s">
        <v>305</v>
      </c>
      <c r="C47" s="188" t="s">
        <v>304</v>
      </c>
      <c r="D47" s="47" t="s">
        <v>353</v>
      </c>
      <c r="E47" s="126"/>
      <c r="F47" s="127" t="s">
        <v>388</v>
      </c>
      <c r="G47" s="167">
        <v>1</v>
      </c>
      <c r="H47" s="167"/>
      <c r="I47" s="170" t="s">
        <v>332</v>
      </c>
      <c r="J47" s="180">
        <f t="shared" si="8"/>
        <v>1300000</v>
      </c>
      <c r="K47" s="156"/>
      <c r="L47" s="157"/>
      <c r="M47" s="157"/>
      <c r="N47" s="183">
        <f t="shared" si="2"/>
        <v>1300000</v>
      </c>
      <c r="O47" s="177" t="s">
        <v>324</v>
      </c>
      <c r="P47" s="145"/>
      <c r="Q47" s="141"/>
      <c r="R47" s="190">
        <v>1</v>
      </c>
      <c r="S47" s="83"/>
      <c r="T47" s="87"/>
      <c r="U47" s="87"/>
      <c r="V47" s="87"/>
      <c r="W47" s="44"/>
      <c r="X47" s="88"/>
      <c r="Y47" s="79"/>
      <c r="Z47" s="79"/>
      <c r="AA47" s="79"/>
      <c r="AB47" s="79"/>
      <c r="AC47" s="86"/>
      <c r="AD47" s="82"/>
      <c r="AE47" s="79"/>
      <c r="AF47" s="88"/>
      <c r="AG47" s="80"/>
      <c r="AH47" s="79"/>
      <c r="AI47" s="79"/>
      <c r="AJ47" s="79"/>
      <c r="AK47" s="80"/>
      <c r="AL47" s="80"/>
      <c r="AM47" s="80"/>
      <c r="AN47" s="79"/>
      <c r="AO47" s="80"/>
      <c r="AP47" s="80"/>
      <c r="AQ47" s="80"/>
      <c r="AR47" s="85"/>
      <c r="AS47" s="85"/>
      <c r="AT47" s="85"/>
      <c r="AU47" s="85"/>
      <c r="AV47" s="85"/>
      <c r="AW47" s="82"/>
      <c r="AX47" s="79"/>
      <c r="AY47" s="82"/>
      <c r="AZ47" s="82"/>
      <c r="BA47" s="86"/>
      <c r="BB47" s="79"/>
      <c r="BC47" s="79"/>
      <c r="BD47" s="79"/>
      <c r="BE47" s="82"/>
      <c r="BF47" s="85"/>
      <c r="BG47" s="79"/>
      <c r="BH47" s="79"/>
      <c r="BI47" s="79"/>
      <c r="BJ47" s="88"/>
      <c r="BK47" s="88"/>
      <c r="BL47" s="79"/>
      <c r="BM47" s="186" t="s">
        <v>123</v>
      </c>
      <c r="BN47" s="90"/>
      <c r="BO47" s="80"/>
      <c r="BP47" s="80"/>
      <c r="BQ47" s="80"/>
      <c r="BR47" s="80"/>
      <c r="BS47" s="80"/>
      <c r="BT47" s="80"/>
      <c r="BU47" s="80"/>
      <c r="BV47" s="80"/>
      <c r="BW47" s="82"/>
      <c r="BX47" s="79"/>
      <c r="BY47" s="79"/>
      <c r="BZ47" s="79"/>
      <c r="CA47" s="79"/>
      <c r="CB47" s="79"/>
      <c r="CC47" s="82"/>
      <c r="CD47" s="82"/>
      <c r="CE47" s="82"/>
      <c r="CF47" s="82"/>
      <c r="CG47" s="82"/>
      <c r="CH47" s="82"/>
      <c r="CI47" s="82"/>
      <c r="CJ47" s="79"/>
      <c r="CK47" s="79"/>
      <c r="CL47" s="79"/>
      <c r="CM47" s="79"/>
      <c r="CN47" s="79"/>
      <c r="CO47" s="79"/>
      <c r="CP47" s="13" t="s">
        <v>206</v>
      </c>
    </row>
    <row r="48" spans="1:94">
      <c r="A48" s="98">
        <f t="shared" si="4"/>
        <v>25</v>
      </c>
      <c r="B48" s="178" t="s">
        <v>306</v>
      </c>
      <c r="C48" s="188" t="s">
        <v>307</v>
      </c>
      <c r="D48" s="47" t="s">
        <v>364</v>
      </c>
      <c r="E48" s="126"/>
      <c r="F48" s="127" t="s">
        <v>388</v>
      </c>
      <c r="G48" s="167"/>
      <c r="H48" s="167">
        <v>1</v>
      </c>
      <c r="I48" s="170" t="s">
        <v>333</v>
      </c>
      <c r="J48" s="180">
        <f t="shared" si="8"/>
        <v>2000000</v>
      </c>
      <c r="K48" s="156"/>
      <c r="L48" s="182">
        <v>300000</v>
      </c>
      <c r="M48" s="157"/>
      <c r="N48" s="183">
        <f t="shared" si="2"/>
        <v>2300000</v>
      </c>
      <c r="O48" s="177">
        <v>2714057410</v>
      </c>
      <c r="P48" s="145"/>
      <c r="Q48" s="141"/>
      <c r="R48" s="190">
        <v>1080</v>
      </c>
      <c r="S48" s="83"/>
      <c r="T48" s="87"/>
      <c r="U48" s="87"/>
      <c r="V48" s="87"/>
      <c r="W48" s="44"/>
      <c r="X48" s="88"/>
      <c r="Y48" s="79"/>
      <c r="Z48" s="79"/>
      <c r="AA48" s="79"/>
      <c r="AB48" s="79"/>
      <c r="AC48" s="86"/>
      <c r="AD48" s="82"/>
      <c r="AE48" s="79"/>
      <c r="AF48" s="88"/>
      <c r="AG48" s="80"/>
      <c r="AH48" s="79"/>
      <c r="AI48" s="79"/>
      <c r="AJ48" s="79"/>
      <c r="AK48" s="80"/>
      <c r="AL48" s="80"/>
      <c r="AM48" s="80"/>
      <c r="AN48" s="79"/>
      <c r="AO48" s="80"/>
      <c r="AP48" s="80"/>
      <c r="AQ48" s="80"/>
      <c r="AR48" s="85"/>
      <c r="AS48" s="85"/>
      <c r="AT48" s="85"/>
      <c r="AU48" s="85"/>
      <c r="AV48" s="85"/>
      <c r="AW48" s="82"/>
      <c r="AX48" s="79"/>
      <c r="AY48" s="82"/>
      <c r="AZ48" s="82"/>
      <c r="BA48" s="86"/>
      <c r="BB48" s="79"/>
      <c r="BC48" s="79"/>
      <c r="BD48" s="79"/>
      <c r="BE48" s="82"/>
      <c r="BF48" s="85"/>
      <c r="BG48" s="79"/>
      <c r="BH48" s="79"/>
      <c r="BI48" s="79"/>
      <c r="BJ48" s="88"/>
      <c r="BK48" s="88"/>
      <c r="BL48" s="79"/>
      <c r="BM48" s="185" t="s">
        <v>108</v>
      </c>
      <c r="BN48" s="90"/>
      <c r="BO48" s="80"/>
      <c r="BP48" s="80"/>
      <c r="BQ48" s="80"/>
      <c r="BR48" s="80"/>
      <c r="BS48" s="80"/>
      <c r="BT48" s="80"/>
      <c r="BU48" s="80"/>
      <c r="BV48" s="80"/>
      <c r="BW48" s="82"/>
      <c r="BX48" s="79"/>
      <c r="BY48" s="79"/>
      <c r="BZ48" s="79"/>
      <c r="CA48" s="79"/>
      <c r="CB48" s="79"/>
      <c r="CC48" s="82"/>
      <c r="CD48" s="82"/>
      <c r="CE48" s="82"/>
      <c r="CF48" s="82"/>
      <c r="CG48" s="82"/>
      <c r="CH48" s="82"/>
      <c r="CI48" s="82"/>
      <c r="CJ48" s="79"/>
      <c r="CK48" s="79"/>
      <c r="CL48" s="79"/>
      <c r="CM48" s="79"/>
      <c r="CN48" s="79"/>
      <c r="CO48" s="79"/>
      <c r="CP48" s="13" t="s">
        <v>210</v>
      </c>
    </row>
    <row r="49" spans="1:94">
      <c r="A49" s="98">
        <f t="shared" si="4"/>
        <v>26</v>
      </c>
      <c r="B49" s="178" t="s">
        <v>308</v>
      </c>
      <c r="C49" s="188">
        <v>44977</v>
      </c>
      <c r="D49" s="47" t="s">
        <v>365</v>
      </c>
      <c r="E49" s="126"/>
      <c r="F49" s="127" t="s">
        <v>388</v>
      </c>
      <c r="G49" s="167"/>
      <c r="H49" s="167">
        <v>1</v>
      </c>
      <c r="I49" s="170" t="s">
        <v>342</v>
      </c>
      <c r="J49" s="180">
        <f t="shared" si="8"/>
        <v>2000000</v>
      </c>
      <c r="K49" s="156"/>
      <c r="L49" s="182">
        <v>300000</v>
      </c>
      <c r="M49" s="157"/>
      <c r="N49" s="183">
        <f t="shared" si="2"/>
        <v>2300000</v>
      </c>
      <c r="O49" s="177" t="s">
        <v>334</v>
      </c>
      <c r="P49" s="145"/>
      <c r="Q49" s="141"/>
      <c r="R49" s="190">
        <v>34</v>
      </c>
      <c r="S49" s="83"/>
      <c r="T49" s="87"/>
      <c r="U49" s="87"/>
      <c r="V49" s="87"/>
      <c r="W49" s="44"/>
      <c r="X49" s="88"/>
      <c r="Y49" s="79"/>
      <c r="Z49" s="79"/>
      <c r="AA49" s="79"/>
      <c r="AB49" s="79"/>
      <c r="AC49" s="86"/>
      <c r="AD49" s="82"/>
      <c r="AE49" s="79"/>
      <c r="AF49" s="88"/>
      <c r="AG49" s="80"/>
      <c r="AH49" s="79"/>
      <c r="AI49" s="79"/>
      <c r="AJ49" s="79"/>
      <c r="AK49" s="80"/>
      <c r="AL49" s="80"/>
      <c r="AM49" s="80"/>
      <c r="AN49" s="79"/>
      <c r="AO49" s="80"/>
      <c r="AP49" s="80"/>
      <c r="AQ49" s="80"/>
      <c r="AR49" s="85"/>
      <c r="AS49" s="85"/>
      <c r="AT49" s="85"/>
      <c r="AU49" s="85"/>
      <c r="AV49" s="85"/>
      <c r="AW49" s="82"/>
      <c r="AX49" s="79"/>
      <c r="AY49" s="82"/>
      <c r="AZ49" s="82"/>
      <c r="BA49" s="86"/>
      <c r="BB49" s="79"/>
      <c r="BC49" s="79"/>
      <c r="BD49" s="79"/>
      <c r="BE49" s="82"/>
      <c r="BF49" s="85"/>
      <c r="BG49" s="79"/>
      <c r="BH49" s="79"/>
      <c r="BI49" s="79"/>
      <c r="BJ49" s="88"/>
      <c r="BK49" s="88"/>
      <c r="BL49" s="79"/>
      <c r="BM49" s="185" t="s">
        <v>108</v>
      </c>
      <c r="BN49" s="90"/>
      <c r="BO49" s="80"/>
      <c r="BP49" s="80"/>
      <c r="BQ49" s="80"/>
      <c r="BR49" s="80"/>
      <c r="BS49" s="80"/>
      <c r="BT49" s="80"/>
      <c r="BU49" s="80"/>
      <c r="BV49" s="80"/>
      <c r="BW49" s="82"/>
      <c r="BX49" s="79"/>
      <c r="BY49" s="79"/>
      <c r="BZ49" s="79"/>
      <c r="CA49" s="79"/>
      <c r="CB49" s="79"/>
      <c r="CC49" s="82"/>
      <c r="CD49" s="82"/>
      <c r="CE49" s="82"/>
      <c r="CF49" s="82"/>
      <c r="CG49" s="82"/>
      <c r="CH49" s="82"/>
      <c r="CI49" s="82"/>
      <c r="CJ49" s="79"/>
      <c r="CK49" s="79"/>
      <c r="CL49" s="79"/>
      <c r="CM49" s="79"/>
      <c r="CN49" s="79"/>
      <c r="CO49" s="79"/>
      <c r="CP49" s="13" t="s">
        <v>210</v>
      </c>
    </row>
    <row r="50" spans="1:94" ht="52.8">
      <c r="A50" s="98">
        <f t="shared" si="4"/>
        <v>27</v>
      </c>
      <c r="B50" s="189" t="s">
        <v>309</v>
      </c>
      <c r="C50" s="188">
        <v>44978</v>
      </c>
      <c r="D50" s="47" t="s">
        <v>354</v>
      </c>
      <c r="E50" s="126"/>
      <c r="F50" s="127" t="s">
        <v>388</v>
      </c>
      <c r="G50" s="167">
        <v>4</v>
      </c>
      <c r="H50" s="167"/>
      <c r="I50" s="170" t="s">
        <v>343</v>
      </c>
      <c r="J50" s="180">
        <f t="shared" si="8"/>
        <v>5200000</v>
      </c>
      <c r="K50" s="156"/>
      <c r="L50" s="157"/>
      <c r="M50" s="157"/>
      <c r="N50" s="183">
        <f t="shared" si="2"/>
        <v>5200000</v>
      </c>
      <c r="O50" s="177">
        <v>225007328</v>
      </c>
      <c r="P50" s="145"/>
      <c r="Q50" s="141"/>
      <c r="R50" s="190">
        <v>4</v>
      </c>
      <c r="S50" s="83"/>
      <c r="T50" s="87"/>
      <c r="U50" s="87"/>
      <c r="V50" s="87"/>
      <c r="W50" s="44"/>
      <c r="X50" s="88"/>
      <c r="Y50" s="79"/>
      <c r="Z50" s="79"/>
      <c r="AA50" s="79"/>
      <c r="AB50" s="79"/>
      <c r="AC50" s="86"/>
      <c r="AD50" s="82"/>
      <c r="AE50" s="79"/>
      <c r="AF50" s="88"/>
      <c r="AG50" s="80"/>
      <c r="AH50" s="79"/>
      <c r="AI50" s="79"/>
      <c r="AJ50" s="79"/>
      <c r="AK50" s="80"/>
      <c r="AL50" s="80"/>
      <c r="AM50" s="80"/>
      <c r="AN50" s="79"/>
      <c r="AO50" s="80"/>
      <c r="AP50" s="80"/>
      <c r="AQ50" s="80"/>
      <c r="AR50" s="85"/>
      <c r="AS50" s="85"/>
      <c r="AT50" s="85"/>
      <c r="AU50" s="85"/>
      <c r="AV50" s="85"/>
      <c r="AW50" s="82"/>
      <c r="AX50" s="79"/>
      <c r="AY50" s="82"/>
      <c r="AZ50" s="82"/>
      <c r="BA50" s="86"/>
      <c r="BB50" s="79"/>
      <c r="BC50" s="79"/>
      <c r="BD50" s="79"/>
      <c r="BE50" s="82"/>
      <c r="BF50" s="85"/>
      <c r="BG50" s="79"/>
      <c r="BH50" s="79"/>
      <c r="BI50" s="79"/>
      <c r="BJ50" s="88"/>
      <c r="BK50" s="88"/>
      <c r="BL50" s="79"/>
      <c r="BM50" s="187" t="s">
        <v>136</v>
      </c>
      <c r="BN50" s="90"/>
      <c r="BO50" s="80"/>
      <c r="BP50" s="80"/>
      <c r="BQ50" s="80"/>
      <c r="BR50" s="80"/>
      <c r="BS50" s="80"/>
      <c r="BT50" s="80"/>
      <c r="BU50" s="80"/>
      <c r="BV50" s="80"/>
      <c r="BW50" s="82"/>
      <c r="BX50" s="79"/>
      <c r="BY50" s="79"/>
      <c r="BZ50" s="79"/>
      <c r="CA50" s="79"/>
      <c r="CB50" s="79"/>
      <c r="CC50" s="82"/>
      <c r="CD50" s="82"/>
      <c r="CE50" s="82"/>
      <c r="CF50" s="82"/>
      <c r="CG50" s="82"/>
      <c r="CH50" s="82"/>
      <c r="CI50" s="82"/>
      <c r="CJ50" s="79"/>
      <c r="CK50" s="79"/>
      <c r="CL50" s="79"/>
      <c r="CM50" s="79"/>
      <c r="CN50" s="79"/>
      <c r="CO50" s="79"/>
      <c r="CP50" s="13" t="s">
        <v>206</v>
      </c>
    </row>
    <row r="51" spans="1:94" ht="26.4">
      <c r="A51" s="98">
        <f t="shared" si="4"/>
        <v>28</v>
      </c>
      <c r="B51" s="189" t="s">
        <v>310</v>
      </c>
      <c r="C51" s="188">
        <v>44978</v>
      </c>
      <c r="D51" s="47" t="s">
        <v>355</v>
      </c>
      <c r="E51" s="126"/>
      <c r="F51" s="127" t="s">
        <v>388</v>
      </c>
      <c r="G51" s="167">
        <v>2</v>
      </c>
      <c r="H51" s="167"/>
      <c r="I51" s="170" t="s">
        <v>344</v>
      </c>
      <c r="J51" s="180">
        <f t="shared" si="8"/>
        <v>2600000</v>
      </c>
      <c r="K51" s="156"/>
      <c r="L51" s="157"/>
      <c r="M51" s="157"/>
      <c r="N51" s="183">
        <f t="shared" si="2"/>
        <v>2600000</v>
      </c>
      <c r="O51" s="177" t="s">
        <v>335</v>
      </c>
      <c r="P51" s="145"/>
      <c r="Q51" s="141"/>
      <c r="R51" s="190">
        <v>2</v>
      </c>
      <c r="S51" s="83"/>
      <c r="T51" s="87"/>
      <c r="U51" s="87"/>
      <c r="V51" s="87"/>
      <c r="W51" s="44"/>
      <c r="X51" s="88"/>
      <c r="Y51" s="79"/>
      <c r="Z51" s="79"/>
      <c r="AA51" s="79"/>
      <c r="AB51" s="79"/>
      <c r="AC51" s="86"/>
      <c r="AD51" s="82"/>
      <c r="AE51" s="79"/>
      <c r="AF51" s="88"/>
      <c r="AG51" s="80"/>
      <c r="AH51" s="79"/>
      <c r="AI51" s="79"/>
      <c r="AJ51" s="79"/>
      <c r="AK51" s="80"/>
      <c r="AL51" s="80"/>
      <c r="AM51" s="80"/>
      <c r="AN51" s="79"/>
      <c r="AO51" s="80"/>
      <c r="AP51" s="80"/>
      <c r="AQ51" s="80"/>
      <c r="AR51" s="85"/>
      <c r="AS51" s="85"/>
      <c r="AT51" s="85"/>
      <c r="AU51" s="85"/>
      <c r="AV51" s="85"/>
      <c r="AW51" s="82"/>
      <c r="AX51" s="79"/>
      <c r="AY51" s="82"/>
      <c r="AZ51" s="82"/>
      <c r="BA51" s="86"/>
      <c r="BB51" s="79"/>
      <c r="BC51" s="79"/>
      <c r="BD51" s="79"/>
      <c r="BE51" s="82"/>
      <c r="BF51" s="85"/>
      <c r="BG51" s="79"/>
      <c r="BH51" s="79"/>
      <c r="BI51" s="79"/>
      <c r="BJ51" s="88"/>
      <c r="BK51" s="88"/>
      <c r="BL51" s="79"/>
      <c r="BM51" s="186" t="s">
        <v>123</v>
      </c>
      <c r="BN51" s="90"/>
      <c r="BO51" s="80"/>
      <c r="BP51" s="80"/>
      <c r="BQ51" s="80"/>
      <c r="BR51" s="80"/>
      <c r="BS51" s="80"/>
      <c r="BT51" s="80"/>
      <c r="BU51" s="80"/>
      <c r="BV51" s="80"/>
      <c r="BW51" s="82"/>
      <c r="BX51" s="79"/>
      <c r="BY51" s="79"/>
      <c r="BZ51" s="79"/>
      <c r="CA51" s="79"/>
      <c r="CB51" s="79"/>
      <c r="CC51" s="82"/>
      <c r="CD51" s="82"/>
      <c r="CE51" s="82"/>
      <c r="CF51" s="82"/>
      <c r="CG51" s="82"/>
      <c r="CH51" s="82"/>
      <c r="CI51" s="82"/>
      <c r="CJ51" s="79"/>
      <c r="CK51" s="79"/>
      <c r="CL51" s="79"/>
      <c r="CM51" s="79"/>
      <c r="CN51" s="79"/>
      <c r="CO51" s="79"/>
      <c r="CP51" s="13" t="s">
        <v>206</v>
      </c>
    </row>
    <row r="52" spans="1:94">
      <c r="A52" s="98">
        <f t="shared" si="4"/>
        <v>29</v>
      </c>
      <c r="B52" s="178" t="s">
        <v>311</v>
      </c>
      <c r="C52" s="188">
        <v>44978</v>
      </c>
      <c r="D52" s="47" t="s">
        <v>366</v>
      </c>
      <c r="E52" s="126"/>
      <c r="F52" s="127" t="s">
        <v>388</v>
      </c>
      <c r="G52" s="167">
        <v>1</v>
      </c>
      <c r="H52" s="167"/>
      <c r="I52" s="170" t="s">
        <v>345</v>
      </c>
      <c r="J52" s="180">
        <f t="shared" si="8"/>
        <v>1300000</v>
      </c>
      <c r="K52" s="156"/>
      <c r="L52" s="182">
        <v>300000</v>
      </c>
      <c r="M52" s="157"/>
      <c r="N52" s="183">
        <f t="shared" si="2"/>
        <v>1600000</v>
      </c>
      <c r="O52" s="177" t="s">
        <v>336</v>
      </c>
      <c r="P52" s="145"/>
      <c r="Q52" s="141"/>
      <c r="R52" s="190">
        <v>640</v>
      </c>
      <c r="S52" s="83"/>
      <c r="T52" s="87"/>
      <c r="U52" s="87"/>
      <c r="V52" s="87"/>
      <c r="W52" s="44"/>
      <c r="X52" s="88"/>
      <c r="Y52" s="79"/>
      <c r="Z52" s="79"/>
      <c r="AA52" s="79"/>
      <c r="AB52" s="79"/>
      <c r="AC52" s="86"/>
      <c r="AD52" s="82"/>
      <c r="AE52" s="79"/>
      <c r="AF52" s="88"/>
      <c r="AG52" s="80"/>
      <c r="AH52" s="79"/>
      <c r="AI52" s="79"/>
      <c r="AJ52" s="79"/>
      <c r="AK52" s="80"/>
      <c r="AL52" s="80"/>
      <c r="AM52" s="80"/>
      <c r="AN52" s="79"/>
      <c r="AO52" s="80"/>
      <c r="AP52" s="80"/>
      <c r="AQ52" s="80"/>
      <c r="AR52" s="85"/>
      <c r="AS52" s="85"/>
      <c r="AT52" s="85"/>
      <c r="AU52" s="85"/>
      <c r="AV52" s="85"/>
      <c r="AW52" s="82"/>
      <c r="AX52" s="79"/>
      <c r="AY52" s="82"/>
      <c r="AZ52" s="82"/>
      <c r="BA52" s="86"/>
      <c r="BB52" s="79"/>
      <c r="BC52" s="79"/>
      <c r="BD52" s="79"/>
      <c r="BE52" s="82"/>
      <c r="BF52" s="85"/>
      <c r="BG52" s="79"/>
      <c r="BH52" s="79"/>
      <c r="BI52" s="79"/>
      <c r="BJ52" s="88"/>
      <c r="BK52" s="88"/>
      <c r="BL52" s="79"/>
      <c r="BM52" s="185" t="s">
        <v>108</v>
      </c>
      <c r="BN52" s="90"/>
      <c r="BO52" s="80"/>
      <c r="BP52" s="80"/>
      <c r="BQ52" s="80"/>
      <c r="BR52" s="80"/>
      <c r="BS52" s="80"/>
      <c r="BT52" s="80"/>
      <c r="BU52" s="80"/>
      <c r="BV52" s="80"/>
      <c r="BW52" s="82"/>
      <c r="BX52" s="79"/>
      <c r="BY52" s="79"/>
      <c r="BZ52" s="79"/>
      <c r="CA52" s="79"/>
      <c r="CB52" s="79"/>
      <c r="CC52" s="82"/>
      <c r="CD52" s="82"/>
      <c r="CE52" s="82"/>
      <c r="CF52" s="82"/>
      <c r="CG52" s="82"/>
      <c r="CH52" s="82"/>
      <c r="CI52" s="82"/>
      <c r="CJ52" s="79"/>
      <c r="CK52" s="79"/>
      <c r="CL52" s="79"/>
      <c r="CM52" s="79"/>
      <c r="CN52" s="79"/>
      <c r="CO52" s="79"/>
      <c r="CP52" s="13" t="s">
        <v>210</v>
      </c>
    </row>
    <row r="53" spans="1:94">
      <c r="A53" s="98">
        <f t="shared" si="4"/>
        <v>30</v>
      </c>
      <c r="B53" s="178" t="s">
        <v>312</v>
      </c>
      <c r="C53" s="188">
        <v>44978</v>
      </c>
      <c r="D53" s="47" t="s">
        <v>367</v>
      </c>
      <c r="E53" s="126"/>
      <c r="F53" s="127" t="s">
        <v>388</v>
      </c>
      <c r="G53" s="167"/>
      <c r="H53" s="167">
        <v>1</v>
      </c>
      <c r="I53" s="170" t="s">
        <v>346</v>
      </c>
      <c r="J53" s="180">
        <f t="shared" si="8"/>
        <v>2000000</v>
      </c>
      <c r="K53" s="156"/>
      <c r="L53" s="182">
        <v>300000</v>
      </c>
      <c r="M53" s="157"/>
      <c r="N53" s="183">
        <f t="shared" si="2"/>
        <v>2300000</v>
      </c>
      <c r="O53" s="177" t="s">
        <v>337</v>
      </c>
      <c r="P53" s="145"/>
      <c r="Q53" s="141"/>
      <c r="R53" s="190">
        <v>1000</v>
      </c>
      <c r="S53" s="83"/>
      <c r="T53" s="87"/>
      <c r="U53" s="87"/>
      <c r="V53" s="87"/>
      <c r="W53" s="44"/>
      <c r="X53" s="88"/>
      <c r="Y53" s="79"/>
      <c r="Z53" s="79"/>
      <c r="AA53" s="79"/>
      <c r="AB53" s="79"/>
      <c r="AC53" s="86"/>
      <c r="AD53" s="82"/>
      <c r="AE53" s="79"/>
      <c r="AF53" s="88"/>
      <c r="AG53" s="80"/>
      <c r="AH53" s="79"/>
      <c r="AI53" s="79"/>
      <c r="AJ53" s="79"/>
      <c r="AK53" s="80"/>
      <c r="AL53" s="80"/>
      <c r="AM53" s="80"/>
      <c r="AN53" s="79"/>
      <c r="AO53" s="80"/>
      <c r="AP53" s="80"/>
      <c r="AQ53" s="80"/>
      <c r="AR53" s="85"/>
      <c r="AS53" s="85"/>
      <c r="AT53" s="85"/>
      <c r="AU53" s="85"/>
      <c r="AV53" s="85"/>
      <c r="AW53" s="82"/>
      <c r="AX53" s="79"/>
      <c r="AY53" s="82"/>
      <c r="AZ53" s="82"/>
      <c r="BA53" s="86"/>
      <c r="BB53" s="79"/>
      <c r="BC53" s="79"/>
      <c r="BD53" s="79"/>
      <c r="BE53" s="82"/>
      <c r="BF53" s="85"/>
      <c r="BG53" s="79"/>
      <c r="BH53" s="79"/>
      <c r="BI53" s="79"/>
      <c r="BJ53" s="88"/>
      <c r="BK53" s="88"/>
      <c r="BL53" s="79"/>
      <c r="BM53" s="185" t="s">
        <v>108</v>
      </c>
      <c r="BN53" s="90"/>
      <c r="BO53" s="80"/>
      <c r="BP53" s="80"/>
      <c r="BQ53" s="80"/>
      <c r="BR53" s="80"/>
      <c r="BS53" s="80"/>
      <c r="BT53" s="80"/>
      <c r="BU53" s="80"/>
      <c r="BV53" s="80"/>
      <c r="BW53" s="82"/>
      <c r="BX53" s="79"/>
      <c r="BY53" s="79"/>
      <c r="BZ53" s="79"/>
      <c r="CA53" s="79"/>
      <c r="CB53" s="79"/>
      <c r="CC53" s="82"/>
      <c r="CD53" s="82"/>
      <c r="CE53" s="82"/>
      <c r="CF53" s="82"/>
      <c r="CG53" s="82"/>
      <c r="CH53" s="82"/>
      <c r="CI53" s="82"/>
      <c r="CJ53" s="79"/>
      <c r="CK53" s="79"/>
      <c r="CL53" s="79"/>
      <c r="CM53" s="79"/>
      <c r="CN53" s="79"/>
      <c r="CO53" s="79"/>
      <c r="CP53" s="13" t="s">
        <v>210</v>
      </c>
    </row>
    <row r="54" spans="1:94">
      <c r="A54" s="98">
        <f t="shared" si="4"/>
        <v>31</v>
      </c>
      <c r="B54" s="189" t="s">
        <v>313</v>
      </c>
      <c r="C54" s="188">
        <v>44979</v>
      </c>
      <c r="D54" s="47" t="s">
        <v>357</v>
      </c>
      <c r="E54" s="126"/>
      <c r="F54" s="127" t="s">
        <v>388</v>
      </c>
      <c r="G54" s="167">
        <v>1</v>
      </c>
      <c r="H54" s="167"/>
      <c r="I54" s="170" t="s">
        <v>347</v>
      </c>
      <c r="J54" s="180">
        <f t="shared" si="8"/>
        <v>1300000</v>
      </c>
      <c r="K54" s="156"/>
      <c r="L54" s="157"/>
      <c r="M54" s="157"/>
      <c r="N54" s="183">
        <f t="shared" si="2"/>
        <v>1300000</v>
      </c>
      <c r="O54" s="177" t="s">
        <v>338</v>
      </c>
      <c r="P54" s="145"/>
      <c r="Q54" s="141"/>
      <c r="R54" s="190">
        <v>500</v>
      </c>
      <c r="S54" s="83"/>
      <c r="T54" s="87"/>
      <c r="U54" s="87"/>
      <c r="V54" s="87"/>
      <c r="W54" s="44"/>
      <c r="X54" s="88"/>
      <c r="Y54" s="79"/>
      <c r="Z54" s="79"/>
      <c r="AA54" s="79"/>
      <c r="AB54" s="79"/>
      <c r="AC54" s="86"/>
      <c r="AD54" s="82"/>
      <c r="AE54" s="79"/>
      <c r="AF54" s="88"/>
      <c r="AG54" s="80"/>
      <c r="AH54" s="79"/>
      <c r="AI54" s="79"/>
      <c r="AJ54" s="79"/>
      <c r="AK54" s="80"/>
      <c r="AL54" s="80"/>
      <c r="AM54" s="80"/>
      <c r="AN54" s="79"/>
      <c r="AO54" s="80"/>
      <c r="AP54" s="80"/>
      <c r="AQ54" s="80"/>
      <c r="AR54" s="85"/>
      <c r="AS54" s="85"/>
      <c r="AT54" s="85"/>
      <c r="AU54" s="85"/>
      <c r="AV54" s="85"/>
      <c r="AW54" s="82"/>
      <c r="AX54" s="79"/>
      <c r="AY54" s="82"/>
      <c r="AZ54" s="82"/>
      <c r="BA54" s="86"/>
      <c r="BB54" s="79"/>
      <c r="BC54" s="79"/>
      <c r="BD54" s="79"/>
      <c r="BE54" s="82"/>
      <c r="BF54" s="85"/>
      <c r="BG54" s="79"/>
      <c r="BH54" s="79"/>
      <c r="BI54" s="79"/>
      <c r="BJ54" s="88"/>
      <c r="BK54" s="88"/>
      <c r="BL54" s="79"/>
      <c r="BM54" s="186" t="s">
        <v>123</v>
      </c>
      <c r="BN54" s="90"/>
      <c r="BO54" s="80"/>
      <c r="BP54" s="80"/>
      <c r="BQ54" s="80"/>
      <c r="BR54" s="80"/>
      <c r="BS54" s="80"/>
      <c r="BT54" s="80"/>
      <c r="BU54" s="80"/>
      <c r="BV54" s="80"/>
      <c r="BW54" s="82"/>
      <c r="BX54" s="79"/>
      <c r="BY54" s="79"/>
      <c r="BZ54" s="79"/>
      <c r="CA54" s="79"/>
      <c r="CB54" s="79"/>
      <c r="CC54" s="82"/>
      <c r="CD54" s="82"/>
      <c r="CE54" s="82"/>
      <c r="CF54" s="82"/>
      <c r="CG54" s="82"/>
      <c r="CH54" s="82"/>
      <c r="CI54" s="82"/>
      <c r="CJ54" s="79"/>
      <c r="CK54" s="79"/>
      <c r="CL54" s="79"/>
      <c r="CM54" s="79"/>
      <c r="CN54" s="79"/>
      <c r="CO54" s="79"/>
      <c r="CP54" s="13" t="s">
        <v>206</v>
      </c>
    </row>
    <row r="55" spans="1:94">
      <c r="A55" s="98">
        <f t="shared" si="4"/>
        <v>32</v>
      </c>
      <c r="B55" s="178" t="s">
        <v>314</v>
      </c>
      <c r="C55" s="188">
        <v>44979</v>
      </c>
      <c r="D55" s="47" t="s">
        <v>368</v>
      </c>
      <c r="E55" s="126"/>
      <c r="F55" s="127" t="s">
        <v>388</v>
      </c>
      <c r="G55" s="167">
        <v>1</v>
      </c>
      <c r="H55" s="167"/>
      <c r="I55" s="170" t="s">
        <v>348</v>
      </c>
      <c r="J55" s="180">
        <f t="shared" si="8"/>
        <v>1300000</v>
      </c>
      <c r="K55" s="156"/>
      <c r="L55" s="182">
        <v>300000</v>
      </c>
      <c r="M55" s="157"/>
      <c r="N55" s="183">
        <f t="shared" si="2"/>
        <v>1600000</v>
      </c>
      <c r="O55" s="177">
        <v>25363998</v>
      </c>
      <c r="P55" s="145"/>
      <c r="Q55" s="141"/>
      <c r="R55" s="190">
        <v>640</v>
      </c>
      <c r="S55" s="83"/>
      <c r="T55" s="87"/>
      <c r="U55" s="87"/>
      <c r="V55" s="87"/>
      <c r="W55" s="44"/>
      <c r="X55" s="88"/>
      <c r="Y55" s="79"/>
      <c r="Z55" s="79"/>
      <c r="AA55" s="79"/>
      <c r="AB55" s="79"/>
      <c r="AC55" s="86"/>
      <c r="AD55" s="82"/>
      <c r="AE55" s="79"/>
      <c r="AF55" s="88"/>
      <c r="AG55" s="80"/>
      <c r="AH55" s="79"/>
      <c r="AI55" s="79"/>
      <c r="AJ55" s="79"/>
      <c r="AK55" s="80"/>
      <c r="AL55" s="80"/>
      <c r="AM55" s="80"/>
      <c r="AN55" s="79"/>
      <c r="AO55" s="80"/>
      <c r="AP55" s="80"/>
      <c r="AQ55" s="80"/>
      <c r="AR55" s="85"/>
      <c r="AS55" s="85"/>
      <c r="AT55" s="85"/>
      <c r="AU55" s="85"/>
      <c r="AV55" s="85"/>
      <c r="AW55" s="82"/>
      <c r="AX55" s="79"/>
      <c r="AY55" s="82"/>
      <c r="AZ55" s="82"/>
      <c r="BA55" s="86"/>
      <c r="BB55" s="79"/>
      <c r="BC55" s="79"/>
      <c r="BD55" s="79"/>
      <c r="BE55" s="82"/>
      <c r="BF55" s="85"/>
      <c r="BG55" s="79"/>
      <c r="BH55" s="79"/>
      <c r="BI55" s="79"/>
      <c r="BJ55" s="88"/>
      <c r="BK55" s="88"/>
      <c r="BL55" s="79"/>
      <c r="BM55" s="185" t="s">
        <v>108</v>
      </c>
      <c r="BN55" s="90"/>
      <c r="BO55" s="80"/>
      <c r="BP55" s="80"/>
      <c r="BQ55" s="80"/>
      <c r="BR55" s="80"/>
      <c r="BS55" s="80"/>
      <c r="BT55" s="80"/>
      <c r="BU55" s="80"/>
      <c r="BV55" s="80"/>
      <c r="BW55" s="82"/>
      <c r="BX55" s="79"/>
      <c r="BY55" s="79"/>
      <c r="BZ55" s="79"/>
      <c r="CA55" s="79"/>
      <c r="CB55" s="79"/>
      <c r="CC55" s="82"/>
      <c r="CD55" s="82"/>
      <c r="CE55" s="82"/>
      <c r="CF55" s="82"/>
      <c r="CG55" s="82"/>
      <c r="CH55" s="82"/>
      <c r="CI55" s="82"/>
      <c r="CJ55" s="79"/>
      <c r="CK55" s="79"/>
      <c r="CL55" s="79"/>
      <c r="CM55" s="79"/>
      <c r="CN55" s="79"/>
      <c r="CO55" s="79"/>
      <c r="CP55" s="13" t="s">
        <v>210</v>
      </c>
    </row>
    <row r="56" spans="1:94">
      <c r="A56" s="98">
        <f t="shared" si="4"/>
        <v>33</v>
      </c>
      <c r="B56" s="178" t="s">
        <v>315</v>
      </c>
      <c r="C56" s="188">
        <v>44980</v>
      </c>
      <c r="D56" s="47" t="s">
        <v>369</v>
      </c>
      <c r="E56" s="126"/>
      <c r="F56" s="127" t="s">
        <v>388</v>
      </c>
      <c r="G56" s="167"/>
      <c r="H56" s="167">
        <v>1</v>
      </c>
      <c r="I56" s="170" t="s">
        <v>349</v>
      </c>
      <c r="J56" s="180">
        <f t="shared" si="8"/>
        <v>2000000</v>
      </c>
      <c r="K56" s="156"/>
      <c r="L56" s="182">
        <v>300000</v>
      </c>
      <c r="M56" s="157"/>
      <c r="N56" s="183">
        <f t="shared" si="2"/>
        <v>2300000</v>
      </c>
      <c r="O56" s="177" t="s">
        <v>339</v>
      </c>
      <c r="P56" s="145"/>
      <c r="Q56" s="141"/>
      <c r="R56" s="190">
        <v>1120</v>
      </c>
      <c r="S56" s="83"/>
      <c r="T56" s="87"/>
      <c r="U56" s="87"/>
      <c r="V56" s="87"/>
      <c r="W56" s="44"/>
      <c r="X56" s="88"/>
      <c r="Y56" s="79"/>
      <c r="Z56" s="79"/>
      <c r="AA56" s="79"/>
      <c r="AB56" s="79"/>
      <c r="AC56" s="86"/>
      <c r="AD56" s="82"/>
      <c r="AE56" s="79"/>
      <c r="AF56" s="88"/>
      <c r="AG56" s="80"/>
      <c r="AH56" s="79"/>
      <c r="AI56" s="79"/>
      <c r="AJ56" s="79"/>
      <c r="AK56" s="80"/>
      <c r="AL56" s="80"/>
      <c r="AM56" s="80"/>
      <c r="AN56" s="79"/>
      <c r="AO56" s="80"/>
      <c r="AP56" s="80"/>
      <c r="AQ56" s="80"/>
      <c r="AR56" s="85"/>
      <c r="AS56" s="85"/>
      <c r="AT56" s="85"/>
      <c r="AU56" s="85"/>
      <c r="AV56" s="85"/>
      <c r="AW56" s="82"/>
      <c r="AX56" s="79"/>
      <c r="AY56" s="82"/>
      <c r="AZ56" s="82"/>
      <c r="BA56" s="86"/>
      <c r="BB56" s="79"/>
      <c r="BC56" s="79"/>
      <c r="BD56" s="79"/>
      <c r="BE56" s="82"/>
      <c r="BF56" s="85"/>
      <c r="BG56" s="79"/>
      <c r="BH56" s="79"/>
      <c r="BI56" s="79"/>
      <c r="BJ56" s="88"/>
      <c r="BK56" s="88"/>
      <c r="BL56" s="79"/>
      <c r="BM56" s="185" t="s">
        <v>108</v>
      </c>
      <c r="BN56" s="90"/>
      <c r="BO56" s="80"/>
      <c r="BP56" s="80"/>
      <c r="BQ56" s="80"/>
      <c r="BR56" s="80"/>
      <c r="BS56" s="80"/>
      <c r="BT56" s="80"/>
      <c r="BU56" s="80"/>
      <c r="BV56" s="80"/>
      <c r="BW56" s="82"/>
      <c r="BX56" s="79"/>
      <c r="BY56" s="79"/>
      <c r="BZ56" s="79"/>
      <c r="CA56" s="79"/>
      <c r="CB56" s="79"/>
      <c r="CC56" s="82"/>
      <c r="CD56" s="82"/>
      <c r="CE56" s="82"/>
      <c r="CF56" s="82"/>
      <c r="CG56" s="82"/>
      <c r="CH56" s="82"/>
      <c r="CI56" s="82"/>
      <c r="CJ56" s="79"/>
      <c r="CK56" s="79"/>
      <c r="CL56" s="79"/>
      <c r="CM56" s="79"/>
      <c r="CN56" s="79"/>
      <c r="CO56" s="79"/>
      <c r="CP56" s="13" t="s">
        <v>210</v>
      </c>
    </row>
    <row r="57" spans="1:94">
      <c r="A57" s="98">
        <f t="shared" si="4"/>
        <v>34</v>
      </c>
      <c r="B57" s="178" t="s">
        <v>316</v>
      </c>
      <c r="C57" s="188">
        <v>44980</v>
      </c>
      <c r="D57" s="47" t="s">
        <v>370</v>
      </c>
      <c r="E57" s="126"/>
      <c r="F57" s="127" t="s">
        <v>388</v>
      </c>
      <c r="G57" s="167"/>
      <c r="H57" s="167">
        <v>1</v>
      </c>
      <c r="I57" s="170" t="s">
        <v>350</v>
      </c>
      <c r="J57" s="180">
        <f t="shared" si="8"/>
        <v>2000000</v>
      </c>
      <c r="K57" s="156"/>
      <c r="L57" s="182">
        <v>300000</v>
      </c>
      <c r="M57" s="157"/>
      <c r="N57" s="183">
        <f t="shared" si="2"/>
        <v>2300000</v>
      </c>
      <c r="O57" s="177" t="s">
        <v>340</v>
      </c>
      <c r="P57" s="145"/>
      <c r="Q57" s="141"/>
      <c r="R57" s="190">
        <v>17</v>
      </c>
      <c r="S57" s="83"/>
      <c r="T57" s="87"/>
      <c r="U57" s="87"/>
      <c r="V57" s="87"/>
      <c r="W57" s="44"/>
      <c r="X57" s="88"/>
      <c r="Y57" s="79"/>
      <c r="Z57" s="79"/>
      <c r="AA57" s="79"/>
      <c r="AB57" s="79"/>
      <c r="AC57" s="86"/>
      <c r="AD57" s="82"/>
      <c r="AE57" s="79"/>
      <c r="AF57" s="88"/>
      <c r="AG57" s="80"/>
      <c r="AH57" s="79"/>
      <c r="AI57" s="79"/>
      <c r="AJ57" s="79"/>
      <c r="AK57" s="80"/>
      <c r="AL57" s="80"/>
      <c r="AM57" s="80"/>
      <c r="AN57" s="79"/>
      <c r="AO57" s="80"/>
      <c r="AP57" s="80"/>
      <c r="AQ57" s="80"/>
      <c r="AR57" s="85"/>
      <c r="AS57" s="85"/>
      <c r="AT57" s="85"/>
      <c r="AU57" s="85"/>
      <c r="AV57" s="85"/>
      <c r="AW57" s="82"/>
      <c r="AX57" s="79"/>
      <c r="AY57" s="82"/>
      <c r="AZ57" s="82"/>
      <c r="BA57" s="86"/>
      <c r="BB57" s="79"/>
      <c r="BC57" s="79"/>
      <c r="BD57" s="79"/>
      <c r="BE57" s="82"/>
      <c r="BF57" s="85"/>
      <c r="BG57" s="79"/>
      <c r="BH57" s="79"/>
      <c r="BI57" s="79"/>
      <c r="BJ57" s="88"/>
      <c r="BK57" s="88"/>
      <c r="BL57" s="79"/>
      <c r="BM57" s="185" t="s">
        <v>108</v>
      </c>
      <c r="BN57" s="90"/>
      <c r="BO57" s="80"/>
      <c r="BP57" s="80"/>
      <c r="BQ57" s="80"/>
      <c r="BR57" s="80"/>
      <c r="BS57" s="80"/>
      <c r="BT57" s="80"/>
      <c r="BU57" s="80"/>
      <c r="BV57" s="80"/>
      <c r="BW57" s="82"/>
      <c r="BX57" s="79"/>
      <c r="BY57" s="79"/>
      <c r="BZ57" s="79"/>
      <c r="CA57" s="79"/>
      <c r="CB57" s="79"/>
      <c r="CC57" s="82"/>
      <c r="CD57" s="82"/>
      <c r="CE57" s="82"/>
      <c r="CF57" s="82"/>
      <c r="CG57" s="82"/>
      <c r="CH57" s="82"/>
      <c r="CI57" s="82"/>
      <c r="CJ57" s="79"/>
      <c r="CK57" s="79"/>
      <c r="CL57" s="79"/>
      <c r="CM57" s="79"/>
      <c r="CN57" s="79"/>
      <c r="CO57" s="79"/>
      <c r="CP57" s="13" t="s">
        <v>210</v>
      </c>
    </row>
    <row r="58" spans="1:94">
      <c r="A58" s="98">
        <f t="shared" si="4"/>
        <v>35</v>
      </c>
      <c r="B58" s="189" t="s">
        <v>317</v>
      </c>
      <c r="C58" s="188">
        <v>44980</v>
      </c>
      <c r="D58" s="47" t="s">
        <v>356</v>
      </c>
      <c r="E58" s="126"/>
      <c r="F58" s="127" t="s">
        <v>388</v>
      </c>
      <c r="G58" s="167">
        <v>1</v>
      </c>
      <c r="H58" s="167"/>
      <c r="I58" s="170" t="s">
        <v>351</v>
      </c>
      <c r="J58" s="180">
        <f t="shared" si="8"/>
        <v>1300000</v>
      </c>
      <c r="K58" s="156"/>
      <c r="L58" s="157"/>
      <c r="M58" s="157"/>
      <c r="N58" s="183">
        <f t="shared" si="2"/>
        <v>1300000</v>
      </c>
      <c r="O58" s="177" t="s">
        <v>341</v>
      </c>
      <c r="P58" s="145"/>
      <c r="Q58" s="141"/>
      <c r="R58" s="190">
        <v>1</v>
      </c>
      <c r="S58" s="83"/>
      <c r="T58" s="87"/>
      <c r="U58" s="87"/>
      <c r="V58" s="87"/>
      <c r="W58" s="44"/>
      <c r="X58" s="88"/>
      <c r="Y58" s="79"/>
      <c r="Z58" s="79"/>
      <c r="AA58" s="79"/>
      <c r="AB58" s="79"/>
      <c r="AC58" s="86"/>
      <c r="AD58" s="82"/>
      <c r="AE58" s="79"/>
      <c r="AF58" s="88"/>
      <c r="AG58" s="80"/>
      <c r="AH58" s="79"/>
      <c r="AI58" s="79"/>
      <c r="AJ58" s="79"/>
      <c r="AK58" s="80"/>
      <c r="AL58" s="80"/>
      <c r="AM58" s="80"/>
      <c r="AN58" s="79"/>
      <c r="AO58" s="80"/>
      <c r="AP58" s="80"/>
      <c r="AQ58" s="80"/>
      <c r="AR58" s="85"/>
      <c r="AS58" s="85"/>
      <c r="AT58" s="85"/>
      <c r="AU58" s="85"/>
      <c r="AV58" s="85"/>
      <c r="AW58" s="82"/>
      <c r="AX58" s="79"/>
      <c r="AY58" s="82"/>
      <c r="AZ58" s="82"/>
      <c r="BA58" s="86"/>
      <c r="BB58" s="79"/>
      <c r="BC58" s="79"/>
      <c r="BD58" s="79"/>
      <c r="BE58" s="82"/>
      <c r="BF58" s="85"/>
      <c r="BG58" s="79"/>
      <c r="BH58" s="79"/>
      <c r="BI58" s="79"/>
      <c r="BJ58" s="88"/>
      <c r="BK58" s="88"/>
      <c r="BL58" s="79"/>
      <c r="BM58" s="186" t="s">
        <v>123</v>
      </c>
      <c r="BN58" s="90"/>
      <c r="BO58" s="80"/>
      <c r="BP58" s="80"/>
      <c r="BQ58" s="80"/>
      <c r="BR58" s="80"/>
      <c r="BS58" s="80"/>
      <c r="BT58" s="80"/>
      <c r="BU58" s="80"/>
      <c r="BV58" s="80"/>
      <c r="BW58" s="82"/>
      <c r="BX58" s="79"/>
      <c r="BY58" s="79"/>
      <c r="BZ58" s="79"/>
      <c r="CA58" s="79"/>
      <c r="CB58" s="79"/>
      <c r="CC58" s="82"/>
      <c r="CD58" s="82"/>
      <c r="CE58" s="82"/>
      <c r="CF58" s="82"/>
      <c r="CG58" s="82"/>
      <c r="CH58" s="82"/>
      <c r="CI58" s="82"/>
      <c r="CJ58" s="79"/>
      <c r="CK58" s="79"/>
      <c r="CL58" s="79"/>
      <c r="CM58" s="79"/>
      <c r="CN58" s="79"/>
      <c r="CO58" s="79"/>
      <c r="CP58" s="13" t="s">
        <v>206</v>
      </c>
    </row>
    <row r="59" spans="1:94">
      <c r="A59" s="98">
        <f t="shared" si="4"/>
        <v>36</v>
      </c>
      <c r="B59" s="178" t="s">
        <v>372</v>
      </c>
      <c r="C59" s="188">
        <v>44981</v>
      </c>
      <c r="D59" s="47" t="s">
        <v>371</v>
      </c>
      <c r="E59" s="126"/>
      <c r="F59" s="127" t="s">
        <v>388</v>
      </c>
      <c r="G59" s="167">
        <v>1</v>
      </c>
      <c r="H59" s="167"/>
      <c r="I59" s="170" t="s">
        <v>373</v>
      </c>
      <c r="J59" s="155">
        <f t="shared" si="8"/>
        <v>1300000</v>
      </c>
      <c r="K59" s="156"/>
      <c r="L59" s="182">
        <v>300000</v>
      </c>
      <c r="M59" s="157"/>
      <c r="N59" s="183">
        <f t="shared" si="2"/>
        <v>1600000</v>
      </c>
      <c r="O59" s="177" t="s">
        <v>374</v>
      </c>
      <c r="P59" s="145"/>
      <c r="Q59" s="141"/>
      <c r="R59" s="190">
        <v>8</v>
      </c>
      <c r="S59" s="83"/>
      <c r="T59" s="87"/>
      <c r="U59" s="87"/>
      <c r="V59" s="87"/>
      <c r="W59" s="44"/>
      <c r="X59" s="88"/>
      <c r="Y59" s="79"/>
      <c r="Z59" s="79"/>
      <c r="AA59" s="79"/>
      <c r="AB59" s="79"/>
      <c r="AC59" s="86"/>
      <c r="AD59" s="82"/>
      <c r="AE59" s="79"/>
      <c r="AF59" s="88"/>
      <c r="AG59" s="80"/>
      <c r="AH59" s="79"/>
      <c r="AI59" s="79"/>
      <c r="AJ59" s="79"/>
      <c r="AK59" s="80"/>
      <c r="AL59" s="80"/>
      <c r="AM59" s="80"/>
      <c r="AN59" s="79"/>
      <c r="AO59" s="80"/>
      <c r="AP59" s="80"/>
      <c r="AQ59" s="80"/>
      <c r="AR59" s="85"/>
      <c r="AS59" s="85"/>
      <c r="AT59" s="85"/>
      <c r="AU59" s="85"/>
      <c r="AV59" s="85"/>
      <c r="AW59" s="82"/>
      <c r="AX59" s="79"/>
      <c r="AY59" s="82"/>
      <c r="AZ59" s="82"/>
      <c r="BA59" s="86"/>
      <c r="BB59" s="79"/>
      <c r="BC59" s="79"/>
      <c r="BD59" s="79"/>
      <c r="BE59" s="82"/>
      <c r="BF59" s="85"/>
      <c r="BG59" s="79"/>
      <c r="BH59" s="79"/>
      <c r="BI59" s="79"/>
      <c r="BJ59" s="88"/>
      <c r="BK59" s="88"/>
      <c r="BL59" s="79"/>
      <c r="BM59" s="185" t="s">
        <v>108</v>
      </c>
      <c r="BN59" s="90"/>
      <c r="BO59" s="80"/>
      <c r="BP59" s="80"/>
      <c r="BQ59" s="80"/>
      <c r="BR59" s="80"/>
      <c r="BS59" s="80"/>
      <c r="BT59" s="80"/>
      <c r="BU59" s="80"/>
      <c r="BV59" s="80"/>
      <c r="BW59" s="82"/>
      <c r="BX59" s="79"/>
      <c r="BY59" s="79"/>
      <c r="BZ59" s="79"/>
      <c r="CA59" s="79"/>
      <c r="CB59" s="79"/>
      <c r="CC59" s="82"/>
      <c r="CD59" s="82"/>
      <c r="CE59" s="82"/>
      <c r="CF59" s="82"/>
      <c r="CG59" s="82"/>
      <c r="CH59" s="82"/>
      <c r="CI59" s="82"/>
      <c r="CJ59" s="79"/>
      <c r="CK59" s="79"/>
      <c r="CL59" s="79"/>
      <c r="CM59" s="79"/>
      <c r="CN59" s="79"/>
      <c r="CO59" s="79"/>
      <c r="CP59" s="13" t="s">
        <v>210</v>
      </c>
    </row>
    <row r="60" spans="1:94" ht="25.5" customHeight="1">
      <c r="A60" s="98">
        <v>37</v>
      </c>
      <c r="B60" s="178" t="s">
        <v>387</v>
      </c>
      <c r="C60" s="188">
        <v>44985</v>
      </c>
      <c r="D60" s="47" t="s">
        <v>378</v>
      </c>
      <c r="E60" s="126"/>
      <c r="F60" s="127" t="s">
        <v>388</v>
      </c>
      <c r="G60" s="167"/>
      <c r="H60" s="3286">
        <v>3</v>
      </c>
      <c r="I60" s="3284" t="s">
        <v>433</v>
      </c>
      <c r="J60" s="3288">
        <f>(G60*$C$255)+(G60*$C$256)+(H60*$D$255+H60*$D$256)+(G60*$C$258+H60*$D$258)</f>
        <v>6000000</v>
      </c>
      <c r="K60" s="156"/>
      <c r="L60" s="3290">
        <v>300000</v>
      </c>
      <c r="M60" s="157"/>
      <c r="N60" s="3292">
        <f>+SUM(J60:M60)</f>
        <v>6300000</v>
      </c>
      <c r="O60" s="3276" t="s">
        <v>380</v>
      </c>
      <c r="P60" s="145"/>
      <c r="Q60" s="141"/>
      <c r="R60" s="190"/>
      <c r="S60" s="83"/>
      <c r="T60" s="87"/>
      <c r="U60" s="87"/>
      <c r="V60" s="87"/>
      <c r="W60" s="44"/>
      <c r="X60" s="88"/>
      <c r="Y60" s="79"/>
      <c r="Z60" s="79"/>
      <c r="AA60" s="79"/>
      <c r="AB60" s="79"/>
      <c r="AC60" s="86"/>
      <c r="AD60" s="82"/>
      <c r="AE60" s="79"/>
      <c r="AF60" s="88"/>
      <c r="AG60" s="80"/>
      <c r="AH60" s="79"/>
      <c r="AI60" s="79"/>
      <c r="AJ60" s="79"/>
      <c r="AK60" s="80"/>
      <c r="AL60" s="80"/>
      <c r="AM60" s="80"/>
      <c r="AN60" s="79"/>
      <c r="AO60" s="80"/>
      <c r="AP60" s="80"/>
      <c r="AQ60" s="80"/>
      <c r="AR60" s="85"/>
      <c r="AS60" s="85"/>
      <c r="AT60" s="85"/>
      <c r="AU60" s="85"/>
      <c r="AV60" s="85"/>
      <c r="AW60" s="82"/>
      <c r="AX60" s="79"/>
      <c r="AY60" s="82"/>
      <c r="AZ60" s="82"/>
      <c r="BA60" s="86"/>
      <c r="BB60" s="79"/>
      <c r="BC60" s="79"/>
      <c r="BD60" s="79"/>
      <c r="BE60" s="82"/>
      <c r="BF60" s="85"/>
      <c r="BG60" s="79"/>
      <c r="BH60" s="79"/>
      <c r="BI60" s="79"/>
      <c r="BJ60" s="88"/>
      <c r="BK60" s="88"/>
      <c r="BL60" s="79"/>
      <c r="BM60" s="185" t="s">
        <v>108</v>
      </c>
      <c r="BN60" s="90"/>
      <c r="BO60" s="80"/>
      <c r="BP60" s="80"/>
      <c r="BQ60" s="80"/>
      <c r="BR60" s="80"/>
      <c r="BS60" s="80"/>
      <c r="BT60" s="80"/>
      <c r="BU60" s="80"/>
      <c r="BV60" s="80"/>
      <c r="BW60" s="82"/>
      <c r="BX60" s="79"/>
      <c r="BY60" s="79"/>
      <c r="BZ60" s="79"/>
      <c r="CA60" s="79"/>
      <c r="CB60" s="79"/>
      <c r="CC60" s="82"/>
      <c r="CD60" s="82"/>
      <c r="CE60" s="82"/>
      <c r="CF60" s="82"/>
      <c r="CG60" s="82"/>
      <c r="CH60" s="82"/>
      <c r="CI60" s="82"/>
      <c r="CJ60" s="79"/>
      <c r="CK60" s="79"/>
      <c r="CL60" s="79"/>
      <c r="CM60" s="79"/>
      <c r="CN60" s="79"/>
      <c r="CO60" s="79"/>
      <c r="CP60" s="13" t="s">
        <v>210</v>
      </c>
    </row>
    <row r="61" spans="1:94">
      <c r="A61" s="98">
        <v>38</v>
      </c>
      <c r="B61" s="178" t="s">
        <v>435</v>
      </c>
      <c r="C61" s="188">
        <v>44986</v>
      </c>
      <c r="D61" s="47" t="s">
        <v>434</v>
      </c>
      <c r="E61" s="126"/>
      <c r="F61" s="127" t="s">
        <v>388</v>
      </c>
      <c r="G61" s="167"/>
      <c r="H61" s="3287"/>
      <c r="I61" s="3285"/>
      <c r="J61" s="3289"/>
      <c r="K61" s="156"/>
      <c r="L61" s="3291"/>
      <c r="M61" s="157"/>
      <c r="N61" s="3293"/>
      <c r="O61" s="3277"/>
      <c r="P61" s="145"/>
      <c r="Q61" s="141"/>
      <c r="R61" s="190"/>
      <c r="S61" s="83"/>
      <c r="T61" s="87"/>
      <c r="U61" s="87"/>
      <c r="V61" s="87"/>
      <c r="W61" s="44"/>
      <c r="X61" s="88"/>
      <c r="Y61" s="79"/>
      <c r="Z61" s="79"/>
      <c r="AA61" s="79"/>
      <c r="AB61" s="79"/>
      <c r="AC61" s="86"/>
      <c r="AD61" s="82"/>
      <c r="AE61" s="79"/>
      <c r="AF61" s="88"/>
      <c r="AG61" s="80"/>
      <c r="AH61" s="79"/>
      <c r="AI61" s="79"/>
      <c r="AJ61" s="79"/>
      <c r="AK61" s="80"/>
      <c r="AL61" s="80"/>
      <c r="AM61" s="80"/>
      <c r="AN61" s="79"/>
      <c r="AO61" s="80"/>
      <c r="AP61" s="80"/>
      <c r="AQ61" s="80"/>
      <c r="AR61" s="85"/>
      <c r="AS61" s="85"/>
      <c r="AT61" s="85"/>
      <c r="AU61" s="85"/>
      <c r="AV61" s="85"/>
      <c r="AW61" s="82"/>
      <c r="AX61" s="79"/>
      <c r="AY61" s="82"/>
      <c r="AZ61" s="82"/>
      <c r="BA61" s="86"/>
      <c r="BB61" s="79"/>
      <c r="BC61" s="79"/>
      <c r="BD61" s="79"/>
      <c r="BE61" s="82"/>
      <c r="BF61" s="85"/>
      <c r="BG61" s="79"/>
      <c r="BH61" s="79"/>
      <c r="BI61" s="79"/>
      <c r="BJ61" s="88"/>
      <c r="BK61" s="88"/>
      <c r="BL61" s="79"/>
      <c r="BM61" s="185" t="s">
        <v>108</v>
      </c>
      <c r="BN61" s="90"/>
      <c r="BO61" s="80"/>
      <c r="BP61" s="80"/>
      <c r="BQ61" s="80"/>
      <c r="BR61" s="80"/>
      <c r="BS61" s="80"/>
      <c r="BT61" s="80"/>
      <c r="BU61" s="80"/>
      <c r="BV61" s="80"/>
      <c r="BW61" s="82"/>
      <c r="BX61" s="79"/>
      <c r="BY61" s="79"/>
      <c r="BZ61" s="79"/>
      <c r="CA61" s="79"/>
      <c r="CB61" s="79"/>
      <c r="CC61" s="82"/>
      <c r="CD61" s="82"/>
      <c r="CE61" s="82"/>
      <c r="CF61" s="82"/>
      <c r="CG61" s="82"/>
      <c r="CH61" s="82"/>
      <c r="CI61" s="82"/>
      <c r="CJ61" s="79"/>
      <c r="CK61" s="79"/>
      <c r="CL61" s="79"/>
      <c r="CM61" s="79"/>
      <c r="CN61" s="79"/>
      <c r="CO61" s="79"/>
      <c r="CP61" s="13" t="s">
        <v>210</v>
      </c>
    </row>
    <row r="62" spans="1:94">
      <c r="A62" s="98"/>
      <c r="B62" s="3278" t="s">
        <v>436</v>
      </c>
      <c r="C62" s="3279"/>
      <c r="D62" s="3279"/>
      <c r="E62" s="3279"/>
      <c r="F62" s="3279"/>
      <c r="G62" s="3279"/>
      <c r="H62" s="3280"/>
      <c r="I62" s="297"/>
      <c r="J62" s="298"/>
      <c r="K62" s="298"/>
      <c r="L62" s="299"/>
      <c r="M62" s="299"/>
      <c r="N62" s="300"/>
      <c r="O62" s="301"/>
      <c r="P62" s="302"/>
      <c r="Q62" s="303"/>
      <c r="R62" s="304"/>
      <c r="S62" s="305"/>
      <c r="T62" s="302"/>
      <c r="U62" s="302"/>
      <c r="V62" s="302"/>
      <c r="W62" s="306"/>
      <c r="X62" s="307"/>
      <c r="Y62" s="308"/>
      <c r="Z62" s="308"/>
      <c r="AA62" s="308"/>
      <c r="AB62" s="308"/>
      <c r="AC62" s="309"/>
      <c r="AD62" s="310"/>
      <c r="AE62" s="308"/>
      <c r="AF62" s="307"/>
      <c r="AG62" s="311"/>
      <c r="AH62" s="308"/>
      <c r="AI62" s="308"/>
      <c r="AJ62" s="308"/>
      <c r="AK62" s="311"/>
      <c r="AL62" s="311"/>
      <c r="AM62" s="311"/>
      <c r="AN62" s="308"/>
      <c r="AO62" s="311"/>
      <c r="AP62" s="311"/>
      <c r="AQ62" s="311"/>
      <c r="AR62" s="312"/>
      <c r="AS62" s="312"/>
      <c r="AT62" s="312"/>
      <c r="AU62" s="312"/>
      <c r="AV62" s="312"/>
      <c r="AW62" s="310"/>
      <c r="AX62" s="308"/>
      <c r="AY62" s="310"/>
      <c r="AZ62" s="310"/>
      <c r="BA62" s="313"/>
      <c r="BB62" s="308"/>
      <c r="BC62" s="308"/>
      <c r="BD62" s="308"/>
      <c r="BE62" s="310"/>
      <c r="BF62" s="312"/>
      <c r="BG62" s="308"/>
      <c r="BH62" s="308"/>
      <c r="BI62" s="308"/>
      <c r="BJ62" s="307"/>
      <c r="BK62" s="307"/>
      <c r="BL62" s="308"/>
      <c r="BM62" s="186"/>
      <c r="BN62" s="97"/>
      <c r="BO62" s="94"/>
      <c r="BP62" s="94"/>
      <c r="BQ62" s="94"/>
      <c r="BR62" s="94"/>
      <c r="BS62" s="94"/>
      <c r="BT62" s="94"/>
      <c r="BU62" s="94"/>
      <c r="BV62" s="94"/>
      <c r="BW62" s="93"/>
      <c r="BX62" s="92"/>
      <c r="BY62" s="92"/>
      <c r="BZ62" s="92"/>
      <c r="CA62" s="92"/>
      <c r="CB62" s="92"/>
      <c r="CC62" s="93"/>
      <c r="CD62" s="93"/>
      <c r="CE62" s="93"/>
      <c r="CF62" s="93"/>
      <c r="CG62" s="93"/>
      <c r="CH62" s="93"/>
      <c r="CI62" s="93"/>
      <c r="CJ62" s="92"/>
      <c r="CK62" s="92"/>
      <c r="CL62" s="92"/>
      <c r="CM62" s="92"/>
      <c r="CN62" s="92"/>
      <c r="CO62" s="92"/>
    </row>
    <row r="63" spans="1:94">
      <c r="A63" s="98">
        <v>1</v>
      </c>
      <c r="B63" s="178" t="s">
        <v>437</v>
      </c>
      <c r="C63" s="361">
        <v>44929</v>
      </c>
      <c r="D63" s="47" t="s">
        <v>455</v>
      </c>
      <c r="E63" s="126"/>
      <c r="F63" s="154" t="s">
        <v>535</v>
      </c>
      <c r="G63" s="167"/>
      <c r="H63" s="167">
        <v>1</v>
      </c>
      <c r="I63" s="170" t="s">
        <v>473</v>
      </c>
      <c r="J63" s="155"/>
      <c r="K63" s="181">
        <f>SUM(G63:I63)*250000</f>
        <v>250000</v>
      </c>
      <c r="L63" s="182">
        <v>300000</v>
      </c>
      <c r="M63" s="157"/>
      <c r="N63" s="183">
        <f>+SUM(K63:M63)</f>
        <v>550000</v>
      </c>
      <c r="O63" s="177" t="s">
        <v>380</v>
      </c>
      <c r="P63" s="145"/>
      <c r="Q63" s="141"/>
      <c r="R63" s="190"/>
      <c r="S63" s="83"/>
      <c r="T63" s="87"/>
      <c r="U63" s="87"/>
      <c r="V63" s="87"/>
      <c r="W63" s="44"/>
      <c r="X63" s="88"/>
      <c r="Y63" s="79"/>
      <c r="Z63" s="79"/>
      <c r="AA63" s="79"/>
      <c r="AB63" s="79"/>
      <c r="AC63" s="86"/>
      <c r="AD63" s="82"/>
      <c r="AE63" s="79"/>
      <c r="AF63" s="88"/>
      <c r="AG63" s="80"/>
      <c r="AH63" s="79"/>
      <c r="AI63" s="79"/>
      <c r="AJ63" s="79"/>
      <c r="AK63" s="80"/>
      <c r="AL63" s="80"/>
      <c r="AM63" s="80"/>
      <c r="AN63" s="79"/>
      <c r="AO63" s="80"/>
      <c r="AP63" s="80"/>
      <c r="AQ63" s="80"/>
      <c r="AR63" s="85"/>
      <c r="AS63" s="85"/>
      <c r="AT63" s="85"/>
      <c r="AU63" s="85"/>
      <c r="AV63" s="85"/>
      <c r="AW63" s="82"/>
      <c r="AX63" s="79"/>
      <c r="AY63" s="82"/>
      <c r="AZ63" s="82"/>
      <c r="BA63" s="86"/>
      <c r="BB63" s="79"/>
      <c r="BC63" s="79"/>
      <c r="BD63" s="79"/>
      <c r="BE63" s="82"/>
      <c r="BF63" s="85"/>
      <c r="BG63" s="79"/>
      <c r="BH63" s="79"/>
      <c r="BI63" s="79"/>
      <c r="BJ63" s="88"/>
      <c r="BK63" s="88"/>
      <c r="BL63" s="79"/>
      <c r="BM63" s="185" t="s">
        <v>108</v>
      </c>
      <c r="BN63" s="90"/>
      <c r="BO63" s="80"/>
      <c r="BP63" s="80"/>
      <c r="BQ63" s="80"/>
      <c r="BR63" s="80"/>
      <c r="BS63" s="80"/>
      <c r="BT63" s="80"/>
      <c r="BU63" s="80"/>
      <c r="BV63" s="80"/>
      <c r="BW63" s="82"/>
      <c r="BX63" s="79"/>
      <c r="BY63" s="79"/>
      <c r="BZ63" s="79"/>
      <c r="CA63" s="79"/>
      <c r="CB63" s="79"/>
      <c r="CC63" s="82"/>
      <c r="CD63" s="82"/>
      <c r="CE63" s="82"/>
      <c r="CF63" s="82"/>
      <c r="CG63" s="82"/>
      <c r="CH63" s="82"/>
      <c r="CI63" s="82"/>
      <c r="CJ63" s="79"/>
      <c r="CK63" s="79"/>
      <c r="CL63" s="79"/>
      <c r="CM63" s="79"/>
      <c r="CN63" s="79"/>
      <c r="CO63" s="79"/>
      <c r="CP63" s="13" t="s">
        <v>210</v>
      </c>
    </row>
    <row r="64" spans="1:94">
      <c r="A64" s="98">
        <v>2</v>
      </c>
      <c r="B64" s="178" t="s">
        <v>438</v>
      </c>
      <c r="C64" s="361">
        <v>44960</v>
      </c>
      <c r="D64" s="47" t="s">
        <v>456</v>
      </c>
      <c r="E64" s="126"/>
      <c r="F64" s="154" t="s">
        <v>535</v>
      </c>
      <c r="G64" s="167"/>
      <c r="H64" s="167"/>
      <c r="I64" s="170" t="s">
        <v>102</v>
      </c>
      <c r="J64" s="155"/>
      <c r="K64" s="181">
        <v>300000</v>
      </c>
      <c r="L64" s="182">
        <v>300000</v>
      </c>
      <c r="M64" s="157"/>
      <c r="N64" s="183">
        <f>+SUM(K64:M64)</f>
        <v>600000</v>
      </c>
      <c r="O64" s="177" t="s">
        <v>485</v>
      </c>
      <c r="P64" s="145"/>
      <c r="Q64" s="141"/>
      <c r="R64" s="190"/>
      <c r="S64" s="83"/>
      <c r="T64" s="87"/>
      <c r="U64" s="87"/>
      <c r="V64" s="87"/>
      <c r="W64" s="44"/>
      <c r="X64" s="88"/>
      <c r="Y64" s="79"/>
      <c r="Z64" s="79"/>
      <c r="AA64" s="79"/>
      <c r="AB64" s="79"/>
      <c r="AC64" s="86"/>
      <c r="AD64" s="82"/>
      <c r="AE64" s="79"/>
      <c r="AF64" s="88"/>
      <c r="AG64" s="80"/>
      <c r="AH64" s="79"/>
      <c r="AI64" s="79"/>
      <c r="AJ64" s="79"/>
      <c r="AK64" s="80"/>
      <c r="AL64" s="80"/>
      <c r="AM64" s="80"/>
      <c r="AN64" s="79"/>
      <c r="AO64" s="80"/>
      <c r="AP64" s="80"/>
      <c r="AQ64" s="80"/>
      <c r="AR64" s="85"/>
      <c r="AS64" s="85"/>
      <c r="AT64" s="85"/>
      <c r="AU64" s="85"/>
      <c r="AV64" s="85"/>
      <c r="AW64" s="82"/>
      <c r="AX64" s="79"/>
      <c r="AY64" s="82"/>
      <c r="AZ64" s="82"/>
      <c r="BA64" s="86"/>
      <c r="BB64" s="79"/>
      <c r="BC64" s="79"/>
      <c r="BD64" s="79"/>
      <c r="BE64" s="82"/>
      <c r="BF64" s="85"/>
      <c r="BG64" s="79"/>
      <c r="BH64" s="79"/>
      <c r="BI64" s="79"/>
      <c r="BJ64" s="88"/>
      <c r="BK64" s="88"/>
      <c r="BL64" s="79"/>
      <c r="BM64" s="185" t="s">
        <v>108</v>
      </c>
      <c r="BN64" s="90"/>
      <c r="BO64" s="80"/>
      <c r="BP64" s="80"/>
      <c r="BQ64" s="80"/>
      <c r="BR64" s="80"/>
      <c r="BS64" s="80"/>
      <c r="BT64" s="80"/>
      <c r="BU64" s="80"/>
      <c r="BV64" s="80"/>
      <c r="BW64" s="82"/>
      <c r="BX64" s="79"/>
      <c r="BY64" s="79"/>
      <c r="BZ64" s="79"/>
      <c r="CA64" s="79"/>
      <c r="CB64" s="79"/>
      <c r="CC64" s="82"/>
      <c r="CD64" s="82"/>
      <c r="CE64" s="82"/>
      <c r="CF64" s="82"/>
      <c r="CG64" s="82"/>
      <c r="CH64" s="82"/>
      <c r="CI64" s="82"/>
      <c r="CJ64" s="79"/>
      <c r="CK64" s="79"/>
      <c r="CL64" s="79"/>
      <c r="CM64" s="79"/>
      <c r="CN64" s="79"/>
      <c r="CO64" s="79"/>
      <c r="CP64" s="13" t="s">
        <v>210</v>
      </c>
    </row>
    <row r="65" spans="1:94">
      <c r="A65" s="98">
        <v>3</v>
      </c>
      <c r="B65" s="178" t="s">
        <v>439</v>
      </c>
      <c r="C65" s="361">
        <v>44988</v>
      </c>
      <c r="D65" s="47" t="s">
        <v>457</v>
      </c>
      <c r="E65" s="126"/>
      <c r="F65" s="154" t="s">
        <v>535</v>
      </c>
      <c r="G65" s="167"/>
      <c r="H65" s="167">
        <v>1</v>
      </c>
      <c r="I65" s="170" t="s">
        <v>474</v>
      </c>
      <c r="J65" s="155"/>
      <c r="K65" s="181">
        <f>SUM(G65:I65)*250000</f>
        <v>250000</v>
      </c>
      <c r="L65" s="182">
        <v>300000</v>
      </c>
      <c r="M65" s="157"/>
      <c r="N65" s="183">
        <f t="shared" ref="N65:N78" si="9">+SUM(K65:M65)</f>
        <v>550000</v>
      </c>
      <c r="O65" s="177">
        <v>914868662</v>
      </c>
      <c r="P65" s="145"/>
      <c r="Q65" s="141"/>
      <c r="R65" s="190"/>
      <c r="S65" s="83"/>
      <c r="T65" s="87"/>
      <c r="U65" s="87"/>
      <c r="V65" s="87"/>
      <c r="W65" s="44"/>
      <c r="X65" s="88"/>
      <c r="Y65" s="79"/>
      <c r="Z65" s="79"/>
      <c r="AA65" s="79"/>
      <c r="AB65" s="79"/>
      <c r="AC65" s="86"/>
      <c r="AD65" s="82"/>
      <c r="AE65" s="79"/>
      <c r="AF65" s="88"/>
      <c r="AG65" s="80"/>
      <c r="AH65" s="79"/>
      <c r="AI65" s="79"/>
      <c r="AJ65" s="79"/>
      <c r="AK65" s="80"/>
      <c r="AL65" s="80"/>
      <c r="AM65" s="80"/>
      <c r="AN65" s="79"/>
      <c r="AO65" s="80"/>
      <c r="AP65" s="80"/>
      <c r="AQ65" s="80"/>
      <c r="AR65" s="85"/>
      <c r="AS65" s="85"/>
      <c r="AT65" s="85"/>
      <c r="AU65" s="85"/>
      <c r="AV65" s="85"/>
      <c r="AW65" s="82"/>
      <c r="AX65" s="79"/>
      <c r="AY65" s="82"/>
      <c r="AZ65" s="82"/>
      <c r="BA65" s="86"/>
      <c r="BB65" s="79"/>
      <c r="BC65" s="79"/>
      <c r="BD65" s="79"/>
      <c r="BE65" s="82"/>
      <c r="BF65" s="85"/>
      <c r="BG65" s="79"/>
      <c r="BH65" s="79"/>
      <c r="BI65" s="79"/>
      <c r="BJ65" s="88"/>
      <c r="BK65" s="88"/>
      <c r="BL65" s="79"/>
      <c r="BM65" s="185" t="s">
        <v>108</v>
      </c>
      <c r="BN65" s="90"/>
      <c r="BO65" s="80"/>
      <c r="BP65" s="80"/>
      <c r="BQ65" s="80"/>
      <c r="BR65" s="80"/>
      <c r="BS65" s="80"/>
      <c r="BT65" s="80"/>
      <c r="BU65" s="80"/>
      <c r="BV65" s="80"/>
      <c r="BW65" s="82"/>
      <c r="BX65" s="79"/>
      <c r="BY65" s="79"/>
      <c r="BZ65" s="79"/>
      <c r="CA65" s="79"/>
      <c r="CB65" s="79"/>
      <c r="CC65" s="82"/>
      <c r="CD65" s="82"/>
      <c r="CE65" s="82"/>
      <c r="CF65" s="82"/>
      <c r="CG65" s="82"/>
      <c r="CH65" s="82"/>
      <c r="CI65" s="82"/>
      <c r="CJ65" s="79"/>
      <c r="CK65" s="79"/>
      <c r="CL65" s="79"/>
      <c r="CM65" s="79"/>
      <c r="CN65" s="79"/>
      <c r="CO65" s="79"/>
      <c r="CP65" s="13" t="s">
        <v>210</v>
      </c>
    </row>
    <row r="66" spans="1:94">
      <c r="A66" s="98">
        <v>4</v>
      </c>
      <c r="B66" s="178" t="s">
        <v>440</v>
      </c>
      <c r="C66" s="361">
        <v>45019</v>
      </c>
      <c r="D66" s="47" t="s">
        <v>468</v>
      </c>
      <c r="E66" s="126"/>
      <c r="F66" s="154" t="s">
        <v>535</v>
      </c>
      <c r="G66" s="167"/>
      <c r="H66" s="167">
        <v>1</v>
      </c>
      <c r="I66" s="170" t="s">
        <v>475</v>
      </c>
      <c r="J66" s="155"/>
      <c r="K66" s="181">
        <f t="shared" ref="K66:K78" si="10">SUM(G66:I66)*250000</f>
        <v>250000</v>
      </c>
      <c r="L66" s="182">
        <v>300000</v>
      </c>
      <c r="M66" s="157"/>
      <c r="N66" s="183">
        <f t="shared" si="9"/>
        <v>550000</v>
      </c>
      <c r="O66" s="177" t="s">
        <v>486</v>
      </c>
      <c r="P66" s="145"/>
      <c r="Q66" s="141"/>
      <c r="R66" s="190"/>
      <c r="S66" s="83"/>
      <c r="T66" s="87"/>
      <c r="U66" s="87"/>
      <c r="V66" s="87"/>
      <c r="W66" s="44"/>
      <c r="X66" s="88"/>
      <c r="Y66" s="79"/>
      <c r="Z66" s="79"/>
      <c r="AA66" s="79"/>
      <c r="AB66" s="79"/>
      <c r="AC66" s="86"/>
      <c r="AD66" s="82"/>
      <c r="AE66" s="79"/>
      <c r="AF66" s="88"/>
      <c r="AG66" s="80"/>
      <c r="AH66" s="79"/>
      <c r="AI66" s="79"/>
      <c r="AJ66" s="79"/>
      <c r="AK66" s="80"/>
      <c r="AL66" s="80"/>
      <c r="AM66" s="80"/>
      <c r="AN66" s="79"/>
      <c r="AO66" s="80"/>
      <c r="AP66" s="80"/>
      <c r="AQ66" s="80"/>
      <c r="AR66" s="85"/>
      <c r="AS66" s="85"/>
      <c r="AT66" s="85"/>
      <c r="AU66" s="85"/>
      <c r="AV66" s="85"/>
      <c r="AW66" s="82"/>
      <c r="AX66" s="79"/>
      <c r="AY66" s="82"/>
      <c r="AZ66" s="82"/>
      <c r="BA66" s="86"/>
      <c r="BB66" s="79"/>
      <c r="BC66" s="79"/>
      <c r="BD66" s="79"/>
      <c r="BE66" s="82"/>
      <c r="BF66" s="85"/>
      <c r="BG66" s="79"/>
      <c r="BH66" s="79"/>
      <c r="BI66" s="79"/>
      <c r="BJ66" s="88"/>
      <c r="BK66" s="88"/>
      <c r="BL66" s="79"/>
      <c r="BM66" s="185" t="s">
        <v>108</v>
      </c>
      <c r="BN66" s="90"/>
      <c r="BO66" s="80"/>
      <c r="BP66" s="80"/>
      <c r="BQ66" s="80"/>
      <c r="BR66" s="80"/>
      <c r="BS66" s="80"/>
      <c r="BT66" s="80"/>
      <c r="BU66" s="80"/>
      <c r="BV66" s="80"/>
      <c r="BW66" s="82"/>
      <c r="BX66" s="79"/>
      <c r="BY66" s="79"/>
      <c r="BZ66" s="79"/>
      <c r="CA66" s="79"/>
      <c r="CB66" s="79"/>
      <c r="CC66" s="82"/>
      <c r="CD66" s="82"/>
      <c r="CE66" s="82"/>
      <c r="CF66" s="82"/>
      <c r="CG66" s="82"/>
      <c r="CH66" s="82"/>
      <c r="CI66" s="82"/>
      <c r="CJ66" s="79"/>
      <c r="CK66" s="79"/>
      <c r="CL66" s="79"/>
      <c r="CM66" s="79"/>
      <c r="CN66" s="79"/>
      <c r="CO66" s="79"/>
      <c r="CP66" s="13" t="s">
        <v>210</v>
      </c>
    </row>
    <row r="67" spans="1:94">
      <c r="A67" s="98">
        <v>5</v>
      </c>
      <c r="B67" s="178" t="s">
        <v>441</v>
      </c>
      <c r="C67" s="361">
        <v>45080</v>
      </c>
      <c r="D67" s="47" t="s">
        <v>458</v>
      </c>
      <c r="E67" s="126"/>
      <c r="F67" s="154" t="s">
        <v>535</v>
      </c>
      <c r="G67" s="167">
        <v>1</v>
      </c>
      <c r="H67" s="167"/>
      <c r="I67" s="170" t="s">
        <v>476</v>
      </c>
      <c r="J67" s="155"/>
      <c r="K67" s="181">
        <f t="shared" si="10"/>
        <v>250000</v>
      </c>
      <c r="L67" s="157"/>
      <c r="M67" s="157"/>
      <c r="N67" s="183">
        <f t="shared" si="9"/>
        <v>250000</v>
      </c>
      <c r="O67" s="177" t="s">
        <v>487</v>
      </c>
      <c r="P67" s="145"/>
      <c r="Q67" s="141"/>
      <c r="R67" s="190"/>
      <c r="S67" s="83"/>
      <c r="T67" s="87"/>
      <c r="U67" s="87"/>
      <c r="V67" s="87"/>
      <c r="W67" s="44"/>
      <c r="X67" s="88"/>
      <c r="Y67" s="79"/>
      <c r="Z67" s="79"/>
      <c r="AA67" s="79"/>
      <c r="AB67" s="79"/>
      <c r="AC67" s="86"/>
      <c r="AD67" s="82"/>
      <c r="AE67" s="79"/>
      <c r="AF67" s="88"/>
      <c r="AG67" s="80"/>
      <c r="AH67" s="79"/>
      <c r="AI67" s="79"/>
      <c r="AJ67" s="79"/>
      <c r="AK67" s="80"/>
      <c r="AL67" s="80"/>
      <c r="AM67" s="80"/>
      <c r="AN67" s="79"/>
      <c r="AO67" s="80"/>
      <c r="AP67" s="80"/>
      <c r="AQ67" s="80"/>
      <c r="AR67" s="85"/>
      <c r="AS67" s="85"/>
      <c r="AT67" s="85"/>
      <c r="AU67" s="85"/>
      <c r="AV67" s="85"/>
      <c r="AW67" s="82"/>
      <c r="AX67" s="79"/>
      <c r="AY67" s="82"/>
      <c r="AZ67" s="82"/>
      <c r="BA67" s="86"/>
      <c r="BB67" s="79"/>
      <c r="BC67" s="79"/>
      <c r="BD67" s="79"/>
      <c r="BE67" s="82"/>
      <c r="BF67" s="85"/>
      <c r="BG67" s="79"/>
      <c r="BH67" s="79"/>
      <c r="BI67" s="79"/>
      <c r="BJ67" s="88"/>
      <c r="BK67" s="88"/>
      <c r="BL67" s="79"/>
      <c r="BM67" s="185" t="s">
        <v>108</v>
      </c>
      <c r="BN67" s="90"/>
      <c r="BO67" s="80"/>
      <c r="BP67" s="80"/>
      <c r="BQ67" s="80"/>
      <c r="BR67" s="80"/>
      <c r="BS67" s="80"/>
      <c r="BT67" s="80"/>
      <c r="BU67" s="80"/>
      <c r="BV67" s="80"/>
      <c r="BW67" s="82"/>
      <c r="BX67" s="79"/>
      <c r="BY67" s="79"/>
      <c r="BZ67" s="79"/>
      <c r="CA67" s="79"/>
      <c r="CB67" s="79"/>
      <c r="CC67" s="82"/>
      <c r="CD67" s="82"/>
      <c r="CE67" s="82"/>
      <c r="CF67" s="82"/>
      <c r="CG67" s="82"/>
      <c r="CH67" s="82"/>
      <c r="CI67" s="82"/>
      <c r="CJ67" s="79"/>
      <c r="CK67" s="79"/>
      <c r="CL67" s="79"/>
      <c r="CM67" s="79"/>
      <c r="CN67" s="79"/>
      <c r="CO67" s="79"/>
      <c r="CP67" s="13" t="s">
        <v>210</v>
      </c>
    </row>
    <row r="68" spans="1:94">
      <c r="A68" s="98">
        <v>6</v>
      </c>
      <c r="B68" s="178" t="s">
        <v>442</v>
      </c>
      <c r="C68" s="361">
        <v>45080</v>
      </c>
      <c r="D68" s="47" t="s">
        <v>469</v>
      </c>
      <c r="E68" s="126"/>
      <c r="F68" s="154" t="s">
        <v>535</v>
      </c>
      <c r="G68" s="167">
        <v>1</v>
      </c>
      <c r="H68" s="167"/>
      <c r="I68" s="170" t="s">
        <v>477</v>
      </c>
      <c r="J68" s="155"/>
      <c r="K68" s="181">
        <f t="shared" si="10"/>
        <v>250000</v>
      </c>
      <c r="L68" s="182">
        <v>300000</v>
      </c>
      <c r="M68" s="157"/>
      <c r="N68" s="183">
        <f t="shared" si="9"/>
        <v>550000</v>
      </c>
      <c r="O68" s="177" t="s">
        <v>488</v>
      </c>
      <c r="P68" s="145"/>
      <c r="Q68" s="141"/>
      <c r="R68" s="190"/>
      <c r="S68" s="83"/>
      <c r="T68" s="87"/>
      <c r="U68" s="87"/>
      <c r="V68" s="87"/>
      <c r="W68" s="44"/>
      <c r="X68" s="88"/>
      <c r="Y68" s="79"/>
      <c r="Z68" s="79"/>
      <c r="AA68" s="79"/>
      <c r="AB68" s="79"/>
      <c r="AC68" s="86"/>
      <c r="AD68" s="82"/>
      <c r="AE68" s="79"/>
      <c r="AF68" s="88"/>
      <c r="AG68" s="80"/>
      <c r="AH68" s="79"/>
      <c r="AI68" s="79"/>
      <c r="AJ68" s="79"/>
      <c r="AK68" s="80"/>
      <c r="AL68" s="80"/>
      <c r="AM68" s="80"/>
      <c r="AN68" s="79"/>
      <c r="AO68" s="80"/>
      <c r="AP68" s="80"/>
      <c r="AQ68" s="80"/>
      <c r="AR68" s="85"/>
      <c r="AS68" s="85"/>
      <c r="AT68" s="85"/>
      <c r="AU68" s="85"/>
      <c r="AV68" s="85"/>
      <c r="AW68" s="82"/>
      <c r="AX68" s="79"/>
      <c r="AY68" s="82"/>
      <c r="AZ68" s="82"/>
      <c r="BA68" s="86"/>
      <c r="BB68" s="79"/>
      <c r="BC68" s="79"/>
      <c r="BD68" s="79"/>
      <c r="BE68" s="82"/>
      <c r="BF68" s="85"/>
      <c r="BG68" s="79"/>
      <c r="BH68" s="79"/>
      <c r="BI68" s="79"/>
      <c r="BJ68" s="88"/>
      <c r="BK68" s="88"/>
      <c r="BL68" s="79"/>
      <c r="BM68" s="185" t="s">
        <v>108</v>
      </c>
      <c r="BN68" s="90"/>
      <c r="BO68" s="80"/>
      <c r="BP68" s="80"/>
      <c r="BQ68" s="80"/>
      <c r="BR68" s="80"/>
      <c r="BS68" s="80"/>
      <c r="BT68" s="80"/>
      <c r="BU68" s="80"/>
      <c r="BV68" s="80"/>
      <c r="BW68" s="82"/>
      <c r="BX68" s="79"/>
      <c r="BY68" s="79"/>
      <c r="BZ68" s="79"/>
      <c r="CA68" s="79"/>
      <c r="CB68" s="79"/>
      <c r="CC68" s="82"/>
      <c r="CD68" s="82"/>
      <c r="CE68" s="82"/>
      <c r="CF68" s="82"/>
      <c r="CG68" s="82"/>
      <c r="CH68" s="82"/>
      <c r="CI68" s="82"/>
      <c r="CJ68" s="79"/>
      <c r="CK68" s="79"/>
      <c r="CL68" s="79"/>
      <c r="CM68" s="79"/>
      <c r="CN68" s="79"/>
      <c r="CO68" s="79"/>
      <c r="CP68" s="13" t="s">
        <v>210</v>
      </c>
    </row>
    <row r="69" spans="1:94">
      <c r="A69" s="98">
        <v>7</v>
      </c>
      <c r="B69" s="178" t="s">
        <v>443</v>
      </c>
      <c r="C69" s="361">
        <v>45110</v>
      </c>
      <c r="D69" s="47" t="s">
        <v>459</v>
      </c>
      <c r="E69" s="126"/>
      <c r="F69" s="154" t="s">
        <v>535</v>
      </c>
      <c r="G69" s="167"/>
      <c r="H69" s="167"/>
      <c r="I69" s="170" t="s">
        <v>102</v>
      </c>
      <c r="J69" s="155"/>
      <c r="K69" s="181">
        <v>300000</v>
      </c>
      <c r="L69" s="157"/>
      <c r="M69" s="157"/>
      <c r="N69" s="183">
        <f t="shared" si="9"/>
        <v>300000</v>
      </c>
      <c r="O69" s="177" t="s">
        <v>489</v>
      </c>
      <c r="P69" s="145"/>
      <c r="Q69" s="141"/>
      <c r="R69" s="190"/>
      <c r="S69" s="83"/>
      <c r="T69" s="87"/>
      <c r="U69" s="87"/>
      <c r="V69" s="87"/>
      <c r="W69" s="44"/>
      <c r="X69" s="88"/>
      <c r="Y69" s="79"/>
      <c r="Z69" s="79"/>
      <c r="AA69" s="79"/>
      <c r="AB69" s="79"/>
      <c r="AC69" s="86"/>
      <c r="AD69" s="82"/>
      <c r="AE69" s="79"/>
      <c r="AF69" s="88"/>
      <c r="AG69" s="80"/>
      <c r="AH69" s="79"/>
      <c r="AI69" s="79"/>
      <c r="AJ69" s="79"/>
      <c r="AK69" s="80"/>
      <c r="AL69" s="80"/>
      <c r="AM69" s="80"/>
      <c r="AN69" s="79"/>
      <c r="AO69" s="80"/>
      <c r="AP69" s="80"/>
      <c r="AQ69" s="80"/>
      <c r="AR69" s="85"/>
      <c r="AS69" s="85"/>
      <c r="AT69" s="85"/>
      <c r="AU69" s="85"/>
      <c r="AV69" s="85"/>
      <c r="AW69" s="82"/>
      <c r="AX69" s="79"/>
      <c r="AY69" s="82"/>
      <c r="AZ69" s="82"/>
      <c r="BA69" s="86"/>
      <c r="BB69" s="79"/>
      <c r="BC69" s="79"/>
      <c r="BD69" s="79"/>
      <c r="BE69" s="82"/>
      <c r="BF69" s="85"/>
      <c r="BG69" s="79"/>
      <c r="BH69" s="79"/>
      <c r="BI69" s="79"/>
      <c r="BJ69" s="88"/>
      <c r="BK69" s="88"/>
      <c r="BL69" s="79"/>
      <c r="BM69" s="185" t="s">
        <v>108</v>
      </c>
      <c r="BN69" s="90"/>
      <c r="BO69" s="80"/>
      <c r="BP69" s="80"/>
      <c r="BQ69" s="80"/>
      <c r="BR69" s="80"/>
      <c r="BS69" s="80"/>
      <c r="BT69" s="80"/>
      <c r="BU69" s="80"/>
      <c r="BV69" s="80"/>
      <c r="BW69" s="82"/>
      <c r="BX69" s="79"/>
      <c r="BY69" s="79"/>
      <c r="BZ69" s="79"/>
      <c r="CA69" s="79"/>
      <c r="CB69" s="79"/>
      <c r="CC69" s="82"/>
      <c r="CD69" s="82"/>
      <c r="CE69" s="82"/>
      <c r="CF69" s="82"/>
      <c r="CG69" s="82"/>
      <c r="CH69" s="82"/>
      <c r="CI69" s="82"/>
      <c r="CJ69" s="79"/>
      <c r="CK69" s="79"/>
      <c r="CL69" s="79"/>
      <c r="CM69" s="79"/>
      <c r="CN69" s="79"/>
      <c r="CO69" s="79"/>
      <c r="CP69" s="13" t="s">
        <v>210</v>
      </c>
    </row>
    <row r="70" spans="1:94" ht="27" customHeight="1">
      <c r="A70" s="98">
        <v>8</v>
      </c>
      <c r="B70" s="178" t="s">
        <v>444</v>
      </c>
      <c r="C70" s="361">
        <v>45141</v>
      </c>
      <c r="D70" s="47" t="s">
        <v>460</v>
      </c>
      <c r="E70" s="126"/>
      <c r="F70" s="154" t="s">
        <v>535</v>
      </c>
      <c r="G70" s="167"/>
      <c r="H70" s="167">
        <v>2</v>
      </c>
      <c r="I70" s="170" t="s">
        <v>482</v>
      </c>
      <c r="J70" s="155"/>
      <c r="K70" s="181">
        <f t="shared" si="10"/>
        <v>500000</v>
      </c>
      <c r="L70" s="182">
        <v>300000</v>
      </c>
      <c r="M70" s="157"/>
      <c r="N70" s="183">
        <f t="shared" si="9"/>
        <v>800000</v>
      </c>
      <c r="O70" s="177" t="s">
        <v>490</v>
      </c>
      <c r="P70" s="145"/>
      <c r="Q70" s="141"/>
      <c r="R70" s="190"/>
      <c r="S70" s="83"/>
      <c r="T70" s="87"/>
      <c r="U70" s="87"/>
      <c r="V70" s="87"/>
      <c r="W70" s="44"/>
      <c r="X70" s="88"/>
      <c r="Y70" s="79"/>
      <c r="Z70" s="79"/>
      <c r="AA70" s="79"/>
      <c r="AB70" s="79"/>
      <c r="AC70" s="86"/>
      <c r="AD70" s="82"/>
      <c r="AE70" s="79"/>
      <c r="AF70" s="88"/>
      <c r="AG70" s="80"/>
      <c r="AH70" s="79"/>
      <c r="AI70" s="79"/>
      <c r="AJ70" s="79"/>
      <c r="AK70" s="80"/>
      <c r="AL70" s="80"/>
      <c r="AM70" s="80"/>
      <c r="AN70" s="79"/>
      <c r="AO70" s="80"/>
      <c r="AP70" s="80"/>
      <c r="AQ70" s="80"/>
      <c r="AR70" s="85"/>
      <c r="AS70" s="85"/>
      <c r="AT70" s="85"/>
      <c r="AU70" s="85"/>
      <c r="AV70" s="85"/>
      <c r="AW70" s="82"/>
      <c r="AX70" s="79"/>
      <c r="AY70" s="82"/>
      <c r="AZ70" s="82"/>
      <c r="BA70" s="86"/>
      <c r="BB70" s="79"/>
      <c r="BC70" s="79"/>
      <c r="BD70" s="79"/>
      <c r="BE70" s="82"/>
      <c r="BF70" s="85"/>
      <c r="BG70" s="79"/>
      <c r="BH70" s="79"/>
      <c r="BI70" s="79"/>
      <c r="BJ70" s="88"/>
      <c r="BK70" s="88"/>
      <c r="BL70" s="79"/>
      <c r="BM70" s="185" t="s">
        <v>108</v>
      </c>
      <c r="BN70" s="90"/>
      <c r="BO70" s="80"/>
      <c r="BP70" s="80"/>
      <c r="BQ70" s="80"/>
      <c r="BR70" s="80"/>
      <c r="BS70" s="80"/>
      <c r="BT70" s="80"/>
      <c r="BU70" s="80"/>
      <c r="BV70" s="80"/>
      <c r="BW70" s="82"/>
      <c r="BX70" s="79"/>
      <c r="BY70" s="79"/>
      <c r="BZ70" s="79"/>
      <c r="CA70" s="79"/>
      <c r="CB70" s="79"/>
      <c r="CC70" s="82"/>
      <c r="CD70" s="82"/>
      <c r="CE70" s="82"/>
      <c r="CF70" s="82"/>
      <c r="CG70" s="82"/>
      <c r="CH70" s="82"/>
      <c r="CI70" s="82"/>
      <c r="CJ70" s="79"/>
      <c r="CK70" s="79"/>
      <c r="CL70" s="79"/>
      <c r="CM70" s="79"/>
      <c r="CN70" s="79"/>
      <c r="CO70" s="79"/>
      <c r="CP70" s="13" t="s">
        <v>210</v>
      </c>
    </row>
    <row r="71" spans="1:94" ht="12.75" customHeight="1">
      <c r="A71" s="98">
        <v>9</v>
      </c>
      <c r="B71" s="178" t="s">
        <v>445</v>
      </c>
      <c r="C71" s="361">
        <v>45141</v>
      </c>
      <c r="D71" s="47" t="s">
        <v>461</v>
      </c>
      <c r="E71" s="126"/>
      <c r="F71" s="154" t="s">
        <v>535</v>
      </c>
      <c r="G71" s="167"/>
      <c r="H71" s="167">
        <v>1</v>
      </c>
      <c r="I71" s="170" t="s">
        <v>328</v>
      </c>
      <c r="J71" s="155"/>
      <c r="K71" s="181">
        <f t="shared" si="10"/>
        <v>250000</v>
      </c>
      <c r="L71" s="182">
        <v>300000</v>
      </c>
      <c r="M71" s="157"/>
      <c r="N71" s="183">
        <f t="shared" si="9"/>
        <v>550000</v>
      </c>
      <c r="O71" s="177" t="s">
        <v>321</v>
      </c>
      <c r="P71" s="145"/>
      <c r="Q71" s="141"/>
      <c r="R71" s="190"/>
      <c r="S71" s="83"/>
      <c r="T71" s="87"/>
      <c r="U71" s="87"/>
      <c r="V71" s="87"/>
      <c r="W71" s="44"/>
      <c r="X71" s="88"/>
      <c r="Y71" s="79"/>
      <c r="Z71" s="79"/>
      <c r="AA71" s="79"/>
      <c r="AB71" s="79"/>
      <c r="AC71" s="86"/>
      <c r="AD71" s="82"/>
      <c r="AE71" s="79"/>
      <c r="AF71" s="88"/>
      <c r="AG71" s="80"/>
      <c r="AH71" s="79"/>
      <c r="AI71" s="79"/>
      <c r="AJ71" s="79"/>
      <c r="AK71" s="80"/>
      <c r="AL71" s="80"/>
      <c r="AM71" s="80"/>
      <c r="AN71" s="79"/>
      <c r="AO71" s="80"/>
      <c r="AP71" s="80"/>
      <c r="AQ71" s="80"/>
      <c r="AR71" s="85"/>
      <c r="AS71" s="85"/>
      <c r="AT71" s="85"/>
      <c r="AU71" s="85"/>
      <c r="AV71" s="85"/>
      <c r="AW71" s="82"/>
      <c r="AX71" s="79"/>
      <c r="AY71" s="82"/>
      <c r="AZ71" s="82"/>
      <c r="BA71" s="86"/>
      <c r="BB71" s="79"/>
      <c r="BC71" s="79"/>
      <c r="BD71" s="79"/>
      <c r="BE71" s="82"/>
      <c r="BF71" s="85"/>
      <c r="BG71" s="79"/>
      <c r="BH71" s="79"/>
      <c r="BI71" s="79"/>
      <c r="BJ71" s="88"/>
      <c r="BK71" s="88"/>
      <c r="BL71" s="79"/>
      <c r="BM71" s="185" t="s">
        <v>108</v>
      </c>
      <c r="BN71" s="90"/>
      <c r="BO71" s="80"/>
      <c r="BP71" s="80"/>
      <c r="BQ71" s="80"/>
      <c r="BR71" s="80"/>
      <c r="BS71" s="80"/>
      <c r="BT71" s="80"/>
      <c r="BU71" s="80"/>
      <c r="BV71" s="80"/>
      <c r="BW71" s="82"/>
      <c r="BX71" s="79"/>
      <c r="BY71" s="79"/>
      <c r="BZ71" s="79"/>
      <c r="CA71" s="79"/>
      <c r="CB71" s="79"/>
      <c r="CC71" s="82"/>
      <c r="CD71" s="82"/>
      <c r="CE71" s="82"/>
      <c r="CF71" s="82"/>
      <c r="CG71" s="82"/>
      <c r="CH71" s="82"/>
      <c r="CI71" s="82"/>
      <c r="CJ71" s="79"/>
      <c r="CK71" s="79"/>
      <c r="CL71" s="79"/>
      <c r="CM71" s="79"/>
      <c r="CN71" s="79"/>
      <c r="CO71" s="79"/>
      <c r="CP71" s="13" t="s">
        <v>210</v>
      </c>
    </row>
    <row r="72" spans="1:94">
      <c r="A72" s="98">
        <v>10</v>
      </c>
      <c r="B72" s="178" t="s">
        <v>446</v>
      </c>
      <c r="C72" s="361">
        <v>45233</v>
      </c>
      <c r="D72" s="47" t="s">
        <v>462</v>
      </c>
      <c r="E72" s="126"/>
      <c r="F72" s="154" t="s">
        <v>535</v>
      </c>
      <c r="G72" s="167"/>
      <c r="H72" s="167">
        <v>1</v>
      </c>
      <c r="I72" s="170" t="s">
        <v>478</v>
      </c>
      <c r="J72" s="155"/>
      <c r="K72" s="181">
        <f t="shared" si="10"/>
        <v>250000</v>
      </c>
      <c r="L72" s="182">
        <v>300000</v>
      </c>
      <c r="M72" s="157"/>
      <c r="N72" s="183">
        <f t="shared" si="9"/>
        <v>550000</v>
      </c>
      <c r="O72" s="177">
        <v>7884674190</v>
      </c>
      <c r="P72" s="145"/>
      <c r="Q72" s="141"/>
      <c r="R72" s="190"/>
      <c r="S72" s="83"/>
      <c r="T72" s="87"/>
      <c r="U72" s="87"/>
      <c r="V72" s="87"/>
      <c r="W72" s="44"/>
      <c r="X72" s="88"/>
      <c r="Y72" s="79"/>
      <c r="Z72" s="79"/>
      <c r="AA72" s="79"/>
      <c r="AB72" s="79"/>
      <c r="AC72" s="86"/>
      <c r="AD72" s="82"/>
      <c r="AE72" s="79"/>
      <c r="AF72" s="88"/>
      <c r="AG72" s="80"/>
      <c r="AH72" s="79"/>
      <c r="AI72" s="79"/>
      <c r="AJ72" s="79"/>
      <c r="AK72" s="80"/>
      <c r="AL72" s="80"/>
      <c r="AM72" s="80"/>
      <c r="AN72" s="79"/>
      <c r="AO72" s="80"/>
      <c r="AP72" s="80"/>
      <c r="AQ72" s="80"/>
      <c r="AR72" s="85"/>
      <c r="AS72" s="85"/>
      <c r="AT72" s="85"/>
      <c r="AU72" s="85"/>
      <c r="AV72" s="85"/>
      <c r="AW72" s="82"/>
      <c r="AX72" s="79"/>
      <c r="AY72" s="82"/>
      <c r="AZ72" s="82"/>
      <c r="BA72" s="86"/>
      <c r="BB72" s="79"/>
      <c r="BC72" s="79"/>
      <c r="BD72" s="79"/>
      <c r="BE72" s="82"/>
      <c r="BF72" s="85"/>
      <c r="BG72" s="79"/>
      <c r="BH72" s="79"/>
      <c r="BI72" s="79"/>
      <c r="BJ72" s="88"/>
      <c r="BK72" s="88"/>
      <c r="BL72" s="79"/>
      <c r="BM72" s="185" t="s">
        <v>108</v>
      </c>
      <c r="BN72" s="90"/>
      <c r="BO72" s="80"/>
      <c r="BP72" s="80"/>
      <c r="BQ72" s="80"/>
      <c r="BR72" s="80"/>
      <c r="BS72" s="80"/>
      <c r="BT72" s="80"/>
      <c r="BU72" s="80"/>
      <c r="BV72" s="80"/>
      <c r="BW72" s="82"/>
      <c r="BX72" s="79"/>
      <c r="BY72" s="79"/>
      <c r="BZ72" s="79"/>
      <c r="CA72" s="79"/>
      <c r="CB72" s="79"/>
      <c r="CC72" s="82"/>
      <c r="CD72" s="82"/>
      <c r="CE72" s="82"/>
      <c r="CF72" s="82"/>
      <c r="CG72" s="82"/>
      <c r="CH72" s="82"/>
      <c r="CI72" s="82"/>
      <c r="CJ72" s="79"/>
      <c r="CK72" s="79"/>
      <c r="CL72" s="79"/>
      <c r="CM72" s="79"/>
      <c r="CN72" s="79"/>
      <c r="CO72" s="79"/>
      <c r="CP72" s="13" t="s">
        <v>210</v>
      </c>
    </row>
    <row r="73" spans="1:94">
      <c r="A73" s="98">
        <v>11</v>
      </c>
      <c r="B73" s="178" t="s">
        <v>447</v>
      </c>
      <c r="C73" s="361" t="s">
        <v>452</v>
      </c>
      <c r="D73" s="47" t="s">
        <v>463</v>
      </c>
      <c r="E73" s="126"/>
      <c r="F73" s="154" t="s">
        <v>535</v>
      </c>
      <c r="G73" s="167"/>
      <c r="H73" s="167"/>
      <c r="I73" s="170" t="s">
        <v>102</v>
      </c>
      <c r="J73" s="155"/>
      <c r="K73" s="181">
        <f t="shared" si="10"/>
        <v>0</v>
      </c>
      <c r="L73" s="182">
        <v>300000</v>
      </c>
      <c r="M73" s="157"/>
      <c r="N73" s="183">
        <f t="shared" si="9"/>
        <v>300000</v>
      </c>
      <c r="O73" s="177" t="s">
        <v>491</v>
      </c>
      <c r="P73" s="145"/>
      <c r="Q73" s="141"/>
      <c r="R73" s="190"/>
      <c r="S73" s="83"/>
      <c r="T73" s="87"/>
      <c r="U73" s="87"/>
      <c r="V73" s="87"/>
      <c r="W73" s="44"/>
      <c r="X73" s="88"/>
      <c r="Y73" s="79"/>
      <c r="Z73" s="79"/>
      <c r="AA73" s="79"/>
      <c r="AB73" s="79"/>
      <c r="AC73" s="86"/>
      <c r="AD73" s="82"/>
      <c r="AE73" s="79"/>
      <c r="AF73" s="88"/>
      <c r="AG73" s="80"/>
      <c r="AH73" s="79"/>
      <c r="AI73" s="79"/>
      <c r="AJ73" s="79"/>
      <c r="AK73" s="80"/>
      <c r="AL73" s="80"/>
      <c r="AM73" s="80"/>
      <c r="AN73" s="79"/>
      <c r="AO73" s="80"/>
      <c r="AP73" s="80"/>
      <c r="AQ73" s="80"/>
      <c r="AR73" s="85"/>
      <c r="AS73" s="85"/>
      <c r="AT73" s="85"/>
      <c r="AU73" s="85"/>
      <c r="AV73" s="85"/>
      <c r="AW73" s="82"/>
      <c r="AX73" s="79"/>
      <c r="AY73" s="82"/>
      <c r="AZ73" s="82"/>
      <c r="BA73" s="86"/>
      <c r="BB73" s="79"/>
      <c r="BC73" s="79"/>
      <c r="BD73" s="79"/>
      <c r="BE73" s="82"/>
      <c r="BF73" s="85"/>
      <c r="BG73" s="79"/>
      <c r="BH73" s="79"/>
      <c r="BI73" s="79"/>
      <c r="BJ73" s="88"/>
      <c r="BK73" s="88"/>
      <c r="BL73" s="79"/>
      <c r="BM73" s="185" t="s">
        <v>108</v>
      </c>
      <c r="BN73" s="90"/>
      <c r="BO73" s="80"/>
      <c r="BP73" s="80"/>
      <c r="BQ73" s="80"/>
      <c r="BR73" s="80"/>
      <c r="BS73" s="80"/>
      <c r="BT73" s="80"/>
      <c r="BU73" s="80"/>
      <c r="BV73" s="80"/>
      <c r="BW73" s="82"/>
      <c r="BX73" s="79"/>
      <c r="BY73" s="79"/>
      <c r="BZ73" s="79"/>
      <c r="CA73" s="79"/>
      <c r="CB73" s="79"/>
      <c r="CC73" s="82"/>
      <c r="CD73" s="82"/>
      <c r="CE73" s="82"/>
      <c r="CF73" s="82"/>
      <c r="CG73" s="82"/>
      <c r="CH73" s="82"/>
      <c r="CI73" s="82"/>
      <c r="CJ73" s="79"/>
      <c r="CK73" s="79"/>
      <c r="CL73" s="79"/>
      <c r="CM73" s="79"/>
      <c r="CN73" s="79"/>
      <c r="CO73" s="79"/>
      <c r="CP73" s="13" t="s">
        <v>210</v>
      </c>
    </row>
    <row r="74" spans="1:94">
      <c r="A74" s="98">
        <v>12</v>
      </c>
      <c r="B74" s="178" t="s">
        <v>448</v>
      </c>
      <c r="C74" s="361" t="s">
        <v>452</v>
      </c>
      <c r="D74" s="47" t="s">
        <v>464</v>
      </c>
      <c r="E74" s="126"/>
      <c r="F74" s="154" t="s">
        <v>535</v>
      </c>
      <c r="G74" s="167">
        <v>1</v>
      </c>
      <c r="H74" s="167"/>
      <c r="I74" s="170" t="s">
        <v>479</v>
      </c>
      <c r="J74" s="155"/>
      <c r="K74" s="181">
        <f t="shared" si="10"/>
        <v>250000</v>
      </c>
      <c r="L74" s="182">
        <v>300000</v>
      </c>
      <c r="M74" s="157"/>
      <c r="N74" s="183">
        <f t="shared" si="9"/>
        <v>550000</v>
      </c>
      <c r="O74" s="177" t="s">
        <v>492</v>
      </c>
      <c r="P74" s="145"/>
      <c r="Q74" s="141"/>
      <c r="R74" s="190"/>
      <c r="S74" s="83"/>
      <c r="T74" s="87"/>
      <c r="U74" s="87"/>
      <c r="V74" s="87"/>
      <c r="W74" s="44"/>
      <c r="X74" s="88"/>
      <c r="Y74" s="79"/>
      <c r="Z74" s="79"/>
      <c r="AA74" s="79"/>
      <c r="AB74" s="79"/>
      <c r="AC74" s="86"/>
      <c r="AD74" s="82"/>
      <c r="AE74" s="79"/>
      <c r="AF74" s="88"/>
      <c r="AG74" s="80"/>
      <c r="AH74" s="79"/>
      <c r="AI74" s="79"/>
      <c r="AJ74" s="79"/>
      <c r="AK74" s="80"/>
      <c r="AL74" s="80"/>
      <c r="AM74" s="80"/>
      <c r="AN74" s="79"/>
      <c r="AO74" s="80"/>
      <c r="AP74" s="80"/>
      <c r="AQ74" s="80"/>
      <c r="AR74" s="85"/>
      <c r="AS74" s="85"/>
      <c r="AT74" s="85"/>
      <c r="AU74" s="85"/>
      <c r="AV74" s="85"/>
      <c r="AW74" s="82"/>
      <c r="AX74" s="79"/>
      <c r="AY74" s="82"/>
      <c r="AZ74" s="82"/>
      <c r="BA74" s="86"/>
      <c r="BB74" s="79"/>
      <c r="BC74" s="79"/>
      <c r="BD74" s="79"/>
      <c r="BE74" s="82"/>
      <c r="BF74" s="85"/>
      <c r="BG74" s="79"/>
      <c r="BH74" s="79"/>
      <c r="BI74" s="79"/>
      <c r="BJ74" s="88"/>
      <c r="BK74" s="88"/>
      <c r="BL74" s="79"/>
      <c r="BM74" s="185" t="s">
        <v>108</v>
      </c>
      <c r="BN74" s="90"/>
      <c r="BO74" s="80"/>
      <c r="BP74" s="80"/>
      <c r="BQ74" s="80"/>
      <c r="BR74" s="80"/>
      <c r="BS74" s="80"/>
      <c r="BT74" s="80"/>
      <c r="BU74" s="80"/>
      <c r="BV74" s="80"/>
      <c r="BW74" s="82"/>
      <c r="BX74" s="79"/>
      <c r="BY74" s="79"/>
      <c r="BZ74" s="79"/>
      <c r="CA74" s="79"/>
      <c r="CB74" s="79"/>
      <c r="CC74" s="82"/>
      <c r="CD74" s="82"/>
      <c r="CE74" s="82"/>
      <c r="CF74" s="82"/>
      <c r="CG74" s="82"/>
      <c r="CH74" s="82"/>
      <c r="CI74" s="82"/>
      <c r="CJ74" s="79"/>
      <c r="CK74" s="79"/>
      <c r="CL74" s="79"/>
      <c r="CM74" s="79"/>
      <c r="CN74" s="79"/>
      <c r="CO74" s="79"/>
      <c r="CP74" s="13" t="s">
        <v>210</v>
      </c>
    </row>
    <row r="75" spans="1:94">
      <c r="A75" s="98">
        <v>13</v>
      </c>
      <c r="B75" s="178" t="s">
        <v>449</v>
      </c>
      <c r="C75" s="361" t="s">
        <v>453</v>
      </c>
      <c r="D75" s="47" t="s">
        <v>465</v>
      </c>
      <c r="E75" s="126"/>
      <c r="F75" s="154" t="s">
        <v>535</v>
      </c>
      <c r="G75" s="167">
        <v>1</v>
      </c>
      <c r="H75" s="167"/>
      <c r="I75" s="170" t="s">
        <v>480</v>
      </c>
      <c r="J75" s="155"/>
      <c r="K75" s="181">
        <f t="shared" si="10"/>
        <v>250000</v>
      </c>
      <c r="L75" s="182">
        <v>300000</v>
      </c>
      <c r="M75" s="157"/>
      <c r="N75" s="183">
        <f t="shared" si="9"/>
        <v>550000</v>
      </c>
      <c r="O75" s="177">
        <v>2715369310</v>
      </c>
      <c r="P75" s="145"/>
      <c r="Q75" s="141"/>
      <c r="R75" s="190"/>
      <c r="S75" s="83"/>
      <c r="T75" s="87"/>
      <c r="U75" s="87"/>
      <c r="V75" s="87"/>
      <c r="W75" s="44"/>
      <c r="X75" s="88"/>
      <c r="Y75" s="79"/>
      <c r="Z75" s="79"/>
      <c r="AA75" s="79"/>
      <c r="AB75" s="79"/>
      <c r="AC75" s="86"/>
      <c r="AD75" s="82"/>
      <c r="AE75" s="79"/>
      <c r="AF75" s="88"/>
      <c r="AG75" s="80"/>
      <c r="AH75" s="79"/>
      <c r="AI75" s="79"/>
      <c r="AJ75" s="79"/>
      <c r="AK75" s="80"/>
      <c r="AL75" s="80"/>
      <c r="AM75" s="80"/>
      <c r="AN75" s="79"/>
      <c r="AO75" s="80"/>
      <c r="AP75" s="80"/>
      <c r="AQ75" s="80"/>
      <c r="AR75" s="85"/>
      <c r="AS75" s="85"/>
      <c r="AT75" s="85"/>
      <c r="AU75" s="85"/>
      <c r="AV75" s="85"/>
      <c r="AW75" s="82"/>
      <c r="AX75" s="79"/>
      <c r="AY75" s="82"/>
      <c r="AZ75" s="82"/>
      <c r="BA75" s="86"/>
      <c r="BB75" s="79"/>
      <c r="BC75" s="79"/>
      <c r="BD75" s="79"/>
      <c r="BE75" s="82"/>
      <c r="BF75" s="85"/>
      <c r="BG75" s="79"/>
      <c r="BH75" s="79"/>
      <c r="BI75" s="79"/>
      <c r="BJ75" s="88"/>
      <c r="BK75" s="88"/>
      <c r="BL75" s="79"/>
      <c r="BM75" s="185" t="s">
        <v>108</v>
      </c>
      <c r="BN75" s="90"/>
      <c r="BO75" s="80"/>
      <c r="BP75" s="80"/>
      <c r="BQ75" s="80"/>
      <c r="BR75" s="80"/>
      <c r="BS75" s="80"/>
      <c r="BT75" s="80"/>
      <c r="BU75" s="80"/>
      <c r="BV75" s="80"/>
      <c r="BW75" s="82"/>
      <c r="BX75" s="79"/>
      <c r="BY75" s="79"/>
      <c r="BZ75" s="79"/>
      <c r="CA75" s="79"/>
      <c r="CB75" s="79"/>
      <c r="CC75" s="82"/>
      <c r="CD75" s="82"/>
      <c r="CE75" s="82"/>
      <c r="CF75" s="82"/>
      <c r="CG75" s="82"/>
      <c r="CH75" s="82"/>
      <c r="CI75" s="82"/>
      <c r="CJ75" s="79"/>
      <c r="CK75" s="79"/>
      <c r="CL75" s="79"/>
      <c r="CM75" s="79"/>
      <c r="CN75" s="79"/>
      <c r="CO75" s="79"/>
      <c r="CP75" s="13" t="s">
        <v>210</v>
      </c>
    </row>
    <row r="76" spans="1:94">
      <c r="A76" s="98">
        <v>14</v>
      </c>
      <c r="B76" s="178" t="s">
        <v>450</v>
      </c>
      <c r="C76" s="361" t="s">
        <v>453</v>
      </c>
      <c r="D76" s="47" t="s">
        <v>466</v>
      </c>
      <c r="E76" s="126"/>
      <c r="F76" s="154" t="s">
        <v>535</v>
      </c>
      <c r="G76" s="167"/>
      <c r="H76" s="167">
        <v>1</v>
      </c>
      <c r="I76" s="170" t="s">
        <v>481</v>
      </c>
      <c r="J76" s="155"/>
      <c r="K76" s="181">
        <f t="shared" si="10"/>
        <v>250000</v>
      </c>
      <c r="L76" s="182">
        <v>300000</v>
      </c>
      <c r="M76" s="157"/>
      <c r="N76" s="183">
        <f t="shared" si="9"/>
        <v>550000</v>
      </c>
      <c r="O76" s="177" t="s">
        <v>493</v>
      </c>
      <c r="P76" s="145"/>
      <c r="Q76" s="141"/>
      <c r="R76" s="190"/>
      <c r="S76" s="83"/>
      <c r="T76" s="87"/>
      <c r="U76" s="87"/>
      <c r="V76" s="87"/>
      <c r="W76" s="44"/>
      <c r="X76" s="88"/>
      <c r="Y76" s="79"/>
      <c r="Z76" s="79"/>
      <c r="AA76" s="79"/>
      <c r="AB76" s="79"/>
      <c r="AC76" s="86"/>
      <c r="AD76" s="82"/>
      <c r="AE76" s="79"/>
      <c r="AF76" s="88"/>
      <c r="AG76" s="80"/>
      <c r="AH76" s="79"/>
      <c r="AI76" s="79"/>
      <c r="AJ76" s="79"/>
      <c r="AK76" s="80"/>
      <c r="AL76" s="80"/>
      <c r="AM76" s="80"/>
      <c r="AN76" s="79"/>
      <c r="AO76" s="80"/>
      <c r="AP76" s="80"/>
      <c r="AQ76" s="80"/>
      <c r="AR76" s="85"/>
      <c r="AS76" s="85"/>
      <c r="AT76" s="85"/>
      <c r="AU76" s="85"/>
      <c r="AV76" s="85"/>
      <c r="AW76" s="82"/>
      <c r="AX76" s="79"/>
      <c r="AY76" s="82"/>
      <c r="AZ76" s="82"/>
      <c r="BA76" s="86"/>
      <c r="BB76" s="79"/>
      <c r="BC76" s="79"/>
      <c r="BD76" s="79"/>
      <c r="BE76" s="82"/>
      <c r="BF76" s="85"/>
      <c r="BG76" s="79"/>
      <c r="BH76" s="79"/>
      <c r="BI76" s="79"/>
      <c r="BJ76" s="88"/>
      <c r="BK76" s="88"/>
      <c r="BL76" s="79"/>
      <c r="BM76" s="185" t="s">
        <v>108</v>
      </c>
      <c r="BN76" s="90"/>
      <c r="BO76" s="80"/>
      <c r="BP76" s="80"/>
      <c r="BQ76" s="80"/>
      <c r="BR76" s="80"/>
      <c r="BS76" s="80"/>
      <c r="BT76" s="80"/>
      <c r="BU76" s="80"/>
      <c r="BV76" s="80"/>
      <c r="BW76" s="82"/>
      <c r="BX76" s="79"/>
      <c r="BY76" s="79"/>
      <c r="BZ76" s="79"/>
      <c r="CA76" s="79"/>
      <c r="CB76" s="79"/>
      <c r="CC76" s="82"/>
      <c r="CD76" s="82"/>
      <c r="CE76" s="82"/>
      <c r="CF76" s="82"/>
      <c r="CG76" s="82"/>
      <c r="CH76" s="82"/>
      <c r="CI76" s="82"/>
      <c r="CJ76" s="79"/>
      <c r="CK76" s="79"/>
      <c r="CL76" s="79"/>
      <c r="CM76" s="79"/>
      <c r="CN76" s="79"/>
      <c r="CO76" s="79"/>
      <c r="CP76" s="13" t="s">
        <v>210</v>
      </c>
    </row>
    <row r="77" spans="1:94">
      <c r="A77" s="98">
        <v>15</v>
      </c>
      <c r="B77" s="178" t="s">
        <v>451</v>
      </c>
      <c r="C77" s="361" t="s">
        <v>454</v>
      </c>
      <c r="D77" s="47" t="s">
        <v>467</v>
      </c>
      <c r="E77" s="126"/>
      <c r="F77" s="154" t="s">
        <v>535</v>
      </c>
      <c r="G77" s="167">
        <v>1</v>
      </c>
      <c r="H77" s="167"/>
      <c r="I77" s="170" t="s">
        <v>483</v>
      </c>
      <c r="J77" s="155"/>
      <c r="K77" s="181">
        <f t="shared" si="10"/>
        <v>250000</v>
      </c>
      <c r="L77" s="182">
        <v>300000</v>
      </c>
      <c r="M77" s="157"/>
      <c r="N77" s="183">
        <f t="shared" si="9"/>
        <v>550000</v>
      </c>
      <c r="O77" s="177" t="s">
        <v>494</v>
      </c>
      <c r="P77" s="145"/>
      <c r="Q77" s="141"/>
      <c r="R77" s="190"/>
      <c r="S77" s="83"/>
      <c r="T77" s="87"/>
      <c r="U77" s="87"/>
      <c r="V77" s="87"/>
      <c r="W77" s="44"/>
      <c r="X77" s="88"/>
      <c r="Y77" s="79"/>
      <c r="Z77" s="79"/>
      <c r="AA77" s="79"/>
      <c r="AB77" s="79"/>
      <c r="AC77" s="86"/>
      <c r="AD77" s="82"/>
      <c r="AE77" s="79"/>
      <c r="AF77" s="88"/>
      <c r="AG77" s="80"/>
      <c r="AH77" s="79"/>
      <c r="AI77" s="79"/>
      <c r="AJ77" s="79"/>
      <c r="AK77" s="80"/>
      <c r="AL77" s="80"/>
      <c r="AM77" s="80"/>
      <c r="AN77" s="79"/>
      <c r="AO77" s="80"/>
      <c r="AP77" s="80"/>
      <c r="AQ77" s="80"/>
      <c r="AR77" s="85"/>
      <c r="AS77" s="85"/>
      <c r="AT77" s="85"/>
      <c r="AU77" s="85"/>
      <c r="AV77" s="85"/>
      <c r="AW77" s="82"/>
      <c r="AX77" s="79"/>
      <c r="AY77" s="82"/>
      <c r="AZ77" s="82"/>
      <c r="BA77" s="86"/>
      <c r="BB77" s="79"/>
      <c r="BC77" s="79"/>
      <c r="BD77" s="79"/>
      <c r="BE77" s="82"/>
      <c r="BF77" s="85"/>
      <c r="BG77" s="79"/>
      <c r="BH77" s="79"/>
      <c r="BI77" s="79"/>
      <c r="BJ77" s="88"/>
      <c r="BK77" s="88"/>
      <c r="BL77" s="79"/>
      <c r="BM77" s="185" t="s">
        <v>108</v>
      </c>
      <c r="BN77" s="90"/>
      <c r="BO77" s="80"/>
      <c r="BP77" s="80"/>
      <c r="BQ77" s="80"/>
      <c r="BR77" s="80"/>
      <c r="BS77" s="80"/>
      <c r="BT77" s="80"/>
      <c r="BU77" s="80"/>
      <c r="BV77" s="80"/>
      <c r="BW77" s="82"/>
      <c r="BX77" s="79"/>
      <c r="BY77" s="79"/>
      <c r="BZ77" s="79"/>
      <c r="CA77" s="79"/>
      <c r="CB77" s="79"/>
      <c r="CC77" s="82"/>
      <c r="CD77" s="82"/>
      <c r="CE77" s="82"/>
      <c r="CF77" s="82"/>
      <c r="CG77" s="82"/>
      <c r="CH77" s="82"/>
      <c r="CI77" s="82"/>
      <c r="CJ77" s="79"/>
      <c r="CK77" s="79"/>
      <c r="CL77" s="79"/>
      <c r="CM77" s="79"/>
      <c r="CN77" s="79"/>
      <c r="CO77" s="79"/>
      <c r="CP77" s="13" t="s">
        <v>210</v>
      </c>
    </row>
    <row r="78" spans="1:94">
      <c r="A78" s="98">
        <v>16</v>
      </c>
      <c r="B78" s="178" t="s">
        <v>470</v>
      </c>
      <c r="C78" s="188" t="s">
        <v>471</v>
      </c>
      <c r="D78" s="47" t="s">
        <v>472</v>
      </c>
      <c r="E78" s="126"/>
      <c r="F78" s="154" t="s">
        <v>535</v>
      </c>
      <c r="G78" s="167"/>
      <c r="H78" s="167">
        <v>1</v>
      </c>
      <c r="I78" s="170" t="s">
        <v>484</v>
      </c>
      <c r="J78" s="155"/>
      <c r="K78" s="181">
        <f t="shared" si="10"/>
        <v>250000</v>
      </c>
      <c r="L78" s="182">
        <v>300000</v>
      </c>
      <c r="M78" s="157"/>
      <c r="N78" s="183">
        <f t="shared" si="9"/>
        <v>550000</v>
      </c>
      <c r="O78" s="177">
        <v>225859755</v>
      </c>
      <c r="P78" s="145"/>
      <c r="Q78" s="141"/>
      <c r="R78" s="190"/>
      <c r="S78" s="83"/>
      <c r="T78" s="87"/>
      <c r="U78" s="87"/>
      <c r="V78" s="87"/>
      <c r="W78" s="44"/>
      <c r="X78" s="88"/>
      <c r="Y78" s="79"/>
      <c r="Z78" s="79"/>
      <c r="AA78" s="79"/>
      <c r="AB78" s="79"/>
      <c r="AC78" s="86"/>
      <c r="AD78" s="82"/>
      <c r="AE78" s="79"/>
      <c r="AF78" s="88"/>
      <c r="AG78" s="80"/>
      <c r="AH78" s="79"/>
      <c r="AI78" s="79"/>
      <c r="AJ78" s="79"/>
      <c r="AK78" s="80"/>
      <c r="AL78" s="80"/>
      <c r="AM78" s="80"/>
      <c r="AN78" s="79"/>
      <c r="AO78" s="80"/>
      <c r="AP78" s="80"/>
      <c r="AQ78" s="80"/>
      <c r="AR78" s="85"/>
      <c r="AS78" s="85"/>
      <c r="AT78" s="85"/>
      <c r="AU78" s="85"/>
      <c r="AV78" s="85"/>
      <c r="AW78" s="82"/>
      <c r="AX78" s="79"/>
      <c r="AY78" s="82"/>
      <c r="AZ78" s="82"/>
      <c r="BA78" s="86"/>
      <c r="BB78" s="79"/>
      <c r="BC78" s="79"/>
      <c r="BD78" s="79"/>
      <c r="BE78" s="82"/>
      <c r="BF78" s="85"/>
      <c r="BG78" s="79"/>
      <c r="BH78" s="79"/>
      <c r="BI78" s="79"/>
      <c r="BJ78" s="88"/>
      <c r="BK78" s="88"/>
      <c r="BL78" s="79"/>
      <c r="BM78" s="185" t="s">
        <v>108</v>
      </c>
      <c r="BN78" s="90"/>
      <c r="BO78" s="80"/>
      <c r="BP78" s="80"/>
      <c r="BQ78" s="80"/>
      <c r="BR78" s="80"/>
      <c r="BS78" s="80"/>
      <c r="BT78" s="80"/>
      <c r="BU78" s="80"/>
      <c r="BV78" s="80"/>
      <c r="BW78" s="82"/>
      <c r="BX78" s="79"/>
      <c r="BY78" s="79"/>
      <c r="BZ78" s="79"/>
      <c r="CA78" s="79"/>
      <c r="CB78" s="79"/>
      <c r="CC78" s="82"/>
      <c r="CD78" s="82"/>
      <c r="CE78" s="82"/>
      <c r="CF78" s="82"/>
      <c r="CG78" s="82"/>
      <c r="CH78" s="82"/>
      <c r="CI78" s="82"/>
      <c r="CJ78" s="79"/>
      <c r="CK78" s="79"/>
      <c r="CL78" s="79"/>
      <c r="CM78" s="79"/>
      <c r="CN78" s="79"/>
      <c r="CO78" s="79"/>
      <c r="CP78" s="13" t="s">
        <v>210</v>
      </c>
    </row>
    <row r="79" spans="1:94" ht="56.25" customHeight="1">
      <c r="A79" s="98">
        <v>17</v>
      </c>
      <c r="B79" s="189" t="s">
        <v>495</v>
      </c>
      <c r="C79" s="188">
        <v>44987</v>
      </c>
      <c r="D79" s="47" t="s">
        <v>497</v>
      </c>
      <c r="E79" s="126"/>
      <c r="F79" s="230" t="s">
        <v>377</v>
      </c>
      <c r="G79" s="167">
        <v>4</v>
      </c>
      <c r="H79" s="167"/>
      <c r="I79" s="170" t="s">
        <v>496</v>
      </c>
      <c r="J79" s="180">
        <f t="shared" ref="J79:J86" si="11">(G79*$C$255)+(G79*$C$256)+(H79*$D$255+H79*$D$256)+(G79*$C$258+H79*$D$258)</f>
        <v>5200000</v>
      </c>
      <c r="K79" s="181">
        <f t="shared" ref="K79:K86" si="12">SUM(G79:I79)*250000</f>
        <v>1000000</v>
      </c>
      <c r="L79" s="152"/>
      <c r="M79" s="152"/>
      <c r="N79" s="183">
        <f t="shared" ref="N79:N86" si="13">+SUM(J79:M79)</f>
        <v>6200000</v>
      </c>
      <c r="O79" s="177" t="s">
        <v>498</v>
      </c>
      <c r="P79" s="145"/>
      <c r="Q79" s="141"/>
      <c r="R79" s="190"/>
      <c r="S79" s="83"/>
      <c r="T79" s="87"/>
      <c r="U79" s="87"/>
      <c r="V79" s="87"/>
      <c r="W79" s="44"/>
      <c r="X79" s="88"/>
      <c r="Y79" s="79"/>
      <c r="Z79" s="79"/>
      <c r="AA79" s="79"/>
      <c r="AB79" s="79"/>
      <c r="AC79" s="86"/>
      <c r="AD79" s="82"/>
      <c r="AE79" s="79"/>
      <c r="AF79" s="88"/>
      <c r="AG79" s="80"/>
      <c r="AH79" s="79"/>
      <c r="AI79" s="79"/>
      <c r="AJ79" s="79"/>
      <c r="AK79" s="80"/>
      <c r="AL79" s="80"/>
      <c r="AM79" s="80"/>
      <c r="AN79" s="79"/>
      <c r="AO79" s="80"/>
      <c r="AP79" s="80"/>
      <c r="AQ79" s="80"/>
      <c r="AR79" s="85"/>
      <c r="AS79" s="85"/>
      <c r="AT79" s="85"/>
      <c r="AU79" s="85"/>
      <c r="AV79" s="85"/>
      <c r="AW79" s="82"/>
      <c r="AX79" s="79"/>
      <c r="AY79" s="82"/>
      <c r="AZ79" s="82"/>
      <c r="BA79" s="86"/>
      <c r="BB79" s="79"/>
      <c r="BC79" s="79"/>
      <c r="BD79" s="79"/>
      <c r="BE79" s="82"/>
      <c r="BF79" s="85"/>
      <c r="BG79" s="79"/>
      <c r="BH79" s="79"/>
      <c r="BI79" s="79"/>
      <c r="BJ79" s="88"/>
      <c r="BK79" s="88"/>
      <c r="BL79" s="79"/>
      <c r="BM79" s="186" t="s">
        <v>123</v>
      </c>
      <c r="BN79" s="90"/>
      <c r="BO79" s="80"/>
      <c r="BP79" s="80"/>
      <c r="BQ79" s="80"/>
      <c r="BR79" s="80"/>
      <c r="BS79" s="80"/>
      <c r="BT79" s="80"/>
      <c r="BU79" s="80"/>
      <c r="BV79" s="80"/>
      <c r="BW79" s="82"/>
      <c r="BX79" s="79"/>
      <c r="BY79" s="79"/>
      <c r="BZ79" s="79"/>
      <c r="CA79" s="79"/>
      <c r="CB79" s="79"/>
      <c r="CC79" s="82"/>
      <c r="CD79" s="82"/>
      <c r="CE79" s="82"/>
      <c r="CF79" s="82"/>
      <c r="CG79" s="82"/>
      <c r="CH79" s="82"/>
      <c r="CI79" s="82"/>
      <c r="CJ79" s="79"/>
      <c r="CK79" s="79"/>
      <c r="CL79" s="79"/>
      <c r="CM79" s="79"/>
      <c r="CN79" s="79"/>
      <c r="CO79" s="79"/>
      <c r="CP79" s="13" t="s">
        <v>206</v>
      </c>
    </row>
    <row r="80" spans="1:94">
      <c r="A80" s="98">
        <v>18</v>
      </c>
      <c r="B80" s="189" t="s">
        <v>499</v>
      </c>
      <c r="C80" s="188">
        <v>44994</v>
      </c>
      <c r="D80" s="47" t="s">
        <v>510</v>
      </c>
      <c r="E80" s="126"/>
      <c r="F80" s="154" t="s">
        <v>535</v>
      </c>
      <c r="G80" s="167">
        <v>1</v>
      </c>
      <c r="H80" s="167"/>
      <c r="I80" s="170" t="s">
        <v>500</v>
      </c>
      <c r="J80" s="180">
        <f t="shared" si="11"/>
        <v>1300000</v>
      </c>
      <c r="K80" s="181">
        <f t="shared" si="12"/>
        <v>250000</v>
      </c>
      <c r="L80" s="152"/>
      <c r="M80" s="152"/>
      <c r="N80" s="183">
        <f t="shared" si="13"/>
        <v>1550000</v>
      </c>
      <c r="O80" s="177" t="s">
        <v>501</v>
      </c>
      <c r="P80" s="145"/>
      <c r="Q80" s="141"/>
      <c r="R80" s="190"/>
      <c r="S80" s="83"/>
      <c r="T80" s="87"/>
      <c r="U80" s="87"/>
      <c r="V80" s="87"/>
      <c r="W80" s="44"/>
      <c r="X80" s="88"/>
      <c r="Y80" s="79"/>
      <c r="Z80" s="79"/>
      <c r="AA80" s="79"/>
      <c r="AB80" s="79"/>
      <c r="AC80" s="86"/>
      <c r="AD80" s="82"/>
      <c r="AE80" s="79"/>
      <c r="AF80" s="88"/>
      <c r="AG80" s="80"/>
      <c r="AH80" s="79"/>
      <c r="AI80" s="79"/>
      <c r="AJ80" s="79"/>
      <c r="AK80" s="80"/>
      <c r="AL80" s="80"/>
      <c r="AM80" s="80"/>
      <c r="AN80" s="79"/>
      <c r="AO80" s="80"/>
      <c r="AP80" s="80"/>
      <c r="AQ80" s="80"/>
      <c r="AR80" s="85"/>
      <c r="AS80" s="85"/>
      <c r="AT80" s="85"/>
      <c r="AU80" s="85"/>
      <c r="AV80" s="85"/>
      <c r="AW80" s="82"/>
      <c r="AX80" s="79"/>
      <c r="AY80" s="82"/>
      <c r="AZ80" s="82"/>
      <c r="BA80" s="86"/>
      <c r="BB80" s="79"/>
      <c r="BC80" s="79"/>
      <c r="BD80" s="79"/>
      <c r="BE80" s="82"/>
      <c r="BF80" s="85"/>
      <c r="BG80" s="79"/>
      <c r="BH80" s="79"/>
      <c r="BI80" s="79"/>
      <c r="BJ80" s="88"/>
      <c r="BK80" s="88"/>
      <c r="BL80" s="79"/>
      <c r="BM80" s="186" t="s">
        <v>123</v>
      </c>
      <c r="BN80" s="90"/>
      <c r="BO80" s="80"/>
      <c r="BP80" s="80"/>
      <c r="BQ80" s="80"/>
      <c r="BR80" s="80"/>
      <c r="BS80" s="80"/>
      <c r="BT80" s="80"/>
      <c r="BU80" s="80"/>
      <c r="BV80" s="80"/>
      <c r="BW80" s="82"/>
      <c r="BX80" s="79"/>
      <c r="BY80" s="79"/>
      <c r="BZ80" s="79"/>
      <c r="CA80" s="79"/>
      <c r="CB80" s="79"/>
      <c r="CC80" s="82"/>
      <c r="CD80" s="82"/>
      <c r="CE80" s="82"/>
      <c r="CF80" s="82"/>
      <c r="CG80" s="82"/>
      <c r="CH80" s="82"/>
      <c r="CI80" s="82"/>
      <c r="CJ80" s="79"/>
      <c r="CK80" s="79"/>
      <c r="CL80" s="79"/>
      <c r="CM80" s="79"/>
      <c r="CN80" s="79"/>
      <c r="CO80" s="79"/>
      <c r="CP80" s="13" t="s">
        <v>206</v>
      </c>
    </row>
    <row r="81" spans="1:94" ht="26.4">
      <c r="A81" s="98">
        <v>19</v>
      </c>
      <c r="B81" s="189" t="s">
        <v>502</v>
      </c>
      <c r="C81" s="188">
        <v>44996</v>
      </c>
      <c r="D81" s="47" t="s">
        <v>511</v>
      </c>
      <c r="E81" s="126"/>
      <c r="F81" s="154" t="s">
        <v>535</v>
      </c>
      <c r="G81" s="167">
        <v>2</v>
      </c>
      <c r="H81" s="167"/>
      <c r="I81" s="170" t="s">
        <v>503</v>
      </c>
      <c r="J81" s="180">
        <f t="shared" si="11"/>
        <v>2600000</v>
      </c>
      <c r="K81" s="181">
        <f t="shared" si="12"/>
        <v>500000</v>
      </c>
      <c r="L81" s="152"/>
      <c r="M81" s="152"/>
      <c r="N81" s="183">
        <f t="shared" si="13"/>
        <v>3100000</v>
      </c>
      <c r="O81" s="177" t="s">
        <v>504</v>
      </c>
      <c r="P81" s="145"/>
      <c r="Q81" s="141"/>
      <c r="R81" s="190"/>
      <c r="S81" s="83"/>
      <c r="T81" s="87"/>
      <c r="U81" s="87"/>
      <c r="V81" s="87"/>
      <c r="W81" s="44"/>
      <c r="X81" s="88"/>
      <c r="Y81" s="79"/>
      <c r="Z81" s="79"/>
      <c r="AA81" s="79"/>
      <c r="AB81" s="79"/>
      <c r="AC81" s="86"/>
      <c r="AD81" s="82"/>
      <c r="AE81" s="79"/>
      <c r="AF81" s="88"/>
      <c r="AG81" s="80"/>
      <c r="AH81" s="79"/>
      <c r="AI81" s="79"/>
      <c r="AJ81" s="79"/>
      <c r="AK81" s="80"/>
      <c r="AL81" s="80"/>
      <c r="AM81" s="80"/>
      <c r="AN81" s="79"/>
      <c r="AO81" s="80"/>
      <c r="AP81" s="80"/>
      <c r="AQ81" s="80"/>
      <c r="AR81" s="85"/>
      <c r="AS81" s="85"/>
      <c r="AT81" s="85"/>
      <c r="AU81" s="85"/>
      <c r="AV81" s="85"/>
      <c r="AW81" s="82"/>
      <c r="AX81" s="79"/>
      <c r="AY81" s="82"/>
      <c r="AZ81" s="82"/>
      <c r="BA81" s="86"/>
      <c r="BB81" s="79"/>
      <c r="BC81" s="79"/>
      <c r="BD81" s="79"/>
      <c r="BE81" s="82"/>
      <c r="BF81" s="85"/>
      <c r="BG81" s="79"/>
      <c r="BH81" s="79"/>
      <c r="BI81" s="79"/>
      <c r="BJ81" s="88"/>
      <c r="BK81" s="88"/>
      <c r="BL81" s="79"/>
      <c r="BM81" s="186" t="s">
        <v>123</v>
      </c>
      <c r="BN81" s="90"/>
      <c r="BO81" s="80"/>
      <c r="BP81" s="80"/>
      <c r="BQ81" s="80"/>
      <c r="BR81" s="80"/>
      <c r="BS81" s="80"/>
      <c r="BT81" s="80"/>
      <c r="BU81" s="80"/>
      <c r="BV81" s="80"/>
      <c r="BW81" s="82"/>
      <c r="BX81" s="79"/>
      <c r="BY81" s="79"/>
      <c r="BZ81" s="79"/>
      <c r="CA81" s="79"/>
      <c r="CB81" s="79"/>
      <c r="CC81" s="82"/>
      <c r="CD81" s="82"/>
      <c r="CE81" s="82"/>
      <c r="CF81" s="82"/>
      <c r="CG81" s="82"/>
      <c r="CH81" s="82"/>
      <c r="CI81" s="82"/>
      <c r="CJ81" s="79"/>
      <c r="CK81" s="79"/>
      <c r="CL81" s="79"/>
      <c r="CM81" s="79"/>
      <c r="CN81" s="79"/>
      <c r="CO81" s="79"/>
      <c r="CP81" s="13" t="s">
        <v>206</v>
      </c>
    </row>
    <row r="82" spans="1:94" ht="39.6">
      <c r="A82" s="98">
        <v>20</v>
      </c>
      <c r="B82" s="189" t="s">
        <v>505</v>
      </c>
      <c r="C82" s="188">
        <v>44998</v>
      </c>
      <c r="D82" s="47" t="s">
        <v>512</v>
      </c>
      <c r="E82" s="126"/>
      <c r="F82" s="154" t="s">
        <v>535</v>
      </c>
      <c r="G82" s="167">
        <v>3</v>
      </c>
      <c r="H82" s="167"/>
      <c r="I82" s="170" t="s">
        <v>525</v>
      </c>
      <c r="J82" s="180">
        <f t="shared" si="11"/>
        <v>3900000</v>
      </c>
      <c r="K82" s="181">
        <f t="shared" si="12"/>
        <v>750000</v>
      </c>
      <c r="L82" s="152"/>
      <c r="M82" s="152"/>
      <c r="N82" s="183">
        <f t="shared" si="13"/>
        <v>4650000</v>
      </c>
      <c r="O82" s="177">
        <v>225083189</v>
      </c>
      <c r="P82" s="145"/>
      <c r="Q82" s="141"/>
      <c r="R82" s="190"/>
      <c r="S82" s="83"/>
      <c r="T82" s="87"/>
      <c r="U82" s="87"/>
      <c r="V82" s="87"/>
      <c r="W82" s="44"/>
      <c r="X82" s="88"/>
      <c r="Y82" s="79"/>
      <c r="Z82" s="79"/>
      <c r="AA82" s="79"/>
      <c r="AB82" s="79"/>
      <c r="AC82" s="86"/>
      <c r="AD82" s="82"/>
      <c r="AE82" s="79"/>
      <c r="AF82" s="88"/>
      <c r="AG82" s="80"/>
      <c r="AH82" s="79"/>
      <c r="AI82" s="79"/>
      <c r="AJ82" s="79"/>
      <c r="AK82" s="80"/>
      <c r="AL82" s="80"/>
      <c r="AM82" s="80"/>
      <c r="AN82" s="79"/>
      <c r="AO82" s="80"/>
      <c r="AP82" s="80"/>
      <c r="AQ82" s="80"/>
      <c r="AR82" s="85"/>
      <c r="AS82" s="85"/>
      <c r="AT82" s="85"/>
      <c r="AU82" s="85"/>
      <c r="AV82" s="85"/>
      <c r="AW82" s="82"/>
      <c r="AX82" s="79"/>
      <c r="AY82" s="82"/>
      <c r="AZ82" s="82"/>
      <c r="BA82" s="86"/>
      <c r="BB82" s="79"/>
      <c r="BC82" s="79"/>
      <c r="BD82" s="79"/>
      <c r="BE82" s="82"/>
      <c r="BF82" s="85"/>
      <c r="BG82" s="79"/>
      <c r="BH82" s="79"/>
      <c r="BI82" s="79"/>
      <c r="BJ82" s="88"/>
      <c r="BK82" s="88"/>
      <c r="BL82" s="79"/>
      <c r="BM82" s="187" t="s">
        <v>136</v>
      </c>
      <c r="BN82" s="90"/>
      <c r="BO82" s="80"/>
      <c r="BP82" s="80"/>
      <c r="BQ82" s="80"/>
      <c r="BR82" s="80"/>
      <c r="BS82" s="80"/>
      <c r="BT82" s="80"/>
      <c r="BU82" s="80"/>
      <c r="BV82" s="80"/>
      <c r="BW82" s="82"/>
      <c r="BX82" s="79"/>
      <c r="BY82" s="79"/>
      <c r="BZ82" s="79"/>
      <c r="CA82" s="79"/>
      <c r="CB82" s="79"/>
      <c r="CC82" s="82"/>
      <c r="CD82" s="82"/>
      <c r="CE82" s="82"/>
      <c r="CF82" s="82"/>
      <c r="CG82" s="82"/>
      <c r="CH82" s="82"/>
      <c r="CI82" s="82"/>
      <c r="CJ82" s="79"/>
      <c r="CK82" s="79"/>
      <c r="CL82" s="79"/>
      <c r="CM82" s="79"/>
      <c r="CN82" s="79"/>
      <c r="CO82" s="79"/>
      <c r="CP82" s="13" t="s">
        <v>206</v>
      </c>
    </row>
    <row r="83" spans="1:94" ht="39.6">
      <c r="A83" s="98">
        <v>21</v>
      </c>
      <c r="B83" s="189" t="s">
        <v>506</v>
      </c>
      <c r="C83" s="188">
        <v>44998</v>
      </c>
      <c r="D83" s="47" t="s">
        <v>513</v>
      </c>
      <c r="E83" s="126"/>
      <c r="F83" s="154" t="s">
        <v>535</v>
      </c>
      <c r="G83" s="167">
        <v>3</v>
      </c>
      <c r="H83" s="167"/>
      <c r="I83" s="170" t="s">
        <v>526</v>
      </c>
      <c r="J83" s="180">
        <f t="shared" si="11"/>
        <v>3900000</v>
      </c>
      <c r="K83" s="181">
        <f t="shared" si="12"/>
        <v>750000</v>
      </c>
      <c r="L83" s="152"/>
      <c r="M83" s="152"/>
      <c r="N83" s="183">
        <f t="shared" si="13"/>
        <v>4650000</v>
      </c>
      <c r="O83" s="177" t="s">
        <v>521</v>
      </c>
      <c r="P83" s="145"/>
      <c r="Q83" s="141"/>
      <c r="R83" s="190"/>
      <c r="S83" s="83"/>
      <c r="T83" s="87"/>
      <c r="U83" s="87"/>
      <c r="V83" s="87"/>
      <c r="W83" s="44"/>
      <c r="X83" s="88"/>
      <c r="Y83" s="79"/>
      <c r="Z83" s="79"/>
      <c r="AA83" s="79"/>
      <c r="AB83" s="79"/>
      <c r="AC83" s="86"/>
      <c r="AD83" s="82"/>
      <c r="AE83" s="79"/>
      <c r="AF83" s="88"/>
      <c r="AG83" s="80"/>
      <c r="AH83" s="79"/>
      <c r="AI83" s="79"/>
      <c r="AJ83" s="79"/>
      <c r="AK83" s="80"/>
      <c r="AL83" s="80"/>
      <c r="AM83" s="80"/>
      <c r="AN83" s="79"/>
      <c r="AO83" s="80"/>
      <c r="AP83" s="80"/>
      <c r="AQ83" s="80"/>
      <c r="AR83" s="85"/>
      <c r="AS83" s="85"/>
      <c r="AT83" s="85"/>
      <c r="AU83" s="85"/>
      <c r="AV83" s="85"/>
      <c r="AW83" s="82"/>
      <c r="AX83" s="79"/>
      <c r="AY83" s="82"/>
      <c r="AZ83" s="82"/>
      <c r="BA83" s="86"/>
      <c r="BB83" s="79"/>
      <c r="BC83" s="79"/>
      <c r="BD83" s="79"/>
      <c r="BE83" s="82"/>
      <c r="BF83" s="85"/>
      <c r="BG83" s="79"/>
      <c r="BH83" s="79"/>
      <c r="BI83" s="79"/>
      <c r="BJ83" s="88"/>
      <c r="BK83" s="88"/>
      <c r="BL83" s="79"/>
      <c r="BM83" s="187" t="s">
        <v>136</v>
      </c>
      <c r="BN83" s="90"/>
      <c r="BO83" s="80"/>
      <c r="BP83" s="80"/>
      <c r="BQ83" s="80"/>
      <c r="BR83" s="80"/>
      <c r="BS83" s="80"/>
      <c r="BT83" s="80"/>
      <c r="BU83" s="80"/>
      <c r="BV83" s="80"/>
      <c r="BW83" s="82"/>
      <c r="BX83" s="79"/>
      <c r="BY83" s="79"/>
      <c r="BZ83" s="79"/>
      <c r="CA83" s="79"/>
      <c r="CB83" s="79"/>
      <c r="CC83" s="82"/>
      <c r="CD83" s="82"/>
      <c r="CE83" s="82"/>
      <c r="CF83" s="82"/>
      <c r="CG83" s="82"/>
      <c r="CH83" s="82"/>
      <c r="CI83" s="82"/>
      <c r="CJ83" s="79"/>
      <c r="CK83" s="79"/>
      <c r="CL83" s="79"/>
      <c r="CM83" s="79"/>
      <c r="CN83" s="79"/>
      <c r="CO83" s="79"/>
      <c r="CP83" s="13" t="s">
        <v>206</v>
      </c>
    </row>
    <row r="84" spans="1:94">
      <c r="A84" s="98">
        <v>22</v>
      </c>
      <c r="B84" s="189" t="s">
        <v>507</v>
      </c>
      <c r="C84" s="188">
        <v>44998</v>
      </c>
      <c r="D84" s="47" t="s">
        <v>514</v>
      </c>
      <c r="E84" s="126"/>
      <c r="F84" s="154" t="s">
        <v>535</v>
      </c>
      <c r="G84" s="167">
        <v>1</v>
      </c>
      <c r="H84" s="167"/>
      <c r="I84" s="170" t="s">
        <v>527</v>
      </c>
      <c r="J84" s="180">
        <f t="shared" si="11"/>
        <v>1300000</v>
      </c>
      <c r="K84" s="181">
        <f t="shared" si="12"/>
        <v>250000</v>
      </c>
      <c r="L84" s="152"/>
      <c r="M84" s="152"/>
      <c r="N84" s="183">
        <f t="shared" si="13"/>
        <v>1550000</v>
      </c>
      <c r="O84" s="177" t="s">
        <v>522</v>
      </c>
      <c r="P84" s="145"/>
      <c r="Q84" s="141"/>
      <c r="R84" s="190"/>
      <c r="S84" s="83"/>
      <c r="T84" s="87"/>
      <c r="U84" s="87"/>
      <c r="V84" s="87"/>
      <c r="W84" s="44"/>
      <c r="X84" s="88"/>
      <c r="Y84" s="79"/>
      <c r="Z84" s="79"/>
      <c r="AA84" s="79"/>
      <c r="AB84" s="79"/>
      <c r="AC84" s="86"/>
      <c r="AD84" s="82"/>
      <c r="AE84" s="79"/>
      <c r="AF84" s="88"/>
      <c r="AG84" s="80"/>
      <c r="AH84" s="79"/>
      <c r="AI84" s="79"/>
      <c r="AJ84" s="79"/>
      <c r="AK84" s="80"/>
      <c r="AL84" s="80"/>
      <c r="AM84" s="80"/>
      <c r="AN84" s="79"/>
      <c r="AO84" s="80"/>
      <c r="AP84" s="80"/>
      <c r="AQ84" s="80"/>
      <c r="AR84" s="85"/>
      <c r="AS84" s="85"/>
      <c r="AT84" s="85"/>
      <c r="AU84" s="85"/>
      <c r="AV84" s="85"/>
      <c r="AW84" s="82"/>
      <c r="AX84" s="79"/>
      <c r="AY84" s="82"/>
      <c r="AZ84" s="82"/>
      <c r="BA84" s="86"/>
      <c r="BB84" s="79"/>
      <c r="BC84" s="79"/>
      <c r="BD84" s="79"/>
      <c r="BE84" s="82"/>
      <c r="BF84" s="85"/>
      <c r="BG84" s="79"/>
      <c r="BH84" s="79"/>
      <c r="BI84" s="79"/>
      <c r="BJ84" s="88"/>
      <c r="BK84" s="88"/>
      <c r="BL84" s="79"/>
      <c r="BM84" s="186" t="s">
        <v>123</v>
      </c>
      <c r="BN84" s="90"/>
      <c r="BO84" s="80"/>
      <c r="BP84" s="80"/>
      <c r="BQ84" s="80"/>
      <c r="BR84" s="80"/>
      <c r="BS84" s="80"/>
      <c r="BT84" s="80"/>
      <c r="BU84" s="80"/>
      <c r="BV84" s="80"/>
      <c r="BW84" s="82"/>
      <c r="BX84" s="79"/>
      <c r="BY84" s="79"/>
      <c r="BZ84" s="79"/>
      <c r="CA84" s="79"/>
      <c r="CB84" s="79"/>
      <c r="CC84" s="82"/>
      <c r="CD84" s="82"/>
      <c r="CE84" s="82"/>
      <c r="CF84" s="82"/>
      <c r="CG84" s="82"/>
      <c r="CH84" s="82"/>
      <c r="CI84" s="82"/>
      <c r="CJ84" s="79"/>
      <c r="CK84" s="79"/>
      <c r="CL84" s="79"/>
      <c r="CM84" s="79"/>
      <c r="CN84" s="79"/>
      <c r="CO84" s="79"/>
      <c r="CP84" s="13" t="s">
        <v>206</v>
      </c>
    </row>
    <row r="85" spans="1:94" ht="26.4">
      <c r="A85" s="98">
        <v>23</v>
      </c>
      <c r="B85" s="189" t="s">
        <v>508</v>
      </c>
      <c r="C85" s="188">
        <v>44999</v>
      </c>
      <c r="D85" s="47" t="s">
        <v>515</v>
      </c>
      <c r="E85" s="126"/>
      <c r="F85" s="154" t="s">
        <v>535</v>
      </c>
      <c r="G85" s="167">
        <v>2</v>
      </c>
      <c r="H85" s="167"/>
      <c r="I85" s="170" t="s">
        <v>528</v>
      </c>
      <c r="J85" s="180">
        <f t="shared" si="11"/>
        <v>2600000</v>
      </c>
      <c r="K85" s="181">
        <f t="shared" si="12"/>
        <v>500000</v>
      </c>
      <c r="L85" s="152"/>
      <c r="M85" s="152"/>
      <c r="N85" s="183">
        <f t="shared" si="13"/>
        <v>3100000</v>
      </c>
      <c r="O85" s="177" t="s">
        <v>523</v>
      </c>
      <c r="P85" s="145"/>
      <c r="Q85" s="141"/>
      <c r="R85" s="190"/>
      <c r="S85" s="83"/>
      <c r="T85" s="87"/>
      <c r="U85" s="87"/>
      <c r="V85" s="87"/>
      <c r="W85" s="44"/>
      <c r="X85" s="88"/>
      <c r="Y85" s="79"/>
      <c r="Z85" s="79"/>
      <c r="AA85" s="79"/>
      <c r="AB85" s="79"/>
      <c r="AC85" s="86"/>
      <c r="AD85" s="82"/>
      <c r="AE85" s="79"/>
      <c r="AF85" s="88"/>
      <c r="AG85" s="80"/>
      <c r="AH85" s="79"/>
      <c r="AI85" s="79"/>
      <c r="AJ85" s="79"/>
      <c r="AK85" s="80"/>
      <c r="AL85" s="80"/>
      <c r="AM85" s="80"/>
      <c r="AN85" s="79"/>
      <c r="AO85" s="80"/>
      <c r="AP85" s="80"/>
      <c r="AQ85" s="80"/>
      <c r="AR85" s="85"/>
      <c r="AS85" s="85"/>
      <c r="AT85" s="85"/>
      <c r="AU85" s="85"/>
      <c r="AV85" s="85"/>
      <c r="AW85" s="82"/>
      <c r="AX85" s="79"/>
      <c r="AY85" s="82"/>
      <c r="AZ85" s="82"/>
      <c r="BA85" s="86"/>
      <c r="BB85" s="79"/>
      <c r="BC85" s="79"/>
      <c r="BD85" s="79"/>
      <c r="BE85" s="82"/>
      <c r="BF85" s="85"/>
      <c r="BG85" s="79"/>
      <c r="BH85" s="79"/>
      <c r="BI85" s="79"/>
      <c r="BJ85" s="88"/>
      <c r="BK85" s="88"/>
      <c r="BL85" s="79"/>
      <c r="BM85" s="186" t="s">
        <v>123</v>
      </c>
      <c r="BN85" s="90"/>
      <c r="BO85" s="80"/>
      <c r="BP85" s="80"/>
      <c r="BQ85" s="80"/>
      <c r="BR85" s="80"/>
      <c r="BS85" s="80"/>
      <c r="BT85" s="80"/>
      <c r="BU85" s="80"/>
      <c r="BV85" s="80"/>
      <c r="BW85" s="82"/>
      <c r="BX85" s="79"/>
      <c r="BY85" s="79"/>
      <c r="BZ85" s="79"/>
      <c r="CA85" s="79"/>
      <c r="CB85" s="79"/>
      <c r="CC85" s="82"/>
      <c r="CD85" s="82"/>
      <c r="CE85" s="82"/>
      <c r="CF85" s="82"/>
      <c r="CG85" s="82"/>
      <c r="CH85" s="82"/>
      <c r="CI85" s="82"/>
      <c r="CJ85" s="79"/>
      <c r="CK85" s="79"/>
      <c r="CL85" s="79"/>
      <c r="CM85" s="79"/>
      <c r="CN85" s="79"/>
      <c r="CO85" s="79"/>
      <c r="CP85" s="13" t="s">
        <v>206</v>
      </c>
    </row>
    <row r="86" spans="1:94">
      <c r="A86" s="98">
        <v>24</v>
      </c>
      <c r="B86" s="189" t="s">
        <v>509</v>
      </c>
      <c r="C86" s="188">
        <v>44999</v>
      </c>
      <c r="D86" s="47" t="s">
        <v>516</v>
      </c>
      <c r="E86" s="126"/>
      <c r="F86" s="154" t="s">
        <v>535</v>
      </c>
      <c r="G86" s="167">
        <v>1</v>
      </c>
      <c r="H86" s="167"/>
      <c r="I86" s="170" t="s">
        <v>529</v>
      </c>
      <c r="J86" s="180">
        <f t="shared" si="11"/>
        <v>1300000</v>
      </c>
      <c r="K86" s="181">
        <f t="shared" si="12"/>
        <v>250000</v>
      </c>
      <c r="L86" s="152"/>
      <c r="M86" s="152"/>
      <c r="N86" s="183">
        <f t="shared" si="13"/>
        <v>1550000</v>
      </c>
      <c r="O86" s="177" t="s">
        <v>524</v>
      </c>
      <c r="P86" s="145"/>
      <c r="Q86" s="141"/>
      <c r="R86" s="190"/>
      <c r="S86" s="83"/>
      <c r="T86" s="87"/>
      <c r="U86" s="87"/>
      <c r="V86" s="87"/>
      <c r="W86" s="44"/>
      <c r="X86" s="88"/>
      <c r="Y86" s="79"/>
      <c r="Z86" s="79"/>
      <c r="AA86" s="79"/>
      <c r="AB86" s="79"/>
      <c r="AC86" s="86"/>
      <c r="AD86" s="82"/>
      <c r="AE86" s="79"/>
      <c r="AF86" s="88"/>
      <c r="AG86" s="80"/>
      <c r="AH86" s="79"/>
      <c r="AI86" s="79"/>
      <c r="AJ86" s="79"/>
      <c r="AK86" s="80"/>
      <c r="AL86" s="80"/>
      <c r="AM86" s="80"/>
      <c r="AN86" s="79"/>
      <c r="AO86" s="80"/>
      <c r="AP86" s="80"/>
      <c r="AQ86" s="80"/>
      <c r="AR86" s="85"/>
      <c r="AS86" s="85"/>
      <c r="AT86" s="85"/>
      <c r="AU86" s="85"/>
      <c r="AV86" s="85"/>
      <c r="AW86" s="82"/>
      <c r="AX86" s="79"/>
      <c r="AY86" s="82"/>
      <c r="AZ86" s="82"/>
      <c r="BA86" s="86"/>
      <c r="BB86" s="79"/>
      <c r="BC86" s="79"/>
      <c r="BD86" s="79"/>
      <c r="BE86" s="82"/>
      <c r="BF86" s="85"/>
      <c r="BG86" s="79"/>
      <c r="BH86" s="79"/>
      <c r="BI86" s="79"/>
      <c r="BJ86" s="88"/>
      <c r="BK86" s="88"/>
      <c r="BL86" s="79"/>
      <c r="BM86" s="186" t="s">
        <v>123</v>
      </c>
      <c r="BN86" s="90"/>
      <c r="BO86" s="80"/>
      <c r="BP86" s="80"/>
      <c r="BQ86" s="80"/>
      <c r="BR86" s="80"/>
      <c r="BS86" s="80"/>
      <c r="BT86" s="80"/>
      <c r="BU86" s="80"/>
      <c r="BV86" s="80"/>
      <c r="BW86" s="82"/>
      <c r="BX86" s="79"/>
      <c r="BY86" s="79"/>
      <c r="BZ86" s="79"/>
      <c r="CA86" s="79"/>
      <c r="CB86" s="79"/>
      <c r="CC86" s="82"/>
      <c r="CD86" s="82"/>
      <c r="CE86" s="82"/>
      <c r="CF86" s="82"/>
      <c r="CG86" s="82"/>
      <c r="CH86" s="82"/>
      <c r="CI86" s="82"/>
      <c r="CJ86" s="79"/>
      <c r="CK86" s="79"/>
      <c r="CL86" s="79"/>
      <c r="CM86" s="79"/>
      <c r="CN86" s="79"/>
      <c r="CO86" s="79"/>
      <c r="CP86" s="13" t="s">
        <v>206</v>
      </c>
    </row>
    <row r="87" spans="1:94">
      <c r="A87" s="98">
        <v>1</v>
      </c>
      <c r="B87" s="178" t="s">
        <v>583</v>
      </c>
      <c r="C87" s="361" t="s">
        <v>597</v>
      </c>
      <c r="D87" s="47" t="s">
        <v>598</v>
      </c>
      <c r="E87" s="126"/>
      <c r="F87" s="154" t="s">
        <v>645</v>
      </c>
      <c r="G87" s="167"/>
      <c r="H87" s="167">
        <v>1</v>
      </c>
      <c r="I87" s="170" t="s">
        <v>617</v>
      </c>
      <c r="J87" s="180"/>
      <c r="K87" s="181">
        <f>SUM(G87:I87)*500000</f>
        <v>500000</v>
      </c>
      <c r="L87" s="182">
        <v>300000</v>
      </c>
      <c r="M87" s="152"/>
      <c r="N87" s="183">
        <f t="shared" ref="N87:N98" si="14">+SUM(J87:M87)</f>
        <v>800000</v>
      </c>
      <c r="O87" s="177" t="s">
        <v>609</v>
      </c>
      <c r="P87" s="145"/>
      <c r="Q87" s="141"/>
      <c r="R87" s="190"/>
      <c r="S87" s="83"/>
      <c r="T87" s="87"/>
      <c r="U87" s="87"/>
      <c r="V87" s="87"/>
      <c r="W87" s="44"/>
      <c r="X87" s="88"/>
      <c r="Y87" s="79"/>
      <c r="Z87" s="79"/>
      <c r="AA87" s="79"/>
      <c r="AB87" s="79"/>
      <c r="AC87" s="86"/>
      <c r="AD87" s="82"/>
      <c r="AE87" s="79"/>
      <c r="AF87" s="88"/>
      <c r="AG87" s="80"/>
      <c r="AH87" s="79"/>
      <c r="AI87" s="79"/>
      <c r="AJ87" s="79"/>
      <c r="AK87" s="80"/>
      <c r="AL87" s="80"/>
      <c r="AM87" s="80"/>
      <c r="AN87" s="79"/>
      <c r="AO87" s="80"/>
      <c r="AP87" s="80"/>
      <c r="AQ87" s="80"/>
      <c r="AR87" s="85"/>
      <c r="AS87" s="85"/>
      <c r="AT87" s="85"/>
      <c r="AU87" s="85"/>
      <c r="AV87" s="85"/>
      <c r="AW87" s="82"/>
      <c r="AX87" s="79"/>
      <c r="AY87" s="82"/>
      <c r="AZ87" s="82"/>
      <c r="BA87" s="86"/>
      <c r="BB87" s="79"/>
      <c r="BC87" s="79"/>
      <c r="BD87" s="79"/>
      <c r="BE87" s="82"/>
      <c r="BF87" s="85"/>
      <c r="BG87" s="79"/>
      <c r="BH87" s="79"/>
      <c r="BI87" s="79"/>
      <c r="BJ87" s="88"/>
      <c r="BK87" s="88"/>
      <c r="BL87" s="79"/>
      <c r="BM87" s="185"/>
      <c r="BN87" s="90"/>
      <c r="BO87" s="80"/>
      <c r="BP87" s="80"/>
      <c r="BQ87" s="80"/>
      <c r="BR87" s="80"/>
      <c r="BS87" s="80"/>
      <c r="BT87" s="80"/>
      <c r="BU87" s="80"/>
      <c r="BV87" s="80"/>
      <c r="BW87" s="82"/>
      <c r="BX87" s="79"/>
      <c r="BY87" s="79"/>
      <c r="BZ87" s="79"/>
      <c r="CA87" s="79"/>
      <c r="CB87" s="79"/>
      <c r="CC87" s="82"/>
      <c r="CD87" s="82"/>
      <c r="CE87" s="82"/>
      <c r="CF87" s="82"/>
      <c r="CG87" s="82"/>
      <c r="CH87" s="82"/>
      <c r="CI87" s="82"/>
      <c r="CJ87" s="79"/>
      <c r="CK87" s="79"/>
      <c r="CL87" s="79"/>
      <c r="CM87" s="79"/>
      <c r="CN87" s="79"/>
      <c r="CO87" s="79"/>
    </row>
    <row r="88" spans="1:94">
      <c r="A88" s="98">
        <v>2</v>
      </c>
      <c r="B88" s="178" t="s">
        <v>584</v>
      </c>
      <c r="C88" s="361" t="s">
        <v>597</v>
      </c>
      <c r="D88" s="47" t="s">
        <v>599</v>
      </c>
      <c r="E88" s="126"/>
      <c r="F88" s="154" t="s">
        <v>645</v>
      </c>
      <c r="G88" s="167"/>
      <c r="H88" s="167">
        <v>1</v>
      </c>
      <c r="I88" s="170" t="s">
        <v>618</v>
      </c>
      <c r="J88" s="180"/>
      <c r="K88" s="181">
        <f t="shared" ref="K88:K103" si="15">SUM(G88:I88)*500000</f>
        <v>500000</v>
      </c>
      <c r="L88" s="182">
        <v>300000</v>
      </c>
      <c r="M88" s="152"/>
      <c r="N88" s="183">
        <f t="shared" si="14"/>
        <v>800000</v>
      </c>
      <c r="O88" s="177" t="s">
        <v>609</v>
      </c>
      <c r="P88" s="145"/>
      <c r="Q88" s="141"/>
      <c r="R88" s="190"/>
      <c r="S88" s="83"/>
      <c r="T88" s="87"/>
      <c r="U88" s="87"/>
      <c r="V88" s="87"/>
      <c r="W88" s="44"/>
      <c r="X88" s="88"/>
      <c r="Y88" s="79"/>
      <c r="Z88" s="79"/>
      <c r="AA88" s="79"/>
      <c r="AB88" s="79"/>
      <c r="AC88" s="86"/>
      <c r="AD88" s="82"/>
      <c r="AE88" s="79"/>
      <c r="AF88" s="88"/>
      <c r="AG88" s="80"/>
      <c r="AH88" s="79"/>
      <c r="AI88" s="79"/>
      <c r="AJ88" s="79"/>
      <c r="AK88" s="80"/>
      <c r="AL88" s="80"/>
      <c r="AM88" s="80"/>
      <c r="AN88" s="79"/>
      <c r="AO88" s="80"/>
      <c r="AP88" s="80"/>
      <c r="AQ88" s="80"/>
      <c r="AR88" s="85"/>
      <c r="AS88" s="85"/>
      <c r="AT88" s="85"/>
      <c r="AU88" s="85"/>
      <c r="AV88" s="85"/>
      <c r="AW88" s="82"/>
      <c r="AX88" s="79"/>
      <c r="AY88" s="82"/>
      <c r="AZ88" s="82"/>
      <c r="BA88" s="86"/>
      <c r="BB88" s="79"/>
      <c r="BC88" s="79"/>
      <c r="BD88" s="79"/>
      <c r="BE88" s="82"/>
      <c r="BF88" s="85"/>
      <c r="BG88" s="79"/>
      <c r="BH88" s="79"/>
      <c r="BI88" s="79"/>
      <c r="BJ88" s="88"/>
      <c r="BK88" s="88"/>
      <c r="BL88" s="79"/>
      <c r="BM88" s="185"/>
      <c r="BN88" s="90"/>
      <c r="BO88" s="80"/>
      <c r="BP88" s="80"/>
      <c r="BQ88" s="80"/>
      <c r="BR88" s="80"/>
      <c r="BS88" s="80"/>
      <c r="BT88" s="80"/>
      <c r="BU88" s="80"/>
      <c r="BV88" s="80"/>
      <c r="BW88" s="82"/>
      <c r="BX88" s="79"/>
      <c r="BY88" s="79"/>
      <c r="BZ88" s="79"/>
      <c r="CA88" s="79"/>
      <c r="CB88" s="79"/>
      <c r="CC88" s="82"/>
      <c r="CD88" s="82"/>
      <c r="CE88" s="82"/>
      <c r="CF88" s="82"/>
      <c r="CG88" s="82"/>
      <c r="CH88" s="82"/>
      <c r="CI88" s="82"/>
      <c r="CJ88" s="79"/>
      <c r="CK88" s="79"/>
      <c r="CL88" s="79"/>
      <c r="CM88" s="79"/>
      <c r="CN88" s="79"/>
      <c r="CO88" s="79"/>
    </row>
    <row r="89" spans="1:94">
      <c r="A89" s="98">
        <v>3</v>
      </c>
      <c r="B89" s="178" t="s">
        <v>585</v>
      </c>
      <c r="C89" s="361" t="s">
        <v>597</v>
      </c>
      <c r="D89" s="47" t="s">
        <v>600</v>
      </c>
      <c r="E89" s="126"/>
      <c r="F89" s="154" t="s">
        <v>645</v>
      </c>
      <c r="G89" s="167">
        <v>1</v>
      </c>
      <c r="H89" s="167"/>
      <c r="I89" s="170" t="s">
        <v>619</v>
      </c>
      <c r="J89" s="180"/>
      <c r="K89" s="181">
        <f t="shared" si="15"/>
        <v>500000</v>
      </c>
      <c r="L89" s="182">
        <v>300000</v>
      </c>
      <c r="M89" s="152"/>
      <c r="N89" s="183">
        <f t="shared" si="14"/>
        <v>800000</v>
      </c>
      <c r="O89" s="177" t="s">
        <v>610</v>
      </c>
      <c r="P89" s="145"/>
      <c r="Q89" s="141"/>
      <c r="R89" s="190"/>
      <c r="S89" s="83"/>
      <c r="T89" s="87"/>
      <c r="U89" s="87"/>
      <c r="V89" s="87"/>
      <c r="W89" s="44"/>
      <c r="X89" s="88"/>
      <c r="Y89" s="79"/>
      <c r="Z89" s="79"/>
      <c r="AA89" s="79"/>
      <c r="AB89" s="79"/>
      <c r="AC89" s="86"/>
      <c r="AD89" s="82"/>
      <c r="AE89" s="79"/>
      <c r="AF89" s="88"/>
      <c r="AG89" s="80"/>
      <c r="AH89" s="79"/>
      <c r="AI89" s="79"/>
      <c r="AJ89" s="79"/>
      <c r="AK89" s="80"/>
      <c r="AL89" s="80"/>
      <c r="AM89" s="80"/>
      <c r="AN89" s="79"/>
      <c r="AO89" s="80"/>
      <c r="AP89" s="80"/>
      <c r="AQ89" s="80"/>
      <c r="AR89" s="85"/>
      <c r="AS89" s="85"/>
      <c r="AT89" s="85"/>
      <c r="AU89" s="85"/>
      <c r="AV89" s="85"/>
      <c r="AW89" s="82"/>
      <c r="AX89" s="79"/>
      <c r="AY89" s="82"/>
      <c r="AZ89" s="82"/>
      <c r="BA89" s="86"/>
      <c r="BB89" s="79"/>
      <c r="BC89" s="79"/>
      <c r="BD89" s="79"/>
      <c r="BE89" s="82"/>
      <c r="BF89" s="85"/>
      <c r="BG89" s="79"/>
      <c r="BH89" s="79"/>
      <c r="BI89" s="79"/>
      <c r="BJ89" s="88"/>
      <c r="BK89" s="88"/>
      <c r="BL89" s="79"/>
      <c r="BM89" s="185"/>
      <c r="BN89" s="90"/>
      <c r="BO89" s="80"/>
      <c r="BP89" s="80"/>
      <c r="BQ89" s="80"/>
      <c r="BR89" s="80"/>
      <c r="BS89" s="80"/>
      <c r="BT89" s="80"/>
      <c r="BU89" s="80"/>
      <c r="BV89" s="80"/>
      <c r="BW89" s="82"/>
      <c r="BX89" s="79"/>
      <c r="BY89" s="79"/>
      <c r="BZ89" s="79"/>
      <c r="CA89" s="79"/>
      <c r="CB89" s="79"/>
      <c r="CC89" s="82"/>
      <c r="CD89" s="82"/>
      <c r="CE89" s="82"/>
      <c r="CF89" s="82"/>
      <c r="CG89" s="82"/>
      <c r="CH89" s="82"/>
      <c r="CI89" s="82"/>
      <c r="CJ89" s="79"/>
      <c r="CK89" s="79"/>
      <c r="CL89" s="79"/>
      <c r="CM89" s="79"/>
      <c r="CN89" s="79"/>
      <c r="CO89" s="79"/>
    </row>
    <row r="90" spans="1:94">
      <c r="A90" s="98">
        <v>4</v>
      </c>
      <c r="B90" s="178" t="s">
        <v>586</v>
      </c>
      <c r="C90" s="361" t="s">
        <v>597</v>
      </c>
      <c r="D90" s="47" t="s">
        <v>601</v>
      </c>
      <c r="E90" s="126"/>
      <c r="F90" s="154" t="s">
        <v>645</v>
      </c>
      <c r="G90" s="167"/>
      <c r="H90" s="167">
        <v>1</v>
      </c>
      <c r="I90" s="170" t="s">
        <v>620</v>
      </c>
      <c r="J90" s="180"/>
      <c r="K90" s="181">
        <f t="shared" si="15"/>
        <v>500000</v>
      </c>
      <c r="L90" s="182">
        <v>300000</v>
      </c>
      <c r="M90" s="152"/>
      <c r="N90" s="183">
        <f t="shared" si="14"/>
        <v>800000</v>
      </c>
      <c r="O90" s="177">
        <v>2716120860</v>
      </c>
      <c r="P90" s="145"/>
      <c r="Q90" s="141"/>
      <c r="R90" s="190"/>
      <c r="S90" s="83"/>
      <c r="T90" s="87"/>
      <c r="U90" s="87"/>
      <c r="V90" s="87"/>
      <c r="W90" s="44"/>
      <c r="X90" s="88"/>
      <c r="Y90" s="79"/>
      <c r="Z90" s="79"/>
      <c r="AA90" s="79"/>
      <c r="AB90" s="79"/>
      <c r="AC90" s="86"/>
      <c r="AD90" s="82"/>
      <c r="AE90" s="79"/>
      <c r="AF90" s="88"/>
      <c r="AG90" s="80"/>
      <c r="AH90" s="79"/>
      <c r="AI90" s="79"/>
      <c r="AJ90" s="79"/>
      <c r="AK90" s="80"/>
      <c r="AL90" s="80"/>
      <c r="AM90" s="80"/>
      <c r="AN90" s="79"/>
      <c r="AO90" s="80"/>
      <c r="AP90" s="80"/>
      <c r="AQ90" s="80"/>
      <c r="AR90" s="85"/>
      <c r="AS90" s="85"/>
      <c r="AT90" s="85"/>
      <c r="AU90" s="85"/>
      <c r="AV90" s="85"/>
      <c r="AW90" s="82"/>
      <c r="AX90" s="79"/>
      <c r="AY90" s="82"/>
      <c r="AZ90" s="82"/>
      <c r="BA90" s="86"/>
      <c r="BB90" s="79"/>
      <c r="BC90" s="79"/>
      <c r="BD90" s="79"/>
      <c r="BE90" s="82"/>
      <c r="BF90" s="85"/>
      <c r="BG90" s="79"/>
      <c r="BH90" s="79"/>
      <c r="BI90" s="79"/>
      <c r="BJ90" s="88"/>
      <c r="BK90" s="88"/>
      <c r="BL90" s="79"/>
      <c r="BM90" s="185"/>
      <c r="BN90" s="90"/>
      <c r="BO90" s="80"/>
      <c r="BP90" s="80"/>
      <c r="BQ90" s="80"/>
      <c r="BR90" s="80"/>
      <c r="BS90" s="80"/>
      <c r="BT90" s="80"/>
      <c r="BU90" s="80"/>
      <c r="BV90" s="80"/>
      <c r="BW90" s="82"/>
      <c r="BX90" s="79"/>
      <c r="BY90" s="79"/>
      <c r="BZ90" s="79"/>
      <c r="CA90" s="79"/>
      <c r="CB90" s="79"/>
      <c r="CC90" s="82"/>
      <c r="CD90" s="82"/>
      <c r="CE90" s="82"/>
      <c r="CF90" s="82"/>
      <c r="CG90" s="82"/>
      <c r="CH90" s="82"/>
      <c r="CI90" s="82"/>
      <c r="CJ90" s="79"/>
      <c r="CK90" s="79"/>
      <c r="CL90" s="79"/>
      <c r="CM90" s="79"/>
      <c r="CN90" s="79"/>
      <c r="CO90" s="79"/>
    </row>
    <row r="91" spans="1:94">
      <c r="A91" s="98">
        <v>5</v>
      </c>
      <c r="B91" s="178" t="s">
        <v>587</v>
      </c>
      <c r="C91" s="361" t="s">
        <v>597</v>
      </c>
      <c r="D91" s="47" t="s">
        <v>602</v>
      </c>
      <c r="E91" s="126"/>
      <c r="F91" s="154" t="s">
        <v>645</v>
      </c>
      <c r="G91" s="167"/>
      <c r="H91" s="167">
        <v>1</v>
      </c>
      <c r="I91" s="170" t="s">
        <v>621</v>
      </c>
      <c r="J91" s="180"/>
      <c r="K91" s="181">
        <f t="shared" si="15"/>
        <v>500000</v>
      </c>
      <c r="L91" s="182">
        <v>300000</v>
      </c>
      <c r="M91" s="152"/>
      <c r="N91" s="183">
        <f t="shared" si="14"/>
        <v>800000</v>
      </c>
      <c r="O91" s="177">
        <v>2716117760</v>
      </c>
      <c r="P91" s="145"/>
      <c r="Q91" s="141"/>
      <c r="R91" s="190"/>
      <c r="S91" s="83"/>
      <c r="T91" s="87"/>
      <c r="U91" s="87"/>
      <c r="V91" s="87"/>
      <c r="W91" s="44"/>
      <c r="X91" s="88"/>
      <c r="Y91" s="79"/>
      <c r="Z91" s="79"/>
      <c r="AA91" s="79"/>
      <c r="AB91" s="79"/>
      <c r="AC91" s="86"/>
      <c r="AD91" s="82"/>
      <c r="AE91" s="79"/>
      <c r="AF91" s="88"/>
      <c r="AG91" s="80"/>
      <c r="AH91" s="79"/>
      <c r="AI91" s="79"/>
      <c r="AJ91" s="79"/>
      <c r="AK91" s="80"/>
      <c r="AL91" s="80"/>
      <c r="AM91" s="80"/>
      <c r="AN91" s="79"/>
      <c r="AO91" s="80"/>
      <c r="AP91" s="80"/>
      <c r="AQ91" s="80"/>
      <c r="AR91" s="85"/>
      <c r="AS91" s="85"/>
      <c r="AT91" s="85"/>
      <c r="AU91" s="85"/>
      <c r="AV91" s="85"/>
      <c r="AW91" s="82"/>
      <c r="AX91" s="79"/>
      <c r="AY91" s="82"/>
      <c r="AZ91" s="82"/>
      <c r="BA91" s="86"/>
      <c r="BB91" s="79"/>
      <c r="BC91" s="79"/>
      <c r="BD91" s="79"/>
      <c r="BE91" s="82"/>
      <c r="BF91" s="85"/>
      <c r="BG91" s="79"/>
      <c r="BH91" s="79"/>
      <c r="BI91" s="79"/>
      <c r="BJ91" s="88"/>
      <c r="BK91" s="88"/>
      <c r="BL91" s="79"/>
      <c r="BM91" s="185"/>
      <c r="BN91" s="90"/>
      <c r="BO91" s="80"/>
      <c r="BP91" s="80"/>
      <c r="BQ91" s="80"/>
      <c r="BR91" s="80"/>
      <c r="BS91" s="80"/>
      <c r="BT91" s="80"/>
      <c r="BU91" s="80"/>
      <c r="BV91" s="80"/>
      <c r="BW91" s="82"/>
      <c r="BX91" s="79"/>
      <c r="BY91" s="79"/>
      <c r="BZ91" s="79"/>
      <c r="CA91" s="79"/>
      <c r="CB91" s="79"/>
      <c r="CC91" s="82"/>
      <c r="CD91" s="82"/>
      <c r="CE91" s="82"/>
      <c r="CF91" s="82"/>
      <c r="CG91" s="82"/>
      <c r="CH91" s="82"/>
      <c r="CI91" s="82"/>
      <c r="CJ91" s="79"/>
      <c r="CK91" s="79"/>
      <c r="CL91" s="79"/>
      <c r="CM91" s="79"/>
      <c r="CN91" s="79"/>
      <c r="CO91" s="79"/>
    </row>
    <row r="92" spans="1:94">
      <c r="A92" s="98">
        <v>6</v>
      </c>
      <c r="B92" s="178" t="s">
        <v>589</v>
      </c>
      <c r="C92" s="361" t="s">
        <v>546</v>
      </c>
      <c r="D92" s="47" t="s">
        <v>603</v>
      </c>
      <c r="E92" s="126"/>
      <c r="F92" s="154" t="s">
        <v>645</v>
      </c>
      <c r="G92" s="167"/>
      <c r="H92" s="167">
        <v>1</v>
      </c>
      <c r="I92" s="170" t="s">
        <v>622</v>
      </c>
      <c r="J92" s="180"/>
      <c r="K92" s="181">
        <f t="shared" si="15"/>
        <v>500000</v>
      </c>
      <c r="L92" s="182">
        <v>300000</v>
      </c>
      <c r="M92" s="152"/>
      <c r="N92" s="183">
        <f t="shared" si="14"/>
        <v>800000</v>
      </c>
      <c r="O92" s="177" t="s">
        <v>611</v>
      </c>
      <c r="P92" s="145"/>
      <c r="Q92" s="141"/>
      <c r="R92" s="190"/>
      <c r="S92" s="83"/>
      <c r="T92" s="87"/>
      <c r="U92" s="87"/>
      <c r="V92" s="87"/>
      <c r="W92" s="44"/>
      <c r="X92" s="88"/>
      <c r="Y92" s="79"/>
      <c r="Z92" s="79"/>
      <c r="AA92" s="79"/>
      <c r="AB92" s="79"/>
      <c r="AC92" s="86"/>
      <c r="AD92" s="82"/>
      <c r="AE92" s="79"/>
      <c r="AF92" s="88"/>
      <c r="AG92" s="80"/>
      <c r="AH92" s="79"/>
      <c r="AI92" s="79"/>
      <c r="AJ92" s="79"/>
      <c r="AK92" s="80"/>
      <c r="AL92" s="80"/>
      <c r="AM92" s="80"/>
      <c r="AN92" s="79"/>
      <c r="AO92" s="80"/>
      <c r="AP92" s="80"/>
      <c r="AQ92" s="80"/>
      <c r="AR92" s="85"/>
      <c r="AS92" s="85"/>
      <c r="AT92" s="85"/>
      <c r="AU92" s="85"/>
      <c r="AV92" s="85"/>
      <c r="AW92" s="82"/>
      <c r="AX92" s="79"/>
      <c r="AY92" s="82"/>
      <c r="AZ92" s="82"/>
      <c r="BA92" s="86"/>
      <c r="BB92" s="79"/>
      <c r="BC92" s="79"/>
      <c r="BD92" s="79"/>
      <c r="BE92" s="82"/>
      <c r="BF92" s="85"/>
      <c r="BG92" s="79"/>
      <c r="BH92" s="79"/>
      <c r="BI92" s="79"/>
      <c r="BJ92" s="88"/>
      <c r="BK92" s="88"/>
      <c r="BL92" s="79"/>
      <c r="BM92" s="185"/>
      <c r="BN92" s="90"/>
      <c r="BO92" s="80"/>
      <c r="BP92" s="80"/>
      <c r="BQ92" s="80"/>
      <c r="BR92" s="80"/>
      <c r="BS92" s="80"/>
      <c r="BT92" s="80"/>
      <c r="BU92" s="80"/>
      <c r="BV92" s="80"/>
      <c r="BW92" s="82"/>
      <c r="BX92" s="79"/>
      <c r="BY92" s="79"/>
      <c r="BZ92" s="79"/>
      <c r="CA92" s="79"/>
      <c r="CB92" s="79"/>
      <c r="CC92" s="82"/>
      <c r="CD92" s="82"/>
      <c r="CE92" s="82"/>
      <c r="CF92" s="82"/>
      <c r="CG92" s="82"/>
      <c r="CH92" s="82"/>
      <c r="CI92" s="82"/>
      <c r="CJ92" s="79"/>
      <c r="CK92" s="79"/>
      <c r="CL92" s="79"/>
      <c r="CM92" s="79"/>
      <c r="CN92" s="79"/>
      <c r="CO92" s="79"/>
    </row>
    <row r="93" spans="1:94" ht="26.4">
      <c r="A93" s="98">
        <v>7</v>
      </c>
      <c r="B93" s="319" t="s">
        <v>590</v>
      </c>
      <c r="C93" s="361" t="s">
        <v>546</v>
      </c>
      <c r="D93" s="47" t="s">
        <v>604</v>
      </c>
      <c r="E93" s="126"/>
      <c r="F93" s="154" t="s">
        <v>645</v>
      </c>
      <c r="G93" s="167"/>
      <c r="H93" s="167">
        <v>1</v>
      </c>
      <c r="I93" s="170" t="s">
        <v>623</v>
      </c>
      <c r="J93" s="180"/>
      <c r="K93" s="181">
        <f t="shared" si="15"/>
        <v>500000</v>
      </c>
      <c r="L93" s="182">
        <v>300000</v>
      </c>
      <c r="M93" s="152"/>
      <c r="N93" s="183">
        <f t="shared" si="14"/>
        <v>800000</v>
      </c>
      <c r="O93" s="177" t="s">
        <v>612</v>
      </c>
      <c r="P93" s="145"/>
      <c r="Q93" s="141"/>
      <c r="R93" s="190"/>
      <c r="S93" s="83"/>
      <c r="T93" s="87"/>
      <c r="U93" s="87"/>
      <c r="V93" s="87"/>
      <c r="W93" s="44"/>
      <c r="X93" s="88"/>
      <c r="Y93" s="79"/>
      <c r="Z93" s="79"/>
      <c r="AA93" s="79"/>
      <c r="AB93" s="79"/>
      <c r="AC93" s="86"/>
      <c r="AD93" s="82"/>
      <c r="AE93" s="79"/>
      <c r="AF93" s="88"/>
      <c r="AG93" s="80"/>
      <c r="AH93" s="79"/>
      <c r="AI93" s="79"/>
      <c r="AJ93" s="79"/>
      <c r="AK93" s="80"/>
      <c r="AL93" s="80"/>
      <c r="AM93" s="80"/>
      <c r="AN93" s="79"/>
      <c r="AO93" s="80"/>
      <c r="AP93" s="80"/>
      <c r="AQ93" s="80"/>
      <c r="AR93" s="85"/>
      <c r="AS93" s="85"/>
      <c r="AT93" s="85"/>
      <c r="AU93" s="85"/>
      <c r="AV93" s="85"/>
      <c r="AW93" s="82"/>
      <c r="AX93" s="79"/>
      <c r="AY93" s="82"/>
      <c r="AZ93" s="82"/>
      <c r="BA93" s="86"/>
      <c r="BB93" s="79"/>
      <c r="BC93" s="79"/>
      <c r="BD93" s="79"/>
      <c r="BE93" s="82"/>
      <c r="BF93" s="85"/>
      <c r="BG93" s="79"/>
      <c r="BH93" s="79"/>
      <c r="BI93" s="79"/>
      <c r="BJ93" s="88"/>
      <c r="BK93" s="88"/>
      <c r="BL93" s="79"/>
      <c r="BM93" s="185"/>
      <c r="BN93" s="90"/>
      <c r="BO93" s="80"/>
      <c r="BP93" s="80"/>
      <c r="BQ93" s="80"/>
      <c r="BR93" s="80"/>
      <c r="BS93" s="80"/>
      <c r="BT93" s="80"/>
      <c r="BU93" s="80"/>
      <c r="BV93" s="80"/>
      <c r="BW93" s="82"/>
      <c r="BX93" s="79"/>
      <c r="BY93" s="79"/>
      <c r="BZ93" s="79"/>
      <c r="CA93" s="79"/>
      <c r="CB93" s="79"/>
      <c r="CC93" s="82"/>
      <c r="CD93" s="82"/>
      <c r="CE93" s="82"/>
      <c r="CF93" s="82"/>
      <c r="CG93" s="82"/>
      <c r="CH93" s="82"/>
      <c r="CI93" s="82"/>
      <c r="CJ93" s="79"/>
      <c r="CK93" s="79"/>
      <c r="CL93" s="79"/>
      <c r="CM93" s="79"/>
      <c r="CN93" s="79"/>
      <c r="CO93" s="79"/>
    </row>
    <row r="94" spans="1:94">
      <c r="A94" s="98">
        <v>8</v>
      </c>
      <c r="B94" s="178" t="s">
        <v>592</v>
      </c>
      <c r="C94" s="361" t="s">
        <v>547</v>
      </c>
      <c r="D94" s="47" t="s">
        <v>605</v>
      </c>
      <c r="E94" s="126"/>
      <c r="F94" s="154" t="s">
        <v>645</v>
      </c>
      <c r="G94" s="167"/>
      <c r="H94" s="167">
        <v>1</v>
      </c>
      <c r="I94" s="170" t="s">
        <v>624</v>
      </c>
      <c r="J94" s="180"/>
      <c r="K94" s="181">
        <f t="shared" si="15"/>
        <v>500000</v>
      </c>
      <c r="L94" s="182">
        <v>300000</v>
      </c>
      <c r="M94" s="152"/>
      <c r="N94" s="183">
        <f t="shared" si="14"/>
        <v>800000</v>
      </c>
      <c r="O94" s="177" t="s">
        <v>613</v>
      </c>
      <c r="P94" s="145"/>
      <c r="Q94" s="141"/>
      <c r="R94" s="190"/>
      <c r="S94" s="83"/>
      <c r="T94" s="87"/>
      <c r="U94" s="87"/>
      <c r="V94" s="87"/>
      <c r="W94" s="44"/>
      <c r="X94" s="88"/>
      <c r="Y94" s="79"/>
      <c r="Z94" s="79"/>
      <c r="AA94" s="79"/>
      <c r="AB94" s="79"/>
      <c r="AC94" s="86"/>
      <c r="AD94" s="82"/>
      <c r="AE94" s="79"/>
      <c r="AF94" s="88"/>
      <c r="AG94" s="80"/>
      <c r="AH94" s="79"/>
      <c r="AI94" s="79"/>
      <c r="AJ94" s="79"/>
      <c r="AK94" s="80"/>
      <c r="AL94" s="80"/>
      <c r="AM94" s="80"/>
      <c r="AN94" s="79"/>
      <c r="AO94" s="80"/>
      <c r="AP94" s="80"/>
      <c r="AQ94" s="80"/>
      <c r="AR94" s="85"/>
      <c r="AS94" s="85"/>
      <c r="AT94" s="85"/>
      <c r="AU94" s="85"/>
      <c r="AV94" s="85"/>
      <c r="AW94" s="82"/>
      <c r="AX94" s="79"/>
      <c r="AY94" s="82"/>
      <c r="AZ94" s="82"/>
      <c r="BA94" s="86"/>
      <c r="BB94" s="79"/>
      <c r="BC94" s="79"/>
      <c r="BD94" s="79"/>
      <c r="BE94" s="82"/>
      <c r="BF94" s="85"/>
      <c r="BG94" s="79"/>
      <c r="BH94" s="79"/>
      <c r="BI94" s="79"/>
      <c r="BJ94" s="88"/>
      <c r="BK94" s="88"/>
      <c r="BL94" s="79"/>
      <c r="BM94" s="185"/>
      <c r="BN94" s="90"/>
      <c r="BO94" s="80"/>
      <c r="BP94" s="80"/>
      <c r="BQ94" s="80"/>
      <c r="BR94" s="80"/>
      <c r="BS94" s="80"/>
      <c r="BT94" s="80"/>
      <c r="BU94" s="80"/>
      <c r="BV94" s="80"/>
      <c r="BW94" s="82"/>
      <c r="BX94" s="79"/>
      <c r="BY94" s="79"/>
      <c r="BZ94" s="79"/>
      <c r="CA94" s="79"/>
      <c r="CB94" s="79"/>
      <c r="CC94" s="82"/>
      <c r="CD94" s="82"/>
      <c r="CE94" s="82"/>
      <c r="CF94" s="82"/>
      <c r="CG94" s="82"/>
      <c r="CH94" s="82"/>
      <c r="CI94" s="82"/>
      <c r="CJ94" s="79"/>
      <c r="CK94" s="79"/>
      <c r="CL94" s="79"/>
      <c r="CM94" s="79"/>
      <c r="CN94" s="79"/>
      <c r="CO94" s="79"/>
    </row>
    <row r="95" spans="1:94">
      <c r="A95" s="98">
        <v>9</v>
      </c>
      <c r="B95" s="178" t="s">
        <v>593</v>
      </c>
      <c r="C95" s="361" t="s">
        <v>553</v>
      </c>
      <c r="D95" s="47" t="s">
        <v>606</v>
      </c>
      <c r="E95" s="126"/>
      <c r="F95" s="154" t="s">
        <v>645</v>
      </c>
      <c r="G95" s="167"/>
      <c r="H95" s="167">
        <v>1</v>
      </c>
      <c r="I95" s="170" t="s">
        <v>625</v>
      </c>
      <c r="J95" s="180"/>
      <c r="K95" s="181">
        <f t="shared" si="15"/>
        <v>500000</v>
      </c>
      <c r="L95" s="182">
        <v>300000</v>
      </c>
      <c r="M95" s="152"/>
      <c r="N95" s="183">
        <f t="shared" si="14"/>
        <v>800000</v>
      </c>
      <c r="O95" s="177" t="s">
        <v>614</v>
      </c>
      <c r="P95" s="145"/>
      <c r="Q95" s="141"/>
      <c r="R95" s="190"/>
      <c r="S95" s="83"/>
      <c r="T95" s="87"/>
      <c r="U95" s="87"/>
      <c r="V95" s="87"/>
      <c r="W95" s="44"/>
      <c r="X95" s="88"/>
      <c r="Y95" s="79"/>
      <c r="Z95" s="79"/>
      <c r="AA95" s="79"/>
      <c r="AB95" s="79"/>
      <c r="AC95" s="86"/>
      <c r="AD95" s="82"/>
      <c r="AE95" s="79"/>
      <c r="AF95" s="88"/>
      <c r="AG95" s="80"/>
      <c r="AH95" s="79"/>
      <c r="AI95" s="79"/>
      <c r="AJ95" s="79"/>
      <c r="AK95" s="80"/>
      <c r="AL95" s="80"/>
      <c r="AM95" s="80"/>
      <c r="AN95" s="79"/>
      <c r="AO95" s="80"/>
      <c r="AP95" s="80"/>
      <c r="AQ95" s="80"/>
      <c r="AR95" s="85"/>
      <c r="AS95" s="85"/>
      <c r="AT95" s="85"/>
      <c r="AU95" s="85"/>
      <c r="AV95" s="85"/>
      <c r="AW95" s="82"/>
      <c r="AX95" s="79"/>
      <c r="AY95" s="82"/>
      <c r="AZ95" s="82"/>
      <c r="BA95" s="86"/>
      <c r="BB95" s="79"/>
      <c r="BC95" s="79"/>
      <c r="BD95" s="79"/>
      <c r="BE95" s="82"/>
      <c r="BF95" s="85"/>
      <c r="BG95" s="79"/>
      <c r="BH95" s="79"/>
      <c r="BI95" s="79"/>
      <c r="BJ95" s="88"/>
      <c r="BK95" s="88"/>
      <c r="BL95" s="79"/>
      <c r="BM95" s="185"/>
      <c r="BN95" s="90"/>
      <c r="BO95" s="80"/>
      <c r="BP95" s="80"/>
      <c r="BQ95" s="80"/>
      <c r="BR95" s="80"/>
      <c r="BS95" s="80"/>
      <c r="BT95" s="80"/>
      <c r="BU95" s="80"/>
      <c r="BV95" s="80"/>
      <c r="BW95" s="82"/>
      <c r="BX95" s="79"/>
      <c r="BY95" s="79"/>
      <c r="BZ95" s="79"/>
      <c r="CA95" s="79"/>
      <c r="CB95" s="79"/>
      <c r="CC95" s="82"/>
      <c r="CD95" s="82"/>
      <c r="CE95" s="82"/>
      <c r="CF95" s="82"/>
      <c r="CG95" s="82"/>
      <c r="CH95" s="82"/>
      <c r="CI95" s="82"/>
      <c r="CJ95" s="79"/>
      <c r="CK95" s="79"/>
      <c r="CL95" s="79"/>
      <c r="CM95" s="79"/>
      <c r="CN95" s="79"/>
      <c r="CO95" s="79"/>
    </row>
    <row r="96" spans="1:94">
      <c r="A96" s="98">
        <v>10</v>
      </c>
      <c r="B96" s="178" t="s">
        <v>594</v>
      </c>
      <c r="C96" s="361" t="s">
        <v>553</v>
      </c>
      <c r="D96" s="47" t="s">
        <v>607</v>
      </c>
      <c r="E96" s="126"/>
      <c r="F96" s="154" t="s">
        <v>645</v>
      </c>
      <c r="G96" s="167">
        <v>1</v>
      </c>
      <c r="H96" s="167"/>
      <c r="I96" s="170" t="s">
        <v>626</v>
      </c>
      <c r="J96" s="180"/>
      <c r="K96" s="181">
        <f t="shared" si="15"/>
        <v>500000</v>
      </c>
      <c r="L96" s="182">
        <v>300000</v>
      </c>
      <c r="M96" s="152"/>
      <c r="N96" s="183">
        <f t="shared" si="14"/>
        <v>800000</v>
      </c>
      <c r="O96" s="177" t="s">
        <v>615</v>
      </c>
      <c r="P96" s="145"/>
      <c r="Q96" s="141"/>
      <c r="R96" s="190"/>
      <c r="S96" s="83"/>
      <c r="T96" s="87"/>
      <c r="U96" s="87"/>
      <c r="V96" s="87"/>
      <c r="W96" s="44"/>
      <c r="X96" s="88"/>
      <c r="Y96" s="79"/>
      <c r="Z96" s="79"/>
      <c r="AA96" s="79"/>
      <c r="AB96" s="79"/>
      <c r="AC96" s="86"/>
      <c r="AD96" s="82"/>
      <c r="AE96" s="79"/>
      <c r="AF96" s="88"/>
      <c r="AG96" s="80"/>
      <c r="AH96" s="79"/>
      <c r="AI96" s="79"/>
      <c r="AJ96" s="79"/>
      <c r="AK96" s="80"/>
      <c r="AL96" s="80"/>
      <c r="AM96" s="80"/>
      <c r="AN96" s="79"/>
      <c r="AO96" s="80"/>
      <c r="AP96" s="80"/>
      <c r="AQ96" s="80"/>
      <c r="AR96" s="85"/>
      <c r="AS96" s="85"/>
      <c r="AT96" s="85"/>
      <c r="AU96" s="85"/>
      <c r="AV96" s="85"/>
      <c r="AW96" s="82"/>
      <c r="AX96" s="79"/>
      <c r="AY96" s="82"/>
      <c r="AZ96" s="82"/>
      <c r="BA96" s="86"/>
      <c r="BB96" s="79"/>
      <c r="BC96" s="79"/>
      <c r="BD96" s="79"/>
      <c r="BE96" s="82"/>
      <c r="BF96" s="85"/>
      <c r="BG96" s="79"/>
      <c r="BH96" s="79"/>
      <c r="BI96" s="79"/>
      <c r="BJ96" s="88"/>
      <c r="BK96" s="88"/>
      <c r="BL96" s="79"/>
      <c r="BM96" s="185"/>
      <c r="BN96" s="90"/>
      <c r="BO96" s="80"/>
      <c r="BP96" s="80"/>
      <c r="BQ96" s="80"/>
      <c r="BR96" s="80"/>
      <c r="BS96" s="80"/>
      <c r="BT96" s="80"/>
      <c r="BU96" s="80"/>
      <c r="BV96" s="80"/>
      <c r="BW96" s="82"/>
      <c r="BX96" s="79"/>
      <c r="BY96" s="79"/>
      <c r="BZ96" s="79"/>
      <c r="CA96" s="79"/>
      <c r="CB96" s="79"/>
      <c r="CC96" s="82"/>
      <c r="CD96" s="82"/>
      <c r="CE96" s="82"/>
      <c r="CF96" s="82"/>
      <c r="CG96" s="82"/>
      <c r="CH96" s="82"/>
      <c r="CI96" s="82"/>
      <c r="CJ96" s="79"/>
      <c r="CK96" s="79"/>
      <c r="CL96" s="79"/>
      <c r="CM96" s="79"/>
      <c r="CN96" s="79"/>
      <c r="CO96" s="79"/>
    </row>
    <row r="97" spans="1:93">
      <c r="A97" s="98">
        <v>11</v>
      </c>
      <c r="B97" s="178" t="s">
        <v>595</v>
      </c>
      <c r="C97" s="361" t="s">
        <v>553</v>
      </c>
      <c r="D97" s="47" t="s">
        <v>608</v>
      </c>
      <c r="E97" s="126"/>
      <c r="F97" s="154" t="s">
        <v>645</v>
      </c>
      <c r="G97" s="167">
        <v>1</v>
      </c>
      <c r="H97" s="167"/>
      <c r="I97" s="170" t="s">
        <v>627</v>
      </c>
      <c r="J97" s="180"/>
      <c r="K97" s="181">
        <f t="shared" si="15"/>
        <v>500000</v>
      </c>
      <c r="L97" s="182">
        <v>300000</v>
      </c>
      <c r="M97" s="152"/>
      <c r="N97" s="183">
        <f t="shared" si="14"/>
        <v>800000</v>
      </c>
      <c r="O97" s="177" t="s">
        <v>616</v>
      </c>
      <c r="P97" s="145"/>
      <c r="Q97" s="141"/>
      <c r="R97" s="190"/>
      <c r="S97" s="83"/>
      <c r="T97" s="87"/>
      <c r="U97" s="87"/>
      <c r="V97" s="87"/>
      <c r="W97" s="44"/>
      <c r="X97" s="88"/>
      <c r="Y97" s="79"/>
      <c r="Z97" s="79"/>
      <c r="AA97" s="79"/>
      <c r="AB97" s="79"/>
      <c r="AC97" s="86"/>
      <c r="AD97" s="82"/>
      <c r="AE97" s="79"/>
      <c r="AF97" s="88"/>
      <c r="AG97" s="80"/>
      <c r="AH97" s="79"/>
      <c r="AI97" s="79"/>
      <c r="AJ97" s="79"/>
      <c r="AK97" s="80"/>
      <c r="AL97" s="80"/>
      <c r="AM97" s="80"/>
      <c r="AN97" s="79"/>
      <c r="AO97" s="80"/>
      <c r="AP97" s="80"/>
      <c r="AQ97" s="80"/>
      <c r="AR97" s="85"/>
      <c r="AS97" s="85"/>
      <c r="AT97" s="85"/>
      <c r="AU97" s="85"/>
      <c r="AV97" s="85"/>
      <c r="AW97" s="82"/>
      <c r="AX97" s="79"/>
      <c r="AY97" s="82"/>
      <c r="AZ97" s="82"/>
      <c r="BA97" s="86"/>
      <c r="BB97" s="79"/>
      <c r="BC97" s="79"/>
      <c r="BD97" s="79"/>
      <c r="BE97" s="82"/>
      <c r="BF97" s="85"/>
      <c r="BG97" s="79"/>
      <c r="BH97" s="79"/>
      <c r="BI97" s="79"/>
      <c r="BJ97" s="88"/>
      <c r="BK97" s="88"/>
      <c r="BL97" s="79"/>
      <c r="BM97" s="185"/>
      <c r="BN97" s="90"/>
      <c r="BO97" s="80"/>
      <c r="BP97" s="80"/>
      <c r="BQ97" s="80"/>
      <c r="BR97" s="80"/>
      <c r="BS97" s="80"/>
      <c r="BT97" s="80"/>
      <c r="BU97" s="80"/>
      <c r="BV97" s="80"/>
      <c r="BW97" s="82"/>
      <c r="BX97" s="79"/>
      <c r="BY97" s="79"/>
      <c r="BZ97" s="79"/>
      <c r="CA97" s="79"/>
      <c r="CB97" s="79"/>
      <c r="CC97" s="82"/>
      <c r="CD97" s="82"/>
      <c r="CE97" s="82"/>
      <c r="CF97" s="82"/>
      <c r="CG97" s="82"/>
      <c r="CH97" s="82"/>
      <c r="CI97" s="82"/>
      <c r="CJ97" s="79"/>
      <c r="CK97" s="79"/>
      <c r="CL97" s="79"/>
      <c r="CM97" s="79"/>
      <c r="CN97" s="79"/>
      <c r="CO97" s="79"/>
    </row>
    <row r="98" spans="1:93" ht="39.6">
      <c r="A98" s="98">
        <v>12</v>
      </c>
      <c r="B98" s="189" t="s">
        <v>579</v>
      </c>
      <c r="C98" s="188" t="s">
        <v>558</v>
      </c>
      <c r="D98" s="47" t="s">
        <v>628</v>
      </c>
      <c r="E98" s="126"/>
      <c r="F98" s="154" t="s">
        <v>645</v>
      </c>
      <c r="G98" s="167">
        <v>3</v>
      </c>
      <c r="H98" s="167"/>
      <c r="I98" s="170" t="s">
        <v>629</v>
      </c>
      <c r="J98" s="180">
        <f t="shared" ref="J98:J103" si="16">(G98*$C$255)+(H98*$D$255)</f>
        <v>1950000</v>
      </c>
      <c r="K98" s="181">
        <f t="shared" si="15"/>
        <v>1500000</v>
      </c>
      <c r="L98" s="152"/>
      <c r="M98" s="152"/>
      <c r="N98" s="183">
        <f t="shared" si="14"/>
        <v>3450000</v>
      </c>
      <c r="O98" s="177">
        <v>225269722</v>
      </c>
      <c r="P98" s="145"/>
      <c r="Q98" s="141"/>
      <c r="R98" s="190"/>
      <c r="S98" s="83"/>
      <c r="T98" s="87"/>
      <c r="U98" s="87"/>
      <c r="V98" s="87"/>
      <c r="W98" s="44"/>
      <c r="X98" s="88"/>
      <c r="Y98" s="79"/>
      <c r="Z98" s="79"/>
      <c r="AA98" s="79"/>
      <c r="AB98" s="79"/>
      <c r="AC98" s="86"/>
      <c r="AD98" s="82"/>
      <c r="AE98" s="79"/>
      <c r="AF98" s="88"/>
      <c r="AG98" s="80"/>
      <c r="AH98" s="79"/>
      <c r="AI98" s="79"/>
      <c r="AJ98" s="79"/>
      <c r="AK98" s="80"/>
      <c r="AL98" s="80"/>
      <c r="AM98" s="80"/>
      <c r="AN98" s="79"/>
      <c r="AO98" s="80"/>
      <c r="AP98" s="80"/>
      <c r="AQ98" s="80"/>
      <c r="AR98" s="85"/>
      <c r="AS98" s="85"/>
      <c r="AT98" s="85"/>
      <c r="AU98" s="85"/>
      <c r="AV98" s="85"/>
      <c r="AW98" s="82"/>
      <c r="AX98" s="79"/>
      <c r="AY98" s="82"/>
      <c r="AZ98" s="82"/>
      <c r="BA98" s="86"/>
      <c r="BB98" s="79"/>
      <c r="BC98" s="79"/>
      <c r="BD98" s="79"/>
      <c r="BE98" s="82"/>
      <c r="BF98" s="85"/>
      <c r="BG98" s="79"/>
      <c r="BH98" s="79"/>
      <c r="BI98" s="79"/>
      <c r="BJ98" s="88"/>
      <c r="BK98" s="88"/>
      <c r="BL98" s="79"/>
      <c r="BM98" s="185"/>
      <c r="BN98" s="90"/>
      <c r="BO98" s="80"/>
      <c r="BP98" s="80"/>
      <c r="BQ98" s="80"/>
      <c r="BR98" s="80"/>
      <c r="BS98" s="80"/>
      <c r="BT98" s="80"/>
      <c r="BU98" s="80"/>
      <c r="BV98" s="80"/>
      <c r="BW98" s="82"/>
      <c r="BX98" s="79"/>
      <c r="BY98" s="79"/>
      <c r="BZ98" s="79"/>
      <c r="CA98" s="79"/>
      <c r="CB98" s="79"/>
      <c r="CC98" s="82"/>
      <c r="CD98" s="82"/>
      <c r="CE98" s="82"/>
      <c r="CF98" s="82"/>
      <c r="CG98" s="82"/>
      <c r="CH98" s="82"/>
      <c r="CI98" s="82"/>
      <c r="CJ98" s="79"/>
      <c r="CK98" s="79"/>
      <c r="CL98" s="79"/>
      <c r="CM98" s="79"/>
      <c r="CN98" s="79"/>
      <c r="CO98" s="79"/>
    </row>
    <row r="99" spans="1:93">
      <c r="A99" s="98">
        <v>13</v>
      </c>
      <c r="B99" s="189" t="s">
        <v>580</v>
      </c>
      <c r="C99" s="188" t="s">
        <v>558</v>
      </c>
      <c r="D99" s="47" t="s">
        <v>639</v>
      </c>
      <c r="E99" s="126"/>
      <c r="F99" s="154" t="s">
        <v>645</v>
      </c>
      <c r="G99" s="167">
        <v>1</v>
      </c>
      <c r="H99" s="167"/>
      <c r="I99" s="170" t="s">
        <v>630</v>
      </c>
      <c r="J99" s="180">
        <f t="shared" si="16"/>
        <v>650000</v>
      </c>
      <c r="K99" s="181">
        <f t="shared" si="15"/>
        <v>500000</v>
      </c>
      <c r="L99" s="152"/>
      <c r="M99" s="152"/>
      <c r="N99" s="183">
        <f>+SUM(J99:M99)</f>
        <v>1150000</v>
      </c>
      <c r="O99" s="177">
        <v>225711427</v>
      </c>
      <c r="P99" s="145"/>
      <c r="Q99" s="141"/>
      <c r="R99" s="190"/>
      <c r="S99" s="83"/>
      <c r="T99" s="87"/>
      <c r="U99" s="87"/>
      <c r="V99" s="87"/>
      <c r="W99" s="44"/>
      <c r="X99" s="88"/>
      <c r="Y99" s="79"/>
      <c r="Z99" s="79"/>
      <c r="AA99" s="79"/>
      <c r="AB99" s="79"/>
      <c r="AC99" s="86"/>
      <c r="AD99" s="82"/>
      <c r="AE99" s="79"/>
      <c r="AF99" s="88"/>
      <c r="AG99" s="80"/>
      <c r="AH99" s="79"/>
      <c r="AI99" s="79"/>
      <c r="AJ99" s="79"/>
      <c r="AK99" s="80"/>
      <c r="AL99" s="80"/>
      <c r="AM99" s="80"/>
      <c r="AN99" s="79"/>
      <c r="AO99" s="80"/>
      <c r="AP99" s="80"/>
      <c r="AQ99" s="80"/>
      <c r="AR99" s="85"/>
      <c r="AS99" s="85"/>
      <c r="AT99" s="85"/>
      <c r="AU99" s="85"/>
      <c r="AV99" s="85"/>
      <c r="AW99" s="82"/>
      <c r="AX99" s="79"/>
      <c r="AY99" s="82"/>
      <c r="AZ99" s="82"/>
      <c r="BA99" s="86"/>
      <c r="BB99" s="79"/>
      <c r="BC99" s="79"/>
      <c r="BD99" s="79"/>
      <c r="BE99" s="82"/>
      <c r="BF99" s="85"/>
      <c r="BG99" s="79"/>
      <c r="BH99" s="79"/>
      <c r="BI99" s="79"/>
      <c r="BJ99" s="88"/>
      <c r="BK99" s="88"/>
      <c r="BL99" s="79"/>
      <c r="BM99" s="185"/>
      <c r="BN99" s="90"/>
      <c r="BO99" s="80"/>
      <c r="BP99" s="80"/>
      <c r="BQ99" s="80"/>
      <c r="BR99" s="80"/>
      <c r="BS99" s="80"/>
      <c r="BT99" s="80"/>
      <c r="BU99" s="80"/>
      <c r="BV99" s="80"/>
      <c r="BW99" s="82"/>
      <c r="BX99" s="79"/>
      <c r="BY99" s="79"/>
      <c r="BZ99" s="79"/>
      <c r="CA99" s="79"/>
      <c r="CB99" s="79"/>
      <c r="CC99" s="82"/>
      <c r="CD99" s="82"/>
      <c r="CE99" s="82"/>
      <c r="CF99" s="82"/>
      <c r="CG99" s="82"/>
      <c r="CH99" s="82"/>
      <c r="CI99" s="82"/>
      <c r="CJ99" s="79"/>
      <c r="CK99" s="79"/>
      <c r="CL99" s="79"/>
      <c r="CM99" s="79"/>
      <c r="CN99" s="79"/>
      <c r="CO99" s="79"/>
    </row>
    <row r="100" spans="1:93" ht="26.4">
      <c r="A100" s="98">
        <v>14</v>
      </c>
      <c r="B100" s="189" t="s">
        <v>581</v>
      </c>
      <c r="C100" s="188" t="s">
        <v>596</v>
      </c>
      <c r="D100" s="47" t="s">
        <v>640</v>
      </c>
      <c r="E100" s="126"/>
      <c r="F100" s="154" t="s">
        <v>645</v>
      </c>
      <c r="G100" s="167">
        <v>2</v>
      </c>
      <c r="H100" s="167"/>
      <c r="I100" s="170" t="s">
        <v>631</v>
      </c>
      <c r="J100" s="180">
        <f t="shared" si="16"/>
        <v>1300000</v>
      </c>
      <c r="K100" s="181">
        <f t="shared" si="15"/>
        <v>1000000</v>
      </c>
      <c r="L100" s="152"/>
      <c r="M100" s="152"/>
      <c r="N100" s="183">
        <f>+SUM(J100:M100)</f>
        <v>2300000</v>
      </c>
      <c r="O100" s="177" t="s">
        <v>633</v>
      </c>
      <c r="P100" s="145"/>
      <c r="Q100" s="141"/>
      <c r="R100" s="190"/>
      <c r="S100" s="83"/>
      <c r="T100" s="87"/>
      <c r="U100" s="87"/>
      <c r="V100" s="87"/>
      <c r="W100" s="44"/>
      <c r="X100" s="88"/>
      <c r="Y100" s="79"/>
      <c r="Z100" s="79"/>
      <c r="AA100" s="79"/>
      <c r="AB100" s="79"/>
      <c r="AC100" s="86"/>
      <c r="AD100" s="82"/>
      <c r="AE100" s="79"/>
      <c r="AF100" s="88"/>
      <c r="AG100" s="80"/>
      <c r="AH100" s="79"/>
      <c r="AI100" s="79"/>
      <c r="AJ100" s="79"/>
      <c r="AK100" s="80"/>
      <c r="AL100" s="80"/>
      <c r="AM100" s="80"/>
      <c r="AN100" s="79"/>
      <c r="AO100" s="80"/>
      <c r="AP100" s="80"/>
      <c r="AQ100" s="80"/>
      <c r="AR100" s="85"/>
      <c r="AS100" s="85"/>
      <c r="AT100" s="85"/>
      <c r="AU100" s="85"/>
      <c r="AV100" s="85"/>
      <c r="AW100" s="82"/>
      <c r="AX100" s="79"/>
      <c r="AY100" s="82"/>
      <c r="AZ100" s="82"/>
      <c r="BA100" s="86"/>
      <c r="BB100" s="79"/>
      <c r="BC100" s="79"/>
      <c r="BD100" s="79"/>
      <c r="BE100" s="82"/>
      <c r="BF100" s="85"/>
      <c r="BG100" s="79"/>
      <c r="BH100" s="79"/>
      <c r="BI100" s="79"/>
      <c r="BJ100" s="88"/>
      <c r="BK100" s="88"/>
      <c r="BL100" s="79"/>
      <c r="BM100" s="185"/>
      <c r="BN100" s="90"/>
      <c r="BO100" s="80"/>
      <c r="BP100" s="80"/>
      <c r="BQ100" s="80"/>
      <c r="BR100" s="80"/>
      <c r="BS100" s="80"/>
      <c r="BT100" s="80"/>
      <c r="BU100" s="80"/>
      <c r="BV100" s="80"/>
      <c r="BW100" s="82"/>
      <c r="BX100" s="79"/>
      <c r="BY100" s="79"/>
      <c r="BZ100" s="79"/>
      <c r="CA100" s="79"/>
      <c r="CB100" s="79"/>
      <c r="CC100" s="82"/>
      <c r="CD100" s="82"/>
      <c r="CE100" s="82"/>
      <c r="CF100" s="82"/>
      <c r="CG100" s="82"/>
      <c r="CH100" s="82"/>
      <c r="CI100" s="82"/>
      <c r="CJ100" s="79"/>
      <c r="CK100" s="79"/>
      <c r="CL100" s="79"/>
      <c r="CM100" s="79"/>
      <c r="CN100" s="79"/>
      <c r="CO100" s="79"/>
    </row>
    <row r="101" spans="1:93">
      <c r="A101" s="98">
        <v>15</v>
      </c>
      <c r="B101" s="189" t="s">
        <v>582</v>
      </c>
      <c r="C101" s="188" t="s">
        <v>596</v>
      </c>
      <c r="D101" s="47" t="s">
        <v>641</v>
      </c>
      <c r="E101" s="126"/>
      <c r="F101" s="154" t="s">
        <v>645</v>
      </c>
      <c r="G101" s="167">
        <v>1</v>
      </c>
      <c r="H101" s="167"/>
      <c r="I101" s="170" t="s">
        <v>632</v>
      </c>
      <c r="J101" s="180">
        <f t="shared" si="16"/>
        <v>650000</v>
      </c>
      <c r="K101" s="181">
        <f t="shared" si="15"/>
        <v>500000</v>
      </c>
      <c r="L101" s="152"/>
      <c r="M101" s="152"/>
      <c r="N101" s="183">
        <f>+SUM(J101:M101)</f>
        <v>1150000</v>
      </c>
      <c r="O101" s="177" t="s">
        <v>634</v>
      </c>
      <c r="P101" s="145"/>
      <c r="Q101" s="141"/>
      <c r="R101" s="190"/>
      <c r="S101" s="83"/>
      <c r="T101" s="87"/>
      <c r="U101" s="87"/>
      <c r="V101" s="87"/>
      <c r="W101" s="44"/>
      <c r="X101" s="88"/>
      <c r="Y101" s="79"/>
      <c r="Z101" s="79"/>
      <c r="AA101" s="79"/>
      <c r="AB101" s="79"/>
      <c r="AC101" s="86"/>
      <c r="AD101" s="82"/>
      <c r="AE101" s="79"/>
      <c r="AF101" s="88"/>
      <c r="AG101" s="80"/>
      <c r="AH101" s="79"/>
      <c r="AI101" s="79"/>
      <c r="AJ101" s="79"/>
      <c r="AK101" s="80"/>
      <c r="AL101" s="80"/>
      <c r="AM101" s="80"/>
      <c r="AN101" s="79"/>
      <c r="AO101" s="80"/>
      <c r="AP101" s="80"/>
      <c r="AQ101" s="80"/>
      <c r="AR101" s="85"/>
      <c r="AS101" s="85"/>
      <c r="AT101" s="85"/>
      <c r="AU101" s="85"/>
      <c r="AV101" s="85"/>
      <c r="AW101" s="82"/>
      <c r="AX101" s="79"/>
      <c r="AY101" s="82"/>
      <c r="AZ101" s="82"/>
      <c r="BA101" s="86"/>
      <c r="BB101" s="79"/>
      <c r="BC101" s="79"/>
      <c r="BD101" s="79"/>
      <c r="BE101" s="82"/>
      <c r="BF101" s="85"/>
      <c r="BG101" s="79"/>
      <c r="BH101" s="79"/>
      <c r="BI101" s="79"/>
      <c r="BJ101" s="88"/>
      <c r="BK101" s="88"/>
      <c r="BL101" s="79"/>
      <c r="BM101" s="185"/>
      <c r="BN101" s="90"/>
      <c r="BO101" s="80"/>
      <c r="BP101" s="80"/>
      <c r="BQ101" s="80"/>
      <c r="BR101" s="80"/>
      <c r="BS101" s="80"/>
      <c r="BT101" s="80"/>
      <c r="BU101" s="80"/>
      <c r="BV101" s="80"/>
      <c r="BW101" s="82"/>
      <c r="BX101" s="79"/>
      <c r="BY101" s="79"/>
      <c r="BZ101" s="79"/>
      <c r="CA101" s="79"/>
      <c r="CB101" s="79"/>
      <c r="CC101" s="82"/>
      <c r="CD101" s="82"/>
      <c r="CE101" s="82"/>
      <c r="CF101" s="82"/>
      <c r="CG101" s="82"/>
      <c r="CH101" s="82"/>
      <c r="CI101" s="82"/>
      <c r="CJ101" s="79"/>
      <c r="CK101" s="79"/>
      <c r="CL101" s="79"/>
      <c r="CM101" s="79"/>
      <c r="CN101" s="79"/>
      <c r="CO101" s="79"/>
    </row>
    <row r="102" spans="1:93">
      <c r="A102" s="98">
        <v>16</v>
      </c>
      <c r="B102" s="189" t="s">
        <v>588</v>
      </c>
      <c r="C102" s="188" t="s">
        <v>546</v>
      </c>
      <c r="D102" s="47" t="s">
        <v>642</v>
      </c>
      <c r="E102" s="126"/>
      <c r="F102" s="154" t="s">
        <v>645</v>
      </c>
      <c r="G102" s="167"/>
      <c r="H102" s="167">
        <v>1</v>
      </c>
      <c r="I102" s="170" t="s">
        <v>635</v>
      </c>
      <c r="J102" s="180">
        <f t="shared" si="16"/>
        <v>1000000</v>
      </c>
      <c r="K102" s="181">
        <f t="shared" si="15"/>
        <v>500000</v>
      </c>
      <c r="L102" s="152"/>
      <c r="M102" s="152"/>
      <c r="N102" s="183">
        <f>+SUM(J102:M102)</f>
        <v>1500000</v>
      </c>
      <c r="O102" s="177" t="s">
        <v>636</v>
      </c>
      <c r="P102" s="145"/>
      <c r="Q102" s="141"/>
      <c r="R102" s="190"/>
      <c r="S102" s="83"/>
      <c r="T102" s="87"/>
      <c r="U102" s="87"/>
      <c r="V102" s="87"/>
      <c r="W102" s="44"/>
      <c r="X102" s="88"/>
      <c r="Y102" s="79"/>
      <c r="Z102" s="79"/>
      <c r="AA102" s="79"/>
      <c r="AB102" s="79"/>
      <c r="AC102" s="86"/>
      <c r="AD102" s="82"/>
      <c r="AE102" s="79"/>
      <c r="AF102" s="88"/>
      <c r="AG102" s="80"/>
      <c r="AH102" s="79"/>
      <c r="AI102" s="79"/>
      <c r="AJ102" s="79"/>
      <c r="AK102" s="80"/>
      <c r="AL102" s="80"/>
      <c r="AM102" s="80"/>
      <c r="AN102" s="79"/>
      <c r="AO102" s="80"/>
      <c r="AP102" s="80"/>
      <c r="AQ102" s="80"/>
      <c r="AR102" s="85"/>
      <c r="AS102" s="85"/>
      <c r="AT102" s="85"/>
      <c r="AU102" s="85"/>
      <c r="AV102" s="85"/>
      <c r="AW102" s="82"/>
      <c r="AX102" s="79"/>
      <c r="AY102" s="82"/>
      <c r="AZ102" s="82"/>
      <c r="BA102" s="86"/>
      <c r="BB102" s="79"/>
      <c r="BC102" s="79"/>
      <c r="BD102" s="79"/>
      <c r="BE102" s="82"/>
      <c r="BF102" s="85"/>
      <c r="BG102" s="79"/>
      <c r="BH102" s="79"/>
      <c r="BI102" s="79"/>
      <c r="BJ102" s="88"/>
      <c r="BK102" s="88"/>
      <c r="BL102" s="79"/>
      <c r="BM102" s="185"/>
      <c r="BN102" s="90"/>
      <c r="BO102" s="80"/>
      <c r="BP102" s="80"/>
      <c r="BQ102" s="80"/>
      <c r="BR102" s="80"/>
      <c r="BS102" s="80"/>
      <c r="BT102" s="80"/>
      <c r="BU102" s="80"/>
      <c r="BV102" s="80"/>
      <c r="BW102" s="82"/>
      <c r="BX102" s="79"/>
      <c r="BY102" s="79"/>
      <c r="BZ102" s="79"/>
      <c r="CA102" s="79"/>
      <c r="CB102" s="79"/>
      <c r="CC102" s="82"/>
      <c r="CD102" s="82"/>
      <c r="CE102" s="82"/>
      <c r="CF102" s="82"/>
      <c r="CG102" s="82"/>
      <c r="CH102" s="82"/>
      <c r="CI102" s="82"/>
      <c r="CJ102" s="79"/>
      <c r="CK102" s="79"/>
      <c r="CL102" s="79"/>
      <c r="CM102" s="79"/>
      <c r="CN102" s="79"/>
      <c r="CO102" s="79"/>
    </row>
    <row r="103" spans="1:93" ht="26.4">
      <c r="A103" s="98">
        <v>17</v>
      </c>
      <c r="B103" s="189" t="s">
        <v>591</v>
      </c>
      <c r="C103" s="188" t="s">
        <v>547</v>
      </c>
      <c r="D103" s="47" t="s">
        <v>643</v>
      </c>
      <c r="E103" s="126"/>
      <c r="F103" s="154" t="s">
        <v>645</v>
      </c>
      <c r="G103" s="167"/>
      <c r="H103" s="167">
        <v>2</v>
      </c>
      <c r="I103" s="170" t="s">
        <v>637</v>
      </c>
      <c r="J103" s="180">
        <f t="shared" si="16"/>
        <v>2000000</v>
      </c>
      <c r="K103" s="181">
        <f t="shared" si="15"/>
        <v>1000000</v>
      </c>
      <c r="L103" s="152"/>
      <c r="M103" s="152"/>
      <c r="N103" s="183">
        <f>+SUM(J103:M103)</f>
        <v>3000000</v>
      </c>
      <c r="O103" s="177" t="s">
        <v>638</v>
      </c>
      <c r="P103" s="145"/>
      <c r="Q103" s="141"/>
      <c r="R103" s="190"/>
      <c r="S103" s="83"/>
      <c r="T103" s="87"/>
      <c r="U103" s="87"/>
      <c r="V103" s="87"/>
      <c r="W103" s="44"/>
      <c r="X103" s="88"/>
      <c r="Y103" s="79"/>
      <c r="Z103" s="79"/>
      <c r="AA103" s="79"/>
      <c r="AB103" s="79"/>
      <c r="AC103" s="86"/>
      <c r="AD103" s="82"/>
      <c r="AE103" s="79"/>
      <c r="AF103" s="88"/>
      <c r="AG103" s="80"/>
      <c r="AH103" s="79"/>
      <c r="AI103" s="79"/>
      <c r="AJ103" s="79"/>
      <c r="AK103" s="80"/>
      <c r="AL103" s="80"/>
      <c r="AM103" s="80"/>
      <c r="AN103" s="79"/>
      <c r="AO103" s="80"/>
      <c r="AP103" s="80"/>
      <c r="AQ103" s="80"/>
      <c r="AR103" s="85"/>
      <c r="AS103" s="85"/>
      <c r="AT103" s="85"/>
      <c r="AU103" s="85"/>
      <c r="AV103" s="85"/>
      <c r="AW103" s="82"/>
      <c r="AX103" s="79"/>
      <c r="AY103" s="82"/>
      <c r="AZ103" s="82"/>
      <c r="BA103" s="86"/>
      <c r="BB103" s="79"/>
      <c r="BC103" s="79"/>
      <c r="BD103" s="79"/>
      <c r="BE103" s="82"/>
      <c r="BF103" s="85"/>
      <c r="BG103" s="79"/>
      <c r="BH103" s="79"/>
      <c r="BI103" s="79"/>
      <c r="BJ103" s="88"/>
      <c r="BK103" s="88"/>
      <c r="BL103" s="79"/>
      <c r="BM103" s="185"/>
      <c r="BN103" s="90"/>
      <c r="BO103" s="80"/>
      <c r="BP103" s="80"/>
      <c r="BQ103" s="80"/>
      <c r="BR103" s="80"/>
      <c r="BS103" s="80"/>
      <c r="BT103" s="80"/>
      <c r="BU103" s="80"/>
      <c r="BV103" s="80"/>
      <c r="BW103" s="82"/>
      <c r="BX103" s="79"/>
      <c r="BY103" s="79"/>
      <c r="BZ103" s="79"/>
      <c r="CA103" s="79"/>
      <c r="CB103" s="79"/>
      <c r="CC103" s="82"/>
      <c r="CD103" s="82"/>
      <c r="CE103" s="82"/>
      <c r="CF103" s="82"/>
      <c r="CG103" s="82"/>
      <c r="CH103" s="82"/>
      <c r="CI103" s="82"/>
      <c r="CJ103" s="79"/>
      <c r="CK103" s="79"/>
      <c r="CL103" s="79"/>
      <c r="CM103" s="79"/>
      <c r="CN103" s="79"/>
      <c r="CO103" s="79"/>
    </row>
    <row r="104" spans="1:93">
      <c r="A104" s="98"/>
      <c r="B104" s="3278" t="s">
        <v>654</v>
      </c>
      <c r="C104" s="3279"/>
      <c r="D104" s="3279"/>
      <c r="E104" s="3279"/>
      <c r="F104" s="3279"/>
      <c r="G104" s="3279"/>
      <c r="H104" s="3280"/>
      <c r="I104" s="297"/>
      <c r="J104" s="298"/>
      <c r="K104" s="298"/>
      <c r="L104" s="299"/>
      <c r="M104" s="299"/>
      <c r="N104" s="300"/>
      <c r="O104" s="301"/>
      <c r="P104" s="302"/>
      <c r="Q104" s="303"/>
      <c r="R104" s="304"/>
      <c r="S104" s="305"/>
      <c r="T104" s="302"/>
      <c r="U104" s="302"/>
      <c r="V104" s="302"/>
      <c r="W104" s="306"/>
      <c r="X104" s="307"/>
      <c r="Y104" s="308"/>
      <c r="Z104" s="308"/>
      <c r="AA104" s="308"/>
      <c r="AB104" s="308"/>
      <c r="AC104" s="309"/>
      <c r="AD104" s="310"/>
      <c r="AE104" s="308"/>
      <c r="AF104" s="307"/>
      <c r="AG104" s="311"/>
      <c r="AH104" s="308"/>
      <c r="AI104" s="308"/>
      <c r="AJ104" s="308"/>
      <c r="AK104" s="311"/>
      <c r="AL104" s="311"/>
      <c r="AM104" s="311"/>
      <c r="AN104" s="308"/>
      <c r="AO104" s="311"/>
      <c r="AP104" s="311"/>
      <c r="AQ104" s="311"/>
      <c r="AR104" s="312"/>
      <c r="AS104" s="312"/>
      <c r="AT104" s="312"/>
      <c r="AU104" s="312"/>
      <c r="AV104" s="312"/>
      <c r="AW104" s="310"/>
      <c r="AX104" s="308"/>
      <c r="AY104" s="310"/>
      <c r="AZ104" s="310"/>
      <c r="BA104" s="313"/>
      <c r="BB104" s="308"/>
      <c r="BC104" s="308"/>
      <c r="BD104" s="308"/>
      <c r="BE104" s="310"/>
      <c r="BF104" s="312"/>
      <c r="BG104" s="308"/>
      <c r="BH104" s="308"/>
      <c r="BI104" s="308"/>
      <c r="BJ104" s="307"/>
      <c r="BK104" s="307"/>
      <c r="BL104" s="308"/>
      <c r="BM104" s="186"/>
      <c r="BN104" s="90"/>
      <c r="BO104" s="80"/>
      <c r="BP104" s="80"/>
      <c r="BQ104" s="80"/>
      <c r="BR104" s="80"/>
      <c r="BS104" s="80"/>
      <c r="BT104" s="80"/>
      <c r="BU104" s="80"/>
      <c r="BV104" s="80"/>
      <c r="BW104" s="82"/>
      <c r="BX104" s="79"/>
      <c r="BY104" s="79"/>
      <c r="BZ104" s="79"/>
      <c r="CA104" s="79"/>
      <c r="CB104" s="79"/>
      <c r="CC104" s="82"/>
      <c r="CD104" s="82"/>
      <c r="CE104" s="82"/>
      <c r="CF104" s="82"/>
      <c r="CG104" s="82"/>
      <c r="CH104" s="82"/>
      <c r="CI104" s="82"/>
      <c r="CJ104" s="79"/>
      <c r="CK104" s="79"/>
      <c r="CL104" s="79"/>
      <c r="CM104" s="79"/>
      <c r="CN104" s="79"/>
      <c r="CO104" s="79"/>
    </row>
    <row r="105" spans="1:93">
      <c r="A105" s="98">
        <v>1</v>
      </c>
      <c r="B105" s="178" t="s">
        <v>720</v>
      </c>
      <c r="C105" s="188" t="s">
        <v>559</v>
      </c>
      <c r="D105" s="47" t="s">
        <v>724</v>
      </c>
      <c r="E105" s="126"/>
      <c r="F105" s="382" t="s">
        <v>745</v>
      </c>
      <c r="G105" s="167">
        <v>1</v>
      </c>
      <c r="H105" s="167"/>
      <c r="I105" s="170" t="s">
        <v>730</v>
      </c>
      <c r="J105" s="155"/>
      <c r="K105" s="181">
        <f t="shared" ref="K105:K111" si="17">SUM(G105:I105)*500000</f>
        <v>500000</v>
      </c>
      <c r="L105" s="182">
        <v>300000</v>
      </c>
      <c r="M105" s="152"/>
      <c r="N105" s="183">
        <f t="shared" ref="N105:N111" si="18">+SUM(J105:M105)</f>
        <v>800000</v>
      </c>
      <c r="O105" s="177" t="s">
        <v>727</v>
      </c>
      <c r="P105" s="145"/>
      <c r="Q105" s="141"/>
      <c r="R105" s="190"/>
      <c r="S105" s="83"/>
      <c r="T105" s="87"/>
      <c r="U105" s="87"/>
      <c r="V105" s="87"/>
      <c r="W105" s="44"/>
      <c r="X105" s="88"/>
      <c r="Y105" s="79"/>
      <c r="Z105" s="79"/>
      <c r="AA105" s="79"/>
      <c r="AB105" s="79"/>
      <c r="AC105" s="86"/>
      <c r="AD105" s="82"/>
      <c r="AE105" s="79"/>
      <c r="AF105" s="88"/>
      <c r="AG105" s="80"/>
      <c r="AH105" s="79"/>
      <c r="AI105" s="79"/>
      <c r="AJ105" s="79"/>
      <c r="AK105" s="80"/>
      <c r="AL105" s="80"/>
      <c r="AM105" s="80"/>
      <c r="AN105" s="79"/>
      <c r="AO105" s="80"/>
      <c r="AP105" s="80"/>
      <c r="AQ105" s="80"/>
      <c r="AR105" s="85"/>
      <c r="AS105" s="85"/>
      <c r="AT105" s="85"/>
      <c r="AU105" s="85"/>
      <c r="AV105" s="85"/>
      <c r="AW105" s="82"/>
      <c r="AX105" s="79"/>
      <c r="AY105" s="82"/>
      <c r="AZ105" s="82"/>
      <c r="BA105" s="86"/>
      <c r="BB105" s="79"/>
      <c r="BC105" s="79"/>
      <c r="BD105" s="79"/>
      <c r="BE105" s="82"/>
      <c r="BF105" s="85"/>
      <c r="BG105" s="79"/>
      <c r="BH105" s="79"/>
      <c r="BI105" s="79"/>
      <c r="BJ105" s="88"/>
      <c r="BK105" s="88"/>
      <c r="BL105" s="79"/>
      <c r="BM105" s="185"/>
      <c r="BN105" s="90"/>
      <c r="BO105" s="80"/>
      <c r="BP105" s="80"/>
      <c r="BQ105" s="80"/>
      <c r="BR105" s="80"/>
      <c r="BS105" s="80"/>
      <c r="BT105" s="80"/>
      <c r="BU105" s="80"/>
      <c r="BV105" s="80"/>
      <c r="BW105" s="82"/>
      <c r="BX105" s="79"/>
      <c r="BY105" s="79"/>
      <c r="BZ105" s="79"/>
      <c r="CA105" s="79"/>
      <c r="CB105" s="79"/>
      <c r="CC105" s="82"/>
      <c r="CD105" s="82"/>
      <c r="CE105" s="82"/>
      <c r="CF105" s="82"/>
      <c r="CG105" s="82"/>
      <c r="CH105" s="82"/>
      <c r="CI105" s="82"/>
      <c r="CJ105" s="79"/>
      <c r="CK105" s="79"/>
      <c r="CL105" s="79"/>
      <c r="CM105" s="79"/>
      <c r="CN105" s="79"/>
      <c r="CO105" s="79"/>
    </row>
    <row r="106" spans="1:93">
      <c r="A106" s="98">
        <v>2</v>
      </c>
      <c r="B106" s="178" t="s">
        <v>721</v>
      </c>
      <c r="C106" s="188" t="s">
        <v>559</v>
      </c>
      <c r="D106" s="47" t="s">
        <v>725</v>
      </c>
      <c r="E106" s="126"/>
      <c r="F106" s="382" t="s">
        <v>745</v>
      </c>
      <c r="G106" s="167">
        <v>1</v>
      </c>
      <c r="H106" s="167"/>
      <c r="I106" s="170" t="s">
        <v>731</v>
      </c>
      <c r="J106" s="155"/>
      <c r="K106" s="181">
        <f t="shared" si="17"/>
        <v>500000</v>
      </c>
      <c r="L106" s="182">
        <v>300000</v>
      </c>
      <c r="M106" s="152"/>
      <c r="N106" s="183">
        <f t="shared" si="18"/>
        <v>800000</v>
      </c>
      <c r="O106" s="177" t="s">
        <v>728</v>
      </c>
      <c r="P106" s="145"/>
      <c r="Q106" s="141"/>
      <c r="R106" s="190"/>
      <c r="S106" s="83"/>
      <c r="T106" s="87"/>
      <c r="U106" s="87"/>
      <c r="V106" s="87"/>
      <c r="W106" s="44"/>
      <c r="X106" s="88"/>
      <c r="Y106" s="79"/>
      <c r="Z106" s="79"/>
      <c r="AA106" s="79"/>
      <c r="AB106" s="79"/>
      <c r="AC106" s="86"/>
      <c r="AD106" s="82"/>
      <c r="AE106" s="79"/>
      <c r="AF106" s="88"/>
      <c r="AG106" s="80"/>
      <c r="AH106" s="79"/>
      <c r="AI106" s="79"/>
      <c r="AJ106" s="79"/>
      <c r="AK106" s="80"/>
      <c r="AL106" s="80"/>
      <c r="AM106" s="80"/>
      <c r="AN106" s="79"/>
      <c r="AO106" s="80"/>
      <c r="AP106" s="80"/>
      <c r="AQ106" s="80"/>
      <c r="AR106" s="85"/>
      <c r="AS106" s="85"/>
      <c r="AT106" s="85"/>
      <c r="AU106" s="85"/>
      <c r="AV106" s="85"/>
      <c r="AW106" s="82"/>
      <c r="AX106" s="79"/>
      <c r="AY106" s="82"/>
      <c r="AZ106" s="82"/>
      <c r="BA106" s="86"/>
      <c r="BB106" s="79"/>
      <c r="BC106" s="79"/>
      <c r="BD106" s="79"/>
      <c r="BE106" s="82"/>
      <c r="BF106" s="85"/>
      <c r="BG106" s="79"/>
      <c r="BH106" s="79"/>
      <c r="BI106" s="79"/>
      <c r="BJ106" s="88"/>
      <c r="BK106" s="88"/>
      <c r="BL106" s="79"/>
      <c r="BM106" s="185"/>
      <c r="BN106" s="90"/>
      <c r="BO106" s="80"/>
      <c r="BP106" s="80"/>
      <c r="BQ106" s="80"/>
      <c r="BR106" s="80"/>
      <c r="BS106" s="80"/>
      <c r="BT106" s="80"/>
      <c r="BU106" s="80"/>
      <c r="BV106" s="80"/>
      <c r="BW106" s="82"/>
      <c r="BX106" s="79"/>
      <c r="BY106" s="79"/>
      <c r="BZ106" s="79"/>
      <c r="CA106" s="79"/>
      <c r="CB106" s="79"/>
      <c r="CC106" s="82"/>
      <c r="CD106" s="82"/>
      <c r="CE106" s="82"/>
      <c r="CF106" s="82"/>
      <c r="CG106" s="82"/>
      <c r="CH106" s="82"/>
      <c r="CI106" s="82"/>
      <c r="CJ106" s="79"/>
      <c r="CK106" s="79"/>
      <c r="CL106" s="79"/>
      <c r="CM106" s="79"/>
      <c r="CN106" s="79"/>
      <c r="CO106" s="79"/>
    </row>
    <row r="107" spans="1:93">
      <c r="A107" s="98">
        <v>3</v>
      </c>
      <c r="B107" s="178" t="s">
        <v>722</v>
      </c>
      <c r="C107" s="188" t="s">
        <v>693</v>
      </c>
      <c r="D107" s="47" t="s">
        <v>726</v>
      </c>
      <c r="E107" s="126"/>
      <c r="F107" s="382" t="s">
        <v>745</v>
      </c>
      <c r="G107" s="167"/>
      <c r="H107" s="167">
        <v>1</v>
      </c>
      <c r="I107" s="170" t="s">
        <v>732</v>
      </c>
      <c r="J107" s="155"/>
      <c r="K107" s="181">
        <f t="shared" si="17"/>
        <v>500000</v>
      </c>
      <c r="L107" s="182">
        <v>300000</v>
      </c>
      <c r="M107" s="152"/>
      <c r="N107" s="183">
        <f t="shared" si="18"/>
        <v>800000</v>
      </c>
      <c r="O107" s="177">
        <v>2716570930</v>
      </c>
      <c r="P107" s="145"/>
      <c r="Q107" s="141"/>
      <c r="R107" s="190"/>
      <c r="S107" s="83"/>
      <c r="T107" s="87"/>
      <c r="U107" s="87"/>
      <c r="V107" s="87"/>
      <c r="W107" s="44"/>
      <c r="X107" s="88"/>
      <c r="Y107" s="79"/>
      <c r="Z107" s="79"/>
      <c r="AA107" s="79"/>
      <c r="AB107" s="79"/>
      <c r="AC107" s="86"/>
      <c r="AD107" s="82"/>
      <c r="AE107" s="79"/>
      <c r="AF107" s="88"/>
      <c r="AG107" s="80"/>
      <c r="AH107" s="79"/>
      <c r="AI107" s="79"/>
      <c r="AJ107" s="79"/>
      <c r="AK107" s="80"/>
      <c r="AL107" s="80"/>
      <c r="AM107" s="80"/>
      <c r="AN107" s="79"/>
      <c r="AO107" s="80"/>
      <c r="AP107" s="80"/>
      <c r="AQ107" s="80"/>
      <c r="AR107" s="85"/>
      <c r="AS107" s="85"/>
      <c r="AT107" s="85"/>
      <c r="AU107" s="85"/>
      <c r="AV107" s="85"/>
      <c r="AW107" s="82"/>
      <c r="AX107" s="79"/>
      <c r="AY107" s="82"/>
      <c r="AZ107" s="82"/>
      <c r="BA107" s="86"/>
      <c r="BB107" s="79"/>
      <c r="BC107" s="79"/>
      <c r="BD107" s="79"/>
      <c r="BE107" s="82"/>
      <c r="BF107" s="85"/>
      <c r="BG107" s="79"/>
      <c r="BH107" s="79"/>
      <c r="BI107" s="79"/>
      <c r="BJ107" s="88"/>
      <c r="BK107" s="88"/>
      <c r="BL107" s="79"/>
      <c r="BM107" s="185"/>
      <c r="BN107" s="90"/>
      <c r="BO107" s="80"/>
      <c r="BP107" s="80"/>
      <c r="BQ107" s="80"/>
      <c r="BR107" s="80"/>
      <c r="BS107" s="80"/>
      <c r="BT107" s="80"/>
      <c r="BU107" s="80"/>
      <c r="BV107" s="80"/>
      <c r="BW107" s="82"/>
      <c r="BX107" s="79"/>
      <c r="BY107" s="79"/>
      <c r="BZ107" s="79"/>
      <c r="CA107" s="79"/>
      <c r="CB107" s="79"/>
      <c r="CC107" s="82"/>
      <c r="CD107" s="82"/>
      <c r="CE107" s="82"/>
      <c r="CF107" s="82"/>
      <c r="CG107" s="82"/>
      <c r="CH107" s="82"/>
      <c r="CI107" s="82"/>
      <c r="CJ107" s="79"/>
      <c r="CK107" s="79"/>
      <c r="CL107" s="79"/>
      <c r="CM107" s="79"/>
      <c r="CN107" s="79"/>
      <c r="CO107" s="79"/>
    </row>
    <row r="108" spans="1:93">
      <c r="A108" s="98">
        <v>4</v>
      </c>
      <c r="B108" s="178" t="s">
        <v>683</v>
      </c>
      <c r="C108" s="188">
        <v>45017</v>
      </c>
      <c r="D108" s="47" t="s">
        <v>717</v>
      </c>
      <c r="E108" s="126"/>
      <c r="F108" s="382" t="s">
        <v>745</v>
      </c>
      <c r="G108" s="167"/>
      <c r="H108" s="167">
        <v>1</v>
      </c>
      <c r="I108" s="170" t="s">
        <v>706</v>
      </c>
      <c r="J108" s="155"/>
      <c r="K108" s="181">
        <f t="shared" si="17"/>
        <v>500000</v>
      </c>
      <c r="L108" s="182">
        <v>300000</v>
      </c>
      <c r="M108" s="152"/>
      <c r="N108" s="183">
        <f t="shared" si="18"/>
        <v>800000</v>
      </c>
      <c r="O108" s="177" t="s">
        <v>695</v>
      </c>
      <c r="P108" s="145"/>
      <c r="Q108" s="141"/>
      <c r="R108" s="190"/>
      <c r="S108" s="83"/>
      <c r="T108" s="87"/>
      <c r="U108" s="87"/>
      <c r="V108" s="87"/>
      <c r="W108" s="44"/>
      <c r="X108" s="88"/>
      <c r="Y108" s="79"/>
      <c r="Z108" s="79"/>
      <c r="AA108" s="79"/>
      <c r="AB108" s="79"/>
      <c r="AC108" s="86"/>
      <c r="AD108" s="82"/>
      <c r="AE108" s="79"/>
      <c r="AF108" s="88"/>
      <c r="AG108" s="80"/>
      <c r="AH108" s="79"/>
      <c r="AI108" s="79"/>
      <c r="AJ108" s="79"/>
      <c r="AK108" s="80"/>
      <c r="AL108" s="80"/>
      <c r="AM108" s="80"/>
      <c r="AN108" s="79"/>
      <c r="AO108" s="80"/>
      <c r="AP108" s="80"/>
      <c r="AQ108" s="80"/>
      <c r="AR108" s="85"/>
      <c r="AS108" s="85"/>
      <c r="AT108" s="85"/>
      <c r="AU108" s="85"/>
      <c r="AV108" s="85"/>
      <c r="AW108" s="82"/>
      <c r="AX108" s="79"/>
      <c r="AY108" s="82"/>
      <c r="AZ108" s="82"/>
      <c r="BA108" s="86"/>
      <c r="BB108" s="79"/>
      <c r="BC108" s="79"/>
      <c r="BD108" s="79"/>
      <c r="BE108" s="82"/>
      <c r="BF108" s="85"/>
      <c r="BG108" s="79"/>
      <c r="BH108" s="79"/>
      <c r="BI108" s="79"/>
      <c r="BJ108" s="88"/>
      <c r="BK108" s="88"/>
      <c r="BL108" s="79"/>
      <c r="BM108" s="185"/>
      <c r="BN108" s="90"/>
      <c r="BO108" s="80"/>
      <c r="BP108" s="80"/>
      <c r="BQ108" s="80"/>
      <c r="BR108" s="80"/>
      <c r="BS108" s="80"/>
      <c r="BT108" s="80"/>
      <c r="BU108" s="80"/>
      <c r="BV108" s="80"/>
      <c r="BW108" s="82"/>
      <c r="BX108" s="79"/>
      <c r="BY108" s="79"/>
      <c r="BZ108" s="79"/>
      <c r="CA108" s="79"/>
      <c r="CB108" s="79"/>
      <c r="CC108" s="82"/>
      <c r="CD108" s="82"/>
      <c r="CE108" s="82"/>
      <c r="CF108" s="82"/>
      <c r="CG108" s="82"/>
      <c r="CH108" s="82"/>
      <c r="CI108" s="82"/>
      <c r="CJ108" s="79"/>
      <c r="CK108" s="79"/>
      <c r="CL108" s="79"/>
      <c r="CM108" s="79"/>
      <c r="CN108" s="79"/>
      <c r="CO108" s="79"/>
    </row>
    <row r="109" spans="1:93">
      <c r="A109" s="98">
        <v>5</v>
      </c>
      <c r="B109" s="178" t="s">
        <v>684</v>
      </c>
      <c r="C109" s="188">
        <v>45019</v>
      </c>
      <c r="D109" s="47" t="s">
        <v>718</v>
      </c>
      <c r="E109" s="126"/>
      <c r="F109" s="382" t="s">
        <v>745</v>
      </c>
      <c r="G109" s="167">
        <v>1</v>
      </c>
      <c r="H109" s="167" t="s">
        <v>704</v>
      </c>
      <c r="I109" s="170" t="s">
        <v>707</v>
      </c>
      <c r="J109" s="155"/>
      <c r="K109" s="181">
        <f t="shared" si="17"/>
        <v>500000</v>
      </c>
      <c r="L109" s="182">
        <v>300000</v>
      </c>
      <c r="M109" s="152"/>
      <c r="N109" s="183">
        <f t="shared" si="18"/>
        <v>800000</v>
      </c>
      <c r="O109" s="177" t="s">
        <v>696</v>
      </c>
      <c r="P109" s="145"/>
      <c r="Q109" s="141"/>
      <c r="R109" s="190"/>
      <c r="S109" s="83"/>
      <c r="T109" s="87"/>
      <c r="U109" s="87"/>
      <c r="V109" s="87"/>
      <c r="W109" s="44"/>
      <c r="X109" s="88"/>
      <c r="Y109" s="79"/>
      <c r="Z109" s="79"/>
      <c r="AA109" s="79"/>
      <c r="AB109" s="79"/>
      <c r="AC109" s="86"/>
      <c r="AD109" s="82"/>
      <c r="AE109" s="79"/>
      <c r="AF109" s="88"/>
      <c r="AG109" s="80"/>
      <c r="AH109" s="79"/>
      <c r="AI109" s="79"/>
      <c r="AJ109" s="79"/>
      <c r="AK109" s="80"/>
      <c r="AL109" s="80"/>
      <c r="AM109" s="80"/>
      <c r="AN109" s="79"/>
      <c r="AO109" s="80"/>
      <c r="AP109" s="80"/>
      <c r="AQ109" s="80"/>
      <c r="AR109" s="85"/>
      <c r="AS109" s="85"/>
      <c r="AT109" s="85"/>
      <c r="AU109" s="85"/>
      <c r="AV109" s="85"/>
      <c r="AW109" s="82"/>
      <c r="AX109" s="79"/>
      <c r="AY109" s="82"/>
      <c r="AZ109" s="82"/>
      <c r="BA109" s="86"/>
      <c r="BB109" s="79"/>
      <c r="BC109" s="79"/>
      <c r="BD109" s="79"/>
      <c r="BE109" s="82"/>
      <c r="BF109" s="85"/>
      <c r="BG109" s="79"/>
      <c r="BH109" s="79"/>
      <c r="BI109" s="79"/>
      <c r="BJ109" s="88"/>
      <c r="BK109" s="88"/>
      <c r="BL109" s="79"/>
      <c r="BM109" s="185"/>
      <c r="BN109" s="90"/>
      <c r="BO109" s="80"/>
      <c r="BP109" s="80"/>
      <c r="BQ109" s="80"/>
      <c r="BR109" s="80"/>
      <c r="BS109" s="80"/>
      <c r="BT109" s="80"/>
      <c r="BU109" s="80"/>
      <c r="BV109" s="80"/>
      <c r="BW109" s="82"/>
      <c r="BX109" s="79"/>
      <c r="BY109" s="79"/>
      <c r="BZ109" s="79"/>
      <c r="CA109" s="79"/>
      <c r="CB109" s="79"/>
      <c r="CC109" s="82"/>
      <c r="CD109" s="82"/>
      <c r="CE109" s="82"/>
      <c r="CF109" s="82"/>
      <c r="CG109" s="82"/>
      <c r="CH109" s="82"/>
      <c r="CI109" s="82"/>
      <c r="CJ109" s="79"/>
      <c r="CK109" s="79"/>
      <c r="CL109" s="79"/>
      <c r="CM109" s="79"/>
      <c r="CN109" s="79"/>
      <c r="CO109" s="79"/>
    </row>
    <row r="110" spans="1:93" ht="39.6">
      <c r="A110" s="98">
        <v>6</v>
      </c>
      <c r="B110" s="380" t="s">
        <v>719</v>
      </c>
      <c r="C110" s="188" t="s">
        <v>559</v>
      </c>
      <c r="D110" s="47" t="s">
        <v>723</v>
      </c>
      <c r="E110" s="126"/>
      <c r="F110" s="382" t="s">
        <v>745</v>
      </c>
      <c r="G110" s="167">
        <v>3</v>
      </c>
      <c r="H110" s="167"/>
      <c r="I110" s="170" t="s">
        <v>729</v>
      </c>
      <c r="J110" s="180">
        <f>(G110*$C$255)+(H110*$D$255)</f>
        <v>1950000</v>
      </c>
      <c r="K110" s="181">
        <f t="shared" si="17"/>
        <v>1500000</v>
      </c>
      <c r="L110" s="152"/>
      <c r="M110" s="152"/>
      <c r="N110" s="183">
        <f t="shared" si="18"/>
        <v>3450000</v>
      </c>
      <c r="O110" s="177">
        <v>225605580</v>
      </c>
      <c r="P110" s="145"/>
      <c r="Q110" s="141"/>
      <c r="R110" s="190"/>
      <c r="S110" s="83"/>
      <c r="T110" s="87"/>
      <c r="U110" s="87"/>
      <c r="V110" s="87"/>
      <c r="W110" s="44"/>
      <c r="X110" s="88"/>
      <c r="Y110" s="79"/>
      <c r="Z110" s="79"/>
      <c r="AA110" s="79"/>
      <c r="AB110" s="79"/>
      <c r="AC110" s="86"/>
      <c r="AD110" s="82"/>
      <c r="AE110" s="79"/>
      <c r="AF110" s="88"/>
      <c r="AG110" s="80"/>
      <c r="AH110" s="79"/>
      <c r="AI110" s="79"/>
      <c r="AJ110" s="79"/>
      <c r="AK110" s="80"/>
      <c r="AL110" s="80"/>
      <c r="AM110" s="80"/>
      <c r="AN110" s="79"/>
      <c r="AO110" s="80"/>
      <c r="AP110" s="80"/>
      <c r="AQ110" s="80"/>
      <c r="AR110" s="85"/>
      <c r="AS110" s="85"/>
      <c r="AT110" s="85"/>
      <c r="AU110" s="85"/>
      <c r="AV110" s="85"/>
      <c r="AW110" s="82"/>
      <c r="AX110" s="79"/>
      <c r="AY110" s="82"/>
      <c r="AZ110" s="82"/>
      <c r="BA110" s="86"/>
      <c r="BB110" s="79"/>
      <c r="BC110" s="79"/>
      <c r="BD110" s="79"/>
      <c r="BE110" s="82"/>
      <c r="BF110" s="85"/>
      <c r="BG110" s="79"/>
      <c r="BH110" s="79"/>
      <c r="BI110" s="79"/>
      <c r="BJ110" s="88"/>
      <c r="BK110" s="88"/>
      <c r="BL110" s="79"/>
      <c r="BM110" s="185"/>
      <c r="BN110" s="90"/>
      <c r="BO110" s="80"/>
      <c r="BP110" s="80"/>
      <c r="BQ110" s="80"/>
      <c r="BR110" s="80"/>
      <c r="BS110" s="80"/>
      <c r="BT110" s="80"/>
      <c r="BU110" s="80"/>
      <c r="BV110" s="80"/>
      <c r="BW110" s="82"/>
      <c r="BX110" s="79"/>
      <c r="BY110" s="79"/>
      <c r="BZ110" s="79"/>
      <c r="CA110" s="79"/>
      <c r="CB110" s="79"/>
      <c r="CC110" s="82"/>
      <c r="CD110" s="82"/>
      <c r="CE110" s="82"/>
      <c r="CF110" s="82"/>
      <c r="CG110" s="82"/>
      <c r="CH110" s="82"/>
      <c r="CI110" s="82"/>
      <c r="CJ110" s="79"/>
      <c r="CK110" s="79"/>
      <c r="CL110" s="79"/>
      <c r="CM110" s="79"/>
      <c r="CN110" s="79"/>
      <c r="CO110" s="79"/>
    </row>
    <row r="111" spans="1:93">
      <c r="A111" s="98">
        <v>7</v>
      </c>
      <c r="B111" s="380" t="s">
        <v>740</v>
      </c>
      <c r="C111" s="188" t="s">
        <v>741</v>
      </c>
      <c r="D111" s="47" t="s">
        <v>742</v>
      </c>
      <c r="E111" s="126"/>
      <c r="F111" s="382" t="s">
        <v>745</v>
      </c>
      <c r="G111" s="167"/>
      <c r="H111" s="167">
        <v>1</v>
      </c>
      <c r="I111" s="170" t="s">
        <v>744</v>
      </c>
      <c r="J111" s="180">
        <f>(G111*$C$255)+(H111*$D$255)</f>
        <v>1000000</v>
      </c>
      <c r="K111" s="181">
        <f t="shared" si="17"/>
        <v>500000</v>
      </c>
      <c r="L111" s="152"/>
      <c r="M111" s="152"/>
      <c r="N111" s="183">
        <f t="shared" si="18"/>
        <v>1500000</v>
      </c>
      <c r="O111" s="177" t="s">
        <v>743</v>
      </c>
      <c r="P111" s="145"/>
      <c r="Q111" s="141"/>
      <c r="R111" s="190"/>
      <c r="S111" s="83"/>
      <c r="T111" s="87"/>
      <c r="U111" s="87"/>
      <c r="V111" s="87"/>
      <c r="W111" s="44"/>
      <c r="X111" s="88"/>
      <c r="Y111" s="79"/>
      <c r="Z111" s="79"/>
      <c r="AA111" s="79"/>
      <c r="AB111" s="79"/>
      <c r="AC111" s="86"/>
      <c r="AD111" s="82"/>
      <c r="AE111" s="79"/>
      <c r="AF111" s="88"/>
      <c r="AG111" s="80"/>
      <c r="AH111" s="79"/>
      <c r="AI111" s="79"/>
      <c r="AJ111" s="79"/>
      <c r="AK111" s="80"/>
      <c r="AL111" s="80"/>
      <c r="AM111" s="80"/>
      <c r="AN111" s="79"/>
      <c r="AO111" s="80"/>
      <c r="AP111" s="80"/>
      <c r="AQ111" s="80"/>
      <c r="AR111" s="85"/>
      <c r="AS111" s="85"/>
      <c r="AT111" s="85"/>
      <c r="AU111" s="85"/>
      <c r="AV111" s="85"/>
      <c r="AW111" s="82"/>
      <c r="AX111" s="79"/>
      <c r="AY111" s="82"/>
      <c r="AZ111" s="82"/>
      <c r="BA111" s="86"/>
      <c r="BB111" s="79"/>
      <c r="BC111" s="79"/>
      <c r="BD111" s="79"/>
      <c r="BE111" s="82"/>
      <c r="BF111" s="85"/>
      <c r="BG111" s="79"/>
      <c r="BH111" s="79"/>
      <c r="BI111" s="79"/>
      <c r="BJ111" s="88"/>
      <c r="BK111" s="88"/>
      <c r="BL111" s="79"/>
      <c r="BM111" s="185"/>
      <c r="BN111" s="90"/>
      <c r="BO111" s="80"/>
      <c r="BP111" s="80"/>
      <c r="BQ111" s="80"/>
      <c r="BR111" s="80"/>
      <c r="BS111" s="80"/>
      <c r="BT111" s="80"/>
      <c r="BU111" s="80"/>
      <c r="BV111" s="80"/>
      <c r="BW111" s="82"/>
      <c r="BX111" s="79"/>
      <c r="BY111" s="79"/>
      <c r="BZ111" s="79"/>
      <c r="CA111" s="79"/>
      <c r="CB111" s="79"/>
      <c r="CC111" s="82"/>
      <c r="CD111" s="82"/>
      <c r="CE111" s="82"/>
      <c r="CF111" s="82"/>
      <c r="CG111" s="82"/>
      <c r="CH111" s="82"/>
      <c r="CI111" s="82"/>
      <c r="CJ111" s="79"/>
      <c r="CK111" s="79"/>
      <c r="CL111" s="79"/>
      <c r="CM111" s="79"/>
      <c r="CN111" s="79"/>
      <c r="CO111" s="79"/>
    </row>
    <row r="112" spans="1:93">
      <c r="A112" s="98">
        <v>8</v>
      </c>
      <c r="B112" s="380" t="s">
        <v>681</v>
      </c>
      <c r="C112" s="188">
        <v>45015</v>
      </c>
      <c r="D112" s="47" t="s">
        <v>715</v>
      </c>
      <c r="E112" s="126"/>
      <c r="F112" s="382" t="s">
        <v>745</v>
      </c>
      <c r="G112" s="167" t="s">
        <v>128</v>
      </c>
      <c r="H112" s="167"/>
      <c r="I112" s="170"/>
      <c r="J112" s="180"/>
      <c r="K112" s="181">
        <v>500000</v>
      </c>
      <c r="L112" s="152"/>
      <c r="M112" s="152"/>
      <c r="N112" s="183">
        <f t="shared" ref="N112:N121" si="19">+SUM(J112:M112)</f>
        <v>500000</v>
      </c>
      <c r="O112" s="177">
        <v>4780981656</v>
      </c>
      <c r="P112" s="145"/>
      <c r="Q112" s="141"/>
      <c r="R112" s="190"/>
      <c r="S112" s="83"/>
      <c r="T112" s="87"/>
      <c r="U112" s="87"/>
      <c r="V112" s="87"/>
      <c r="W112" s="44"/>
      <c r="X112" s="88"/>
      <c r="Y112" s="79"/>
      <c r="Z112" s="79"/>
      <c r="AA112" s="79"/>
      <c r="AB112" s="79"/>
      <c r="AC112" s="86"/>
      <c r="AD112" s="82"/>
      <c r="AE112" s="79"/>
      <c r="AF112" s="88"/>
      <c r="AG112" s="80"/>
      <c r="AH112" s="79"/>
      <c r="AI112" s="79"/>
      <c r="AJ112" s="79"/>
      <c r="AK112" s="80"/>
      <c r="AL112" s="80"/>
      <c r="AM112" s="80"/>
      <c r="AN112" s="79"/>
      <c r="AO112" s="80"/>
      <c r="AP112" s="80"/>
      <c r="AQ112" s="80"/>
      <c r="AR112" s="85"/>
      <c r="AS112" s="85"/>
      <c r="AT112" s="85"/>
      <c r="AU112" s="85"/>
      <c r="AV112" s="85"/>
      <c r="AW112" s="82"/>
      <c r="AX112" s="79"/>
      <c r="AY112" s="82"/>
      <c r="AZ112" s="82"/>
      <c r="BA112" s="86"/>
      <c r="BB112" s="79"/>
      <c r="BC112" s="79"/>
      <c r="BD112" s="79"/>
      <c r="BE112" s="82"/>
      <c r="BF112" s="85"/>
      <c r="BG112" s="79"/>
      <c r="BH112" s="79"/>
      <c r="BI112" s="79"/>
      <c r="BJ112" s="88"/>
      <c r="BK112" s="88"/>
      <c r="BL112" s="79"/>
      <c r="BM112" s="185"/>
      <c r="BN112" s="90"/>
      <c r="BO112" s="80"/>
      <c r="BP112" s="80"/>
      <c r="BQ112" s="80"/>
      <c r="BR112" s="80"/>
      <c r="BS112" s="80"/>
      <c r="BT112" s="80"/>
      <c r="BU112" s="80"/>
      <c r="BV112" s="80"/>
      <c r="BW112" s="82"/>
      <c r="BX112" s="79"/>
      <c r="BY112" s="79"/>
      <c r="BZ112" s="79"/>
      <c r="CA112" s="79"/>
      <c r="CB112" s="79"/>
      <c r="CC112" s="82"/>
      <c r="CD112" s="82"/>
      <c r="CE112" s="82"/>
      <c r="CF112" s="82"/>
      <c r="CG112" s="82"/>
      <c r="CH112" s="82"/>
      <c r="CI112" s="82"/>
      <c r="CJ112" s="79"/>
      <c r="CK112" s="79"/>
      <c r="CL112" s="79"/>
      <c r="CM112" s="79"/>
      <c r="CN112" s="79"/>
      <c r="CO112" s="79"/>
    </row>
    <row r="113" spans="1:93">
      <c r="A113" s="98">
        <v>9</v>
      </c>
      <c r="B113" s="380" t="s">
        <v>682</v>
      </c>
      <c r="C113" s="188" t="s">
        <v>693</v>
      </c>
      <c r="D113" s="47" t="s">
        <v>716</v>
      </c>
      <c r="E113" s="126"/>
      <c r="F113" s="382" t="s">
        <v>745</v>
      </c>
      <c r="G113" s="167"/>
      <c r="H113" s="167">
        <v>1</v>
      </c>
      <c r="I113" s="170" t="s">
        <v>705</v>
      </c>
      <c r="J113" s="180">
        <f t="shared" ref="J113:J121" si="20">(G113*$C$255)+(H113*$D$255)</f>
        <v>1000000</v>
      </c>
      <c r="K113" s="181">
        <f t="shared" ref="K113:K121" si="21">SUM(G113:I113)*500000</f>
        <v>500000</v>
      </c>
      <c r="L113" s="152"/>
      <c r="M113" s="152"/>
      <c r="N113" s="183">
        <f t="shared" si="19"/>
        <v>1500000</v>
      </c>
      <c r="O113" s="177" t="s">
        <v>694</v>
      </c>
      <c r="P113" s="145"/>
      <c r="Q113" s="141"/>
      <c r="R113" s="190"/>
      <c r="S113" s="83"/>
      <c r="T113" s="87"/>
      <c r="U113" s="87"/>
      <c r="V113" s="87"/>
      <c r="W113" s="44"/>
      <c r="X113" s="88"/>
      <c r="Y113" s="79"/>
      <c r="Z113" s="79"/>
      <c r="AA113" s="79"/>
      <c r="AB113" s="79"/>
      <c r="AC113" s="86"/>
      <c r="AD113" s="82"/>
      <c r="AE113" s="79"/>
      <c r="AF113" s="88"/>
      <c r="AG113" s="80"/>
      <c r="AH113" s="79"/>
      <c r="AI113" s="79"/>
      <c r="AJ113" s="79"/>
      <c r="AK113" s="80"/>
      <c r="AL113" s="80"/>
      <c r="AM113" s="80"/>
      <c r="AN113" s="79"/>
      <c r="AO113" s="80"/>
      <c r="AP113" s="80"/>
      <c r="AQ113" s="80"/>
      <c r="AR113" s="85"/>
      <c r="AS113" s="85"/>
      <c r="AT113" s="85"/>
      <c r="AU113" s="85"/>
      <c r="AV113" s="85"/>
      <c r="AW113" s="82"/>
      <c r="AX113" s="79"/>
      <c r="AY113" s="82"/>
      <c r="AZ113" s="82"/>
      <c r="BA113" s="86"/>
      <c r="BB113" s="79"/>
      <c r="BC113" s="79"/>
      <c r="BD113" s="79"/>
      <c r="BE113" s="82"/>
      <c r="BF113" s="85"/>
      <c r="BG113" s="79"/>
      <c r="BH113" s="79"/>
      <c r="BI113" s="79"/>
      <c r="BJ113" s="88"/>
      <c r="BK113" s="88"/>
      <c r="BL113" s="79"/>
      <c r="BM113" s="185"/>
      <c r="BN113" s="90"/>
      <c r="BO113" s="80"/>
      <c r="BP113" s="80"/>
      <c r="BQ113" s="80"/>
      <c r="BR113" s="80"/>
      <c r="BS113" s="80"/>
      <c r="BT113" s="80"/>
      <c r="BU113" s="80"/>
      <c r="BV113" s="80"/>
      <c r="BW113" s="82"/>
      <c r="BX113" s="79"/>
      <c r="BY113" s="79"/>
      <c r="BZ113" s="79"/>
      <c r="CA113" s="79"/>
      <c r="CB113" s="79"/>
      <c r="CC113" s="82"/>
      <c r="CD113" s="82"/>
      <c r="CE113" s="82"/>
      <c r="CF113" s="82"/>
      <c r="CG113" s="82"/>
      <c r="CH113" s="82"/>
      <c r="CI113" s="82"/>
      <c r="CJ113" s="79"/>
      <c r="CK113" s="79"/>
      <c r="CL113" s="79"/>
      <c r="CM113" s="79"/>
      <c r="CN113" s="79"/>
      <c r="CO113" s="79"/>
    </row>
    <row r="114" spans="1:93">
      <c r="A114" s="98">
        <v>10</v>
      </c>
      <c r="B114" s="380" t="s">
        <v>685</v>
      </c>
      <c r="C114" s="188">
        <v>45019</v>
      </c>
      <c r="D114" s="47" t="s">
        <v>733</v>
      </c>
      <c r="E114" s="126"/>
      <c r="F114" s="382" t="s">
        <v>745</v>
      </c>
      <c r="G114" s="167">
        <v>1</v>
      </c>
      <c r="H114" s="167"/>
      <c r="I114" s="170" t="s">
        <v>708</v>
      </c>
      <c r="J114" s="180">
        <f t="shared" si="20"/>
        <v>650000</v>
      </c>
      <c r="K114" s="181">
        <f t="shared" si="21"/>
        <v>500000</v>
      </c>
      <c r="L114" s="152"/>
      <c r="M114" s="152"/>
      <c r="N114" s="183">
        <f t="shared" si="19"/>
        <v>1150000</v>
      </c>
      <c r="O114" s="177" t="s">
        <v>697</v>
      </c>
      <c r="P114" s="145"/>
      <c r="Q114" s="141"/>
      <c r="R114" s="190"/>
      <c r="S114" s="83"/>
      <c r="T114" s="87"/>
      <c r="U114" s="87"/>
      <c r="V114" s="87"/>
      <c r="W114" s="44"/>
      <c r="X114" s="88"/>
      <c r="Y114" s="79"/>
      <c r="Z114" s="79"/>
      <c r="AA114" s="79"/>
      <c r="AB114" s="79"/>
      <c r="AC114" s="86"/>
      <c r="AD114" s="82"/>
      <c r="AE114" s="79"/>
      <c r="AF114" s="88"/>
      <c r="AG114" s="80"/>
      <c r="AH114" s="79"/>
      <c r="AI114" s="79"/>
      <c r="AJ114" s="79"/>
      <c r="AK114" s="80"/>
      <c r="AL114" s="80"/>
      <c r="AM114" s="80"/>
      <c r="AN114" s="79"/>
      <c r="AO114" s="80"/>
      <c r="AP114" s="80"/>
      <c r="AQ114" s="80"/>
      <c r="AR114" s="85"/>
      <c r="AS114" s="85"/>
      <c r="AT114" s="85"/>
      <c r="AU114" s="85"/>
      <c r="AV114" s="85"/>
      <c r="AW114" s="82"/>
      <c r="AX114" s="79"/>
      <c r="AY114" s="82"/>
      <c r="AZ114" s="82"/>
      <c r="BA114" s="86"/>
      <c r="BB114" s="79"/>
      <c r="BC114" s="79"/>
      <c r="BD114" s="79"/>
      <c r="BE114" s="82"/>
      <c r="BF114" s="85"/>
      <c r="BG114" s="79"/>
      <c r="BH114" s="79"/>
      <c r="BI114" s="79"/>
      <c r="BJ114" s="88"/>
      <c r="BK114" s="88"/>
      <c r="BL114" s="79"/>
      <c r="BM114" s="185"/>
      <c r="BN114" s="90"/>
      <c r="BO114" s="80"/>
      <c r="BP114" s="80"/>
      <c r="BQ114" s="80"/>
      <c r="BR114" s="80"/>
      <c r="BS114" s="80"/>
      <c r="BT114" s="80"/>
      <c r="BU114" s="80"/>
      <c r="BV114" s="80"/>
      <c r="BW114" s="82"/>
      <c r="BX114" s="79"/>
      <c r="BY114" s="79"/>
      <c r="BZ114" s="79"/>
      <c r="CA114" s="79"/>
      <c r="CB114" s="79"/>
      <c r="CC114" s="82"/>
      <c r="CD114" s="82"/>
      <c r="CE114" s="82"/>
      <c r="CF114" s="82"/>
      <c r="CG114" s="82"/>
      <c r="CH114" s="82"/>
      <c r="CI114" s="82"/>
      <c r="CJ114" s="79"/>
      <c r="CK114" s="79"/>
      <c r="CL114" s="79"/>
      <c r="CM114" s="79"/>
      <c r="CN114" s="79"/>
      <c r="CO114" s="79"/>
    </row>
    <row r="115" spans="1:93">
      <c r="A115" s="98">
        <v>11</v>
      </c>
      <c r="B115" s="380" t="s">
        <v>686</v>
      </c>
      <c r="C115" s="188">
        <v>45019</v>
      </c>
      <c r="D115" s="47" t="s">
        <v>734</v>
      </c>
      <c r="E115" s="126"/>
      <c r="F115" s="382" t="s">
        <v>745</v>
      </c>
      <c r="G115" s="167"/>
      <c r="H115" s="167">
        <v>1</v>
      </c>
      <c r="I115" s="170" t="s">
        <v>709</v>
      </c>
      <c r="J115" s="180">
        <f t="shared" si="20"/>
        <v>1000000</v>
      </c>
      <c r="K115" s="181">
        <f t="shared" si="21"/>
        <v>500000</v>
      </c>
      <c r="L115" s="152"/>
      <c r="M115" s="152"/>
      <c r="N115" s="183">
        <f t="shared" si="19"/>
        <v>1500000</v>
      </c>
      <c r="O115" s="177" t="s">
        <v>698</v>
      </c>
      <c r="P115" s="145"/>
      <c r="Q115" s="141"/>
      <c r="R115" s="190"/>
      <c r="S115" s="83"/>
      <c r="T115" s="87"/>
      <c r="U115" s="87"/>
      <c r="V115" s="87"/>
      <c r="W115" s="44"/>
      <c r="X115" s="88"/>
      <c r="Y115" s="79"/>
      <c r="Z115" s="79"/>
      <c r="AA115" s="79"/>
      <c r="AB115" s="79"/>
      <c r="AC115" s="86"/>
      <c r="AD115" s="82"/>
      <c r="AE115" s="79"/>
      <c r="AF115" s="88"/>
      <c r="AG115" s="80"/>
      <c r="AH115" s="79"/>
      <c r="AI115" s="79"/>
      <c r="AJ115" s="79"/>
      <c r="AK115" s="80"/>
      <c r="AL115" s="80"/>
      <c r="AM115" s="80"/>
      <c r="AN115" s="79"/>
      <c r="AO115" s="80"/>
      <c r="AP115" s="80"/>
      <c r="AQ115" s="80"/>
      <c r="AR115" s="85"/>
      <c r="AS115" s="85"/>
      <c r="AT115" s="85"/>
      <c r="AU115" s="85"/>
      <c r="AV115" s="85"/>
      <c r="AW115" s="82"/>
      <c r="AX115" s="79"/>
      <c r="AY115" s="82"/>
      <c r="AZ115" s="82"/>
      <c r="BA115" s="86"/>
      <c r="BB115" s="79"/>
      <c r="BC115" s="79"/>
      <c r="BD115" s="79"/>
      <c r="BE115" s="82"/>
      <c r="BF115" s="85"/>
      <c r="BG115" s="79"/>
      <c r="BH115" s="79"/>
      <c r="BI115" s="79"/>
      <c r="BJ115" s="88"/>
      <c r="BK115" s="88"/>
      <c r="BL115" s="79"/>
      <c r="BM115" s="185"/>
      <c r="BN115" s="90"/>
      <c r="BO115" s="80"/>
      <c r="BP115" s="80"/>
      <c r="BQ115" s="80"/>
      <c r="BR115" s="80"/>
      <c r="BS115" s="80"/>
      <c r="BT115" s="80"/>
      <c r="BU115" s="80"/>
      <c r="BV115" s="80"/>
      <c r="BW115" s="82"/>
      <c r="BX115" s="79"/>
      <c r="BY115" s="79"/>
      <c r="BZ115" s="79"/>
      <c r="CA115" s="79"/>
      <c r="CB115" s="79"/>
      <c r="CC115" s="82"/>
      <c r="CD115" s="82"/>
      <c r="CE115" s="82"/>
      <c r="CF115" s="82"/>
      <c r="CG115" s="82"/>
      <c r="CH115" s="82"/>
      <c r="CI115" s="82"/>
      <c r="CJ115" s="79"/>
      <c r="CK115" s="79"/>
      <c r="CL115" s="79"/>
      <c r="CM115" s="79"/>
      <c r="CN115" s="79"/>
      <c r="CO115" s="79"/>
    </row>
    <row r="116" spans="1:93">
      <c r="A116" s="98">
        <v>12</v>
      </c>
      <c r="B116" s="380" t="s">
        <v>687</v>
      </c>
      <c r="C116" s="188">
        <v>45019</v>
      </c>
      <c r="D116" s="47" t="s">
        <v>735</v>
      </c>
      <c r="E116" s="126"/>
      <c r="F116" s="382" t="s">
        <v>745</v>
      </c>
      <c r="G116" s="167">
        <v>1</v>
      </c>
      <c r="H116" s="167"/>
      <c r="I116" s="170" t="s">
        <v>699</v>
      </c>
      <c r="J116" s="180">
        <f t="shared" si="20"/>
        <v>650000</v>
      </c>
      <c r="K116" s="181">
        <f t="shared" si="21"/>
        <v>500000</v>
      </c>
      <c r="L116" s="152"/>
      <c r="M116" s="152"/>
      <c r="N116" s="183">
        <f t="shared" si="19"/>
        <v>1150000</v>
      </c>
      <c r="O116" s="177" t="s">
        <v>699</v>
      </c>
      <c r="P116" s="145"/>
      <c r="Q116" s="141"/>
      <c r="R116" s="190"/>
      <c r="S116" s="83"/>
      <c r="T116" s="87"/>
      <c r="U116" s="87"/>
      <c r="V116" s="87"/>
      <c r="W116" s="44"/>
      <c r="X116" s="88"/>
      <c r="Y116" s="79"/>
      <c r="Z116" s="79"/>
      <c r="AA116" s="79"/>
      <c r="AB116" s="79"/>
      <c r="AC116" s="86"/>
      <c r="AD116" s="82"/>
      <c r="AE116" s="79"/>
      <c r="AF116" s="88"/>
      <c r="AG116" s="80"/>
      <c r="AH116" s="79"/>
      <c r="AI116" s="79"/>
      <c r="AJ116" s="79"/>
      <c r="AK116" s="80"/>
      <c r="AL116" s="80"/>
      <c r="AM116" s="80"/>
      <c r="AN116" s="79"/>
      <c r="AO116" s="80"/>
      <c r="AP116" s="80"/>
      <c r="AQ116" s="80"/>
      <c r="AR116" s="85"/>
      <c r="AS116" s="85"/>
      <c r="AT116" s="85"/>
      <c r="AU116" s="85"/>
      <c r="AV116" s="85"/>
      <c r="AW116" s="82"/>
      <c r="AX116" s="79"/>
      <c r="AY116" s="82"/>
      <c r="AZ116" s="82"/>
      <c r="BA116" s="86"/>
      <c r="BB116" s="79"/>
      <c r="BC116" s="79"/>
      <c r="BD116" s="79"/>
      <c r="BE116" s="82"/>
      <c r="BF116" s="85"/>
      <c r="BG116" s="79"/>
      <c r="BH116" s="79"/>
      <c r="BI116" s="79"/>
      <c r="BJ116" s="88"/>
      <c r="BK116" s="88"/>
      <c r="BL116" s="79"/>
      <c r="BM116" s="185"/>
      <c r="BN116" s="90"/>
      <c r="BO116" s="80"/>
      <c r="BP116" s="80"/>
      <c r="BQ116" s="80"/>
      <c r="BR116" s="80"/>
      <c r="BS116" s="80"/>
      <c r="BT116" s="80"/>
      <c r="BU116" s="80"/>
      <c r="BV116" s="80"/>
      <c r="BW116" s="82"/>
      <c r="BX116" s="79"/>
      <c r="BY116" s="79"/>
      <c r="BZ116" s="79"/>
      <c r="CA116" s="79"/>
      <c r="CB116" s="79"/>
      <c r="CC116" s="82"/>
      <c r="CD116" s="82"/>
      <c r="CE116" s="82"/>
      <c r="CF116" s="82"/>
      <c r="CG116" s="82"/>
      <c r="CH116" s="82"/>
      <c r="CI116" s="82"/>
      <c r="CJ116" s="79"/>
      <c r="CK116" s="79"/>
      <c r="CL116" s="79"/>
      <c r="CM116" s="79"/>
      <c r="CN116" s="79"/>
      <c r="CO116" s="79"/>
    </row>
    <row r="117" spans="1:93" ht="52.8">
      <c r="A117" s="98">
        <v>13</v>
      </c>
      <c r="B117" s="380" t="s">
        <v>688</v>
      </c>
      <c r="C117" s="188">
        <v>45019</v>
      </c>
      <c r="D117" s="47" t="s">
        <v>735</v>
      </c>
      <c r="E117" s="126"/>
      <c r="F117" s="382" t="s">
        <v>745</v>
      </c>
      <c r="G117" s="167">
        <v>4</v>
      </c>
      <c r="H117" s="167"/>
      <c r="I117" s="170" t="s">
        <v>710</v>
      </c>
      <c r="J117" s="180">
        <f t="shared" si="20"/>
        <v>2600000</v>
      </c>
      <c r="K117" s="181">
        <f t="shared" si="21"/>
        <v>2000000</v>
      </c>
      <c r="L117" s="152"/>
      <c r="M117" s="152"/>
      <c r="N117" s="183">
        <f t="shared" si="19"/>
        <v>4600000</v>
      </c>
      <c r="O117" s="177">
        <v>225605626</v>
      </c>
      <c r="P117" s="145"/>
      <c r="Q117" s="141"/>
      <c r="R117" s="190"/>
      <c r="S117" s="83"/>
      <c r="T117" s="87"/>
      <c r="U117" s="87"/>
      <c r="V117" s="87"/>
      <c r="W117" s="44"/>
      <c r="X117" s="88"/>
      <c r="Y117" s="79"/>
      <c r="Z117" s="79"/>
      <c r="AA117" s="79"/>
      <c r="AB117" s="79"/>
      <c r="AC117" s="86"/>
      <c r="AD117" s="82"/>
      <c r="AE117" s="79"/>
      <c r="AF117" s="88"/>
      <c r="AG117" s="80"/>
      <c r="AH117" s="79"/>
      <c r="AI117" s="79"/>
      <c r="AJ117" s="79"/>
      <c r="AK117" s="80"/>
      <c r="AL117" s="80"/>
      <c r="AM117" s="80"/>
      <c r="AN117" s="79"/>
      <c r="AO117" s="80"/>
      <c r="AP117" s="80"/>
      <c r="AQ117" s="80"/>
      <c r="AR117" s="85"/>
      <c r="AS117" s="85"/>
      <c r="AT117" s="85"/>
      <c r="AU117" s="85"/>
      <c r="AV117" s="85"/>
      <c r="AW117" s="82"/>
      <c r="AX117" s="79"/>
      <c r="AY117" s="82"/>
      <c r="AZ117" s="82"/>
      <c r="BA117" s="86"/>
      <c r="BB117" s="79"/>
      <c r="BC117" s="79"/>
      <c r="BD117" s="79"/>
      <c r="BE117" s="82"/>
      <c r="BF117" s="85"/>
      <c r="BG117" s="79"/>
      <c r="BH117" s="79"/>
      <c r="BI117" s="79"/>
      <c r="BJ117" s="88"/>
      <c r="BK117" s="88"/>
      <c r="BL117" s="79"/>
      <c r="BM117" s="185"/>
      <c r="BN117" s="90"/>
      <c r="BO117" s="80"/>
      <c r="BP117" s="80"/>
      <c r="BQ117" s="80"/>
      <c r="BR117" s="80"/>
      <c r="BS117" s="80"/>
      <c r="BT117" s="80"/>
      <c r="BU117" s="80"/>
      <c r="BV117" s="80"/>
      <c r="BW117" s="82"/>
      <c r="BX117" s="79"/>
      <c r="BY117" s="79"/>
      <c r="BZ117" s="79"/>
      <c r="CA117" s="79"/>
      <c r="CB117" s="79"/>
      <c r="CC117" s="82"/>
      <c r="CD117" s="82"/>
      <c r="CE117" s="82"/>
      <c r="CF117" s="82"/>
      <c r="CG117" s="82"/>
      <c r="CH117" s="82"/>
      <c r="CI117" s="82"/>
      <c r="CJ117" s="79"/>
      <c r="CK117" s="79"/>
      <c r="CL117" s="79"/>
      <c r="CM117" s="79"/>
      <c r="CN117" s="79"/>
      <c r="CO117" s="79"/>
    </row>
    <row r="118" spans="1:93" ht="26.4">
      <c r="A118" s="98">
        <v>14</v>
      </c>
      <c r="B118" s="380" t="s">
        <v>689</v>
      </c>
      <c r="C118" s="188">
        <v>45019</v>
      </c>
      <c r="D118" s="47" t="s">
        <v>736</v>
      </c>
      <c r="E118" s="126"/>
      <c r="F118" s="382" t="s">
        <v>745</v>
      </c>
      <c r="G118" s="167">
        <v>2</v>
      </c>
      <c r="H118" s="167"/>
      <c r="I118" s="170" t="s">
        <v>711</v>
      </c>
      <c r="J118" s="180">
        <f t="shared" si="20"/>
        <v>1300000</v>
      </c>
      <c r="K118" s="181">
        <f t="shared" si="21"/>
        <v>1000000</v>
      </c>
      <c r="L118" s="152"/>
      <c r="M118" s="152"/>
      <c r="N118" s="183">
        <f t="shared" si="19"/>
        <v>2300000</v>
      </c>
      <c r="O118" s="177" t="s">
        <v>700</v>
      </c>
      <c r="P118" s="145"/>
      <c r="Q118" s="141"/>
      <c r="R118" s="190"/>
      <c r="S118" s="83"/>
      <c r="T118" s="87"/>
      <c r="U118" s="87"/>
      <c r="V118" s="87"/>
      <c r="W118" s="44"/>
      <c r="X118" s="88"/>
      <c r="Y118" s="79"/>
      <c r="Z118" s="79"/>
      <c r="AA118" s="79"/>
      <c r="AB118" s="79"/>
      <c r="AC118" s="86"/>
      <c r="AD118" s="82"/>
      <c r="AE118" s="79"/>
      <c r="AF118" s="88"/>
      <c r="AG118" s="80"/>
      <c r="AH118" s="79"/>
      <c r="AI118" s="79"/>
      <c r="AJ118" s="79"/>
      <c r="AK118" s="80"/>
      <c r="AL118" s="80"/>
      <c r="AM118" s="80"/>
      <c r="AN118" s="79"/>
      <c r="AO118" s="80"/>
      <c r="AP118" s="80"/>
      <c r="AQ118" s="80"/>
      <c r="AR118" s="85"/>
      <c r="AS118" s="85"/>
      <c r="AT118" s="85"/>
      <c r="AU118" s="85"/>
      <c r="AV118" s="85"/>
      <c r="AW118" s="82"/>
      <c r="AX118" s="79"/>
      <c r="AY118" s="82"/>
      <c r="AZ118" s="82"/>
      <c r="BA118" s="86"/>
      <c r="BB118" s="79"/>
      <c r="BC118" s="79"/>
      <c r="BD118" s="79"/>
      <c r="BE118" s="82"/>
      <c r="BF118" s="85"/>
      <c r="BG118" s="79"/>
      <c r="BH118" s="79"/>
      <c r="BI118" s="79"/>
      <c r="BJ118" s="88"/>
      <c r="BK118" s="88"/>
      <c r="BL118" s="79"/>
      <c r="BM118" s="185"/>
      <c r="BN118" s="90"/>
      <c r="BO118" s="80"/>
      <c r="BP118" s="80"/>
      <c r="BQ118" s="80"/>
      <c r="BR118" s="80"/>
      <c r="BS118" s="80"/>
      <c r="BT118" s="80"/>
      <c r="BU118" s="80"/>
      <c r="BV118" s="80"/>
      <c r="BW118" s="82"/>
      <c r="BX118" s="79"/>
      <c r="BY118" s="79"/>
      <c r="BZ118" s="79"/>
      <c r="CA118" s="79"/>
      <c r="CB118" s="79"/>
      <c r="CC118" s="82"/>
      <c r="CD118" s="82"/>
      <c r="CE118" s="82"/>
      <c r="CF118" s="82"/>
      <c r="CG118" s="82"/>
      <c r="CH118" s="82"/>
      <c r="CI118" s="82"/>
      <c r="CJ118" s="79"/>
      <c r="CK118" s="79"/>
      <c r="CL118" s="79"/>
      <c r="CM118" s="79"/>
      <c r="CN118" s="79"/>
      <c r="CO118" s="79"/>
    </row>
    <row r="119" spans="1:93" ht="26.4">
      <c r="A119" s="98">
        <v>15</v>
      </c>
      <c r="B119" s="380" t="s">
        <v>690</v>
      </c>
      <c r="C119" s="188">
        <v>45020</v>
      </c>
      <c r="D119" s="47" t="s">
        <v>737</v>
      </c>
      <c r="E119" s="126"/>
      <c r="F119" s="382" t="s">
        <v>745</v>
      </c>
      <c r="G119" s="167">
        <v>2</v>
      </c>
      <c r="H119" s="167"/>
      <c r="I119" s="170" t="s">
        <v>712</v>
      </c>
      <c r="J119" s="180">
        <f t="shared" si="20"/>
        <v>1300000</v>
      </c>
      <c r="K119" s="181">
        <f t="shared" si="21"/>
        <v>1000000</v>
      </c>
      <c r="L119" s="152"/>
      <c r="M119" s="152"/>
      <c r="N119" s="183">
        <f t="shared" si="19"/>
        <v>2300000</v>
      </c>
      <c r="O119" s="177" t="s">
        <v>701</v>
      </c>
      <c r="P119" s="145"/>
      <c r="Q119" s="141"/>
      <c r="R119" s="190"/>
      <c r="S119" s="83"/>
      <c r="T119" s="87"/>
      <c r="U119" s="87"/>
      <c r="V119" s="87"/>
      <c r="W119" s="44"/>
      <c r="X119" s="88"/>
      <c r="Y119" s="79"/>
      <c r="Z119" s="79"/>
      <c r="AA119" s="79"/>
      <c r="AB119" s="79"/>
      <c r="AC119" s="86"/>
      <c r="AD119" s="82"/>
      <c r="AE119" s="79"/>
      <c r="AF119" s="88"/>
      <c r="AG119" s="80"/>
      <c r="AH119" s="79"/>
      <c r="AI119" s="79"/>
      <c r="AJ119" s="79"/>
      <c r="AK119" s="80"/>
      <c r="AL119" s="80"/>
      <c r="AM119" s="80"/>
      <c r="AN119" s="79"/>
      <c r="AO119" s="80"/>
      <c r="AP119" s="80"/>
      <c r="AQ119" s="80"/>
      <c r="AR119" s="85"/>
      <c r="AS119" s="85"/>
      <c r="AT119" s="85"/>
      <c r="AU119" s="85"/>
      <c r="AV119" s="85"/>
      <c r="AW119" s="82"/>
      <c r="AX119" s="79"/>
      <c r="AY119" s="82"/>
      <c r="AZ119" s="82"/>
      <c r="BA119" s="86"/>
      <c r="BB119" s="79"/>
      <c r="BC119" s="79"/>
      <c r="BD119" s="79"/>
      <c r="BE119" s="82"/>
      <c r="BF119" s="85"/>
      <c r="BG119" s="79"/>
      <c r="BH119" s="79"/>
      <c r="BI119" s="79"/>
      <c r="BJ119" s="88"/>
      <c r="BK119" s="88"/>
      <c r="BL119" s="79"/>
      <c r="BM119" s="185"/>
      <c r="BN119" s="90"/>
      <c r="BO119" s="80"/>
      <c r="BP119" s="80"/>
      <c r="BQ119" s="80"/>
      <c r="BR119" s="80"/>
      <c r="BS119" s="80"/>
      <c r="BT119" s="80"/>
      <c r="BU119" s="80"/>
      <c r="BV119" s="80"/>
      <c r="BW119" s="82"/>
      <c r="BX119" s="79"/>
      <c r="BY119" s="79"/>
      <c r="BZ119" s="79"/>
      <c r="CA119" s="79"/>
      <c r="CB119" s="79"/>
      <c r="CC119" s="82"/>
      <c r="CD119" s="82"/>
      <c r="CE119" s="82"/>
      <c r="CF119" s="82"/>
      <c r="CG119" s="82"/>
      <c r="CH119" s="82"/>
      <c r="CI119" s="82"/>
      <c r="CJ119" s="79"/>
      <c r="CK119" s="79"/>
      <c r="CL119" s="79"/>
      <c r="CM119" s="79"/>
      <c r="CN119" s="79"/>
      <c r="CO119" s="79"/>
    </row>
    <row r="120" spans="1:93">
      <c r="A120" s="98">
        <v>16</v>
      </c>
      <c r="B120" s="380" t="s">
        <v>691</v>
      </c>
      <c r="C120" s="188">
        <v>45020</v>
      </c>
      <c r="D120" s="47" t="s">
        <v>738</v>
      </c>
      <c r="E120" s="126"/>
      <c r="F120" s="382" t="s">
        <v>745</v>
      </c>
      <c r="G120" s="167">
        <v>1</v>
      </c>
      <c r="H120" s="167"/>
      <c r="I120" s="170" t="s">
        <v>713</v>
      </c>
      <c r="J120" s="180">
        <f t="shared" si="20"/>
        <v>650000</v>
      </c>
      <c r="K120" s="181">
        <f t="shared" si="21"/>
        <v>500000</v>
      </c>
      <c r="L120" s="152"/>
      <c r="M120" s="152"/>
      <c r="N120" s="183">
        <f t="shared" si="19"/>
        <v>1150000</v>
      </c>
      <c r="O120" s="177" t="s">
        <v>702</v>
      </c>
      <c r="P120" s="145"/>
      <c r="Q120" s="141"/>
      <c r="R120" s="190"/>
      <c r="S120" s="83"/>
      <c r="T120" s="87"/>
      <c r="U120" s="87"/>
      <c r="V120" s="87"/>
      <c r="W120" s="44"/>
      <c r="X120" s="88"/>
      <c r="Y120" s="79"/>
      <c r="Z120" s="79"/>
      <c r="AA120" s="79"/>
      <c r="AB120" s="79"/>
      <c r="AC120" s="86"/>
      <c r="AD120" s="82"/>
      <c r="AE120" s="79"/>
      <c r="AF120" s="88"/>
      <c r="AG120" s="80"/>
      <c r="AH120" s="79"/>
      <c r="AI120" s="79"/>
      <c r="AJ120" s="79"/>
      <c r="AK120" s="80"/>
      <c r="AL120" s="80"/>
      <c r="AM120" s="80"/>
      <c r="AN120" s="79"/>
      <c r="AO120" s="80"/>
      <c r="AP120" s="80"/>
      <c r="AQ120" s="80"/>
      <c r="AR120" s="85"/>
      <c r="AS120" s="85"/>
      <c r="AT120" s="85"/>
      <c r="AU120" s="85"/>
      <c r="AV120" s="85"/>
      <c r="AW120" s="82"/>
      <c r="AX120" s="79"/>
      <c r="AY120" s="82"/>
      <c r="AZ120" s="82"/>
      <c r="BA120" s="86"/>
      <c r="BB120" s="79"/>
      <c r="BC120" s="79"/>
      <c r="BD120" s="79"/>
      <c r="BE120" s="82"/>
      <c r="BF120" s="85"/>
      <c r="BG120" s="79"/>
      <c r="BH120" s="79"/>
      <c r="BI120" s="79"/>
      <c r="BJ120" s="88"/>
      <c r="BK120" s="88"/>
      <c r="BL120" s="79"/>
      <c r="BM120" s="185"/>
      <c r="BN120" s="90"/>
      <c r="BO120" s="80"/>
      <c r="BP120" s="80"/>
      <c r="BQ120" s="80"/>
      <c r="BR120" s="80"/>
      <c r="BS120" s="80"/>
      <c r="BT120" s="80"/>
      <c r="BU120" s="80"/>
      <c r="BV120" s="80"/>
      <c r="BW120" s="82"/>
      <c r="BX120" s="79"/>
      <c r="BY120" s="79"/>
      <c r="BZ120" s="79"/>
      <c r="CA120" s="79"/>
      <c r="CB120" s="79"/>
      <c r="CC120" s="82"/>
      <c r="CD120" s="82"/>
      <c r="CE120" s="82"/>
      <c r="CF120" s="82"/>
      <c r="CG120" s="82"/>
      <c r="CH120" s="82"/>
      <c r="CI120" s="82"/>
      <c r="CJ120" s="79"/>
      <c r="CK120" s="79"/>
      <c r="CL120" s="79"/>
      <c r="CM120" s="79"/>
      <c r="CN120" s="79"/>
      <c r="CO120" s="79"/>
    </row>
    <row r="121" spans="1:93">
      <c r="A121" s="98">
        <v>17</v>
      </c>
      <c r="B121" s="380" t="s">
        <v>692</v>
      </c>
      <c r="C121" s="188">
        <v>45020</v>
      </c>
      <c r="D121" s="47" t="s">
        <v>739</v>
      </c>
      <c r="E121" s="126"/>
      <c r="F121" s="382" t="s">
        <v>745</v>
      </c>
      <c r="G121" s="167"/>
      <c r="H121" s="167">
        <v>1</v>
      </c>
      <c r="I121" s="170" t="s">
        <v>714</v>
      </c>
      <c r="J121" s="180">
        <f t="shared" si="20"/>
        <v>1000000</v>
      </c>
      <c r="K121" s="181">
        <f t="shared" si="21"/>
        <v>500000</v>
      </c>
      <c r="L121" s="152"/>
      <c r="M121" s="152"/>
      <c r="N121" s="183">
        <f t="shared" si="19"/>
        <v>1500000</v>
      </c>
      <c r="O121" s="177" t="s">
        <v>703</v>
      </c>
      <c r="P121" s="145"/>
      <c r="Q121" s="141"/>
      <c r="R121" s="190"/>
      <c r="S121" s="83"/>
      <c r="T121" s="87"/>
      <c r="U121" s="87"/>
      <c r="V121" s="87"/>
      <c r="W121" s="44"/>
      <c r="X121" s="88"/>
      <c r="Y121" s="79"/>
      <c r="Z121" s="79"/>
      <c r="AA121" s="79"/>
      <c r="AB121" s="79"/>
      <c r="AC121" s="86"/>
      <c r="AD121" s="82"/>
      <c r="AE121" s="79"/>
      <c r="AF121" s="88"/>
      <c r="AG121" s="80"/>
      <c r="AH121" s="79"/>
      <c r="AI121" s="79"/>
      <c r="AJ121" s="79"/>
      <c r="AK121" s="80"/>
      <c r="AL121" s="80"/>
      <c r="AM121" s="80"/>
      <c r="AN121" s="79"/>
      <c r="AO121" s="80"/>
      <c r="AP121" s="80"/>
      <c r="AQ121" s="80"/>
      <c r="AR121" s="85"/>
      <c r="AS121" s="85"/>
      <c r="AT121" s="85"/>
      <c r="AU121" s="85"/>
      <c r="AV121" s="85"/>
      <c r="AW121" s="82"/>
      <c r="AX121" s="79"/>
      <c r="AY121" s="82"/>
      <c r="AZ121" s="82"/>
      <c r="BA121" s="86"/>
      <c r="BB121" s="79"/>
      <c r="BC121" s="79"/>
      <c r="BD121" s="79"/>
      <c r="BE121" s="82"/>
      <c r="BF121" s="85"/>
      <c r="BG121" s="79"/>
      <c r="BH121" s="79"/>
      <c r="BI121" s="79"/>
      <c r="BJ121" s="88"/>
      <c r="BK121" s="88"/>
      <c r="BL121" s="79"/>
      <c r="BM121" s="185"/>
      <c r="BN121" s="90"/>
      <c r="BO121" s="80"/>
      <c r="BP121" s="80"/>
      <c r="BQ121" s="80"/>
      <c r="BR121" s="80"/>
      <c r="BS121" s="80"/>
      <c r="BT121" s="80"/>
      <c r="BU121" s="80"/>
      <c r="BV121" s="80"/>
      <c r="BW121" s="82"/>
      <c r="BX121" s="79"/>
      <c r="BY121" s="79"/>
      <c r="BZ121" s="79"/>
      <c r="CA121" s="79"/>
      <c r="CB121" s="79"/>
      <c r="CC121" s="82"/>
      <c r="CD121" s="82"/>
      <c r="CE121" s="82"/>
      <c r="CF121" s="82"/>
      <c r="CG121" s="82"/>
      <c r="CH121" s="82"/>
      <c r="CI121" s="82"/>
      <c r="CJ121" s="79"/>
      <c r="CK121" s="79"/>
      <c r="CL121" s="79"/>
      <c r="CM121" s="79"/>
      <c r="CN121" s="79"/>
      <c r="CO121" s="79"/>
    </row>
    <row r="122" spans="1:93" ht="26.4">
      <c r="A122" s="98">
        <v>18</v>
      </c>
      <c r="B122" s="380" t="s">
        <v>786</v>
      </c>
      <c r="C122" s="188">
        <v>45027</v>
      </c>
      <c r="D122" s="47" t="s">
        <v>813</v>
      </c>
      <c r="E122" s="126"/>
      <c r="F122" s="154" t="s">
        <v>886</v>
      </c>
      <c r="G122" s="167">
        <v>2</v>
      </c>
      <c r="H122" s="167"/>
      <c r="I122" s="170" t="s">
        <v>798</v>
      </c>
      <c r="J122" s="155"/>
      <c r="K122" s="156"/>
      <c r="L122" s="157"/>
      <c r="M122" s="157"/>
      <c r="N122" s="183"/>
      <c r="O122" s="177" t="s">
        <v>808</v>
      </c>
      <c r="P122" s="145"/>
      <c r="Q122" s="141"/>
      <c r="R122" s="190"/>
      <c r="S122" s="83"/>
      <c r="T122" s="87"/>
      <c r="U122" s="87"/>
      <c r="V122" s="87"/>
      <c r="W122" s="44"/>
      <c r="X122" s="88"/>
      <c r="Y122" s="79"/>
      <c r="Z122" s="79"/>
      <c r="AA122" s="79"/>
      <c r="AB122" s="79"/>
      <c r="AC122" s="86"/>
      <c r="AD122" s="82"/>
      <c r="AE122" s="79"/>
      <c r="AF122" s="88"/>
      <c r="AG122" s="80"/>
      <c r="AH122" s="79"/>
      <c r="AI122" s="79"/>
      <c r="AJ122" s="79"/>
      <c r="AK122" s="80"/>
      <c r="AL122" s="80"/>
      <c r="AM122" s="80"/>
      <c r="AN122" s="79"/>
      <c r="AO122" s="80"/>
      <c r="AP122" s="80"/>
      <c r="AQ122" s="80"/>
      <c r="AR122" s="85"/>
      <c r="AS122" s="85"/>
      <c r="AT122" s="85"/>
      <c r="AU122" s="85"/>
      <c r="AV122" s="85"/>
      <c r="AW122" s="82"/>
      <c r="AX122" s="79"/>
      <c r="AY122" s="82"/>
      <c r="AZ122" s="82"/>
      <c r="BA122" s="86"/>
      <c r="BB122" s="79"/>
      <c r="BC122" s="79"/>
      <c r="BD122" s="79"/>
      <c r="BE122" s="82"/>
      <c r="BF122" s="85"/>
      <c r="BG122" s="79"/>
      <c r="BH122" s="79"/>
      <c r="BI122" s="79"/>
      <c r="BJ122" s="88"/>
      <c r="BK122" s="88"/>
      <c r="BL122" s="79"/>
      <c r="BM122" s="185"/>
      <c r="BN122" s="90"/>
      <c r="BO122" s="80"/>
      <c r="BP122" s="80"/>
      <c r="BQ122" s="80"/>
      <c r="BR122" s="80"/>
      <c r="BS122" s="80"/>
      <c r="BT122" s="80"/>
      <c r="BU122" s="80"/>
      <c r="BV122" s="80"/>
      <c r="BW122" s="82"/>
      <c r="BX122" s="79"/>
      <c r="BY122" s="79"/>
      <c r="BZ122" s="79"/>
      <c r="CA122" s="79"/>
      <c r="CB122" s="79"/>
      <c r="CC122" s="82"/>
      <c r="CD122" s="82"/>
      <c r="CE122" s="82"/>
      <c r="CF122" s="82"/>
      <c r="CG122" s="82"/>
      <c r="CH122" s="82"/>
      <c r="CI122" s="82"/>
      <c r="CJ122" s="79"/>
      <c r="CK122" s="79"/>
      <c r="CL122" s="79"/>
      <c r="CM122" s="79"/>
      <c r="CN122" s="79"/>
      <c r="CO122" s="79"/>
    </row>
    <row r="123" spans="1:93" ht="26.4">
      <c r="A123" s="98">
        <v>19</v>
      </c>
      <c r="B123" s="178" t="s">
        <v>779</v>
      </c>
      <c r="C123" s="188">
        <v>45021</v>
      </c>
      <c r="D123" s="47" t="s">
        <v>814</v>
      </c>
      <c r="E123" s="126"/>
      <c r="F123" s="154" t="s">
        <v>886</v>
      </c>
      <c r="G123" s="167"/>
      <c r="H123" s="167">
        <v>2</v>
      </c>
      <c r="I123" s="170" t="s">
        <v>791</v>
      </c>
      <c r="J123" s="155"/>
      <c r="K123" s="156"/>
      <c r="L123" s="157"/>
      <c r="M123" s="157"/>
      <c r="N123" s="183"/>
      <c r="O123" s="177" t="s">
        <v>803</v>
      </c>
      <c r="P123" s="145"/>
      <c r="Q123" s="141"/>
      <c r="R123" s="190"/>
      <c r="S123" s="83"/>
      <c r="T123" s="87"/>
      <c r="U123" s="87"/>
      <c r="V123" s="87"/>
      <c r="W123" s="44"/>
      <c r="X123" s="88"/>
      <c r="Y123" s="79"/>
      <c r="Z123" s="79"/>
      <c r="AA123" s="79"/>
      <c r="AB123" s="79"/>
      <c r="AC123" s="86"/>
      <c r="AD123" s="82"/>
      <c r="AE123" s="79"/>
      <c r="AF123" s="88"/>
      <c r="AG123" s="80"/>
      <c r="AH123" s="79"/>
      <c r="AI123" s="79"/>
      <c r="AJ123" s="79"/>
      <c r="AK123" s="80"/>
      <c r="AL123" s="80"/>
      <c r="AM123" s="80"/>
      <c r="AN123" s="79"/>
      <c r="AO123" s="80"/>
      <c r="AP123" s="80"/>
      <c r="AQ123" s="80"/>
      <c r="AR123" s="85"/>
      <c r="AS123" s="85"/>
      <c r="AT123" s="85"/>
      <c r="AU123" s="85"/>
      <c r="AV123" s="85"/>
      <c r="AW123" s="82"/>
      <c r="AX123" s="79"/>
      <c r="AY123" s="82"/>
      <c r="AZ123" s="82"/>
      <c r="BA123" s="86"/>
      <c r="BB123" s="79"/>
      <c r="BC123" s="79"/>
      <c r="BD123" s="79"/>
      <c r="BE123" s="82"/>
      <c r="BF123" s="85"/>
      <c r="BG123" s="79"/>
      <c r="BH123" s="79"/>
      <c r="BI123" s="79"/>
      <c r="BJ123" s="88"/>
      <c r="BK123" s="88"/>
      <c r="BL123" s="79"/>
      <c r="BM123" s="185"/>
      <c r="BN123" s="90"/>
      <c r="BO123" s="80"/>
      <c r="BP123" s="80"/>
      <c r="BQ123" s="80"/>
      <c r="BR123" s="80"/>
      <c r="BS123" s="80"/>
      <c r="BT123" s="80"/>
      <c r="BU123" s="80"/>
      <c r="BV123" s="80"/>
      <c r="BW123" s="82"/>
      <c r="BX123" s="79"/>
      <c r="BY123" s="79"/>
      <c r="BZ123" s="79"/>
      <c r="CA123" s="79"/>
      <c r="CB123" s="79"/>
      <c r="CC123" s="82"/>
      <c r="CD123" s="82"/>
      <c r="CE123" s="82"/>
      <c r="CF123" s="82"/>
      <c r="CG123" s="82"/>
      <c r="CH123" s="82"/>
      <c r="CI123" s="82"/>
      <c r="CJ123" s="79"/>
      <c r="CK123" s="79"/>
      <c r="CL123" s="79"/>
      <c r="CM123" s="79"/>
      <c r="CN123" s="79"/>
      <c r="CO123" s="79"/>
    </row>
    <row r="124" spans="1:93">
      <c r="A124" s="98">
        <v>20</v>
      </c>
      <c r="B124" s="178" t="s">
        <v>780</v>
      </c>
      <c r="C124" s="188">
        <v>45021</v>
      </c>
      <c r="D124" s="47" t="s">
        <v>815</v>
      </c>
      <c r="E124" s="126"/>
      <c r="F124" s="154" t="s">
        <v>886</v>
      </c>
      <c r="G124" s="167"/>
      <c r="H124" s="167">
        <v>1</v>
      </c>
      <c r="I124" s="170" t="s">
        <v>792</v>
      </c>
      <c r="J124" s="155"/>
      <c r="K124" s="156"/>
      <c r="L124" s="157"/>
      <c r="M124" s="157"/>
      <c r="N124" s="183"/>
      <c r="O124" s="177" t="s">
        <v>803</v>
      </c>
      <c r="P124" s="145"/>
      <c r="Q124" s="141"/>
      <c r="R124" s="190"/>
      <c r="S124" s="83"/>
      <c r="T124" s="87"/>
      <c r="U124" s="87"/>
      <c r="V124" s="87"/>
      <c r="W124" s="44"/>
      <c r="X124" s="88"/>
      <c r="Y124" s="79"/>
      <c r="Z124" s="79"/>
      <c r="AA124" s="79"/>
      <c r="AB124" s="79"/>
      <c r="AC124" s="86"/>
      <c r="AD124" s="82"/>
      <c r="AE124" s="79"/>
      <c r="AF124" s="88"/>
      <c r="AG124" s="80"/>
      <c r="AH124" s="79"/>
      <c r="AI124" s="79"/>
      <c r="AJ124" s="79"/>
      <c r="AK124" s="80"/>
      <c r="AL124" s="80"/>
      <c r="AM124" s="80"/>
      <c r="AN124" s="79"/>
      <c r="AO124" s="80"/>
      <c r="AP124" s="80"/>
      <c r="AQ124" s="80"/>
      <c r="AR124" s="85"/>
      <c r="AS124" s="85"/>
      <c r="AT124" s="85"/>
      <c r="AU124" s="85"/>
      <c r="AV124" s="85"/>
      <c r="AW124" s="82"/>
      <c r="AX124" s="79"/>
      <c r="AY124" s="82"/>
      <c r="AZ124" s="82"/>
      <c r="BA124" s="86"/>
      <c r="BB124" s="79"/>
      <c r="BC124" s="79"/>
      <c r="BD124" s="79"/>
      <c r="BE124" s="82"/>
      <c r="BF124" s="85"/>
      <c r="BG124" s="79"/>
      <c r="BH124" s="79"/>
      <c r="BI124" s="79"/>
      <c r="BJ124" s="88"/>
      <c r="BK124" s="88"/>
      <c r="BL124" s="79"/>
      <c r="BM124" s="185"/>
      <c r="BN124" s="90"/>
      <c r="BO124" s="80"/>
      <c r="BP124" s="80"/>
      <c r="BQ124" s="80"/>
      <c r="BR124" s="80"/>
      <c r="BS124" s="80"/>
      <c r="BT124" s="80"/>
      <c r="BU124" s="80"/>
      <c r="BV124" s="80"/>
      <c r="BW124" s="82"/>
      <c r="BX124" s="79"/>
      <c r="BY124" s="79"/>
      <c r="BZ124" s="79"/>
      <c r="CA124" s="79"/>
      <c r="CB124" s="79"/>
      <c r="CC124" s="82"/>
      <c r="CD124" s="82"/>
      <c r="CE124" s="82"/>
      <c r="CF124" s="82"/>
      <c r="CG124" s="82"/>
      <c r="CH124" s="82"/>
      <c r="CI124" s="82"/>
      <c r="CJ124" s="79"/>
      <c r="CK124" s="79"/>
      <c r="CL124" s="79"/>
      <c r="CM124" s="79"/>
      <c r="CN124" s="79"/>
      <c r="CO124" s="79"/>
    </row>
    <row r="125" spans="1:93">
      <c r="A125" s="98">
        <v>21</v>
      </c>
      <c r="B125" s="178" t="s">
        <v>781</v>
      </c>
      <c r="C125" s="188">
        <v>45023</v>
      </c>
      <c r="D125" s="47" t="s">
        <v>816</v>
      </c>
      <c r="E125" s="126"/>
      <c r="F125" s="154" t="s">
        <v>886</v>
      </c>
      <c r="G125" s="167"/>
      <c r="H125" s="167">
        <v>1</v>
      </c>
      <c r="I125" s="170" t="s">
        <v>793</v>
      </c>
      <c r="J125" s="155"/>
      <c r="K125" s="156"/>
      <c r="L125" s="157"/>
      <c r="M125" s="157"/>
      <c r="N125" s="183"/>
      <c r="O125" s="177" t="s">
        <v>804</v>
      </c>
      <c r="P125" s="145"/>
      <c r="Q125" s="141"/>
      <c r="R125" s="190"/>
      <c r="S125" s="83"/>
      <c r="T125" s="87"/>
      <c r="U125" s="87"/>
      <c r="V125" s="87"/>
      <c r="W125" s="44"/>
      <c r="X125" s="88"/>
      <c r="Y125" s="79"/>
      <c r="Z125" s="79"/>
      <c r="AA125" s="79"/>
      <c r="AB125" s="79"/>
      <c r="AC125" s="86"/>
      <c r="AD125" s="82"/>
      <c r="AE125" s="79"/>
      <c r="AF125" s="88"/>
      <c r="AG125" s="80"/>
      <c r="AH125" s="79"/>
      <c r="AI125" s="79"/>
      <c r="AJ125" s="79"/>
      <c r="AK125" s="80"/>
      <c r="AL125" s="80"/>
      <c r="AM125" s="80"/>
      <c r="AN125" s="79"/>
      <c r="AO125" s="80"/>
      <c r="AP125" s="80"/>
      <c r="AQ125" s="80"/>
      <c r="AR125" s="85"/>
      <c r="AS125" s="85"/>
      <c r="AT125" s="85"/>
      <c r="AU125" s="85"/>
      <c r="AV125" s="85"/>
      <c r="AW125" s="82"/>
      <c r="AX125" s="79"/>
      <c r="AY125" s="82"/>
      <c r="AZ125" s="82"/>
      <c r="BA125" s="86"/>
      <c r="BB125" s="79"/>
      <c r="BC125" s="79"/>
      <c r="BD125" s="79"/>
      <c r="BE125" s="82"/>
      <c r="BF125" s="85"/>
      <c r="BG125" s="79"/>
      <c r="BH125" s="79"/>
      <c r="BI125" s="79"/>
      <c r="BJ125" s="88"/>
      <c r="BK125" s="88"/>
      <c r="BL125" s="79"/>
      <c r="BM125" s="185"/>
      <c r="BN125" s="90"/>
      <c r="BO125" s="80"/>
      <c r="BP125" s="80"/>
      <c r="BQ125" s="80"/>
      <c r="BR125" s="80"/>
      <c r="BS125" s="80"/>
      <c r="BT125" s="80"/>
      <c r="BU125" s="80"/>
      <c r="BV125" s="80"/>
      <c r="BW125" s="82"/>
      <c r="BX125" s="79"/>
      <c r="BY125" s="79"/>
      <c r="BZ125" s="79"/>
      <c r="CA125" s="79"/>
      <c r="CB125" s="79"/>
      <c r="CC125" s="82"/>
      <c r="CD125" s="82"/>
      <c r="CE125" s="82"/>
      <c r="CF125" s="82"/>
      <c r="CG125" s="82"/>
      <c r="CH125" s="82"/>
      <c r="CI125" s="82"/>
      <c r="CJ125" s="79"/>
      <c r="CK125" s="79"/>
      <c r="CL125" s="79"/>
      <c r="CM125" s="79"/>
      <c r="CN125" s="79"/>
      <c r="CO125" s="79"/>
    </row>
    <row r="126" spans="1:93">
      <c r="A126" s="98">
        <v>22</v>
      </c>
      <c r="B126" s="178" t="s">
        <v>782</v>
      </c>
      <c r="C126" s="188">
        <v>45023</v>
      </c>
      <c r="D126" s="47" t="s">
        <v>817</v>
      </c>
      <c r="E126" s="126"/>
      <c r="F126" s="154" t="s">
        <v>886</v>
      </c>
      <c r="G126" s="167">
        <v>1</v>
      </c>
      <c r="H126" s="167"/>
      <c r="I126" s="170" t="s">
        <v>794</v>
      </c>
      <c r="J126" s="155"/>
      <c r="K126" s="156"/>
      <c r="L126" s="157"/>
      <c r="M126" s="157"/>
      <c r="N126" s="183"/>
      <c r="O126" s="177" t="s">
        <v>805</v>
      </c>
      <c r="P126" s="145"/>
      <c r="Q126" s="141"/>
      <c r="R126" s="190"/>
      <c r="S126" s="83"/>
      <c r="T126" s="87"/>
      <c r="U126" s="87"/>
      <c r="V126" s="87"/>
      <c r="W126" s="44"/>
      <c r="X126" s="88"/>
      <c r="Y126" s="79"/>
      <c r="Z126" s="79"/>
      <c r="AA126" s="79"/>
      <c r="AB126" s="79"/>
      <c r="AC126" s="86"/>
      <c r="AD126" s="82"/>
      <c r="AE126" s="79"/>
      <c r="AF126" s="88"/>
      <c r="AG126" s="80"/>
      <c r="AH126" s="79"/>
      <c r="AI126" s="79"/>
      <c r="AJ126" s="79"/>
      <c r="AK126" s="80"/>
      <c r="AL126" s="80"/>
      <c r="AM126" s="80"/>
      <c r="AN126" s="79"/>
      <c r="AO126" s="80"/>
      <c r="AP126" s="80"/>
      <c r="AQ126" s="80"/>
      <c r="AR126" s="85"/>
      <c r="AS126" s="85"/>
      <c r="AT126" s="85"/>
      <c r="AU126" s="85"/>
      <c r="AV126" s="85"/>
      <c r="AW126" s="82"/>
      <c r="AX126" s="79"/>
      <c r="AY126" s="82"/>
      <c r="AZ126" s="82"/>
      <c r="BA126" s="86"/>
      <c r="BB126" s="79"/>
      <c r="BC126" s="79"/>
      <c r="BD126" s="79"/>
      <c r="BE126" s="82"/>
      <c r="BF126" s="85"/>
      <c r="BG126" s="79"/>
      <c r="BH126" s="79"/>
      <c r="BI126" s="79"/>
      <c r="BJ126" s="88"/>
      <c r="BK126" s="88"/>
      <c r="BL126" s="79"/>
      <c r="BM126" s="185"/>
      <c r="BN126" s="90"/>
      <c r="BO126" s="80"/>
      <c r="BP126" s="80"/>
      <c r="BQ126" s="80"/>
      <c r="BR126" s="80"/>
      <c r="BS126" s="80"/>
      <c r="BT126" s="80"/>
      <c r="BU126" s="80"/>
      <c r="BV126" s="80"/>
      <c r="BW126" s="82"/>
      <c r="BX126" s="79"/>
      <c r="BY126" s="79"/>
      <c r="BZ126" s="79"/>
      <c r="CA126" s="79"/>
      <c r="CB126" s="79"/>
      <c r="CC126" s="82"/>
      <c r="CD126" s="82"/>
      <c r="CE126" s="82"/>
      <c r="CF126" s="82"/>
      <c r="CG126" s="82"/>
      <c r="CH126" s="82"/>
      <c r="CI126" s="82"/>
      <c r="CJ126" s="79"/>
      <c r="CK126" s="79"/>
      <c r="CL126" s="79"/>
      <c r="CM126" s="79"/>
      <c r="CN126" s="79"/>
      <c r="CO126" s="79"/>
    </row>
    <row r="127" spans="1:93">
      <c r="A127" s="98">
        <v>23</v>
      </c>
      <c r="B127" s="178" t="s">
        <v>783</v>
      </c>
      <c r="C127" s="188">
        <v>45023</v>
      </c>
      <c r="D127" s="47" t="s">
        <v>818</v>
      </c>
      <c r="E127" s="126"/>
      <c r="F127" s="154" t="s">
        <v>886</v>
      </c>
      <c r="G127" s="167">
        <v>1</v>
      </c>
      <c r="H127" s="167"/>
      <c r="I127" s="170" t="s">
        <v>795</v>
      </c>
      <c r="J127" s="155"/>
      <c r="K127" s="156"/>
      <c r="L127" s="157"/>
      <c r="M127" s="157"/>
      <c r="N127" s="183"/>
      <c r="O127" s="177" t="s">
        <v>806</v>
      </c>
      <c r="P127" s="145"/>
      <c r="Q127" s="141"/>
      <c r="R127" s="190"/>
      <c r="S127" s="83"/>
      <c r="T127" s="87"/>
      <c r="U127" s="87"/>
      <c r="V127" s="87"/>
      <c r="W127" s="44"/>
      <c r="X127" s="88"/>
      <c r="Y127" s="79"/>
      <c r="Z127" s="79"/>
      <c r="AA127" s="79"/>
      <c r="AB127" s="79"/>
      <c r="AC127" s="86"/>
      <c r="AD127" s="82"/>
      <c r="AE127" s="79"/>
      <c r="AF127" s="88"/>
      <c r="AG127" s="80"/>
      <c r="AH127" s="79"/>
      <c r="AI127" s="79"/>
      <c r="AJ127" s="79"/>
      <c r="AK127" s="80"/>
      <c r="AL127" s="80"/>
      <c r="AM127" s="80"/>
      <c r="AN127" s="79"/>
      <c r="AO127" s="80"/>
      <c r="AP127" s="80"/>
      <c r="AQ127" s="80"/>
      <c r="AR127" s="85"/>
      <c r="AS127" s="85"/>
      <c r="AT127" s="85"/>
      <c r="AU127" s="85"/>
      <c r="AV127" s="85"/>
      <c r="AW127" s="82"/>
      <c r="AX127" s="79"/>
      <c r="AY127" s="82"/>
      <c r="AZ127" s="82"/>
      <c r="BA127" s="86"/>
      <c r="BB127" s="79"/>
      <c r="BC127" s="79"/>
      <c r="BD127" s="79"/>
      <c r="BE127" s="82"/>
      <c r="BF127" s="85"/>
      <c r="BG127" s="79"/>
      <c r="BH127" s="79"/>
      <c r="BI127" s="79"/>
      <c r="BJ127" s="88"/>
      <c r="BK127" s="88"/>
      <c r="BL127" s="79"/>
      <c r="BM127" s="185"/>
      <c r="BN127" s="90"/>
      <c r="BO127" s="80"/>
      <c r="BP127" s="80"/>
      <c r="BQ127" s="80"/>
      <c r="BR127" s="80"/>
      <c r="BS127" s="80"/>
      <c r="BT127" s="80"/>
      <c r="BU127" s="80"/>
      <c r="BV127" s="80"/>
      <c r="BW127" s="82"/>
      <c r="BX127" s="79"/>
      <c r="BY127" s="79"/>
      <c r="BZ127" s="79"/>
      <c r="CA127" s="79"/>
      <c r="CB127" s="79"/>
      <c r="CC127" s="82"/>
      <c r="CD127" s="82"/>
      <c r="CE127" s="82"/>
      <c r="CF127" s="82"/>
      <c r="CG127" s="82"/>
      <c r="CH127" s="82"/>
      <c r="CI127" s="82"/>
      <c r="CJ127" s="79"/>
      <c r="CK127" s="79"/>
      <c r="CL127" s="79"/>
      <c r="CM127" s="79"/>
      <c r="CN127" s="79"/>
      <c r="CO127" s="79"/>
    </row>
    <row r="128" spans="1:93">
      <c r="A128" s="98">
        <v>24</v>
      </c>
      <c r="B128" s="178" t="s">
        <v>784</v>
      </c>
      <c r="C128" s="188">
        <v>45023</v>
      </c>
      <c r="D128" s="47" t="s">
        <v>819</v>
      </c>
      <c r="E128" s="126"/>
      <c r="F128" s="154" t="s">
        <v>886</v>
      </c>
      <c r="G128" s="167">
        <v>1</v>
      </c>
      <c r="H128" s="167"/>
      <c r="I128" s="170" t="s">
        <v>796</v>
      </c>
      <c r="J128" s="155"/>
      <c r="K128" s="156"/>
      <c r="L128" s="157"/>
      <c r="M128" s="157"/>
      <c r="N128" s="183"/>
      <c r="O128" s="177" t="s">
        <v>807</v>
      </c>
      <c r="P128" s="145"/>
      <c r="Q128" s="141"/>
      <c r="R128" s="190"/>
      <c r="S128" s="83"/>
      <c r="T128" s="87"/>
      <c r="U128" s="87"/>
      <c r="V128" s="87"/>
      <c r="W128" s="44"/>
      <c r="X128" s="88"/>
      <c r="Y128" s="79"/>
      <c r="Z128" s="79"/>
      <c r="AA128" s="79"/>
      <c r="AB128" s="79"/>
      <c r="AC128" s="86"/>
      <c r="AD128" s="82"/>
      <c r="AE128" s="79"/>
      <c r="AF128" s="88"/>
      <c r="AG128" s="80"/>
      <c r="AH128" s="79"/>
      <c r="AI128" s="79"/>
      <c r="AJ128" s="79"/>
      <c r="AK128" s="80"/>
      <c r="AL128" s="80"/>
      <c r="AM128" s="80"/>
      <c r="AN128" s="79"/>
      <c r="AO128" s="80"/>
      <c r="AP128" s="80"/>
      <c r="AQ128" s="80"/>
      <c r="AR128" s="85"/>
      <c r="AS128" s="85"/>
      <c r="AT128" s="85"/>
      <c r="AU128" s="85"/>
      <c r="AV128" s="85"/>
      <c r="AW128" s="82"/>
      <c r="AX128" s="79"/>
      <c r="AY128" s="82"/>
      <c r="AZ128" s="82"/>
      <c r="BA128" s="86"/>
      <c r="BB128" s="79"/>
      <c r="BC128" s="79"/>
      <c r="BD128" s="79"/>
      <c r="BE128" s="82"/>
      <c r="BF128" s="85"/>
      <c r="BG128" s="79"/>
      <c r="BH128" s="79"/>
      <c r="BI128" s="79"/>
      <c r="BJ128" s="88"/>
      <c r="BK128" s="88"/>
      <c r="BL128" s="79"/>
      <c r="BM128" s="185"/>
      <c r="BN128" s="90"/>
      <c r="BO128" s="80"/>
      <c r="BP128" s="80"/>
      <c r="BQ128" s="80"/>
      <c r="BR128" s="80"/>
      <c r="BS128" s="80"/>
      <c r="BT128" s="80"/>
      <c r="BU128" s="80"/>
      <c r="BV128" s="80"/>
      <c r="BW128" s="82"/>
      <c r="BX128" s="79"/>
      <c r="BY128" s="79"/>
      <c r="BZ128" s="79"/>
      <c r="CA128" s="79"/>
      <c r="CB128" s="79"/>
      <c r="CC128" s="82"/>
      <c r="CD128" s="82"/>
      <c r="CE128" s="82"/>
      <c r="CF128" s="82"/>
      <c r="CG128" s="82"/>
      <c r="CH128" s="82"/>
      <c r="CI128" s="82"/>
      <c r="CJ128" s="79"/>
      <c r="CK128" s="79"/>
      <c r="CL128" s="79"/>
      <c r="CM128" s="79"/>
      <c r="CN128" s="79"/>
      <c r="CO128" s="79"/>
    </row>
    <row r="129" spans="1:93">
      <c r="A129" s="98">
        <v>25</v>
      </c>
      <c r="B129" s="178" t="s">
        <v>785</v>
      </c>
      <c r="C129" s="188">
        <v>45026</v>
      </c>
      <c r="D129" s="47" t="s">
        <v>820</v>
      </c>
      <c r="E129" s="126"/>
      <c r="F129" s="154" t="s">
        <v>886</v>
      </c>
      <c r="G129" s="167"/>
      <c r="H129" s="167">
        <v>1</v>
      </c>
      <c r="I129" s="170" t="s">
        <v>797</v>
      </c>
      <c r="J129" s="155"/>
      <c r="K129" s="156"/>
      <c r="L129" s="157"/>
      <c r="M129" s="157"/>
      <c r="N129" s="183"/>
      <c r="O129" s="177">
        <v>7243822670</v>
      </c>
      <c r="P129" s="145"/>
      <c r="Q129" s="141"/>
      <c r="R129" s="190"/>
      <c r="S129" s="83"/>
      <c r="T129" s="87"/>
      <c r="U129" s="87"/>
      <c r="V129" s="87"/>
      <c r="W129" s="44"/>
      <c r="X129" s="88"/>
      <c r="Y129" s="79"/>
      <c r="Z129" s="79"/>
      <c r="AA129" s="79"/>
      <c r="AB129" s="79"/>
      <c r="AC129" s="86"/>
      <c r="AD129" s="82"/>
      <c r="AE129" s="79"/>
      <c r="AF129" s="88"/>
      <c r="AG129" s="80"/>
      <c r="AH129" s="79"/>
      <c r="AI129" s="79"/>
      <c r="AJ129" s="79"/>
      <c r="AK129" s="80"/>
      <c r="AL129" s="80"/>
      <c r="AM129" s="80"/>
      <c r="AN129" s="79"/>
      <c r="AO129" s="80"/>
      <c r="AP129" s="80"/>
      <c r="AQ129" s="80"/>
      <c r="AR129" s="85"/>
      <c r="AS129" s="85"/>
      <c r="AT129" s="85"/>
      <c r="AU129" s="85"/>
      <c r="AV129" s="85"/>
      <c r="AW129" s="82"/>
      <c r="AX129" s="79"/>
      <c r="AY129" s="82"/>
      <c r="AZ129" s="82"/>
      <c r="BA129" s="86"/>
      <c r="BB129" s="79"/>
      <c r="BC129" s="79"/>
      <c r="BD129" s="79"/>
      <c r="BE129" s="82"/>
      <c r="BF129" s="85"/>
      <c r="BG129" s="79"/>
      <c r="BH129" s="79"/>
      <c r="BI129" s="79"/>
      <c r="BJ129" s="88"/>
      <c r="BK129" s="88"/>
      <c r="BL129" s="79"/>
      <c r="BM129" s="185"/>
      <c r="BN129" s="90"/>
      <c r="BO129" s="80"/>
      <c r="BP129" s="80"/>
      <c r="BQ129" s="80"/>
      <c r="BR129" s="80"/>
      <c r="BS129" s="80"/>
      <c r="BT129" s="80"/>
      <c r="BU129" s="80"/>
      <c r="BV129" s="80"/>
      <c r="BW129" s="82"/>
      <c r="BX129" s="79"/>
      <c r="BY129" s="79"/>
      <c r="BZ129" s="79"/>
      <c r="CA129" s="79"/>
      <c r="CB129" s="79"/>
      <c r="CC129" s="82"/>
      <c r="CD129" s="82"/>
      <c r="CE129" s="82"/>
      <c r="CF129" s="82"/>
      <c r="CG129" s="82"/>
      <c r="CH129" s="82"/>
      <c r="CI129" s="82"/>
      <c r="CJ129" s="79"/>
      <c r="CK129" s="79"/>
      <c r="CL129" s="79"/>
      <c r="CM129" s="79"/>
      <c r="CN129" s="79"/>
      <c r="CO129" s="79"/>
    </row>
    <row r="130" spans="1:93">
      <c r="A130" s="98">
        <v>26</v>
      </c>
      <c r="B130" s="178" t="s">
        <v>787</v>
      </c>
      <c r="C130" s="188">
        <v>45027</v>
      </c>
      <c r="D130" s="47" t="s">
        <v>821</v>
      </c>
      <c r="E130" s="126"/>
      <c r="F130" s="154" t="s">
        <v>886</v>
      </c>
      <c r="G130" s="167"/>
      <c r="H130" s="167">
        <v>1</v>
      </c>
      <c r="I130" s="170" t="s">
        <v>799</v>
      </c>
      <c r="J130" s="155"/>
      <c r="K130" s="156"/>
      <c r="L130" s="157"/>
      <c r="M130" s="157"/>
      <c r="N130" s="183"/>
      <c r="O130" s="177" t="s">
        <v>809</v>
      </c>
      <c r="P130" s="145"/>
      <c r="Q130" s="141"/>
      <c r="R130" s="190"/>
      <c r="S130" s="83"/>
      <c r="T130" s="87"/>
      <c r="U130" s="87"/>
      <c r="V130" s="87"/>
      <c r="W130" s="44"/>
      <c r="X130" s="88"/>
      <c r="Y130" s="79"/>
      <c r="Z130" s="79"/>
      <c r="AA130" s="79"/>
      <c r="AB130" s="79"/>
      <c r="AC130" s="86"/>
      <c r="AD130" s="82"/>
      <c r="AE130" s="79"/>
      <c r="AF130" s="88"/>
      <c r="AG130" s="80"/>
      <c r="AH130" s="79"/>
      <c r="AI130" s="79"/>
      <c r="AJ130" s="79"/>
      <c r="AK130" s="80"/>
      <c r="AL130" s="80"/>
      <c r="AM130" s="80"/>
      <c r="AN130" s="79"/>
      <c r="AO130" s="80"/>
      <c r="AP130" s="80"/>
      <c r="AQ130" s="80"/>
      <c r="AR130" s="85"/>
      <c r="AS130" s="85"/>
      <c r="AT130" s="85"/>
      <c r="AU130" s="85"/>
      <c r="AV130" s="85"/>
      <c r="AW130" s="82"/>
      <c r="AX130" s="79"/>
      <c r="AY130" s="82"/>
      <c r="AZ130" s="82"/>
      <c r="BA130" s="86"/>
      <c r="BB130" s="79"/>
      <c r="BC130" s="79"/>
      <c r="BD130" s="79"/>
      <c r="BE130" s="82"/>
      <c r="BF130" s="85"/>
      <c r="BG130" s="79"/>
      <c r="BH130" s="79"/>
      <c r="BI130" s="79"/>
      <c r="BJ130" s="88"/>
      <c r="BK130" s="88"/>
      <c r="BL130" s="79"/>
      <c r="BM130" s="185"/>
      <c r="BN130" s="90"/>
      <c r="BO130" s="80"/>
      <c r="BP130" s="80"/>
      <c r="BQ130" s="80"/>
      <c r="BR130" s="80"/>
      <c r="BS130" s="80"/>
      <c r="BT130" s="80"/>
      <c r="BU130" s="80"/>
      <c r="BV130" s="80"/>
      <c r="BW130" s="82"/>
      <c r="BX130" s="79"/>
      <c r="BY130" s="79"/>
      <c r="BZ130" s="79"/>
      <c r="CA130" s="79"/>
      <c r="CB130" s="79"/>
      <c r="CC130" s="82"/>
      <c r="CD130" s="82"/>
      <c r="CE130" s="82"/>
      <c r="CF130" s="82"/>
      <c r="CG130" s="82"/>
      <c r="CH130" s="82"/>
      <c r="CI130" s="82"/>
      <c r="CJ130" s="79"/>
      <c r="CK130" s="79"/>
      <c r="CL130" s="79"/>
      <c r="CM130" s="79"/>
      <c r="CN130" s="79"/>
      <c r="CO130" s="79"/>
    </row>
    <row r="131" spans="1:93">
      <c r="A131" s="98">
        <v>27</v>
      </c>
      <c r="B131" s="178" t="s">
        <v>788</v>
      </c>
      <c r="C131" s="188">
        <v>45027</v>
      </c>
      <c r="D131" s="47" t="s">
        <v>822</v>
      </c>
      <c r="E131" s="126"/>
      <c r="F131" s="154" t="s">
        <v>886</v>
      </c>
      <c r="G131" s="167">
        <v>1</v>
      </c>
      <c r="H131" s="167"/>
      <c r="I131" s="170" t="s">
        <v>800</v>
      </c>
      <c r="J131" s="155"/>
      <c r="K131" s="156"/>
      <c r="L131" s="157"/>
      <c r="M131" s="157"/>
      <c r="N131" s="183"/>
      <c r="O131" s="177" t="s">
        <v>810</v>
      </c>
      <c r="P131" s="145"/>
      <c r="Q131" s="141"/>
      <c r="R131" s="190"/>
      <c r="S131" s="83"/>
      <c r="T131" s="87"/>
      <c r="U131" s="87"/>
      <c r="V131" s="87"/>
      <c r="W131" s="44"/>
      <c r="X131" s="88"/>
      <c r="Y131" s="79"/>
      <c r="Z131" s="79"/>
      <c r="AA131" s="79"/>
      <c r="AB131" s="79"/>
      <c r="AC131" s="86"/>
      <c r="AD131" s="82"/>
      <c r="AE131" s="79"/>
      <c r="AF131" s="88"/>
      <c r="AG131" s="80"/>
      <c r="AH131" s="79"/>
      <c r="AI131" s="79"/>
      <c r="AJ131" s="79"/>
      <c r="AK131" s="80"/>
      <c r="AL131" s="80"/>
      <c r="AM131" s="80"/>
      <c r="AN131" s="79"/>
      <c r="AO131" s="80"/>
      <c r="AP131" s="80"/>
      <c r="AQ131" s="80"/>
      <c r="AR131" s="85"/>
      <c r="AS131" s="85"/>
      <c r="AT131" s="85"/>
      <c r="AU131" s="85"/>
      <c r="AV131" s="85"/>
      <c r="AW131" s="82"/>
      <c r="AX131" s="79"/>
      <c r="AY131" s="82"/>
      <c r="AZ131" s="82"/>
      <c r="BA131" s="86"/>
      <c r="BB131" s="79"/>
      <c r="BC131" s="79"/>
      <c r="BD131" s="79"/>
      <c r="BE131" s="82"/>
      <c r="BF131" s="85"/>
      <c r="BG131" s="79"/>
      <c r="BH131" s="79"/>
      <c r="BI131" s="79"/>
      <c r="BJ131" s="88"/>
      <c r="BK131" s="88"/>
      <c r="BL131" s="79"/>
      <c r="BM131" s="185"/>
      <c r="BN131" s="90"/>
      <c r="BO131" s="80"/>
      <c r="BP131" s="80"/>
      <c r="BQ131" s="80"/>
      <c r="BR131" s="80"/>
      <c r="BS131" s="80"/>
      <c r="BT131" s="80"/>
      <c r="BU131" s="80"/>
      <c r="BV131" s="80"/>
      <c r="BW131" s="82"/>
      <c r="BX131" s="79"/>
      <c r="BY131" s="79"/>
      <c r="BZ131" s="79"/>
      <c r="CA131" s="79"/>
      <c r="CB131" s="79"/>
      <c r="CC131" s="82"/>
      <c r="CD131" s="82"/>
      <c r="CE131" s="82"/>
      <c r="CF131" s="82"/>
      <c r="CG131" s="82"/>
      <c r="CH131" s="82"/>
      <c r="CI131" s="82"/>
      <c r="CJ131" s="79"/>
      <c r="CK131" s="79"/>
      <c r="CL131" s="79"/>
      <c r="CM131" s="79"/>
      <c r="CN131" s="79"/>
      <c r="CO131" s="79"/>
    </row>
    <row r="132" spans="1:93">
      <c r="A132" s="98">
        <v>28</v>
      </c>
      <c r="B132" s="178" t="s">
        <v>789</v>
      </c>
      <c r="C132" s="188">
        <v>45027</v>
      </c>
      <c r="D132" s="47" t="s">
        <v>823</v>
      </c>
      <c r="E132" s="126"/>
      <c r="F132" s="154" t="s">
        <v>886</v>
      </c>
      <c r="G132" s="167"/>
      <c r="H132" s="167">
        <v>1</v>
      </c>
      <c r="I132" s="170" t="s">
        <v>801</v>
      </c>
      <c r="J132" s="155"/>
      <c r="K132" s="156"/>
      <c r="L132" s="157"/>
      <c r="M132" s="157"/>
      <c r="N132" s="183"/>
      <c r="O132" s="177" t="s">
        <v>811</v>
      </c>
      <c r="P132" s="145"/>
      <c r="Q132" s="141"/>
      <c r="R132" s="190"/>
      <c r="S132" s="83"/>
      <c r="T132" s="87"/>
      <c r="U132" s="87"/>
      <c r="V132" s="87"/>
      <c r="W132" s="44"/>
      <c r="X132" s="88"/>
      <c r="Y132" s="79"/>
      <c r="Z132" s="79"/>
      <c r="AA132" s="79"/>
      <c r="AB132" s="79"/>
      <c r="AC132" s="86"/>
      <c r="AD132" s="82"/>
      <c r="AE132" s="79"/>
      <c r="AF132" s="88"/>
      <c r="AG132" s="80"/>
      <c r="AH132" s="79"/>
      <c r="AI132" s="79"/>
      <c r="AJ132" s="79"/>
      <c r="AK132" s="80"/>
      <c r="AL132" s="80"/>
      <c r="AM132" s="80"/>
      <c r="AN132" s="79"/>
      <c r="AO132" s="80"/>
      <c r="AP132" s="80"/>
      <c r="AQ132" s="80"/>
      <c r="AR132" s="85"/>
      <c r="AS132" s="85"/>
      <c r="AT132" s="85"/>
      <c r="AU132" s="85"/>
      <c r="AV132" s="85"/>
      <c r="AW132" s="82"/>
      <c r="AX132" s="79"/>
      <c r="AY132" s="82"/>
      <c r="AZ132" s="82"/>
      <c r="BA132" s="86"/>
      <c r="BB132" s="79"/>
      <c r="BC132" s="79"/>
      <c r="BD132" s="79"/>
      <c r="BE132" s="82"/>
      <c r="BF132" s="85"/>
      <c r="BG132" s="79"/>
      <c r="BH132" s="79"/>
      <c r="BI132" s="79"/>
      <c r="BJ132" s="88"/>
      <c r="BK132" s="88"/>
      <c r="BL132" s="79"/>
      <c r="BM132" s="185"/>
      <c r="BN132" s="90"/>
      <c r="BO132" s="80"/>
      <c r="BP132" s="80"/>
      <c r="BQ132" s="80"/>
      <c r="BR132" s="80"/>
      <c r="BS132" s="80"/>
      <c r="BT132" s="80"/>
      <c r="BU132" s="80"/>
      <c r="BV132" s="80"/>
      <c r="BW132" s="82"/>
      <c r="BX132" s="79"/>
      <c r="BY132" s="79"/>
      <c r="BZ132" s="79"/>
      <c r="CA132" s="79"/>
      <c r="CB132" s="79"/>
      <c r="CC132" s="82"/>
      <c r="CD132" s="82"/>
      <c r="CE132" s="82"/>
      <c r="CF132" s="82"/>
      <c r="CG132" s="82"/>
      <c r="CH132" s="82"/>
      <c r="CI132" s="82"/>
      <c r="CJ132" s="79"/>
      <c r="CK132" s="79"/>
      <c r="CL132" s="79"/>
      <c r="CM132" s="79"/>
      <c r="CN132" s="79"/>
      <c r="CO132" s="79"/>
    </row>
    <row r="133" spans="1:93">
      <c r="A133" s="98">
        <v>29</v>
      </c>
      <c r="B133" s="178" t="s">
        <v>790</v>
      </c>
      <c r="C133" s="188">
        <v>45028</v>
      </c>
      <c r="D133" s="47" t="s">
        <v>824</v>
      </c>
      <c r="E133" s="126"/>
      <c r="F133" s="154" t="s">
        <v>886</v>
      </c>
      <c r="G133" s="167"/>
      <c r="H133" s="167">
        <v>1</v>
      </c>
      <c r="I133" s="170" t="s">
        <v>802</v>
      </c>
      <c r="J133" s="155"/>
      <c r="K133" s="156"/>
      <c r="L133" s="157"/>
      <c r="M133" s="157"/>
      <c r="N133" s="183"/>
      <c r="O133" s="177" t="s">
        <v>812</v>
      </c>
      <c r="P133" s="145"/>
      <c r="Q133" s="141"/>
      <c r="R133" s="190"/>
      <c r="S133" s="83"/>
      <c r="T133" s="87"/>
      <c r="U133" s="87"/>
      <c r="V133" s="87"/>
      <c r="W133" s="44"/>
      <c r="X133" s="88"/>
      <c r="Y133" s="79"/>
      <c r="Z133" s="79"/>
      <c r="AA133" s="79"/>
      <c r="AB133" s="79"/>
      <c r="AC133" s="86"/>
      <c r="AD133" s="82"/>
      <c r="AE133" s="79"/>
      <c r="AF133" s="88"/>
      <c r="AG133" s="80"/>
      <c r="AH133" s="79"/>
      <c r="AI133" s="79"/>
      <c r="AJ133" s="79"/>
      <c r="AK133" s="80"/>
      <c r="AL133" s="80"/>
      <c r="AM133" s="80"/>
      <c r="AN133" s="79"/>
      <c r="AO133" s="80"/>
      <c r="AP133" s="80"/>
      <c r="AQ133" s="80"/>
      <c r="AR133" s="85"/>
      <c r="AS133" s="85"/>
      <c r="AT133" s="85"/>
      <c r="AU133" s="85"/>
      <c r="AV133" s="85"/>
      <c r="AW133" s="82"/>
      <c r="AX133" s="79"/>
      <c r="AY133" s="82"/>
      <c r="AZ133" s="82"/>
      <c r="BA133" s="86"/>
      <c r="BB133" s="79"/>
      <c r="BC133" s="79"/>
      <c r="BD133" s="79"/>
      <c r="BE133" s="82"/>
      <c r="BF133" s="85"/>
      <c r="BG133" s="79"/>
      <c r="BH133" s="79"/>
      <c r="BI133" s="79"/>
      <c r="BJ133" s="88"/>
      <c r="BK133" s="88"/>
      <c r="BL133" s="79"/>
      <c r="BM133" s="185"/>
      <c r="BN133" s="90"/>
      <c r="BO133" s="80"/>
      <c r="BP133" s="80"/>
      <c r="BQ133" s="80"/>
      <c r="BR133" s="80"/>
      <c r="BS133" s="80"/>
      <c r="BT133" s="80"/>
      <c r="BU133" s="80"/>
      <c r="BV133" s="80"/>
      <c r="BW133" s="82"/>
      <c r="BX133" s="79"/>
      <c r="BY133" s="79"/>
      <c r="BZ133" s="79"/>
      <c r="CA133" s="79"/>
      <c r="CB133" s="79"/>
      <c r="CC133" s="82"/>
      <c r="CD133" s="82"/>
      <c r="CE133" s="82"/>
      <c r="CF133" s="82"/>
      <c r="CG133" s="82"/>
      <c r="CH133" s="82"/>
      <c r="CI133" s="82"/>
      <c r="CJ133" s="79"/>
      <c r="CK133" s="79"/>
      <c r="CL133" s="79"/>
      <c r="CM133" s="79"/>
      <c r="CN133" s="79"/>
      <c r="CO133" s="79"/>
    </row>
    <row r="134" spans="1:93">
      <c r="A134" s="98">
        <v>30</v>
      </c>
      <c r="B134" s="380" t="s">
        <v>893</v>
      </c>
      <c r="C134" s="188" t="s">
        <v>850</v>
      </c>
      <c r="D134" s="47" t="s">
        <v>937</v>
      </c>
      <c r="E134" s="126"/>
      <c r="F134" s="154" t="s">
        <v>965</v>
      </c>
      <c r="G134" s="167">
        <v>3</v>
      </c>
      <c r="H134" s="167"/>
      <c r="I134" s="170"/>
      <c r="J134" s="155"/>
      <c r="K134" s="156"/>
      <c r="L134" s="157"/>
      <c r="M134" s="157"/>
      <c r="N134" s="183"/>
      <c r="O134" s="177">
        <v>225965044</v>
      </c>
      <c r="P134" s="145"/>
      <c r="Q134" s="141"/>
      <c r="R134" s="190"/>
      <c r="S134" s="83"/>
      <c r="T134" s="87"/>
      <c r="U134" s="87"/>
      <c r="V134" s="87"/>
      <c r="W134" s="44"/>
      <c r="X134" s="88"/>
      <c r="Y134" s="79"/>
      <c r="Z134" s="79"/>
      <c r="AA134" s="79"/>
      <c r="AB134" s="79"/>
      <c r="AC134" s="86"/>
      <c r="AD134" s="82"/>
      <c r="AE134" s="79"/>
      <c r="AF134" s="88"/>
      <c r="AG134" s="80"/>
      <c r="AH134" s="79"/>
      <c r="AI134" s="79"/>
      <c r="AJ134" s="79"/>
      <c r="AK134" s="80"/>
      <c r="AL134" s="80"/>
      <c r="AM134" s="80"/>
      <c r="AN134" s="79"/>
      <c r="AO134" s="80"/>
      <c r="AP134" s="80"/>
      <c r="AQ134" s="80"/>
      <c r="AR134" s="85"/>
      <c r="AS134" s="85"/>
      <c r="AT134" s="85"/>
      <c r="AU134" s="85"/>
      <c r="AV134" s="85"/>
      <c r="AW134" s="82"/>
      <c r="AX134" s="79"/>
      <c r="AY134" s="82"/>
      <c r="AZ134" s="82"/>
      <c r="BA134" s="86"/>
      <c r="BB134" s="79"/>
      <c r="BC134" s="79"/>
      <c r="BD134" s="79"/>
      <c r="BE134" s="82"/>
      <c r="BF134" s="85"/>
      <c r="BG134" s="79"/>
      <c r="BH134" s="79"/>
      <c r="BI134" s="79"/>
      <c r="BJ134" s="88"/>
      <c r="BK134" s="88"/>
      <c r="BL134" s="79"/>
      <c r="BM134" s="185"/>
      <c r="BN134" s="90"/>
      <c r="BO134" s="80"/>
      <c r="BP134" s="80"/>
      <c r="BQ134" s="80"/>
      <c r="BR134" s="80"/>
      <c r="BS134" s="80"/>
      <c r="BT134" s="80"/>
      <c r="BU134" s="80"/>
      <c r="BV134" s="80"/>
      <c r="BW134" s="82"/>
      <c r="BX134" s="79"/>
      <c r="BY134" s="79"/>
      <c r="BZ134" s="79"/>
      <c r="CA134" s="79"/>
      <c r="CB134" s="79"/>
      <c r="CC134" s="82"/>
      <c r="CD134" s="82"/>
      <c r="CE134" s="82"/>
      <c r="CF134" s="82"/>
      <c r="CG134" s="82"/>
      <c r="CH134" s="82"/>
      <c r="CI134" s="82"/>
      <c r="CJ134" s="79"/>
      <c r="CK134" s="79"/>
      <c r="CL134" s="79"/>
      <c r="CM134" s="79"/>
      <c r="CN134" s="79"/>
      <c r="CO134" s="79"/>
    </row>
    <row r="135" spans="1:93">
      <c r="A135" s="98">
        <v>31</v>
      </c>
      <c r="B135" s="380" t="s">
        <v>894</v>
      </c>
      <c r="C135" s="188" t="s">
        <v>906</v>
      </c>
      <c r="D135" s="47" t="s">
        <v>938</v>
      </c>
      <c r="E135" s="126"/>
      <c r="F135" s="154" t="s">
        <v>965</v>
      </c>
      <c r="G135" s="167">
        <v>1</v>
      </c>
      <c r="H135" s="167"/>
      <c r="I135" s="170"/>
      <c r="J135" s="155"/>
      <c r="K135" s="156"/>
      <c r="L135" s="157"/>
      <c r="M135" s="157"/>
      <c r="N135" s="183"/>
      <c r="O135" s="177" t="s">
        <v>915</v>
      </c>
      <c r="P135" s="145"/>
      <c r="Q135" s="141"/>
      <c r="R135" s="190"/>
      <c r="S135" s="83"/>
      <c r="T135" s="87"/>
      <c r="U135" s="87"/>
      <c r="V135" s="87"/>
      <c r="W135" s="44"/>
      <c r="X135" s="88"/>
      <c r="Y135" s="79"/>
      <c r="Z135" s="79"/>
      <c r="AA135" s="79"/>
      <c r="AB135" s="79"/>
      <c r="AC135" s="86"/>
      <c r="AD135" s="82"/>
      <c r="AE135" s="79"/>
      <c r="AF135" s="88"/>
      <c r="AG135" s="80"/>
      <c r="AH135" s="79"/>
      <c r="AI135" s="79"/>
      <c r="AJ135" s="79"/>
      <c r="AK135" s="80"/>
      <c r="AL135" s="80"/>
      <c r="AM135" s="80"/>
      <c r="AN135" s="79"/>
      <c r="AO135" s="80"/>
      <c r="AP135" s="80"/>
      <c r="AQ135" s="80"/>
      <c r="AR135" s="85"/>
      <c r="AS135" s="85"/>
      <c r="AT135" s="85"/>
      <c r="AU135" s="85"/>
      <c r="AV135" s="85"/>
      <c r="AW135" s="82"/>
      <c r="AX135" s="79"/>
      <c r="AY135" s="82"/>
      <c r="AZ135" s="82"/>
      <c r="BA135" s="86"/>
      <c r="BB135" s="79"/>
      <c r="BC135" s="79"/>
      <c r="BD135" s="79"/>
      <c r="BE135" s="82"/>
      <c r="BF135" s="85"/>
      <c r="BG135" s="79"/>
      <c r="BH135" s="79"/>
      <c r="BI135" s="79"/>
      <c r="BJ135" s="88"/>
      <c r="BK135" s="88"/>
      <c r="BL135" s="79"/>
      <c r="BM135" s="185"/>
      <c r="BN135" s="90"/>
      <c r="BO135" s="80"/>
      <c r="BP135" s="80"/>
      <c r="BQ135" s="80"/>
      <c r="BR135" s="80"/>
      <c r="BS135" s="80"/>
      <c r="BT135" s="80"/>
      <c r="BU135" s="80"/>
      <c r="BV135" s="80"/>
      <c r="BW135" s="82"/>
      <c r="BX135" s="79"/>
      <c r="BY135" s="79"/>
      <c r="BZ135" s="79"/>
      <c r="CA135" s="79"/>
      <c r="CB135" s="79"/>
      <c r="CC135" s="82"/>
      <c r="CD135" s="82"/>
      <c r="CE135" s="82"/>
      <c r="CF135" s="82"/>
      <c r="CG135" s="82"/>
      <c r="CH135" s="82"/>
      <c r="CI135" s="82"/>
      <c r="CJ135" s="79"/>
      <c r="CK135" s="79"/>
      <c r="CL135" s="79"/>
      <c r="CM135" s="79"/>
      <c r="CN135" s="79"/>
      <c r="CO135" s="79"/>
    </row>
    <row r="136" spans="1:93">
      <c r="A136" s="98">
        <v>32</v>
      </c>
      <c r="B136" s="380" t="s">
        <v>895</v>
      </c>
      <c r="C136" s="188" t="s">
        <v>906</v>
      </c>
      <c r="D136" s="47" t="s">
        <v>939</v>
      </c>
      <c r="E136" s="126"/>
      <c r="F136" s="154" t="s">
        <v>965</v>
      </c>
      <c r="G136" s="167">
        <v>2</v>
      </c>
      <c r="H136" s="167"/>
      <c r="I136" s="170"/>
      <c r="J136" s="155"/>
      <c r="K136" s="156"/>
      <c r="L136" s="157"/>
      <c r="M136" s="157"/>
      <c r="N136" s="183"/>
      <c r="O136" s="177" t="s">
        <v>916</v>
      </c>
      <c r="P136" s="145"/>
      <c r="Q136" s="141"/>
      <c r="R136" s="190"/>
      <c r="S136" s="83"/>
      <c r="T136" s="87"/>
      <c r="U136" s="87"/>
      <c r="V136" s="87"/>
      <c r="W136" s="44"/>
      <c r="X136" s="88"/>
      <c r="Y136" s="79"/>
      <c r="Z136" s="79"/>
      <c r="AA136" s="79"/>
      <c r="AB136" s="79"/>
      <c r="AC136" s="86"/>
      <c r="AD136" s="82"/>
      <c r="AE136" s="79"/>
      <c r="AF136" s="88"/>
      <c r="AG136" s="80"/>
      <c r="AH136" s="79"/>
      <c r="AI136" s="79"/>
      <c r="AJ136" s="79"/>
      <c r="AK136" s="80"/>
      <c r="AL136" s="80"/>
      <c r="AM136" s="80"/>
      <c r="AN136" s="79"/>
      <c r="AO136" s="80"/>
      <c r="AP136" s="80"/>
      <c r="AQ136" s="80"/>
      <c r="AR136" s="85"/>
      <c r="AS136" s="85"/>
      <c r="AT136" s="85"/>
      <c r="AU136" s="85"/>
      <c r="AV136" s="85"/>
      <c r="AW136" s="82"/>
      <c r="AX136" s="79"/>
      <c r="AY136" s="82"/>
      <c r="AZ136" s="82"/>
      <c r="BA136" s="86"/>
      <c r="BB136" s="79"/>
      <c r="BC136" s="79"/>
      <c r="BD136" s="79"/>
      <c r="BE136" s="82"/>
      <c r="BF136" s="85"/>
      <c r="BG136" s="79"/>
      <c r="BH136" s="79"/>
      <c r="BI136" s="79"/>
      <c r="BJ136" s="88"/>
      <c r="BK136" s="88"/>
      <c r="BL136" s="79"/>
      <c r="BM136" s="185"/>
      <c r="BN136" s="90"/>
      <c r="BO136" s="80"/>
      <c r="BP136" s="80"/>
      <c r="BQ136" s="80"/>
      <c r="BR136" s="80"/>
      <c r="BS136" s="80"/>
      <c r="BT136" s="80"/>
      <c r="BU136" s="80"/>
      <c r="BV136" s="80"/>
      <c r="BW136" s="82"/>
      <c r="BX136" s="79"/>
      <c r="BY136" s="79"/>
      <c r="BZ136" s="79"/>
      <c r="CA136" s="79"/>
      <c r="CB136" s="79"/>
      <c r="CC136" s="82"/>
      <c r="CD136" s="82"/>
      <c r="CE136" s="82"/>
      <c r="CF136" s="82"/>
      <c r="CG136" s="82"/>
      <c r="CH136" s="82"/>
      <c r="CI136" s="82"/>
      <c r="CJ136" s="79"/>
      <c r="CK136" s="79"/>
      <c r="CL136" s="79"/>
      <c r="CM136" s="79"/>
      <c r="CN136" s="79"/>
      <c r="CO136" s="79"/>
    </row>
    <row r="137" spans="1:93">
      <c r="A137" s="98">
        <v>33</v>
      </c>
      <c r="B137" s="380" t="s">
        <v>896</v>
      </c>
      <c r="C137" s="188" t="s">
        <v>906</v>
      </c>
      <c r="D137" s="47" t="s">
        <v>940</v>
      </c>
      <c r="E137" s="126"/>
      <c r="F137" s="154" t="s">
        <v>965</v>
      </c>
      <c r="G137" s="167"/>
      <c r="H137" s="167">
        <v>1</v>
      </c>
      <c r="I137" s="170"/>
      <c r="J137" s="155"/>
      <c r="K137" s="156"/>
      <c r="L137" s="157"/>
      <c r="M137" s="157"/>
      <c r="N137" s="183"/>
      <c r="O137" s="177" t="s">
        <v>917</v>
      </c>
      <c r="P137" s="145"/>
      <c r="Q137" s="141"/>
      <c r="R137" s="190"/>
      <c r="S137" s="83"/>
      <c r="T137" s="87"/>
      <c r="U137" s="87"/>
      <c r="V137" s="87"/>
      <c r="W137" s="44"/>
      <c r="X137" s="88"/>
      <c r="Y137" s="79"/>
      <c r="Z137" s="79"/>
      <c r="AA137" s="79"/>
      <c r="AB137" s="79"/>
      <c r="AC137" s="86"/>
      <c r="AD137" s="82"/>
      <c r="AE137" s="79"/>
      <c r="AF137" s="88"/>
      <c r="AG137" s="80"/>
      <c r="AH137" s="79"/>
      <c r="AI137" s="79"/>
      <c r="AJ137" s="79"/>
      <c r="AK137" s="80"/>
      <c r="AL137" s="80"/>
      <c r="AM137" s="80"/>
      <c r="AN137" s="79"/>
      <c r="AO137" s="80"/>
      <c r="AP137" s="80"/>
      <c r="AQ137" s="80"/>
      <c r="AR137" s="85"/>
      <c r="AS137" s="85"/>
      <c r="AT137" s="85"/>
      <c r="AU137" s="85"/>
      <c r="AV137" s="85"/>
      <c r="AW137" s="82"/>
      <c r="AX137" s="79"/>
      <c r="AY137" s="82"/>
      <c r="AZ137" s="82"/>
      <c r="BA137" s="86"/>
      <c r="BB137" s="79"/>
      <c r="BC137" s="79"/>
      <c r="BD137" s="79"/>
      <c r="BE137" s="82"/>
      <c r="BF137" s="85"/>
      <c r="BG137" s="79"/>
      <c r="BH137" s="79"/>
      <c r="BI137" s="79"/>
      <c r="BJ137" s="88"/>
      <c r="BK137" s="88"/>
      <c r="BL137" s="79"/>
      <c r="BM137" s="185"/>
      <c r="BN137" s="90"/>
      <c r="BO137" s="80"/>
      <c r="BP137" s="80"/>
      <c r="BQ137" s="80"/>
      <c r="BR137" s="80"/>
      <c r="BS137" s="80"/>
      <c r="BT137" s="80"/>
      <c r="BU137" s="80"/>
      <c r="BV137" s="80"/>
      <c r="BW137" s="82"/>
      <c r="BX137" s="79"/>
      <c r="BY137" s="79"/>
      <c r="BZ137" s="79"/>
      <c r="CA137" s="79"/>
      <c r="CB137" s="79"/>
      <c r="CC137" s="82"/>
      <c r="CD137" s="82"/>
      <c r="CE137" s="82"/>
      <c r="CF137" s="82"/>
      <c r="CG137" s="82"/>
      <c r="CH137" s="82"/>
      <c r="CI137" s="82"/>
      <c r="CJ137" s="79"/>
      <c r="CK137" s="79"/>
      <c r="CL137" s="79"/>
      <c r="CM137" s="79"/>
      <c r="CN137" s="79"/>
      <c r="CO137" s="79"/>
    </row>
    <row r="138" spans="1:93">
      <c r="A138" s="98">
        <v>34</v>
      </c>
      <c r="B138" s="380" t="s">
        <v>901</v>
      </c>
      <c r="C138" s="188" t="s">
        <v>872</v>
      </c>
      <c r="D138" s="47" t="s">
        <v>941</v>
      </c>
      <c r="E138" s="126"/>
      <c r="F138" s="154" t="s">
        <v>965</v>
      </c>
      <c r="G138" s="167">
        <v>1</v>
      </c>
      <c r="H138" s="167"/>
      <c r="I138" s="170"/>
      <c r="J138" s="155"/>
      <c r="K138" s="156"/>
      <c r="L138" s="157"/>
      <c r="M138" s="157"/>
      <c r="N138" s="183"/>
      <c r="O138" s="177">
        <v>920711402</v>
      </c>
      <c r="P138" s="145"/>
      <c r="Q138" s="141"/>
      <c r="R138" s="190"/>
      <c r="S138" s="83"/>
      <c r="T138" s="87"/>
      <c r="U138" s="87"/>
      <c r="V138" s="87"/>
      <c r="W138" s="44"/>
      <c r="X138" s="88"/>
      <c r="Y138" s="79"/>
      <c r="Z138" s="79"/>
      <c r="AA138" s="79"/>
      <c r="AB138" s="79"/>
      <c r="AC138" s="86"/>
      <c r="AD138" s="82"/>
      <c r="AE138" s="79"/>
      <c r="AF138" s="88"/>
      <c r="AG138" s="80"/>
      <c r="AH138" s="79"/>
      <c r="AI138" s="79"/>
      <c r="AJ138" s="79"/>
      <c r="AK138" s="80"/>
      <c r="AL138" s="80"/>
      <c r="AM138" s="80"/>
      <c r="AN138" s="79"/>
      <c r="AO138" s="80"/>
      <c r="AP138" s="80"/>
      <c r="AQ138" s="80"/>
      <c r="AR138" s="85"/>
      <c r="AS138" s="85"/>
      <c r="AT138" s="85"/>
      <c r="AU138" s="85"/>
      <c r="AV138" s="85"/>
      <c r="AW138" s="82"/>
      <c r="AX138" s="79"/>
      <c r="AY138" s="82"/>
      <c r="AZ138" s="82"/>
      <c r="BA138" s="86"/>
      <c r="BB138" s="79"/>
      <c r="BC138" s="79"/>
      <c r="BD138" s="79"/>
      <c r="BE138" s="82"/>
      <c r="BF138" s="85"/>
      <c r="BG138" s="79"/>
      <c r="BH138" s="79"/>
      <c r="BI138" s="79"/>
      <c r="BJ138" s="88"/>
      <c r="BK138" s="88"/>
      <c r="BL138" s="79"/>
      <c r="BM138" s="185"/>
      <c r="BN138" s="90"/>
      <c r="BO138" s="80"/>
      <c r="BP138" s="80"/>
      <c r="BQ138" s="80"/>
      <c r="BR138" s="80"/>
      <c r="BS138" s="80"/>
      <c r="BT138" s="80"/>
      <c r="BU138" s="80"/>
      <c r="BV138" s="80"/>
      <c r="BW138" s="82"/>
      <c r="BX138" s="79"/>
      <c r="BY138" s="79"/>
      <c r="BZ138" s="79"/>
      <c r="CA138" s="79"/>
      <c r="CB138" s="79"/>
      <c r="CC138" s="82"/>
      <c r="CD138" s="82"/>
      <c r="CE138" s="82"/>
      <c r="CF138" s="82"/>
      <c r="CG138" s="82"/>
      <c r="CH138" s="82"/>
      <c r="CI138" s="82"/>
      <c r="CJ138" s="79"/>
      <c r="CK138" s="79"/>
      <c r="CL138" s="79"/>
      <c r="CM138" s="79"/>
      <c r="CN138" s="79"/>
      <c r="CO138" s="79"/>
    </row>
    <row r="139" spans="1:93">
      <c r="A139" s="98">
        <v>35</v>
      </c>
      <c r="B139" s="380" t="s">
        <v>902</v>
      </c>
      <c r="C139" s="188" t="s">
        <v>872</v>
      </c>
      <c r="D139" s="47" t="s">
        <v>942</v>
      </c>
      <c r="E139" s="126"/>
      <c r="F139" s="154" t="s">
        <v>965</v>
      </c>
      <c r="G139" s="167">
        <v>1</v>
      </c>
      <c r="H139" s="167"/>
      <c r="I139" s="170"/>
      <c r="J139" s="155"/>
      <c r="K139" s="156"/>
      <c r="L139" s="157"/>
      <c r="M139" s="157"/>
      <c r="N139" s="183"/>
      <c r="O139" s="177" t="s">
        <v>921</v>
      </c>
      <c r="P139" s="145"/>
      <c r="Q139" s="141"/>
      <c r="R139" s="190"/>
      <c r="S139" s="83"/>
      <c r="T139" s="87"/>
      <c r="U139" s="87"/>
      <c r="V139" s="87"/>
      <c r="W139" s="44"/>
      <c r="X139" s="88"/>
      <c r="Y139" s="79"/>
      <c r="Z139" s="79"/>
      <c r="AA139" s="79"/>
      <c r="AB139" s="79"/>
      <c r="AC139" s="86"/>
      <c r="AD139" s="82"/>
      <c r="AE139" s="79"/>
      <c r="AF139" s="88"/>
      <c r="AG139" s="80"/>
      <c r="AH139" s="79"/>
      <c r="AI139" s="79"/>
      <c r="AJ139" s="79"/>
      <c r="AK139" s="80"/>
      <c r="AL139" s="80"/>
      <c r="AM139" s="80"/>
      <c r="AN139" s="79"/>
      <c r="AO139" s="80"/>
      <c r="AP139" s="80"/>
      <c r="AQ139" s="80"/>
      <c r="AR139" s="85"/>
      <c r="AS139" s="85"/>
      <c r="AT139" s="85"/>
      <c r="AU139" s="85"/>
      <c r="AV139" s="85"/>
      <c r="AW139" s="82"/>
      <c r="AX139" s="79"/>
      <c r="AY139" s="82"/>
      <c r="AZ139" s="82"/>
      <c r="BA139" s="86"/>
      <c r="BB139" s="79"/>
      <c r="BC139" s="79"/>
      <c r="BD139" s="79"/>
      <c r="BE139" s="82"/>
      <c r="BF139" s="85"/>
      <c r="BG139" s="79"/>
      <c r="BH139" s="79"/>
      <c r="BI139" s="79"/>
      <c r="BJ139" s="88"/>
      <c r="BK139" s="88"/>
      <c r="BL139" s="79"/>
      <c r="BM139" s="185"/>
      <c r="BN139" s="90"/>
      <c r="BO139" s="80"/>
      <c r="BP139" s="80"/>
      <c r="BQ139" s="80"/>
      <c r="BR139" s="80"/>
      <c r="BS139" s="80"/>
      <c r="BT139" s="80"/>
      <c r="BU139" s="80"/>
      <c r="BV139" s="80"/>
      <c r="BW139" s="82"/>
      <c r="BX139" s="79"/>
      <c r="BY139" s="79"/>
      <c r="BZ139" s="79"/>
      <c r="CA139" s="79"/>
      <c r="CB139" s="79"/>
      <c r="CC139" s="82"/>
      <c r="CD139" s="82"/>
      <c r="CE139" s="82"/>
      <c r="CF139" s="82"/>
      <c r="CG139" s="82"/>
      <c r="CH139" s="82"/>
      <c r="CI139" s="82"/>
      <c r="CJ139" s="79"/>
      <c r="CK139" s="79"/>
      <c r="CL139" s="79"/>
      <c r="CM139" s="79"/>
      <c r="CN139" s="79"/>
      <c r="CO139" s="79"/>
    </row>
    <row r="140" spans="1:93">
      <c r="A140" s="98">
        <v>36</v>
      </c>
      <c r="B140" s="178" t="s">
        <v>887</v>
      </c>
      <c r="C140" s="188">
        <v>45030</v>
      </c>
      <c r="D140" s="47" t="s">
        <v>924</v>
      </c>
      <c r="E140" s="126"/>
      <c r="F140" s="154" t="s">
        <v>965</v>
      </c>
      <c r="G140" s="167">
        <v>1</v>
      </c>
      <c r="H140" s="167"/>
      <c r="I140" s="170"/>
      <c r="J140" s="155"/>
      <c r="K140" s="156"/>
      <c r="L140" s="157"/>
      <c r="M140" s="157"/>
      <c r="N140" s="183"/>
      <c r="O140" s="177" t="s">
        <v>911</v>
      </c>
      <c r="P140" s="145"/>
      <c r="Q140" s="141"/>
      <c r="R140" s="190"/>
      <c r="S140" s="83"/>
      <c r="T140" s="87"/>
      <c r="U140" s="87"/>
      <c r="V140" s="87"/>
      <c r="W140" s="44"/>
      <c r="X140" s="88"/>
      <c r="Y140" s="79"/>
      <c r="Z140" s="79"/>
      <c r="AA140" s="79"/>
      <c r="AB140" s="79"/>
      <c r="AC140" s="86"/>
      <c r="AD140" s="82"/>
      <c r="AE140" s="79"/>
      <c r="AF140" s="88"/>
      <c r="AG140" s="80"/>
      <c r="AH140" s="79"/>
      <c r="AI140" s="79"/>
      <c r="AJ140" s="79"/>
      <c r="AK140" s="80"/>
      <c r="AL140" s="80"/>
      <c r="AM140" s="80"/>
      <c r="AN140" s="79"/>
      <c r="AO140" s="80"/>
      <c r="AP140" s="80"/>
      <c r="AQ140" s="80"/>
      <c r="AR140" s="85"/>
      <c r="AS140" s="85"/>
      <c r="AT140" s="85"/>
      <c r="AU140" s="85"/>
      <c r="AV140" s="85"/>
      <c r="AW140" s="82"/>
      <c r="AX140" s="79"/>
      <c r="AY140" s="82"/>
      <c r="AZ140" s="82"/>
      <c r="BA140" s="86"/>
      <c r="BB140" s="79"/>
      <c r="BC140" s="79"/>
      <c r="BD140" s="79"/>
      <c r="BE140" s="82"/>
      <c r="BF140" s="85"/>
      <c r="BG140" s="79"/>
      <c r="BH140" s="79"/>
      <c r="BI140" s="79"/>
      <c r="BJ140" s="88"/>
      <c r="BK140" s="88"/>
      <c r="BL140" s="79"/>
      <c r="BM140" s="185"/>
      <c r="BN140" s="90"/>
      <c r="BO140" s="80"/>
      <c r="BP140" s="80"/>
      <c r="BQ140" s="80"/>
      <c r="BR140" s="80"/>
      <c r="BS140" s="80"/>
      <c r="BT140" s="80"/>
      <c r="BU140" s="80"/>
      <c r="BV140" s="80"/>
      <c r="BW140" s="82"/>
      <c r="BX140" s="79"/>
      <c r="BY140" s="79"/>
      <c r="BZ140" s="79"/>
      <c r="CA140" s="79"/>
      <c r="CB140" s="79"/>
      <c r="CC140" s="82"/>
      <c r="CD140" s="82"/>
      <c r="CE140" s="82"/>
      <c r="CF140" s="82"/>
      <c r="CG140" s="82"/>
      <c r="CH140" s="82"/>
      <c r="CI140" s="82"/>
      <c r="CJ140" s="79"/>
      <c r="CK140" s="79"/>
      <c r="CL140" s="79"/>
      <c r="CM140" s="79"/>
      <c r="CN140" s="79"/>
      <c r="CO140" s="79"/>
    </row>
    <row r="141" spans="1:93">
      <c r="A141" s="98">
        <v>37</v>
      </c>
      <c r="B141" s="178" t="s">
        <v>888</v>
      </c>
      <c r="C141" s="188">
        <v>45030</v>
      </c>
      <c r="D141" s="47" t="s">
        <v>925</v>
      </c>
      <c r="E141" s="126"/>
      <c r="F141" s="154" t="s">
        <v>965</v>
      </c>
      <c r="G141" s="167"/>
      <c r="H141" s="167">
        <v>1</v>
      </c>
      <c r="I141" s="170"/>
      <c r="J141" s="155"/>
      <c r="K141" s="156"/>
      <c r="L141" s="157"/>
      <c r="M141" s="157"/>
      <c r="N141" s="183"/>
      <c r="O141" s="177" t="s">
        <v>912</v>
      </c>
      <c r="P141" s="145"/>
      <c r="Q141" s="141"/>
      <c r="R141" s="190"/>
      <c r="S141" s="83"/>
      <c r="T141" s="87"/>
      <c r="U141" s="87"/>
      <c r="V141" s="87"/>
      <c r="W141" s="44"/>
      <c r="X141" s="88"/>
      <c r="Y141" s="79"/>
      <c r="Z141" s="79"/>
      <c r="AA141" s="79"/>
      <c r="AB141" s="79"/>
      <c r="AC141" s="86"/>
      <c r="AD141" s="82"/>
      <c r="AE141" s="79"/>
      <c r="AF141" s="88"/>
      <c r="AG141" s="80"/>
      <c r="AH141" s="79"/>
      <c r="AI141" s="79"/>
      <c r="AJ141" s="79"/>
      <c r="AK141" s="80"/>
      <c r="AL141" s="80"/>
      <c r="AM141" s="80"/>
      <c r="AN141" s="79"/>
      <c r="AO141" s="80"/>
      <c r="AP141" s="80"/>
      <c r="AQ141" s="80"/>
      <c r="AR141" s="85"/>
      <c r="AS141" s="85"/>
      <c r="AT141" s="85"/>
      <c r="AU141" s="85"/>
      <c r="AV141" s="85"/>
      <c r="AW141" s="82"/>
      <c r="AX141" s="79"/>
      <c r="AY141" s="82"/>
      <c r="AZ141" s="82"/>
      <c r="BA141" s="86"/>
      <c r="BB141" s="79"/>
      <c r="BC141" s="79"/>
      <c r="BD141" s="79"/>
      <c r="BE141" s="82"/>
      <c r="BF141" s="85"/>
      <c r="BG141" s="79"/>
      <c r="BH141" s="79"/>
      <c r="BI141" s="79"/>
      <c r="BJ141" s="88"/>
      <c r="BK141" s="88"/>
      <c r="BL141" s="79"/>
      <c r="BM141" s="185"/>
      <c r="BN141" s="90"/>
      <c r="BO141" s="80"/>
      <c r="BP141" s="80"/>
      <c r="BQ141" s="80"/>
      <c r="BR141" s="80"/>
      <c r="BS141" s="80"/>
      <c r="BT141" s="80"/>
      <c r="BU141" s="80"/>
      <c r="BV141" s="80"/>
      <c r="BW141" s="82"/>
      <c r="BX141" s="79"/>
      <c r="BY141" s="79"/>
      <c r="BZ141" s="79"/>
      <c r="CA141" s="79"/>
      <c r="CB141" s="79"/>
      <c r="CC141" s="82"/>
      <c r="CD141" s="82"/>
      <c r="CE141" s="82"/>
      <c r="CF141" s="82"/>
      <c r="CG141" s="82"/>
      <c r="CH141" s="82"/>
      <c r="CI141" s="82"/>
      <c r="CJ141" s="79"/>
      <c r="CK141" s="79"/>
      <c r="CL141" s="79"/>
      <c r="CM141" s="79"/>
      <c r="CN141" s="79"/>
      <c r="CO141" s="79"/>
    </row>
    <row r="142" spans="1:93">
      <c r="A142" s="98">
        <v>38</v>
      </c>
      <c r="B142" s="178" t="s">
        <v>889</v>
      </c>
      <c r="C142" s="188">
        <v>45030</v>
      </c>
      <c r="D142" s="47" t="s">
        <v>926</v>
      </c>
      <c r="E142" s="126"/>
      <c r="F142" s="154" t="s">
        <v>965</v>
      </c>
      <c r="G142" s="167"/>
      <c r="H142" s="167">
        <v>1</v>
      </c>
      <c r="I142" s="170"/>
      <c r="J142" s="155"/>
      <c r="K142" s="156"/>
      <c r="L142" s="157"/>
      <c r="M142" s="157"/>
      <c r="N142" s="183"/>
      <c r="O142" s="177" t="s">
        <v>912</v>
      </c>
      <c r="P142" s="145"/>
      <c r="Q142" s="141"/>
      <c r="R142" s="190"/>
      <c r="S142" s="83"/>
      <c r="T142" s="87"/>
      <c r="U142" s="87"/>
      <c r="V142" s="87"/>
      <c r="W142" s="44"/>
      <c r="X142" s="88"/>
      <c r="Y142" s="79"/>
      <c r="Z142" s="79"/>
      <c r="AA142" s="79"/>
      <c r="AB142" s="79"/>
      <c r="AC142" s="86"/>
      <c r="AD142" s="82"/>
      <c r="AE142" s="79"/>
      <c r="AF142" s="88"/>
      <c r="AG142" s="80"/>
      <c r="AH142" s="79"/>
      <c r="AI142" s="79"/>
      <c r="AJ142" s="79"/>
      <c r="AK142" s="80"/>
      <c r="AL142" s="80"/>
      <c r="AM142" s="80"/>
      <c r="AN142" s="79"/>
      <c r="AO142" s="80"/>
      <c r="AP142" s="80"/>
      <c r="AQ142" s="80"/>
      <c r="AR142" s="85"/>
      <c r="AS142" s="85"/>
      <c r="AT142" s="85"/>
      <c r="AU142" s="85"/>
      <c r="AV142" s="85"/>
      <c r="AW142" s="82"/>
      <c r="AX142" s="79"/>
      <c r="AY142" s="82"/>
      <c r="AZ142" s="82"/>
      <c r="BA142" s="86"/>
      <c r="BB142" s="79"/>
      <c r="BC142" s="79"/>
      <c r="BD142" s="79"/>
      <c r="BE142" s="82"/>
      <c r="BF142" s="85"/>
      <c r="BG142" s="79"/>
      <c r="BH142" s="79"/>
      <c r="BI142" s="79"/>
      <c r="BJ142" s="88"/>
      <c r="BK142" s="88"/>
      <c r="BL142" s="79"/>
      <c r="BM142" s="185"/>
      <c r="BN142" s="90"/>
      <c r="BO142" s="80"/>
      <c r="BP142" s="80"/>
      <c r="BQ142" s="80"/>
      <c r="BR142" s="80"/>
      <c r="BS142" s="80"/>
      <c r="BT142" s="80"/>
      <c r="BU142" s="80"/>
      <c r="BV142" s="80"/>
      <c r="BW142" s="82"/>
      <c r="BX142" s="79"/>
      <c r="BY142" s="79"/>
      <c r="BZ142" s="79"/>
      <c r="CA142" s="79"/>
      <c r="CB142" s="79"/>
      <c r="CC142" s="82"/>
      <c r="CD142" s="82"/>
      <c r="CE142" s="82"/>
      <c r="CF142" s="82"/>
      <c r="CG142" s="82"/>
      <c r="CH142" s="82"/>
      <c r="CI142" s="82"/>
      <c r="CJ142" s="79"/>
      <c r="CK142" s="79"/>
      <c r="CL142" s="79"/>
      <c r="CM142" s="79"/>
      <c r="CN142" s="79"/>
      <c r="CO142" s="79"/>
    </row>
    <row r="143" spans="1:93">
      <c r="A143" s="98">
        <v>39</v>
      </c>
      <c r="B143" s="178" t="s">
        <v>890</v>
      </c>
      <c r="C143" s="188">
        <v>45030</v>
      </c>
      <c r="D143" s="47" t="s">
        <v>927</v>
      </c>
      <c r="E143" s="126"/>
      <c r="F143" s="154" t="s">
        <v>965</v>
      </c>
      <c r="G143" s="167"/>
      <c r="H143" s="167">
        <v>1</v>
      </c>
      <c r="I143" s="170"/>
      <c r="J143" s="155"/>
      <c r="K143" s="156"/>
      <c r="L143" s="157"/>
      <c r="M143" s="157"/>
      <c r="N143" s="183"/>
      <c r="O143" s="177" t="s">
        <v>913</v>
      </c>
      <c r="P143" s="145"/>
      <c r="Q143" s="141"/>
      <c r="R143" s="190"/>
      <c r="S143" s="83"/>
      <c r="T143" s="87"/>
      <c r="U143" s="87"/>
      <c r="V143" s="87"/>
      <c r="W143" s="44"/>
      <c r="X143" s="88"/>
      <c r="Y143" s="79"/>
      <c r="Z143" s="79"/>
      <c r="AA143" s="79"/>
      <c r="AB143" s="79"/>
      <c r="AC143" s="86"/>
      <c r="AD143" s="82"/>
      <c r="AE143" s="79"/>
      <c r="AF143" s="88"/>
      <c r="AG143" s="80"/>
      <c r="AH143" s="79"/>
      <c r="AI143" s="79"/>
      <c r="AJ143" s="79"/>
      <c r="AK143" s="80"/>
      <c r="AL143" s="80"/>
      <c r="AM143" s="80"/>
      <c r="AN143" s="79"/>
      <c r="AO143" s="80"/>
      <c r="AP143" s="80"/>
      <c r="AQ143" s="80"/>
      <c r="AR143" s="85"/>
      <c r="AS143" s="85"/>
      <c r="AT143" s="85"/>
      <c r="AU143" s="85"/>
      <c r="AV143" s="85"/>
      <c r="AW143" s="82"/>
      <c r="AX143" s="79"/>
      <c r="AY143" s="82"/>
      <c r="AZ143" s="82"/>
      <c r="BA143" s="86"/>
      <c r="BB143" s="79"/>
      <c r="BC143" s="79"/>
      <c r="BD143" s="79"/>
      <c r="BE143" s="82"/>
      <c r="BF143" s="85"/>
      <c r="BG143" s="79"/>
      <c r="BH143" s="79"/>
      <c r="BI143" s="79"/>
      <c r="BJ143" s="88"/>
      <c r="BK143" s="88"/>
      <c r="BL143" s="79"/>
      <c r="BM143" s="185"/>
      <c r="BN143" s="90"/>
      <c r="BO143" s="80"/>
      <c r="BP143" s="80"/>
      <c r="BQ143" s="80"/>
      <c r="BR143" s="80"/>
      <c r="BS143" s="80"/>
      <c r="BT143" s="80"/>
      <c r="BU143" s="80"/>
      <c r="BV143" s="80"/>
      <c r="BW143" s="82"/>
      <c r="BX143" s="79"/>
      <c r="BY143" s="79"/>
      <c r="BZ143" s="79"/>
      <c r="CA143" s="79"/>
      <c r="CB143" s="79"/>
      <c r="CC143" s="82"/>
      <c r="CD143" s="82"/>
      <c r="CE143" s="82"/>
      <c r="CF143" s="82"/>
      <c r="CG143" s="82"/>
      <c r="CH143" s="82"/>
      <c r="CI143" s="82"/>
      <c r="CJ143" s="79"/>
      <c r="CK143" s="79"/>
      <c r="CL143" s="79"/>
      <c r="CM143" s="79"/>
      <c r="CN143" s="79"/>
      <c r="CO143" s="79"/>
    </row>
    <row r="144" spans="1:93">
      <c r="A144" s="98">
        <v>40</v>
      </c>
      <c r="B144" s="178" t="s">
        <v>891</v>
      </c>
      <c r="C144" s="188" t="s">
        <v>850</v>
      </c>
      <c r="D144" s="47" t="s">
        <v>928</v>
      </c>
      <c r="E144" s="126"/>
      <c r="F144" s="154" t="s">
        <v>965</v>
      </c>
      <c r="G144" s="167"/>
      <c r="H144" s="167">
        <v>1</v>
      </c>
      <c r="I144" s="170"/>
      <c r="J144" s="155"/>
      <c r="K144" s="156"/>
      <c r="L144" s="157"/>
      <c r="M144" s="157"/>
      <c r="N144" s="183"/>
      <c r="O144" s="177">
        <v>7884745650</v>
      </c>
      <c r="P144" s="145"/>
      <c r="Q144" s="141"/>
      <c r="R144" s="190"/>
      <c r="S144" s="83"/>
      <c r="T144" s="87"/>
      <c r="U144" s="87"/>
      <c r="V144" s="87"/>
      <c r="W144" s="44"/>
      <c r="X144" s="88"/>
      <c r="Y144" s="79"/>
      <c r="Z144" s="79"/>
      <c r="AA144" s="79"/>
      <c r="AB144" s="79"/>
      <c r="AC144" s="86"/>
      <c r="AD144" s="82"/>
      <c r="AE144" s="79"/>
      <c r="AF144" s="88"/>
      <c r="AG144" s="80"/>
      <c r="AH144" s="79"/>
      <c r="AI144" s="79"/>
      <c r="AJ144" s="79"/>
      <c r="AK144" s="80"/>
      <c r="AL144" s="80"/>
      <c r="AM144" s="80"/>
      <c r="AN144" s="79"/>
      <c r="AO144" s="80"/>
      <c r="AP144" s="80"/>
      <c r="AQ144" s="80"/>
      <c r="AR144" s="85"/>
      <c r="AS144" s="85"/>
      <c r="AT144" s="85"/>
      <c r="AU144" s="85"/>
      <c r="AV144" s="85"/>
      <c r="AW144" s="82"/>
      <c r="AX144" s="79"/>
      <c r="AY144" s="82"/>
      <c r="AZ144" s="82"/>
      <c r="BA144" s="86"/>
      <c r="BB144" s="79"/>
      <c r="BC144" s="79"/>
      <c r="BD144" s="79"/>
      <c r="BE144" s="82"/>
      <c r="BF144" s="85"/>
      <c r="BG144" s="79"/>
      <c r="BH144" s="79"/>
      <c r="BI144" s="79"/>
      <c r="BJ144" s="88"/>
      <c r="BK144" s="88"/>
      <c r="BL144" s="79"/>
      <c r="BM144" s="185"/>
      <c r="BN144" s="90"/>
      <c r="BO144" s="80"/>
      <c r="BP144" s="80"/>
      <c r="BQ144" s="80"/>
      <c r="BR144" s="80"/>
      <c r="BS144" s="80"/>
      <c r="BT144" s="80"/>
      <c r="BU144" s="80"/>
      <c r="BV144" s="80"/>
      <c r="BW144" s="82"/>
      <c r="BX144" s="79"/>
      <c r="BY144" s="79"/>
      <c r="BZ144" s="79"/>
      <c r="CA144" s="79"/>
      <c r="CB144" s="79"/>
      <c r="CC144" s="82"/>
      <c r="CD144" s="82"/>
      <c r="CE144" s="82"/>
      <c r="CF144" s="82"/>
      <c r="CG144" s="82"/>
      <c r="CH144" s="82"/>
      <c r="CI144" s="82"/>
      <c r="CJ144" s="79"/>
      <c r="CK144" s="79"/>
      <c r="CL144" s="79"/>
      <c r="CM144" s="79"/>
      <c r="CN144" s="79"/>
      <c r="CO144" s="79"/>
    </row>
    <row r="145" spans="1:93">
      <c r="A145" s="98">
        <v>41</v>
      </c>
      <c r="B145" s="178" t="s">
        <v>892</v>
      </c>
      <c r="C145" s="188" t="s">
        <v>850</v>
      </c>
      <c r="D145" s="47" t="s">
        <v>929</v>
      </c>
      <c r="E145" s="126"/>
      <c r="F145" s="154" t="s">
        <v>965</v>
      </c>
      <c r="G145" s="167"/>
      <c r="H145" s="167">
        <v>1</v>
      </c>
      <c r="I145" s="170"/>
      <c r="J145" s="155"/>
      <c r="K145" s="156"/>
      <c r="L145" s="157"/>
      <c r="M145" s="157"/>
      <c r="N145" s="183"/>
      <c r="O145" s="177" t="s">
        <v>914</v>
      </c>
      <c r="P145" s="145"/>
      <c r="Q145" s="141"/>
      <c r="R145" s="190"/>
      <c r="S145" s="83"/>
      <c r="T145" s="87"/>
      <c r="U145" s="87"/>
      <c r="V145" s="87"/>
      <c r="W145" s="44"/>
      <c r="X145" s="88"/>
      <c r="Y145" s="79"/>
      <c r="Z145" s="79"/>
      <c r="AA145" s="79"/>
      <c r="AB145" s="79"/>
      <c r="AC145" s="86"/>
      <c r="AD145" s="82"/>
      <c r="AE145" s="79"/>
      <c r="AF145" s="88"/>
      <c r="AG145" s="80"/>
      <c r="AH145" s="79"/>
      <c r="AI145" s="79"/>
      <c r="AJ145" s="79"/>
      <c r="AK145" s="80"/>
      <c r="AL145" s="80"/>
      <c r="AM145" s="80"/>
      <c r="AN145" s="79"/>
      <c r="AO145" s="80"/>
      <c r="AP145" s="80"/>
      <c r="AQ145" s="80"/>
      <c r="AR145" s="85"/>
      <c r="AS145" s="85"/>
      <c r="AT145" s="85"/>
      <c r="AU145" s="85"/>
      <c r="AV145" s="85"/>
      <c r="AW145" s="82"/>
      <c r="AX145" s="79"/>
      <c r="AY145" s="82"/>
      <c r="AZ145" s="82"/>
      <c r="BA145" s="86"/>
      <c r="BB145" s="79"/>
      <c r="BC145" s="79"/>
      <c r="BD145" s="79"/>
      <c r="BE145" s="82"/>
      <c r="BF145" s="85"/>
      <c r="BG145" s="79"/>
      <c r="BH145" s="79"/>
      <c r="BI145" s="79"/>
      <c r="BJ145" s="88"/>
      <c r="BK145" s="88"/>
      <c r="BL145" s="79"/>
      <c r="BM145" s="185"/>
      <c r="BN145" s="90"/>
      <c r="BO145" s="80"/>
      <c r="BP145" s="80"/>
      <c r="BQ145" s="80"/>
      <c r="BR145" s="80"/>
      <c r="BS145" s="80"/>
      <c r="BT145" s="80"/>
      <c r="BU145" s="80"/>
      <c r="BV145" s="80"/>
      <c r="BW145" s="82"/>
      <c r="BX145" s="79"/>
      <c r="BY145" s="79"/>
      <c r="BZ145" s="79"/>
      <c r="CA145" s="79"/>
      <c r="CB145" s="79"/>
      <c r="CC145" s="82"/>
      <c r="CD145" s="82"/>
      <c r="CE145" s="82"/>
      <c r="CF145" s="82"/>
      <c r="CG145" s="82"/>
      <c r="CH145" s="82"/>
      <c r="CI145" s="82"/>
      <c r="CJ145" s="79"/>
      <c r="CK145" s="79"/>
      <c r="CL145" s="79"/>
      <c r="CM145" s="79"/>
      <c r="CN145" s="79"/>
      <c r="CO145" s="79"/>
    </row>
    <row r="146" spans="1:93">
      <c r="A146" s="98">
        <v>42</v>
      </c>
      <c r="B146" s="178" t="s">
        <v>897</v>
      </c>
      <c r="C146" s="188" t="s">
        <v>907</v>
      </c>
      <c r="D146" s="47" t="s">
        <v>930</v>
      </c>
      <c r="E146" s="126"/>
      <c r="F146" s="154" t="s">
        <v>965</v>
      </c>
      <c r="G146" s="167">
        <v>1</v>
      </c>
      <c r="H146" s="167"/>
      <c r="I146" s="170"/>
      <c r="J146" s="155"/>
      <c r="K146" s="156"/>
      <c r="L146" s="157"/>
      <c r="M146" s="157"/>
      <c r="N146" s="183"/>
      <c r="O146" s="177" t="s">
        <v>918</v>
      </c>
      <c r="P146" s="145"/>
      <c r="Q146" s="141"/>
      <c r="R146" s="190"/>
      <c r="S146" s="83"/>
      <c r="T146" s="87"/>
      <c r="U146" s="87"/>
      <c r="V146" s="87"/>
      <c r="W146" s="44"/>
      <c r="X146" s="88"/>
      <c r="Y146" s="79"/>
      <c r="Z146" s="79"/>
      <c r="AA146" s="79"/>
      <c r="AB146" s="79"/>
      <c r="AC146" s="86"/>
      <c r="AD146" s="82"/>
      <c r="AE146" s="79"/>
      <c r="AF146" s="88"/>
      <c r="AG146" s="80"/>
      <c r="AH146" s="79"/>
      <c r="AI146" s="79"/>
      <c r="AJ146" s="79"/>
      <c r="AK146" s="80"/>
      <c r="AL146" s="80"/>
      <c r="AM146" s="80"/>
      <c r="AN146" s="79"/>
      <c r="AO146" s="80"/>
      <c r="AP146" s="80"/>
      <c r="AQ146" s="80"/>
      <c r="AR146" s="85"/>
      <c r="AS146" s="85"/>
      <c r="AT146" s="85"/>
      <c r="AU146" s="85"/>
      <c r="AV146" s="85"/>
      <c r="AW146" s="82"/>
      <c r="AX146" s="79"/>
      <c r="AY146" s="82"/>
      <c r="AZ146" s="82"/>
      <c r="BA146" s="86"/>
      <c r="BB146" s="79"/>
      <c r="BC146" s="79"/>
      <c r="BD146" s="79"/>
      <c r="BE146" s="82"/>
      <c r="BF146" s="85"/>
      <c r="BG146" s="79"/>
      <c r="BH146" s="79"/>
      <c r="BI146" s="79"/>
      <c r="BJ146" s="88"/>
      <c r="BK146" s="88"/>
      <c r="BL146" s="79"/>
      <c r="BM146" s="185"/>
      <c r="BN146" s="90"/>
      <c r="BO146" s="80"/>
      <c r="BP146" s="80"/>
      <c r="BQ146" s="80"/>
      <c r="BR146" s="80"/>
      <c r="BS146" s="80"/>
      <c r="BT146" s="80"/>
      <c r="BU146" s="80"/>
      <c r="BV146" s="80"/>
      <c r="BW146" s="82"/>
      <c r="BX146" s="79"/>
      <c r="BY146" s="79"/>
      <c r="BZ146" s="79"/>
      <c r="CA146" s="79"/>
      <c r="CB146" s="79"/>
      <c r="CC146" s="82"/>
      <c r="CD146" s="82"/>
      <c r="CE146" s="82"/>
      <c r="CF146" s="82"/>
      <c r="CG146" s="82"/>
      <c r="CH146" s="82"/>
      <c r="CI146" s="82"/>
      <c r="CJ146" s="79"/>
      <c r="CK146" s="79"/>
      <c r="CL146" s="79"/>
      <c r="CM146" s="79"/>
      <c r="CN146" s="79"/>
      <c r="CO146" s="79"/>
    </row>
    <row r="147" spans="1:93">
      <c r="A147" s="98">
        <v>43</v>
      </c>
      <c r="B147" s="178" t="s">
        <v>898</v>
      </c>
      <c r="C147" s="188" t="s">
        <v>908</v>
      </c>
      <c r="D147" s="47" t="s">
        <v>931</v>
      </c>
      <c r="E147" s="126"/>
      <c r="F147" s="154" t="s">
        <v>965</v>
      </c>
      <c r="G147" s="167">
        <v>1</v>
      </c>
      <c r="H147" s="167"/>
      <c r="I147" s="170"/>
      <c r="J147" s="155"/>
      <c r="K147" s="156"/>
      <c r="L147" s="157"/>
      <c r="M147" s="157"/>
      <c r="N147" s="183"/>
      <c r="O147" s="177" t="s">
        <v>919</v>
      </c>
      <c r="P147" s="145"/>
      <c r="Q147" s="141"/>
      <c r="R147" s="190"/>
      <c r="S147" s="83"/>
      <c r="T147" s="87"/>
      <c r="U147" s="87"/>
      <c r="V147" s="87"/>
      <c r="W147" s="44"/>
      <c r="X147" s="88"/>
      <c r="Y147" s="79"/>
      <c r="Z147" s="79"/>
      <c r="AA147" s="79"/>
      <c r="AB147" s="79"/>
      <c r="AC147" s="86"/>
      <c r="AD147" s="82"/>
      <c r="AE147" s="79"/>
      <c r="AF147" s="88"/>
      <c r="AG147" s="80"/>
      <c r="AH147" s="79"/>
      <c r="AI147" s="79"/>
      <c r="AJ147" s="79"/>
      <c r="AK147" s="80"/>
      <c r="AL147" s="80"/>
      <c r="AM147" s="80"/>
      <c r="AN147" s="79"/>
      <c r="AO147" s="80"/>
      <c r="AP147" s="80"/>
      <c r="AQ147" s="80"/>
      <c r="AR147" s="85"/>
      <c r="AS147" s="85"/>
      <c r="AT147" s="85"/>
      <c r="AU147" s="85"/>
      <c r="AV147" s="85"/>
      <c r="AW147" s="82"/>
      <c r="AX147" s="79"/>
      <c r="AY147" s="82"/>
      <c r="AZ147" s="82"/>
      <c r="BA147" s="86"/>
      <c r="BB147" s="79"/>
      <c r="BC147" s="79"/>
      <c r="BD147" s="79"/>
      <c r="BE147" s="82"/>
      <c r="BF147" s="85"/>
      <c r="BG147" s="79"/>
      <c r="BH147" s="79"/>
      <c r="BI147" s="79"/>
      <c r="BJ147" s="88"/>
      <c r="BK147" s="88"/>
      <c r="BL147" s="79"/>
      <c r="BM147" s="185"/>
      <c r="BN147" s="90"/>
      <c r="BO147" s="80"/>
      <c r="BP147" s="80"/>
      <c r="BQ147" s="80"/>
      <c r="BR147" s="80"/>
      <c r="BS147" s="80"/>
      <c r="BT147" s="80"/>
      <c r="BU147" s="80"/>
      <c r="BV147" s="80"/>
      <c r="BW147" s="82"/>
      <c r="BX147" s="79"/>
      <c r="BY147" s="79"/>
      <c r="BZ147" s="79"/>
      <c r="CA147" s="79"/>
      <c r="CB147" s="79"/>
      <c r="CC147" s="82"/>
      <c r="CD147" s="82"/>
      <c r="CE147" s="82"/>
      <c r="CF147" s="82"/>
      <c r="CG147" s="82"/>
      <c r="CH147" s="82"/>
      <c r="CI147" s="82"/>
      <c r="CJ147" s="79"/>
      <c r="CK147" s="79"/>
      <c r="CL147" s="79"/>
      <c r="CM147" s="79"/>
      <c r="CN147" s="79"/>
      <c r="CO147" s="79"/>
    </row>
    <row r="148" spans="1:93" ht="26.4">
      <c r="A148" s="98">
        <v>44</v>
      </c>
      <c r="B148" s="319" t="s">
        <v>899</v>
      </c>
      <c r="C148" s="188" t="s">
        <v>872</v>
      </c>
      <c r="D148" s="47" t="s">
        <v>932</v>
      </c>
      <c r="E148" s="126"/>
      <c r="F148" s="154" t="s">
        <v>965</v>
      </c>
      <c r="G148" s="167">
        <v>1</v>
      </c>
      <c r="H148" s="167"/>
      <c r="I148" s="170"/>
      <c r="J148" s="155"/>
      <c r="K148" s="156"/>
      <c r="L148" s="157"/>
      <c r="M148" s="157"/>
      <c r="N148" s="183"/>
      <c r="O148" s="177" t="s">
        <v>920</v>
      </c>
      <c r="P148" s="145"/>
      <c r="Q148" s="141"/>
      <c r="R148" s="190"/>
      <c r="S148" s="83"/>
      <c r="T148" s="87"/>
      <c r="U148" s="87"/>
      <c r="V148" s="87"/>
      <c r="W148" s="44"/>
      <c r="X148" s="88"/>
      <c r="Y148" s="79"/>
      <c r="Z148" s="79"/>
      <c r="AA148" s="79"/>
      <c r="AB148" s="79"/>
      <c r="AC148" s="86"/>
      <c r="AD148" s="82"/>
      <c r="AE148" s="79"/>
      <c r="AF148" s="88"/>
      <c r="AG148" s="80"/>
      <c r="AH148" s="79"/>
      <c r="AI148" s="79"/>
      <c r="AJ148" s="79"/>
      <c r="AK148" s="80"/>
      <c r="AL148" s="80"/>
      <c r="AM148" s="80"/>
      <c r="AN148" s="79"/>
      <c r="AO148" s="80"/>
      <c r="AP148" s="80"/>
      <c r="AQ148" s="80"/>
      <c r="AR148" s="85"/>
      <c r="AS148" s="85"/>
      <c r="AT148" s="85"/>
      <c r="AU148" s="85"/>
      <c r="AV148" s="85"/>
      <c r="AW148" s="82"/>
      <c r="AX148" s="79"/>
      <c r="AY148" s="82"/>
      <c r="AZ148" s="82"/>
      <c r="BA148" s="86"/>
      <c r="BB148" s="79"/>
      <c r="BC148" s="79"/>
      <c r="BD148" s="79"/>
      <c r="BE148" s="82"/>
      <c r="BF148" s="85"/>
      <c r="BG148" s="79"/>
      <c r="BH148" s="79"/>
      <c r="BI148" s="79"/>
      <c r="BJ148" s="88"/>
      <c r="BK148" s="88"/>
      <c r="BL148" s="79"/>
      <c r="BM148" s="185"/>
      <c r="BN148" s="90"/>
      <c r="BO148" s="80"/>
      <c r="BP148" s="80"/>
      <c r="BQ148" s="80"/>
      <c r="BR148" s="80"/>
      <c r="BS148" s="80"/>
      <c r="BT148" s="80"/>
      <c r="BU148" s="80"/>
      <c r="BV148" s="80"/>
      <c r="BW148" s="82"/>
      <c r="BX148" s="79"/>
      <c r="BY148" s="79"/>
      <c r="BZ148" s="79"/>
      <c r="CA148" s="79"/>
      <c r="CB148" s="79"/>
      <c r="CC148" s="82"/>
      <c r="CD148" s="82"/>
      <c r="CE148" s="82"/>
      <c r="CF148" s="82"/>
      <c r="CG148" s="82"/>
      <c r="CH148" s="82"/>
      <c r="CI148" s="82"/>
      <c r="CJ148" s="79"/>
      <c r="CK148" s="79"/>
      <c r="CL148" s="79"/>
      <c r="CM148" s="79"/>
      <c r="CN148" s="79"/>
      <c r="CO148" s="79"/>
    </row>
    <row r="149" spans="1:93">
      <c r="A149" s="98">
        <v>45</v>
      </c>
      <c r="B149" s="178" t="s">
        <v>900</v>
      </c>
      <c r="C149" s="188" t="s">
        <v>872</v>
      </c>
      <c r="D149" s="47" t="s">
        <v>933</v>
      </c>
      <c r="E149" s="126"/>
      <c r="F149" s="154" t="s">
        <v>965</v>
      </c>
      <c r="G149" s="167">
        <v>1</v>
      </c>
      <c r="H149" s="167"/>
      <c r="I149" s="170"/>
      <c r="J149" s="155"/>
      <c r="K149" s="156"/>
      <c r="L149" s="157"/>
      <c r="M149" s="157"/>
      <c r="N149" s="183"/>
      <c r="O149" s="177">
        <v>6355706710</v>
      </c>
      <c r="P149" s="145"/>
      <c r="Q149" s="141"/>
      <c r="R149" s="190"/>
      <c r="S149" s="83"/>
      <c r="T149" s="87"/>
      <c r="U149" s="87"/>
      <c r="V149" s="87"/>
      <c r="W149" s="44"/>
      <c r="X149" s="88"/>
      <c r="Y149" s="79"/>
      <c r="Z149" s="79"/>
      <c r="AA149" s="79"/>
      <c r="AB149" s="79"/>
      <c r="AC149" s="86"/>
      <c r="AD149" s="82"/>
      <c r="AE149" s="79"/>
      <c r="AF149" s="88"/>
      <c r="AG149" s="80"/>
      <c r="AH149" s="79"/>
      <c r="AI149" s="79"/>
      <c r="AJ149" s="79"/>
      <c r="AK149" s="80"/>
      <c r="AL149" s="80"/>
      <c r="AM149" s="80"/>
      <c r="AN149" s="79"/>
      <c r="AO149" s="80"/>
      <c r="AP149" s="80"/>
      <c r="AQ149" s="80"/>
      <c r="AR149" s="85"/>
      <c r="AS149" s="85"/>
      <c r="AT149" s="85"/>
      <c r="AU149" s="85"/>
      <c r="AV149" s="85"/>
      <c r="AW149" s="82"/>
      <c r="AX149" s="79"/>
      <c r="AY149" s="82"/>
      <c r="AZ149" s="82"/>
      <c r="BA149" s="86"/>
      <c r="BB149" s="79"/>
      <c r="BC149" s="79"/>
      <c r="BD149" s="79"/>
      <c r="BE149" s="82"/>
      <c r="BF149" s="85"/>
      <c r="BG149" s="79"/>
      <c r="BH149" s="79"/>
      <c r="BI149" s="79"/>
      <c r="BJ149" s="88"/>
      <c r="BK149" s="88"/>
      <c r="BL149" s="79"/>
      <c r="BM149" s="185"/>
      <c r="BN149" s="90"/>
      <c r="BO149" s="80"/>
      <c r="BP149" s="80"/>
      <c r="BQ149" s="80"/>
      <c r="BR149" s="80"/>
      <c r="BS149" s="80"/>
      <c r="BT149" s="80"/>
      <c r="BU149" s="80"/>
      <c r="BV149" s="80"/>
      <c r="BW149" s="82"/>
      <c r="BX149" s="79"/>
      <c r="BY149" s="79"/>
      <c r="BZ149" s="79"/>
      <c r="CA149" s="79"/>
      <c r="CB149" s="79"/>
      <c r="CC149" s="82"/>
      <c r="CD149" s="82"/>
      <c r="CE149" s="82"/>
      <c r="CF149" s="82"/>
      <c r="CG149" s="82"/>
      <c r="CH149" s="82"/>
      <c r="CI149" s="82"/>
      <c r="CJ149" s="79"/>
      <c r="CK149" s="79"/>
      <c r="CL149" s="79"/>
      <c r="CM149" s="79"/>
      <c r="CN149" s="79"/>
      <c r="CO149" s="79"/>
    </row>
    <row r="150" spans="1:93" ht="15.6">
      <c r="A150" s="98">
        <v>46</v>
      </c>
      <c r="B150" s="178" t="s">
        <v>903</v>
      </c>
      <c r="C150" s="188" t="s">
        <v>909</v>
      </c>
      <c r="D150" s="47" t="s">
        <v>934</v>
      </c>
      <c r="E150" s="126"/>
      <c r="F150" s="154" t="s">
        <v>965</v>
      </c>
      <c r="G150" s="167">
        <v>1</v>
      </c>
      <c r="H150" s="433"/>
      <c r="I150" s="170"/>
      <c r="J150" s="155"/>
      <c r="K150" s="156"/>
      <c r="L150" s="157"/>
      <c r="M150" s="157"/>
      <c r="N150" s="183"/>
      <c r="O150" s="177" t="s">
        <v>922</v>
      </c>
      <c r="P150" s="145"/>
      <c r="Q150" s="141"/>
      <c r="R150" s="190"/>
      <c r="S150" s="83"/>
      <c r="T150" s="87"/>
      <c r="U150" s="87"/>
      <c r="V150" s="87"/>
      <c r="W150" s="44"/>
      <c r="X150" s="88"/>
      <c r="Y150" s="79"/>
      <c r="Z150" s="79"/>
      <c r="AA150" s="79"/>
      <c r="AB150" s="79"/>
      <c r="AC150" s="86"/>
      <c r="AD150" s="82"/>
      <c r="AE150" s="79"/>
      <c r="AF150" s="88"/>
      <c r="AG150" s="80"/>
      <c r="AH150" s="79"/>
      <c r="AI150" s="79"/>
      <c r="AJ150" s="79"/>
      <c r="AK150" s="80"/>
      <c r="AL150" s="80"/>
      <c r="AM150" s="80"/>
      <c r="AN150" s="79"/>
      <c r="AO150" s="80"/>
      <c r="AP150" s="80"/>
      <c r="AQ150" s="80"/>
      <c r="AR150" s="85"/>
      <c r="AS150" s="85"/>
      <c r="AT150" s="85"/>
      <c r="AU150" s="85"/>
      <c r="AV150" s="85"/>
      <c r="AW150" s="82"/>
      <c r="AX150" s="79"/>
      <c r="AY150" s="82"/>
      <c r="AZ150" s="82"/>
      <c r="BA150" s="86"/>
      <c r="BB150" s="79"/>
      <c r="BC150" s="79"/>
      <c r="BD150" s="79"/>
      <c r="BE150" s="82"/>
      <c r="BF150" s="85"/>
      <c r="BG150" s="79"/>
      <c r="BH150" s="79"/>
      <c r="BI150" s="79"/>
      <c r="BJ150" s="88"/>
      <c r="BK150" s="88"/>
      <c r="BL150" s="79"/>
      <c r="BM150" s="185"/>
      <c r="BN150" s="90"/>
      <c r="BO150" s="80"/>
      <c r="BP150" s="80"/>
      <c r="BQ150" s="80"/>
      <c r="BR150" s="80"/>
      <c r="BS150" s="80"/>
      <c r="BT150" s="80"/>
      <c r="BU150" s="80"/>
      <c r="BV150" s="80"/>
      <c r="BW150" s="82"/>
      <c r="BX150" s="79"/>
      <c r="BY150" s="79"/>
      <c r="BZ150" s="79"/>
      <c r="CA150" s="79"/>
      <c r="CB150" s="79"/>
      <c r="CC150" s="82"/>
      <c r="CD150" s="82"/>
      <c r="CE150" s="82"/>
      <c r="CF150" s="82"/>
      <c r="CG150" s="82"/>
      <c r="CH150" s="82"/>
      <c r="CI150" s="82"/>
      <c r="CJ150" s="79"/>
      <c r="CK150" s="79"/>
      <c r="CL150" s="79"/>
      <c r="CM150" s="79"/>
      <c r="CN150" s="79"/>
      <c r="CO150" s="79"/>
    </row>
    <row r="151" spans="1:93">
      <c r="A151" s="98">
        <v>47</v>
      </c>
      <c r="B151" s="178" t="s">
        <v>904</v>
      </c>
      <c r="C151" s="188" t="s">
        <v>881</v>
      </c>
      <c r="D151" s="47" t="s">
        <v>935</v>
      </c>
      <c r="E151" s="126"/>
      <c r="F151" s="154" t="s">
        <v>965</v>
      </c>
      <c r="G151" s="167"/>
      <c r="H151" s="167">
        <v>1</v>
      </c>
      <c r="I151" s="170"/>
      <c r="J151" s="155"/>
      <c r="K151" s="156"/>
      <c r="L151" s="157"/>
      <c r="M151" s="157"/>
      <c r="N151" s="183"/>
      <c r="O151" s="177">
        <v>2717764750</v>
      </c>
      <c r="P151" s="145"/>
      <c r="Q151" s="141"/>
      <c r="R151" s="190"/>
      <c r="S151" s="83"/>
      <c r="T151" s="87"/>
      <c r="U151" s="87"/>
      <c r="V151" s="87"/>
      <c r="W151" s="44"/>
      <c r="X151" s="88"/>
      <c r="Y151" s="79"/>
      <c r="Z151" s="79"/>
      <c r="AA151" s="79"/>
      <c r="AB151" s="79"/>
      <c r="AC151" s="86"/>
      <c r="AD151" s="82"/>
      <c r="AE151" s="79"/>
      <c r="AF151" s="88"/>
      <c r="AG151" s="80"/>
      <c r="AH151" s="79"/>
      <c r="AI151" s="79"/>
      <c r="AJ151" s="79"/>
      <c r="AK151" s="80"/>
      <c r="AL151" s="80"/>
      <c r="AM151" s="80"/>
      <c r="AN151" s="79"/>
      <c r="AO151" s="80"/>
      <c r="AP151" s="80"/>
      <c r="AQ151" s="80"/>
      <c r="AR151" s="85"/>
      <c r="AS151" s="85"/>
      <c r="AT151" s="85"/>
      <c r="AU151" s="85"/>
      <c r="AV151" s="85"/>
      <c r="AW151" s="82"/>
      <c r="AX151" s="79"/>
      <c r="AY151" s="82"/>
      <c r="AZ151" s="82"/>
      <c r="BA151" s="86"/>
      <c r="BB151" s="79"/>
      <c r="BC151" s="79"/>
      <c r="BD151" s="79"/>
      <c r="BE151" s="82"/>
      <c r="BF151" s="85"/>
      <c r="BG151" s="79"/>
      <c r="BH151" s="79"/>
      <c r="BI151" s="79"/>
      <c r="BJ151" s="88"/>
      <c r="BK151" s="88"/>
      <c r="BL151" s="79"/>
      <c r="BM151" s="185"/>
      <c r="BN151" s="90"/>
      <c r="BO151" s="80"/>
      <c r="BP151" s="80"/>
      <c r="BQ151" s="80"/>
      <c r="BR151" s="80"/>
      <c r="BS151" s="80"/>
      <c r="BT151" s="80"/>
      <c r="BU151" s="80"/>
      <c r="BV151" s="80"/>
      <c r="BW151" s="82"/>
      <c r="BX151" s="79"/>
      <c r="BY151" s="79"/>
      <c r="BZ151" s="79"/>
      <c r="CA151" s="79"/>
      <c r="CB151" s="79"/>
      <c r="CC151" s="82"/>
      <c r="CD151" s="82"/>
      <c r="CE151" s="82"/>
      <c r="CF151" s="82"/>
      <c r="CG151" s="82"/>
      <c r="CH151" s="82"/>
      <c r="CI151" s="82"/>
      <c r="CJ151" s="79"/>
      <c r="CK151" s="79"/>
      <c r="CL151" s="79"/>
      <c r="CM151" s="79"/>
      <c r="CN151" s="79"/>
      <c r="CO151" s="79"/>
    </row>
    <row r="152" spans="1:93">
      <c r="A152" s="98">
        <v>48</v>
      </c>
      <c r="B152" s="178" t="s">
        <v>905</v>
      </c>
      <c r="C152" s="188" t="s">
        <v>910</v>
      </c>
      <c r="D152" s="47" t="s">
        <v>936</v>
      </c>
      <c r="E152" s="126"/>
      <c r="F152" s="154" t="s">
        <v>965</v>
      </c>
      <c r="G152" s="167"/>
      <c r="H152" s="167">
        <v>1</v>
      </c>
      <c r="I152" s="170"/>
      <c r="J152" s="155"/>
      <c r="K152" s="156"/>
      <c r="L152" s="157"/>
      <c r="M152" s="157"/>
      <c r="N152" s="183"/>
      <c r="O152" s="177" t="s">
        <v>923</v>
      </c>
      <c r="P152" s="145"/>
      <c r="Q152" s="141"/>
      <c r="R152" s="190"/>
      <c r="S152" s="83"/>
      <c r="T152" s="87"/>
      <c r="U152" s="87"/>
      <c r="V152" s="87"/>
      <c r="W152" s="44"/>
      <c r="X152" s="88"/>
      <c r="Y152" s="79"/>
      <c r="Z152" s="79"/>
      <c r="AA152" s="79"/>
      <c r="AB152" s="79"/>
      <c r="AC152" s="86"/>
      <c r="AD152" s="82"/>
      <c r="AE152" s="79"/>
      <c r="AF152" s="88"/>
      <c r="AG152" s="80"/>
      <c r="AH152" s="79"/>
      <c r="AI152" s="79"/>
      <c r="AJ152" s="79"/>
      <c r="AK152" s="80"/>
      <c r="AL152" s="80"/>
      <c r="AM152" s="80"/>
      <c r="AN152" s="79"/>
      <c r="AO152" s="80"/>
      <c r="AP152" s="80"/>
      <c r="AQ152" s="80"/>
      <c r="AR152" s="85"/>
      <c r="AS152" s="85"/>
      <c r="AT152" s="85"/>
      <c r="AU152" s="85"/>
      <c r="AV152" s="85"/>
      <c r="AW152" s="82"/>
      <c r="AX152" s="79"/>
      <c r="AY152" s="82"/>
      <c r="AZ152" s="82"/>
      <c r="BA152" s="86"/>
      <c r="BB152" s="79"/>
      <c r="BC152" s="79"/>
      <c r="BD152" s="79"/>
      <c r="BE152" s="82"/>
      <c r="BF152" s="85"/>
      <c r="BG152" s="79"/>
      <c r="BH152" s="79"/>
      <c r="BI152" s="79"/>
      <c r="BJ152" s="88"/>
      <c r="BK152" s="88"/>
      <c r="BL152" s="79"/>
      <c r="BM152" s="185"/>
      <c r="BN152" s="90"/>
      <c r="BO152" s="80"/>
      <c r="BP152" s="80"/>
      <c r="BQ152" s="80"/>
      <c r="BR152" s="80"/>
      <c r="BS152" s="80"/>
      <c r="BT152" s="80"/>
      <c r="BU152" s="80"/>
      <c r="BV152" s="80"/>
      <c r="BW152" s="82"/>
      <c r="BX152" s="79"/>
      <c r="BY152" s="79"/>
      <c r="BZ152" s="79"/>
      <c r="CA152" s="79"/>
      <c r="CB152" s="79"/>
      <c r="CC152" s="82"/>
      <c r="CD152" s="82"/>
      <c r="CE152" s="82"/>
      <c r="CF152" s="82"/>
      <c r="CG152" s="82"/>
      <c r="CH152" s="82"/>
      <c r="CI152" s="82"/>
      <c r="CJ152" s="79"/>
      <c r="CK152" s="79"/>
      <c r="CL152" s="79"/>
      <c r="CM152" s="79"/>
      <c r="CN152" s="79"/>
      <c r="CO152" s="79"/>
    </row>
    <row r="153" spans="1:93">
      <c r="A153" s="98"/>
      <c r="B153" s="3278" t="s">
        <v>867</v>
      </c>
      <c r="C153" s="3279"/>
      <c r="D153" s="3279"/>
      <c r="E153" s="3279"/>
      <c r="F153" s="3279"/>
      <c r="G153" s="3279"/>
      <c r="H153" s="3280"/>
      <c r="I153" s="297"/>
      <c r="J153" s="298"/>
      <c r="K153" s="298"/>
      <c r="L153" s="299"/>
      <c r="M153" s="299"/>
      <c r="N153" s="300"/>
      <c r="O153" s="301"/>
      <c r="P153" s="302"/>
      <c r="Q153" s="303"/>
      <c r="R153" s="304"/>
      <c r="S153" s="305"/>
      <c r="T153" s="302"/>
      <c r="U153" s="302"/>
      <c r="V153" s="302"/>
      <c r="W153" s="306"/>
      <c r="X153" s="307"/>
      <c r="Y153" s="308"/>
      <c r="Z153" s="308"/>
      <c r="AA153" s="308"/>
      <c r="AB153" s="308"/>
      <c r="AC153" s="309"/>
      <c r="AD153" s="310"/>
      <c r="AE153" s="308"/>
      <c r="AF153" s="307"/>
      <c r="AG153" s="311"/>
      <c r="AH153" s="308"/>
      <c r="AI153" s="308"/>
      <c r="AJ153" s="308"/>
      <c r="AK153" s="311"/>
      <c r="AL153" s="311"/>
      <c r="AM153" s="311"/>
      <c r="AN153" s="308"/>
      <c r="AO153" s="311"/>
      <c r="AP153" s="311"/>
      <c r="AQ153" s="311"/>
      <c r="AR153" s="312"/>
      <c r="AS153" s="312"/>
      <c r="AT153" s="312"/>
      <c r="AU153" s="312"/>
      <c r="AV153" s="312"/>
      <c r="AW153" s="310"/>
      <c r="AX153" s="308"/>
      <c r="AY153" s="310"/>
      <c r="AZ153" s="310"/>
      <c r="BA153" s="313"/>
      <c r="BB153" s="308"/>
      <c r="BC153" s="308"/>
      <c r="BD153" s="308"/>
      <c r="BE153" s="310"/>
      <c r="BF153" s="312"/>
      <c r="BG153" s="308"/>
      <c r="BH153" s="308"/>
      <c r="BI153" s="308"/>
      <c r="BJ153" s="307"/>
      <c r="BK153" s="307"/>
      <c r="BL153" s="308"/>
      <c r="BM153" s="186"/>
      <c r="BN153" s="90"/>
      <c r="BO153" s="80"/>
      <c r="BP153" s="80"/>
      <c r="BQ153" s="80"/>
      <c r="BR153" s="80"/>
      <c r="BS153" s="80"/>
      <c r="BT153" s="80"/>
      <c r="BU153" s="80"/>
      <c r="BV153" s="80"/>
      <c r="BW153" s="82"/>
      <c r="BX153" s="79"/>
      <c r="BY153" s="79"/>
      <c r="BZ153" s="79"/>
      <c r="CA153" s="79"/>
      <c r="CB153" s="79"/>
      <c r="CC153" s="82"/>
      <c r="CD153" s="82"/>
      <c r="CE153" s="82"/>
      <c r="CF153" s="82"/>
      <c r="CG153" s="82"/>
      <c r="CH153" s="82"/>
      <c r="CI153" s="82"/>
      <c r="CJ153" s="79"/>
      <c r="CK153" s="79"/>
      <c r="CL153" s="79"/>
      <c r="CM153" s="79"/>
      <c r="CN153" s="79"/>
      <c r="CO153" s="79"/>
    </row>
    <row r="154" spans="1:93">
      <c r="A154" s="98">
        <v>1</v>
      </c>
      <c r="B154" s="380" t="s">
        <v>983</v>
      </c>
      <c r="C154" s="188" t="s">
        <v>966</v>
      </c>
      <c r="D154" s="47" t="s">
        <v>1023</v>
      </c>
      <c r="E154" s="126"/>
      <c r="F154" s="382" t="s">
        <v>1031</v>
      </c>
      <c r="G154" s="167">
        <v>2</v>
      </c>
      <c r="H154" s="167"/>
      <c r="I154" s="170"/>
      <c r="J154" s="155"/>
      <c r="K154" s="156"/>
      <c r="L154" s="157"/>
      <c r="M154" s="157"/>
      <c r="N154" s="183"/>
      <c r="O154" s="177" t="s">
        <v>1001</v>
      </c>
      <c r="P154" s="145"/>
      <c r="Q154" s="141"/>
      <c r="R154" s="190"/>
      <c r="S154" s="83"/>
      <c r="T154" s="87"/>
      <c r="U154" s="87"/>
      <c r="V154" s="87"/>
      <c r="W154" s="44"/>
      <c r="X154" s="88"/>
      <c r="Y154" s="79"/>
      <c r="Z154" s="79"/>
      <c r="AA154" s="79"/>
      <c r="AB154" s="79"/>
      <c r="AC154" s="86"/>
      <c r="AD154" s="82"/>
      <c r="AE154" s="79"/>
      <c r="AF154" s="88"/>
      <c r="AG154" s="80"/>
      <c r="AH154" s="79"/>
      <c r="AI154" s="79"/>
      <c r="AJ154" s="79"/>
      <c r="AK154" s="80"/>
      <c r="AL154" s="80"/>
      <c r="AM154" s="80"/>
      <c r="AN154" s="79"/>
      <c r="AO154" s="80"/>
      <c r="AP154" s="80"/>
      <c r="AQ154" s="80"/>
      <c r="AR154" s="85"/>
      <c r="AS154" s="85"/>
      <c r="AT154" s="85"/>
      <c r="AU154" s="85"/>
      <c r="AV154" s="85"/>
      <c r="AW154" s="82"/>
      <c r="AX154" s="79"/>
      <c r="AY154" s="82"/>
      <c r="AZ154" s="82"/>
      <c r="BA154" s="86"/>
      <c r="BB154" s="79"/>
      <c r="BC154" s="79"/>
      <c r="BD154" s="79"/>
      <c r="BE154" s="82"/>
      <c r="BF154" s="85"/>
      <c r="BG154" s="79"/>
      <c r="BH154" s="79"/>
      <c r="BI154" s="79"/>
      <c r="BJ154" s="88"/>
      <c r="BK154" s="88"/>
      <c r="BL154" s="79"/>
      <c r="BM154" s="185"/>
      <c r="BN154" s="90"/>
      <c r="BO154" s="80"/>
      <c r="BP154" s="80"/>
      <c r="BQ154" s="80"/>
      <c r="BR154" s="80"/>
      <c r="BS154" s="80"/>
      <c r="BT154" s="80"/>
      <c r="BU154" s="80"/>
      <c r="BV154" s="80"/>
      <c r="BW154" s="82"/>
      <c r="BX154" s="79"/>
      <c r="BY154" s="79"/>
      <c r="BZ154" s="79"/>
      <c r="CA154" s="79"/>
      <c r="CB154" s="79"/>
      <c r="CC154" s="82"/>
      <c r="CD154" s="82"/>
      <c r="CE154" s="82"/>
      <c r="CF154" s="82"/>
      <c r="CG154" s="82"/>
      <c r="CH154" s="82"/>
      <c r="CI154" s="82"/>
      <c r="CJ154" s="79"/>
      <c r="CK154" s="79"/>
      <c r="CL154" s="79"/>
      <c r="CM154" s="79"/>
      <c r="CN154" s="79"/>
      <c r="CO154" s="79"/>
    </row>
    <row r="155" spans="1:93">
      <c r="A155" s="98">
        <v>2</v>
      </c>
      <c r="B155" s="380" t="s">
        <v>984</v>
      </c>
      <c r="C155" s="188" t="s">
        <v>994</v>
      </c>
      <c r="D155" s="47" t="s">
        <v>1024</v>
      </c>
      <c r="E155" s="126"/>
      <c r="F155" s="382" t="s">
        <v>1031</v>
      </c>
      <c r="G155" s="167"/>
      <c r="H155" s="167">
        <v>1</v>
      </c>
      <c r="I155" s="170"/>
      <c r="J155" s="155"/>
      <c r="K155" s="156"/>
      <c r="L155" s="157"/>
      <c r="M155" s="157"/>
      <c r="N155" s="183"/>
      <c r="O155" s="177" t="s">
        <v>1002</v>
      </c>
      <c r="P155" s="145"/>
      <c r="Q155" s="141"/>
      <c r="R155" s="190"/>
      <c r="S155" s="83"/>
      <c r="T155" s="87"/>
      <c r="U155" s="87"/>
      <c r="V155" s="87"/>
      <c r="W155" s="44"/>
      <c r="X155" s="88"/>
      <c r="Y155" s="79"/>
      <c r="Z155" s="79"/>
      <c r="AA155" s="79"/>
      <c r="AB155" s="79"/>
      <c r="AC155" s="86"/>
      <c r="AD155" s="82"/>
      <c r="AE155" s="79"/>
      <c r="AF155" s="88"/>
      <c r="AG155" s="80"/>
      <c r="AH155" s="79"/>
      <c r="AI155" s="79"/>
      <c r="AJ155" s="79"/>
      <c r="AK155" s="80"/>
      <c r="AL155" s="80"/>
      <c r="AM155" s="80"/>
      <c r="AN155" s="79"/>
      <c r="AO155" s="80"/>
      <c r="AP155" s="80"/>
      <c r="AQ155" s="80"/>
      <c r="AR155" s="85"/>
      <c r="AS155" s="85"/>
      <c r="AT155" s="85"/>
      <c r="AU155" s="85"/>
      <c r="AV155" s="85"/>
      <c r="AW155" s="82"/>
      <c r="AX155" s="79"/>
      <c r="AY155" s="82"/>
      <c r="AZ155" s="82"/>
      <c r="BA155" s="86"/>
      <c r="BB155" s="79"/>
      <c r="BC155" s="79"/>
      <c r="BD155" s="79"/>
      <c r="BE155" s="82"/>
      <c r="BF155" s="85"/>
      <c r="BG155" s="79"/>
      <c r="BH155" s="79"/>
      <c r="BI155" s="79"/>
      <c r="BJ155" s="88"/>
      <c r="BK155" s="88"/>
      <c r="BL155" s="79"/>
      <c r="BM155" s="185"/>
      <c r="BN155" s="90"/>
      <c r="BO155" s="80"/>
      <c r="BP155" s="80"/>
      <c r="BQ155" s="80"/>
      <c r="BR155" s="80"/>
      <c r="BS155" s="80"/>
      <c r="BT155" s="80"/>
      <c r="BU155" s="80"/>
      <c r="BV155" s="80"/>
      <c r="BW155" s="82"/>
      <c r="BX155" s="79"/>
      <c r="BY155" s="79"/>
      <c r="BZ155" s="79"/>
      <c r="CA155" s="79"/>
      <c r="CB155" s="79"/>
      <c r="CC155" s="82"/>
      <c r="CD155" s="82"/>
      <c r="CE155" s="82"/>
      <c r="CF155" s="82"/>
      <c r="CG155" s="82"/>
      <c r="CH155" s="82"/>
      <c r="CI155" s="82"/>
      <c r="CJ155" s="79"/>
      <c r="CK155" s="79"/>
      <c r="CL155" s="79"/>
      <c r="CM155" s="79"/>
      <c r="CN155" s="79"/>
      <c r="CO155" s="79"/>
    </row>
    <row r="156" spans="1:93">
      <c r="A156" s="98">
        <v>3</v>
      </c>
      <c r="B156" s="380" t="s">
        <v>985</v>
      </c>
      <c r="C156" s="188" t="s">
        <v>994</v>
      </c>
      <c r="D156" s="47" t="s">
        <v>1025</v>
      </c>
      <c r="E156" s="126"/>
      <c r="F156" s="382" t="s">
        <v>1031</v>
      </c>
      <c r="G156" s="167"/>
      <c r="H156" s="167">
        <v>1</v>
      </c>
      <c r="I156" s="170"/>
      <c r="J156" s="155"/>
      <c r="K156" s="156"/>
      <c r="L156" s="157"/>
      <c r="M156" s="157"/>
      <c r="N156" s="183"/>
      <c r="O156" s="177">
        <v>609444275</v>
      </c>
      <c r="P156" s="145"/>
      <c r="Q156" s="141"/>
      <c r="R156" s="190"/>
      <c r="S156" s="83"/>
      <c r="T156" s="87"/>
      <c r="U156" s="87"/>
      <c r="V156" s="87"/>
      <c r="W156" s="44"/>
      <c r="X156" s="88"/>
      <c r="Y156" s="79"/>
      <c r="Z156" s="79"/>
      <c r="AA156" s="79"/>
      <c r="AB156" s="79"/>
      <c r="AC156" s="86"/>
      <c r="AD156" s="82"/>
      <c r="AE156" s="79"/>
      <c r="AF156" s="88"/>
      <c r="AG156" s="80"/>
      <c r="AH156" s="79"/>
      <c r="AI156" s="79"/>
      <c r="AJ156" s="79"/>
      <c r="AK156" s="80"/>
      <c r="AL156" s="80"/>
      <c r="AM156" s="80"/>
      <c r="AN156" s="79"/>
      <c r="AO156" s="80"/>
      <c r="AP156" s="80"/>
      <c r="AQ156" s="80"/>
      <c r="AR156" s="85"/>
      <c r="AS156" s="85"/>
      <c r="AT156" s="85"/>
      <c r="AU156" s="85"/>
      <c r="AV156" s="85"/>
      <c r="AW156" s="82"/>
      <c r="AX156" s="79"/>
      <c r="AY156" s="82"/>
      <c r="AZ156" s="82"/>
      <c r="BA156" s="86"/>
      <c r="BB156" s="79"/>
      <c r="BC156" s="79"/>
      <c r="BD156" s="79"/>
      <c r="BE156" s="82"/>
      <c r="BF156" s="85"/>
      <c r="BG156" s="79"/>
      <c r="BH156" s="79"/>
      <c r="BI156" s="79"/>
      <c r="BJ156" s="88"/>
      <c r="BK156" s="88"/>
      <c r="BL156" s="79"/>
      <c r="BM156" s="185"/>
      <c r="BN156" s="90"/>
      <c r="BO156" s="80"/>
      <c r="BP156" s="80"/>
      <c r="BQ156" s="80"/>
      <c r="BR156" s="80"/>
      <c r="BS156" s="80"/>
      <c r="BT156" s="80"/>
      <c r="BU156" s="80"/>
      <c r="BV156" s="80"/>
      <c r="BW156" s="82"/>
      <c r="BX156" s="79"/>
      <c r="BY156" s="79"/>
      <c r="BZ156" s="79"/>
      <c r="CA156" s="79"/>
      <c r="CB156" s="79"/>
      <c r="CC156" s="82"/>
      <c r="CD156" s="82"/>
      <c r="CE156" s="82"/>
      <c r="CF156" s="82"/>
      <c r="CG156" s="82"/>
      <c r="CH156" s="82"/>
      <c r="CI156" s="82"/>
      <c r="CJ156" s="79"/>
      <c r="CK156" s="79"/>
      <c r="CL156" s="79"/>
      <c r="CM156" s="79"/>
      <c r="CN156" s="79"/>
      <c r="CO156" s="79"/>
    </row>
    <row r="157" spans="1:93">
      <c r="A157" s="98">
        <v>4</v>
      </c>
      <c r="B157" s="380" t="s">
        <v>986</v>
      </c>
      <c r="C157" s="188">
        <v>45050</v>
      </c>
      <c r="D157" s="47" t="s">
        <v>1026</v>
      </c>
      <c r="E157" s="126"/>
      <c r="F157" s="382" t="s">
        <v>1031</v>
      </c>
      <c r="G157" s="167">
        <v>1</v>
      </c>
      <c r="H157" s="167"/>
      <c r="I157" s="170"/>
      <c r="J157" s="155"/>
      <c r="K157" s="156"/>
      <c r="L157" s="157"/>
      <c r="M157" s="157"/>
      <c r="N157" s="183"/>
      <c r="O157" s="177" t="s">
        <v>1003</v>
      </c>
      <c r="P157" s="145"/>
      <c r="Q157" s="141"/>
      <c r="R157" s="190"/>
      <c r="S157" s="83"/>
      <c r="T157" s="87"/>
      <c r="U157" s="87"/>
      <c r="V157" s="87"/>
      <c r="W157" s="44"/>
      <c r="X157" s="88"/>
      <c r="Y157" s="79"/>
      <c r="Z157" s="79"/>
      <c r="AA157" s="79"/>
      <c r="AB157" s="79"/>
      <c r="AC157" s="86"/>
      <c r="AD157" s="82"/>
      <c r="AE157" s="79"/>
      <c r="AF157" s="88"/>
      <c r="AG157" s="80"/>
      <c r="AH157" s="79"/>
      <c r="AI157" s="79"/>
      <c r="AJ157" s="79"/>
      <c r="AK157" s="80"/>
      <c r="AL157" s="80"/>
      <c r="AM157" s="80"/>
      <c r="AN157" s="79"/>
      <c r="AO157" s="80"/>
      <c r="AP157" s="80"/>
      <c r="AQ157" s="80"/>
      <c r="AR157" s="85"/>
      <c r="AS157" s="85"/>
      <c r="AT157" s="85"/>
      <c r="AU157" s="85"/>
      <c r="AV157" s="85"/>
      <c r="AW157" s="82"/>
      <c r="AX157" s="79"/>
      <c r="AY157" s="82"/>
      <c r="AZ157" s="82"/>
      <c r="BA157" s="86"/>
      <c r="BB157" s="79"/>
      <c r="BC157" s="79"/>
      <c r="BD157" s="79"/>
      <c r="BE157" s="82"/>
      <c r="BF157" s="85"/>
      <c r="BG157" s="79"/>
      <c r="BH157" s="79"/>
      <c r="BI157" s="79"/>
      <c r="BJ157" s="88"/>
      <c r="BK157" s="88"/>
      <c r="BL157" s="79"/>
      <c r="BM157" s="185"/>
      <c r="BN157" s="90"/>
      <c r="BO157" s="80"/>
      <c r="BP157" s="80"/>
      <c r="BQ157" s="80"/>
      <c r="BR157" s="80"/>
      <c r="BS157" s="80"/>
      <c r="BT157" s="80"/>
      <c r="BU157" s="80"/>
      <c r="BV157" s="80"/>
      <c r="BW157" s="82"/>
      <c r="BX157" s="79"/>
      <c r="BY157" s="79"/>
      <c r="BZ157" s="79"/>
      <c r="CA157" s="79"/>
      <c r="CB157" s="79"/>
      <c r="CC157" s="82"/>
      <c r="CD157" s="82"/>
      <c r="CE157" s="82"/>
      <c r="CF157" s="82"/>
      <c r="CG157" s="82"/>
      <c r="CH157" s="82"/>
      <c r="CI157" s="82"/>
      <c r="CJ157" s="79"/>
      <c r="CK157" s="79"/>
      <c r="CL157" s="79"/>
      <c r="CM157" s="79"/>
      <c r="CN157" s="79"/>
      <c r="CO157" s="79"/>
    </row>
    <row r="158" spans="1:93">
      <c r="A158" s="98">
        <v>5</v>
      </c>
      <c r="B158" s="380" t="s">
        <v>987</v>
      </c>
      <c r="C158" s="188">
        <v>45050</v>
      </c>
      <c r="D158" s="47" t="s">
        <v>1027</v>
      </c>
      <c r="E158" s="126"/>
      <c r="F158" s="382" t="s">
        <v>1031</v>
      </c>
      <c r="G158" s="167">
        <v>3</v>
      </c>
      <c r="H158" s="167"/>
      <c r="I158" s="170"/>
      <c r="J158" s="155"/>
      <c r="K158" s="156"/>
      <c r="L158" s="157"/>
      <c r="M158" s="157"/>
      <c r="N158" s="183"/>
      <c r="O158" s="177" t="s">
        <v>1004</v>
      </c>
      <c r="P158" s="145"/>
      <c r="Q158" s="141"/>
      <c r="R158" s="190"/>
      <c r="S158" s="83"/>
      <c r="T158" s="87"/>
      <c r="U158" s="87"/>
      <c r="V158" s="87"/>
      <c r="W158" s="44"/>
      <c r="X158" s="88"/>
      <c r="Y158" s="79"/>
      <c r="Z158" s="79"/>
      <c r="AA158" s="79"/>
      <c r="AB158" s="79"/>
      <c r="AC158" s="86"/>
      <c r="AD158" s="82"/>
      <c r="AE158" s="79"/>
      <c r="AF158" s="88"/>
      <c r="AG158" s="80"/>
      <c r="AH158" s="79"/>
      <c r="AI158" s="79"/>
      <c r="AJ158" s="79"/>
      <c r="AK158" s="80"/>
      <c r="AL158" s="80"/>
      <c r="AM158" s="80"/>
      <c r="AN158" s="79"/>
      <c r="AO158" s="80"/>
      <c r="AP158" s="80"/>
      <c r="AQ158" s="80"/>
      <c r="AR158" s="85"/>
      <c r="AS158" s="85"/>
      <c r="AT158" s="85"/>
      <c r="AU158" s="85"/>
      <c r="AV158" s="85"/>
      <c r="AW158" s="82"/>
      <c r="AX158" s="79"/>
      <c r="AY158" s="82"/>
      <c r="AZ158" s="82"/>
      <c r="BA158" s="86"/>
      <c r="BB158" s="79"/>
      <c r="BC158" s="79"/>
      <c r="BD158" s="79"/>
      <c r="BE158" s="82"/>
      <c r="BF158" s="85"/>
      <c r="BG158" s="79"/>
      <c r="BH158" s="79"/>
      <c r="BI158" s="79"/>
      <c r="BJ158" s="88"/>
      <c r="BK158" s="88"/>
      <c r="BL158" s="79"/>
      <c r="BM158" s="185"/>
      <c r="BN158" s="90"/>
      <c r="BO158" s="80"/>
      <c r="BP158" s="80"/>
      <c r="BQ158" s="80"/>
      <c r="BR158" s="80"/>
      <c r="BS158" s="80"/>
      <c r="BT158" s="80"/>
      <c r="BU158" s="80"/>
      <c r="BV158" s="80"/>
      <c r="BW158" s="82"/>
      <c r="BX158" s="79"/>
      <c r="BY158" s="79"/>
      <c r="BZ158" s="79"/>
      <c r="CA158" s="79"/>
      <c r="CB158" s="79"/>
      <c r="CC158" s="82"/>
      <c r="CD158" s="82"/>
      <c r="CE158" s="82"/>
      <c r="CF158" s="82"/>
      <c r="CG158" s="82"/>
      <c r="CH158" s="82"/>
      <c r="CI158" s="82"/>
      <c r="CJ158" s="79"/>
      <c r="CK158" s="79"/>
      <c r="CL158" s="79"/>
      <c r="CM158" s="79"/>
      <c r="CN158" s="79"/>
      <c r="CO158" s="79"/>
    </row>
    <row r="159" spans="1:93">
      <c r="A159" s="98">
        <v>6</v>
      </c>
      <c r="B159" s="380" t="s">
        <v>997</v>
      </c>
      <c r="C159" s="188">
        <v>45055</v>
      </c>
      <c r="D159" s="47" t="s">
        <v>1028</v>
      </c>
      <c r="E159" s="126"/>
      <c r="F159" s="382" t="s">
        <v>1031</v>
      </c>
      <c r="G159" s="167">
        <v>2</v>
      </c>
      <c r="H159" s="167"/>
      <c r="I159" s="170"/>
      <c r="J159" s="155"/>
      <c r="K159" s="156"/>
      <c r="L159" s="157"/>
      <c r="M159" s="157"/>
      <c r="N159" s="183"/>
      <c r="O159" s="177" t="s">
        <v>1011</v>
      </c>
      <c r="P159" s="145"/>
      <c r="Q159" s="141"/>
      <c r="R159" s="190"/>
      <c r="S159" s="83"/>
      <c r="T159" s="87"/>
      <c r="U159" s="87"/>
      <c r="V159" s="87"/>
      <c r="W159" s="44"/>
      <c r="X159" s="88"/>
      <c r="Y159" s="79"/>
      <c r="Z159" s="79"/>
      <c r="AA159" s="79"/>
      <c r="AB159" s="79"/>
      <c r="AC159" s="86"/>
      <c r="AD159" s="82"/>
      <c r="AE159" s="79"/>
      <c r="AF159" s="88"/>
      <c r="AG159" s="80"/>
      <c r="AH159" s="79"/>
      <c r="AI159" s="79"/>
      <c r="AJ159" s="79"/>
      <c r="AK159" s="80"/>
      <c r="AL159" s="80"/>
      <c r="AM159" s="80"/>
      <c r="AN159" s="79"/>
      <c r="AO159" s="80"/>
      <c r="AP159" s="80"/>
      <c r="AQ159" s="80"/>
      <c r="AR159" s="85"/>
      <c r="AS159" s="85"/>
      <c r="AT159" s="85"/>
      <c r="AU159" s="85"/>
      <c r="AV159" s="85"/>
      <c r="AW159" s="82"/>
      <c r="AX159" s="79"/>
      <c r="AY159" s="82"/>
      <c r="AZ159" s="82"/>
      <c r="BA159" s="86"/>
      <c r="BB159" s="79"/>
      <c r="BC159" s="79"/>
      <c r="BD159" s="79"/>
      <c r="BE159" s="82"/>
      <c r="BF159" s="85"/>
      <c r="BG159" s="79"/>
      <c r="BH159" s="79"/>
      <c r="BI159" s="79"/>
      <c r="BJ159" s="88"/>
      <c r="BK159" s="88"/>
      <c r="BL159" s="79"/>
      <c r="BM159" s="185"/>
      <c r="BN159" s="90"/>
      <c r="BO159" s="80"/>
      <c r="BP159" s="80"/>
      <c r="BQ159" s="80"/>
      <c r="BR159" s="80"/>
      <c r="BS159" s="80"/>
      <c r="BT159" s="80"/>
      <c r="BU159" s="80"/>
      <c r="BV159" s="80"/>
      <c r="BW159" s="82"/>
      <c r="BX159" s="79"/>
      <c r="BY159" s="79"/>
      <c r="BZ159" s="79"/>
      <c r="CA159" s="79"/>
      <c r="CB159" s="79"/>
      <c r="CC159" s="82"/>
      <c r="CD159" s="82"/>
      <c r="CE159" s="82"/>
      <c r="CF159" s="82"/>
      <c r="CG159" s="82"/>
      <c r="CH159" s="82"/>
      <c r="CI159" s="82"/>
      <c r="CJ159" s="79"/>
      <c r="CK159" s="79"/>
      <c r="CL159" s="79"/>
      <c r="CM159" s="79"/>
      <c r="CN159" s="79"/>
      <c r="CO159" s="79"/>
    </row>
    <row r="160" spans="1:93">
      <c r="A160" s="98">
        <v>7</v>
      </c>
      <c r="B160" s="380" t="s">
        <v>998</v>
      </c>
      <c r="C160" s="188">
        <v>45055</v>
      </c>
      <c r="D160" s="47" t="s">
        <v>1029</v>
      </c>
      <c r="E160" s="126"/>
      <c r="F160" s="382" t="s">
        <v>1031</v>
      </c>
      <c r="G160" s="167">
        <v>2</v>
      </c>
      <c r="H160" s="167"/>
      <c r="I160" s="170"/>
      <c r="J160" s="155"/>
      <c r="K160" s="156"/>
      <c r="L160" s="157"/>
      <c r="M160" s="157"/>
      <c r="N160" s="183"/>
      <c r="O160" s="177" t="s">
        <v>1012</v>
      </c>
      <c r="P160" s="145"/>
      <c r="Q160" s="141"/>
      <c r="R160" s="190"/>
      <c r="S160" s="83"/>
      <c r="T160" s="87"/>
      <c r="U160" s="87"/>
      <c r="V160" s="87"/>
      <c r="W160" s="44"/>
      <c r="X160" s="88"/>
      <c r="Y160" s="79"/>
      <c r="Z160" s="79"/>
      <c r="AA160" s="79"/>
      <c r="AB160" s="79"/>
      <c r="AC160" s="86"/>
      <c r="AD160" s="82"/>
      <c r="AE160" s="79"/>
      <c r="AF160" s="88"/>
      <c r="AG160" s="80"/>
      <c r="AH160" s="79"/>
      <c r="AI160" s="79"/>
      <c r="AJ160" s="79"/>
      <c r="AK160" s="80"/>
      <c r="AL160" s="80"/>
      <c r="AM160" s="80"/>
      <c r="AN160" s="79"/>
      <c r="AO160" s="80"/>
      <c r="AP160" s="80"/>
      <c r="AQ160" s="80"/>
      <c r="AR160" s="85"/>
      <c r="AS160" s="85"/>
      <c r="AT160" s="85"/>
      <c r="AU160" s="85"/>
      <c r="AV160" s="85"/>
      <c r="AW160" s="82"/>
      <c r="AX160" s="79"/>
      <c r="AY160" s="82"/>
      <c r="AZ160" s="82"/>
      <c r="BA160" s="86"/>
      <c r="BB160" s="79"/>
      <c r="BC160" s="79"/>
      <c r="BD160" s="79"/>
      <c r="BE160" s="82"/>
      <c r="BF160" s="85"/>
      <c r="BG160" s="79"/>
      <c r="BH160" s="79"/>
      <c r="BI160" s="79"/>
      <c r="BJ160" s="88"/>
      <c r="BK160" s="88"/>
      <c r="BL160" s="79"/>
      <c r="BM160" s="185"/>
      <c r="BN160" s="90"/>
      <c r="BO160" s="80"/>
      <c r="BP160" s="80"/>
      <c r="BQ160" s="80"/>
      <c r="BR160" s="80"/>
      <c r="BS160" s="80"/>
      <c r="BT160" s="80"/>
      <c r="BU160" s="80"/>
      <c r="BV160" s="80"/>
      <c r="BW160" s="82"/>
      <c r="BX160" s="79"/>
      <c r="BY160" s="79"/>
      <c r="BZ160" s="79"/>
      <c r="CA160" s="79"/>
      <c r="CB160" s="79"/>
      <c r="CC160" s="82"/>
      <c r="CD160" s="82"/>
      <c r="CE160" s="82"/>
      <c r="CF160" s="82"/>
      <c r="CG160" s="82"/>
      <c r="CH160" s="82"/>
      <c r="CI160" s="82"/>
      <c r="CJ160" s="79"/>
      <c r="CK160" s="79"/>
      <c r="CL160" s="79"/>
      <c r="CM160" s="79"/>
      <c r="CN160" s="79"/>
      <c r="CO160" s="79"/>
    </row>
    <row r="161" spans="1:93">
      <c r="A161" s="98">
        <v>8</v>
      </c>
      <c r="B161" s="380" t="s">
        <v>999</v>
      </c>
      <c r="C161" s="188">
        <v>45056</v>
      </c>
      <c r="D161" s="47" t="s">
        <v>1030</v>
      </c>
      <c r="E161" s="126"/>
      <c r="F161" s="382" t="s">
        <v>1031</v>
      </c>
      <c r="G161" s="167">
        <v>2</v>
      </c>
      <c r="H161" s="167"/>
      <c r="I161" s="170"/>
      <c r="J161" s="155"/>
      <c r="K161" s="156"/>
      <c r="L161" s="157"/>
      <c r="M161" s="157"/>
      <c r="N161" s="183"/>
      <c r="O161" s="177" t="s">
        <v>1013</v>
      </c>
      <c r="P161" s="145"/>
      <c r="Q161" s="141"/>
      <c r="R161" s="190"/>
      <c r="S161" s="83"/>
      <c r="T161" s="87"/>
      <c r="U161" s="87"/>
      <c r="V161" s="87"/>
      <c r="W161" s="44"/>
      <c r="X161" s="88"/>
      <c r="Y161" s="79"/>
      <c r="Z161" s="79"/>
      <c r="AA161" s="79"/>
      <c r="AB161" s="79"/>
      <c r="AC161" s="86"/>
      <c r="AD161" s="82"/>
      <c r="AE161" s="79"/>
      <c r="AF161" s="88"/>
      <c r="AG161" s="80"/>
      <c r="AH161" s="79"/>
      <c r="AI161" s="79"/>
      <c r="AJ161" s="79"/>
      <c r="AK161" s="80"/>
      <c r="AL161" s="80"/>
      <c r="AM161" s="80"/>
      <c r="AN161" s="79"/>
      <c r="AO161" s="80"/>
      <c r="AP161" s="80"/>
      <c r="AQ161" s="80"/>
      <c r="AR161" s="85"/>
      <c r="AS161" s="85"/>
      <c r="AT161" s="85"/>
      <c r="AU161" s="85"/>
      <c r="AV161" s="85"/>
      <c r="AW161" s="82"/>
      <c r="AX161" s="79"/>
      <c r="AY161" s="82"/>
      <c r="AZ161" s="82"/>
      <c r="BA161" s="86"/>
      <c r="BB161" s="79"/>
      <c r="BC161" s="79"/>
      <c r="BD161" s="79"/>
      <c r="BE161" s="82"/>
      <c r="BF161" s="85"/>
      <c r="BG161" s="79"/>
      <c r="BH161" s="79"/>
      <c r="BI161" s="79"/>
      <c r="BJ161" s="88"/>
      <c r="BK161" s="88"/>
      <c r="BL161" s="79"/>
      <c r="BM161" s="185"/>
      <c r="BN161" s="90"/>
      <c r="BO161" s="80"/>
      <c r="BP161" s="80"/>
      <c r="BQ161" s="80"/>
      <c r="BR161" s="80"/>
      <c r="BS161" s="80"/>
      <c r="BT161" s="80"/>
      <c r="BU161" s="80"/>
      <c r="BV161" s="80"/>
      <c r="BW161" s="82"/>
      <c r="BX161" s="79"/>
      <c r="BY161" s="79"/>
      <c r="BZ161" s="79"/>
      <c r="CA161" s="79"/>
      <c r="CB161" s="79"/>
      <c r="CC161" s="82"/>
      <c r="CD161" s="82"/>
      <c r="CE161" s="82"/>
      <c r="CF161" s="82"/>
      <c r="CG161" s="82"/>
      <c r="CH161" s="82"/>
      <c r="CI161" s="82"/>
      <c r="CJ161" s="79"/>
      <c r="CK161" s="79"/>
      <c r="CL161" s="79"/>
      <c r="CM161" s="79"/>
      <c r="CN161" s="79"/>
      <c r="CO161" s="79"/>
    </row>
    <row r="162" spans="1:93">
      <c r="A162" s="98">
        <v>9</v>
      </c>
      <c r="B162" s="178" t="s">
        <v>988</v>
      </c>
      <c r="C162" s="188">
        <v>45050</v>
      </c>
      <c r="D162" s="47" t="s">
        <v>1015</v>
      </c>
      <c r="E162" s="126"/>
      <c r="F162" s="382" t="s">
        <v>1031</v>
      </c>
      <c r="G162" s="167" t="s">
        <v>102</v>
      </c>
      <c r="H162" s="167"/>
      <c r="I162" s="170"/>
      <c r="J162" s="155"/>
      <c r="K162" s="156"/>
      <c r="L162" s="157"/>
      <c r="M162" s="157"/>
      <c r="N162" s="183"/>
      <c r="O162" s="177" t="s">
        <v>1005</v>
      </c>
      <c r="P162" s="145"/>
      <c r="Q162" s="141"/>
      <c r="R162" s="190"/>
      <c r="S162" s="83"/>
      <c r="T162" s="87"/>
      <c r="U162" s="87"/>
      <c r="V162" s="87"/>
      <c r="W162" s="44"/>
      <c r="X162" s="88"/>
      <c r="Y162" s="79"/>
      <c r="Z162" s="79"/>
      <c r="AA162" s="79"/>
      <c r="AB162" s="79"/>
      <c r="AC162" s="86"/>
      <c r="AD162" s="82"/>
      <c r="AE162" s="79"/>
      <c r="AF162" s="88"/>
      <c r="AG162" s="80"/>
      <c r="AH162" s="79"/>
      <c r="AI162" s="79"/>
      <c r="AJ162" s="79"/>
      <c r="AK162" s="80"/>
      <c r="AL162" s="80"/>
      <c r="AM162" s="80"/>
      <c r="AN162" s="79"/>
      <c r="AO162" s="80"/>
      <c r="AP162" s="80"/>
      <c r="AQ162" s="80"/>
      <c r="AR162" s="85"/>
      <c r="AS162" s="85"/>
      <c r="AT162" s="85"/>
      <c r="AU162" s="85"/>
      <c r="AV162" s="85"/>
      <c r="AW162" s="82"/>
      <c r="AX162" s="79"/>
      <c r="AY162" s="82"/>
      <c r="AZ162" s="82"/>
      <c r="BA162" s="86"/>
      <c r="BB162" s="79"/>
      <c r="BC162" s="79"/>
      <c r="BD162" s="79"/>
      <c r="BE162" s="82"/>
      <c r="BF162" s="85"/>
      <c r="BG162" s="79"/>
      <c r="BH162" s="79"/>
      <c r="BI162" s="79"/>
      <c r="BJ162" s="88"/>
      <c r="BK162" s="88"/>
      <c r="BL162" s="79"/>
      <c r="BM162" s="185"/>
      <c r="BN162" s="90"/>
      <c r="BO162" s="80"/>
      <c r="BP162" s="80"/>
      <c r="BQ162" s="80"/>
      <c r="BR162" s="80"/>
      <c r="BS162" s="80"/>
      <c r="BT162" s="80"/>
      <c r="BU162" s="80"/>
      <c r="BV162" s="80"/>
      <c r="BW162" s="82"/>
      <c r="BX162" s="79"/>
      <c r="BY162" s="79"/>
      <c r="BZ162" s="79"/>
      <c r="CA162" s="79"/>
      <c r="CB162" s="79"/>
      <c r="CC162" s="82"/>
      <c r="CD162" s="82"/>
      <c r="CE162" s="82"/>
      <c r="CF162" s="82"/>
      <c r="CG162" s="82"/>
      <c r="CH162" s="82"/>
      <c r="CI162" s="82"/>
      <c r="CJ162" s="79"/>
      <c r="CK162" s="79"/>
      <c r="CL162" s="79"/>
      <c r="CM162" s="79"/>
      <c r="CN162" s="79"/>
      <c r="CO162" s="79"/>
    </row>
    <row r="163" spans="1:93" ht="12.75" customHeight="1">
      <c r="A163" s="98">
        <v>10</v>
      </c>
      <c r="B163" s="178" t="s">
        <v>989</v>
      </c>
      <c r="C163" s="188">
        <v>45051</v>
      </c>
      <c r="D163" s="47" t="s">
        <v>1016</v>
      </c>
      <c r="E163" s="126"/>
      <c r="F163" s="382" t="s">
        <v>1031</v>
      </c>
      <c r="G163" s="167"/>
      <c r="H163" s="167">
        <v>2</v>
      </c>
      <c r="I163" s="170"/>
      <c r="J163" s="155"/>
      <c r="K163" s="156"/>
      <c r="L163" s="157"/>
      <c r="M163" s="157"/>
      <c r="N163" s="183"/>
      <c r="O163" s="177" t="s">
        <v>1006</v>
      </c>
      <c r="P163" s="145"/>
      <c r="Q163" s="141"/>
      <c r="R163" s="190"/>
      <c r="S163" s="83"/>
      <c r="T163" s="87"/>
      <c r="U163" s="87"/>
      <c r="V163" s="87"/>
      <c r="W163" s="44"/>
      <c r="X163" s="88"/>
      <c r="Y163" s="79"/>
      <c r="Z163" s="79"/>
      <c r="AA163" s="79"/>
      <c r="AB163" s="79"/>
      <c r="AC163" s="86"/>
      <c r="AD163" s="82"/>
      <c r="AE163" s="79"/>
      <c r="AF163" s="88"/>
      <c r="AG163" s="80"/>
      <c r="AH163" s="79"/>
      <c r="AI163" s="79"/>
      <c r="AJ163" s="79"/>
      <c r="AK163" s="80"/>
      <c r="AL163" s="80"/>
      <c r="AM163" s="80"/>
      <c r="AN163" s="79"/>
      <c r="AO163" s="80"/>
      <c r="AP163" s="80"/>
      <c r="AQ163" s="80"/>
      <c r="AR163" s="85"/>
      <c r="AS163" s="85"/>
      <c r="AT163" s="85"/>
      <c r="AU163" s="85"/>
      <c r="AV163" s="85"/>
      <c r="AW163" s="82"/>
      <c r="AX163" s="79"/>
      <c r="AY163" s="82"/>
      <c r="AZ163" s="82"/>
      <c r="BA163" s="86"/>
      <c r="BB163" s="79"/>
      <c r="BC163" s="79"/>
      <c r="BD163" s="79"/>
      <c r="BE163" s="82"/>
      <c r="BF163" s="85"/>
      <c r="BG163" s="79"/>
      <c r="BH163" s="79"/>
      <c r="BI163" s="79"/>
      <c r="BJ163" s="88"/>
      <c r="BK163" s="88"/>
      <c r="BL163" s="79"/>
      <c r="BM163" s="185"/>
      <c r="BN163" s="90"/>
      <c r="BO163" s="80"/>
      <c r="BP163" s="80"/>
      <c r="BQ163" s="80"/>
      <c r="BR163" s="80"/>
      <c r="BS163" s="80"/>
      <c r="BT163" s="80"/>
      <c r="BU163" s="80"/>
      <c r="BV163" s="80"/>
      <c r="BW163" s="82"/>
      <c r="BX163" s="79"/>
      <c r="BY163" s="79"/>
      <c r="BZ163" s="79"/>
      <c r="CA163" s="79"/>
      <c r="CB163" s="79"/>
      <c r="CC163" s="82"/>
      <c r="CD163" s="82"/>
      <c r="CE163" s="82"/>
      <c r="CF163" s="82"/>
      <c r="CG163" s="82"/>
      <c r="CH163" s="82"/>
      <c r="CI163" s="82"/>
      <c r="CJ163" s="79"/>
      <c r="CK163" s="79"/>
      <c r="CL163" s="79"/>
      <c r="CM163" s="79"/>
      <c r="CN163" s="79"/>
      <c r="CO163" s="79"/>
    </row>
    <row r="164" spans="1:93" ht="12.75" customHeight="1">
      <c r="A164" s="98">
        <v>11</v>
      </c>
      <c r="B164" s="178" t="s">
        <v>990</v>
      </c>
      <c r="C164" s="188">
        <v>45051</v>
      </c>
      <c r="D164" s="47" t="s">
        <v>1017</v>
      </c>
      <c r="E164" s="126"/>
      <c r="F164" s="382" t="s">
        <v>1031</v>
      </c>
      <c r="G164" s="167">
        <v>1</v>
      </c>
      <c r="H164" s="167"/>
      <c r="I164" s="170"/>
      <c r="J164" s="155"/>
      <c r="K164" s="156"/>
      <c r="L164" s="157"/>
      <c r="M164" s="157"/>
      <c r="N164" s="183"/>
      <c r="O164" s="177" t="s">
        <v>1007</v>
      </c>
      <c r="P164" s="145"/>
      <c r="Q164" s="141"/>
      <c r="R164" s="190"/>
      <c r="S164" s="83"/>
      <c r="T164" s="87"/>
      <c r="U164" s="87"/>
      <c r="V164" s="87"/>
      <c r="W164" s="44"/>
      <c r="X164" s="88"/>
      <c r="Y164" s="79"/>
      <c r="Z164" s="79"/>
      <c r="AA164" s="79"/>
      <c r="AB164" s="79"/>
      <c r="AC164" s="86"/>
      <c r="AD164" s="82"/>
      <c r="AE164" s="79"/>
      <c r="AF164" s="88"/>
      <c r="AG164" s="80"/>
      <c r="AH164" s="79"/>
      <c r="AI164" s="79"/>
      <c r="AJ164" s="79"/>
      <c r="AK164" s="80"/>
      <c r="AL164" s="80"/>
      <c r="AM164" s="80"/>
      <c r="AN164" s="79"/>
      <c r="AO164" s="80"/>
      <c r="AP164" s="80"/>
      <c r="AQ164" s="80"/>
      <c r="AR164" s="85"/>
      <c r="AS164" s="85"/>
      <c r="AT164" s="85"/>
      <c r="AU164" s="85"/>
      <c r="AV164" s="85"/>
      <c r="AW164" s="82"/>
      <c r="AX164" s="79"/>
      <c r="AY164" s="82"/>
      <c r="AZ164" s="82"/>
      <c r="BA164" s="86"/>
      <c r="BB164" s="79"/>
      <c r="BC164" s="79"/>
      <c r="BD164" s="79"/>
      <c r="BE164" s="82"/>
      <c r="BF164" s="85"/>
      <c r="BG164" s="79"/>
      <c r="BH164" s="79"/>
      <c r="BI164" s="79"/>
      <c r="BJ164" s="88"/>
      <c r="BK164" s="88"/>
      <c r="BL164" s="79"/>
      <c r="BM164" s="185"/>
      <c r="BN164" s="90"/>
      <c r="BO164" s="80"/>
      <c r="BP164" s="80"/>
      <c r="BQ164" s="80"/>
      <c r="BR164" s="80"/>
      <c r="BS164" s="80"/>
      <c r="BT164" s="80"/>
      <c r="BU164" s="80"/>
      <c r="BV164" s="80"/>
      <c r="BW164" s="82"/>
      <c r="BX164" s="79"/>
      <c r="BY164" s="79"/>
      <c r="BZ164" s="79"/>
      <c r="CA164" s="79"/>
      <c r="CB164" s="79"/>
      <c r="CC164" s="82"/>
      <c r="CD164" s="82"/>
      <c r="CE164" s="82"/>
      <c r="CF164" s="82"/>
      <c r="CG164" s="82"/>
      <c r="CH164" s="82"/>
      <c r="CI164" s="82"/>
      <c r="CJ164" s="79"/>
      <c r="CK164" s="79"/>
      <c r="CL164" s="79"/>
      <c r="CM164" s="79"/>
      <c r="CN164" s="79"/>
      <c r="CO164" s="79"/>
    </row>
    <row r="165" spans="1:93">
      <c r="A165" s="98">
        <v>12</v>
      </c>
      <c r="B165" s="178" t="s">
        <v>991</v>
      </c>
      <c r="C165" s="188">
        <v>45051</v>
      </c>
      <c r="D165" s="47" t="s">
        <v>1018</v>
      </c>
      <c r="E165" s="126"/>
      <c r="F165" s="382" t="s">
        <v>1031</v>
      </c>
      <c r="G165" s="167"/>
      <c r="H165" s="167">
        <v>1</v>
      </c>
      <c r="I165" s="170"/>
      <c r="J165" s="155"/>
      <c r="K165" s="156"/>
      <c r="L165" s="157"/>
      <c r="M165" s="157"/>
      <c r="N165" s="183"/>
      <c r="O165" s="177">
        <v>2717704480</v>
      </c>
      <c r="P165" s="145"/>
      <c r="Q165" s="141"/>
      <c r="R165" s="190"/>
      <c r="S165" s="83"/>
      <c r="T165" s="87"/>
      <c r="U165" s="87"/>
      <c r="V165" s="87"/>
      <c r="W165" s="44"/>
      <c r="X165" s="88"/>
      <c r="Y165" s="79"/>
      <c r="Z165" s="79"/>
      <c r="AA165" s="79"/>
      <c r="AB165" s="79"/>
      <c r="AC165" s="86"/>
      <c r="AD165" s="82"/>
      <c r="AE165" s="79"/>
      <c r="AF165" s="88"/>
      <c r="AG165" s="80"/>
      <c r="AH165" s="79"/>
      <c r="AI165" s="79"/>
      <c r="AJ165" s="79"/>
      <c r="AK165" s="80"/>
      <c r="AL165" s="80"/>
      <c r="AM165" s="80"/>
      <c r="AN165" s="79"/>
      <c r="AO165" s="80"/>
      <c r="AP165" s="80"/>
      <c r="AQ165" s="80"/>
      <c r="AR165" s="85"/>
      <c r="AS165" s="85"/>
      <c r="AT165" s="85"/>
      <c r="AU165" s="85"/>
      <c r="AV165" s="85"/>
      <c r="AW165" s="82"/>
      <c r="AX165" s="79"/>
      <c r="AY165" s="82"/>
      <c r="AZ165" s="82"/>
      <c r="BA165" s="86"/>
      <c r="BB165" s="79"/>
      <c r="BC165" s="79"/>
      <c r="BD165" s="79"/>
      <c r="BE165" s="82"/>
      <c r="BF165" s="85"/>
      <c r="BG165" s="79"/>
      <c r="BH165" s="79"/>
      <c r="BI165" s="79"/>
      <c r="BJ165" s="88"/>
      <c r="BK165" s="88"/>
      <c r="BL165" s="79"/>
      <c r="BM165" s="185"/>
      <c r="BN165" s="90"/>
      <c r="BO165" s="80"/>
      <c r="BP165" s="80"/>
      <c r="BQ165" s="80"/>
      <c r="BR165" s="80"/>
      <c r="BS165" s="80"/>
      <c r="BT165" s="80"/>
      <c r="BU165" s="80"/>
      <c r="BV165" s="80"/>
      <c r="BW165" s="82"/>
      <c r="BX165" s="79"/>
      <c r="BY165" s="79"/>
      <c r="BZ165" s="79"/>
      <c r="CA165" s="79"/>
      <c r="CB165" s="79"/>
      <c r="CC165" s="82"/>
      <c r="CD165" s="82"/>
      <c r="CE165" s="82"/>
      <c r="CF165" s="82"/>
      <c r="CG165" s="82"/>
      <c r="CH165" s="82"/>
      <c r="CI165" s="82"/>
      <c r="CJ165" s="79"/>
      <c r="CK165" s="79"/>
      <c r="CL165" s="79"/>
      <c r="CM165" s="79"/>
      <c r="CN165" s="79"/>
      <c r="CO165" s="79"/>
    </row>
    <row r="166" spans="1:93" ht="12.75" customHeight="1">
      <c r="A166" s="98">
        <v>13</v>
      </c>
      <c r="B166" s="178" t="s">
        <v>992</v>
      </c>
      <c r="C166" s="188">
        <v>45051</v>
      </c>
      <c r="D166" s="47" t="s">
        <v>1019</v>
      </c>
      <c r="E166" s="126"/>
      <c r="F166" s="382" t="s">
        <v>1031</v>
      </c>
      <c r="G166" s="167">
        <v>2</v>
      </c>
      <c r="H166" s="167"/>
      <c r="I166" s="170"/>
      <c r="J166" s="155"/>
      <c r="K166" s="156"/>
      <c r="L166" s="157"/>
      <c r="M166" s="157"/>
      <c r="N166" s="183"/>
      <c r="O166" s="177" t="s">
        <v>1008</v>
      </c>
      <c r="P166" s="145"/>
      <c r="Q166" s="141"/>
      <c r="R166" s="190"/>
      <c r="S166" s="83"/>
      <c r="T166" s="87"/>
      <c r="U166" s="87"/>
      <c r="V166" s="87"/>
      <c r="W166" s="44"/>
      <c r="X166" s="88"/>
      <c r="Y166" s="79"/>
      <c r="Z166" s="79"/>
      <c r="AA166" s="79"/>
      <c r="AB166" s="79"/>
      <c r="AC166" s="86"/>
      <c r="AD166" s="82"/>
      <c r="AE166" s="79"/>
      <c r="AF166" s="88"/>
      <c r="AG166" s="80"/>
      <c r="AH166" s="79"/>
      <c r="AI166" s="79"/>
      <c r="AJ166" s="79"/>
      <c r="AK166" s="80"/>
      <c r="AL166" s="80"/>
      <c r="AM166" s="80"/>
      <c r="AN166" s="79"/>
      <c r="AO166" s="80"/>
      <c r="AP166" s="80"/>
      <c r="AQ166" s="80"/>
      <c r="AR166" s="85"/>
      <c r="AS166" s="85"/>
      <c r="AT166" s="85"/>
      <c r="AU166" s="85"/>
      <c r="AV166" s="85"/>
      <c r="AW166" s="82"/>
      <c r="AX166" s="79"/>
      <c r="AY166" s="82"/>
      <c r="AZ166" s="82"/>
      <c r="BA166" s="86"/>
      <c r="BB166" s="79"/>
      <c r="BC166" s="79"/>
      <c r="BD166" s="79"/>
      <c r="BE166" s="82"/>
      <c r="BF166" s="85"/>
      <c r="BG166" s="79"/>
      <c r="BH166" s="79"/>
      <c r="BI166" s="79"/>
      <c r="BJ166" s="88"/>
      <c r="BK166" s="88"/>
      <c r="BL166" s="79"/>
      <c r="BM166" s="185"/>
      <c r="BN166" s="90"/>
      <c r="BO166" s="80"/>
      <c r="BP166" s="80"/>
      <c r="BQ166" s="80"/>
      <c r="BR166" s="80"/>
      <c r="BS166" s="80"/>
      <c r="BT166" s="80"/>
      <c r="BU166" s="80"/>
      <c r="BV166" s="80"/>
      <c r="BW166" s="82"/>
      <c r="BX166" s="79"/>
      <c r="BY166" s="79"/>
      <c r="BZ166" s="79"/>
      <c r="CA166" s="79"/>
      <c r="CB166" s="79"/>
      <c r="CC166" s="82"/>
      <c r="CD166" s="82"/>
      <c r="CE166" s="82"/>
      <c r="CF166" s="82"/>
      <c r="CG166" s="82"/>
      <c r="CH166" s="82"/>
      <c r="CI166" s="82"/>
      <c r="CJ166" s="79"/>
      <c r="CK166" s="79"/>
      <c r="CL166" s="79"/>
      <c r="CM166" s="79"/>
      <c r="CN166" s="79"/>
      <c r="CO166" s="79"/>
    </row>
    <row r="167" spans="1:93" ht="12.75" customHeight="1">
      <c r="A167" s="98">
        <v>14</v>
      </c>
      <c r="B167" s="178" t="s">
        <v>993</v>
      </c>
      <c r="C167" s="188">
        <v>45052</v>
      </c>
      <c r="D167" s="47" t="s">
        <v>1020</v>
      </c>
      <c r="E167" s="126"/>
      <c r="F167" s="382" t="s">
        <v>1031</v>
      </c>
      <c r="G167" s="167">
        <v>1</v>
      </c>
      <c r="H167" s="167"/>
      <c r="I167" s="170"/>
      <c r="J167" s="155"/>
      <c r="K167" s="156"/>
      <c r="L167" s="157"/>
      <c r="M167" s="157"/>
      <c r="N167" s="183"/>
      <c r="O167" s="177">
        <v>2718468600</v>
      </c>
      <c r="P167" s="145"/>
      <c r="Q167" s="141"/>
      <c r="R167" s="190"/>
      <c r="S167" s="83"/>
      <c r="T167" s="87"/>
      <c r="U167" s="87"/>
      <c r="V167" s="87"/>
      <c r="W167" s="44"/>
      <c r="X167" s="88"/>
      <c r="Y167" s="79"/>
      <c r="Z167" s="79"/>
      <c r="AA167" s="79"/>
      <c r="AB167" s="79"/>
      <c r="AC167" s="86"/>
      <c r="AD167" s="82"/>
      <c r="AE167" s="79"/>
      <c r="AF167" s="88"/>
      <c r="AG167" s="80"/>
      <c r="AH167" s="79"/>
      <c r="AI167" s="79"/>
      <c r="AJ167" s="79"/>
      <c r="AK167" s="80"/>
      <c r="AL167" s="80"/>
      <c r="AM167" s="80"/>
      <c r="AN167" s="79"/>
      <c r="AO167" s="80"/>
      <c r="AP167" s="80"/>
      <c r="AQ167" s="80"/>
      <c r="AR167" s="85"/>
      <c r="AS167" s="85"/>
      <c r="AT167" s="85"/>
      <c r="AU167" s="85"/>
      <c r="AV167" s="85"/>
      <c r="AW167" s="82"/>
      <c r="AX167" s="79"/>
      <c r="AY167" s="82"/>
      <c r="AZ167" s="82"/>
      <c r="BA167" s="86"/>
      <c r="BB167" s="79"/>
      <c r="BC167" s="79"/>
      <c r="BD167" s="79"/>
      <c r="BE167" s="82"/>
      <c r="BF167" s="85"/>
      <c r="BG167" s="79"/>
      <c r="BH167" s="79"/>
      <c r="BI167" s="79"/>
      <c r="BJ167" s="88"/>
      <c r="BK167" s="88"/>
      <c r="BL167" s="79"/>
      <c r="BM167" s="185"/>
      <c r="BN167" s="90"/>
      <c r="BO167" s="80"/>
      <c r="BP167" s="80"/>
      <c r="BQ167" s="80"/>
      <c r="BR167" s="80"/>
      <c r="BS167" s="80"/>
      <c r="BT167" s="80"/>
      <c r="BU167" s="80"/>
      <c r="BV167" s="80"/>
      <c r="BW167" s="82"/>
      <c r="BX167" s="79"/>
      <c r="BY167" s="79"/>
      <c r="BZ167" s="79"/>
      <c r="CA167" s="79"/>
      <c r="CB167" s="79"/>
      <c r="CC167" s="82"/>
      <c r="CD167" s="82"/>
      <c r="CE167" s="82"/>
      <c r="CF167" s="82"/>
      <c r="CG167" s="82"/>
      <c r="CH167" s="82"/>
      <c r="CI167" s="82"/>
      <c r="CJ167" s="79"/>
      <c r="CK167" s="79"/>
      <c r="CL167" s="79"/>
      <c r="CM167" s="79"/>
      <c r="CN167" s="79"/>
      <c r="CO167" s="79"/>
    </row>
    <row r="168" spans="1:93">
      <c r="A168" s="98">
        <v>15</v>
      </c>
      <c r="B168" s="178" t="s">
        <v>995</v>
      </c>
      <c r="C168" s="188">
        <v>45054</v>
      </c>
      <c r="D168" s="47" t="s">
        <v>1021</v>
      </c>
      <c r="E168" s="126"/>
      <c r="F168" s="382" t="s">
        <v>1031</v>
      </c>
      <c r="G168" s="167"/>
      <c r="H168" s="167">
        <v>1</v>
      </c>
      <c r="I168" s="170"/>
      <c r="J168" s="155"/>
      <c r="K168" s="156"/>
      <c r="L168" s="157"/>
      <c r="M168" s="157"/>
      <c r="N168" s="183"/>
      <c r="O168" s="177" t="s">
        <v>1009</v>
      </c>
      <c r="P168" s="145"/>
      <c r="Q168" s="141"/>
      <c r="R168" s="190"/>
      <c r="S168" s="83"/>
      <c r="T168" s="87"/>
      <c r="U168" s="87"/>
      <c r="V168" s="87"/>
      <c r="W168" s="44"/>
      <c r="X168" s="88"/>
      <c r="Y168" s="79"/>
      <c r="Z168" s="79"/>
      <c r="AA168" s="79"/>
      <c r="AB168" s="79"/>
      <c r="AC168" s="86"/>
      <c r="AD168" s="82"/>
      <c r="AE168" s="79"/>
      <c r="AF168" s="88"/>
      <c r="AG168" s="80"/>
      <c r="AH168" s="79"/>
      <c r="AI168" s="79"/>
      <c r="AJ168" s="79"/>
      <c r="AK168" s="80"/>
      <c r="AL168" s="80"/>
      <c r="AM168" s="80"/>
      <c r="AN168" s="79"/>
      <c r="AO168" s="80"/>
      <c r="AP168" s="80"/>
      <c r="AQ168" s="80"/>
      <c r="AR168" s="85"/>
      <c r="AS168" s="85"/>
      <c r="AT168" s="85"/>
      <c r="AU168" s="85"/>
      <c r="AV168" s="85"/>
      <c r="AW168" s="82"/>
      <c r="AX168" s="79"/>
      <c r="AY168" s="82"/>
      <c r="AZ168" s="82"/>
      <c r="BA168" s="86"/>
      <c r="BB168" s="79"/>
      <c r="BC168" s="79"/>
      <c r="BD168" s="79"/>
      <c r="BE168" s="82"/>
      <c r="BF168" s="85"/>
      <c r="BG168" s="79"/>
      <c r="BH168" s="79"/>
      <c r="BI168" s="79"/>
      <c r="BJ168" s="88"/>
      <c r="BK168" s="88"/>
      <c r="BL168" s="79"/>
      <c r="BM168" s="185"/>
      <c r="BN168" s="90"/>
      <c r="BO168" s="80"/>
      <c r="BP168" s="80"/>
      <c r="BQ168" s="80"/>
      <c r="BR168" s="80"/>
      <c r="BS168" s="80"/>
      <c r="BT168" s="80"/>
      <c r="BU168" s="80"/>
      <c r="BV168" s="80"/>
      <c r="BW168" s="82"/>
      <c r="BX168" s="79"/>
      <c r="BY168" s="79"/>
      <c r="BZ168" s="79"/>
      <c r="CA168" s="79"/>
      <c r="CB168" s="79"/>
      <c r="CC168" s="82"/>
      <c r="CD168" s="82"/>
      <c r="CE168" s="82"/>
      <c r="CF168" s="82"/>
      <c r="CG168" s="82"/>
      <c r="CH168" s="82"/>
      <c r="CI168" s="82"/>
      <c r="CJ168" s="79"/>
      <c r="CK168" s="79"/>
      <c r="CL168" s="79"/>
      <c r="CM168" s="79"/>
      <c r="CN168" s="79"/>
      <c r="CO168" s="79"/>
    </row>
    <row r="169" spans="1:93">
      <c r="A169" s="98">
        <v>16</v>
      </c>
      <c r="B169" s="178" t="s">
        <v>996</v>
      </c>
      <c r="C169" s="188">
        <v>45055</v>
      </c>
      <c r="D169" s="47" t="s">
        <v>1021</v>
      </c>
      <c r="E169" s="126"/>
      <c r="F169" s="382" t="s">
        <v>1031</v>
      </c>
      <c r="G169" s="167">
        <v>1</v>
      </c>
      <c r="H169" s="167"/>
      <c r="I169" s="170"/>
      <c r="J169" s="155"/>
      <c r="K169" s="156"/>
      <c r="L169" s="157"/>
      <c r="M169" s="157"/>
      <c r="N169" s="183"/>
      <c r="O169" s="177" t="s">
        <v>1010</v>
      </c>
      <c r="P169" s="145"/>
      <c r="Q169" s="141"/>
      <c r="R169" s="190"/>
      <c r="S169" s="83"/>
      <c r="T169" s="87"/>
      <c r="U169" s="87"/>
      <c r="V169" s="87"/>
      <c r="W169" s="44"/>
      <c r="X169" s="88"/>
      <c r="Y169" s="79"/>
      <c r="Z169" s="79"/>
      <c r="AA169" s="79"/>
      <c r="AB169" s="79"/>
      <c r="AC169" s="86"/>
      <c r="AD169" s="82"/>
      <c r="AE169" s="79"/>
      <c r="AF169" s="88"/>
      <c r="AG169" s="80"/>
      <c r="AH169" s="79"/>
      <c r="AI169" s="79"/>
      <c r="AJ169" s="79"/>
      <c r="AK169" s="80"/>
      <c r="AL169" s="80"/>
      <c r="AM169" s="80"/>
      <c r="AN169" s="79"/>
      <c r="AO169" s="80"/>
      <c r="AP169" s="80"/>
      <c r="AQ169" s="80"/>
      <c r="AR169" s="85"/>
      <c r="AS169" s="85"/>
      <c r="AT169" s="85"/>
      <c r="AU169" s="85"/>
      <c r="AV169" s="85"/>
      <c r="AW169" s="82"/>
      <c r="AX169" s="79"/>
      <c r="AY169" s="82"/>
      <c r="AZ169" s="82"/>
      <c r="BA169" s="86"/>
      <c r="BB169" s="79"/>
      <c r="BC169" s="79"/>
      <c r="BD169" s="79"/>
      <c r="BE169" s="82"/>
      <c r="BF169" s="85"/>
      <c r="BG169" s="79"/>
      <c r="BH169" s="79"/>
      <c r="BI169" s="79"/>
      <c r="BJ169" s="88"/>
      <c r="BK169" s="88"/>
      <c r="BL169" s="79"/>
      <c r="BM169" s="185"/>
      <c r="BN169" s="90"/>
      <c r="BO169" s="80"/>
      <c r="BP169" s="80"/>
      <c r="BQ169" s="80"/>
      <c r="BR169" s="80"/>
      <c r="BS169" s="80"/>
      <c r="BT169" s="80"/>
      <c r="BU169" s="80"/>
      <c r="BV169" s="80"/>
      <c r="BW169" s="82"/>
      <c r="BX169" s="79"/>
      <c r="BY169" s="79"/>
      <c r="BZ169" s="79"/>
      <c r="CA169" s="79"/>
      <c r="CB169" s="79"/>
      <c r="CC169" s="82"/>
      <c r="CD169" s="82"/>
      <c r="CE169" s="82"/>
      <c r="CF169" s="82"/>
      <c r="CG169" s="82"/>
      <c r="CH169" s="82"/>
      <c r="CI169" s="82"/>
      <c r="CJ169" s="79"/>
      <c r="CK169" s="79"/>
      <c r="CL169" s="79"/>
      <c r="CM169" s="79"/>
      <c r="CN169" s="79"/>
      <c r="CO169" s="79"/>
    </row>
    <row r="170" spans="1:93" ht="26.4">
      <c r="A170" s="98">
        <v>17</v>
      </c>
      <c r="B170" s="319" t="s">
        <v>1000</v>
      </c>
      <c r="C170" s="188">
        <v>45056</v>
      </c>
      <c r="D170" s="47" t="s">
        <v>1022</v>
      </c>
      <c r="E170" s="126"/>
      <c r="F170" s="382" t="s">
        <v>1031</v>
      </c>
      <c r="G170" s="167"/>
      <c r="H170" s="167">
        <v>3</v>
      </c>
      <c r="I170" s="170"/>
      <c r="J170" s="155"/>
      <c r="K170" s="156"/>
      <c r="L170" s="157"/>
      <c r="M170" s="157"/>
      <c r="N170" s="183"/>
      <c r="O170" s="177" t="s">
        <v>1014</v>
      </c>
      <c r="P170" s="145"/>
      <c r="Q170" s="141"/>
      <c r="R170" s="190"/>
      <c r="S170" s="83"/>
      <c r="T170" s="87"/>
      <c r="U170" s="87"/>
      <c r="V170" s="87"/>
      <c r="W170" s="44"/>
      <c r="X170" s="88"/>
      <c r="Y170" s="79"/>
      <c r="Z170" s="79"/>
      <c r="AA170" s="79"/>
      <c r="AB170" s="79"/>
      <c r="AC170" s="86"/>
      <c r="AD170" s="82"/>
      <c r="AE170" s="79"/>
      <c r="AF170" s="88"/>
      <c r="AG170" s="80"/>
      <c r="AH170" s="79"/>
      <c r="AI170" s="79"/>
      <c r="AJ170" s="79"/>
      <c r="AK170" s="80"/>
      <c r="AL170" s="80"/>
      <c r="AM170" s="80"/>
      <c r="AN170" s="79"/>
      <c r="AO170" s="80"/>
      <c r="AP170" s="80"/>
      <c r="AQ170" s="80"/>
      <c r="AR170" s="85"/>
      <c r="AS170" s="85"/>
      <c r="AT170" s="85"/>
      <c r="AU170" s="85"/>
      <c r="AV170" s="85"/>
      <c r="AW170" s="82"/>
      <c r="AX170" s="79"/>
      <c r="AY170" s="82"/>
      <c r="AZ170" s="82"/>
      <c r="BA170" s="86"/>
      <c r="BB170" s="79"/>
      <c r="BC170" s="79"/>
      <c r="BD170" s="79"/>
      <c r="BE170" s="82"/>
      <c r="BF170" s="85"/>
      <c r="BG170" s="79"/>
      <c r="BH170" s="79"/>
      <c r="BI170" s="79"/>
      <c r="BJ170" s="88"/>
      <c r="BK170" s="88"/>
      <c r="BL170" s="79"/>
      <c r="BM170" s="185"/>
      <c r="BN170" s="90"/>
      <c r="BO170" s="80"/>
      <c r="BP170" s="80"/>
      <c r="BQ170" s="80"/>
      <c r="BR170" s="80"/>
      <c r="BS170" s="80"/>
      <c r="BT170" s="80"/>
      <c r="BU170" s="80"/>
      <c r="BV170" s="80"/>
      <c r="BW170" s="82"/>
      <c r="BX170" s="79"/>
      <c r="BY170" s="79"/>
      <c r="BZ170" s="79"/>
      <c r="CA170" s="79"/>
      <c r="CB170" s="79"/>
      <c r="CC170" s="82"/>
      <c r="CD170" s="82"/>
      <c r="CE170" s="82"/>
      <c r="CF170" s="82"/>
      <c r="CG170" s="82"/>
      <c r="CH170" s="82"/>
      <c r="CI170" s="82"/>
      <c r="CJ170" s="79"/>
      <c r="CK170" s="79"/>
      <c r="CL170" s="79"/>
      <c r="CM170" s="79"/>
      <c r="CN170" s="79"/>
      <c r="CO170" s="79"/>
    </row>
    <row r="171" spans="1:93">
      <c r="A171" s="98">
        <v>1</v>
      </c>
      <c r="B171" s="178" t="s">
        <v>1046</v>
      </c>
      <c r="C171" s="188">
        <v>45057</v>
      </c>
      <c r="D171" s="47" t="s">
        <v>1080</v>
      </c>
      <c r="E171" s="126"/>
      <c r="F171" s="154" t="s">
        <v>1091</v>
      </c>
      <c r="G171" s="191"/>
      <c r="H171" s="441">
        <v>1</v>
      </c>
      <c r="I171" s="170"/>
      <c r="J171" s="155"/>
      <c r="K171" s="156"/>
      <c r="L171" s="157"/>
      <c r="M171" s="157"/>
      <c r="N171" s="183"/>
      <c r="O171" s="191" t="s">
        <v>1049</v>
      </c>
      <c r="P171" s="145"/>
      <c r="Q171" s="141"/>
      <c r="R171" s="190"/>
      <c r="S171" s="83"/>
      <c r="T171" s="87"/>
      <c r="U171" s="87"/>
      <c r="V171" s="87"/>
      <c r="W171" s="44"/>
      <c r="X171" s="88"/>
      <c r="Y171" s="79"/>
      <c r="Z171" s="79"/>
      <c r="AA171" s="79"/>
      <c r="AB171" s="79"/>
      <c r="AC171" s="86"/>
      <c r="AD171" s="82"/>
      <c r="AE171" s="79"/>
      <c r="AF171" s="88"/>
      <c r="AG171" s="80"/>
      <c r="AH171" s="79"/>
      <c r="AI171" s="79"/>
      <c r="AJ171" s="79"/>
      <c r="AK171" s="80"/>
      <c r="AL171" s="80"/>
      <c r="AM171" s="80"/>
      <c r="AN171" s="79"/>
      <c r="AO171" s="80"/>
      <c r="AP171" s="80"/>
      <c r="AQ171" s="80"/>
      <c r="AR171" s="85"/>
      <c r="AS171" s="85"/>
      <c r="AT171" s="85"/>
      <c r="AU171" s="85"/>
      <c r="AV171" s="85"/>
      <c r="AW171" s="82"/>
      <c r="AX171" s="79"/>
      <c r="AY171" s="82"/>
      <c r="AZ171" s="82"/>
      <c r="BA171" s="86"/>
      <c r="BB171" s="79"/>
      <c r="BC171" s="79"/>
      <c r="BD171" s="79"/>
      <c r="BE171" s="82"/>
      <c r="BF171" s="85"/>
      <c r="BG171" s="79"/>
      <c r="BH171" s="79"/>
      <c r="BI171" s="79"/>
      <c r="BJ171" s="88"/>
      <c r="BK171" s="88"/>
      <c r="BL171" s="79"/>
      <c r="BM171" s="185"/>
      <c r="BN171" s="90"/>
      <c r="BO171" s="80"/>
      <c r="BP171" s="80"/>
      <c r="BQ171" s="80"/>
      <c r="BR171" s="80"/>
      <c r="BS171" s="80"/>
      <c r="BT171" s="80"/>
      <c r="BU171" s="80"/>
      <c r="BV171" s="80"/>
      <c r="BW171" s="82"/>
      <c r="BX171" s="79"/>
      <c r="BY171" s="79"/>
      <c r="BZ171" s="79"/>
      <c r="CA171" s="79"/>
      <c r="CB171" s="79"/>
      <c r="CC171" s="82"/>
      <c r="CD171" s="82"/>
      <c r="CE171" s="82"/>
      <c r="CF171" s="82"/>
      <c r="CG171" s="82"/>
      <c r="CH171" s="82"/>
      <c r="CI171" s="82"/>
      <c r="CJ171" s="79"/>
      <c r="CK171" s="79"/>
      <c r="CL171" s="79"/>
      <c r="CM171" s="79"/>
      <c r="CN171" s="79"/>
      <c r="CO171" s="79"/>
    </row>
    <row r="172" spans="1:93">
      <c r="A172" s="98">
        <v>2</v>
      </c>
      <c r="B172" s="178" t="s">
        <v>1048</v>
      </c>
      <c r="C172" s="188">
        <v>45058</v>
      </c>
      <c r="D172" s="47" t="s">
        <v>1075</v>
      </c>
      <c r="E172" s="126"/>
      <c r="F172" s="154" t="s">
        <v>1091</v>
      </c>
      <c r="G172" s="191"/>
      <c r="H172" s="441">
        <v>1</v>
      </c>
      <c r="I172" s="170"/>
      <c r="J172" s="155"/>
      <c r="K172" s="156"/>
      <c r="L172" s="157"/>
      <c r="M172" s="157"/>
      <c r="N172" s="183"/>
      <c r="O172" s="191">
        <v>7884791930</v>
      </c>
      <c r="P172" s="145"/>
      <c r="Q172" s="141"/>
      <c r="R172" s="190"/>
      <c r="S172" s="83"/>
      <c r="T172" s="87"/>
      <c r="U172" s="87"/>
      <c r="V172" s="87"/>
      <c r="W172" s="44"/>
      <c r="X172" s="88"/>
      <c r="Y172" s="79"/>
      <c r="Z172" s="79"/>
      <c r="AA172" s="79"/>
      <c r="AB172" s="79"/>
      <c r="AC172" s="86"/>
      <c r="AD172" s="82"/>
      <c r="AE172" s="79"/>
      <c r="AF172" s="88"/>
      <c r="AG172" s="80"/>
      <c r="AH172" s="79"/>
      <c r="AI172" s="79"/>
      <c r="AJ172" s="79"/>
      <c r="AK172" s="80"/>
      <c r="AL172" s="80"/>
      <c r="AM172" s="80"/>
      <c r="AN172" s="79"/>
      <c r="AO172" s="80"/>
      <c r="AP172" s="80"/>
      <c r="AQ172" s="80"/>
      <c r="AR172" s="85"/>
      <c r="AS172" s="85"/>
      <c r="AT172" s="85"/>
      <c r="AU172" s="85"/>
      <c r="AV172" s="85"/>
      <c r="AW172" s="82"/>
      <c r="AX172" s="79"/>
      <c r="AY172" s="82"/>
      <c r="AZ172" s="82"/>
      <c r="BA172" s="86"/>
      <c r="BB172" s="79"/>
      <c r="BC172" s="79"/>
      <c r="BD172" s="79"/>
      <c r="BE172" s="82"/>
      <c r="BF172" s="85"/>
      <c r="BG172" s="79"/>
      <c r="BH172" s="79"/>
      <c r="BI172" s="79"/>
      <c r="BJ172" s="88"/>
      <c r="BK172" s="88"/>
      <c r="BL172" s="79"/>
      <c r="BM172" s="185"/>
      <c r="BN172" s="90"/>
      <c r="BO172" s="80"/>
      <c r="BP172" s="80"/>
      <c r="BQ172" s="80"/>
      <c r="BR172" s="80"/>
      <c r="BS172" s="80"/>
      <c r="BT172" s="80"/>
      <c r="BU172" s="80"/>
      <c r="BV172" s="80"/>
      <c r="BW172" s="82"/>
      <c r="BX172" s="79"/>
      <c r="BY172" s="79"/>
      <c r="BZ172" s="79"/>
      <c r="CA172" s="79"/>
      <c r="CB172" s="79"/>
      <c r="CC172" s="82"/>
      <c r="CD172" s="82"/>
      <c r="CE172" s="82"/>
      <c r="CF172" s="82"/>
      <c r="CG172" s="82"/>
      <c r="CH172" s="82"/>
      <c r="CI172" s="82"/>
      <c r="CJ172" s="79"/>
      <c r="CK172" s="79"/>
      <c r="CL172" s="79"/>
      <c r="CM172" s="79"/>
      <c r="CN172" s="79"/>
      <c r="CO172" s="79"/>
    </row>
    <row r="173" spans="1:93">
      <c r="A173" s="98">
        <v>3</v>
      </c>
      <c r="B173" s="178" t="s">
        <v>1055</v>
      </c>
      <c r="C173" s="188" t="s">
        <v>1052</v>
      </c>
      <c r="D173" s="47" t="s">
        <v>1078</v>
      </c>
      <c r="E173" s="126"/>
      <c r="F173" s="154" t="s">
        <v>1091</v>
      </c>
      <c r="G173" s="191" t="s">
        <v>128</v>
      </c>
      <c r="H173" s="441"/>
      <c r="I173" s="170"/>
      <c r="J173" s="155"/>
      <c r="K173" s="156"/>
      <c r="L173" s="157"/>
      <c r="M173" s="157"/>
      <c r="N173" s="183"/>
      <c r="O173" s="191">
        <v>73854714041</v>
      </c>
      <c r="P173" s="145"/>
      <c r="Q173" s="141"/>
      <c r="R173" s="190"/>
      <c r="S173" s="83"/>
      <c r="T173" s="87"/>
      <c r="U173" s="87"/>
      <c r="V173" s="87"/>
      <c r="W173" s="44"/>
      <c r="X173" s="88"/>
      <c r="Y173" s="79"/>
      <c r="Z173" s="79"/>
      <c r="AA173" s="79"/>
      <c r="AB173" s="79"/>
      <c r="AC173" s="86"/>
      <c r="AD173" s="82"/>
      <c r="AE173" s="79"/>
      <c r="AF173" s="88"/>
      <c r="AG173" s="80"/>
      <c r="AH173" s="79"/>
      <c r="AI173" s="79"/>
      <c r="AJ173" s="79"/>
      <c r="AK173" s="80"/>
      <c r="AL173" s="80"/>
      <c r="AM173" s="80"/>
      <c r="AN173" s="79"/>
      <c r="AO173" s="80"/>
      <c r="AP173" s="80"/>
      <c r="AQ173" s="80"/>
      <c r="AR173" s="85"/>
      <c r="AS173" s="85"/>
      <c r="AT173" s="85"/>
      <c r="AU173" s="85"/>
      <c r="AV173" s="85"/>
      <c r="AW173" s="82"/>
      <c r="AX173" s="79"/>
      <c r="AY173" s="82"/>
      <c r="AZ173" s="82"/>
      <c r="BA173" s="86"/>
      <c r="BB173" s="79"/>
      <c r="BC173" s="79"/>
      <c r="BD173" s="79"/>
      <c r="BE173" s="82"/>
      <c r="BF173" s="85"/>
      <c r="BG173" s="79"/>
      <c r="BH173" s="79"/>
      <c r="BI173" s="79"/>
      <c r="BJ173" s="88"/>
      <c r="BK173" s="88"/>
      <c r="BL173" s="79"/>
      <c r="BM173" s="185"/>
      <c r="BN173" s="90"/>
      <c r="BO173" s="80"/>
      <c r="BP173" s="80"/>
      <c r="BQ173" s="80"/>
      <c r="BR173" s="80"/>
      <c r="BS173" s="80"/>
      <c r="BT173" s="80"/>
      <c r="BU173" s="80"/>
      <c r="BV173" s="80"/>
      <c r="BW173" s="82"/>
      <c r="BX173" s="79"/>
      <c r="BY173" s="79"/>
      <c r="BZ173" s="79"/>
      <c r="CA173" s="79"/>
      <c r="CB173" s="79"/>
      <c r="CC173" s="82"/>
      <c r="CD173" s="82"/>
      <c r="CE173" s="82"/>
      <c r="CF173" s="82"/>
      <c r="CG173" s="82"/>
      <c r="CH173" s="82"/>
      <c r="CI173" s="82"/>
      <c r="CJ173" s="79"/>
      <c r="CK173" s="79"/>
      <c r="CL173" s="79"/>
      <c r="CM173" s="79"/>
      <c r="CN173" s="79"/>
      <c r="CO173" s="79"/>
    </row>
    <row r="174" spans="1:93">
      <c r="A174" s="98">
        <v>4</v>
      </c>
      <c r="B174" s="178" t="s">
        <v>1056</v>
      </c>
      <c r="C174" s="188" t="s">
        <v>1052</v>
      </c>
      <c r="D174" s="47" t="s">
        <v>1076</v>
      </c>
      <c r="E174" s="126"/>
      <c r="F174" s="154" t="s">
        <v>1091</v>
      </c>
      <c r="G174" s="191"/>
      <c r="H174" s="441">
        <v>1</v>
      </c>
      <c r="I174" s="170"/>
      <c r="J174" s="155"/>
      <c r="K174" s="156"/>
      <c r="L174" s="157"/>
      <c r="M174" s="157"/>
      <c r="N174" s="183"/>
      <c r="O174" s="191">
        <v>2718816310</v>
      </c>
      <c r="P174" s="145"/>
      <c r="Q174" s="141"/>
      <c r="R174" s="190"/>
      <c r="S174" s="83"/>
      <c r="T174" s="87"/>
      <c r="U174" s="87"/>
      <c r="V174" s="87"/>
      <c r="W174" s="44"/>
      <c r="X174" s="88"/>
      <c r="Y174" s="79"/>
      <c r="Z174" s="79"/>
      <c r="AA174" s="79"/>
      <c r="AB174" s="79"/>
      <c r="AC174" s="86"/>
      <c r="AD174" s="82"/>
      <c r="AE174" s="79"/>
      <c r="AF174" s="88"/>
      <c r="AG174" s="80"/>
      <c r="AH174" s="79"/>
      <c r="AI174" s="79"/>
      <c r="AJ174" s="79"/>
      <c r="AK174" s="80"/>
      <c r="AL174" s="80"/>
      <c r="AM174" s="80"/>
      <c r="AN174" s="79"/>
      <c r="AO174" s="80"/>
      <c r="AP174" s="80"/>
      <c r="AQ174" s="80"/>
      <c r="AR174" s="85"/>
      <c r="AS174" s="85"/>
      <c r="AT174" s="85"/>
      <c r="AU174" s="85"/>
      <c r="AV174" s="85"/>
      <c r="AW174" s="82"/>
      <c r="AX174" s="79"/>
      <c r="AY174" s="82"/>
      <c r="AZ174" s="82"/>
      <c r="BA174" s="86"/>
      <c r="BB174" s="79"/>
      <c r="BC174" s="79"/>
      <c r="BD174" s="79"/>
      <c r="BE174" s="82"/>
      <c r="BF174" s="85"/>
      <c r="BG174" s="79"/>
      <c r="BH174" s="79"/>
      <c r="BI174" s="79"/>
      <c r="BJ174" s="88"/>
      <c r="BK174" s="88"/>
      <c r="BL174" s="79"/>
      <c r="BM174" s="185"/>
      <c r="BN174" s="90"/>
      <c r="BO174" s="80"/>
      <c r="BP174" s="80"/>
      <c r="BQ174" s="80"/>
      <c r="BR174" s="80"/>
      <c r="BS174" s="80"/>
      <c r="BT174" s="80"/>
      <c r="BU174" s="80"/>
      <c r="BV174" s="80"/>
      <c r="BW174" s="82"/>
      <c r="BX174" s="79"/>
      <c r="BY174" s="79"/>
      <c r="BZ174" s="79"/>
      <c r="CA174" s="79"/>
      <c r="CB174" s="79"/>
      <c r="CC174" s="82"/>
      <c r="CD174" s="82"/>
      <c r="CE174" s="82"/>
      <c r="CF174" s="82"/>
      <c r="CG174" s="82"/>
      <c r="CH174" s="82"/>
      <c r="CI174" s="82"/>
      <c r="CJ174" s="79"/>
      <c r="CK174" s="79"/>
      <c r="CL174" s="79"/>
      <c r="CM174" s="79"/>
      <c r="CN174" s="79"/>
      <c r="CO174" s="79"/>
    </row>
    <row r="175" spans="1:93">
      <c r="A175" s="98">
        <v>5</v>
      </c>
      <c r="B175" s="178" t="s">
        <v>1061</v>
      </c>
      <c r="C175" s="188" t="s">
        <v>1060</v>
      </c>
      <c r="D175" s="47" t="s">
        <v>1079</v>
      </c>
      <c r="E175" s="126"/>
      <c r="F175" s="154" t="s">
        <v>1091</v>
      </c>
      <c r="G175" s="191"/>
      <c r="H175" s="441">
        <v>1</v>
      </c>
      <c r="I175" s="170"/>
      <c r="J175" s="155"/>
      <c r="K175" s="156"/>
      <c r="L175" s="157"/>
      <c r="M175" s="157"/>
      <c r="N175" s="183"/>
      <c r="O175" s="191" t="s">
        <v>1070</v>
      </c>
      <c r="P175" s="145"/>
      <c r="Q175" s="141"/>
      <c r="R175" s="190"/>
      <c r="S175" s="83"/>
      <c r="T175" s="87"/>
      <c r="U175" s="87"/>
      <c r="V175" s="87"/>
      <c r="W175" s="44"/>
      <c r="X175" s="88"/>
      <c r="Y175" s="79"/>
      <c r="Z175" s="79"/>
      <c r="AA175" s="79"/>
      <c r="AB175" s="79"/>
      <c r="AC175" s="86"/>
      <c r="AD175" s="82"/>
      <c r="AE175" s="79"/>
      <c r="AF175" s="88"/>
      <c r="AG175" s="80"/>
      <c r="AH175" s="79"/>
      <c r="AI175" s="79"/>
      <c r="AJ175" s="79"/>
      <c r="AK175" s="80"/>
      <c r="AL175" s="80"/>
      <c r="AM175" s="80"/>
      <c r="AN175" s="79"/>
      <c r="AO175" s="80"/>
      <c r="AP175" s="80"/>
      <c r="AQ175" s="80"/>
      <c r="AR175" s="85"/>
      <c r="AS175" s="85"/>
      <c r="AT175" s="85"/>
      <c r="AU175" s="85"/>
      <c r="AV175" s="85"/>
      <c r="AW175" s="82"/>
      <c r="AX175" s="79"/>
      <c r="AY175" s="82"/>
      <c r="AZ175" s="82"/>
      <c r="BA175" s="86"/>
      <c r="BB175" s="79"/>
      <c r="BC175" s="79"/>
      <c r="BD175" s="79"/>
      <c r="BE175" s="82"/>
      <c r="BF175" s="85"/>
      <c r="BG175" s="79"/>
      <c r="BH175" s="79"/>
      <c r="BI175" s="79"/>
      <c r="BJ175" s="88"/>
      <c r="BK175" s="88"/>
      <c r="BL175" s="79"/>
      <c r="BM175" s="185"/>
      <c r="BN175" s="90"/>
      <c r="BO175" s="80"/>
      <c r="BP175" s="80"/>
      <c r="BQ175" s="80"/>
      <c r="BR175" s="80"/>
      <c r="BS175" s="80"/>
      <c r="BT175" s="80"/>
      <c r="BU175" s="80"/>
      <c r="BV175" s="80"/>
      <c r="BW175" s="82"/>
      <c r="BX175" s="79"/>
      <c r="BY175" s="79"/>
      <c r="BZ175" s="79"/>
      <c r="CA175" s="79"/>
      <c r="CB175" s="79"/>
      <c r="CC175" s="82"/>
      <c r="CD175" s="82"/>
      <c r="CE175" s="82"/>
      <c r="CF175" s="82"/>
      <c r="CG175" s="82"/>
      <c r="CH175" s="82"/>
      <c r="CI175" s="82"/>
      <c r="CJ175" s="79"/>
      <c r="CK175" s="79"/>
      <c r="CL175" s="79"/>
      <c r="CM175" s="79"/>
      <c r="CN175" s="79"/>
      <c r="CO175" s="79"/>
    </row>
    <row r="176" spans="1:93">
      <c r="A176" s="98">
        <v>6</v>
      </c>
      <c r="B176" s="178" t="s">
        <v>1062</v>
      </c>
      <c r="C176" s="188" t="s">
        <v>1044</v>
      </c>
      <c r="D176" s="47" t="s">
        <v>1077</v>
      </c>
      <c r="E176" s="126"/>
      <c r="F176" s="154" t="s">
        <v>1091</v>
      </c>
      <c r="G176" s="191"/>
      <c r="H176" s="441">
        <v>1</v>
      </c>
      <c r="I176" s="170"/>
      <c r="J176" s="155"/>
      <c r="K176" s="156"/>
      <c r="L176" s="157"/>
      <c r="M176" s="157"/>
      <c r="N176" s="183"/>
      <c r="O176" s="191" t="s">
        <v>1071</v>
      </c>
      <c r="P176" s="145"/>
      <c r="Q176" s="141"/>
      <c r="R176" s="190"/>
      <c r="S176" s="83"/>
      <c r="T176" s="87"/>
      <c r="U176" s="87"/>
      <c r="V176" s="87"/>
      <c r="W176" s="44"/>
      <c r="X176" s="88"/>
      <c r="Y176" s="79"/>
      <c r="Z176" s="79"/>
      <c r="AA176" s="79"/>
      <c r="AB176" s="79"/>
      <c r="AC176" s="86"/>
      <c r="AD176" s="82"/>
      <c r="AE176" s="79"/>
      <c r="AF176" s="88"/>
      <c r="AG176" s="80"/>
      <c r="AH176" s="79"/>
      <c r="AI176" s="79"/>
      <c r="AJ176" s="79"/>
      <c r="AK176" s="80"/>
      <c r="AL176" s="80"/>
      <c r="AM176" s="80"/>
      <c r="AN176" s="79"/>
      <c r="AO176" s="80"/>
      <c r="AP176" s="80"/>
      <c r="AQ176" s="80"/>
      <c r="AR176" s="85"/>
      <c r="AS176" s="85"/>
      <c r="AT176" s="85"/>
      <c r="AU176" s="85"/>
      <c r="AV176" s="85"/>
      <c r="AW176" s="82"/>
      <c r="AX176" s="79"/>
      <c r="AY176" s="82"/>
      <c r="AZ176" s="82"/>
      <c r="BA176" s="86"/>
      <c r="BB176" s="79"/>
      <c r="BC176" s="79"/>
      <c r="BD176" s="79"/>
      <c r="BE176" s="82"/>
      <c r="BF176" s="85"/>
      <c r="BG176" s="79"/>
      <c r="BH176" s="79"/>
      <c r="BI176" s="79"/>
      <c r="BJ176" s="88"/>
      <c r="BK176" s="88"/>
      <c r="BL176" s="79"/>
      <c r="BM176" s="185"/>
      <c r="BN176" s="90"/>
      <c r="BO176" s="80"/>
      <c r="BP176" s="80"/>
      <c r="BQ176" s="80"/>
      <c r="BR176" s="80"/>
      <c r="BS176" s="80"/>
      <c r="BT176" s="80"/>
      <c r="BU176" s="80"/>
      <c r="BV176" s="80"/>
      <c r="BW176" s="82"/>
      <c r="BX176" s="79"/>
      <c r="BY176" s="79"/>
      <c r="BZ176" s="79"/>
      <c r="CA176" s="79"/>
      <c r="CB176" s="79"/>
      <c r="CC176" s="82"/>
      <c r="CD176" s="82"/>
      <c r="CE176" s="82"/>
      <c r="CF176" s="82"/>
      <c r="CG176" s="82"/>
      <c r="CH176" s="82"/>
      <c r="CI176" s="82"/>
      <c r="CJ176" s="79"/>
      <c r="CK176" s="79"/>
      <c r="CL176" s="79"/>
      <c r="CM176" s="79"/>
      <c r="CN176" s="79"/>
      <c r="CO176" s="79"/>
    </row>
    <row r="177" spans="1:93">
      <c r="A177" s="98">
        <v>7</v>
      </c>
      <c r="B177" s="380" t="s">
        <v>1047</v>
      </c>
      <c r="C177" s="188">
        <v>45058</v>
      </c>
      <c r="D177" s="47" t="s">
        <v>1081</v>
      </c>
      <c r="E177" s="126"/>
      <c r="F177" s="154" t="s">
        <v>1091</v>
      </c>
      <c r="G177" s="191"/>
      <c r="H177" s="441">
        <v>2</v>
      </c>
      <c r="I177" s="170"/>
      <c r="J177" s="155"/>
      <c r="K177" s="156"/>
      <c r="L177" s="157"/>
      <c r="M177" s="157"/>
      <c r="N177" s="183"/>
      <c r="O177" s="191" t="s">
        <v>1050</v>
      </c>
      <c r="P177" s="145"/>
      <c r="Q177" s="141"/>
      <c r="R177" s="190"/>
      <c r="S177" s="83"/>
      <c r="T177" s="87"/>
      <c r="U177" s="87"/>
      <c r="V177" s="87"/>
      <c r="W177" s="44"/>
      <c r="X177" s="88"/>
      <c r="Y177" s="79"/>
      <c r="Z177" s="79"/>
      <c r="AA177" s="79"/>
      <c r="AB177" s="79"/>
      <c r="AC177" s="86"/>
      <c r="AD177" s="82"/>
      <c r="AE177" s="79"/>
      <c r="AF177" s="88"/>
      <c r="AG177" s="80"/>
      <c r="AH177" s="79"/>
      <c r="AI177" s="79"/>
      <c r="AJ177" s="79"/>
      <c r="AK177" s="80"/>
      <c r="AL177" s="80"/>
      <c r="AM177" s="80"/>
      <c r="AN177" s="79"/>
      <c r="AO177" s="80"/>
      <c r="AP177" s="80"/>
      <c r="AQ177" s="80"/>
      <c r="AR177" s="85"/>
      <c r="AS177" s="85"/>
      <c r="AT177" s="85"/>
      <c r="AU177" s="85"/>
      <c r="AV177" s="85"/>
      <c r="AW177" s="82"/>
      <c r="AX177" s="79"/>
      <c r="AY177" s="82"/>
      <c r="AZ177" s="82"/>
      <c r="BA177" s="86"/>
      <c r="BB177" s="79"/>
      <c r="BC177" s="79"/>
      <c r="BD177" s="79"/>
      <c r="BE177" s="82"/>
      <c r="BF177" s="85"/>
      <c r="BG177" s="79"/>
      <c r="BH177" s="79"/>
      <c r="BI177" s="79"/>
      <c r="BJ177" s="88"/>
      <c r="BK177" s="88"/>
      <c r="BL177" s="79"/>
      <c r="BM177" s="185"/>
      <c r="BN177" s="90"/>
      <c r="BO177" s="80"/>
      <c r="BP177" s="80"/>
      <c r="BQ177" s="80"/>
      <c r="BR177" s="80"/>
      <c r="BS177" s="80"/>
      <c r="BT177" s="80"/>
      <c r="BU177" s="80"/>
      <c r="BV177" s="80"/>
      <c r="BW177" s="82"/>
      <c r="BX177" s="79"/>
      <c r="BY177" s="79"/>
      <c r="BZ177" s="79"/>
      <c r="CA177" s="79"/>
      <c r="CB177" s="79"/>
      <c r="CC177" s="82"/>
      <c r="CD177" s="82"/>
      <c r="CE177" s="82"/>
      <c r="CF177" s="82"/>
      <c r="CG177" s="82"/>
      <c r="CH177" s="82"/>
      <c r="CI177" s="82"/>
      <c r="CJ177" s="79"/>
      <c r="CK177" s="79"/>
      <c r="CL177" s="79"/>
      <c r="CM177" s="79"/>
      <c r="CN177" s="79"/>
      <c r="CO177" s="79"/>
    </row>
    <row r="178" spans="1:93">
      <c r="A178" s="98">
        <v>8</v>
      </c>
      <c r="B178" s="380" t="s">
        <v>1051</v>
      </c>
      <c r="C178" s="188" t="s">
        <v>1052</v>
      </c>
      <c r="D178" s="47" t="s">
        <v>1082</v>
      </c>
      <c r="E178" s="126"/>
      <c r="F178" s="154" t="s">
        <v>1091</v>
      </c>
      <c r="G178" s="191">
        <v>2</v>
      </c>
      <c r="H178" s="441"/>
      <c r="I178" s="170"/>
      <c r="J178" s="155"/>
      <c r="K178" s="156"/>
      <c r="L178" s="157"/>
      <c r="M178" s="157"/>
      <c r="N178" s="183"/>
      <c r="O178" s="191" t="s">
        <v>1066</v>
      </c>
      <c r="P178" s="145"/>
      <c r="Q178" s="141"/>
      <c r="R178" s="190"/>
      <c r="S178" s="83"/>
      <c r="T178" s="87"/>
      <c r="U178" s="87"/>
      <c r="V178" s="87"/>
      <c r="W178" s="44"/>
      <c r="X178" s="88"/>
      <c r="Y178" s="79"/>
      <c r="Z178" s="79"/>
      <c r="AA178" s="79"/>
      <c r="AB178" s="79"/>
      <c r="AC178" s="86"/>
      <c r="AD178" s="82"/>
      <c r="AE178" s="79"/>
      <c r="AF178" s="88"/>
      <c r="AG178" s="80"/>
      <c r="AH178" s="79"/>
      <c r="AI178" s="79"/>
      <c r="AJ178" s="79"/>
      <c r="AK178" s="80"/>
      <c r="AL178" s="80"/>
      <c r="AM178" s="80"/>
      <c r="AN178" s="79"/>
      <c r="AO178" s="80"/>
      <c r="AP178" s="80"/>
      <c r="AQ178" s="80"/>
      <c r="AR178" s="85"/>
      <c r="AS178" s="85"/>
      <c r="AT178" s="85"/>
      <c r="AU178" s="85"/>
      <c r="AV178" s="85"/>
      <c r="AW178" s="82"/>
      <c r="AX178" s="79"/>
      <c r="AY178" s="82"/>
      <c r="AZ178" s="82"/>
      <c r="BA178" s="86"/>
      <c r="BB178" s="79"/>
      <c r="BC178" s="79"/>
      <c r="BD178" s="79"/>
      <c r="BE178" s="82"/>
      <c r="BF178" s="85"/>
      <c r="BG178" s="79"/>
      <c r="BH178" s="79"/>
      <c r="BI178" s="79"/>
      <c r="BJ178" s="88"/>
      <c r="BK178" s="88"/>
      <c r="BL178" s="79"/>
      <c r="BM178" s="185"/>
      <c r="BN178" s="90"/>
      <c r="BO178" s="80"/>
      <c r="BP178" s="80"/>
      <c r="BQ178" s="80"/>
      <c r="BR178" s="80"/>
      <c r="BS178" s="80"/>
      <c r="BT178" s="80"/>
      <c r="BU178" s="80"/>
      <c r="BV178" s="80"/>
      <c r="BW178" s="82"/>
      <c r="BX178" s="79"/>
      <c r="BY178" s="79"/>
      <c r="BZ178" s="79"/>
      <c r="CA178" s="79"/>
      <c r="CB178" s="79"/>
      <c r="CC178" s="82"/>
      <c r="CD178" s="82"/>
      <c r="CE178" s="82"/>
      <c r="CF178" s="82"/>
      <c r="CG178" s="82"/>
      <c r="CH178" s="82"/>
      <c r="CI178" s="82"/>
      <c r="CJ178" s="79"/>
      <c r="CK178" s="79"/>
      <c r="CL178" s="79"/>
      <c r="CM178" s="79"/>
      <c r="CN178" s="79"/>
      <c r="CO178" s="79"/>
    </row>
    <row r="179" spans="1:93">
      <c r="A179" s="98">
        <v>9</v>
      </c>
      <c r="B179" s="380" t="s">
        <v>1053</v>
      </c>
      <c r="C179" s="188" t="s">
        <v>1052</v>
      </c>
      <c r="D179" s="47" t="s">
        <v>1083</v>
      </c>
      <c r="E179" s="126"/>
      <c r="F179" s="154" t="s">
        <v>1091</v>
      </c>
      <c r="G179" s="191"/>
      <c r="H179" s="441">
        <v>1</v>
      </c>
      <c r="I179" s="170"/>
      <c r="J179" s="155"/>
      <c r="K179" s="156"/>
      <c r="L179" s="157"/>
      <c r="M179" s="157"/>
      <c r="N179" s="183"/>
      <c r="O179" s="191">
        <v>609470362</v>
      </c>
      <c r="P179" s="145"/>
      <c r="Q179" s="141"/>
      <c r="R179" s="190"/>
      <c r="S179" s="83"/>
      <c r="T179" s="87"/>
      <c r="U179" s="87"/>
      <c r="V179" s="87"/>
      <c r="W179" s="44"/>
      <c r="X179" s="88"/>
      <c r="Y179" s="79"/>
      <c r="Z179" s="79"/>
      <c r="AA179" s="79"/>
      <c r="AB179" s="79"/>
      <c r="AC179" s="86"/>
      <c r="AD179" s="82"/>
      <c r="AE179" s="79"/>
      <c r="AF179" s="88"/>
      <c r="AG179" s="80"/>
      <c r="AH179" s="79"/>
      <c r="AI179" s="79"/>
      <c r="AJ179" s="79"/>
      <c r="AK179" s="80"/>
      <c r="AL179" s="80"/>
      <c r="AM179" s="80"/>
      <c r="AN179" s="79"/>
      <c r="AO179" s="80"/>
      <c r="AP179" s="80"/>
      <c r="AQ179" s="80"/>
      <c r="AR179" s="85"/>
      <c r="AS179" s="85"/>
      <c r="AT179" s="85"/>
      <c r="AU179" s="85"/>
      <c r="AV179" s="85"/>
      <c r="AW179" s="82"/>
      <c r="AX179" s="79"/>
      <c r="AY179" s="82"/>
      <c r="AZ179" s="82"/>
      <c r="BA179" s="86"/>
      <c r="BB179" s="79"/>
      <c r="BC179" s="79"/>
      <c r="BD179" s="79"/>
      <c r="BE179" s="82"/>
      <c r="BF179" s="85"/>
      <c r="BG179" s="79"/>
      <c r="BH179" s="79"/>
      <c r="BI179" s="79"/>
      <c r="BJ179" s="88"/>
      <c r="BK179" s="88"/>
      <c r="BL179" s="79"/>
      <c r="BM179" s="185"/>
      <c r="BN179" s="90"/>
      <c r="BO179" s="80"/>
      <c r="BP179" s="80"/>
      <c r="BQ179" s="80"/>
      <c r="BR179" s="80"/>
      <c r="BS179" s="80"/>
      <c r="BT179" s="80"/>
      <c r="BU179" s="80"/>
      <c r="BV179" s="80"/>
      <c r="BW179" s="82"/>
      <c r="BX179" s="79"/>
      <c r="BY179" s="79"/>
      <c r="BZ179" s="79"/>
      <c r="CA179" s="79"/>
      <c r="CB179" s="79"/>
      <c r="CC179" s="82"/>
      <c r="CD179" s="82"/>
      <c r="CE179" s="82"/>
      <c r="CF179" s="82"/>
      <c r="CG179" s="82"/>
      <c r="CH179" s="82"/>
      <c r="CI179" s="82"/>
      <c r="CJ179" s="79"/>
      <c r="CK179" s="79"/>
      <c r="CL179" s="79"/>
      <c r="CM179" s="79"/>
      <c r="CN179" s="79"/>
      <c r="CO179" s="79"/>
    </row>
    <row r="180" spans="1:93">
      <c r="A180" s="98">
        <v>10</v>
      </c>
      <c r="B180" s="380" t="s">
        <v>1054</v>
      </c>
      <c r="C180" s="188" t="s">
        <v>1052</v>
      </c>
      <c r="D180" s="47" t="s">
        <v>1090</v>
      </c>
      <c r="E180" s="126"/>
      <c r="F180" s="154" t="s">
        <v>1091</v>
      </c>
      <c r="G180" s="191" t="s">
        <v>102</v>
      </c>
      <c r="H180" s="441"/>
      <c r="I180" s="170"/>
      <c r="J180" s="155"/>
      <c r="K180" s="156"/>
      <c r="L180" s="157"/>
      <c r="M180" s="157"/>
      <c r="N180" s="183"/>
      <c r="O180" s="191" t="s">
        <v>1067</v>
      </c>
      <c r="P180" s="145"/>
      <c r="Q180" s="141"/>
      <c r="R180" s="190"/>
      <c r="S180" s="83"/>
      <c r="T180" s="87"/>
      <c r="U180" s="87"/>
      <c r="V180" s="87"/>
      <c r="W180" s="44"/>
      <c r="X180" s="88"/>
      <c r="Y180" s="79"/>
      <c r="Z180" s="79"/>
      <c r="AA180" s="79"/>
      <c r="AB180" s="79"/>
      <c r="AC180" s="86"/>
      <c r="AD180" s="82"/>
      <c r="AE180" s="79"/>
      <c r="AF180" s="88"/>
      <c r="AG180" s="80"/>
      <c r="AH180" s="79"/>
      <c r="AI180" s="79"/>
      <c r="AJ180" s="79"/>
      <c r="AK180" s="80"/>
      <c r="AL180" s="80"/>
      <c r="AM180" s="80"/>
      <c r="AN180" s="79"/>
      <c r="AO180" s="80"/>
      <c r="AP180" s="80"/>
      <c r="AQ180" s="80"/>
      <c r="AR180" s="85"/>
      <c r="AS180" s="85"/>
      <c r="AT180" s="85"/>
      <c r="AU180" s="85"/>
      <c r="AV180" s="85"/>
      <c r="AW180" s="82"/>
      <c r="AX180" s="79"/>
      <c r="AY180" s="82"/>
      <c r="AZ180" s="82"/>
      <c r="BA180" s="86"/>
      <c r="BB180" s="79"/>
      <c r="BC180" s="79"/>
      <c r="BD180" s="79"/>
      <c r="BE180" s="82"/>
      <c r="BF180" s="85"/>
      <c r="BG180" s="79"/>
      <c r="BH180" s="79"/>
      <c r="BI180" s="79"/>
      <c r="BJ180" s="88"/>
      <c r="BK180" s="88"/>
      <c r="BL180" s="79"/>
      <c r="BM180" s="185"/>
      <c r="BN180" s="90"/>
      <c r="BO180" s="80"/>
      <c r="BP180" s="80"/>
      <c r="BQ180" s="80"/>
      <c r="BR180" s="80"/>
      <c r="BS180" s="80"/>
      <c r="BT180" s="80"/>
      <c r="BU180" s="80"/>
      <c r="BV180" s="80"/>
      <c r="BW180" s="82"/>
      <c r="BX180" s="79"/>
      <c r="BY180" s="79"/>
      <c r="BZ180" s="79"/>
      <c r="CA180" s="79"/>
      <c r="CB180" s="79"/>
      <c r="CC180" s="82"/>
      <c r="CD180" s="82"/>
      <c r="CE180" s="82"/>
      <c r="CF180" s="82"/>
      <c r="CG180" s="82"/>
      <c r="CH180" s="82"/>
      <c r="CI180" s="82"/>
      <c r="CJ180" s="79"/>
      <c r="CK180" s="79"/>
      <c r="CL180" s="79"/>
      <c r="CM180" s="79"/>
      <c r="CN180" s="79"/>
      <c r="CO180" s="79"/>
    </row>
    <row r="181" spans="1:93">
      <c r="A181" s="98">
        <v>11</v>
      </c>
      <c r="B181" s="380" t="s">
        <v>1057</v>
      </c>
      <c r="C181" s="188" t="s">
        <v>1035</v>
      </c>
      <c r="D181" s="47" t="s">
        <v>1084</v>
      </c>
      <c r="E181" s="126"/>
      <c r="F181" s="154" t="s">
        <v>1091</v>
      </c>
      <c r="G181" s="191">
        <v>3</v>
      </c>
      <c r="H181" s="441"/>
      <c r="I181" s="170"/>
      <c r="J181" s="155"/>
      <c r="K181" s="156"/>
      <c r="L181" s="157"/>
      <c r="M181" s="157"/>
      <c r="N181" s="183"/>
      <c r="O181" s="191">
        <v>226784718</v>
      </c>
      <c r="P181" s="145"/>
      <c r="Q181" s="141"/>
      <c r="R181" s="190"/>
      <c r="S181" s="83"/>
      <c r="T181" s="87"/>
      <c r="U181" s="87"/>
      <c r="V181" s="87"/>
      <c r="W181" s="44"/>
      <c r="X181" s="88"/>
      <c r="Y181" s="79"/>
      <c r="Z181" s="79"/>
      <c r="AA181" s="79"/>
      <c r="AB181" s="79"/>
      <c r="AC181" s="86"/>
      <c r="AD181" s="82"/>
      <c r="AE181" s="79"/>
      <c r="AF181" s="88"/>
      <c r="AG181" s="80"/>
      <c r="AH181" s="79"/>
      <c r="AI181" s="79"/>
      <c r="AJ181" s="79"/>
      <c r="AK181" s="80"/>
      <c r="AL181" s="80"/>
      <c r="AM181" s="80"/>
      <c r="AN181" s="79"/>
      <c r="AO181" s="80"/>
      <c r="AP181" s="80"/>
      <c r="AQ181" s="80"/>
      <c r="AR181" s="85"/>
      <c r="AS181" s="85"/>
      <c r="AT181" s="85"/>
      <c r="AU181" s="85"/>
      <c r="AV181" s="85"/>
      <c r="AW181" s="82"/>
      <c r="AX181" s="79"/>
      <c r="AY181" s="82"/>
      <c r="AZ181" s="82"/>
      <c r="BA181" s="86"/>
      <c r="BB181" s="79"/>
      <c r="BC181" s="79"/>
      <c r="BD181" s="79"/>
      <c r="BE181" s="82"/>
      <c r="BF181" s="85"/>
      <c r="BG181" s="79"/>
      <c r="BH181" s="79"/>
      <c r="BI181" s="79"/>
      <c r="BJ181" s="88"/>
      <c r="BK181" s="88"/>
      <c r="BL181" s="79"/>
      <c r="BM181" s="185"/>
      <c r="BN181" s="90"/>
      <c r="BO181" s="80"/>
      <c r="BP181" s="80"/>
      <c r="BQ181" s="80"/>
      <c r="BR181" s="80"/>
      <c r="BS181" s="80"/>
      <c r="BT181" s="80"/>
      <c r="BU181" s="80"/>
      <c r="BV181" s="80"/>
      <c r="BW181" s="82"/>
      <c r="BX181" s="79"/>
      <c r="BY181" s="79"/>
      <c r="BZ181" s="79"/>
      <c r="CA181" s="79"/>
      <c r="CB181" s="79"/>
      <c r="CC181" s="82"/>
      <c r="CD181" s="82"/>
      <c r="CE181" s="82"/>
      <c r="CF181" s="82"/>
      <c r="CG181" s="82"/>
      <c r="CH181" s="82"/>
      <c r="CI181" s="82"/>
      <c r="CJ181" s="79"/>
      <c r="CK181" s="79"/>
      <c r="CL181" s="79"/>
      <c r="CM181" s="79"/>
      <c r="CN181" s="79"/>
      <c r="CO181" s="79"/>
    </row>
    <row r="182" spans="1:93">
      <c r="A182" s="98">
        <v>12</v>
      </c>
      <c r="B182" s="380" t="s">
        <v>1058</v>
      </c>
      <c r="C182" s="188" t="s">
        <v>1035</v>
      </c>
      <c r="D182" s="47" t="s">
        <v>1085</v>
      </c>
      <c r="E182" s="126"/>
      <c r="F182" s="154" t="s">
        <v>1091</v>
      </c>
      <c r="G182" s="191">
        <v>1</v>
      </c>
      <c r="H182" s="441"/>
      <c r="I182" s="170"/>
      <c r="J182" s="155"/>
      <c r="K182" s="156"/>
      <c r="L182" s="157"/>
      <c r="M182" s="157"/>
      <c r="N182" s="183"/>
      <c r="O182" s="191" t="s">
        <v>1068</v>
      </c>
      <c r="P182" s="145"/>
      <c r="Q182" s="141"/>
      <c r="R182" s="190"/>
      <c r="S182" s="83"/>
      <c r="T182" s="87"/>
      <c r="U182" s="87"/>
      <c r="V182" s="87"/>
      <c r="W182" s="44"/>
      <c r="X182" s="88"/>
      <c r="Y182" s="79"/>
      <c r="Z182" s="79"/>
      <c r="AA182" s="79"/>
      <c r="AB182" s="79"/>
      <c r="AC182" s="86"/>
      <c r="AD182" s="82"/>
      <c r="AE182" s="79"/>
      <c r="AF182" s="88"/>
      <c r="AG182" s="80"/>
      <c r="AH182" s="79"/>
      <c r="AI182" s="79"/>
      <c r="AJ182" s="79"/>
      <c r="AK182" s="80"/>
      <c r="AL182" s="80"/>
      <c r="AM182" s="80"/>
      <c r="AN182" s="79"/>
      <c r="AO182" s="80"/>
      <c r="AP182" s="80"/>
      <c r="AQ182" s="80"/>
      <c r="AR182" s="85"/>
      <c r="AS182" s="85"/>
      <c r="AT182" s="85"/>
      <c r="AU182" s="85"/>
      <c r="AV182" s="85"/>
      <c r="AW182" s="82"/>
      <c r="AX182" s="79"/>
      <c r="AY182" s="82"/>
      <c r="AZ182" s="82"/>
      <c r="BA182" s="86"/>
      <c r="BB182" s="79"/>
      <c r="BC182" s="79"/>
      <c r="BD182" s="79"/>
      <c r="BE182" s="82"/>
      <c r="BF182" s="85"/>
      <c r="BG182" s="79"/>
      <c r="BH182" s="79"/>
      <c r="BI182" s="79"/>
      <c r="BJ182" s="88"/>
      <c r="BK182" s="88"/>
      <c r="BL182" s="79"/>
      <c r="BM182" s="185"/>
      <c r="BN182" s="90"/>
      <c r="BO182" s="80"/>
      <c r="BP182" s="80"/>
      <c r="BQ182" s="80"/>
      <c r="BR182" s="80"/>
      <c r="BS182" s="80"/>
      <c r="BT182" s="80"/>
      <c r="BU182" s="80"/>
      <c r="BV182" s="80"/>
      <c r="BW182" s="82"/>
      <c r="BX182" s="79"/>
      <c r="BY182" s="79"/>
      <c r="BZ182" s="79"/>
      <c r="CA182" s="79"/>
      <c r="CB182" s="79"/>
      <c r="CC182" s="82"/>
      <c r="CD182" s="82"/>
      <c r="CE182" s="82"/>
      <c r="CF182" s="82"/>
      <c r="CG182" s="82"/>
      <c r="CH182" s="82"/>
      <c r="CI182" s="82"/>
      <c r="CJ182" s="79"/>
      <c r="CK182" s="79"/>
      <c r="CL182" s="79"/>
      <c r="CM182" s="79"/>
      <c r="CN182" s="79"/>
      <c r="CO182" s="79"/>
    </row>
    <row r="183" spans="1:93">
      <c r="A183" s="98">
        <v>13</v>
      </c>
      <c r="B183" s="380" t="s">
        <v>1059</v>
      </c>
      <c r="C183" s="188" t="s">
        <v>1060</v>
      </c>
      <c r="D183" s="47" t="s">
        <v>1086</v>
      </c>
      <c r="E183" s="126"/>
      <c r="F183" s="154" t="s">
        <v>1091</v>
      </c>
      <c r="G183" s="191"/>
      <c r="H183" s="441">
        <v>2</v>
      </c>
      <c r="I183" s="170"/>
      <c r="J183" s="155"/>
      <c r="K183" s="156"/>
      <c r="L183" s="157"/>
      <c r="M183" s="157"/>
      <c r="N183" s="183"/>
      <c r="O183" s="191" t="s">
        <v>1069</v>
      </c>
      <c r="P183" s="145"/>
      <c r="Q183" s="141"/>
      <c r="R183" s="190"/>
      <c r="S183" s="83"/>
      <c r="T183" s="87"/>
      <c r="U183" s="87"/>
      <c r="V183" s="87"/>
      <c r="W183" s="44"/>
      <c r="X183" s="88"/>
      <c r="Y183" s="79"/>
      <c r="Z183" s="79"/>
      <c r="AA183" s="79"/>
      <c r="AB183" s="79"/>
      <c r="AC183" s="86"/>
      <c r="AD183" s="82"/>
      <c r="AE183" s="79"/>
      <c r="AF183" s="88"/>
      <c r="AG183" s="80"/>
      <c r="AH183" s="79"/>
      <c r="AI183" s="79"/>
      <c r="AJ183" s="79"/>
      <c r="AK183" s="80"/>
      <c r="AL183" s="80"/>
      <c r="AM183" s="80"/>
      <c r="AN183" s="79"/>
      <c r="AO183" s="80"/>
      <c r="AP183" s="80"/>
      <c r="AQ183" s="80"/>
      <c r="AR183" s="85"/>
      <c r="AS183" s="85"/>
      <c r="AT183" s="85"/>
      <c r="AU183" s="85"/>
      <c r="AV183" s="85"/>
      <c r="AW183" s="82"/>
      <c r="AX183" s="79"/>
      <c r="AY183" s="82"/>
      <c r="AZ183" s="82"/>
      <c r="BA183" s="86"/>
      <c r="BB183" s="79"/>
      <c r="BC183" s="79"/>
      <c r="BD183" s="79"/>
      <c r="BE183" s="82"/>
      <c r="BF183" s="85"/>
      <c r="BG183" s="79"/>
      <c r="BH183" s="79"/>
      <c r="BI183" s="79"/>
      <c r="BJ183" s="88"/>
      <c r="BK183" s="88"/>
      <c r="BL183" s="79"/>
      <c r="BM183" s="185"/>
      <c r="BN183" s="90"/>
      <c r="BO183" s="80"/>
      <c r="BP183" s="80"/>
      <c r="BQ183" s="80"/>
      <c r="BR183" s="80"/>
      <c r="BS183" s="80"/>
      <c r="BT183" s="80"/>
      <c r="BU183" s="80"/>
      <c r="BV183" s="80"/>
      <c r="BW183" s="82"/>
      <c r="BX183" s="79"/>
      <c r="BY183" s="79"/>
      <c r="BZ183" s="79"/>
      <c r="CA183" s="79"/>
      <c r="CB183" s="79"/>
      <c r="CC183" s="82"/>
      <c r="CD183" s="82"/>
      <c r="CE183" s="82"/>
      <c r="CF183" s="82"/>
      <c r="CG183" s="82"/>
      <c r="CH183" s="82"/>
      <c r="CI183" s="82"/>
      <c r="CJ183" s="79"/>
      <c r="CK183" s="79"/>
      <c r="CL183" s="79"/>
      <c r="CM183" s="79"/>
      <c r="CN183" s="79"/>
      <c r="CO183" s="79"/>
    </row>
    <row r="184" spans="1:93">
      <c r="A184" s="98">
        <v>14</v>
      </c>
      <c r="B184" s="380" t="s">
        <v>1063</v>
      </c>
      <c r="C184" s="188" t="s">
        <v>1044</v>
      </c>
      <c r="D184" s="47" t="s">
        <v>1087</v>
      </c>
      <c r="E184" s="126"/>
      <c r="F184" s="154" t="s">
        <v>1091</v>
      </c>
      <c r="G184" s="191">
        <v>3</v>
      </c>
      <c r="H184" s="441"/>
      <c r="I184" s="170"/>
      <c r="J184" s="155"/>
      <c r="K184" s="156"/>
      <c r="L184" s="157"/>
      <c r="M184" s="157"/>
      <c r="N184" s="183"/>
      <c r="O184" s="191" t="s">
        <v>1072</v>
      </c>
      <c r="P184" s="145"/>
      <c r="Q184" s="141"/>
      <c r="R184" s="190"/>
      <c r="S184" s="83"/>
      <c r="T184" s="87"/>
      <c r="U184" s="87"/>
      <c r="V184" s="87"/>
      <c r="W184" s="44"/>
      <c r="X184" s="88"/>
      <c r="Y184" s="79"/>
      <c r="Z184" s="79"/>
      <c r="AA184" s="79"/>
      <c r="AB184" s="79"/>
      <c r="AC184" s="86"/>
      <c r="AD184" s="82"/>
      <c r="AE184" s="79"/>
      <c r="AF184" s="88"/>
      <c r="AG184" s="80"/>
      <c r="AH184" s="79"/>
      <c r="AI184" s="79"/>
      <c r="AJ184" s="79"/>
      <c r="AK184" s="80"/>
      <c r="AL184" s="80"/>
      <c r="AM184" s="80"/>
      <c r="AN184" s="79"/>
      <c r="AO184" s="80"/>
      <c r="AP184" s="80"/>
      <c r="AQ184" s="80"/>
      <c r="AR184" s="85"/>
      <c r="AS184" s="85"/>
      <c r="AT184" s="85"/>
      <c r="AU184" s="85"/>
      <c r="AV184" s="85"/>
      <c r="AW184" s="82"/>
      <c r="AX184" s="79"/>
      <c r="AY184" s="82"/>
      <c r="AZ184" s="82"/>
      <c r="BA184" s="86"/>
      <c r="BB184" s="79"/>
      <c r="BC184" s="79"/>
      <c r="BD184" s="79"/>
      <c r="BE184" s="82"/>
      <c r="BF184" s="85"/>
      <c r="BG184" s="79"/>
      <c r="BH184" s="79"/>
      <c r="BI184" s="79"/>
      <c r="BJ184" s="88"/>
      <c r="BK184" s="88"/>
      <c r="BL184" s="79"/>
      <c r="BM184" s="185"/>
      <c r="BN184" s="90"/>
      <c r="BO184" s="80"/>
      <c r="BP184" s="80"/>
      <c r="BQ184" s="80"/>
      <c r="BR184" s="80"/>
      <c r="BS184" s="80"/>
      <c r="BT184" s="80"/>
      <c r="BU184" s="80"/>
      <c r="BV184" s="80"/>
      <c r="BW184" s="82"/>
      <c r="BX184" s="79"/>
      <c r="BY184" s="79"/>
      <c r="BZ184" s="79"/>
      <c r="CA184" s="79"/>
      <c r="CB184" s="79"/>
      <c r="CC184" s="82"/>
      <c r="CD184" s="82"/>
      <c r="CE184" s="82"/>
      <c r="CF184" s="82"/>
      <c r="CG184" s="82"/>
      <c r="CH184" s="82"/>
      <c r="CI184" s="82"/>
      <c r="CJ184" s="79"/>
      <c r="CK184" s="79"/>
      <c r="CL184" s="79"/>
      <c r="CM184" s="79"/>
      <c r="CN184" s="79"/>
      <c r="CO184" s="79"/>
    </row>
    <row r="185" spans="1:93">
      <c r="A185" s="98">
        <v>15</v>
      </c>
      <c r="B185" s="380" t="s">
        <v>1064</v>
      </c>
      <c r="C185" s="188" t="s">
        <v>1044</v>
      </c>
      <c r="D185" s="47" t="s">
        <v>1088</v>
      </c>
      <c r="E185" s="126"/>
      <c r="F185" s="154" t="s">
        <v>1091</v>
      </c>
      <c r="G185" s="191">
        <v>2</v>
      </c>
      <c r="H185" s="441"/>
      <c r="I185" s="170"/>
      <c r="J185" s="155"/>
      <c r="K185" s="156"/>
      <c r="L185" s="157"/>
      <c r="M185" s="157"/>
      <c r="N185" s="183"/>
      <c r="O185" s="191" t="s">
        <v>1073</v>
      </c>
      <c r="P185" s="145"/>
      <c r="Q185" s="141"/>
      <c r="R185" s="190"/>
      <c r="S185" s="83"/>
      <c r="T185" s="87"/>
      <c r="U185" s="87"/>
      <c r="V185" s="87"/>
      <c r="W185" s="44"/>
      <c r="X185" s="88"/>
      <c r="Y185" s="79"/>
      <c r="Z185" s="79"/>
      <c r="AA185" s="79"/>
      <c r="AB185" s="79"/>
      <c r="AC185" s="86"/>
      <c r="AD185" s="82"/>
      <c r="AE185" s="79"/>
      <c r="AF185" s="88"/>
      <c r="AG185" s="80"/>
      <c r="AH185" s="79"/>
      <c r="AI185" s="79"/>
      <c r="AJ185" s="79"/>
      <c r="AK185" s="80"/>
      <c r="AL185" s="80"/>
      <c r="AM185" s="80"/>
      <c r="AN185" s="79"/>
      <c r="AO185" s="80"/>
      <c r="AP185" s="80"/>
      <c r="AQ185" s="80"/>
      <c r="AR185" s="85"/>
      <c r="AS185" s="85"/>
      <c r="AT185" s="85"/>
      <c r="AU185" s="85"/>
      <c r="AV185" s="85"/>
      <c r="AW185" s="82"/>
      <c r="AX185" s="79"/>
      <c r="AY185" s="82"/>
      <c r="AZ185" s="82"/>
      <c r="BA185" s="86"/>
      <c r="BB185" s="79"/>
      <c r="BC185" s="79"/>
      <c r="BD185" s="79"/>
      <c r="BE185" s="82"/>
      <c r="BF185" s="85"/>
      <c r="BG185" s="79"/>
      <c r="BH185" s="79"/>
      <c r="BI185" s="79"/>
      <c r="BJ185" s="88"/>
      <c r="BK185" s="88"/>
      <c r="BL185" s="79"/>
      <c r="BM185" s="185"/>
      <c r="BN185" s="90"/>
      <c r="BO185" s="80"/>
      <c r="BP185" s="80"/>
      <c r="BQ185" s="80"/>
      <c r="BR185" s="80"/>
      <c r="BS185" s="80"/>
      <c r="BT185" s="80"/>
      <c r="BU185" s="80"/>
      <c r="BV185" s="80"/>
      <c r="BW185" s="82"/>
      <c r="BX185" s="79"/>
      <c r="BY185" s="79"/>
      <c r="BZ185" s="79"/>
      <c r="CA185" s="79"/>
      <c r="CB185" s="79"/>
      <c r="CC185" s="82"/>
      <c r="CD185" s="82"/>
      <c r="CE185" s="82"/>
      <c r="CF185" s="82"/>
      <c r="CG185" s="82"/>
      <c r="CH185" s="82"/>
      <c r="CI185" s="82"/>
      <c r="CJ185" s="79"/>
      <c r="CK185" s="79"/>
      <c r="CL185" s="79"/>
      <c r="CM185" s="79"/>
      <c r="CN185" s="79"/>
      <c r="CO185" s="79"/>
    </row>
    <row r="186" spans="1:93">
      <c r="A186" s="98">
        <v>16</v>
      </c>
      <c r="B186" s="380" t="s">
        <v>1065</v>
      </c>
      <c r="C186" s="188" t="s">
        <v>1044</v>
      </c>
      <c r="D186" s="47" t="s">
        <v>1089</v>
      </c>
      <c r="E186" s="126"/>
      <c r="F186" s="154" t="s">
        <v>1091</v>
      </c>
      <c r="G186" s="191">
        <v>2</v>
      </c>
      <c r="H186" s="441"/>
      <c r="I186" s="170"/>
      <c r="J186" s="155"/>
      <c r="K186" s="156"/>
      <c r="L186" s="157"/>
      <c r="M186" s="157"/>
      <c r="N186" s="183"/>
      <c r="O186" s="191" t="s">
        <v>1074</v>
      </c>
      <c r="P186" s="145"/>
      <c r="Q186" s="141"/>
      <c r="R186" s="190"/>
      <c r="S186" s="83"/>
      <c r="T186" s="87"/>
      <c r="U186" s="87"/>
      <c r="V186" s="87"/>
      <c r="W186" s="44"/>
      <c r="X186" s="88"/>
      <c r="Y186" s="79"/>
      <c r="Z186" s="79"/>
      <c r="AA186" s="79"/>
      <c r="AB186" s="79"/>
      <c r="AC186" s="86"/>
      <c r="AD186" s="82"/>
      <c r="AE186" s="79"/>
      <c r="AF186" s="88"/>
      <c r="AG186" s="80"/>
      <c r="AH186" s="79"/>
      <c r="AI186" s="79"/>
      <c r="AJ186" s="79"/>
      <c r="AK186" s="80"/>
      <c r="AL186" s="80"/>
      <c r="AM186" s="80"/>
      <c r="AN186" s="79"/>
      <c r="AO186" s="80"/>
      <c r="AP186" s="80"/>
      <c r="AQ186" s="80"/>
      <c r="AR186" s="85"/>
      <c r="AS186" s="85"/>
      <c r="AT186" s="85"/>
      <c r="AU186" s="85"/>
      <c r="AV186" s="85"/>
      <c r="AW186" s="82"/>
      <c r="AX186" s="79"/>
      <c r="AY186" s="82"/>
      <c r="AZ186" s="82"/>
      <c r="BA186" s="86"/>
      <c r="BB186" s="79"/>
      <c r="BC186" s="79"/>
      <c r="BD186" s="79"/>
      <c r="BE186" s="82"/>
      <c r="BF186" s="85"/>
      <c r="BG186" s="79"/>
      <c r="BH186" s="79"/>
      <c r="BI186" s="79"/>
      <c r="BJ186" s="88"/>
      <c r="BK186" s="88"/>
      <c r="BL186" s="79"/>
      <c r="BM186" s="185"/>
      <c r="BN186" s="90"/>
      <c r="BO186" s="80"/>
      <c r="BP186" s="80"/>
      <c r="BQ186" s="80"/>
      <c r="BR186" s="80"/>
      <c r="BS186" s="80"/>
      <c r="BT186" s="80"/>
      <c r="BU186" s="80"/>
      <c r="BV186" s="80"/>
      <c r="BW186" s="82"/>
      <c r="BX186" s="79"/>
      <c r="BY186" s="79"/>
      <c r="BZ186" s="79"/>
      <c r="CA186" s="79"/>
      <c r="CB186" s="79"/>
      <c r="CC186" s="82"/>
      <c r="CD186" s="82"/>
      <c r="CE186" s="82"/>
      <c r="CF186" s="82"/>
      <c r="CG186" s="82"/>
      <c r="CH186" s="82"/>
      <c r="CI186" s="82"/>
      <c r="CJ186" s="79"/>
      <c r="CK186" s="79"/>
      <c r="CL186" s="79"/>
      <c r="CM186" s="79"/>
      <c r="CN186" s="79"/>
      <c r="CO186" s="79"/>
    </row>
    <row r="187" spans="1:93">
      <c r="A187" s="98"/>
      <c r="B187" s="380" t="s">
        <v>1117</v>
      </c>
      <c r="C187" s="188" t="s">
        <v>1093</v>
      </c>
      <c r="D187" s="47" t="s">
        <v>1134</v>
      </c>
      <c r="E187" s="126"/>
      <c r="F187" s="154"/>
      <c r="G187" s="167"/>
      <c r="H187" s="167">
        <v>2</v>
      </c>
      <c r="I187" s="170"/>
      <c r="J187" s="155"/>
      <c r="K187" s="156"/>
      <c r="L187" s="157"/>
      <c r="M187" s="157"/>
      <c r="N187" s="183"/>
      <c r="O187" s="177" t="s">
        <v>1151</v>
      </c>
      <c r="P187" s="145"/>
      <c r="Q187" s="141"/>
      <c r="R187" s="190"/>
      <c r="S187" s="83"/>
      <c r="T187" s="87"/>
      <c r="U187" s="87"/>
      <c r="V187" s="87"/>
      <c r="W187" s="44"/>
      <c r="X187" s="88"/>
      <c r="Y187" s="79"/>
      <c r="Z187" s="79"/>
      <c r="AA187" s="79"/>
      <c r="AB187" s="79"/>
      <c r="AC187" s="86"/>
      <c r="AD187" s="82"/>
      <c r="AE187" s="79"/>
      <c r="AF187" s="88"/>
      <c r="AG187" s="80"/>
      <c r="AH187" s="79"/>
      <c r="AI187" s="79"/>
      <c r="AJ187" s="79"/>
      <c r="AK187" s="80"/>
      <c r="AL187" s="80"/>
      <c r="AM187" s="80"/>
      <c r="AN187" s="79"/>
      <c r="AO187" s="80"/>
      <c r="AP187" s="80"/>
      <c r="AQ187" s="80"/>
      <c r="AR187" s="85"/>
      <c r="AS187" s="85"/>
      <c r="AT187" s="85"/>
      <c r="AU187" s="85"/>
      <c r="AV187" s="85"/>
      <c r="AW187" s="82"/>
      <c r="AX187" s="79"/>
      <c r="AY187" s="82"/>
      <c r="AZ187" s="82"/>
      <c r="BA187" s="86"/>
      <c r="BB187" s="79"/>
      <c r="BC187" s="79"/>
      <c r="BD187" s="79"/>
      <c r="BE187" s="82"/>
      <c r="BF187" s="85"/>
      <c r="BG187" s="79"/>
      <c r="BH187" s="79"/>
      <c r="BI187" s="79"/>
      <c r="BJ187" s="88"/>
      <c r="BK187" s="88"/>
      <c r="BL187" s="79"/>
      <c r="BM187" s="185"/>
      <c r="BN187" s="90"/>
      <c r="BO187" s="80"/>
      <c r="BP187" s="80"/>
      <c r="BQ187" s="80"/>
      <c r="BR187" s="80"/>
      <c r="BS187" s="80"/>
      <c r="BT187" s="80"/>
      <c r="BU187" s="80"/>
      <c r="BV187" s="80"/>
      <c r="BW187" s="82"/>
      <c r="BX187" s="79"/>
      <c r="BY187" s="79"/>
      <c r="BZ187" s="79"/>
      <c r="CA187" s="79"/>
      <c r="CB187" s="79"/>
      <c r="CC187" s="82"/>
      <c r="CD187" s="82"/>
      <c r="CE187" s="82"/>
      <c r="CF187" s="82"/>
      <c r="CG187" s="82"/>
      <c r="CH187" s="82"/>
      <c r="CI187" s="82"/>
      <c r="CJ187" s="79"/>
      <c r="CK187" s="79"/>
      <c r="CL187" s="79"/>
      <c r="CM187" s="79"/>
      <c r="CN187" s="79"/>
      <c r="CO187" s="79"/>
    </row>
    <row r="188" spans="1:93">
      <c r="A188" s="98"/>
      <c r="B188" s="380" t="s">
        <v>1171</v>
      </c>
      <c r="C188" s="188" t="s">
        <v>1169</v>
      </c>
      <c r="D188" s="47" t="s">
        <v>1167</v>
      </c>
      <c r="E188" s="126" t="s">
        <v>1170</v>
      </c>
      <c r="F188" s="154"/>
      <c r="G188" s="167"/>
      <c r="H188" s="167">
        <v>1</v>
      </c>
      <c r="I188" s="170"/>
      <c r="J188" s="155"/>
      <c r="K188" s="156"/>
      <c r="L188" s="157"/>
      <c r="M188" s="157"/>
      <c r="N188" s="183"/>
      <c r="O188" s="177" t="s">
        <v>1168</v>
      </c>
      <c r="P188" s="145"/>
      <c r="Q188" s="141"/>
      <c r="R188" s="190"/>
      <c r="S188" s="83"/>
      <c r="T188" s="87"/>
      <c r="U188" s="87"/>
      <c r="V188" s="87"/>
      <c r="W188" s="44"/>
      <c r="X188" s="88"/>
      <c r="Y188" s="79"/>
      <c r="Z188" s="79"/>
      <c r="AA188" s="79"/>
      <c r="AB188" s="79"/>
      <c r="AC188" s="86"/>
      <c r="AD188" s="82"/>
      <c r="AE188" s="79"/>
      <c r="AF188" s="88"/>
      <c r="AG188" s="80"/>
      <c r="AH188" s="79"/>
      <c r="AI188" s="79"/>
      <c r="AJ188" s="79"/>
      <c r="AK188" s="80"/>
      <c r="AL188" s="80"/>
      <c r="AM188" s="80"/>
      <c r="AN188" s="79"/>
      <c r="AO188" s="80"/>
      <c r="AP188" s="80"/>
      <c r="AQ188" s="80"/>
      <c r="AR188" s="85"/>
      <c r="AS188" s="85"/>
      <c r="AT188" s="85"/>
      <c r="AU188" s="85"/>
      <c r="AV188" s="85"/>
      <c r="AW188" s="82"/>
      <c r="AX188" s="79"/>
      <c r="AY188" s="82"/>
      <c r="AZ188" s="82"/>
      <c r="BA188" s="86"/>
      <c r="BB188" s="79"/>
      <c r="BC188" s="79"/>
      <c r="BD188" s="79"/>
      <c r="BE188" s="82"/>
      <c r="BF188" s="85"/>
      <c r="BG188" s="79"/>
      <c r="BH188" s="79"/>
      <c r="BI188" s="79"/>
      <c r="BJ188" s="88"/>
      <c r="BK188" s="88"/>
      <c r="BL188" s="79"/>
      <c r="BM188" s="185"/>
      <c r="BN188" s="90"/>
      <c r="BO188" s="80"/>
      <c r="BP188" s="80"/>
      <c r="BQ188" s="80"/>
      <c r="BR188" s="80"/>
      <c r="BS188" s="80"/>
      <c r="BT188" s="80"/>
      <c r="BU188" s="80"/>
      <c r="BV188" s="80"/>
      <c r="BW188" s="82"/>
      <c r="BX188" s="79"/>
      <c r="BY188" s="79"/>
      <c r="BZ188" s="79"/>
      <c r="CA188" s="79"/>
      <c r="CB188" s="79"/>
      <c r="CC188" s="82"/>
      <c r="CD188" s="82"/>
      <c r="CE188" s="82"/>
      <c r="CF188" s="82"/>
      <c r="CG188" s="82"/>
      <c r="CH188" s="82"/>
      <c r="CI188" s="82"/>
      <c r="CJ188" s="79"/>
      <c r="CK188" s="79"/>
      <c r="CL188" s="79"/>
      <c r="CM188" s="79"/>
      <c r="CN188" s="79"/>
      <c r="CO188" s="79"/>
    </row>
    <row r="189" spans="1:93">
      <c r="A189" s="98"/>
      <c r="B189" s="178" t="s">
        <v>1116</v>
      </c>
      <c r="C189" s="188" t="s">
        <v>1133</v>
      </c>
      <c r="D189" s="47" t="s">
        <v>1135</v>
      </c>
      <c r="E189" s="126"/>
      <c r="F189" s="154"/>
      <c r="G189" s="167">
        <v>1</v>
      </c>
      <c r="H189" s="167"/>
      <c r="I189" s="170"/>
      <c r="J189" s="155"/>
      <c r="K189" s="156"/>
      <c r="L189" s="157"/>
      <c r="M189" s="157"/>
      <c r="N189" s="183"/>
      <c r="O189" s="177" t="s">
        <v>1152</v>
      </c>
      <c r="P189" s="145"/>
      <c r="Q189" s="141"/>
      <c r="R189" s="190"/>
      <c r="S189" s="83"/>
      <c r="T189" s="87"/>
      <c r="U189" s="87"/>
      <c r="V189" s="87"/>
      <c r="W189" s="44"/>
      <c r="X189" s="88"/>
      <c r="Y189" s="79"/>
      <c r="Z189" s="79"/>
      <c r="AA189" s="79"/>
      <c r="AB189" s="79"/>
      <c r="AC189" s="86"/>
      <c r="AD189" s="82"/>
      <c r="AE189" s="79"/>
      <c r="AF189" s="88"/>
      <c r="AG189" s="80"/>
      <c r="AH189" s="79"/>
      <c r="AI189" s="79"/>
      <c r="AJ189" s="79"/>
      <c r="AK189" s="80"/>
      <c r="AL189" s="80"/>
      <c r="AM189" s="80"/>
      <c r="AN189" s="79"/>
      <c r="AO189" s="80"/>
      <c r="AP189" s="80"/>
      <c r="AQ189" s="80"/>
      <c r="AR189" s="85"/>
      <c r="AS189" s="85"/>
      <c r="AT189" s="85"/>
      <c r="AU189" s="85"/>
      <c r="AV189" s="85"/>
      <c r="AW189" s="82"/>
      <c r="AX189" s="79"/>
      <c r="AY189" s="82"/>
      <c r="AZ189" s="82"/>
      <c r="BA189" s="86"/>
      <c r="BB189" s="79"/>
      <c r="BC189" s="79"/>
      <c r="BD189" s="79"/>
      <c r="BE189" s="82"/>
      <c r="BF189" s="85"/>
      <c r="BG189" s="79"/>
      <c r="BH189" s="79"/>
      <c r="BI189" s="79"/>
      <c r="BJ189" s="88"/>
      <c r="BK189" s="88"/>
      <c r="BL189" s="79"/>
      <c r="BM189" s="185"/>
      <c r="BN189" s="90"/>
      <c r="BO189" s="80"/>
      <c r="BP189" s="80"/>
      <c r="BQ189" s="80"/>
      <c r="BR189" s="80"/>
      <c r="BS189" s="80"/>
      <c r="BT189" s="80"/>
      <c r="BU189" s="80"/>
      <c r="BV189" s="80"/>
      <c r="BW189" s="82"/>
      <c r="BX189" s="79"/>
      <c r="BY189" s="79"/>
      <c r="BZ189" s="79"/>
      <c r="CA189" s="79"/>
      <c r="CB189" s="79"/>
      <c r="CC189" s="82"/>
      <c r="CD189" s="82"/>
      <c r="CE189" s="82"/>
      <c r="CF189" s="82"/>
      <c r="CG189" s="82"/>
      <c r="CH189" s="82"/>
      <c r="CI189" s="82"/>
      <c r="CJ189" s="79"/>
      <c r="CK189" s="79"/>
      <c r="CL189" s="79"/>
      <c r="CM189" s="79"/>
      <c r="CN189" s="79"/>
      <c r="CO189" s="79"/>
    </row>
    <row r="190" spans="1:93">
      <c r="A190" s="98"/>
      <c r="B190" s="178" t="s">
        <v>1118</v>
      </c>
      <c r="C190" s="188" t="s">
        <v>1093</v>
      </c>
      <c r="D190" s="47" t="s">
        <v>1136</v>
      </c>
      <c r="E190" s="126"/>
      <c r="F190" s="154"/>
      <c r="G190" s="167">
        <v>1</v>
      </c>
      <c r="H190" s="167"/>
      <c r="I190" s="170"/>
      <c r="J190" s="155"/>
      <c r="K190" s="156"/>
      <c r="L190" s="157"/>
      <c r="M190" s="157"/>
      <c r="N190" s="183"/>
      <c r="O190" s="177" t="s">
        <v>1153</v>
      </c>
      <c r="P190" s="145"/>
      <c r="Q190" s="141"/>
      <c r="R190" s="190"/>
      <c r="S190" s="83"/>
      <c r="T190" s="87"/>
      <c r="U190" s="87"/>
      <c r="V190" s="87"/>
      <c r="W190" s="44"/>
      <c r="X190" s="88"/>
      <c r="Y190" s="79"/>
      <c r="Z190" s="79"/>
      <c r="AA190" s="79"/>
      <c r="AB190" s="79"/>
      <c r="AC190" s="86"/>
      <c r="AD190" s="82"/>
      <c r="AE190" s="79"/>
      <c r="AF190" s="88"/>
      <c r="AG190" s="80"/>
      <c r="AH190" s="79"/>
      <c r="AI190" s="79"/>
      <c r="AJ190" s="79"/>
      <c r="AK190" s="80"/>
      <c r="AL190" s="80"/>
      <c r="AM190" s="80"/>
      <c r="AN190" s="79"/>
      <c r="AO190" s="80"/>
      <c r="AP190" s="80"/>
      <c r="AQ190" s="80"/>
      <c r="AR190" s="85"/>
      <c r="AS190" s="85"/>
      <c r="AT190" s="85"/>
      <c r="AU190" s="85"/>
      <c r="AV190" s="85"/>
      <c r="AW190" s="82"/>
      <c r="AX190" s="79"/>
      <c r="AY190" s="82"/>
      <c r="AZ190" s="82"/>
      <c r="BA190" s="86"/>
      <c r="BB190" s="79"/>
      <c r="BC190" s="79"/>
      <c r="BD190" s="79"/>
      <c r="BE190" s="82"/>
      <c r="BF190" s="85"/>
      <c r="BG190" s="79"/>
      <c r="BH190" s="79"/>
      <c r="BI190" s="79"/>
      <c r="BJ190" s="88"/>
      <c r="BK190" s="88"/>
      <c r="BL190" s="79"/>
      <c r="BM190" s="185"/>
      <c r="BN190" s="90"/>
      <c r="BO190" s="80"/>
      <c r="BP190" s="80"/>
      <c r="BQ190" s="80"/>
      <c r="BR190" s="80"/>
      <c r="BS190" s="80"/>
      <c r="BT190" s="80"/>
      <c r="BU190" s="80"/>
      <c r="BV190" s="80"/>
      <c r="BW190" s="82"/>
      <c r="BX190" s="79"/>
      <c r="BY190" s="79"/>
      <c r="BZ190" s="79"/>
      <c r="CA190" s="79"/>
      <c r="CB190" s="79"/>
      <c r="CC190" s="82"/>
      <c r="CD190" s="82"/>
      <c r="CE190" s="82"/>
      <c r="CF190" s="82"/>
      <c r="CG190" s="82"/>
      <c r="CH190" s="82"/>
      <c r="CI190" s="82"/>
      <c r="CJ190" s="79"/>
      <c r="CK190" s="79"/>
      <c r="CL190" s="79"/>
      <c r="CM190" s="79"/>
      <c r="CN190" s="79"/>
      <c r="CO190" s="79"/>
    </row>
    <row r="191" spans="1:93">
      <c r="A191" s="98"/>
      <c r="B191" s="178" t="s">
        <v>1119</v>
      </c>
      <c r="C191" s="188" t="s">
        <v>1093</v>
      </c>
      <c r="D191" s="47" t="s">
        <v>1137</v>
      </c>
      <c r="E191" s="126"/>
      <c r="F191" s="154"/>
      <c r="G191" s="167"/>
      <c r="H191" s="167">
        <v>1</v>
      </c>
      <c r="I191" s="170"/>
      <c r="J191" s="155"/>
      <c r="K191" s="156"/>
      <c r="L191" s="157"/>
      <c r="M191" s="157"/>
      <c r="N191" s="183"/>
      <c r="O191" s="177" t="s">
        <v>1154</v>
      </c>
      <c r="P191" s="145"/>
      <c r="Q191" s="141"/>
      <c r="R191" s="190"/>
      <c r="S191" s="83"/>
      <c r="T191" s="87"/>
      <c r="U191" s="87"/>
      <c r="V191" s="87"/>
      <c r="W191" s="44"/>
      <c r="X191" s="88"/>
      <c r="Y191" s="79"/>
      <c r="Z191" s="79"/>
      <c r="AA191" s="79"/>
      <c r="AB191" s="79"/>
      <c r="AC191" s="86"/>
      <c r="AD191" s="82"/>
      <c r="AE191" s="79"/>
      <c r="AF191" s="88"/>
      <c r="AG191" s="80"/>
      <c r="AH191" s="79"/>
      <c r="AI191" s="79"/>
      <c r="AJ191" s="79"/>
      <c r="AK191" s="80"/>
      <c r="AL191" s="80"/>
      <c r="AM191" s="80"/>
      <c r="AN191" s="79"/>
      <c r="AO191" s="80"/>
      <c r="AP191" s="80"/>
      <c r="AQ191" s="80"/>
      <c r="AR191" s="85"/>
      <c r="AS191" s="85"/>
      <c r="AT191" s="85"/>
      <c r="AU191" s="85"/>
      <c r="AV191" s="85"/>
      <c r="AW191" s="82"/>
      <c r="AX191" s="79"/>
      <c r="AY191" s="82"/>
      <c r="AZ191" s="82"/>
      <c r="BA191" s="86"/>
      <c r="BB191" s="79"/>
      <c r="BC191" s="79"/>
      <c r="BD191" s="79"/>
      <c r="BE191" s="82"/>
      <c r="BF191" s="85"/>
      <c r="BG191" s="79"/>
      <c r="BH191" s="79"/>
      <c r="BI191" s="79"/>
      <c r="BJ191" s="88"/>
      <c r="BK191" s="88"/>
      <c r="BL191" s="79"/>
      <c r="BM191" s="185"/>
      <c r="BN191" s="90"/>
      <c r="BO191" s="80"/>
      <c r="BP191" s="80"/>
      <c r="BQ191" s="80"/>
      <c r="BR191" s="80"/>
      <c r="BS191" s="80"/>
      <c r="BT191" s="80"/>
      <c r="BU191" s="80"/>
      <c r="BV191" s="80"/>
      <c r="BW191" s="82"/>
      <c r="BX191" s="79"/>
      <c r="BY191" s="79"/>
      <c r="BZ191" s="79"/>
      <c r="CA191" s="79"/>
      <c r="CB191" s="79"/>
      <c r="CC191" s="82"/>
      <c r="CD191" s="82"/>
      <c r="CE191" s="82"/>
      <c r="CF191" s="82"/>
      <c r="CG191" s="82"/>
      <c r="CH191" s="82"/>
      <c r="CI191" s="82"/>
      <c r="CJ191" s="79"/>
      <c r="CK191" s="79"/>
      <c r="CL191" s="79"/>
      <c r="CM191" s="79"/>
      <c r="CN191" s="79"/>
      <c r="CO191" s="79"/>
    </row>
    <row r="192" spans="1:93">
      <c r="A192" s="98"/>
      <c r="B192" s="178" t="s">
        <v>1120</v>
      </c>
      <c r="C192" s="188" t="s">
        <v>1093</v>
      </c>
      <c r="D192" s="47" t="s">
        <v>1138</v>
      </c>
      <c r="E192" s="126"/>
      <c r="F192" s="154"/>
      <c r="G192" s="167"/>
      <c r="H192" s="167">
        <v>1</v>
      </c>
      <c r="I192" s="170"/>
      <c r="J192" s="155"/>
      <c r="K192" s="156"/>
      <c r="L192" s="157"/>
      <c r="M192" s="157"/>
      <c r="N192" s="183"/>
      <c r="O192" s="177" t="s">
        <v>1155</v>
      </c>
      <c r="P192" s="145"/>
      <c r="Q192" s="141"/>
      <c r="R192" s="190"/>
      <c r="S192" s="83"/>
      <c r="T192" s="87"/>
      <c r="U192" s="87"/>
      <c r="V192" s="87"/>
      <c r="W192" s="44"/>
      <c r="X192" s="88"/>
      <c r="Y192" s="79"/>
      <c r="Z192" s="79"/>
      <c r="AA192" s="79"/>
      <c r="AB192" s="79"/>
      <c r="AC192" s="86"/>
      <c r="AD192" s="82"/>
      <c r="AE192" s="79"/>
      <c r="AF192" s="88"/>
      <c r="AG192" s="80"/>
      <c r="AH192" s="79"/>
      <c r="AI192" s="79"/>
      <c r="AJ192" s="79"/>
      <c r="AK192" s="80"/>
      <c r="AL192" s="80"/>
      <c r="AM192" s="80"/>
      <c r="AN192" s="79"/>
      <c r="AO192" s="80"/>
      <c r="AP192" s="80"/>
      <c r="AQ192" s="80"/>
      <c r="AR192" s="85"/>
      <c r="AS192" s="85"/>
      <c r="AT192" s="85"/>
      <c r="AU192" s="85"/>
      <c r="AV192" s="85"/>
      <c r="AW192" s="82"/>
      <c r="AX192" s="79"/>
      <c r="AY192" s="82"/>
      <c r="AZ192" s="82"/>
      <c r="BA192" s="86"/>
      <c r="BB192" s="79"/>
      <c r="BC192" s="79"/>
      <c r="BD192" s="79"/>
      <c r="BE192" s="82"/>
      <c r="BF192" s="85"/>
      <c r="BG192" s="79"/>
      <c r="BH192" s="79"/>
      <c r="BI192" s="79"/>
      <c r="BJ192" s="88"/>
      <c r="BK192" s="88"/>
      <c r="BL192" s="79"/>
      <c r="BM192" s="185"/>
      <c r="BN192" s="90"/>
      <c r="BO192" s="80"/>
      <c r="BP192" s="80"/>
      <c r="BQ192" s="80"/>
      <c r="BR192" s="80"/>
      <c r="BS192" s="80"/>
      <c r="BT192" s="80"/>
      <c r="BU192" s="80"/>
      <c r="BV192" s="80"/>
      <c r="BW192" s="82"/>
      <c r="BX192" s="79"/>
      <c r="BY192" s="79"/>
      <c r="BZ192" s="79"/>
      <c r="CA192" s="79"/>
      <c r="CB192" s="79"/>
      <c r="CC192" s="82"/>
      <c r="CD192" s="82"/>
      <c r="CE192" s="82"/>
      <c r="CF192" s="82"/>
      <c r="CG192" s="82"/>
      <c r="CH192" s="82"/>
      <c r="CI192" s="82"/>
      <c r="CJ192" s="79"/>
      <c r="CK192" s="79"/>
      <c r="CL192" s="79"/>
      <c r="CM192" s="79"/>
      <c r="CN192" s="79"/>
      <c r="CO192" s="79"/>
    </row>
    <row r="193" spans="1:93">
      <c r="A193" s="98"/>
      <c r="B193" s="178" t="s">
        <v>1121</v>
      </c>
      <c r="C193" s="188" t="s">
        <v>1093</v>
      </c>
      <c r="D193" s="47" t="s">
        <v>1139</v>
      </c>
      <c r="E193" s="126"/>
      <c r="F193" s="154"/>
      <c r="G193" s="167"/>
      <c r="H193" s="167">
        <v>1</v>
      </c>
      <c r="I193" s="170"/>
      <c r="J193" s="155"/>
      <c r="K193" s="156"/>
      <c r="L193" s="157"/>
      <c r="M193" s="157"/>
      <c r="N193" s="183"/>
      <c r="O193" s="177">
        <v>2719211670</v>
      </c>
      <c r="P193" s="145"/>
      <c r="Q193" s="141"/>
      <c r="R193" s="190"/>
      <c r="S193" s="83"/>
      <c r="T193" s="87"/>
      <c r="U193" s="87"/>
      <c r="V193" s="87"/>
      <c r="W193" s="44"/>
      <c r="X193" s="88"/>
      <c r="Y193" s="79"/>
      <c r="Z193" s="79"/>
      <c r="AA193" s="79"/>
      <c r="AB193" s="79"/>
      <c r="AC193" s="86"/>
      <c r="AD193" s="82"/>
      <c r="AE193" s="79"/>
      <c r="AF193" s="88"/>
      <c r="AG193" s="80"/>
      <c r="AH193" s="79"/>
      <c r="AI193" s="79"/>
      <c r="AJ193" s="79"/>
      <c r="AK193" s="80"/>
      <c r="AL193" s="80"/>
      <c r="AM193" s="80"/>
      <c r="AN193" s="79"/>
      <c r="AO193" s="80"/>
      <c r="AP193" s="80"/>
      <c r="AQ193" s="80"/>
      <c r="AR193" s="85"/>
      <c r="AS193" s="85"/>
      <c r="AT193" s="85"/>
      <c r="AU193" s="85"/>
      <c r="AV193" s="85"/>
      <c r="AW193" s="82"/>
      <c r="AX193" s="79"/>
      <c r="AY193" s="82"/>
      <c r="AZ193" s="82"/>
      <c r="BA193" s="86"/>
      <c r="BB193" s="79"/>
      <c r="BC193" s="79"/>
      <c r="BD193" s="79"/>
      <c r="BE193" s="82"/>
      <c r="BF193" s="85"/>
      <c r="BG193" s="79"/>
      <c r="BH193" s="79"/>
      <c r="BI193" s="79"/>
      <c r="BJ193" s="88"/>
      <c r="BK193" s="88"/>
      <c r="BL193" s="79"/>
      <c r="BM193" s="185"/>
      <c r="BN193" s="90"/>
      <c r="BO193" s="80"/>
      <c r="BP193" s="80"/>
      <c r="BQ193" s="80"/>
      <c r="BR193" s="80"/>
      <c r="BS193" s="80"/>
      <c r="BT193" s="80"/>
      <c r="BU193" s="80"/>
      <c r="BV193" s="80"/>
      <c r="BW193" s="82"/>
      <c r="BX193" s="79"/>
      <c r="BY193" s="79"/>
      <c r="BZ193" s="79"/>
      <c r="CA193" s="79"/>
      <c r="CB193" s="79"/>
      <c r="CC193" s="82"/>
      <c r="CD193" s="82"/>
      <c r="CE193" s="82"/>
      <c r="CF193" s="82"/>
      <c r="CG193" s="82"/>
      <c r="CH193" s="82"/>
      <c r="CI193" s="82"/>
      <c r="CJ193" s="79"/>
      <c r="CK193" s="79"/>
      <c r="CL193" s="79"/>
      <c r="CM193" s="79"/>
      <c r="CN193" s="79"/>
      <c r="CO193" s="79"/>
    </row>
    <row r="194" spans="1:93">
      <c r="A194" s="98"/>
      <c r="B194" s="178" t="s">
        <v>1122</v>
      </c>
      <c r="C194" s="188" t="s">
        <v>1093</v>
      </c>
      <c r="D194" s="47" t="s">
        <v>1140</v>
      </c>
      <c r="E194" s="126"/>
      <c r="F194" s="154"/>
      <c r="G194" s="167">
        <v>1</v>
      </c>
      <c r="H194" s="167"/>
      <c r="I194" s="170"/>
      <c r="J194" s="155"/>
      <c r="K194" s="156"/>
      <c r="L194" s="157"/>
      <c r="M194" s="157"/>
      <c r="N194" s="183"/>
      <c r="O194" s="177" t="s">
        <v>1156</v>
      </c>
      <c r="P194" s="145"/>
      <c r="Q194" s="141"/>
      <c r="R194" s="190"/>
      <c r="S194" s="83"/>
      <c r="T194" s="87"/>
      <c r="U194" s="87"/>
      <c r="V194" s="87"/>
      <c r="W194" s="44"/>
      <c r="X194" s="88"/>
      <c r="Y194" s="79"/>
      <c r="Z194" s="79"/>
      <c r="AA194" s="79"/>
      <c r="AB194" s="79"/>
      <c r="AC194" s="86"/>
      <c r="AD194" s="82"/>
      <c r="AE194" s="79"/>
      <c r="AF194" s="88"/>
      <c r="AG194" s="80"/>
      <c r="AH194" s="79"/>
      <c r="AI194" s="79"/>
      <c r="AJ194" s="79"/>
      <c r="AK194" s="80"/>
      <c r="AL194" s="80"/>
      <c r="AM194" s="80"/>
      <c r="AN194" s="79"/>
      <c r="AO194" s="80"/>
      <c r="AP194" s="80"/>
      <c r="AQ194" s="80"/>
      <c r="AR194" s="85"/>
      <c r="AS194" s="85"/>
      <c r="AT194" s="85"/>
      <c r="AU194" s="85"/>
      <c r="AV194" s="85"/>
      <c r="AW194" s="82"/>
      <c r="AX194" s="79"/>
      <c r="AY194" s="82"/>
      <c r="AZ194" s="82"/>
      <c r="BA194" s="86"/>
      <c r="BB194" s="79"/>
      <c r="BC194" s="79"/>
      <c r="BD194" s="79"/>
      <c r="BE194" s="82"/>
      <c r="BF194" s="85"/>
      <c r="BG194" s="79"/>
      <c r="BH194" s="79"/>
      <c r="BI194" s="79"/>
      <c r="BJ194" s="88"/>
      <c r="BK194" s="88"/>
      <c r="BL194" s="79"/>
      <c r="BM194" s="185"/>
      <c r="BN194" s="90"/>
      <c r="BO194" s="80"/>
      <c r="BP194" s="80"/>
      <c r="BQ194" s="80"/>
      <c r="BR194" s="80"/>
      <c r="BS194" s="80"/>
      <c r="BT194" s="80"/>
      <c r="BU194" s="80"/>
      <c r="BV194" s="80"/>
      <c r="BW194" s="82"/>
      <c r="BX194" s="79"/>
      <c r="BY194" s="79"/>
      <c r="BZ194" s="79"/>
      <c r="CA194" s="79"/>
      <c r="CB194" s="79"/>
      <c r="CC194" s="82"/>
      <c r="CD194" s="82"/>
      <c r="CE194" s="82"/>
      <c r="CF194" s="82"/>
      <c r="CG194" s="82"/>
      <c r="CH194" s="82"/>
      <c r="CI194" s="82"/>
      <c r="CJ194" s="79"/>
      <c r="CK194" s="79"/>
      <c r="CL194" s="79"/>
      <c r="CM194" s="79"/>
      <c r="CN194" s="79"/>
      <c r="CO194" s="79"/>
    </row>
    <row r="195" spans="1:93" ht="26.4">
      <c r="A195" s="98"/>
      <c r="B195" s="319" t="s">
        <v>1123</v>
      </c>
      <c r="C195" s="188" t="s">
        <v>1096</v>
      </c>
      <c r="D195" s="47" t="s">
        <v>1141</v>
      </c>
      <c r="E195" s="126"/>
      <c r="F195" s="154"/>
      <c r="G195" s="167"/>
      <c r="H195" s="167">
        <v>1</v>
      </c>
      <c r="I195" s="170"/>
      <c r="J195" s="155"/>
      <c r="K195" s="156"/>
      <c r="L195" s="157"/>
      <c r="M195" s="157"/>
      <c r="N195" s="183"/>
      <c r="O195" s="177" t="s">
        <v>1157</v>
      </c>
      <c r="P195" s="145"/>
      <c r="Q195" s="141"/>
      <c r="R195" s="190"/>
      <c r="S195" s="83"/>
      <c r="T195" s="87"/>
      <c r="U195" s="87"/>
      <c r="V195" s="87"/>
      <c r="W195" s="44"/>
      <c r="X195" s="88"/>
      <c r="Y195" s="79"/>
      <c r="Z195" s="79"/>
      <c r="AA195" s="79"/>
      <c r="AB195" s="79"/>
      <c r="AC195" s="86"/>
      <c r="AD195" s="82"/>
      <c r="AE195" s="79"/>
      <c r="AF195" s="88"/>
      <c r="AG195" s="80"/>
      <c r="AH195" s="79"/>
      <c r="AI195" s="79"/>
      <c r="AJ195" s="79"/>
      <c r="AK195" s="80"/>
      <c r="AL195" s="80"/>
      <c r="AM195" s="80"/>
      <c r="AN195" s="79"/>
      <c r="AO195" s="80"/>
      <c r="AP195" s="80"/>
      <c r="AQ195" s="80"/>
      <c r="AR195" s="85"/>
      <c r="AS195" s="85"/>
      <c r="AT195" s="85"/>
      <c r="AU195" s="85"/>
      <c r="AV195" s="85"/>
      <c r="AW195" s="82"/>
      <c r="AX195" s="79"/>
      <c r="AY195" s="82"/>
      <c r="AZ195" s="82"/>
      <c r="BA195" s="86"/>
      <c r="BB195" s="79"/>
      <c r="BC195" s="79"/>
      <c r="BD195" s="79"/>
      <c r="BE195" s="82"/>
      <c r="BF195" s="85"/>
      <c r="BG195" s="79"/>
      <c r="BH195" s="79"/>
      <c r="BI195" s="79"/>
      <c r="BJ195" s="88"/>
      <c r="BK195" s="88"/>
      <c r="BL195" s="79"/>
      <c r="BM195" s="185"/>
      <c r="BN195" s="90"/>
      <c r="BO195" s="80"/>
      <c r="BP195" s="80"/>
      <c r="BQ195" s="80"/>
      <c r="BR195" s="80"/>
      <c r="BS195" s="80"/>
      <c r="BT195" s="80"/>
      <c r="BU195" s="80"/>
      <c r="BV195" s="80"/>
      <c r="BW195" s="82"/>
      <c r="BX195" s="79"/>
      <c r="BY195" s="79"/>
      <c r="BZ195" s="79"/>
      <c r="CA195" s="79"/>
      <c r="CB195" s="79"/>
      <c r="CC195" s="82"/>
      <c r="CD195" s="82"/>
      <c r="CE195" s="82"/>
      <c r="CF195" s="82"/>
      <c r="CG195" s="82"/>
      <c r="CH195" s="82"/>
      <c r="CI195" s="82"/>
      <c r="CJ195" s="79"/>
      <c r="CK195" s="79"/>
      <c r="CL195" s="79"/>
      <c r="CM195" s="79"/>
      <c r="CN195" s="79"/>
      <c r="CO195" s="79"/>
    </row>
    <row r="196" spans="1:93">
      <c r="A196" s="98"/>
      <c r="B196" s="178" t="s">
        <v>1124</v>
      </c>
      <c r="C196" s="188" t="s">
        <v>1096</v>
      </c>
      <c r="D196" s="47" t="s">
        <v>1142</v>
      </c>
      <c r="E196" s="126"/>
      <c r="F196" s="154"/>
      <c r="G196" s="167">
        <v>1</v>
      </c>
      <c r="H196" s="167"/>
      <c r="I196" s="170"/>
      <c r="J196" s="155"/>
      <c r="K196" s="156"/>
      <c r="L196" s="157"/>
      <c r="M196" s="157"/>
      <c r="N196" s="183"/>
      <c r="O196" s="177" t="s">
        <v>1158</v>
      </c>
      <c r="P196" s="145"/>
      <c r="Q196" s="141"/>
      <c r="R196" s="190"/>
      <c r="S196" s="83"/>
      <c r="T196" s="87"/>
      <c r="U196" s="87"/>
      <c r="V196" s="87"/>
      <c r="W196" s="44"/>
      <c r="X196" s="88"/>
      <c r="Y196" s="79"/>
      <c r="Z196" s="79"/>
      <c r="AA196" s="79"/>
      <c r="AB196" s="79"/>
      <c r="AC196" s="86"/>
      <c r="AD196" s="82"/>
      <c r="AE196" s="79"/>
      <c r="AF196" s="88"/>
      <c r="AG196" s="80"/>
      <c r="AH196" s="79"/>
      <c r="AI196" s="79"/>
      <c r="AJ196" s="79"/>
      <c r="AK196" s="80"/>
      <c r="AL196" s="80"/>
      <c r="AM196" s="80"/>
      <c r="AN196" s="79"/>
      <c r="AO196" s="80"/>
      <c r="AP196" s="80"/>
      <c r="AQ196" s="80"/>
      <c r="AR196" s="85"/>
      <c r="AS196" s="85"/>
      <c r="AT196" s="85"/>
      <c r="AU196" s="85"/>
      <c r="AV196" s="85"/>
      <c r="AW196" s="82"/>
      <c r="AX196" s="79"/>
      <c r="AY196" s="82"/>
      <c r="AZ196" s="82"/>
      <c r="BA196" s="86"/>
      <c r="BB196" s="79"/>
      <c r="BC196" s="79"/>
      <c r="BD196" s="79"/>
      <c r="BE196" s="82"/>
      <c r="BF196" s="85"/>
      <c r="BG196" s="79"/>
      <c r="BH196" s="79"/>
      <c r="BI196" s="79"/>
      <c r="BJ196" s="88"/>
      <c r="BK196" s="88"/>
      <c r="BL196" s="79"/>
      <c r="BM196" s="185"/>
      <c r="BN196" s="90"/>
      <c r="BO196" s="80"/>
      <c r="BP196" s="80"/>
      <c r="BQ196" s="80"/>
      <c r="BR196" s="80"/>
      <c r="BS196" s="80"/>
      <c r="BT196" s="80"/>
      <c r="BU196" s="80"/>
      <c r="BV196" s="80"/>
      <c r="BW196" s="82"/>
      <c r="BX196" s="79"/>
      <c r="BY196" s="79"/>
      <c r="BZ196" s="79"/>
      <c r="CA196" s="79"/>
      <c r="CB196" s="79"/>
      <c r="CC196" s="82"/>
      <c r="CD196" s="82"/>
      <c r="CE196" s="82"/>
      <c r="CF196" s="82"/>
      <c r="CG196" s="82"/>
      <c r="CH196" s="82"/>
      <c r="CI196" s="82"/>
      <c r="CJ196" s="79"/>
      <c r="CK196" s="79"/>
      <c r="CL196" s="79"/>
      <c r="CM196" s="79"/>
      <c r="CN196" s="79"/>
      <c r="CO196" s="79"/>
    </row>
    <row r="197" spans="1:93">
      <c r="A197" s="98"/>
      <c r="B197" s="178" t="s">
        <v>1125</v>
      </c>
      <c r="C197" s="188" t="s">
        <v>1096</v>
      </c>
      <c r="D197" s="47" t="s">
        <v>1143</v>
      </c>
      <c r="E197" s="126"/>
      <c r="F197" s="154"/>
      <c r="G197" s="167">
        <v>1</v>
      </c>
      <c r="H197" s="167"/>
      <c r="I197" s="170"/>
      <c r="J197" s="155"/>
      <c r="K197" s="156"/>
      <c r="L197" s="157"/>
      <c r="M197" s="157"/>
      <c r="N197" s="183"/>
      <c r="O197" s="177" t="s">
        <v>1159</v>
      </c>
      <c r="P197" s="145"/>
      <c r="Q197" s="141"/>
      <c r="R197" s="190"/>
      <c r="S197" s="83"/>
      <c r="T197" s="87"/>
      <c r="U197" s="87"/>
      <c r="V197" s="87"/>
      <c r="W197" s="44"/>
      <c r="X197" s="88"/>
      <c r="Y197" s="79"/>
      <c r="Z197" s="79"/>
      <c r="AA197" s="79"/>
      <c r="AB197" s="79"/>
      <c r="AC197" s="86"/>
      <c r="AD197" s="82"/>
      <c r="AE197" s="79"/>
      <c r="AF197" s="88"/>
      <c r="AG197" s="80"/>
      <c r="AH197" s="79"/>
      <c r="AI197" s="79"/>
      <c r="AJ197" s="79"/>
      <c r="AK197" s="80"/>
      <c r="AL197" s="80"/>
      <c r="AM197" s="80"/>
      <c r="AN197" s="79"/>
      <c r="AO197" s="80"/>
      <c r="AP197" s="80"/>
      <c r="AQ197" s="80"/>
      <c r="AR197" s="85"/>
      <c r="AS197" s="85"/>
      <c r="AT197" s="85"/>
      <c r="AU197" s="85"/>
      <c r="AV197" s="85"/>
      <c r="AW197" s="82"/>
      <c r="AX197" s="79"/>
      <c r="AY197" s="82"/>
      <c r="AZ197" s="82"/>
      <c r="BA197" s="86"/>
      <c r="BB197" s="79"/>
      <c r="BC197" s="79"/>
      <c r="BD197" s="79"/>
      <c r="BE197" s="82"/>
      <c r="BF197" s="85"/>
      <c r="BG197" s="79"/>
      <c r="BH197" s="79"/>
      <c r="BI197" s="79"/>
      <c r="BJ197" s="88"/>
      <c r="BK197" s="88"/>
      <c r="BL197" s="79"/>
      <c r="BM197" s="185"/>
      <c r="BN197" s="90"/>
      <c r="BO197" s="80"/>
      <c r="BP197" s="80"/>
      <c r="BQ197" s="80"/>
      <c r="BR197" s="80"/>
      <c r="BS197" s="80"/>
      <c r="BT197" s="80"/>
      <c r="BU197" s="80"/>
      <c r="BV197" s="80"/>
      <c r="BW197" s="82"/>
      <c r="BX197" s="79"/>
      <c r="BY197" s="79"/>
      <c r="BZ197" s="79"/>
      <c r="CA197" s="79"/>
      <c r="CB197" s="79"/>
      <c r="CC197" s="82"/>
      <c r="CD197" s="82"/>
      <c r="CE197" s="82"/>
      <c r="CF197" s="82"/>
      <c r="CG197" s="82"/>
      <c r="CH197" s="82"/>
      <c r="CI197" s="82"/>
      <c r="CJ197" s="79"/>
      <c r="CK197" s="79"/>
      <c r="CL197" s="79"/>
      <c r="CM197" s="79"/>
      <c r="CN197" s="79"/>
      <c r="CO197" s="79"/>
    </row>
    <row r="198" spans="1:93">
      <c r="A198" s="98"/>
      <c r="B198" s="178" t="s">
        <v>1126</v>
      </c>
      <c r="C198" s="188" t="s">
        <v>1096</v>
      </c>
      <c r="D198" s="47" t="s">
        <v>1144</v>
      </c>
      <c r="E198" s="126"/>
      <c r="F198" s="154"/>
      <c r="G198" s="167">
        <v>1</v>
      </c>
      <c r="H198" s="167"/>
      <c r="I198" s="170"/>
      <c r="J198" s="155"/>
      <c r="K198" s="156"/>
      <c r="L198" s="157"/>
      <c r="M198" s="157"/>
      <c r="N198" s="183"/>
      <c r="O198" s="177" t="s">
        <v>1160</v>
      </c>
      <c r="P198" s="145"/>
      <c r="Q198" s="141"/>
      <c r="R198" s="190"/>
      <c r="S198" s="83"/>
      <c r="T198" s="87"/>
      <c r="U198" s="87"/>
      <c r="V198" s="87"/>
      <c r="W198" s="44"/>
      <c r="X198" s="88"/>
      <c r="Y198" s="79"/>
      <c r="Z198" s="79"/>
      <c r="AA198" s="79"/>
      <c r="AB198" s="79"/>
      <c r="AC198" s="86"/>
      <c r="AD198" s="82"/>
      <c r="AE198" s="79"/>
      <c r="AF198" s="88"/>
      <c r="AG198" s="80"/>
      <c r="AH198" s="79"/>
      <c r="AI198" s="79"/>
      <c r="AJ198" s="79"/>
      <c r="AK198" s="80"/>
      <c r="AL198" s="80"/>
      <c r="AM198" s="80"/>
      <c r="AN198" s="79"/>
      <c r="AO198" s="80"/>
      <c r="AP198" s="80"/>
      <c r="AQ198" s="80"/>
      <c r="AR198" s="85"/>
      <c r="AS198" s="85"/>
      <c r="AT198" s="85"/>
      <c r="AU198" s="85"/>
      <c r="AV198" s="85"/>
      <c r="AW198" s="82"/>
      <c r="AX198" s="79"/>
      <c r="AY198" s="82"/>
      <c r="AZ198" s="82"/>
      <c r="BA198" s="86"/>
      <c r="BB198" s="79"/>
      <c r="BC198" s="79"/>
      <c r="BD198" s="79"/>
      <c r="BE198" s="82"/>
      <c r="BF198" s="85"/>
      <c r="BG198" s="79"/>
      <c r="BH198" s="79"/>
      <c r="BI198" s="79"/>
      <c r="BJ198" s="88"/>
      <c r="BK198" s="88"/>
      <c r="BL198" s="79"/>
      <c r="BM198" s="185"/>
      <c r="BN198" s="90"/>
      <c r="BO198" s="80"/>
      <c r="BP198" s="80"/>
      <c r="BQ198" s="80"/>
      <c r="BR198" s="80"/>
      <c r="BS198" s="80"/>
      <c r="BT198" s="80"/>
      <c r="BU198" s="80"/>
      <c r="BV198" s="80"/>
      <c r="BW198" s="82"/>
      <c r="BX198" s="79"/>
      <c r="BY198" s="79"/>
      <c r="BZ198" s="79"/>
      <c r="CA198" s="79"/>
      <c r="CB198" s="79"/>
      <c r="CC198" s="82"/>
      <c r="CD198" s="82"/>
      <c r="CE198" s="82"/>
      <c r="CF198" s="82"/>
      <c r="CG198" s="82"/>
      <c r="CH198" s="82"/>
      <c r="CI198" s="82"/>
      <c r="CJ198" s="79"/>
      <c r="CK198" s="79"/>
      <c r="CL198" s="79"/>
      <c r="CM198" s="79"/>
      <c r="CN198" s="79"/>
      <c r="CO198" s="79"/>
    </row>
    <row r="199" spans="1:93">
      <c r="A199" s="98"/>
      <c r="B199" s="178" t="s">
        <v>1127</v>
      </c>
      <c r="C199" s="188" t="s">
        <v>1096</v>
      </c>
      <c r="D199" s="47" t="s">
        <v>1145</v>
      </c>
      <c r="E199" s="126"/>
      <c r="F199" s="154"/>
      <c r="G199" s="167">
        <v>1</v>
      </c>
      <c r="H199" s="167"/>
      <c r="I199" s="170"/>
      <c r="J199" s="155"/>
      <c r="K199" s="156"/>
      <c r="L199" s="157"/>
      <c r="M199" s="157"/>
      <c r="N199" s="183"/>
      <c r="O199" s="177" t="s">
        <v>1161</v>
      </c>
      <c r="P199" s="145"/>
      <c r="Q199" s="141"/>
      <c r="R199" s="190"/>
      <c r="S199" s="83"/>
      <c r="T199" s="87"/>
      <c r="U199" s="87"/>
      <c r="V199" s="87"/>
      <c r="W199" s="44"/>
      <c r="X199" s="88"/>
      <c r="Y199" s="79"/>
      <c r="Z199" s="79"/>
      <c r="AA199" s="79"/>
      <c r="AB199" s="79"/>
      <c r="AC199" s="86"/>
      <c r="AD199" s="82"/>
      <c r="AE199" s="79"/>
      <c r="AF199" s="88"/>
      <c r="AG199" s="80"/>
      <c r="AH199" s="79"/>
      <c r="AI199" s="79"/>
      <c r="AJ199" s="79"/>
      <c r="AK199" s="80"/>
      <c r="AL199" s="80"/>
      <c r="AM199" s="80"/>
      <c r="AN199" s="79"/>
      <c r="AO199" s="80"/>
      <c r="AP199" s="80"/>
      <c r="AQ199" s="80"/>
      <c r="AR199" s="85"/>
      <c r="AS199" s="85"/>
      <c r="AT199" s="85"/>
      <c r="AU199" s="85"/>
      <c r="AV199" s="85"/>
      <c r="AW199" s="82"/>
      <c r="AX199" s="79"/>
      <c r="AY199" s="82"/>
      <c r="AZ199" s="82"/>
      <c r="BA199" s="86"/>
      <c r="BB199" s="79"/>
      <c r="BC199" s="79"/>
      <c r="BD199" s="79"/>
      <c r="BE199" s="82"/>
      <c r="BF199" s="85"/>
      <c r="BG199" s="79"/>
      <c r="BH199" s="79"/>
      <c r="BI199" s="79"/>
      <c r="BJ199" s="88"/>
      <c r="BK199" s="88"/>
      <c r="BL199" s="79"/>
      <c r="BM199" s="185"/>
      <c r="BN199" s="90"/>
      <c r="BO199" s="80"/>
      <c r="BP199" s="80"/>
      <c r="BQ199" s="80"/>
      <c r="BR199" s="80"/>
      <c r="BS199" s="80"/>
      <c r="BT199" s="80"/>
      <c r="BU199" s="80"/>
      <c r="BV199" s="80"/>
      <c r="BW199" s="82"/>
      <c r="BX199" s="79"/>
      <c r="BY199" s="79"/>
      <c r="BZ199" s="79"/>
      <c r="CA199" s="79"/>
      <c r="CB199" s="79"/>
      <c r="CC199" s="82"/>
      <c r="CD199" s="82"/>
      <c r="CE199" s="82"/>
      <c r="CF199" s="82"/>
      <c r="CG199" s="82"/>
      <c r="CH199" s="82"/>
      <c r="CI199" s="82"/>
      <c r="CJ199" s="79"/>
      <c r="CK199" s="79"/>
      <c r="CL199" s="79"/>
      <c r="CM199" s="79"/>
      <c r="CN199" s="79"/>
      <c r="CO199" s="79"/>
    </row>
    <row r="200" spans="1:93">
      <c r="A200" s="98"/>
      <c r="B200" s="178" t="s">
        <v>1128</v>
      </c>
      <c r="C200" s="188" t="s">
        <v>1096</v>
      </c>
      <c r="D200" s="47" t="s">
        <v>1146</v>
      </c>
      <c r="E200" s="126"/>
      <c r="F200" s="154"/>
      <c r="G200" s="167" t="s">
        <v>128</v>
      </c>
      <c r="I200" s="170"/>
      <c r="J200" s="155"/>
      <c r="K200" s="156"/>
      <c r="L200" s="157"/>
      <c r="M200" s="157"/>
      <c r="N200" s="183"/>
      <c r="O200" s="177" t="s">
        <v>1162</v>
      </c>
      <c r="P200" s="145"/>
      <c r="Q200" s="141"/>
      <c r="R200" s="190"/>
      <c r="S200" s="83"/>
      <c r="T200" s="87"/>
      <c r="U200" s="87"/>
      <c r="V200" s="87"/>
      <c r="W200" s="44"/>
      <c r="X200" s="88"/>
      <c r="Y200" s="79"/>
      <c r="Z200" s="79"/>
      <c r="AA200" s="79"/>
      <c r="AB200" s="79"/>
      <c r="AC200" s="86"/>
      <c r="AD200" s="82"/>
      <c r="AE200" s="79"/>
      <c r="AF200" s="88"/>
      <c r="AG200" s="80"/>
      <c r="AH200" s="79"/>
      <c r="AI200" s="79"/>
      <c r="AJ200" s="79"/>
      <c r="AK200" s="80"/>
      <c r="AL200" s="80"/>
      <c r="AM200" s="80"/>
      <c r="AN200" s="79"/>
      <c r="AO200" s="80"/>
      <c r="AP200" s="80"/>
      <c r="AQ200" s="80"/>
      <c r="AR200" s="85"/>
      <c r="AS200" s="85"/>
      <c r="AT200" s="85"/>
      <c r="AU200" s="85"/>
      <c r="AV200" s="85"/>
      <c r="AW200" s="82"/>
      <c r="AX200" s="79"/>
      <c r="AY200" s="82"/>
      <c r="AZ200" s="82"/>
      <c r="BA200" s="86"/>
      <c r="BB200" s="79"/>
      <c r="BC200" s="79"/>
      <c r="BD200" s="79"/>
      <c r="BE200" s="82"/>
      <c r="BF200" s="85"/>
      <c r="BG200" s="79"/>
      <c r="BH200" s="79"/>
      <c r="BI200" s="79"/>
      <c r="BJ200" s="88"/>
      <c r="BK200" s="88"/>
      <c r="BL200" s="79"/>
      <c r="BM200" s="185"/>
      <c r="BN200" s="90"/>
      <c r="BO200" s="80"/>
      <c r="BP200" s="80"/>
      <c r="BQ200" s="80"/>
      <c r="BR200" s="80"/>
      <c r="BS200" s="80"/>
      <c r="BT200" s="80"/>
      <c r="BU200" s="80"/>
      <c r="BV200" s="80"/>
      <c r="BW200" s="82"/>
      <c r="BX200" s="79"/>
      <c r="BY200" s="79"/>
      <c r="BZ200" s="79"/>
      <c r="CA200" s="79"/>
      <c r="CB200" s="79"/>
      <c r="CC200" s="82"/>
      <c r="CD200" s="82"/>
      <c r="CE200" s="82"/>
      <c r="CF200" s="82"/>
      <c r="CG200" s="82"/>
      <c r="CH200" s="82"/>
      <c r="CI200" s="82"/>
      <c r="CJ200" s="79"/>
      <c r="CK200" s="79"/>
      <c r="CL200" s="79"/>
      <c r="CM200" s="79"/>
      <c r="CN200" s="79"/>
      <c r="CO200" s="79"/>
    </row>
    <row r="201" spans="1:93">
      <c r="A201" s="98"/>
      <c r="B201" s="178" t="s">
        <v>1129</v>
      </c>
      <c r="C201" s="188" t="s">
        <v>1106</v>
      </c>
      <c r="D201" s="47" t="s">
        <v>1147</v>
      </c>
      <c r="E201" s="126"/>
      <c r="F201" s="154"/>
      <c r="G201" s="167" t="s">
        <v>102</v>
      </c>
      <c r="H201" s="167"/>
      <c r="I201" s="170"/>
      <c r="J201" s="155"/>
      <c r="K201" s="156"/>
      <c r="L201" s="157"/>
      <c r="M201" s="157"/>
      <c r="N201" s="183"/>
      <c r="O201" s="177" t="s">
        <v>1163</v>
      </c>
      <c r="P201" s="145"/>
      <c r="Q201" s="141"/>
      <c r="R201" s="190"/>
      <c r="S201" s="83"/>
      <c r="T201" s="87"/>
      <c r="U201" s="87"/>
      <c r="V201" s="87"/>
      <c r="W201" s="44"/>
      <c r="X201" s="88"/>
      <c r="Y201" s="79"/>
      <c r="Z201" s="79"/>
      <c r="AA201" s="79"/>
      <c r="AB201" s="79"/>
      <c r="AC201" s="86"/>
      <c r="AD201" s="82"/>
      <c r="AE201" s="79"/>
      <c r="AF201" s="88"/>
      <c r="AG201" s="80"/>
      <c r="AH201" s="79"/>
      <c r="AI201" s="79"/>
      <c r="AJ201" s="79"/>
      <c r="AK201" s="80"/>
      <c r="AL201" s="80"/>
      <c r="AM201" s="80"/>
      <c r="AN201" s="79"/>
      <c r="AO201" s="80"/>
      <c r="AP201" s="80"/>
      <c r="AQ201" s="80"/>
      <c r="AR201" s="85"/>
      <c r="AS201" s="85"/>
      <c r="AT201" s="85"/>
      <c r="AU201" s="85"/>
      <c r="AV201" s="85"/>
      <c r="AW201" s="82"/>
      <c r="AX201" s="79"/>
      <c r="AY201" s="82"/>
      <c r="AZ201" s="82"/>
      <c r="BA201" s="86"/>
      <c r="BB201" s="79"/>
      <c r="BC201" s="79"/>
      <c r="BD201" s="79"/>
      <c r="BE201" s="82"/>
      <c r="BF201" s="85"/>
      <c r="BG201" s="79"/>
      <c r="BH201" s="79"/>
      <c r="BI201" s="79"/>
      <c r="BJ201" s="88"/>
      <c r="BK201" s="88"/>
      <c r="BL201" s="79"/>
      <c r="BM201" s="185"/>
      <c r="BN201" s="90"/>
      <c r="BO201" s="80"/>
      <c r="BP201" s="80"/>
      <c r="BQ201" s="80"/>
      <c r="BR201" s="80"/>
      <c r="BS201" s="80"/>
      <c r="BT201" s="80"/>
      <c r="BU201" s="80"/>
      <c r="BV201" s="80"/>
      <c r="BW201" s="82"/>
      <c r="BX201" s="79"/>
      <c r="BY201" s="79"/>
      <c r="BZ201" s="79"/>
      <c r="CA201" s="79"/>
      <c r="CB201" s="79"/>
      <c r="CC201" s="82"/>
      <c r="CD201" s="82"/>
      <c r="CE201" s="82"/>
      <c r="CF201" s="82"/>
      <c r="CG201" s="82"/>
      <c r="CH201" s="82"/>
      <c r="CI201" s="82"/>
      <c r="CJ201" s="79"/>
      <c r="CK201" s="79"/>
      <c r="CL201" s="79"/>
      <c r="CM201" s="79"/>
      <c r="CN201" s="79"/>
      <c r="CO201" s="79"/>
    </row>
    <row r="202" spans="1:93" ht="13.5" customHeight="1">
      <c r="A202" s="98"/>
      <c r="B202" s="178" t="s">
        <v>1130</v>
      </c>
      <c r="C202" s="188" t="s">
        <v>1106</v>
      </c>
      <c r="D202" s="47" t="s">
        <v>1148</v>
      </c>
      <c r="E202" s="126"/>
      <c r="F202" s="154" t="s">
        <v>377</v>
      </c>
      <c r="G202" s="167" t="s">
        <v>1166</v>
      </c>
      <c r="H202" s="167"/>
      <c r="I202" s="170"/>
      <c r="J202" s="155"/>
      <c r="K202" s="156"/>
      <c r="L202" s="157"/>
      <c r="M202" s="157"/>
      <c r="N202" s="183"/>
      <c r="O202" s="177">
        <v>6049732533</v>
      </c>
      <c r="P202" s="145"/>
      <c r="Q202" s="141"/>
      <c r="R202" s="190"/>
      <c r="S202" s="83"/>
      <c r="T202" s="87"/>
      <c r="U202" s="87"/>
      <c r="V202" s="87"/>
      <c r="W202" s="44"/>
      <c r="X202" s="88"/>
      <c r="Y202" s="79"/>
      <c r="Z202" s="79"/>
      <c r="AA202" s="79"/>
      <c r="AB202" s="79"/>
      <c r="AC202" s="86"/>
      <c r="AD202" s="82"/>
      <c r="AE202" s="79"/>
      <c r="AF202" s="88"/>
      <c r="AG202" s="80"/>
      <c r="AH202" s="79"/>
      <c r="AI202" s="79"/>
      <c r="AJ202" s="79"/>
      <c r="AK202" s="80"/>
      <c r="AL202" s="80"/>
      <c r="AM202" s="80"/>
      <c r="AN202" s="79"/>
      <c r="AO202" s="80"/>
      <c r="AP202" s="80"/>
      <c r="AQ202" s="80"/>
      <c r="AR202" s="85"/>
      <c r="AS202" s="85"/>
      <c r="AT202" s="85"/>
      <c r="AU202" s="85"/>
      <c r="AV202" s="85"/>
      <c r="AW202" s="82"/>
      <c r="AX202" s="79"/>
      <c r="AY202" s="82"/>
      <c r="AZ202" s="82"/>
      <c r="BA202" s="86"/>
      <c r="BB202" s="79"/>
      <c r="BC202" s="79"/>
      <c r="BD202" s="79"/>
      <c r="BE202" s="82"/>
      <c r="BF202" s="85"/>
      <c r="BG202" s="79"/>
      <c r="BH202" s="79"/>
      <c r="BI202" s="79"/>
      <c r="BJ202" s="88"/>
      <c r="BK202" s="88"/>
      <c r="BL202" s="79"/>
      <c r="BM202" s="185"/>
      <c r="BN202" s="90"/>
      <c r="BO202" s="80"/>
      <c r="BP202" s="80"/>
      <c r="BQ202" s="80"/>
      <c r="BR202" s="80"/>
      <c r="BS202" s="80"/>
      <c r="BT202" s="80"/>
      <c r="BU202" s="80"/>
      <c r="BV202" s="80"/>
      <c r="BW202" s="82"/>
      <c r="BX202" s="79"/>
      <c r="BY202" s="79"/>
      <c r="BZ202" s="79"/>
      <c r="CA202" s="79"/>
      <c r="CB202" s="79"/>
      <c r="CC202" s="82"/>
      <c r="CD202" s="82"/>
      <c r="CE202" s="82"/>
      <c r="CF202" s="82"/>
      <c r="CG202" s="82"/>
      <c r="CH202" s="82"/>
      <c r="CI202" s="82"/>
      <c r="CJ202" s="79"/>
      <c r="CK202" s="79"/>
      <c r="CL202" s="79"/>
      <c r="CM202" s="79"/>
      <c r="CN202" s="79"/>
      <c r="CO202" s="79"/>
    </row>
    <row r="203" spans="1:93" ht="26.4">
      <c r="A203" s="98"/>
      <c r="B203" s="319" t="s">
        <v>1131</v>
      </c>
      <c r="C203" s="188" t="s">
        <v>1106</v>
      </c>
      <c r="D203" s="47" t="s">
        <v>1149</v>
      </c>
      <c r="E203" s="126"/>
      <c r="F203" s="154"/>
      <c r="G203" s="167"/>
      <c r="H203" s="167">
        <v>4</v>
      </c>
      <c r="I203" s="170"/>
      <c r="J203" s="155"/>
      <c r="K203" s="156"/>
      <c r="L203" s="157"/>
      <c r="M203" s="157"/>
      <c r="N203" s="183"/>
      <c r="O203" s="177" t="s">
        <v>1164</v>
      </c>
      <c r="P203" s="145"/>
      <c r="Q203" s="141"/>
      <c r="R203" s="190"/>
      <c r="S203" s="83"/>
      <c r="T203" s="87"/>
      <c r="U203" s="87"/>
      <c r="V203" s="87"/>
      <c r="W203" s="44"/>
      <c r="X203" s="88"/>
      <c r="Y203" s="79"/>
      <c r="Z203" s="79"/>
      <c r="AA203" s="79"/>
      <c r="AB203" s="79"/>
      <c r="AC203" s="86"/>
      <c r="AD203" s="82"/>
      <c r="AE203" s="79"/>
      <c r="AF203" s="88"/>
      <c r="AG203" s="80"/>
      <c r="AH203" s="79"/>
      <c r="AI203" s="79"/>
      <c r="AJ203" s="79"/>
      <c r="AK203" s="80"/>
      <c r="AL203" s="80"/>
      <c r="AM203" s="80"/>
      <c r="AN203" s="79"/>
      <c r="AO203" s="80"/>
      <c r="AP203" s="80"/>
      <c r="AQ203" s="80"/>
      <c r="AR203" s="85"/>
      <c r="AS203" s="85"/>
      <c r="AT203" s="85"/>
      <c r="AU203" s="85"/>
      <c r="AV203" s="85"/>
      <c r="AW203" s="82"/>
      <c r="AX203" s="79"/>
      <c r="AY203" s="82"/>
      <c r="AZ203" s="82"/>
      <c r="BA203" s="86"/>
      <c r="BB203" s="79"/>
      <c r="BC203" s="79"/>
      <c r="BD203" s="79"/>
      <c r="BE203" s="82"/>
      <c r="BF203" s="85"/>
      <c r="BG203" s="79"/>
      <c r="BH203" s="79"/>
      <c r="BI203" s="79"/>
      <c r="BJ203" s="88"/>
      <c r="BK203" s="88"/>
      <c r="BL203" s="79"/>
      <c r="BM203" s="185"/>
      <c r="BN203" s="90"/>
      <c r="BO203" s="80"/>
      <c r="BP203" s="80"/>
      <c r="BQ203" s="80"/>
      <c r="BR203" s="80"/>
      <c r="BS203" s="80"/>
      <c r="BT203" s="80"/>
      <c r="BU203" s="80"/>
      <c r="BV203" s="80"/>
      <c r="BW203" s="82"/>
      <c r="BX203" s="79"/>
      <c r="BY203" s="79"/>
      <c r="BZ203" s="79"/>
      <c r="CA203" s="79"/>
      <c r="CB203" s="79"/>
      <c r="CC203" s="82"/>
      <c r="CD203" s="82"/>
      <c r="CE203" s="82"/>
      <c r="CF203" s="82"/>
      <c r="CG203" s="82"/>
      <c r="CH203" s="82"/>
      <c r="CI203" s="82"/>
      <c r="CJ203" s="79"/>
      <c r="CK203" s="79"/>
      <c r="CL203" s="79"/>
      <c r="CM203" s="79"/>
      <c r="CN203" s="79"/>
      <c r="CO203" s="79"/>
    </row>
    <row r="204" spans="1:93">
      <c r="A204" s="98"/>
      <c r="B204" s="178" t="s">
        <v>1132</v>
      </c>
      <c r="C204" s="188" t="s">
        <v>1110</v>
      </c>
      <c r="D204" s="47" t="s">
        <v>1150</v>
      </c>
      <c r="E204" s="126"/>
      <c r="F204" s="154"/>
      <c r="G204" s="167">
        <v>1</v>
      </c>
      <c r="H204" s="167"/>
      <c r="I204" s="170"/>
      <c r="J204" s="155"/>
      <c r="K204" s="156"/>
      <c r="L204" s="157"/>
      <c r="M204" s="157"/>
      <c r="N204" s="183"/>
      <c r="O204" s="177" t="s">
        <v>1165</v>
      </c>
      <c r="P204" s="145"/>
      <c r="Q204" s="141"/>
      <c r="R204" s="190"/>
      <c r="S204" s="83"/>
      <c r="T204" s="87"/>
      <c r="U204" s="87"/>
      <c r="V204" s="87"/>
      <c r="W204" s="44"/>
      <c r="X204" s="88"/>
      <c r="Y204" s="79"/>
      <c r="Z204" s="79"/>
      <c r="AA204" s="79"/>
      <c r="AB204" s="79"/>
      <c r="AC204" s="86"/>
      <c r="AD204" s="82"/>
      <c r="AE204" s="79"/>
      <c r="AF204" s="88"/>
      <c r="AG204" s="80"/>
      <c r="AH204" s="79"/>
      <c r="AI204" s="79"/>
      <c r="AJ204" s="79"/>
      <c r="AK204" s="80"/>
      <c r="AL204" s="80"/>
      <c r="AM204" s="80"/>
      <c r="AN204" s="79"/>
      <c r="AO204" s="80"/>
      <c r="AP204" s="80"/>
      <c r="AQ204" s="80"/>
      <c r="AR204" s="85"/>
      <c r="AS204" s="85"/>
      <c r="AT204" s="85"/>
      <c r="AU204" s="85"/>
      <c r="AV204" s="85"/>
      <c r="AW204" s="82"/>
      <c r="AX204" s="79"/>
      <c r="AY204" s="82"/>
      <c r="AZ204" s="82"/>
      <c r="BA204" s="86"/>
      <c r="BB204" s="79"/>
      <c r="BC204" s="79"/>
      <c r="BD204" s="79"/>
      <c r="BE204" s="82"/>
      <c r="BF204" s="85"/>
      <c r="BG204" s="79"/>
      <c r="BH204" s="79"/>
      <c r="BI204" s="79"/>
      <c r="BJ204" s="88"/>
      <c r="BK204" s="88"/>
      <c r="BL204" s="79"/>
      <c r="BM204" s="185"/>
      <c r="BN204" s="90"/>
      <c r="BO204" s="80"/>
      <c r="BP204" s="80"/>
      <c r="BQ204" s="80"/>
      <c r="BR204" s="80"/>
      <c r="BS204" s="80"/>
      <c r="BT204" s="80"/>
      <c r="BU204" s="80"/>
      <c r="BV204" s="80"/>
      <c r="BW204" s="82"/>
      <c r="BX204" s="79"/>
      <c r="BY204" s="79"/>
      <c r="BZ204" s="79"/>
      <c r="CA204" s="79"/>
      <c r="CB204" s="79"/>
      <c r="CC204" s="82"/>
      <c r="CD204" s="82"/>
      <c r="CE204" s="82"/>
      <c r="CF204" s="82"/>
      <c r="CG204" s="82"/>
      <c r="CH204" s="82"/>
      <c r="CI204" s="82"/>
      <c r="CJ204" s="79"/>
      <c r="CK204" s="79"/>
      <c r="CL204" s="79"/>
      <c r="CM204" s="79"/>
      <c r="CN204" s="79"/>
      <c r="CO204" s="79"/>
    </row>
    <row r="205" spans="1:93">
      <c r="A205" s="98"/>
      <c r="B205" s="178"/>
      <c r="C205" s="188"/>
      <c r="D205" s="47"/>
      <c r="E205" s="126"/>
      <c r="F205" s="154"/>
      <c r="G205" s="167"/>
      <c r="H205" s="167"/>
      <c r="I205" s="170"/>
      <c r="J205" s="155"/>
      <c r="K205" s="156"/>
      <c r="L205" s="157"/>
      <c r="M205" s="157"/>
      <c r="N205" s="183"/>
      <c r="O205" s="177"/>
      <c r="P205" s="145"/>
      <c r="Q205" s="141"/>
      <c r="R205" s="190"/>
      <c r="S205" s="83"/>
      <c r="T205" s="87"/>
      <c r="U205" s="87"/>
      <c r="V205" s="87"/>
      <c r="W205" s="44"/>
      <c r="X205" s="88"/>
      <c r="Y205" s="79"/>
      <c r="Z205" s="79"/>
      <c r="AA205" s="79"/>
      <c r="AB205" s="79"/>
      <c r="AC205" s="86"/>
      <c r="AD205" s="82"/>
      <c r="AE205" s="79"/>
      <c r="AF205" s="88"/>
      <c r="AG205" s="80"/>
      <c r="AH205" s="79"/>
      <c r="AI205" s="79"/>
      <c r="AJ205" s="79"/>
      <c r="AK205" s="80"/>
      <c r="AL205" s="80"/>
      <c r="AM205" s="80"/>
      <c r="AN205" s="79"/>
      <c r="AO205" s="80"/>
      <c r="AP205" s="80"/>
      <c r="AQ205" s="80"/>
      <c r="AR205" s="85"/>
      <c r="AS205" s="85"/>
      <c r="AT205" s="85"/>
      <c r="AU205" s="85"/>
      <c r="AV205" s="85"/>
      <c r="AW205" s="82"/>
      <c r="AX205" s="79"/>
      <c r="AY205" s="82"/>
      <c r="AZ205" s="82"/>
      <c r="BA205" s="86"/>
      <c r="BB205" s="79"/>
      <c r="BC205" s="79"/>
      <c r="BD205" s="79"/>
      <c r="BE205" s="82"/>
      <c r="BF205" s="85"/>
      <c r="BG205" s="79"/>
      <c r="BH205" s="79"/>
      <c r="BI205" s="79"/>
      <c r="BJ205" s="88"/>
      <c r="BK205" s="88"/>
      <c r="BL205" s="79"/>
      <c r="BM205" s="185"/>
      <c r="BN205" s="90"/>
      <c r="BO205" s="80"/>
      <c r="BP205" s="80"/>
      <c r="BQ205" s="80"/>
      <c r="BR205" s="80"/>
      <c r="BS205" s="80"/>
      <c r="BT205" s="80"/>
      <c r="BU205" s="80"/>
      <c r="BV205" s="80"/>
      <c r="BW205" s="82"/>
      <c r="BX205" s="79"/>
      <c r="BY205" s="79"/>
      <c r="BZ205" s="79"/>
      <c r="CA205" s="79"/>
      <c r="CB205" s="79"/>
      <c r="CC205" s="82"/>
      <c r="CD205" s="82"/>
      <c r="CE205" s="82"/>
      <c r="CF205" s="82"/>
      <c r="CG205" s="82"/>
      <c r="CH205" s="82"/>
      <c r="CI205" s="82"/>
      <c r="CJ205" s="79"/>
      <c r="CK205" s="79"/>
      <c r="CL205" s="79"/>
      <c r="CM205" s="79"/>
      <c r="CN205" s="79"/>
      <c r="CO205" s="79"/>
    </row>
    <row r="206" spans="1:93">
      <c r="A206" s="98"/>
      <c r="B206" s="178"/>
      <c r="C206" s="188"/>
      <c r="D206" s="47"/>
      <c r="E206" s="126"/>
      <c r="F206" s="154"/>
      <c r="G206" s="167"/>
      <c r="H206" s="167"/>
      <c r="I206" s="170"/>
      <c r="J206" s="155"/>
      <c r="K206" s="156"/>
      <c r="L206" s="157"/>
      <c r="M206" s="157"/>
      <c r="N206" s="183"/>
      <c r="O206" s="177"/>
      <c r="P206" s="145"/>
      <c r="Q206" s="141"/>
      <c r="R206" s="190"/>
      <c r="S206" s="83"/>
      <c r="T206" s="87"/>
      <c r="U206" s="87"/>
      <c r="V206" s="87"/>
      <c r="W206" s="44"/>
      <c r="X206" s="88"/>
      <c r="Y206" s="79"/>
      <c r="Z206" s="79"/>
      <c r="AA206" s="79"/>
      <c r="AB206" s="79"/>
      <c r="AC206" s="86"/>
      <c r="AD206" s="82"/>
      <c r="AE206" s="79"/>
      <c r="AF206" s="88"/>
      <c r="AG206" s="80"/>
      <c r="AH206" s="79"/>
      <c r="AI206" s="79"/>
      <c r="AJ206" s="79"/>
      <c r="AK206" s="80"/>
      <c r="AL206" s="80"/>
      <c r="AM206" s="80"/>
      <c r="AN206" s="79"/>
      <c r="AO206" s="80"/>
      <c r="AP206" s="80"/>
      <c r="AQ206" s="80"/>
      <c r="AR206" s="85"/>
      <c r="AS206" s="85"/>
      <c r="AT206" s="85"/>
      <c r="AU206" s="85"/>
      <c r="AV206" s="85"/>
      <c r="AW206" s="82"/>
      <c r="AX206" s="79"/>
      <c r="AY206" s="82"/>
      <c r="AZ206" s="82"/>
      <c r="BA206" s="86"/>
      <c r="BB206" s="79"/>
      <c r="BC206" s="79"/>
      <c r="BD206" s="79"/>
      <c r="BE206" s="82"/>
      <c r="BF206" s="85"/>
      <c r="BG206" s="79"/>
      <c r="BH206" s="79"/>
      <c r="BI206" s="79"/>
      <c r="BJ206" s="88"/>
      <c r="BK206" s="88"/>
      <c r="BL206" s="79"/>
      <c r="BM206" s="185"/>
      <c r="BN206" s="90"/>
      <c r="BO206" s="80"/>
      <c r="BP206" s="80"/>
      <c r="BQ206" s="80"/>
      <c r="BR206" s="80"/>
      <c r="BS206" s="80"/>
      <c r="BT206" s="80"/>
      <c r="BU206" s="80"/>
      <c r="BV206" s="80"/>
      <c r="BW206" s="82"/>
      <c r="BX206" s="79"/>
      <c r="BY206" s="79"/>
      <c r="BZ206" s="79"/>
      <c r="CA206" s="79"/>
      <c r="CB206" s="79"/>
      <c r="CC206" s="82"/>
      <c r="CD206" s="82"/>
      <c r="CE206" s="82"/>
      <c r="CF206" s="82"/>
      <c r="CG206" s="82"/>
      <c r="CH206" s="82"/>
      <c r="CI206" s="82"/>
      <c r="CJ206" s="79"/>
      <c r="CK206" s="79"/>
      <c r="CL206" s="79"/>
      <c r="CM206" s="79"/>
      <c r="CN206" s="79"/>
      <c r="CO206" s="79"/>
    </row>
    <row r="207" spans="1:93">
      <c r="A207" s="98"/>
      <c r="B207" s="178"/>
      <c r="C207" s="188"/>
      <c r="D207" s="47"/>
      <c r="E207" s="126"/>
      <c r="F207" s="154"/>
      <c r="G207" s="167"/>
      <c r="H207" s="167"/>
      <c r="I207" s="170"/>
      <c r="J207" s="155"/>
      <c r="K207" s="156"/>
      <c r="L207" s="157"/>
      <c r="M207" s="157"/>
      <c r="N207" s="183"/>
      <c r="O207" s="177"/>
      <c r="P207" s="145"/>
      <c r="Q207" s="141"/>
      <c r="R207" s="190"/>
      <c r="S207" s="83"/>
      <c r="T207" s="87"/>
      <c r="U207" s="87"/>
      <c r="V207" s="87"/>
      <c r="W207" s="44"/>
      <c r="X207" s="88"/>
      <c r="Y207" s="79"/>
      <c r="Z207" s="79"/>
      <c r="AA207" s="79"/>
      <c r="AB207" s="79"/>
      <c r="AC207" s="86"/>
      <c r="AD207" s="82"/>
      <c r="AE207" s="79"/>
      <c r="AF207" s="88"/>
      <c r="AG207" s="80"/>
      <c r="AH207" s="79"/>
      <c r="AI207" s="79"/>
      <c r="AJ207" s="79"/>
      <c r="AK207" s="80"/>
      <c r="AL207" s="80"/>
      <c r="AM207" s="80"/>
      <c r="AN207" s="79"/>
      <c r="AO207" s="80"/>
      <c r="AP207" s="80"/>
      <c r="AQ207" s="80"/>
      <c r="AR207" s="85"/>
      <c r="AS207" s="85"/>
      <c r="AT207" s="85"/>
      <c r="AU207" s="85"/>
      <c r="AV207" s="85"/>
      <c r="AW207" s="82"/>
      <c r="AX207" s="79"/>
      <c r="AY207" s="82"/>
      <c r="AZ207" s="82"/>
      <c r="BA207" s="86"/>
      <c r="BB207" s="79"/>
      <c r="BC207" s="79"/>
      <c r="BD207" s="79"/>
      <c r="BE207" s="82"/>
      <c r="BF207" s="85"/>
      <c r="BG207" s="79"/>
      <c r="BH207" s="79"/>
      <c r="BI207" s="79"/>
      <c r="BJ207" s="88"/>
      <c r="BK207" s="88"/>
      <c r="BL207" s="79"/>
      <c r="BM207" s="185"/>
      <c r="BN207" s="90"/>
      <c r="BO207" s="80"/>
      <c r="BP207" s="80"/>
      <c r="BQ207" s="80"/>
      <c r="BR207" s="80"/>
      <c r="BS207" s="80"/>
      <c r="BT207" s="80"/>
      <c r="BU207" s="80"/>
      <c r="BV207" s="80"/>
      <c r="BW207" s="82"/>
      <c r="BX207" s="79"/>
      <c r="BY207" s="79"/>
      <c r="BZ207" s="79"/>
      <c r="CA207" s="79"/>
      <c r="CB207" s="79"/>
      <c r="CC207" s="82"/>
      <c r="CD207" s="82"/>
      <c r="CE207" s="82"/>
      <c r="CF207" s="82"/>
      <c r="CG207" s="82"/>
      <c r="CH207" s="82"/>
      <c r="CI207" s="82"/>
      <c r="CJ207" s="79"/>
      <c r="CK207" s="79"/>
      <c r="CL207" s="79"/>
      <c r="CM207" s="79"/>
      <c r="CN207" s="79"/>
      <c r="CO207" s="79"/>
    </row>
    <row r="208" spans="1:93">
      <c r="A208" s="98"/>
      <c r="B208" s="178"/>
      <c r="C208" s="188"/>
      <c r="D208" s="47"/>
      <c r="E208" s="126"/>
      <c r="F208" s="154"/>
      <c r="G208" s="167"/>
      <c r="H208" s="167"/>
      <c r="I208" s="170"/>
      <c r="J208" s="155"/>
      <c r="K208" s="156"/>
      <c r="L208" s="157"/>
      <c r="M208" s="157"/>
      <c r="N208" s="183"/>
      <c r="O208" s="177"/>
      <c r="P208" s="145"/>
      <c r="Q208" s="141"/>
      <c r="R208" s="190"/>
      <c r="S208" s="83"/>
      <c r="T208" s="87"/>
      <c r="U208" s="87"/>
      <c r="V208" s="87"/>
      <c r="W208" s="44"/>
      <c r="X208" s="88"/>
      <c r="Y208" s="79"/>
      <c r="Z208" s="79"/>
      <c r="AA208" s="79"/>
      <c r="AB208" s="79"/>
      <c r="AC208" s="86"/>
      <c r="AD208" s="82"/>
      <c r="AE208" s="79"/>
      <c r="AF208" s="88"/>
      <c r="AG208" s="80"/>
      <c r="AH208" s="79"/>
      <c r="AI208" s="79"/>
      <c r="AJ208" s="79"/>
      <c r="AK208" s="80"/>
      <c r="AL208" s="80"/>
      <c r="AM208" s="80"/>
      <c r="AN208" s="79"/>
      <c r="AO208" s="80"/>
      <c r="AP208" s="80"/>
      <c r="AQ208" s="80"/>
      <c r="AR208" s="85"/>
      <c r="AS208" s="85"/>
      <c r="AT208" s="85"/>
      <c r="AU208" s="85"/>
      <c r="AV208" s="85"/>
      <c r="AW208" s="82"/>
      <c r="AX208" s="79"/>
      <c r="AY208" s="82"/>
      <c r="AZ208" s="82"/>
      <c r="BA208" s="86"/>
      <c r="BB208" s="79"/>
      <c r="BC208" s="79"/>
      <c r="BD208" s="79"/>
      <c r="BE208" s="82"/>
      <c r="BF208" s="85"/>
      <c r="BG208" s="79"/>
      <c r="BH208" s="79"/>
      <c r="BI208" s="79"/>
      <c r="BJ208" s="88"/>
      <c r="BK208" s="88"/>
      <c r="BL208" s="79"/>
      <c r="BM208" s="185"/>
      <c r="BN208" s="90"/>
      <c r="BO208" s="80"/>
      <c r="BP208" s="80"/>
      <c r="BQ208" s="80"/>
      <c r="BR208" s="80"/>
      <c r="BS208" s="80"/>
      <c r="BT208" s="80"/>
      <c r="BU208" s="80"/>
      <c r="BV208" s="80"/>
      <c r="BW208" s="82"/>
      <c r="BX208" s="79"/>
      <c r="BY208" s="79"/>
      <c r="BZ208" s="79"/>
      <c r="CA208" s="79"/>
      <c r="CB208" s="79"/>
      <c r="CC208" s="82"/>
      <c r="CD208" s="82"/>
      <c r="CE208" s="82"/>
      <c r="CF208" s="82"/>
      <c r="CG208" s="82"/>
      <c r="CH208" s="82"/>
      <c r="CI208" s="82"/>
      <c r="CJ208" s="79"/>
      <c r="CK208" s="79"/>
      <c r="CL208" s="79"/>
      <c r="CM208" s="79"/>
      <c r="CN208" s="79"/>
      <c r="CO208" s="79"/>
    </row>
    <row r="209" spans="1:93">
      <c r="A209" s="98"/>
      <c r="B209" s="178"/>
      <c r="C209" s="188"/>
      <c r="D209" s="47"/>
      <c r="E209" s="126"/>
      <c r="F209" s="154"/>
      <c r="G209" s="167"/>
      <c r="H209" s="167"/>
      <c r="I209" s="170"/>
      <c r="J209" s="155"/>
      <c r="K209" s="156"/>
      <c r="L209" s="157"/>
      <c r="M209" s="157"/>
      <c r="N209" s="183"/>
      <c r="O209" s="177"/>
      <c r="P209" s="145"/>
      <c r="Q209" s="141"/>
      <c r="R209" s="190"/>
      <c r="S209" s="83"/>
      <c r="T209" s="87"/>
      <c r="U209" s="87"/>
      <c r="V209" s="87"/>
      <c r="W209" s="44"/>
      <c r="X209" s="88"/>
      <c r="Y209" s="79"/>
      <c r="Z209" s="79"/>
      <c r="AA209" s="79"/>
      <c r="AB209" s="79"/>
      <c r="AC209" s="86"/>
      <c r="AD209" s="82"/>
      <c r="AE209" s="79"/>
      <c r="AF209" s="88"/>
      <c r="AG209" s="80"/>
      <c r="AH209" s="79"/>
      <c r="AI209" s="79"/>
      <c r="AJ209" s="79"/>
      <c r="AK209" s="80"/>
      <c r="AL209" s="80"/>
      <c r="AM209" s="80"/>
      <c r="AN209" s="79"/>
      <c r="AO209" s="80"/>
      <c r="AP209" s="80"/>
      <c r="AQ209" s="80"/>
      <c r="AR209" s="85"/>
      <c r="AS209" s="85"/>
      <c r="AT209" s="85"/>
      <c r="AU209" s="85"/>
      <c r="AV209" s="85"/>
      <c r="AW209" s="82"/>
      <c r="AX209" s="79"/>
      <c r="AY209" s="82"/>
      <c r="AZ209" s="82"/>
      <c r="BA209" s="86"/>
      <c r="BB209" s="79"/>
      <c r="BC209" s="79"/>
      <c r="BD209" s="79"/>
      <c r="BE209" s="82"/>
      <c r="BF209" s="85"/>
      <c r="BG209" s="79"/>
      <c r="BH209" s="79"/>
      <c r="BI209" s="79"/>
      <c r="BJ209" s="88"/>
      <c r="BK209" s="88"/>
      <c r="BL209" s="79"/>
      <c r="BM209" s="185"/>
      <c r="BN209" s="90"/>
      <c r="BO209" s="80"/>
      <c r="BP209" s="80"/>
      <c r="BQ209" s="80"/>
      <c r="BR209" s="80"/>
      <c r="BS209" s="80"/>
      <c r="BT209" s="80"/>
      <c r="BU209" s="80"/>
      <c r="BV209" s="80"/>
      <c r="BW209" s="82"/>
      <c r="BX209" s="79"/>
      <c r="BY209" s="79"/>
      <c r="BZ209" s="79"/>
      <c r="CA209" s="79"/>
      <c r="CB209" s="79"/>
      <c r="CC209" s="82"/>
      <c r="CD209" s="82"/>
      <c r="CE209" s="82"/>
      <c r="CF209" s="82"/>
      <c r="CG209" s="82"/>
      <c r="CH209" s="82"/>
      <c r="CI209" s="82"/>
      <c r="CJ209" s="79"/>
      <c r="CK209" s="79"/>
      <c r="CL209" s="79"/>
      <c r="CM209" s="79"/>
      <c r="CN209" s="79"/>
      <c r="CO209" s="79"/>
    </row>
    <row r="210" spans="1:93">
      <c r="A210" s="98"/>
      <c r="B210" s="178"/>
      <c r="C210" s="188"/>
      <c r="D210" s="47"/>
      <c r="E210" s="126"/>
      <c r="F210" s="154"/>
      <c r="G210" s="167"/>
      <c r="H210" s="167"/>
      <c r="I210" s="170"/>
      <c r="J210" s="155"/>
      <c r="K210" s="156"/>
      <c r="L210" s="157"/>
      <c r="M210" s="157"/>
      <c r="N210" s="183"/>
      <c r="O210" s="177"/>
      <c r="P210" s="145"/>
      <c r="Q210" s="141"/>
      <c r="R210" s="190"/>
      <c r="S210" s="83"/>
      <c r="T210" s="87"/>
      <c r="U210" s="87"/>
      <c r="V210" s="87"/>
      <c r="W210" s="44"/>
      <c r="X210" s="88"/>
      <c r="Y210" s="79"/>
      <c r="Z210" s="79"/>
      <c r="AA210" s="79"/>
      <c r="AB210" s="79"/>
      <c r="AC210" s="86"/>
      <c r="AD210" s="82"/>
      <c r="AE210" s="79"/>
      <c r="AF210" s="88"/>
      <c r="AG210" s="80"/>
      <c r="AH210" s="79"/>
      <c r="AI210" s="79"/>
      <c r="AJ210" s="79"/>
      <c r="AK210" s="80"/>
      <c r="AL210" s="80"/>
      <c r="AM210" s="80"/>
      <c r="AN210" s="79"/>
      <c r="AO210" s="80"/>
      <c r="AP210" s="80"/>
      <c r="AQ210" s="80"/>
      <c r="AR210" s="85"/>
      <c r="AS210" s="85"/>
      <c r="AT210" s="85"/>
      <c r="AU210" s="85"/>
      <c r="AV210" s="85"/>
      <c r="AW210" s="82"/>
      <c r="AX210" s="79"/>
      <c r="AY210" s="82"/>
      <c r="AZ210" s="82"/>
      <c r="BA210" s="86"/>
      <c r="BB210" s="79"/>
      <c r="BC210" s="79"/>
      <c r="BD210" s="79"/>
      <c r="BE210" s="82"/>
      <c r="BF210" s="85"/>
      <c r="BG210" s="79"/>
      <c r="BH210" s="79"/>
      <c r="BI210" s="79"/>
      <c r="BJ210" s="88"/>
      <c r="BK210" s="88"/>
      <c r="BL210" s="79"/>
      <c r="BM210" s="185"/>
      <c r="BN210" s="90"/>
      <c r="BO210" s="80"/>
      <c r="BP210" s="80"/>
      <c r="BQ210" s="80"/>
      <c r="BR210" s="80"/>
      <c r="BS210" s="80"/>
      <c r="BT210" s="80"/>
      <c r="BU210" s="80"/>
      <c r="BV210" s="80"/>
      <c r="BW210" s="82"/>
      <c r="BX210" s="79"/>
      <c r="BY210" s="79"/>
      <c r="BZ210" s="79"/>
      <c r="CA210" s="79"/>
      <c r="CB210" s="79"/>
      <c r="CC210" s="82"/>
      <c r="CD210" s="82"/>
      <c r="CE210" s="82"/>
      <c r="CF210" s="82"/>
      <c r="CG210" s="82"/>
      <c r="CH210" s="82"/>
      <c r="CI210" s="82"/>
      <c r="CJ210" s="79"/>
      <c r="CK210" s="79"/>
      <c r="CL210" s="79"/>
      <c r="CM210" s="79"/>
      <c r="CN210" s="79"/>
      <c r="CO210" s="79"/>
    </row>
    <row r="211" spans="1:93">
      <c r="A211" s="98"/>
      <c r="B211" s="178"/>
      <c r="C211" s="188"/>
      <c r="D211" s="47"/>
      <c r="E211" s="126"/>
      <c r="F211" s="154"/>
      <c r="G211" s="167"/>
      <c r="H211" s="167"/>
      <c r="I211" s="170"/>
      <c r="J211" s="155"/>
      <c r="K211" s="156"/>
      <c r="L211" s="157"/>
      <c r="M211" s="157"/>
      <c r="N211" s="183"/>
      <c r="O211" s="177"/>
      <c r="P211" s="145"/>
      <c r="Q211" s="141"/>
      <c r="R211" s="190"/>
      <c r="S211" s="83"/>
      <c r="T211" s="87"/>
      <c r="U211" s="87"/>
      <c r="V211" s="87"/>
      <c r="W211" s="44"/>
      <c r="X211" s="88"/>
      <c r="Y211" s="79"/>
      <c r="Z211" s="79"/>
      <c r="AA211" s="79"/>
      <c r="AB211" s="79"/>
      <c r="AC211" s="86"/>
      <c r="AD211" s="82"/>
      <c r="AE211" s="79"/>
      <c r="AF211" s="88"/>
      <c r="AG211" s="80"/>
      <c r="AH211" s="79"/>
      <c r="AI211" s="79"/>
      <c r="AJ211" s="79"/>
      <c r="AK211" s="80"/>
      <c r="AL211" s="80"/>
      <c r="AM211" s="80"/>
      <c r="AN211" s="79"/>
      <c r="AO211" s="80"/>
      <c r="AP211" s="80"/>
      <c r="AQ211" s="80"/>
      <c r="AR211" s="85"/>
      <c r="AS211" s="85"/>
      <c r="AT211" s="85"/>
      <c r="AU211" s="85"/>
      <c r="AV211" s="85"/>
      <c r="AW211" s="82"/>
      <c r="AX211" s="79"/>
      <c r="AY211" s="82"/>
      <c r="AZ211" s="82"/>
      <c r="BA211" s="86"/>
      <c r="BB211" s="79"/>
      <c r="BC211" s="79"/>
      <c r="BD211" s="79"/>
      <c r="BE211" s="82"/>
      <c r="BF211" s="85"/>
      <c r="BG211" s="79"/>
      <c r="BH211" s="79"/>
      <c r="BI211" s="79"/>
      <c r="BJ211" s="88"/>
      <c r="BK211" s="88"/>
      <c r="BL211" s="79"/>
      <c r="BM211" s="185"/>
      <c r="BN211" s="90"/>
      <c r="BO211" s="80"/>
      <c r="BP211" s="80"/>
      <c r="BQ211" s="80"/>
      <c r="BR211" s="80"/>
      <c r="BS211" s="80"/>
      <c r="BT211" s="80"/>
      <c r="BU211" s="80"/>
      <c r="BV211" s="80"/>
      <c r="BW211" s="82"/>
      <c r="BX211" s="79"/>
      <c r="BY211" s="79"/>
      <c r="BZ211" s="79"/>
      <c r="CA211" s="79"/>
      <c r="CB211" s="79"/>
      <c r="CC211" s="82"/>
      <c r="CD211" s="82"/>
      <c r="CE211" s="82"/>
      <c r="CF211" s="82"/>
      <c r="CG211" s="82"/>
      <c r="CH211" s="82"/>
      <c r="CI211" s="82"/>
      <c r="CJ211" s="79"/>
      <c r="CK211" s="79"/>
      <c r="CL211" s="79"/>
      <c r="CM211" s="79"/>
      <c r="CN211" s="79"/>
      <c r="CO211" s="79"/>
    </row>
    <row r="212" spans="1:93">
      <c r="A212" s="98"/>
      <c r="B212" s="178"/>
      <c r="C212" s="188"/>
      <c r="D212" s="47"/>
      <c r="E212" s="126"/>
      <c r="F212" s="154"/>
      <c r="G212" s="167"/>
      <c r="H212" s="167"/>
      <c r="I212" s="170"/>
      <c r="J212" s="155"/>
      <c r="K212" s="156"/>
      <c r="L212" s="157"/>
      <c r="M212" s="157"/>
      <c r="N212" s="183"/>
      <c r="O212" s="177"/>
      <c r="P212" s="145"/>
      <c r="Q212" s="141"/>
      <c r="R212" s="190"/>
      <c r="S212" s="83"/>
      <c r="T212" s="87"/>
      <c r="U212" s="87"/>
      <c r="V212" s="87"/>
      <c r="W212" s="44"/>
      <c r="X212" s="88"/>
      <c r="Y212" s="79"/>
      <c r="Z212" s="79"/>
      <c r="AA212" s="79"/>
      <c r="AB212" s="79"/>
      <c r="AC212" s="86"/>
      <c r="AD212" s="82"/>
      <c r="AE212" s="79"/>
      <c r="AF212" s="88"/>
      <c r="AG212" s="80"/>
      <c r="AH212" s="79"/>
      <c r="AI212" s="79"/>
      <c r="AJ212" s="79"/>
      <c r="AK212" s="80"/>
      <c r="AL212" s="80"/>
      <c r="AM212" s="80"/>
      <c r="AN212" s="79"/>
      <c r="AO212" s="80"/>
      <c r="AP212" s="80"/>
      <c r="AQ212" s="80"/>
      <c r="AR212" s="85"/>
      <c r="AS212" s="85"/>
      <c r="AT212" s="85"/>
      <c r="AU212" s="85"/>
      <c r="AV212" s="85"/>
      <c r="AW212" s="82"/>
      <c r="AX212" s="79"/>
      <c r="AY212" s="82"/>
      <c r="AZ212" s="82"/>
      <c r="BA212" s="86"/>
      <c r="BB212" s="79"/>
      <c r="BC212" s="79"/>
      <c r="BD212" s="79"/>
      <c r="BE212" s="82"/>
      <c r="BF212" s="85"/>
      <c r="BG212" s="79"/>
      <c r="BH212" s="79"/>
      <c r="BI212" s="79"/>
      <c r="BJ212" s="88"/>
      <c r="BK212" s="88"/>
      <c r="BL212" s="79"/>
      <c r="BM212" s="185"/>
      <c r="BN212" s="90"/>
      <c r="BO212" s="80"/>
      <c r="BP212" s="80"/>
      <c r="BQ212" s="80"/>
      <c r="BR212" s="80"/>
      <c r="BS212" s="80"/>
      <c r="BT212" s="80"/>
      <c r="BU212" s="80"/>
      <c r="BV212" s="80"/>
      <c r="BW212" s="82"/>
      <c r="BX212" s="79"/>
      <c r="BY212" s="79"/>
      <c r="BZ212" s="79"/>
      <c r="CA212" s="79"/>
      <c r="CB212" s="79"/>
      <c r="CC212" s="82"/>
      <c r="CD212" s="82"/>
      <c r="CE212" s="82"/>
      <c r="CF212" s="82"/>
      <c r="CG212" s="82"/>
      <c r="CH212" s="82"/>
      <c r="CI212" s="82"/>
      <c r="CJ212" s="79"/>
      <c r="CK212" s="79"/>
      <c r="CL212" s="79"/>
      <c r="CM212" s="79"/>
      <c r="CN212" s="79"/>
      <c r="CO212" s="79"/>
    </row>
    <row r="213" spans="1:93">
      <c r="A213" s="98"/>
      <c r="B213" s="178"/>
      <c r="C213" s="188"/>
      <c r="D213" s="47"/>
      <c r="E213" s="126"/>
      <c r="F213" s="154"/>
      <c r="G213" s="167"/>
      <c r="H213" s="167"/>
      <c r="I213" s="170"/>
      <c r="J213" s="155"/>
      <c r="K213" s="156"/>
      <c r="L213" s="157"/>
      <c r="M213" s="157"/>
      <c r="N213" s="183"/>
      <c r="O213" s="177"/>
      <c r="P213" s="145"/>
      <c r="Q213" s="141"/>
      <c r="R213" s="190"/>
      <c r="S213" s="83"/>
      <c r="T213" s="87"/>
      <c r="U213" s="87"/>
      <c r="V213" s="87"/>
      <c r="W213" s="44"/>
      <c r="X213" s="88"/>
      <c r="Y213" s="79"/>
      <c r="Z213" s="79"/>
      <c r="AA213" s="79"/>
      <c r="AB213" s="79"/>
      <c r="AC213" s="86"/>
      <c r="AD213" s="82"/>
      <c r="AE213" s="79"/>
      <c r="AF213" s="88"/>
      <c r="AG213" s="80"/>
      <c r="AH213" s="79"/>
      <c r="AI213" s="79"/>
      <c r="AJ213" s="79"/>
      <c r="AK213" s="80"/>
      <c r="AL213" s="80"/>
      <c r="AM213" s="80"/>
      <c r="AN213" s="79"/>
      <c r="AO213" s="80"/>
      <c r="AP213" s="80"/>
      <c r="AQ213" s="80"/>
      <c r="AR213" s="85"/>
      <c r="AS213" s="85"/>
      <c r="AT213" s="85"/>
      <c r="AU213" s="85"/>
      <c r="AV213" s="85"/>
      <c r="AW213" s="82"/>
      <c r="AX213" s="79"/>
      <c r="AY213" s="82"/>
      <c r="AZ213" s="82"/>
      <c r="BA213" s="86"/>
      <c r="BB213" s="79"/>
      <c r="BC213" s="79"/>
      <c r="BD213" s="79"/>
      <c r="BE213" s="82"/>
      <c r="BF213" s="85"/>
      <c r="BG213" s="79"/>
      <c r="BH213" s="79"/>
      <c r="BI213" s="79"/>
      <c r="BJ213" s="88"/>
      <c r="BK213" s="88"/>
      <c r="BL213" s="79"/>
      <c r="BM213" s="185"/>
      <c r="BN213" s="90"/>
      <c r="BO213" s="80"/>
      <c r="BP213" s="80"/>
      <c r="BQ213" s="80"/>
      <c r="BR213" s="80"/>
      <c r="BS213" s="80"/>
      <c r="BT213" s="80"/>
      <c r="BU213" s="80"/>
      <c r="BV213" s="80"/>
      <c r="BW213" s="82"/>
      <c r="BX213" s="79"/>
      <c r="BY213" s="79"/>
      <c r="BZ213" s="79"/>
      <c r="CA213" s="79"/>
      <c r="CB213" s="79"/>
      <c r="CC213" s="82"/>
      <c r="CD213" s="82"/>
      <c r="CE213" s="82"/>
      <c r="CF213" s="82"/>
      <c r="CG213" s="82"/>
      <c r="CH213" s="82"/>
      <c r="CI213" s="82"/>
      <c r="CJ213" s="79"/>
      <c r="CK213" s="79"/>
      <c r="CL213" s="79"/>
      <c r="CM213" s="79"/>
      <c r="CN213" s="79"/>
      <c r="CO213" s="79"/>
    </row>
    <row r="214" spans="1:93">
      <c r="A214" s="98"/>
      <c r="B214" s="178"/>
      <c r="C214" s="188"/>
      <c r="D214" s="47"/>
      <c r="E214" s="126"/>
      <c r="F214" s="154"/>
      <c r="G214" s="167"/>
      <c r="H214" s="167"/>
      <c r="I214" s="170"/>
      <c r="J214" s="155"/>
      <c r="K214" s="156"/>
      <c r="L214" s="157"/>
      <c r="M214" s="157"/>
      <c r="N214" s="183"/>
      <c r="O214" s="177"/>
      <c r="P214" s="145"/>
      <c r="Q214" s="141"/>
      <c r="R214" s="190"/>
      <c r="S214" s="83"/>
      <c r="T214" s="87"/>
      <c r="U214" s="87"/>
      <c r="V214" s="87"/>
      <c r="W214" s="44"/>
      <c r="X214" s="88"/>
      <c r="Y214" s="79"/>
      <c r="Z214" s="79"/>
      <c r="AA214" s="79"/>
      <c r="AB214" s="79"/>
      <c r="AC214" s="86"/>
      <c r="AD214" s="82"/>
      <c r="AE214" s="79"/>
      <c r="AF214" s="88"/>
      <c r="AG214" s="80"/>
      <c r="AH214" s="79"/>
      <c r="AI214" s="79"/>
      <c r="AJ214" s="79"/>
      <c r="AK214" s="80"/>
      <c r="AL214" s="80"/>
      <c r="AM214" s="80"/>
      <c r="AN214" s="79"/>
      <c r="AO214" s="80"/>
      <c r="AP214" s="80"/>
      <c r="AQ214" s="80"/>
      <c r="AR214" s="85"/>
      <c r="AS214" s="85"/>
      <c r="AT214" s="85"/>
      <c r="AU214" s="85"/>
      <c r="AV214" s="85"/>
      <c r="AW214" s="82"/>
      <c r="AX214" s="79"/>
      <c r="AY214" s="82"/>
      <c r="AZ214" s="82"/>
      <c r="BA214" s="86"/>
      <c r="BB214" s="79"/>
      <c r="BC214" s="79"/>
      <c r="BD214" s="79"/>
      <c r="BE214" s="82"/>
      <c r="BF214" s="85"/>
      <c r="BG214" s="79"/>
      <c r="BH214" s="79"/>
      <c r="BI214" s="79"/>
      <c r="BJ214" s="88"/>
      <c r="BK214" s="88"/>
      <c r="BL214" s="79"/>
      <c r="BM214" s="185"/>
      <c r="BN214" s="90"/>
      <c r="BO214" s="80"/>
      <c r="BP214" s="80"/>
      <c r="BQ214" s="80"/>
      <c r="BR214" s="80"/>
      <c r="BS214" s="80"/>
      <c r="BT214" s="80"/>
      <c r="BU214" s="80"/>
      <c r="BV214" s="80"/>
      <c r="BW214" s="82"/>
      <c r="BX214" s="79"/>
      <c r="BY214" s="79"/>
      <c r="BZ214" s="79"/>
      <c r="CA214" s="79"/>
      <c r="CB214" s="79"/>
      <c r="CC214" s="82"/>
      <c r="CD214" s="82"/>
      <c r="CE214" s="82"/>
      <c r="CF214" s="82"/>
      <c r="CG214" s="82"/>
      <c r="CH214" s="82"/>
      <c r="CI214" s="82"/>
      <c r="CJ214" s="79"/>
      <c r="CK214" s="79"/>
      <c r="CL214" s="79"/>
      <c r="CM214" s="79"/>
      <c r="CN214" s="79"/>
      <c r="CO214" s="79"/>
    </row>
    <row r="215" spans="1:93">
      <c r="A215" s="98"/>
      <c r="B215" s="178"/>
      <c r="C215" s="188"/>
      <c r="D215" s="47"/>
      <c r="E215" s="126"/>
      <c r="F215" s="154"/>
      <c r="G215" s="167"/>
      <c r="H215" s="167"/>
      <c r="I215" s="170"/>
      <c r="J215" s="155"/>
      <c r="K215" s="156"/>
      <c r="L215" s="157"/>
      <c r="M215" s="157"/>
      <c r="N215" s="183"/>
      <c r="O215" s="177"/>
      <c r="P215" s="145"/>
      <c r="Q215" s="141"/>
      <c r="R215" s="190"/>
      <c r="S215" s="83"/>
      <c r="T215" s="87"/>
      <c r="U215" s="87"/>
      <c r="V215" s="87"/>
      <c r="W215" s="44"/>
      <c r="X215" s="88"/>
      <c r="Y215" s="79"/>
      <c r="Z215" s="79"/>
      <c r="AA215" s="79"/>
      <c r="AB215" s="79"/>
      <c r="AC215" s="86"/>
      <c r="AD215" s="82"/>
      <c r="AE215" s="79"/>
      <c r="AF215" s="88"/>
      <c r="AG215" s="80"/>
      <c r="AH215" s="79"/>
      <c r="AI215" s="79"/>
      <c r="AJ215" s="79"/>
      <c r="AK215" s="80"/>
      <c r="AL215" s="80"/>
      <c r="AM215" s="80"/>
      <c r="AN215" s="79"/>
      <c r="AO215" s="80"/>
      <c r="AP215" s="80"/>
      <c r="AQ215" s="80"/>
      <c r="AR215" s="85"/>
      <c r="AS215" s="85"/>
      <c r="AT215" s="85"/>
      <c r="AU215" s="85"/>
      <c r="AV215" s="85"/>
      <c r="AW215" s="82"/>
      <c r="AX215" s="79"/>
      <c r="AY215" s="82"/>
      <c r="AZ215" s="82"/>
      <c r="BA215" s="86"/>
      <c r="BB215" s="79"/>
      <c r="BC215" s="79"/>
      <c r="BD215" s="79"/>
      <c r="BE215" s="82"/>
      <c r="BF215" s="85"/>
      <c r="BG215" s="79"/>
      <c r="BH215" s="79"/>
      <c r="BI215" s="79"/>
      <c r="BJ215" s="88"/>
      <c r="BK215" s="88"/>
      <c r="BL215" s="79"/>
      <c r="BM215" s="185"/>
      <c r="BN215" s="90"/>
      <c r="BO215" s="80"/>
      <c r="BP215" s="80"/>
      <c r="BQ215" s="80"/>
      <c r="BR215" s="80"/>
      <c r="BS215" s="80"/>
      <c r="BT215" s="80"/>
      <c r="BU215" s="80"/>
      <c r="BV215" s="80"/>
      <c r="BW215" s="82"/>
      <c r="BX215" s="79"/>
      <c r="BY215" s="79"/>
      <c r="BZ215" s="79"/>
      <c r="CA215" s="79"/>
      <c r="CB215" s="79"/>
      <c r="CC215" s="82"/>
      <c r="CD215" s="82"/>
      <c r="CE215" s="82"/>
      <c r="CF215" s="82"/>
      <c r="CG215" s="82"/>
      <c r="CH215" s="82"/>
      <c r="CI215" s="82"/>
      <c r="CJ215" s="79"/>
      <c r="CK215" s="79"/>
      <c r="CL215" s="79"/>
      <c r="CM215" s="79"/>
      <c r="CN215" s="79"/>
      <c r="CO215" s="79"/>
    </row>
    <row r="216" spans="1:93">
      <c r="A216" s="98"/>
      <c r="B216" s="178"/>
      <c r="C216" s="188"/>
      <c r="D216" s="47"/>
      <c r="E216" s="126"/>
      <c r="F216" s="154"/>
      <c r="G216" s="167"/>
      <c r="H216" s="167"/>
      <c r="I216" s="170"/>
      <c r="J216" s="155"/>
      <c r="K216" s="156"/>
      <c r="L216" s="157"/>
      <c r="M216" s="157"/>
      <c r="N216" s="183"/>
      <c r="O216" s="177"/>
      <c r="P216" s="145"/>
      <c r="Q216" s="141"/>
      <c r="R216" s="190"/>
      <c r="S216" s="83"/>
      <c r="T216" s="87"/>
      <c r="U216" s="87"/>
      <c r="V216" s="87"/>
      <c r="W216" s="44"/>
      <c r="X216" s="88"/>
      <c r="Y216" s="79"/>
      <c r="Z216" s="79"/>
      <c r="AA216" s="79"/>
      <c r="AB216" s="79"/>
      <c r="AC216" s="86"/>
      <c r="AD216" s="82"/>
      <c r="AE216" s="79"/>
      <c r="AF216" s="88"/>
      <c r="AG216" s="80"/>
      <c r="AH216" s="79"/>
      <c r="AI216" s="79"/>
      <c r="AJ216" s="79"/>
      <c r="AK216" s="80"/>
      <c r="AL216" s="80"/>
      <c r="AM216" s="80"/>
      <c r="AN216" s="79"/>
      <c r="AO216" s="80"/>
      <c r="AP216" s="80"/>
      <c r="AQ216" s="80"/>
      <c r="AR216" s="85"/>
      <c r="AS216" s="85"/>
      <c r="AT216" s="85"/>
      <c r="AU216" s="85"/>
      <c r="AV216" s="85"/>
      <c r="AW216" s="82"/>
      <c r="AX216" s="79"/>
      <c r="AY216" s="82"/>
      <c r="AZ216" s="82"/>
      <c r="BA216" s="86"/>
      <c r="BB216" s="79"/>
      <c r="BC216" s="79"/>
      <c r="BD216" s="79"/>
      <c r="BE216" s="82"/>
      <c r="BF216" s="85"/>
      <c r="BG216" s="79"/>
      <c r="BH216" s="79"/>
      <c r="BI216" s="79"/>
      <c r="BJ216" s="88"/>
      <c r="BK216" s="88"/>
      <c r="BL216" s="79"/>
      <c r="BM216" s="185"/>
      <c r="BN216" s="90"/>
      <c r="BO216" s="80"/>
      <c r="BP216" s="80"/>
      <c r="BQ216" s="80"/>
      <c r="BR216" s="80"/>
      <c r="BS216" s="80"/>
      <c r="BT216" s="80"/>
      <c r="BU216" s="80"/>
      <c r="BV216" s="80"/>
      <c r="BW216" s="82"/>
      <c r="BX216" s="79"/>
      <c r="BY216" s="79"/>
      <c r="BZ216" s="79"/>
      <c r="CA216" s="79"/>
      <c r="CB216" s="79"/>
      <c r="CC216" s="82"/>
      <c r="CD216" s="82"/>
      <c r="CE216" s="82"/>
      <c r="CF216" s="82"/>
      <c r="CG216" s="82"/>
      <c r="CH216" s="82"/>
      <c r="CI216" s="82"/>
      <c r="CJ216" s="79"/>
      <c r="CK216" s="79"/>
      <c r="CL216" s="79"/>
      <c r="CM216" s="79"/>
      <c r="CN216" s="79"/>
      <c r="CO216" s="79"/>
    </row>
    <row r="217" spans="1:93">
      <c r="A217" s="98"/>
      <c r="B217" s="178"/>
      <c r="C217" s="188"/>
      <c r="D217" s="47"/>
      <c r="E217" s="126"/>
      <c r="F217" s="154"/>
      <c r="G217" s="167"/>
      <c r="H217" s="167"/>
      <c r="I217" s="170"/>
      <c r="J217" s="155"/>
      <c r="K217" s="156"/>
      <c r="L217" s="157"/>
      <c r="M217" s="157"/>
      <c r="N217" s="183"/>
      <c r="O217" s="177"/>
      <c r="P217" s="145"/>
      <c r="Q217" s="141"/>
      <c r="R217" s="190"/>
      <c r="S217" s="83"/>
      <c r="T217" s="87"/>
      <c r="U217" s="87"/>
      <c r="V217" s="87"/>
      <c r="W217" s="44"/>
      <c r="X217" s="88"/>
      <c r="Y217" s="79"/>
      <c r="Z217" s="79"/>
      <c r="AA217" s="79"/>
      <c r="AB217" s="79"/>
      <c r="AC217" s="86"/>
      <c r="AD217" s="82"/>
      <c r="AE217" s="79"/>
      <c r="AF217" s="88"/>
      <c r="AG217" s="80"/>
      <c r="AH217" s="79"/>
      <c r="AI217" s="79"/>
      <c r="AJ217" s="79"/>
      <c r="AK217" s="80"/>
      <c r="AL217" s="80"/>
      <c r="AM217" s="80"/>
      <c r="AN217" s="79"/>
      <c r="AO217" s="80"/>
      <c r="AP217" s="80"/>
      <c r="AQ217" s="80"/>
      <c r="AR217" s="85"/>
      <c r="AS217" s="85"/>
      <c r="AT217" s="85"/>
      <c r="AU217" s="85"/>
      <c r="AV217" s="85"/>
      <c r="AW217" s="82"/>
      <c r="AX217" s="79"/>
      <c r="AY217" s="82"/>
      <c r="AZ217" s="82"/>
      <c r="BA217" s="86"/>
      <c r="BB217" s="79"/>
      <c r="BC217" s="79"/>
      <c r="BD217" s="79"/>
      <c r="BE217" s="82"/>
      <c r="BF217" s="85"/>
      <c r="BG217" s="79"/>
      <c r="BH217" s="79"/>
      <c r="BI217" s="79"/>
      <c r="BJ217" s="88"/>
      <c r="BK217" s="88"/>
      <c r="BL217" s="79"/>
      <c r="BM217" s="185"/>
      <c r="BN217" s="90"/>
      <c r="BO217" s="80"/>
      <c r="BP217" s="80"/>
      <c r="BQ217" s="80"/>
      <c r="BR217" s="80"/>
      <c r="BS217" s="80"/>
      <c r="BT217" s="80"/>
      <c r="BU217" s="80"/>
      <c r="BV217" s="80"/>
      <c r="BW217" s="82"/>
      <c r="BX217" s="79"/>
      <c r="BY217" s="79"/>
      <c r="BZ217" s="79"/>
      <c r="CA217" s="79"/>
      <c r="CB217" s="79"/>
      <c r="CC217" s="82"/>
      <c r="CD217" s="82"/>
      <c r="CE217" s="82"/>
      <c r="CF217" s="82"/>
      <c r="CG217" s="82"/>
      <c r="CH217" s="82"/>
      <c r="CI217" s="82"/>
      <c r="CJ217" s="79"/>
      <c r="CK217" s="79"/>
      <c r="CL217" s="79"/>
      <c r="CM217" s="79"/>
      <c r="CN217" s="79"/>
      <c r="CO217" s="79"/>
    </row>
    <row r="218" spans="1:93">
      <c r="A218" s="98"/>
      <c r="B218" s="178"/>
      <c r="C218" s="188"/>
      <c r="D218" s="47"/>
      <c r="E218" s="126"/>
      <c r="F218" s="154"/>
      <c r="G218" s="167"/>
      <c r="H218" s="167"/>
      <c r="I218" s="170"/>
      <c r="J218" s="155"/>
      <c r="K218" s="156"/>
      <c r="L218" s="157"/>
      <c r="M218" s="157"/>
      <c r="N218" s="183"/>
      <c r="O218" s="177"/>
      <c r="P218" s="145"/>
      <c r="Q218" s="141"/>
      <c r="R218" s="190"/>
      <c r="S218" s="83"/>
      <c r="T218" s="87"/>
      <c r="U218" s="87"/>
      <c r="V218" s="87"/>
      <c r="W218" s="44"/>
      <c r="X218" s="88"/>
      <c r="Y218" s="79"/>
      <c r="Z218" s="79"/>
      <c r="AA218" s="79"/>
      <c r="AB218" s="79"/>
      <c r="AC218" s="86"/>
      <c r="AD218" s="82"/>
      <c r="AE218" s="79"/>
      <c r="AF218" s="88"/>
      <c r="AG218" s="80"/>
      <c r="AH218" s="79"/>
      <c r="AI218" s="79"/>
      <c r="AJ218" s="79"/>
      <c r="AK218" s="80"/>
      <c r="AL218" s="80"/>
      <c r="AM218" s="80"/>
      <c r="AN218" s="79"/>
      <c r="AO218" s="80"/>
      <c r="AP218" s="80"/>
      <c r="AQ218" s="80"/>
      <c r="AR218" s="85"/>
      <c r="AS218" s="85"/>
      <c r="AT218" s="85"/>
      <c r="AU218" s="85"/>
      <c r="AV218" s="85"/>
      <c r="AW218" s="82"/>
      <c r="AX218" s="79"/>
      <c r="AY218" s="82"/>
      <c r="AZ218" s="82"/>
      <c r="BA218" s="86"/>
      <c r="BB218" s="79"/>
      <c r="BC218" s="79"/>
      <c r="BD218" s="79"/>
      <c r="BE218" s="82"/>
      <c r="BF218" s="85"/>
      <c r="BG218" s="79"/>
      <c r="BH218" s="79"/>
      <c r="BI218" s="79"/>
      <c r="BJ218" s="88"/>
      <c r="BK218" s="88"/>
      <c r="BL218" s="79"/>
      <c r="BM218" s="185"/>
      <c r="BN218" s="90"/>
      <c r="BO218" s="80"/>
      <c r="BP218" s="80"/>
      <c r="BQ218" s="80"/>
      <c r="BR218" s="80"/>
      <c r="BS218" s="80"/>
      <c r="BT218" s="80"/>
      <c r="BU218" s="80"/>
      <c r="BV218" s="80"/>
      <c r="BW218" s="82"/>
      <c r="BX218" s="79"/>
      <c r="BY218" s="79"/>
      <c r="BZ218" s="79"/>
      <c r="CA218" s="79"/>
      <c r="CB218" s="79"/>
      <c r="CC218" s="82"/>
      <c r="CD218" s="82"/>
      <c r="CE218" s="82"/>
      <c r="CF218" s="82"/>
      <c r="CG218" s="82"/>
      <c r="CH218" s="82"/>
      <c r="CI218" s="82"/>
      <c r="CJ218" s="79"/>
      <c r="CK218" s="79"/>
      <c r="CL218" s="79"/>
      <c r="CM218" s="79"/>
      <c r="CN218" s="79"/>
      <c r="CO218" s="79"/>
    </row>
    <row r="219" spans="1:93">
      <c r="A219" s="98"/>
      <c r="B219" s="178"/>
      <c r="C219" s="188"/>
      <c r="D219" s="47"/>
      <c r="E219" s="126"/>
      <c r="F219" s="154"/>
      <c r="G219" s="167"/>
      <c r="H219" s="167"/>
      <c r="I219" s="170"/>
      <c r="J219" s="155"/>
      <c r="K219" s="156"/>
      <c r="L219" s="157"/>
      <c r="M219" s="157"/>
      <c r="N219" s="183"/>
      <c r="O219" s="177"/>
      <c r="P219" s="145"/>
      <c r="Q219" s="141"/>
      <c r="R219" s="190"/>
      <c r="S219" s="83"/>
      <c r="T219" s="87"/>
      <c r="U219" s="87"/>
      <c r="V219" s="87"/>
      <c r="W219" s="44"/>
      <c r="X219" s="88"/>
      <c r="Y219" s="79"/>
      <c r="Z219" s="79"/>
      <c r="AA219" s="79"/>
      <c r="AB219" s="79"/>
      <c r="AC219" s="86"/>
      <c r="AD219" s="82"/>
      <c r="AE219" s="79"/>
      <c r="AF219" s="88"/>
      <c r="AG219" s="80"/>
      <c r="AH219" s="79"/>
      <c r="AI219" s="79"/>
      <c r="AJ219" s="79"/>
      <c r="AK219" s="80"/>
      <c r="AL219" s="80"/>
      <c r="AM219" s="80"/>
      <c r="AN219" s="79"/>
      <c r="AO219" s="80"/>
      <c r="AP219" s="80"/>
      <c r="AQ219" s="80"/>
      <c r="AR219" s="85"/>
      <c r="AS219" s="85"/>
      <c r="AT219" s="85"/>
      <c r="AU219" s="85"/>
      <c r="AV219" s="85"/>
      <c r="AW219" s="82"/>
      <c r="AX219" s="79"/>
      <c r="AY219" s="82"/>
      <c r="AZ219" s="82"/>
      <c r="BA219" s="86"/>
      <c r="BB219" s="79"/>
      <c r="BC219" s="79"/>
      <c r="BD219" s="79"/>
      <c r="BE219" s="82"/>
      <c r="BF219" s="85"/>
      <c r="BG219" s="79"/>
      <c r="BH219" s="79"/>
      <c r="BI219" s="79"/>
      <c r="BJ219" s="88"/>
      <c r="BK219" s="88"/>
      <c r="BL219" s="79"/>
      <c r="BM219" s="185"/>
      <c r="BN219" s="90"/>
      <c r="BO219" s="80"/>
      <c r="BP219" s="80"/>
      <c r="BQ219" s="80"/>
      <c r="BR219" s="80"/>
      <c r="BS219" s="80"/>
      <c r="BT219" s="80"/>
      <c r="BU219" s="80"/>
      <c r="BV219" s="80"/>
      <c r="BW219" s="82"/>
      <c r="BX219" s="79"/>
      <c r="BY219" s="79"/>
      <c r="BZ219" s="79"/>
      <c r="CA219" s="79"/>
      <c r="CB219" s="79"/>
      <c r="CC219" s="82"/>
      <c r="CD219" s="82"/>
      <c r="CE219" s="82"/>
      <c r="CF219" s="82"/>
      <c r="CG219" s="82"/>
      <c r="CH219" s="82"/>
      <c r="CI219" s="82"/>
      <c r="CJ219" s="79"/>
      <c r="CK219" s="79"/>
      <c r="CL219" s="79"/>
      <c r="CM219" s="79"/>
      <c r="CN219" s="79"/>
      <c r="CO219" s="79"/>
    </row>
    <row r="220" spans="1:93">
      <c r="A220" s="98"/>
      <c r="B220" s="178"/>
      <c r="C220" s="188"/>
      <c r="D220" s="47"/>
      <c r="E220" s="126"/>
      <c r="F220" s="154"/>
      <c r="G220" s="167"/>
      <c r="H220" s="167"/>
      <c r="I220" s="170"/>
      <c r="J220" s="155"/>
      <c r="K220" s="156"/>
      <c r="L220" s="157"/>
      <c r="M220" s="157"/>
      <c r="N220" s="183"/>
      <c r="O220" s="177"/>
      <c r="P220" s="145"/>
      <c r="Q220" s="141"/>
      <c r="R220" s="190"/>
      <c r="S220" s="83"/>
      <c r="T220" s="87"/>
      <c r="U220" s="87"/>
      <c r="V220" s="87"/>
      <c r="W220" s="44"/>
      <c r="X220" s="88"/>
      <c r="Y220" s="79"/>
      <c r="Z220" s="79"/>
      <c r="AA220" s="79"/>
      <c r="AB220" s="79"/>
      <c r="AC220" s="86"/>
      <c r="AD220" s="82"/>
      <c r="AE220" s="79"/>
      <c r="AF220" s="88"/>
      <c r="AG220" s="80"/>
      <c r="AH220" s="79"/>
      <c r="AI220" s="79"/>
      <c r="AJ220" s="79"/>
      <c r="AK220" s="80"/>
      <c r="AL220" s="80"/>
      <c r="AM220" s="80"/>
      <c r="AN220" s="79"/>
      <c r="AO220" s="80"/>
      <c r="AP220" s="80"/>
      <c r="AQ220" s="80"/>
      <c r="AR220" s="85"/>
      <c r="AS220" s="85"/>
      <c r="AT220" s="85"/>
      <c r="AU220" s="85"/>
      <c r="AV220" s="85"/>
      <c r="AW220" s="82"/>
      <c r="AX220" s="79"/>
      <c r="AY220" s="82"/>
      <c r="AZ220" s="82"/>
      <c r="BA220" s="86"/>
      <c r="BB220" s="79"/>
      <c r="BC220" s="79"/>
      <c r="BD220" s="79"/>
      <c r="BE220" s="82"/>
      <c r="BF220" s="85"/>
      <c r="BG220" s="79"/>
      <c r="BH220" s="79"/>
      <c r="BI220" s="79"/>
      <c r="BJ220" s="88"/>
      <c r="BK220" s="88"/>
      <c r="BL220" s="79"/>
      <c r="BM220" s="185"/>
      <c r="BN220" s="90"/>
      <c r="BO220" s="80"/>
      <c r="BP220" s="80"/>
      <c r="BQ220" s="80"/>
      <c r="BR220" s="80"/>
      <c r="BS220" s="80"/>
      <c r="BT220" s="80"/>
      <c r="BU220" s="80"/>
      <c r="BV220" s="80"/>
      <c r="BW220" s="82"/>
      <c r="BX220" s="79"/>
      <c r="BY220" s="79"/>
      <c r="BZ220" s="79"/>
      <c r="CA220" s="79"/>
      <c r="CB220" s="79"/>
      <c r="CC220" s="82"/>
      <c r="CD220" s="82"/>
      <c r="CE220" s="82"/>
      <c r="CF220" s="82"/>
      <c r="CG220" s="82"/>
      <c r="CH220" s="82"/>
      <c r="CI220" s="82"/>
      <c r="CJ220" s="79"/>
      <c r="CK220" s="79"/>
      <c r="CL220" s="79"/>
      <c r="CM220" s="79"/>
      <c r="CN220" s="79"/>
      <c r="CO220" s="79"/>
    </row>
    <row r="221" spans="1:93">
      <c r="A221" s="98"/>
      <c r="B221" s="178"/>
      <c r="C221" s="188"/>
      <c r="D221" s="47"/>
      <c r="E221" s="126"/>
      <c r="F221" s="154"/>
      <c r="G221" s="167"/>
      <c r="H221" s="167"/>
      <c r="I221" s="170"/>
      <c r="J221" s="155"/>
      <c r="K221" s="156"/>
      <c r="L221" s="157"/>
      <c r="M221" s="157"/>
      <c r="N221" s="183"/>
      <c r="O221" s="177"/>
      <c r="P221" s="145"/>
      <c r="Q221" s="141"/>
      <c r="R221" s="190"/>
      <c r="S221" s="83"/>
      <c r="T221" s="87"/>
      <c r="U221" s="87"/>
      <c r="V221" s="87"/>
      <c r="W221" s="44"/>
      <c r="X221" s="88"/>
      <c r="Y221" s="79"/>
      <c r="Z221" s="79"/>
      <c r="AA221" s="79"/>
      <c r="AB221" s="79"/>
      <c r="AC221" s="86"/>
      <c r="AD221" s="82"/>
      <c r="AE221" s="79"/>
      <c r="AF221" s="88"/>
      <c r="AG221" s="80"/>
      <c r="AH221" s="79"/>
      <c r="AI221" s="79"/>
      <c r="AJ221" s="79"/>
      <c r="AK221" s="80"/>
      <c r="AL221" s="80"/>
      <c r="AM221" s="80"/>
      <c r="AN221" s="79"/>
      <c r="AO221" s="80"/>
      <c r="AP221" s="80"/>
      <c r="AQ221" s="80"/>
      <c r="AR221" s="85"/>
      <c r="AS221" s="85"/>
      <c r="AT221" s="85"/>
      <c r="AU221" s="85"/>
      <c r="AV221" s="85"/>
      <c r="AW221" s="82"/>
      <c r="AX221" s="79"/>
      <c r="AY221" s="82"/>
      <c r="AZ221" s="82"/>
      <c r="BA221" s="86"/>
      <c r="BB221" s="79"/>
      <c r="BC221" s="79"/>
      <c r="BD221" s="79"/>
      <c r="BE221" s="82"/>
      <c r="BF221" s="85"/>
      <c r="BG221" s="79"/>
      <c r="BH221" s="79"/>
      <c r="BI221" s="79"/>
      <c r="BJ221" s="88"/>
      <c r="BK221" s="88"/>
      <c r="BL221" s="79"/>
      <c r="BM221" s="185"/>
      <c r="BN221" s="90"/>
      <c r="BO221" s="80"/>
      <c r="BP221" s="80"/>
      <c r="BQ221" s="80"/>
      <c r="BR221" s="80"/>
      <c r="BS221" s="80"/>
      <c r="BT221" s="80"/>
      <c r="BU221" s="80"/>
      <c r="BV221" s="80"/>
      <c r="BW221" s="82"/>
      <c r="BX221" s="79"/>
      <c r="BY221" s="79"/>
      <c r="BZ221" s="79"/>
      <c r="CA221" s="79"/>
      <c r="CB221" s="79"/>
      <c r="CC221" s="82"/>
      <c r="CD221" s="82"/>
      <c r="CE221" s="82"/>
      <c r="CF221" s="82"/>
      <c r="CG221" s="82"/>
      <c r="CH221" s="82"/>
      <c r="CI221" s="82"/>
      <c r="CJ221" s="79"/>
      <c r="CK221" s="79"/>
      <c r="CL221" s="79"/>
      <c r="CM221" s="79"/>
      <c r="CN221" s="79"/>
      <c r="CO221" s="79"/>
    </row>
    <row r="222" spans="1:93">
      <c r="A222" s="98"/>
      <c r="B222" s="178"/>
      <c r="C222" s="188"/>
      <c r="D222" s="47"/>
      <c r="E222" s="126"/>
      <c r="F222" s="154"/>
      <c r="G222" s="167"/>
      <c r="H222" s="167"/>
      <c r="I222" s="170"/>
      <c r="J222" s="155"/>
      <c r="K222" s="156"/>
      <c r="L222" s="157"/>
      <c r="M222" s="157"/>
      <c r="N222" s="183"/>
      <c r="O222" s="177"/>
      <c r="P222" s="145"/>
      <c r="Q222" s="141"/>
      <c r="R222" s="190"/>
      <c r="S222" s="83"/>
      <c r="T222" s="87"/>
      <c r="U222" s="87"/>
      <c r="V222" s="87"/>
      <c r="W222" s="44"/>
      <c r="X222" s="88"/>
      <c r="Y222" s="79"/>
      <c r="Z222" s="79"/>
      <c r="AA222" s="79"/>
      <c r="AB222" s="79"/>
      <c r="AC222" s="86"/>
      <c r="AD222" s="82"/>
      <c r="AE222" s="79"/>
      <c r="AF222" s="88"/>
      <c r="AG222" s="80"/>
      <c r="AH222" s="79"/>
      <c r="AI222" s="79"/>
      <c r="AJ222" s="79"/>
      <c r="AK222" s="80"/>
      <c r="AL222" s="80"/>
      <c r="AM222" s="80"/>
      <c r="AN222" s="79"/>
      <c r="AO222" s="80"/>
      <c r="AP222" s="80"/>
      <c r="AQ222" s="80"/>
      <c r="AR222" s="85"/>
      <c r="AS222" s="85"/>
      <c r="AT222" s="85"/>
      <c r="AU222" s="85"/>
      <c r="AV222" s="85"/>
      <c r="AW222" s="82"/>
      <c r="AX222" s="79"/>
      <c r="AY222" s="82"/>
      <c r="AZ222" s="82"/>
      <c r="BA222" s="86"/>
      <c r="BB222" s="79"/>
      <c r="BC222" s="79"/>
      <c r="BD222" s="79"/>
      <c r="BE222" s="82"/>
      <c r="BF222" s="85"/>
      <c r="BG222" s="79"/>
      <c r="BH222" s="79"/>
      <c r="BI222" s="79"/>
      <c r="BJ222" s="88"/>
      <c r="BK222" s="88"/>
      <c r="BL222" s="79"/>
      <c r="BM222" s="185"/>
      <c r="BN222" s="90"/>
      <c r="BO222" s="80"/>
      <c r="BP222" s="80"/>
      <c r="BQ222" s="80"/>
      <c r="BR222" s="80"/>
      <c r="BS222" s="80"/>
      <c r="BT222" s="80"/>
      <c r="BU222" s="80"/>
      <c r="BV222" s="80"/>
      <c r="BW222" s="82"/>
      <c r="BX222" s="79"/>
      <c r="BY222" s="79"/>
      <c r="BZ222" s="79"/>
      <c r="CA222" s="79"/>
      <c r="CB222" s="79"/>
      <c r="CC222" s="82"/>
      <c r="CD222" s="82"/>
      <c r="CE222" s="82"/>
      <c r="CF222" s="82"/>
      <c r="CG222" s="82"/>
      <c r="CH222" s="82"/>
      <c r="CI222" s="82"/>
      <c r="CJ222" s="79"/>
      <c r="CK222" s="79"/>
      <c r="CL222" s="79"/>
      <c r="CM222" s="79"/>
      <c r="CN222" s="79"/>
      <c r="CO222" s="79"/>
    </row>
    <row r="223" spans="1:93">
      <c r="A223" s="98"/>
      <c r="B223" s="178"/>
      <c r="C223" s="188"/>
      <c r="D223" s="47"/>
      <c r="E223" s="126"/>
      <c r="F223" s="154"/>
      <c r="G223" s="167"/>
      <c r="H223" s="167"/>
      <c r="I223" s="170"/>
      <c r="J223" s="155"/>
      <c r="K223" s="156"/>
      <c r="L223" s="157"/>
      <c r="M223" s="157"/>
      <c r="N223" s="183"/>
      <c r="O223" s="177"/>
      <c r="P223" s="145"/>
      <c r="Q223" s="141"/>
      <c r="R223" s="190"/>
      <c r="S223" s="83"/>
      <c r="T223" s="87"/>
      <c r="U223" s="87"/>
      <c r="V223" s="87"/>
      <c r="W223" s="44"/>
      <c r="X223" s="88"/>
      <c r="Y223" s="79"/>
      <c r="Z223" s="79"/>
      <c r="AA223" s="79"/>
      <c r="AB223" s="79"/>
      <c r="AC223" s="86"/>
      <c r="AD223" s="82"/>
      <c r="AE223" s="79"/>
      <c r="AF223" s="88"/>
      <c r="AG223" s="80"/>
      <c r="AH223" s="79"/>
      <c r="AI223" s="79"/>
      <c r="AJ223" s="79"/>
      <c r="AK223" s="80"/>
      <c r="AL223" s="80"/>
      <c r="AM223" s="80"/>
      <c r="AN223" s="79"/>
      <c r="AO223" s="80"/>
      <c r="AP223" s="80"/>
      <c r="AQ223" s="80"/>
      <c r="AR223" s="85"/>
      <c r="AS223" s="85"/>
      <c r="AT223" s="85"/>
      <c r="AU223" s="85"/>
      <c r="AV223" s="85"/>
      <c r="AW223" s="82"/>
      <c r="AX223" s="79"/>
      <c r="AY223" s="82"/>
      <c r="AZ223" s="82"/>
      <c r="BA223" s="86"/>
      <c r="BB223" s="79"/>
      <c r="BC223" s="79"/>
      <c r="BD223" s="79"/>
      <c r="BE223" s="82"/>
      <c r="BF223" s="85"/>
      <c r="BG223" s="79"/>
      <c r="BH223" s="79"/>
      <c r="BI223" s="79"/>
      <c r="BJ223" s="88"/>
      <c r="BK223" s="88"/>
      <c r="BL223" s="79"/>
      <c r="BM223" s="185"/>
      <c r="BN223" s="90"/>
      <c r="BO223" s="80"/>
      <c r="BP223" s="80"/>
      <c r="BQ223" s="80"/>
      <c r="BR223" s="80"/>
      <c r="BS223" s="80"/>
      <c r="BT223" s="80"/>
      <c r="BU223" s="80"/>
      <c r="BV223" s="80"/>
      <c r="BW223" s="82"/>
      <c r="BX223" s="79"/>
      <c r="BY223" s="79"/>
      <c r="BZ223" s="79"/>
      <c r="CA223" s="79"/>
      <c r="CB223" s="79"/>
      <c r="CC223" s="82"/>
      <c r="CD223" s="82"/>
      <c r="CE223" s="82"/>
      <c r="CF223" s="82"/>
      <c r="CG223" s="82"/>
      <c r="CH223" s="82"/>
      <c r="CI223" s="82"/>
      <c r="CJ223" s="79"/>
      <c r="CK223" s="79"/>
      <c r="CL223" s="79"/>
      <c r="CM223" s="79"/>
      <c r="CN223" s="79"/>
      <c r="CO223" s="79"/>
    </row>
    <row r="224" spans="1:93">
      <c r="A224" s="98"/>
      <c r="B224" s="178"/>
      <c r="C224" s="188"/>
      <c r="D224" s="47"/>
      <c r="E224" s="126"/>
      <c r="F224" s="154"/>
      <c r="G224" s="167"/>
      <c r="H224" s="167"/>
      <c r="I224" s="170"/>
      <c r="J224" s="155"/>
      <c r="K224" s="156"/>
      <c r="L224" s="157"/>
      <c r="M224" s="157"/>
      <c r="N224" s="183"/>
      <c r="O224" s="177"/>
      <c r="P224" s="145"/>
      <c r="Q224" s="141"/>
      <c r="R224" s="190"/>
      <c r="S224" s="83"/>
      <c r="T224" s="87"/>
      <c r="U224" s="87"/>
      <c r="V224" s="87"/>
      <c r="W224" s="44"/>
      <c r="X224" s="88"/>
      <c r="Y224" s="79"/>
      <c r="Z224" s="79"/>
      <c r="AA224" s="79"/>
      <c r="AB224" s="79"/>
      <c r="AC224" s="86"/>
      <c r="AD224" s="82"/>
      <c r="AE224" s="79"/>
      <c r="AF224" s="88"/>
      <c r="AG224" s="80"/>
      <c r="AH224" s="79"/>
      <c r="AI224" s="79"/>
      <c r="AJ224" s="79"/>
      <c r="AK224" s="80"/>
      <c r="AL224" s="80"/>
      <c r="AM224" s="80"/>
      <c r="AN224" s="79"/>
      <c r="AO224" s="80"/>
      <c r="AP224" s="80"/>
      <c r="AQ224" s="80"/>
      <c r="AR224" s="85"/>
      <c r="AS224" s="85"/>
      <c r="AT224" s="85"/>
      <c r="AU224" s="85"/>
      <c r="AV224" s="85"/>
      <c r="AW224" s="82"/>
      <c r="AX224" s="79"/>
      <c r="AY224" s="82"/>
      <c r="AZ224" s="82"/>
      <c r="BA224" s="86"/>
      <c r="BB224" s="79"/>
      <c r="BC224" s="79"/>
      <c r="BD224" s="79"/>
      <c r="BE224" s="82"/>
      <c r="BF224" s="85"/>
      <c r="BG224" s="79"/>
      <c r="BH224" s="79"/>
      <c r="BI224" s="79"/>
      <c r="BJ224" s="88"/>
      <c r="BK224" s="88"/>
      <c r="BL224" s="79"/>
      <c r="BM224" s="185"/>
      <c r="BN224" s="90"/>
      <c r="BO224" s="80"/>
      <c r="BP224" s="80"/>
      <c r="BQ224" s="80"/>
      <c r="BR224" s="80"/>
      <c r="BS224" s="80"/>
      <c r="BT224" s="80"/>
      <c r="BU224" s="80"/>
      <c r="BV224" s="80"/>
      <c r="BW224" s="82"/>
      <c r="BX224" s="79"/>
      <c r="BY224" s="79"/>
      <c r="BZ224" s="79"/>
      <c r="CA224" s="79"/>
      <c r="CB224" s="79"/>
      <c r="CC224" s="82"/>
      <c r="CD224" s="82"/>
      <c r="CE224" s="82"/>
      <c r="CF224" s="82"/>
      <c r="CG224" s="82"/>
      <c r="CH224" s="82"/>
      <c r="CI224" s="82"/>
      <c r="CJ224" s="79"/>
      <c r="CK224" s="79"/>
      <c r="CL224" s="79"/>
      <c r="CM224" s="79"/>
      <c r="CN224" s="79"/>
      <c r="CO224" s="79"/>
    </row>
    <row r="225" spans="1:93">
      <c r="A225" s="98"/>
      <c r="B225" s="178"/>
      <c r="C225" s="188"/>
      <c r="D225" s="47"/>
      <c r="E225" s="126"/>
      <c r="F225" s="154"/>
      <c r="G225" s="167"/>
      <c r="H225" s="167"/>
      <c r="I225" s="170"/>
      <c r="J225" s="155"/>
      <c r="K225" s="156"/>
      <c r="L225" s="157"/>
      <c r="M225" s="157"/>
      <c r="N225" s="183"/>
      <c r="O225" s="177"/>
      <c r="P225" s="145"/>
      <c r="Q225" s="141"/>
      <c r="R225" s="190"/>
      <c r="S225" s="83"/>
      <c r="T225" s="87"/>
      <c r="U225" s="87"/>
      <c r="V225" s="87"/>
      <c r="W225" s="44"/>
      <c r="X225" s="88"/>
      <c r="Y225" s="79"/>
      <c r="Z225" s="79"/>
      <c r="AA225" s="79"/>
      <c r="AB225" s="79"/>
      <c r="AC225" s="86"/>
      <c r="AD225" s="82"/>
      <c r="AE225" s="79"/>
      <c r="AF225" s="88"/>
      <c r="AG225" s="80"/>
      <c r="AH225" s="79"/>
      <c r="AI225" s="79"/>
      <c r="AJ225" s="79"/>
      <c r="AK225" s="80"/>
      <c r="AL225" s="80"/>
      <c r="AM225" s="80"/>
      <c r="AN225" s="79"/>
      <c r="AO225" s="80"/>
      <c r="AP225" s="80"/>
      <c r="AQ225" s="80"/>
      <c r="AR225" s="85"/>
      <c r="AS225" s="85"/>
      <c r="AT225" s="85"/>
      <c r="AU225" s="85"/>
      <c r="AV225" s="85"/>
      <c r="AW225" s="82"/>
      <c r="AX225" s="79"/>
      <c r="AY225" s="82"/>
      <c r="AZ225" s="82"/>
      <c r="BA225" s="86"/>
      <c r="BB225" s="79"/>
      <c r="BC225" s="79"/>
      <c r="BD225" s="79"/>
      <c r="BE225" s="82"/>
      <c r="BF225" s="85"/>
      <c r="BG225" s="79"/>
      <c r="BH225" s="79"/>
      <c r="BI225" s="79"/>
      <c r="BJ225" s="88"/>
      <c r="BK225" s="88"/>
      <c r="BL225" s="79"/>
      <c r="BM225" s="185"/>
      <c r="BN225" s="90"/>
      <c r="BO225" s="80"/>
      <c r="BP225" s="80"/>
      <c r="BQ225" s="80"/>
      <c r="BR225" s="80"/>
      <c r="BS225" s="80"/>
      <c r="BT225" s="80"/>
      <c r="BU225" s="80"/>
      <c r="BV225" s="80"/>
      <c r="BW225" s="82"/>
      <c r="BX225" s="79"/>
      <c r="BY225" s="79"/>
      <c r="BZ225" s="79"/>
      <c r="CA225" s="79"/>
      <c r="CB225" s="79"/>
      <c r="CC225" s="82"/>
      <c r="CD225" s="82"/>
      <c r="CE225" s="82"/>
      <c r="CF225" s="82"/>
      <c r="CG225" s="82"/>
      <c r="CH225" s="82"/>
      <c r="CI225" s="82"/>
      <c r="CJ225" s="79"/>
      <c r="CK225" s="79"/>
      <c r="CL225" s="79"/>
      <c r="CM225" s="79"/>
      <c r="CN225" s="79"/>
      <c r="CO225" s="79"/>
    </row>
    <row r="226" spans="1:93">
      <c r="A226" s="98"/>
      <c r="B226" s="178"/>
      <c r="C226" s="188"/>
      <c r="D226" s="47"/>
      <c r="E226" s="126"/>
      <c r="F226" s="154"/>
      <c r="G226" s="167"/>
      <c r="H226" s="167"/>
      <c r="I226" s="170"/>
      <c r="J226" s="155"/>
      <c r="K226" s="156"/>
      <c r="L226" s="157"/>
      <c r="M226" s="157"/>
      <c r="N226" s="183"/>
      <c r="O226" s="177"/>
      <c r="P226" s="145"/>
      <c r="Q226" s="141"/>
      <c r="R226" s="190"/>
      <c r="S226" s="83"/>
      <c r="T226" s="87"/>
      <c r="U226" s="87"/>
      <c r="V226" s="87"/>
      <c r="W226" s="44"/>
      <c r="X226" s="88"/>
      <c r="Y226" s="79"/>
      <c r="Z226" s="79"/>
      <c r="AA226" s="79"/>
      <c r="AB226" s="79"/>
      <c r="AC226" s="86"/>
      <c r="AD226" s="82"/>
      <c r="AE226" s="79"/>
      <c r="AF226" s="88"/>
      <c r="AG226" s="80"/>
      <c r="AH226" s="79"/>
      <c r="AI226" s="79"/>
      <c r="AJ226" s="79"/>
      <c r="AK226" s="80"/>
      <c r="AL226" s="80"/>
      <c r="AM226" s="80"/>
      <c r="AN226" s="79"/>
      <c r="AO226" s="80"/>
      <c r="AP226" s="80"/>
      <c r="AQ226" s="80"/>
      <c r="AR226" s="85"/>
      <c r="AS226" s="85"/>
      <c r="AT226" s="85"/>
      <c r="AU226" s="85"/>
      <c r="AV226" s="85"/>
      <c r="AW226" s="82"/>
      <c r="AX226" s="79"/>
      <c r="AY226" s="82"/>
      <c r="AZ226" s="82"/>
      <c r="BA226" s="86"/>
      <c r="BB226" s="79"/>
      <c r="BC226" s="79"/>
      <c r="BD226" s="79"/>
      <c r="BE226" s="82"/>
      <c r="BF226" s="85"/>
      <c r="BG226" s="79"/>
      <c r="BH226" s="79"/>
      <c r="BI226" s="79"/>
      <c r="BJ226" s="88"/>
      <c r="BK226" s="88"/>
      <c r="BL226" s="79"/>
      <c r="BM226" s="185"/>
      <c r="BN226" s="90"/>
      <c r="BO226" s="80"/>
      <c r="BP226" s="80"/>
      <c r="BQ226" s="80"/>
      <c r="BR226" s="80"/>
      <c r="BS226" s="80"/>
      <c r="BT226" s="80"/>
      <c r="BU226" s="80"/>
      <c r="BV226" s="80"/>
      <c r="BW226" s="82"/>
      <c r="BX226" s="79"/>
      <c r="BY226" s="79"/>
      <c r="BZ226" s="79"/>
      <c r="CA226" s="79"/>
      <c r="CB226" s="79"/>
      <c r="CC226" s="82"/>
      <c r="CD226" s="82"/>
      <c r="CE226" s="82"/>
      <c r="CF226" s="82"/>
      <c r="CG226" s="82"/>
      <c r="CH226" s="82"/>
      <c r="CI226" s="82"/>
      <c r="CJ226" s="79"/>
      <c r="CK226" s="79"/>
      <c r="CL226" s="79"/>
      <c r="CM226" s="79"/>
      <c r="CN226" s="79"/>
      <c r="CO226" s="79"/>
    </row>
    <row r="227" spans="1:93">
      <c r="A227" s="98"/>
      <c r="B227" s="178"/>
      <c r="C227" s="188"/>
      <c r="D227" s="47"/>
      <c r="E227" s="126"/>
      <c r="F227" s="154"/>
      <c r="G227" s="167"/>
      <c r="H227" s="167"/>
      <c r="I227" s="170"/>
      <c r="J227" s="155"/>
      <c r="K227" s="156"/>
      <c r="L227" s="157"/>
      <c r="M227" s="157"/>
      <c r="N227" s="183"/>
      <c r="O227" s="177"/>
      <c r="P227" s="145"/>
      <c r="Q227" s="141"/>
      <c r="R227" s="190"/>
      <c r="S227" s="83"/>
      <c r="T227" s="87"/>
      <c r="U227" s="87"/>
      <c r="V227" s="87"/>
      <c r="W227" s="44"/>
      <c r="X227" s="88"/>
      <c r="Y227" s="79"/>
      <c r="Z227" s="79"/>
      <c r="AA227" s="79"/>
      <c r="AB227" s="79"/>
      <c r="AC227" s="86"/>
      <c r="AD227" s="82"/>
      <c r="AE227" s="79"/>
      <c r="AF227" s="88"/>
      <c r="AG227" s="80"/>
      <c r="AH227" s="79"/>
      <c r="AI227" s="79"/>
      <c r="AJ227" s="79"/>
      <c r="AK227" s="80"/>
      <c r="AL227" s="80"/>
      <c r="AM227" s="80"/>
      <c r="AN227" s="79"/>
      <c r="AO227" s="80"/>
      <c r="AP227" s="80"/>
      <c r="AQ227" s="80"/>
      <c r="AR227" s="85"/>
      <c r="AS227" s="85"/>
      <c r="AT227" s="85"/>
      <c r="AU227" s="85"/>
      <c r="AV227" s="85"/>
      <c r="AW227" s="82"/>
      <c r="AX227" s="79"/>
      <c r="AY227" s="82"/>
      <c r="AZ227" s="82"/>
      <c r="BA227" s="86"/>
      <c r="BB227" s="79"/>
      <c r="BC227" s="79"/>
      <c r="BD227" s="79"/>
      <c r="BE227" s="82"/>
      <c r="BF227" s="85"/>
      <c r="BG227" s="79"/>
      <c r="BH227" s="79"/>
      <c r="BI227" s="79"/>
      <c r="BJ227" s="88"/>
      <c r="BK227" s="88"/>
      <c r="BL227" s="79"/>
      <c r="BM227" s="185"/>
      <c r="BN227" s="90"/>
      <c r="BO227" s="80"/>
      <c r="BP227" s="80"/>
      <c r="BQ227" s="80"/>
      <c r="BR227" s="80"/>
      <c r="BS227" s="80"/>
      <c r="BT227" s="80"/>
      <c r="BU227" s="80"/>
      <c r="BV227" s="80"/>
      <c r="BW227" s="82"/>
      <c r="BX227" s="79"/>
      <c r="BY227" s="79"/>
      <c r="BZ227" s="79"/>
      <c r="CA227" s="79"/>
      <c r="CB227" s="79"/>
      <c r="CC227" s="82"/>
      <c r="CD227" s="82"/>
      <c r="CE227" s="82"/>
      <c r="CF227" s="82"/>
      <c r="CG227" s="82"/>
      <c r="CH227" s="82"/>
      <c r="CI227" s="82"/>
      <c r="CJ227" s="79"/>
      <c r="CK227" s="79"/>
      <c r="CL227" s="79"/>
      <c r="CM227" s="79"/>
      <c r="CN227" s="79"/>
      <c r="CO227" s="79"/>
    </row>
    <row r="228" spans="1:93">
      <c r="A228" s="98"/>
      <c r="B228" s="178"/>
      <c r="C228" s="188"/>
      <c r="D228" s="47"/>
      <c r="E228" s="126"/>
      <c r="F228" s="154"/>
      <c r="G228" s="167"/>
      <c r="H228" s="167"/>
      <c r="I228" s="170"/>
      <c r="J228" s="155"/>
      <c r="K228" s="156"/>
      <c r="L228" s="157"/>
      <c r="M228" s="157"/>
      <c r="N228" s="183"/>
      <c r="O228" s="177"/>
      <c r="P228" s="145"/>
      <c r="Q228" s="141"/>
      <c r="R228" s="190"/>
      <c r="S228" s="83"/>
      <c r="T228" s="87"/>
      <c r="U228" s="87"/>
      <c r="V228" s="87"/>
      <c r="W228" s="44"/>
      <c r="X228" s="88"/>
      <c r="Y228" s="79"/>
      <c r="Z228" s="79"/>
      <c r="AA228" s="79"/>
      <c r="AB228" s="79"/>
      <c r="AC228" s="86"/>
      <c r="AD228" s="82"/>
      <c r="AE228" s="79"/>
      <c r="AF228" s="88"/>
      <c r="AG228" s="80"/>
      <c r="AH228" s="79"/>
      <c r="AI228" s="79"/>
      <c r="AJ228" s="79"/>
      <c r="AK228" s="80"/>
      <c r="AL228" s="80"/>
      <c r="AM228" s="80"/>
      <c r="AN228" s="79"/>
      <c r="AO228" s="80"/>
      <c r="AP228" s="80"/>
      <c r="AQ228" s="80"/>
      <c r="AR228" s="85"/>
      <c r="AS228" s="85"/>
      <c r="AT228" s="85"/>
      <c r="AU228" s="85"/>
      <c r="AV228" s="85"/>
      <c r="AW228" s="82"/>
      <c r="AX228" s="79"/>
      <c r="AY228" s="82"/>
      <c r="AZ228" s="82"/>
      <c r="BA228" s="86"/>
      <c r="BB228" s="79"/>
      <c r="BC228" s="79"/>
      <c r="BD228" s="79"/>
      <c r="BE228" s="82"/>
      <c r="BF228" s="85"/>
      <c r="BG228" s="79"/>
      <c r="BH228" s="79"/>
      <c r="BI228" s="79"/>
      <c r="BJ228" s="88"/>
      <c r="BK228" s="88"/>
      <c r="BL228" s="79"/>
      <c r="BM228" s="185"/>
      <c r="BN228" s="90"/>
      <c r="BO228" s="80"/>
      <c r="BP228" s="80"/>
      <c r="BQ228" s="80"/>
      <c r="BR228" s="80"/>
      <c r="BS228" s="80"/>
      <c r="BT228" s="80"/>
      <c r="BU228" s="80"/>
      <c r="BV228" s="80"/>
      <c r="BW228" s="82"/>
      <c r="BX228" s="79"/>
      <c r="BY228" s="79"/>
      <c r="BZ228" s="79"/>
      <c r="CA228" s="79"/>
      <c r="CB228" s="79"/>
      <c r="CC228" s="82"/>
      <c r="CD228" s="82"/>
      <c r="CE228" s="82"/>
      <c r="CF228" s="82"/>
      <c r="CG228" s="82"/>
      <c r="CH228" s="82"/>
      <c r="CI228" s="82"/>
      <c r="CJ228" s="79"/>
      <c r="CK228" s="79"/>
      <c r="CL228" s="79"/>
      <c r="CM228" s="79"/>
      <c r="CN228" s="79"/>
      <c r="CO228" s="79"/>
    </row>
    <row r="229" spans="1:93">
      <c r="A229" s="98"/>
      <c r="B229" s="178"/>
      <c r="C229" s="188"/>
      <c r="D229" s="47"/>
      <c r="E229" s="126"/>
      <c r="F229" s="154"/>
      <c r="G229" s="167"/>
      <c r="H229" s="167"/>
      <c r="I229" s="170"/>
      <c r="J229" s="155"/>
      <c r="K229" s="156"/>
      <c r="L229" s="157"/>
      <c r="M229" s="157"/>
      <c r="N229" s="183"/>
      <c r="O229" s="177"/>
      <c r="P229" s="145"/>
      <c r="Q229" s="141"/>
      <c r="R229" s="190"/>
      <c r="S229" s="83"/>
      <c r="T229" s="87"/>
      <c r="U229" s="87"/>
      <c r="V229" s="87"/>
      <c r="W229" s="44"/>
      <c r="X229" s="88"/>
      <c r="Y229" s="79"/>
      <c r="Z229" s="79"/>
      <c r="AA229" s="79"/>
      <c r="AB229" s="79"/>
      <c r="AC229" s="86"/>
      <c r="AD229" s="82"/>
      <c r="AE229" s="79"/>
      <c r="AF229" s="88"/>
      <c r="AG229" s="80"/>
      <c r="AH229" s="79"/>
      <c r="AI229" s="79"/>
      <c r="AJ229" s="79"/>
      <c r="AK229" s="80"/>
      <c r="AL229" s="80"/>
      <c r="AM229" s="80"/>
      <c r="AN229" s="79"/>
      <c r="AO229" s="80"/>
      <c r="AP229" s="80"/>
      <c r="AQ229" s="80"/>
      <c r="AR229" s="85"/>
      <c r="AS229" s="85"/>
      <c r="AT229" s="85"/>
      <c r="AU229" s="85"/>
      <c r="AV229" s="85"/>
      <c r="AW229" s="82"/>
      <c r="AX229" s="79"/>
      <c r="AY229" s="82"/>
      <c r="AZ229" s="82"/>
      <c r="BA229" s="86"/>
      <c r="BB229" s="79"/>
      <c r="BC229" s="79"/>
      <c r="BD229" s="79"/>
      <c r="BE229" s="82"/>
      <c r="BF229" s="85"/>
      <c r="BG229" s="79"/>
      <c r="BH229" s="79"/>
      <c r="BI229" s="79"/>
      <c r="BJ229" s="88"/>
      <c r="BK229" s="88"/>
      <c r="BL229" s="79"/>
      <c r="BM229" s="185"/>
      <c r="BN229" s="90"/>
      <c r="BO229" s="80"/>
      <c r="BP229" s="80"/>
      <c r="BQ229" s="80"/>
      <c r="BR229" s="80"/>
      <c r="BS229" s="80"/>
      <c r="BT229" s="80"/>
      <c r="BU229" s="80"/>
      <c r="BV229" s="80"/>
      <c r="BW229" s="82"/>
      <c r="BX229" s="79"/>
      <c r="BY229" s="79"/>
      <c r="BZ229" s="79"/>
      <c r="CA229" s="79"/>
      <c r="CB229" s="79"/>
      <c r="CC229" s="82"/>
      <c r="CD229" s="82"/>
      <c r="CE229" s="82"/>
      <c r="CF229" s="82"/>
      <c r="CG229" s="82"/>
      <c r="CH229" s="82"/>
      <c r="CI229" s="82"/>
      <c r="CJ229" s="79"/>
      <c r="CK229" s="79"/>
      <c r="CL229" s="79"/>
      <c r="CM229" s="79"/>
      <c r="CN229" s="79"/>
      <c r="CO229" s="79"/>
    </row>
    <row r="230" spans="1:93">
      <c r="A230" s="98"/>
      <c r="B230" s="178"/>
      <c r="C230" s="188"/>
      <c r="D230" s="47"/>
      <c r="E230" s="126"/>
      <c r="F230" s="154"/>
      <c r="G230" s="167"/>
      <c r="H230" s="167"/>
      <c r="I230" s="170"/>
      <c r="J230" s="155"/>
      <c r="K230" s="156"/>
      <c r="L230" s="157"/>
      <c r="M230" s="157"/>
      <c r="N230" s="183"/>
      <c r="O230" s="177"/>
      <c r="P230" s="145"/>
      <c r="Q230" s="141"/>
      <c r="R230" s="190"/>
      <c r="S230" s="83"/>
      <c r="T230" s="87"/>
      <c r="U230" s="87"/>
      <c r="V230" s="87"/>
      <c r="W230" s="44"/>
      <c r="X230" s="88"/>
      <c r="Y230" s="79"/>
      <c r="Z230" s="79"/>
      <c r="AA230" s="79"/>
      <c r="AB230" s="79"/>
      <c r="AC230" s="86"/>
      <c r="AD230" s="82"/>
      <c r="AE230" s="79"/>
      <c r="AF230" s="88"/>
      <c r="AG230" s="80"/>
      <c r="AH230" s="79"/>
      <c r="AI230" s="79"/>
      <c r="AJ230" s="79"/>
      <c r="AK230" s="80"/>
      <c r="AL230" s="80"/>
      <c r="AM230" s="80"/>
      <c r="AN230" s="79"/>
      <c r="AO230" s="80"/>
      <c r="AP230" s="80"/>
      <c r="AQ230" s="80"/>
      <c r="AR230" s="85"/>
      <c r="AS230" s="85"/>
      <c r="AT230" s="85"/>
      <c r="AU230" s="85"/>
      <c r="AV230" s="85"/>
      <c r="AW230" s="82"/>
      <c r="AX230" s="79"/>
      <c r="AY230" s="82"/>
      <c r="AZ230" s="82"/>
      <c r="BA230" s="86"/>
      <c r="BB230" s="79"/>
      <c r="BC230" s="79"/>
      <c r="BD230" s="79"/>
      <c r="BE230" s="82"/>
      <c r="BF230" s="85"/>
      <c r="BG230" s="79"/>
      <c r="BH230" s="79"/>
      <c r="BI230" s="79"/>
      <c r="BJ230" s="88"/>
      <c r="BK230" s="88"/>
      <c r="BL230" s="79"/>
      <c r="BM230" s="185"/>
      <c r="BN230" s="90"/>
      <c r="BO230" s="80"/>
      <c r="BP230" s="80"/>
      <c r="BQ230" s="80"/>
      <c r="BR230" s="80"/>
      <c r="BS230" s="80"/>
      <c r="BT230" s="80"/>
      <c r="BU230" s="80"/>
      <c r="BV230" s="80"/>
      <c r="BW230" s="82"/>
      <c r="BX230" s="79"/>
      <c r="BY230" s="79"/>
      <c r="BZ230" s="79"/>
      <c r="CA230" s="79"/>
      <c r="CB230" s="79"/>
      <c r="CC230" s="82"/>
      <c r="CD230" s="82"/>
      <c r="CE230" s="82"/>
      <c r="CF230" s="82"/>
      <c r="CG230" s="82"/>
      <c r="CH230" s="82"/>
      <c r="CI230" s="82"/>
      <c r="CJ230" s="79"/>
      <c r="CK230" s="79"/>
      <c r="CL230" s="79"/>
      <c r="CM230" s="79"/>
      <c r="CN230" s="79"/>
      <c r="CO230" s="79"/>
    </row>
    <row r="231" spans="1:93">
      <c r="A231" s="98"/>
      <c r="B231" s="178"/>
      <c r="C231" s="188"/>
      <c r="D231" s="47"/>
      <c r="E231" s="126"/>
      <c r="F231" s="154"/>
      <c r="G231" s="167"/>
      <c r="H231" s="167"/>
      <c r="I231" s="170"/>
      <c r="J231" s="155"/>
      <c r="K231" s="156"/>
      <c r="L231" s="157"/>
      <c r="M231" s="157"/>
      <c r="N231" s="183"/>
      <c r="O231" s="177"/>
      <c r="P231" s="145"/>
      <c r="Q231" s="141"/>
      <c r="R231" s="190"/>
      <c r="S231" s="83"/>
      <c r="T231" s="87"/>
      <c r="U231" s="87"/>
      <c r="V231" s="87"/>
      <c r="W231" s="44"/>
      <c r="X231" s="88"/>
      <c r="Y231" s="79"/>
      <c r="Z231" s="79"/>
      <c r="AA231" s="79"/>
      <c r="AB231" s="79"/>
      <c r="AC231" s="86"/>
      <c r="AD231" s="82"/>
      <c r="AE231" s="79"/>
      <c r="AF231" s="88"/>
      <c r="AG231" s="80"/>
      <c r="AH231" s="79"/>
      <c r="AI231" s="79"/>
      <c r="AJ231" s="79"/>
      <c r="AK231" s="80"/>
      <c r="AL231" s="80"/>
      <c r="AM231" s="80"/>
      <c r="AN231" s="79"/>
      <c r="AO231" s="80"/>
      <c r="AP231" s="80"/>
      <c r="AQ231" s="80"/>
      <c r="AR231" s="85"/>
      <c r="AS231" s="85"/>
      <c r="AT231" s="85"/>
      <c r="AU231" s="85"/>
      <c r="AV231" s="85"/>
      <c r="AW231" s="82"/>
      <c r="AX231" s="79"/>
      <c r="AY231" s="82"/>
      <c r="AZ231" s="82"/>
      <c r="BA231" s="86"/>
      <c r="BB231" s="79"/>
      <c r="BC231" s="79"/>
      <c r="BD231" s="79"/>
      <c r="BE231" s="82"/>
      <c r="BF231" s="85"/>
      <c r="BG231" s="79"/>
      <c r="BH231" s="79"/>
      <c r="BI231" s="79"/>
      <c r="BJ231" s="88"/>
      <c r="BK231" s="88"/>
      <c r="BL231" s="79"/>
      <c r="BM231" s="185"/>
      <c r="BN231" s="90"/>
      <c r="BO231" s="80"/>
      <c r="BP231" s="80"/>
      <c r="BQ231" s="80"/>
      <c r="BR231" s="80"/>
      <c r="BS231" s="80"/>
      <c r="BT231" s="80"/>
      <c r="BU231" s="80"/>
      <c r="BV231" s="80"/>
      <c r="BW231" s="82"/>
      <c r="BX231" s="79"/>
      <c r="BY231" s="79"/>
      <c r="BZ231" s="79"/>
      <c r="CA231" s="79"/>
      <c r="CB231" s="79"/>
      <c r="CC231" s="82"/>
      <c r="CD231" s="82"/>
      <c r="CE231" s="82"/>
      <c r="CF231" s="82"/>
      <c r="CG231" s="82"/>
      <c r="CH231" s="82"/>
      <c r="CI231" s="82"/>
      <c r="CJ231" s="79"/>
      <c r="CK231" s="79"/>
      <c r="CL231" s="79"/>
      <c r="CM231" s="79"/>
      <c r="CN231" s="79"/>
      <c r="CO231" s="79"/>
    </row>
    <row r="232" spans="1:93">
      <c r="A232" s="98"/>
      <c r="B232" s="178"/>
      <c r="C232" s="188"/>
      <c r="D232" s="47"/>
      <c r="E232" s="126"/>
      <c r="F232" s="154"/>
      <c r="G232" s="167"/>
      <c r="H232" s="167"/>
      <c r="I232" s="170"/>
      <c r="J232" s="155"/>
      <c r="K232" s="156"/>
      <c r="L232" s="157"/>
      <c r="M232" s="157"/>
      <c r="N232" s="183"/>
      <c r="O232" s="177"/>
      <c r="P232" s="145"/>
      <c r="Q232" s="141"/>
      <c r="R232" s="190"/>
      <c r="S232" s="83"/>
      <c r="T232" s="87"/>
      <c r="U232" s="87"/>
      <c r="V232" s="87"/>
      <c r="W232" s="44"/>
      <c r="X232" s="88"/>
      <c r="Y232" s="79"/>
      <c r="Z232" s="79"/>
      <c r="AA232" s="79"/>
      <c r="AB232" s="79"/>
      <c r="AC232" s="86"/>
      <c r="AD232" s="82"/>
      <c r="AE232" s="79"/>
      <c r="AF232" s="88"/>
      <c r="AG232" s="80"/>
      <c r="AH232" s="79"/>
      <c r="AI232" s="79"/>
      <c r="AJ232" s="79"/>
      <c r="AK232" s="80"/>
      <c r="AL232" s="80"/>
      <c r="AM232" s="80"/>
      <c r="AN232" s="79"/>
      <c r="AO232" s="80"/>
      <c r="AP232" s="80"/>
      <c r="AQ232" s="80"/>
      <c r="AR232" s="85"/>
      <c r="AS232" s="85"/>
      <c r="AT232" s="85"/>
      <c r="AU232" s="85"/>
      <c r="AV232" s="85"/>
      <c r="AW232" s="82"/>
      <c r="AX232" s="79"/>
      <c r="AY232" s="82"/>
      <c r="AZ232" s="82"/>
      <c r="BA232" s="86"/>
      <c r="BB232" s="79"/>
      <c r="BC232" s="79"/>
      <c r="BD232" s="79"/>
      <c r="BE232" s="82"/>
      <c r="BF232" s="85"/>
      <c r="BG232" s="79"/>
      <c r="BH232" s="79"/>
      <c r="BI232" s="79"/>
      <c r="BJ232" s="88"/>
      <c r="BK232" s="88"/>
      <c r="BL232" s="79"/>
      <c r="BM232" s="185"/>
      <c r="BN232" s="90"/>
      <c r="BO232" s="80"/>
      <c r="BP232" s="80"/>
      <c r="BQ232" s="80"/>
      <c r="BR232" s="80"/>
      <c r="BS232" s="80"/>
      <c r="BT232" s="80"/>
      <c r="BU232" s="80"/>
      <c r="BV232" s="80"/>
      <c r="BW232" s="82"/>
      <c r="BX232" s="79"/>
      <c r="BY232" s="79"/>
      <c r="BZ232" s="79"/>
      <c r="CA232" s="79"/>
      <c r="CB232" s="79"/>
      <c r="CC232" s="82"/>
      <c r="CD232" s="82"/>
      <c r="CE232" s="82"/>
      <c r="CF232" s="82"/>
      <c r="CG232" s="82"/>
      <c r="CH232" s="82"/>
      <c r="CI232" s="82"/>
      <c r="CJ232" s="79"/>
      <c r="CK232" s="79"/>
      <c r="CL232" s="79"/>
      <c r="CM232" s="79"/>
      <c r="CN232" s="79"/>
      <c r="CO232" s="79"/>
    </row>
    <row r="233" spans="1:93">
      <c r="A233" s="98"/>
      <c r="B233" s="178"/>
      <c r="C233" s="188"/>
      <c r="D233" s="47"/>
      <c r="E233" s="126"/>
      <c r="F233" s="154"/>
      <c r="G233" s="167"/>
      <c r="H233" s="167"/>
      <c r="I233" s="170"/>
      <c r="J233" s="155"/>
      <c r="K233" s="156"/>
      <c r="L233" s="157"/>
      <c r="M233" s="157"/>
      <c r="N233" s="183"/>
      <c r="O233" s="177"/>
      <c r="P233" s="145"/>
      <c r="Q233" s="141"/>
      <c r="R233" s="190"/>
      <c r="S233" s="83"/>
      <c r="T233" s="87"/>
      <c r="U233" s="87"/>
      <c r="V233" s="87"/>
      <c r="W233" s="44"/>
      <c r="X233" s="88"/>
      <c r="Y233" s="79"/>
      <c r="Z233" s="79"/>
      <c r="AA233" s="79"/>
      <c r="AB233" s="79"/>
      <c r="AC233" s="86"/>
      <c r="AD233" s="82"/>
      <c r="AE233" s="79"/>
      <c r="AF233" s="88"/>
      <c r="AG233" s="80"/>
      <c r="AH233" s="79"/>
      <c r="AI233" s="79"/>
      <c r="AJ233" s="79"/>
      <c r="AK233" s="80"/>
      <c r="AL233" s="80"/>
      <c r="AM233" s="80"/>
      <c r="AN233" s="79"/>
      <c r="AO233" s="80"/>
      <c r="AP233" s="80"/>
      <c r="AQ233" s="80"/>
      <c r="AR233" s="85"/>
      <c r="AS233" s="85"/>
      <c r="AT233" s="85"/>
      <c r="AU233" s="85"/>
      <c r="AV233" s="85"/>
      <c r="AW233" s="82"/>
      <c r="AX233" s="79"/>
      <c r="AY233" s="82"/>
      <c r="AZ233" s="82"/>
      <c r="BA233" s="86"/>
      <c r="BB233" s="79"/>
      <c r="BC233" s="79"/>
      <c r="BD233" s="79"/>
      <c r="BE233" s="82"/>
      <c r="BF233" s="85"/>
      <c r="BG233" s="79"/>
      <c r="BH233" s="79"/>
      <c r="BI233" s="79"/>
      <c r="BJ233" s="88"/>
      <c r="BK233" s="88"/>
      <c r="BL233" s="79"/>
      <c r="BM233" s="185"/>
      <c r="BN233" s="90"/>
      <c r="BO233" s="80"/>
      <c r="BP233" s="80"/>
      <c r="BQ233" s="80"/>
      <c r="BR233" s="80"/>
      <c r="BS233" s="80"/>
      <c r="BT233" s="80"/>
      <c r="BU233" s="80"/>
      <c r="BV233" s="80"/>
      <c r="BW233" s="82"/>
      <c r="BX233" s="79"/>
      <c r="BY233" s="79"/>
      <c r="BZ233" s="79"/>
      <c r="CA233" s="79"/>
      <c r="CB233" s="79"/>
      <c r="CC233" s="82"/>
      <c r="CD233" s="82"/>
      <c r="CE233" s="82"/>
      <c r="CF233" s="82"/>
      <c r="CG233" s="82"/>
      <c r="CH233" s="82"/>
      <c r="CI233" s="82"/>
      <c r="CJ233" s="79"/>
      <c r="CK233" s="79"/>
      <c r="CL233" s="79"/>
      <c r="CM233" s="79"/>
      <c r="CN233" s="79"/>
      <c r="CO233" s="79"/>
    </row>
    <row r="234" spans="1:93">
      <c r="A234" s="98"/>
      <c r="B234" s="178"/>
      <c r="C234" s="188"/>
      <c r="D234" s="47"/>
      <c r="E234" s="126"/>
      <c r="F234" s="154"/>
      <c r="G234" s="167"/>
      <c r="H234" s="167"/>
      <c r="I234" s="170"/>
      <c r="J234" s="155"/>
      <c r="K234" s="156"/>
      <c r="L234" s="157"/>
      <c r="M234" s="157"/>
      <c r="N234" s="183"/>
      <c r="O234" s="177"/>
      <c r="P234" s="145"/>
      <c r="Q234" s="141"/>
      <c r="R234" s="190"/>
      <c r="S234" s="83"/>
      <c r="T234" s="87"/>
      <c r="U234" s="87"/>
      <c r="V234" s="87"/>
      <c r="W234" s="44"/>
      <c r="X234" s="88"/>
      <c r="Y234" s="79"/>
      <c r="Z234" s="79"/>
      <c r="AA234" s="79"/>
      <c r="AB234" s="79"/>
      <c r="AC234" s="86"/>
      <c r="AD234" s="82"/>
      <c r="AE234" s="79"/>
      <c r="AF234" s="88"/>
      <c r="AG234" s="80"/>
      <c r="AH234" s="79"/>
      <c r="AI234" s="79"/>
      <c r="AJ234" s="79"/>
      <c r="AK234" s="80"/>
      <c r="AL234" s="80"/>
      <c r="AM234" s="80"/>
      <c r="AN234" s="79"/>
      <c r="AO234" s="80"/>
      <c r="AP234" s="80"/>
      <c r="AQ234" s="80"/>
      <c r="AR234" s="85"/>
      <c r="AS234" s="85"/>
      <c r="AT234" s="85"/>
      <c r="AU234" s="85"/>
      <c r="AV234" s="85"/>
      <c r="AW234" s="82"/>
      <c r="AX234" s="79"/>
      <c r="AY234" s="82"/>
      <c r="AZ234" s="82"/>
      <c r="BA234" s="86"/>
      <c r="BB234" s="79"/>
      <c r="BC234" s="79"/>
      <c r="BD234" s="79"/>
      <c r="BE234" s="82"/>
      <c r="BF234" s="85"/>
      <c r="BG234" s="79"/>
      <c r="BH234" s="79"/>
      <c r="BI234" s="79"/>
      <c r="BJ234" s="88"/>
      <c r="BK234" s="88"/>
      <c r="BL234" s="79"/>
      <c r="BM234" s="185"/>
      <c r="BN234" s="90"/>
      <c r="BO234" s="80"/>
      <c r="BP234" s="80"/>
      <c r="BQ234" s="80"/>
      <c r="BR234" s="80"/>
      <c r="BS234" s="80"/>
      <c r="BT234" s="80"/>
      <c r="BU234" s="80"/>
      <c r="BV234" s="80"/>
      <c r="BW234" s="82"/>
      <c r="BX234" s="79"/>
      <c r="BY234" s="79"/>
      <c r="BZ234" s="79"/>
      <c r="CA234" s="79"/>
      <c r="CB234" s="79"/>
      <c r="CC234" s="82"/>
      <c r="CD234" s="82"/>
      <c r="CE234" s="82"/>
      <c r="CF234" s="82"/>
      <c r="CG234" s="82"/>
      <c r="CH234" s="82"/>
      <c r="CI234" s="82"/>
      <c r="CJ234" s="79"/>
      <c r="CK234" s="79"/>
      <c r="CL234" s="79"/>
      <c r="CM234" s="79"/>
      <c r="CN234" s="79"/>
      <c r="CO234" s="79"/>
    </row>
    <row r="235" spans="1:93">
      <c r="A235" s="98"/>
      <c r="B235" s="178"/>
      <c r="C235" s="188"/>
      <c r="D235" s="47"/>
      <c r="E235" s="126"/>
      <c r="F235" s="154"/>
      <c r="G235" s="167"/>
      <c r="H235" s="167"/>
      <c r="I235" s="170"/>
      <c r="J235" s="155"/>
      <c r="K235" s="156"/>
      <c r="L235" s="157"/>
      <c r="M235" s="157"/>
      <c r="N235" s="183"/>
      <c r="O235" s="177"/>
      <c r="P235" s="145"/>
      <c r="Q235" s="141"/>
      <c r="R235" s="190"/>
      <c r="S235" s="83"/>
      <c r="T235" s="87"/>
      <c r="U235" s="87"/>
      <c r="V235" s="87"/>
      <c r="W235" s="44"/>
      <c r="X235" s="88"/>
      <c r="Y235" s="79"/>
      <c r="Z235" s="79"/>
      <c r="AA235" s="79"/>
      <c r="AB235" s="79"/>
      <c r="AC235" s="86"/>
      <c r="AD235" s="82"/>
      <c r="AE235" s="79"/>
      <c r="AF235" s="88"/>
      <c r="AG235" s="80"/>
      <c r="AH235" s="79"/>
      <c r="AI235" s="79"/>
      <c r="AJ235" s="79"/>
      <c r="AK235" s="80"/>
      <c r="AL235" s="80"/>
      <c r="AM235" s="80"/>
      <c r="AN235" s="79"/>
      <c r="AO235" s="80"/>
      <c r="AP235" s="80"/>
      <c r="AQ235" s="80"/>
      <c r="AR235" s="85"/>
      <c r="AS235" s="85"/>
      <c r="AT235" s="85"/>
      <c r="AU235" s="85"/>
      <c r="AV235" s="85"/>
      <c r="AW235" s="82"/>
      <c r="AX235" s="79"/>
      <c r="AY235" s="82"/>
      <c r="AZ235" s="82"/>
      <c r="BA235" s="86"/>
      <c r="BB235" s="79"/>
      <c r="BC235" s="79"/>
      <c r="BD235" s="79"/>
      <c r="BE235" s="82"/>
      <c r="BF235" s="85"/>
      <c r="BG235" s="79"/>
      <c r="BH235" s="79"/>
      <c r="BI235" s="79"/>
      <c r="BJ235" s="88"/>
      <c r="BK235" s="88"/>
      <c r="BL235" s="79"/>
      <c r="BM235" s="185"/>
      <c r="BN235" s="90"/>
      <c r="BO235" s="80"/>
      <c r="BP235" s="80"/>
      <c r="BQ235" s="80"/>
      <c r="BR235" s="80"/>
      <c r="BS235" s="80"/>
      <c r="BT235" s="80"/>
      <c r="BU235" s="80"/>
      <c r="BV235" s="80"/>
      <c r="BW235" s="82"/>
      <c r="BX235" s="79"/>
      <c r="BY235" s="79"/>
      <c r="BZ235" s="79"/>
      <c r="CA235" s="79"/>
      <c r="CB235" s="79"/>
      <c r="CC235" s="82"/>
      <c r="CD235" s="82"/>
      <c r="CE235" s="82"/>
      <c r="CF235" s="82"/>
      <c r="CG235" s="82"/>
      <c r="CH235" s="82"/>
      <c r="CI235" s="82"/>
      <c r="CJ235" s="79"/>
      <c r="CK235" s="79"/>
      <c r="CL235" s="79"/>
      <c r="CM235" s="79"/>
      <c r="CN235" s="79"/>
      <c r="CO235" s="79"/>
    </row>
    <row r="236" spans="1:93">
      <c r="A236" s="98"/>
      <c r="B236" s="178"/>
      <c r="C236" s="188"/>
      <c r="D236" s="47"/>
      <c r="E236" s="126"/>
      <c r="F236" s="154"/>
      <c r="G236" s="167"/>
      <c r="H236" s="167"/>
      <c r="I236" s="170"/>
      <c r="J236" s="155"/>
      <c r="K236" s="156"/>
      <c r="L236" s="157"/>
      <c r="M236" s="157"/>
      <c r="N236" s="183"/>
      <c r="O236" s="177"/>
      <c r="P236" s="145"/>
      <c r="Q236" s="141"/>
      <c r="R236" s="190"/>
      <c r="S236" s="83"/>
      <c r="T236" s="87"/>
      <c r="U236" s="87"/>
      <c r="V236" s="87"/>
      <c r="W236" s="44"/>
      <c r="X236" s="88"/>
      <c r="Y236" s="79"/>
      <c r="Z236" s="79"/>
      <c r="AA236" s="79"/>
      <c r="AB236" s="79"/>
      <c r="AC236" s="86"/>
      <c r="AD236" s="82"/>
      <c r="AE236" s="79"/>
      <c r="AF236" s="88"/>
      <c r="AG236" s="80"/>
      <c r="AH236" s="79"/>
      <c r="AI236" s="79"/>
      <c r="AJ236" s="79"/>
      <c r="AK236" s="80"/>
      <c r="AL236" s="80"/>
      <c r="AM236" s="80"/>
      <c r="AN236" s="79"/>
      <c r="AO236" s="80"/>
      <c r="AP236" s="80"/>
      <c r="AQ236" s="80"/>
      <c r="AR236" s="85"/>
      <c r="AS236" s="85"/>
      <c r="AT236" s="85"/>
      <c r="AU236" s="85"/>
      <c r="AV236" s="85"/>
      <c r="AW236" s="82"/>
      <c r="AX236" s="79"/>
      <c r="AY236" s="82"/>
      <c r="AZ236" s="82"/>
      <c r="BA236" s="86"/>
      <c r="BB236" s="79"/>
      <c r="BC236" s="79"/>
      <c r="BD236" s="79"/>
      <c r="BE236" s="82"/>
      <c r="BF236" s="85"/>
      <c r="BG236" s="79"/>
      <c r="BH236" s="79"/>
      <c r="BI236" s="79"/>
      <c r="BJ236" s="88"/>
      <c r="BK236" s="88"/>
      <c r="BL236" s="79"/>
      <c r="BM236" s="185"/>
      <c r="BN236" s="90"/>
      <c r="BO236" s="80"/>
      <c r="BP236" s="80"/>
      <c r="BQ236" s="80"/>
      <c r="BR236" s="80"/>
      <c r="BS236" s="80"/>
      <c r="BT236" s="80"/>
      <c r="BU236" s="80"/>
      <c r="BV236" s="80"/>
      <c r="BW236" s="82"/>
      <c r="BX236" s="79"/>
      <c r="BY236" s="79"/>
      <c r="BZ236" s="79"/>
      <c r="CA236" s="79"/>
      <c r="CB236" s="79"/>
      <c r="CC236" s="82"/>
      <c r="CD236" s="82"/>
      <c r="CE236" s="82"/>
      <c r="CF236" s="82"/>
      <c r="CG236" s="82"/>
      <c r="CH236" s="82"/>
      <c r="CI236" s="82"/>
      <c r="CJ236" s="79"/>
      <c r="CK236" s="79"/>
      <c r="CL236" s="79"/>
      <c r="CM236" s="79"/>
      <c r="CN236" s="79"/>
      <c r="CO236" s="79"/>
    </row>
    <row r="237" spans="1:93">
      <c r="A237" s="98"/>
      <c r="B237" s="178"/>
      <c r="C237" s="188"/>
      <c r="D237" s="47"/>
      <c r="E237" s="126"/>
      <c r="F237" s="154"/>
      <c r="G237" s="167"/>
      <c r="H237" s="167"/>
      <c r="I237" s="170"/>
      <c r="J237" s="155"/>
      <c r="K237" s="156"/>
      <c r="L237" s="157"/>
      <c r="M237" s="157"/>
      <c r="N237" s="183"/>
      <c r="O237" s="177"/>
      <c r="P237" s="145"/>
      <c r="Q237" s="141"/>
      <c r="R237" s="190"/>
      <c r="S237" s="83"/>
      <c r="T237" s="87"/>
      <c r="U237" s="87"/>
      <c r="V237" s="87"/>
      <c r="W237" s="44"/>
      <c r="X237" s="88"/>
      <c r="Y237" s="79"/>
      <c r="Z237" s="79"/>
      <c r="AA237" s="79"/>
      <c r="AB237" s="79"/>
      <c r="AC237" s="86"/>
      <c r="AD237" s="82"/>
      <c r="AE237" s="79"/>
      <c r="AF237" s="88"/>
      <c r="AG237" s="80"/>
      <c r="AH237" s="79"/>
      <c r="AI237" s="79"/>
      <c r="AJ237" s="79"/>
      <c r="AK237" s="80"/>
      <c r="AL237" s="80"/>
      <c r="AM237" s="80"/>
      <c r="AN237" s="79"/>
      <c r="AO237" s="80"/>
      <c r="AP237" s="80"/>
      <c r="AQ237" s="80"/>
      <c r="AR237" s="85"/>
      <c r="AS237" s="85"/>
      <c r="AT237" s="85"/>
      <c r="AU237" s="85"/>
      <c r="AV237" s="85"/>
      <c r="AW237" s="82"/>
      <c r="AX237" s="79"/>
      <c r="AY237" s="82"/>
      <c r="AZ237" s="82"/>
      <c r="BA237" s="86"/>
      <c r="BB237" s="79"/>
      <c r="BC237" s="79"/>
      <c r="BD237" s="79"/>
      <c r="BE237" s="82"/>
      <c r="BF237" s="85"/>
      <c r="BG237" s="79"/>
      <c r="BH237" s="79"/>
      <c r="BI237" s="79"/>
      <c r="BJ237" s="88"/>
      <c r="BK237" s="88"/>
      <c r="BL237" s="79"/>
      <c r="BM237" s="185"/>
      <c r="BN237" s="90"/>
      <c r="BO237" s="80"/>
      <c r="BP237" s="80"/>
      <c r="BQ237" s="80"/>
      <c r="BR237" s="80"/>
      <c r="BS237" s="80"/>
      <c r="BT237" s="80"/>
      <c r="BU237" s="80"/>
      <c r="BV237" s="80"/>
      <c r="BW237" s="82"/>
      <c r="BX237" s="79"/>
      <c r="BY237" s="79"/>
      <c r="BZ237" s="79"/>
      <c r="CA237" s="79"/>
      <c r="CB237" s="79"/>
      <c r="CC237" s="82"/>
      <c r="CD237" s="82"/>
      <c r="CE237" s="82"/>
      <c r="CF237" s="82"/>
      <c r="CG237" s="82"/>
      <c r="CH237" s="82"/>
      <c r="CI237" s="82"/>
      <c r="CJ237" s="79"/>
      <c r="CK237" s="79"/>
      <c r="CL237" s="79"/>
      <c r="CM237" s="79"/>
      <c r="CN237" s="79"/>
      <c r="CO237" s="79"/>
    </row>
    <row r="238" spans="1:93">
      <c r="A238" s="98"/>
      <c r="B238" s="178"/>
      <c r="C238" s="188"/>
      <c r="D238" s="47"/>
      <c r="E238" s="126"/>
      <c r="F238" s="154"/>
      <c r="G238" s="167"/>
      <c r="H238" s="167"/>
      <c r="I238" s="170"/>
      <c r="J238" s="155"/>
      <c r="K238" s="156"/>
      <c r="L238" s="157"/>
      <c r="M238" s="157"/>
      <c r="N238" s="183"/>
      <c r="O238" s="177"/>
      <c r="P238" s="145"/>
      <c r="Q238" s="141"/>
      <c r="R238" s="190"/>
      <c r="S238" s="83"/>
      <c r="T238" s="87"/>
      <c r="U238" s="87"/>
      <c r="V238" s="87"/>
      <c r="W238" s="44"/>
      <c r="X238" s="88"/>
      <c r="Y238" s="79"/>
      <c r="Z238" s="79"/>
      <c r="AA238" s="79"/>
      <c r="AB238" s="79"/>
      <c r="AC238" s="86"/>
      <c r="AD238" s="82"/>
      <c r="AE238" s="79"/>
      <c r="AF238" s="88"/>
      <c r="AG238" s="80"/>
      <c r="AH238" s="79"/>
      <c r="AI238" s="79"/>
      <c r="AJ238" s="79"/>
      <c r="AK238" s="80"/>
      <c r="AL238" s="80"/>
      <c r="AM238" s="80"/>
      <c r="AN238" s="79"/>
      <c r="AO238" s="80"/>
      <c r="AP238" s="80"/>
      <c r="AQ238" s="80"/>
      <c r="AR238" s="85"/>
      <c r="AS238" s="85"/>
      <c r="AT238" s="85"/>
      <c r="AU238" s="85"/>
      <c r="AV238" s="85"/>
      <c r="AW238" s="82"/>
      <c r="AX238" s="79"/>
      <c r="AY238" s="82"/>
      <c r="AZ238" s="82"/>
      <c r="BA238" s="86"/>
      <c r="BB238" s="79"/>
      <c r="BC238" s="79"/>
      <c r="BD238" s="79"/>
      <c r="BE238" s="82"/>
      <c r="BF238" s="85"/>
      <c r="BG238" s="79"/>
      <c r="BH238" s="79"/>
      <c r="BI238" s="79"/>
      <c r="BJ238" s="88"/>
      <c r="BK238" s="88"/>
      <c r="BL238" s="79"/>
      <c r="BM238" s="185"/>
      <c r="BN238" s="90"/>
      <c r="BO238" s="80"/>
      <c r="BP238" s="80"/>
      <c r="BQ238" s="80"/>
      <c r="BR238" s="80"/>
      <c r="BS238" s="80"/>
      <c r="BT238" s="80"/>
      <c r="BU238" s="80"/>
      <c r="BV238" s="80"/>
      <c r="BW238" s="82"/>
      <c r="BX238" s="79"/>
      <c r="BY238" s="79"/>
      <c r="BZ238" s="79"/>
      <c r="CA238" s="79"/>
      <c r="CB238" s="79"/>
      <c r="CC238" s="82"/>
      <c r="CD238" s="82"/>
      <c r="CE238" s="82"/>
      <c r="CF238" s="82"/>
      <c r="CG238" s="82"/>
      <c r="CH238" s="82"/>
      <c r="CI238" s="82"/>
      <c r="CJ238" s="79"/>
      <c r="CK238" s="79"/>
      <c r="CL238" s="79"/>
      <c r="CM238" s="79"/>
      <c r="CN238" s="79"/>
      <c r="CO238" s="79"/>
    </row>
    <row r="239" spans="1:93">
      <c r="A239" s="98"/>
      <c r="B239" s="178"/>
      <c r="C239" s="188"/>
      <c r="D239" s="47"/>
      <c r="E239" s="126"/>
      <c r="F239" s="154"/>
      <c r="G239" s="167"/>
      <c r="H239" s="167"/>
      <c r="I239" s="170"/>
      <c r="J239" s="155"/>
      <c r="K239" s="156"/>
      <c r="L239" s="157"/>
      <c r="M239" s="157"/>
      <c r="N239" s="183"/>
      <c r="O239" s="177"/>
      <c r="P239" s="145"/>
      <c r="Q239" s="141"/>
      <c r="R239" s="190"/>
      <c r="S239" s="83"/>
      <c r="T239" s="87"/>
      <c r="U239" s="87"/>
      <c r="V239" s="87"/>
      <c r="W239" s="44"/>
      <c r="X239" s="88"/>
      <c r="Y239" s="79"/>
      <c r="Z239" s="79"/>
      <c r="AA239" s="79"/>
      <c r="AB239" s="79"/>
      <c r="AC239" s="86"/>
      <c r="AD239" s="82"/>
      <c r="AE239" s="79"/>
      <c r="AF239" s="88"/>
      <c r="AG239" s="80"/>
      <c r="AH239" s="79"/>
      <c r="AI239" s="79"/>
      <c r="AJ239" s="79"/>
      <c r="AK239" s="80"/>
      <c r="AL239" s="80"/>
      <c r="AM239" s="80"/>
      <c r="AN239" s="79"/>
      <c r="AO239" s="80"/>
      <c r="AP239" s="80"/>
      <c r="AQ239" s="80"/>
      <c r="AR239" s="85"/>
      <c r="AS239" s="85"/>
      <c r="AT239" s="85"/>
      <c r="AU239" s="85"/>
      <c r="AV239" s="85"/>
      <c r="AW239" s="82"/>
      <c r="AX239" s="79"/>
      <c r="AY239" s="82"/>
      <c r="AZ239" s="82"/>
      <c r="BA239" s="86"/>
      <c r="BB239" s="79"/>
      <c r="BC239" s="79"/>
      <c r="BD239" s="79"/>
      <c r="BE239" s="82"/>
      <c r="BF239" s="85"/>
      <c r="BG239" s="79"/>
      <c r="BH239" s="79"/>
      <c r="BI239" s="79"/>
      <c r="BJ239" s="88"/>
      <c r="BK239" s="88"/>
      <c r="BL239" s="79"/>
      <c r="BM239" s="185"/>
      <c r="BN239" s="90"/>
      <c r="BO239" s="80"/>
      <c r="BP239" s="80"/>
      <c r="BQ239" s="80"/>
      <c r="BR239" s="80"/>
      <c r="BS239" s="80"/>
      <c r="BT239" s="80"/>
      <c r="BU239" s="80"/>
      <c r="BV239" s="80"/>
      <c r="BW239" s="82"/>
      <c r="BX239" s="79"/>
      <c r="BY239" s="79"/>
      <c r="BZ239" s="79"/>
      <c r="CA239" s="79"/>
      <c r="CB239" s="79"/>
      <c r="CC239" s="82"/>
      <c r="CD239" s="82"/>
      <c r="CE239" s="82"/>
      <c r="CF239" s="82"/>
      <c r="CG239" s="82"/>
      <c r="CH239" s="82"/>
      <c r="CI239" s="82"/>
      <c r="CJ239" s="79"/>
      <c r="CK239" s="79"/>
      <c r="CL239" s="79"/>
      <c r="CM239" s="79"/>
      <c r="CN239" s="79"/>
      <c r="CO239" s="79"/>
    </row>
    <row r="240" spans="1:93">
      <c r="A240" s="98"/>
      <c r="B240" s="178"/>
      <c r="C240" s="188"/>
      <c r="D240" s="47"/>
      <c r="E240" s="126"/>
      <c r="F240" s="154"/>
      <c r="G240" s="167"/>
      <c r="H240" s="167"/>
      <c r="I240" s="170"/>
      <c r="J240" s="155"/>
      <c r="K240" s="156"/>
      <c r="L240" s="157"/>
      <c r="M240" s="157"/>
      <c r="N240" s="183"/>
      <c r="O240" s="177"/>
      <c r="P240" s="145"/>
      <c r="Q240" s="141"/>
      <c r="R240" s="190"/>
      <c r="S240" s="83"/>
      <c r="T240" s="87"/>
      <c r="U240" s="87"/>
      <c r="V240" s="87"/>
      <c r="W240" s="44"/>
      <c r="X240" s="88"/>
      <c r="Y240" s="79"/>
      <c r="Z240" s="79"/>
      <c r="AA240" s="79"/>
      <c r="AB240" s="79"/>
      <c r="AC240" s="86"/>
      <c r="AD240" s="82"/>
      <c r="AE240" s="79"/>
      <c r="AF240" s="88"/>
      <c r="AG240" s="80"/>
      <c r="AH240" s="79"/>
      <c r="AI240" s="79"/>
      <c r="AJ240" s="79"/>
      <c r="AK240" s="80"/>
      <c r="AL240" s="80"/>
      <c r="AM240" s="80"/>
      <c r="AN240" s="79"/>
      <c r="AO240" s="80"/>
      <c r="AP240" s="80"/>
      <c r="AQ240" s="80"/>
      <c r="AR240" s="85"/>
      <c r="AS240" s="85"/>
      <c r="AT240" s="85"/>
      <c r="AU240" s="85"/>
      <c r="AV240" s="85"/>
      <c r="AW240" s="82"/>
      <c r="AX240" s="79"/>
      <c r="AY240" s="82"/>
      <c r="AZ240" s="82"/>
      <c r="BA240" s="86"/>
      <c r="BB240" s="79"/>
      <c r="BC240" s="79"/>
      <c r="BD240" s="79"/>
      <c r="BE240" s="82"/>
      <c r="BF240" s="85"/>
      <c r="BG240" s="79"/>
      <c r="BH240" s="79"/>
      <c r="BI240" s="79"/>
      <c r="BJ240" s="88"/>
      <c r="BK240" s="88"/>
      <c r="BL240" s="79"/>
      <c r="BM240" s="185"/>
      <c r="BN240" s="90"/>
      <c r="BO240" s="80"/>
      <c r="BP240" s="80"/>
      <c r="BQ240" s="80"/>
      <c r="BR240" s="80"/>
      <c r="BS240" s="80"/>
      <c r="BT240" s="80"/>
      <c r="BU240" s="80"/>
      <c r="BV240" s="80"/>
      <c r="BW240" s="82"/>
      <c r="BX240" s="79"/>
      <c r="BY240" s="79"/>
      <c r="BZ240" s="79"/>
      <c r="CA240" s="79"/>
      <c r="CB240" s="79"/>
      <c r="CC240" s="82"/>
      <c r="CD240" s="82"/>
      <c r="CE240" s="82"/>
      <c r="CF240" s="82"/>
      <c r="CG240" s="82"/>
      <c r="CH240" s="82"/>
      <c r="CI240" s="82"/>
      <c r="CJ240" s="79"/>
      <c r="CK240" s="79"/>
      <c r="CL240" s="79"/>
      <c r="CM240" s="79"/>
      <c r="CN240" s="79"/>
      <c r="CO240" s="79"/>
    </row>
    <row r="241" spans="1:93">
      <c r="A241" s="98"/>
      <c r="B241" s="178"/>
      <c r="C241" s="188"/>
      <c r="D241" s="47"/>
      <c r="E241" s="126"/>
      <c r="F241" s="154"/>
      <c r="G241" s="167"/>
      <c r="H241" s="167"/>
      <c r="I241" s="170"/>
      <c r="J241" s="155"/>
      <c r="K241" s="156"/>
      <c r="L241" s="157"/>
      <c r="M241" s="157"/>
      <c r="N241" s="183"/>
      <c r="O241" s="177"/>
      <c r="P241" s="145"/>
      <c r="Q241" s="141"/>
      <c r="R241" s="190"/>
      <c r="S241" s="83"/>
      <c r="T241" s="87"/>
      <c r="U241" s="87"/>
      <c r="V241" s="87"/>
      <c r="W241" s="44"/>
      <c r="X241" s="88"/>
      <c r="Y241" s="79"/>
      <c r="Z241" s="79"/>
      <c r="AA241" s="79"/>
      <c r="AB241" s="79"/>
      <c r="AC241" s="86"/>
      <c r="AD241" s="82"/>
      <c r="AE241" s="79"/>
      <c r="AF241" s="88"/>
      <c r="AG241" s="80"/>
      <c r="AH241" s="79"/>
      <c r="AI241" s="79"/>
      <c r="AJ241" s="79"/>
      <c r="AK241" s="80"/>
      <c r="AL241" s="80"/>
      <c r="AM241" s="80"/>
      <c r="AN241" s="79"/>
      <c r="AO241" s="80"/>
      <c r="AP241" s="80"/>
      <c r="AQ241" s="80"/>
      <c r="AR241" s="85"/>
      <c r="AS241" s="85"/>
      <c r="AT241" s="85"/>
      <c r="AU241" s="85"/>
      <c r="AV241" s="85"/>
      <c r="AW241" s="82"/>
      <c r="AX241" s="79"/>
      <c r="AY241" s="82"/>
      <c r="AZ241" s="82"/>
      <c r="BA241" s="86"/>
      <c r="BB241" s="79"/>
      <c r="BC241" s="79"/>
      <c r="BD241" s="79"/>
      <c r="BE241" s="82"/>
      <c r="BF241" s="85"/>
      <c r="BG241" s="79"/>
      <c r="BH241" s="79"/>
      <c r="BI241" s="79"/>
      <c r="BJ241" s="88"/>
      <c r="BK241" s="88"/>
      <c r="BL241" s="79"/>
      <c r="BM241" s="185"/>
      <c r="BN241" s="90"/>
      <c r="BO241" s="80"/>
      <c r="BP241" s="80"/>
      <c r="BQ241" s="80"/>
      <c r="BR241" s="80"/>
      <c r="BS241" s="80"/>
      <c r="BT241" s="80"/>
      <c r="BU241" s="80"/>
      <c r="BV241" s="80"/>
      <c r="BW241" s="82"/>
      <c r="BX241" s="79"/>
      <c r="BY241" s="79"/>
      <c r="BZ241" s="79"/>
      <c r="CA241" s="79"/>
      <c r="CB241" s="79"/>
      <c r="CC241" s="82"/>
      <c r="CD241" s="82"/>
      <c r="CE241" s="82"/>
      <c r="CF241" s="82"/>
      <c r="CG241" s="82"/>
      <c r="CH241" s="82"/>
      <c r="CI241" s="82"/>
      <c r="CJ241" s="79"/>
      <c r="CK241" s="79"/>
      <c r="CL241" s="79"/>
      <c r="CM241" s="79"/>
      <c r="CN241" s="79"/>
      <c r="CO241" s="79"/>
    </row>
    <row r="242" spans="1:93">
      <c r="A242" s="98"/>
      <c r="B242" s="178"/>
      <c r="C242" s="188"/>
      <c r="D242" s="47"/>
      <c r="E242" s="126"/>
      <c r="F242" s="154"/>
      <c r="G242" s="167"/>
      <c r="H242" s="167"/>
      <c r="I242" s="170"/>
      <c r="J242" s="155"/>
      <c r="K242" s="156"/>
      <c r="L242" s="157"/>
      <c r="M242" s="157"/>
      <c r="N242" s="183"/>
      <c r="O242" s="177"/>
      <c r="P242" s="145"/>
      <c r="Q242" s="141"/>
      <c r="R242" s="190"/>
      <c r="S242" s="83"/>
      <c r="T242" s="87"/>
      <c r="U242" s="87"/>
      <c r="V242" s="87"/>
      <c r="W242" s="44"/>
      <c r="X242" s="88"/>
      <c r="Y242" s="79"/>
      <c r="Z242" s="79"/>
      <c r="AA242" s="79"/>
      <c r="AB242" s="79"/>
      <c r="AC242" s="86"/>
      <c r="AD242" s="82"/>
      <c r="AE242" s="79"/>
      <c r="AF242" s="88"/>
      <c r="AG242" s="80"/>
      <c r="AH242" s="79"/>
      <c r="AI242" s="79"/>
      <c r="AJ242" s="79"/>
      <c r="AK242" s="80"/>
      <c r="AL242" s="80"/>
      <c r="AM242" s="80"/>
      <c r="AN242" s="79"/>
      <c r="AO242" s="80"/>
      <c r="AP242" s="80"/>
      <c r="AQ242" s="80"/>
      <c r="AR242" s="85"/>
      <c r="AS242" s="85"/>
      <c r="AT242" s="85"/>
      <c r="AU242" s="85"/>
      <c r="AV242" s="85"/>
      <c r="AW242" s="82"/>
      <c r="AX242" s="79"/>
      <c r="AY242" s="82"/>
      <c r="AZ242" s="82"/>
      <c r="BA242" s="86"/>
      <c r="BB242" s="79"/>
      <c r="BC242" s="79"/>
      <c r="BD242" s="79"/>
      <c r="BE242" s="82"/>
      <c r="BF242" s="85"/>
      <c r="BG242" s="79"/>
      <c r="BH242" s="79"/>
      <c r="BI242" s="79"/>
      <c r="BJ242" s="88"/>
      <c r="BK242" s="88"/>
      <c r="BL242" s="79"/>
      <c r="BM242" s="185"/>
      <c r="BN242" s="90"/>
      <c r="BO242" s="80"/>
      <c r="BP242" s="80"/>
      <c r="BQ242" s="80"/>
      <c r="BR242" s="80"/>
      <c r="BS242" s="80"/>
      <c r="BT242" s="80"/>
      <c r="BU242" s="80"/>
      <c r="BV242" s="80"/>
      <c r="BW242" s="82"/>
      <c r="BX242" s="79"/>
      <c r="BY242" s="79"/>
      <c r="BZ242" s="79"/>
      <c r="CA242" s="79"/>
      <c r="CB242" s="79"/>
      <c r="CC242" s="82"/>
      <c r="CD242" s="82"/>
      <c r="CE242" s="82"/>
      <c r="CF242" s="82"/>
      <c r="CG242" s="82"/>
      <c r="CH242" s="82"/>
      <c r="CI242" s="82"/>
      <c r="CJ242" s="79"/>
      <c r="CK242" s="79"/>
      <c r="CL242" s="79"/>
      <c r="CM242" s="79"/>
      <c r="CN242" s="79"/>
      <c r="CO242" s="79"/>
    </row>
    <row r="243" spans="1:93">
      <c r="A243" s="98"/>
      <c r="B243" s="178"/>
      <c r="C243" s="188"/>
      <c r="D243" s="47"/>
      <c r="E243" s="126"/>
      <c r="F243" s="154"/>
      <c r="G243" s="167"/>
      <c r="H243" s="167"/>
      <c r="I243" s="170"/>
      <c r="J243" s="155"/>
      <c r="K243" s="156"/>
      <c r="L243" s="157"/>
      <c r="M243" s="157"/>
      <c r="N243" s="183"/>
      <c r="O243" s="177"/>
      <c r="P243" s="145"/>
      <c r="Q243" s="141"/>
      <c r="R243" s="190"/>
      <c r="S243" s="83"/>
      <c r="T243" s="87"/>
      <c r="U243" s="87"/>
      <c r="V243" s="87"/>
      <c r="W243" s="44"/>
      <c r="X243" s="88"/>
      <c r="Y243" s="79"/>
      <c r="Z243" s="79"/>
      <c r="AA243" s="79"/>
      <c r="AB243" s="79"/>
      <c r="AC243" s="86"/>
      <c r="AD243" s="82"/>
      <c r="AE243" s="79"/>
      <c r="AF243" s="88"/>
      <c r="AG243" s="80"/>
      <c r="AH243" s="79"/>
      <c r="AI243" s="79"/>
      <c r="AJ243" s="79"/>
      <c r="AK243" s="80"/>
      <c r="AL243" s="80"/>
      <c r="AM243" s="80"/>
      <c r="AN243" s="79"/>
      <c r="AO243" s="80"/>
      <c r="AP243" s="80"/>
      <c r="AQ243" s="80"/>
      <c r="AR243" s="85"/>
      <c r="AS243" s="85"/>
      <c r="AT243" s="85"/>
      <c r="AU243" s="85"/>
      <c r="AV243" s="85"/>
      <c r="AW243" s="82"/>
      <c r="AX243" s="79"/>
      <c r="AY243" s="82"/>
      <c r="AZ243" s="82"/>
      <c r="BA243" s="86"/>
      <c r="BB243" s="79"/>
      <c r="BC243" s="79"/>
      <c r="BD243" s="79"/>
      <c r="BE243" s="82"/>
      <c r="BF243" s="85"/>
      <c r="BG243" s="79"/>
      <c r="BH243" s="79"/>
      <c r="BI243" s="79"/>
      <c r="BJ243" s="88"/>
      <c r="BK243" s="88"/>
      <c r="BL243" s="79"/>
      <c r="BM243" s="185"/>
      <c r="BN243" s="90"/>
      <c r="BO243" s="80"/>
      <c r="BP243" s="80"/>
      <c r="BQ243" s="80"/>
      <c r="BR243" s="80"/>
      <c r="BS243" s="80"/>
      <c r="BT243" s="80"/>
      <c r="BU243" s="80"/>
      <c r="BV243" s="80"/>
      <c r="BW243" s="82"/>
      <c r="BX243" s="79"/>
      <c r="BY243" s="79"/>
      <c r="BZ243" s="79"/>
      <c r="CA243" s="79"/>
      <c r="CB243" s="79"/>
      <c r="CC243" s="82"/>
      <c r="CD243" s="82"/>
      <c r="CE243" s="82"/>
      <c r="CF243" s="82"/>
      <c r="CG243" s="82"/>
      <c r="CH243" s="82"/>
      <c r="CI243" s="82"/>
      <c r="CJ243" s="79"/>
      <c r="CK243" s="79"/>
      <c r="CL243" s="79"/>
      <c r="CM243" s="79"/>
      <c r="CN243" s="79"/>
      <c r="CO243" s="79"/>
    </row>
    <row r="244" spans="1:93">
      <c r="A244" s="98"/>
      <c r="B244" s="166"/>
      <c r="C244" s="46"/>
      <c r="D244" s="47"/>
      <c r="E244" s="126"/>
      <c r="F244" s="154"/>
      <c r="G244" s="167"/>
      <c r="H244" s="167"/>
      <c r="I244" s="170"/>
      <c r="J244" s="155"/>
      <c r="K244" s="156"/>
      <c r="L244" s="157"/>
      <c r="M244" s="157"/>
      <c r="N244" s="183"/>
      <c r="O244" s="177"/>
      <c r="P244" s="145"/>
      <c r="Q244" s="141"/>
      <c r="R244" s="190"/>
      <c r="S244" s="83"/>
      <c r="T244" s="87"/>
      <c r="U244" s="87"/>
      <c r="V244" s="87"/>
      <c r="W244" s="44"/>
      <c r="X244" s="88"/>
      <c r="Y244" s="79"/>
      <c r="Z244" s="79"/>
      <c r="AA244" s="79"/>
      <c r="AB244" s="79"/>
      <c r="AC244" s="86"/>
      <c r="AD244" s="82"/>
      <c r="AE244" s="79"/>
      <c r="AF244" s="88"/>
      <c r="AG244" s="80"/>
      <c r="AH244" s="79"/>
      <c r="AI244" s="79"/>
      <c r="AJ244" s="79"/>
      <c r="AK244" s="80"/>
      <c r="AL244" s="80"/>
      <c r="AM244" s="80"/>
      <c r="AN244" s="79"/>
      <c r="AO244" s="80"/>
      <c r="AP244" s="80"/>
      <c r="AQ244" s="80"/>
      <c r="AR244" s="85"/>
      <c r="AS244" s="85"/>
      <c r="AT244" s="85"/>
      <c r="AU244" s="85"/>
      <c r="AV244" s="85"/>
      <c r="AW244" s="82"/>
      <c r="AX244" s="79"/>
      <c r="AY244" s="82"/>
      <c r="AZ244" s="82"/>
      <c r="BA244" s="86"/>
      <c r="BB244" s="79"/>
      <c r="BC244" s="79"/>
      <c r="BD244" s="79"/>
      <c r="BE244" s="82"/>
      <c r="BF244" s="85"/>
      <c r="BG244" s="79"/>
      <c r="BH244" s="79"/>
      <c r="BI244" s="79"/>
      <c r="BJ244" s="88"/>
      <c r="BK244" s="88"/>
      <c r="BL244" s="79"/>
      <c r="BM244" s="185"/>
      <c r="BN244" s="90"/>
      <c r="BO244" s="80"/>
      <c r="BP244" s="80"/>
      <c r="BQ244" s="80"/>
      <c r="BR244" s="80"/>
      <c r="BS244" s="80"/>
      <c r="BT244" s="80"/>
      <c r="BU244" s="80"/>
      <c r="BV244" s="80"/>
      <c r="BW244" s="82"/>
      <c r="BX244" s="79"/>
      <c r="BY244" s="79"/>
      <c r="BZ244" s="79"/>
      <c r="CA244" s="79"/>
      <c r="CB244" s="79"/>
      <c r="CC244" s="82"/>
      <c r="CD244" s="82"/>
      <c r="CE244" s="82"/>
      <c r="CF244" s="82"/>
      <c r="CG244" s="82"/>
      <c r="CH244" s="82"/>
      <c r="CI244" s="82"/>
      <c r="CJ244" s="79"/>
      <c r="CK244" s="79"/>
      <c r="CL244" s="79"/>
      <c r="CM244" s="79"/>
      <c r="CN244" s="79"/>
      <c r="CO244" s="79"/>
    </row>
    <row r="245" spans="1:93">
      <c r="B245" s="4"/>
      <c r="C245" s="5"/>
      <c r="D245" s="15"/>
      <c r="E245" s="111"/>
      <c r="F245" s="112"/>
      <c r="G245" s="16"/>
      <c r="H245" s="16"/>
      <c r="I245" s="17"/>
      <c r="J245" s="113"/>
      <c r="K245" s="113"/>
      <c r="L245" s="14"/>
      <c r="M245" s="14"/>
      <c r="N245" s="114"/>
      <c r="O245" s="18"/>
      <c r="W245" s="19"/>
      <c r="X245" s="20"/>
      <c r="Y245" s="19"/>
      <c r="Z245" s="19"/>
      <c r="AA245" s="19"/>
      <c r="AB245" s="19"/>
      <c r="AC245" s="21"/>
      <c r="AD245" s="22"/>
      <c r="AE245" s="19"/>
      <c r="AF245" s="20"/>
      <c r="AG245" s="23"/>
      <c r="AH245" s="19"/>
      <c r="AI245" s="19"/>
      <c r="AJ245" s="19"/>
      <c r="AK245" s="23"/>
      <c r="AL245" s="23"/>
      <c r="AM245" s="23"/>
      <c r="AN245" s="19"/>
      <c r="AO245" s="23"/>
      <c r="AP245" s="23"/>
      <c r="AQ245" s="23"/>
      <c r="AR245" s="24"/>
      <c r="AS245" s="24"/>
      <c r="AT245" s="24"/>
      <c r="AU245" s="24"/>
      <c r="AV245" s="24"/>
      <c r="AW245" s="22"/>
      <c r="AX245" s="19"/>
      <c r="AY245" s="22"/>
      <c r="AZ245" s="22"/>
      <c r="BA245" s="21"/>
      <c r="BB245" s="19"/>
      <c r="BC245" s="19"/>
      <c r="BD245" s="19"/>
      <c r="BE245" s="22"/>
      <c r="BF245" s="24"/>
      <c r="BG245" s="19"/>
      <c r="BH245" s="19"/>
      <c r="BI245" s="19"/>
      <c r="BJ245" s="20"/>
      <c r="BK245" s="20"/>
      <c r="BL245" s="19"/>
      <c r="BM245" s="19"/>
      <c r="BN245" s="25"/>
      <c r="BO245" s="23"/>
      <c r="BP245" s="23"/>
      <c r="BQ245" s="23"/>
      <c r="BR245" s="23"/>
      <c r="BS245" s="23"/>
      <c r="BT245" s="23"/>
      <c r="BU245" s="23"/>
      <c r="BV245" s="23"/>
      <c r="BW245" s="22"/>
      <c r="BX245" s="19"/>
      <c r="BY245" s="19"/>
      <c r="BZ245" s="19"/>
      <c r="CA245" s="19"/>
      <c r="CB245" s="19"/>
      <c r="CC245" s="22"/>
      <c r="CD245" s="22"/>
      <c r="CE245" s="22"/>
      <c r="CF245" s="22"/>
      <c r="CG245" s="22"/>
      <c r="CH245" s="22"/>
      <c r="CI245" s="22"/>
      <c r="CJ245" s="19"/>
      <c r="CK245" s="19"/>
      <c r="CL245" s="19"/>
      <c r="CM245" s="19"/>
      <c r="CN245" s="19"/>
      <c r="CO245" s="19"/>
    </row>
    <row r="246" spans="1:93">
      <c r="C246" s="5"/>
      <c r="D246" s="15"/>
      <c r="E246" s="111"/>
      <c r="F246" s="112"/>
      <c r="G246" s="16"/>
      <c r="H246" s="16"/>
      <c r="I246" s="17"/>
      <c r="J246" s="113"/>
      <c r="K246" s="113"/>
      <c r="L246" s="14"/>
      <c r="M246" s="14"/>
      <c r="N246" s="114"/>
      <c r="O246" s="18"/>
      <c r="W246" s="19"/>
      <c r="X246" s="20"/>
      <c r="Y246" s="19"/>
      <c r="Z246" s="19"/>
      <c r="AA246" s="19"/>
      <c r="AB246" s="19"/>
      <c r="AC246" s="21"/>
      <c r="AD246" s="22"/>
      <c r="AE246" s="19"/>
      <c r="AF246" s="20"/>
      <c r="AG246" s="23"/>
      <c r="AH246" s="19"/>
      <c r="AI246" s="19"/>
      <c r="AJ246" s="19"/>
      <c r="AK246" s="23"/>
      <c r="AL246" s="23"/>
      <c r="AM246" s="23"/>
      <c r="AN246" s="19"/>
      <c r="AO246" s="23"/>
      <c r="AP246" s="23"/>
      <c r="AQ246" s="23"/>
      <c r="AR246" s="24"/>
      <c r="AS246" s="24"/>
      <c r="AT246" s="24"/>
      <c r="AU246" s="24"/>
      <c r="AV246" s="24"/>
      <c r="AW246" s="22"/>
      <c r="AX246" s="19"/>
      <c r="AY246" s="22"/>
      <c r="AZ246" s="22"/>
      <c r="BA246" s="21"/>
      <c r="BB246" s="19"/>
      <c r="BC246" s="19"/>
      <c r="BD246" s="19"/>
      <c r="BE246" s="22"/>
      <c r="BF246" s="24"/>
      <c r="BG246" s="19"/>
      <c r="BH246" s="19"/>
      <c r="BI246" s="19"/>
      <c r="BJ246" s="20"/>
      <c r="BK246" s="20"/>
      <c r="BL246" s="19"/>
      <c r="BM246" s="19"/>
      <c r="BN246" s="25"/>
      <c r="BO246" s="23"/>
      <c r="BP246" s="23"/>
      <c r="BQ246" s="23"/>
      <c r="BR246" s="23"/>
      <c r="BS246" s="23"/>
      <c r="BT246" s="23"/>
      <c r="BU246" s="23"/>
      <c r="BV246" s="23"/>
      <c r="BW246" s="22"/>
      <c r="BX246" s="19"/>
      <c r="BY246" s="19"/>
      <c r="BZ246" s="19"/>
      <c r="CA246" s="19"/>
      <c r="CB246" s="19"/>
      <c r="CC246" s="22"/>
      <c r="CD246" s="22"/>
      <c r="CE246" s="22"/>
      <c r="CF246" s="22"/>
      <c r="CG246" s="22"/>
      <c r="CH246" s="22"/>
      <c r="CI246" s="22"/>
      <c r="CJ246" s="19"/>
      <c r="CK246" s="19"/>
      <c r="CL246" s="19"/>
      <c r="CM246" s="19"/>
      <c r="CN246" s="19"/>
      <c r="CO246" s="19"/>
    </row>
    <row r="247" spans="1:93">
      <c r="C247" s="5"/>
      <c r="D247" s="15"/>
      <c r="E247" s="111"/>
      <c r="F247" s="112"/>
      <c r="G247" s="16"/>
      <c r="H247" s="16"/>
      <c r="I247" s="17"/>
      <c r="J247" s="113"/>
      <c r="K247" s="113"/>
      <c r="L247" s="14"/>
      <c r="M247" s="14"/>
      <c r="N247" s="114"/>
      <c r="O247" s="18"/>
      <c r="W247" s="19"/>
      <c r="X247" s="20"/>
      <c r="Y247" s="19"/>
      <c r="Z247" s="19"/>
      <c r="AA247" s="19"/>
      <c r="AB247" s="19"/>
      <c r="AC247" s="21"/>
      <c r="AD247" s="22"/>
      <c r="AE247" s="19"/>
      <c r="AF247" s="20"/>
      <c r="AG247" s="23"/>
      <c r="AH247" s="19"/>
      <c r="AI247" s="19"/>
      <c r="AJ247" s="19"/>
      <c r="AK247" s="23"/>
      <c r="AL247" s="23"/>
      <c r="AM247" s="23"/>
      <c r="AN247" s="19"/>
      <c r="AO247" s="23"/>
      <c r="AP247" s="23"/>
      <c r="AQ247" s="23"/>
      <c r="AR247" s="24"/>
      <c r="AS247" s="24"/>
      <c r="AT247" s="24"/>
      <c r="AU247" s="24"/>
      <c r="AV247" s="24"/>
      <c r="AW247" s="22"/>
      <c r="AX247" s="19"/>
      <c r="AY247" s="22"/>
      <c r="AZ247" s="22"/>
      <c r="BA247" s="21"/>
      <c r="BB247" s="19"/>
      <c r="BC247" s="19"/>
      <c r="BD247" s="19"/>
      <c r="BE247" s="22"/>
      <c r="BF247" s="24"/>
      <c r="BG247" s="19"/>
      <c r="BH247" s="19"/>
      <c r="BI247" s="19"/>
      <c r="BJ247" s="20"/>
      <c r="BK247" s="20"/>
      <c r="BL247" s="19"/>
      <c r="BM247" s="19"/>
      <c r="BN247" s="25"/>
      <c r="BO247" s="23"/>
      <c r="BP247" s="23"/>
      <c r="BQ247" s="23"/>
      <c r="BR247" s="23"/>
      <c r="BS247" s="23"/>
      <c r="BT247" s="23"/>
      <c r="BU247" s="23"/>
      <c r="BV247" s="23"/>
      <c r="BW247" s="22"/>
      <c r="BX247" s="19"/>
      <c r="BY247" s="19"/>
      <c r="BZ247" s="19"/>
      <c r="CA247" s="19"/>
      <c r="CB247" s="19"/>
      <c r="CC247" s="22"/>
      <c r="CD247" s="22"/>
      <c r="CE247" s="22"/>
      <c r="CF247" s="22"/>
      <c r="CG247" s="22"/>
      <c r="CH247" s="22"/>
      <c r="CI247" s="22"/>
      <c r="CJ247" s="19"/>
      <c r="CK247" s="19"/>
      <c r="CL247" s="19"/>
      <c r="CM247" s="19"/>
      <c r="CN247" s="19"/>
      <c r="CO247" s="19"/>
    </row>
    <row r="248" spans="1:93">
      <c r="C248" s="5"/>
      <c r="D248" s="15"/>
      <c r="E248" s="111"/>
      <c r="F248" s="112"/>
      <c r="G248" s="16"/>
      <c r="H248" s="16"/>
      <c r="I248" s="17"/>
      <c r="J248" s="113"/>
      <c r="K248" s="113"/>
      <c r="L248" s="14"/>
      <c r="M248" s="14"/>
      <c r="N248" s="114"/>
      <c r="O248" s="18"/>
      <c r="W248" s="19"/>
      <c r="X248" s="20"/>
      <c r="Y248" s="19"/>
      <c r="Z248" s="19"/>
      <c r="AA248" s="19"/>
      <c r="AB248" s="19"/>
      <c r="AC248" s="21"/>
      <c r="AD248" s="22"/>
      <c r="AE248" s="19"/>
      <c r="AF248" s="20"/>
      <c r="AG248" s="23"/>
      <c r="AH248" s="19"/>
      <c r="AI248" s="19"/>
      <c r="AJ248" s="19"/>
      <c r="AK248" s="23"/>
      <c r="AL248" s="23"/>
      <c r="AM248" s="23"/>
      <c r="AN248" s="19"/>
      <c r="AO248" s="23"/>
      <c r="AP248" s="23"/>
      <c r="AQ248" s="23"/>
      <c r="AR248" s="24"/>
      <c r="AS248" s="24"/>
      <c r="AT248" s="24"/>
      <c r="AU248" s="24"/>
      <c r="AV248" s="24"/>
      <c r="AW248" s="22"/>
      <c r="AX248" s="19"/>
      <c r="AY248" s="22"/>
      <c r="AZ248" s="22"/>
      <c r="BA248" s="21"/>
      <c r="BB248" s="19"/>
      <c r="BC248" s="19"/>
      <c r="BD248" s="19"/>
      <c r="BE248" s="22"/>
      <c r="BF248" s="24"/>
      <c r="BG248" s="19"/>
      <c r="BH248" s="19"/>
      <c r="BI248" s="19"/>
      <c r="BJ248" s="20"/>
      <c r="BK248" s="20"/>
      <c r="BL248" s="19"/>
      <c r="BM248" s="19"/>
      <c r="BN248" s="25"/>
      <c r="BO248" s="23"/>
      <c r="BP248" s="23"/>
      <c r="BQ248" s="23"/>
      <c r="BR248" s="23"/>
      <c r="BS248" s="23"/>
      <c r="BT248" s="23"/>
      <c r="BU248" s="23"/>
      <c r="BV248" s="23"/>
      <c r="BW248" s="22"/>
      <c r="BX248" s="19"/>
      <c r="BY248" s="19"/>
      <c r="BZ248" s="19"/>
      <c r="CA248" s="19"/>
      <c r="CB248" s="19"/>
      <c r="CC248" s="22"/>
      <c r="CD248" s="22"/>
      <c r="CE248" s="22"/>
      <c r="CF248" s="22"/>
      <c r="CG248" s="22"/>
      <c r="CH248" s="22"/>
      <c r="CI248" s="22"/>
      <c r="CJ248" s="19"/>
      <c r="CK248" s="19"/>
      <c r="CL248" s="19"/>
      <c r="CM248" s="19"/>
      <c r="CN248" s="19"/>
      <c r="CO248" s="19"/>
    </row>
    <row r="249" spans="1:93">
      <c r="C249" s="5"/>
      <c r="D249" s="15"/>
      <c r="E249" s="111"/>
      <c r="F249" s="112"/>
      <c r="G249" s="16"/>
      <c r="H249" s="16"/>
      <c r="I249" s="17"/>
      <c r="J249" s="113"/>
      <c r="K249" s="113"/>
      <c r="L249" s="14"/>
      <c r="M249" s="14"/>
      <c r="N249" s="114"/>
      <c r="O249" s="18"/>
      <c r="W249" s="19"/>
      <c r="X249" s="20"/>
      <c r="Y249" s="19"/>
      <c r="Z249" s="19"/>
      <c r="AA249" s="19"/>
      <c r="AB249" s="19"/>
      <c r="AC249" s="21"/>
      <c r="AD249" s="22"/>
      <c r="AE249" s="19"/>
      <c r="AF249" s="20"/>
      <c r="AG249" s="23"/>
      <c r="AH249" s="19"/>
      <c r="AI249" s="19"/>
      <c r="AJ249" s="19"/>
      <c r="AK249" s="23"/>
      <c r="AL249" s="23"/>
      <c r="AM249" s="23"/>
      <c r="AN249" s="19"/>
      <c r="AO249" s="23"/>
      <c r="AP249" s="23"/>
      <c r="AQ249" s="23"/>
      <c r="AR249" s="24"/>
      <c r="AS249" s="24"/>
      <c r="AT249" s="24"/>
      <c r="AU249" s="24"/>
      <c r="AV249" s="24"/>
      <c r="AW249" s="22"/>
      <c r="AX249" s="19"/>
      <c r="AY249" s="22"/>
      <c r="AZ249" s="22"/>
      <c r="BA249" s="21"/>
      <c r="BB249" s="19"/>
      <c r="BC249" s="19"/>
      <c r="BD249" s="19"/>
      <c r="BE249" s="22"/>
      <c r="BF249" s="24"/>
      <c r="BG249" s="19"/>
      <c r="BH249" s="19"/>
      <c r="BI249" s="19"/>
      <c r="BJ249" s="20"/>
      <c r="BK249" s="20"/>
      <c r="BL249" s="19"/>
      <c r="BM249" s="19"/>
      <c r="BN249" s="25"/>
      <c r="BO249" s="23"/>
      <c r="BP249" s="23"/>
      <c r="BQ249" s="23"/>
      <c r="BR249" s="23"/>
      <c r="BS249" s="23"/>
      <c r="BT249" s="23"/>
      <c r="BU249" s="23"/>
      <c r="BV249" s="23"/>
      <c r="BW249" s="22"/>
      <c r="BX249" s="19"/>
      <c r="BY249" s="19"/>
      <c r="BZ249" s="19"/>
      <c r="CA249" s="19"/>
      <c r="CB249" s="19"/>
      <c r="CC249" s="22"/>
      <c r="CD249" s="22"/>
      <c r="CE249" s="22"/>
      <c r="CF249" s="22"/>
      <c r="CG249" s="22"/>
      <c r="CH249" s="22"/>
      <c r="CI249" s="22"/>
      <c r="CJ249" s="19"/>
      <c r="CK249" s="19"/>
      <c r="CL249" s="19"/>
      <c r="CM249" s="19"/>
      <c r="CN249" s="19"/>
      <c r="CO249" s="19"/>
    </row>
    <row r="250" spans="1:93">
      <c r="C250" s="5"/>
      <c r="D250" s="15"/>
      <c r="E250" s="111"/>
      <c r="F250" s="112"/>
      <c r="G250" s="16"/>
      <c r="H250" s="16"/>
      <c r="I250" s="17"/>
      <c r="J250" s="113"/>
      <c r="K250" s="113"/>
      <c r="L250" s="14"/>
      <c r="M250" s="14"/>
      <c r="N250" s="114"/>
      <c r="O250" s="18"/>
      <c r="W250" s="19"/>
      <c r="X250" s="20"/>
      <c r="Y250" s="19"/>
      <c r="Z250" s="19"/>
      <c r="AA250" s="19"/>
      <c r="AB250" s="19"/>
      <c r="AC250" s="21"/>
      <c r="AD250" s="22"/>
      <c r="AE250" s="19"/>
      <c r="AF250" s="20"/>
      <c r="AG250" s="23"/>
      <c r="AH250" s="19"/>
      <c r="AI250" s="19"/>
      <c r="AJ250" s="19"/>
      <c r="AK250" s="23"/>
      <c r="AL250" s="23"/>
      <c r="AM250" s="23"/>
      <c r="AN250" s="19"/>
      <c r="AO250" s="23"/>
      <c r="AP250" s="23"/>
      <c r="AQ250" s="23"/>
      <c r="AR250" s="24"/>
      <c r="AS250" s="24"/>
      <c r="AT250" s="24"/>
      <c r="AU250" s="24"/>
      <c r="AV250" s="24"/>
      <c r="AW250" s="22"/>
      <c r="AX250" s="19"/>
      <c r="AY250" s="22"/>
      <c r="AZ250" s="22"/>
      <c r="BA250" s="21"/>
      <c r="BB250" s="19"/>
      <c r="BC250" s="19"/>
      <c r="BD250" s="19"/>
      <c r="BE250" s="22"/>
      <c r="BF250" s="24"/>
      <c r="BG250" s="19"/>
      <c r="BH250" s="19"/>
      <c r="BI250" s="19"/>
      <c r="BJ250" s="20"/>
      <c r="BK250" s="20"/>
      <c r="BL250" s="19"/>
      <c r="BM250" s="19"/>
      <c r="BN250" s="25"/>
      <c r="BO250" s="23"/>
      <c r="BP250" s="23"/>
      <c r="BQ250" s="23"/>
      <c r="BR250" s="23"/>
      <c r="BS250" s="23"/>
      <c r="BT250" s="23"/>
      <c r="BU250" s="23"/>
      <c r="BV250" s="23"/>
      <c r="BW250" s="22"/>
      <c r="BX250" s="19"/>
      <c r="BY250" s="19"/>
      <c r="BZ250" s="19"/>
      <c r="CA250" s="19"/>
      <c r="CB250" s="19"/>
      <c r="CC250" s="22"/>
      <c r="CD250" s="22"/>
      <c r="CE250" s="22"/>
      <c r="CF250" s="22"/>
      <c r="CG250" s="22"/>
      <c r="CH250" s="22"/>
      <c r="CI250" s="22"/>
      <c r="CJ250" s="19"/>
      <c r="CK250" s="19"/>
      <c r="CL250" s="19"/>
      <c r="CM250" s="19"/>
      <c r="CN250" s="19"/>
      <c r="CO250" s="19"/>
    </row>
    <row r="251" spans="1:93">
      <c r="C251" s="5"/>
      <c r="D251" s="15"/>
      <c r="E251" s="111"/>
      <c r="F251" s="112"/>
      <c r="G251" s="16"/>
      <c r="H251" s="16"/>
      <c r="I251" s="17"/>
      <c r="J251" s="113"/>
      <c r="K251" s="26"/>
      <c r="L251" s="14"/>
      <c r="M251" s="14"/>
      <c r="N251" s="114"/>
      <c r="O251" s="18"/>
      <c r="W251" s="19"/>
      <c r="X251" s="20"/>
      <c r="Y251" s="19"/>
      <c r="Z251" s="19"/>
      <c r="AA251" s="19"/>
      <c r="AB251" s="19"/>
      <c r="AC251" s="21"/>
      <c r="AD251" s="22"/>
      <c r="AE251" s="19"/>
      <c r="AF251" s="20"/>
      <c r="AG251" s="23"/>
      <c r="AH251" s="19"/>
      <c r="AI251" s="19"/>
      <c r="AJ251" s="19"/>
      <c r="AK251" s="23"/>
      <c r="AL251" s="23"/>
      <c r="AM251" s="23"/>
      <c r="AN251" s="19"/>
      <c r="AO251" s="23"/>
      <c r="AP251" s="23"/>
      <c r="AQ251" s="23"/>
      <c r="AR251" s="24"/>
      <c r="AS251" s="24"/>
      <c r="AT251" s="24"/>
      <c r="AU251" s="24"/>
      <c r="AV251" s="24"/>
      <c r="AW251" s="22"/>
      <c r="AX251" s="19"/>
      <c r="AY251" s="22"/>
      <c r="AZ251" s="22"/>
      <c r="BA251" s="21"/>
      <c r="BB251" s="19"/>
      <c r="BC251" s="19"/>
      <c r="BD251" s="19"/>
      <c r="BE251" s="22"/>
      <c r="BF251" s="24"/>
      <c r="BG251" s="19"/>
      <c r="BH251" s="19"/>
      <c r="BI251" s="19"/>
      <c r="BJ251" s="20"/>
      <c r="BK251" s="20"/>
      <c r="BL251" s="19"/>
      <c r="BM251" s="19"/>
      <c r="BN251" s="25"/>
      <c r="BO251" s="23"/>
      <c r="BP251" s="23"/>
      <c r="BQ251" s="23"/>
      <c r="BR251" s="23"/>
      <c r="BS251" s="23"/>
      <c r="BT251" s="23"/>
      <c r="BU251" s="23"/>
      <c r="BV251" s="23"/>
      <c r="BW251" s="22"/>
      <c r="BX251" s="19"/>
      <c r="BY251" s="19"/>
      <c r="BZ251" s="19"/>
      <c r="CA251" s="19"/>
      <c r="CB251" s="19"/>
      <c r="CC251" s="22"/>
      <c r="CD251" s="22"/>
      <c r="CE251" s="22"/>
      <c r="CF251" s="22"/>
      <c r="CG251" s="22"/>
      <c r="CH251" s="22"/>
      <c r="CI251" s="22"/>
      <c r="CJ251" s="19"/>
      <c r="CK251" s="19"/>
      <c r="CL251" s="19"/>
      <c r="CM251" s="19"/>
      <c r="CN251" s="19"/>
      <c r="CO251" s="19"/>
    </row>
    <row r="252" spans="1:93" ht="14.4">
      <c r="B252" s="27"/>
      <c r="F252" s="28"/>
      <c r="G252" s="4"/>
      <c r="H252" s="4"/>
      <c r="I252" s="115"/>
      <c r="J252" s="115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</row>
    <row r="253" spans="1:93" ht="14.4">
      <c r="F253" s="28"/>
      <c r="G253" s="4"/>
      <c r="H253" s="4"/>
      <c r="I253" s="115"/>
      <c r="J253" s="115"/>
      <c r="K253" s="17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</row>
    <row r="254" spans="1:93" ht="14.4">
      <c r="B254" s="116" t="s">
        <v>92</v>
      </c>
      <c r="C254" s="117" t="s">
        <v>8</v>
      </c>
      <c r="D254" s="118" t="s">
        <v>9</v>
      </c>
      <c r="E254" s="3"/>
      <c r="G254" s="4"/>
      <c r="H254" s="4"/>
      <c r="I254" s="115"/>
      <c r="J254" s="115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</row>
    <row r="255" spans="1:93" ht="14.4">
      <c r="B255" s="116" t="s">
        <v>93</v>
      </c>
      <c r="C255" s="119">
        <v>650000</v>
      </c>
      <c r="D255" s="120">
        <v>1000000</v>
      </c>
      <c r="E255" s="121"/>
      <c r="I255" s="115"/>
      <c r="J255" s="115"/>
    </row>
    <row r="256" spans="1:93" ht="14.4">
      <c r="B256" s="116" t="s">
        <v>94</v>
      </c>
      <c r="C256" s="119">
        <v>650000</v>
      </c>
      <c r="D256" s="120">
        <v>1000000</v>
      </c>
      <c r="E256" s="121"/>
      <c r="I256" s="115"/>
      <c r="J256" s="115"/>
    </row>
    <row r="257" spans="2:6">
      <c r="B257" s="116" t="s">
        <v>95</v>
      </c>
      <c r="C257" s="119">
        <v>500000</v>
      </c>
      <c r="D257" s="119">
        <v>500000</v>
      </c>
      <c r="E257" s="122"/>
    </row>
    <row r="258" spans="2:6">
      <c r="B258" s="116" t="s">
        <v>96</v>
      </c>
      <c r="C258" s="119"/>
      <c r="D258" s="119"/>
      <c r="E258" s="122"/>
    </row>
    <row r="259" spans="2:6">
      <c r="B259" s="116" t="s">
        <v>97</v>
      </c>
      <c r="C259" s="119">
        <v>300000</v>
      </c>
      <c r="D259" s="123" t="s">
        <v>98</v>
      </c>
      <c r="E259" s="124"/>
    </row>
    <row r="263" spans="2:6">
      <c r="B263" s="3281" t="s">
        <v>99</v>
      </c>
      <c r="C263" s="3281"/>
      <c r="D263" s="3281"/>
      <c r="E263" s="3281"/>
      <c r="F263" s="3281"/>
    </row>
    <row r="264" spans="2:6">
      <c r="D264" s="3281"/>
      <c r="E264" s="3281"/>
      <c r="F264" s="3281"/>
    </row>
    <row r="265" spans="2:6">
      <c r="B265" s="2" t="s">
        <v>0</v>
      </c>
    </row>
    <row r="266" spans="2:6">
      <c r="B266" s="2" t="s">
        <v>100</v>
      </c>
    </row>
  </sheetData>
  <mergeCells count="14">
    <mergeCell ref="B2:N2"/>
    <mergeCell ref="B23:H23"/>
    <mergeCell ref="I60:I61"/>
    <mergeCell ref="H60:H61"/>
    <mergeCell ref="J60:J61"/>
    <mergeCell ref="L60:L61"/>
    <mergeCell ref="N60:N61"/>
    <mergeCell ref="O60:O61"/>
    <mergeCell ref="B62:H62"/>
    <mergeCell ref="B263:F263"/>
    <mergeCell ref="D264:F264"/>
    <mergeCell ref="J3:N3"/>
    <mergeCell ref="B104:H104"/>
    <mergeCell ref="B153:H153"/>
  </mergeCells>
  <hyperlinks>
    <hyperlink ref="D25" r:id="rId1" display="javascript:void(0)" xr:uid="{8B059499-8875-47FE-BAD9-D93A66E3FD62}"/>
    <hyperlink ref="D24" r:id="rId2" display="javascript:void(0)" xr:uid="{859030DE-46F8-4D67-9FE6-5337EE9903AF}"/>
    <hyperlink ref="D26" r:id="rId3" display="javascript:void(0)" xr:uid="{974661F7-688F-4C54-AB5F-A57F9A4EEBD3}"/>
    <hyperlink ref="D27" r:id="rId4" display="javascript:void(0)" xr:uid="{6BB60728-FF3A-480C-9994-65A9BBB6230C}"/>
    <hyperlink ref="D28" r:id="rId5" display="javascript:void(0)" xr:uid="{83E1ABB4-386E-4DEC-BA0A-C3218883EB3B}"/>
    <hyperlink ref="D29" r:id="rId6" display="javascript:void(0)" xr:uid="{88B872B2-C2DE-4309-96D4-074C8AD88D1E}"/>
    <hyperlink ref="D30" r:id="rId7" display="javascript:void(0)" xr:uid="{88DCC85D-6F0F-4732-AED9-BB770C9862DE}"/>
    <hyperlink ref="I32" r:id="rId8" display="https://www.wanhai.com/views/cargoTrack/BookingInfoPage.xhtml?file_num=65580&amp;top_file_num=64735&amp;parent_id=64738" xr:uid="{2DAC8883-5CEC-4034-96F8-025C4EB1B9EF}"/>
    <hyperlink ref="D31" r:id="rId9" display="javascript:void(0)" xr:uid="{3618E0CF-DCC3-4F56-933F-324510D1DF6D}"/>
    <hyperlink ref="D32" r:id="rId10" display="javascript:void(0)" xr:uid="{DA791431-47DE-418D-8BF2-8364003611AB}"/>
    <hyperlink ref="D33" r:id="rId11" display="javascript:void(0)" xr:uid="{D1D04148-997C-4F04-8065-B8CB95FA084E}"/>
    <hyperlink ref="D34" r:id="rId12" display="javascript:void(0)" xr:uid="{4AC658A1-899F-4A8A-8686-10D55630A56F}"/>
    <hyperlink ref="D35" r:id="rId13" display="javascript:void(0)" xr:uid="{F4A2DC5A-12E6-422F-AC37-D46C688FD4E6}"/>
    <hyperlink ref="D36" r:id="rId14" display="javascript:void(0)" xr:uid="{E1C5FA1B-23D5-4B79-9BCF-B1AA521890B3}"/>
    <hyperlink ref="D37" r:id="rId15" display="javascript:void(0)" xr:uid="{AFA7BCC3-E489-48D2-A8E8-1359E6AEFC57}"/>
    <hyperlink ref="D38" r:id="rId16" display="javascript:void(0)" xr:uid="{67A9E27E-F11A-4016-A55E-E81B29ED1044}"/>
    <hyperlink ref="D55" r:id="rId17" display="javascript:void(0)" xr:uid="{D41FFD39-56BF-4913-815D-3E59CA3BC593}"/>
    <hyperlink ref="D56" r:id="rId18" display="javascript:void(0)" xr:uid="{4CFCEAF4-1816-4119-A1C7-301DE818E5F9}"/>
    <hyperlink ref="D59" r:id="rId19" display="javascript:void(0)" xr:uid="{CFA5097D-9A6A-487F-A8D5-26CEB97F7204}"/>
    <hyperlink ref="D45" r:id="rId20" display="javascript:void(0)" xr:uid="{FB73BEBE-C5CB-4FE1-A093-A51A2573C3F4}"/>
    <hyperlink ref="D64" r:id="rId21" display="javascript:void(0)" xr:uid="{01D9244B-DDD3-4672-B087-5F7B97B69D06}"/>
    <hyperlink ref="D63" r:id="rId22" display="javascript:void(0)" xr:uid="{3D386FFC-38C0-4439-BE46-54C024EFDC05}"/>
    <hyperlink ref="D69" r:id="rId23" display="javascript:void(0)" xr:uid="{7B8DF853-5D05-432B-8377-953631D16A41}"/>
    <hyperlink ref="D67" r:id="rId24" display="javascript:void(0)" xr:uid="{BE818954-66DC-4CDF-B91E-D3FCDFF54DE5}"/>
    <hyperlink ref="D72" r:id="rId25" display="javascript:void(0)" xr:uid="{FE9D80C9-7510-4A83-A02D-7917BF1D0E33}"/>
    <hyperlink ref="D73" r:id="rId26" display="javascript:void(0)" xr:uid="{F42848B7-BA21-4F3B-BA84-D58C4D51A419}"/>
    <hyperlink ref="D74" r:id="rId27" display="javascript:void(0)" xr:uid="{F406ACF0-9BD0-4A51-9202-C9EC48182C16}"/>
    <hyperlink ref="D77" r:id="rId28" display="javascript:void(0)" xr:uid="{BCC0C4B7-EB6C-4E4E-B402-3FC6F9F5E6DC}"/>
    <hyperlink ref="D91" r:id="rId29" display="javascript:void(0)" xr:uid="{834FCDCA-DB16-410E-8281-3E0CAC59D4FA}"/>
    <hyperlink ref="D90" r:id="rId30" display="javascript:void(0)" xr:uid="{A039BEB6-6AEF-4CCF-BF4A-B56D789D2537}"/>
    <hyperlink ref="D87" r:id="rId31" display="javascript:void(0)" xr:uid="{FA702A07-7525-4A26-90B4-A322528F2ECB}"/>
    <hyperlink ref="D89" r:id="rId32" display="javascript:void(0)" xr:uid="{F44B65DC-7B0C-4C78-BD56-52EB16893349}"/>
    <hyperlink ref="D94" r:id="rId33" display="javascript:void(0)" xr:uid="{C68CFCD9-986D-4E98-8088-FE6543A6D153}"/>
    <hyperlink ref="D95" r:id="rId34" display="javascript:void(0)" xr:uid="{5E25C7A2-C156-4456-AF52-B0943FBD2032}"/>
    <hyperlink ref="D96" r:id="rId35" display="javascript:void(0)" xr:uid="{650AAD2F-0426-4374-8459-D9E4920DC0E9}"/>
    <hyperlink ref="D97" r:id="rId36" display="javascript:void(0)" xr:uid="{256C69B1-8EB9-4EDC-A291-F9B751494656}"/>
    <hyperlink ref="D125" r:id="rId37" display="javascript:void(0)" xr:uid="{4C748E8E-A174-4209-BEE5-05F8F8E0AA63}"/>
    <hyperlink ref="D126" r:id="rId38" display="javascript:void(0)" xr:uid="{36F062E2-03DF-4CEF-85C7-EC5CEBD29F86}"/>
    <hyperlink ref="D128" r:id="rId39" display="javascript:void(0)" xr:uid="{BF333E91-CE05-40D2-AEB0-2A90D7C6C659}"/>
    <hyperlink ref="D129" r:id="rId40" display="javascript:void(0)" xr:uid="{91BB0328-3708-41EE-ABA2-595E663A2BAF}"/>
    <hyperlink ref="D141" r:id="rId41" display="javascript:void(0)" xr:uid="{043ABD11-5CF6-462D-AA0B-E17C592148E7}"/>
    <hyperlink ref="D149" r:id="rId42" display="javascript:void(0)" xr:uid="{43CBB783-B402-4554-9552-EACDA95B29E2}"/>
    <hyperlink ref="D162" r:id="rId43" display="javascript:void(0)" xr:uid="{B022383E-B753-45B9-95BB-4CAAE042CBEF}"/>
    <hyperlink ref="D163" r:id="rId44" display="javascript:void(0)" xr:uid="{2308E6A9-488D-4D8D-BDE6-3CC964AFE88C}"/>
    <hyperlink ref="D164" r:id="rId45" display="javascript:void(0)" xr:uid="{1414F922-8081-4594-AA33-635CB83F533B}"/>
    <hyperlink ref="D166" r:id="rId46" display="javascript:void(0)" xr:uid="{228A5C26-6D73-435F-B339-04FE4FCB7345}"/>
  </hyperlinks>
  <pageMargins left="0.7" right="0.7" top="0.75" bottom="0.75" header="0.3" footer="0.3"/>
  <pageSetup paperSize="9" orientation="portrait" r:id="rId4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5596-35A2-455F-8177-02EE9C577CF0}">
  <sheetPr codeName="Sheet1"/>
  <dimension ref="A1:AT413"/>
  <sheetViews>
    <sheetView topLeftCell="B1" workbookViewId="0">
      <pane xSplit="11" ySplit="3" topLeftCell="U13" activePane="bottomRight" state="frozen"/>
      <selection activeCell="B1" sqref="B1"/>
      <selection pane="topRight" activeCell="M1" sqref="M1"/>
      <selection pane="bottomLeft" activeCell="B4" sqref="B4"/>
      <selection pane="bottomRight" activeCell="AK34" sqref="AK34"/>
    </sheetView>
  </sheetViews>
  <sheetFormatPr defaultColWidth="9.109375" defaultRowHeight="15.6"/>
  <cols>
    <col min="1" max="1" width="5.5546875" style="226" hidden="1" customWidth="1"/>
    <col min="2" max="2" width="5.33203125" style="259" customWidth="1"/>
    <col min="3" max="3" width="25.88671875" style="261" customWidth="1"/>
    <col min="4" max="4" width="13.5546875" style="262" customWidth="1"/>
    <col min="5" max="5" width="20.6640625" style="261" customWidth="1"/>
    <col min="6" max="7" width="20.6640625" style="261" hidden="1" customWidth="1"/>
    <col min="8" max="8" width="4.5546875" style="261" customWidth="1"/>
    <col min="9" max="9" width="4.33203125" style="263" hidden="1" customWidth="1"/>
    <col min="10" max="10" width="5.5546875" style="263" customWidth="1"/>
    <col min="11" max="11" width="6" style="261" customWidth="1"/>
    <col min="12" max="12" width="10.6640625" style="261" customWidth="1"/>
    <col min="13" max="13" width="16.44140625" style="265" customWidth="1"/>
    <col min="14" max="14" width="15" style="261" hidden="1" customWidth="1"/>
    <col min="15" max="15" width="14.109375" style="261" hidden="1" customWidth="1"/>
    <col min="16" max="16" width="12.33203125" style="261" hidden="1" customWidth="1"/>
    <col min="17" max="17" width="14.109375" style="261" hidden="1" customWidth="1"/>
    <col min="18" max="18" width="10.6640625" style="264" hidden="1" customWidth="1"/>
    <col min="19" max="19" width="12" style="265" hidden="1" customWidth="1"/>
    <col min="20" max="20" width="10.88671875" style="263" hidden="1" customWidth="1"/>
    <col min="21" max="21" width="23" style="263" customWidth="1"/>
    <col min="22" max="22" width="16" style="266" hidden="1" customWidth="1"/>
    <col min="23" max="23" width="13.109375" style="263" hidden="1" customWidth="1"/>
    <col min="24" max="24" width="9.5546875" style="263" hidden="1" customWidth="1"/>
    <col min="25" max="25" width="24.44140625" style="263" customWidth="1"/>
    <col min="26" max="26" width="16.88671875" style="267" hidden="1" customWidth="1"/>
    <col min="27" max="27" width="12.5546875" style="268" customWidth="1"/>
    <col min="28" max="28" width="12.6640625" style="268" customWidth="1"/>
    <col min="29" max="29" width="13.33203125" style="268" customWidth="1"/>
    <col min="30" max="30" width="15.6640625" style="264" customWidth="1"/>
    <col min="31" max="31" width="11.88671875" style="263" customWidth="1"/>
    <col min="32" max="32" width="10.33203125" style="263" customWidth="1"/>
    <col min="33" max="33" width="14.6640625" style="268" customWidth="1"/>
    <col min="34" max="34" width="19.44140625" style="268" customWidth="1"/>
    <col min="35" max="35" width="15.5546875" style="269" hidden="1" customWidth="1"/>
    <col min="36" max="36" width="35.88671875" style="270" hidden="1" customWidth="1"/>
    <col min="37" max="37" width="18.6640625" style="271" customWidth="1"/>
    <col min="38" max="38" width="16.6640625" style="272" customWidth="1"/>
    <col min="39" max="39" width="15.109375" style="273" customWidth="1"/>
    <col min="40" max="40" width="20.44140625" style="274" hidden="1" customWidth="1"/>
    <col min="41" max="41" width="20.6640625" style="274" hidden="1" customWidth="1"/>
    <col min="42" max="42" width="22" style="274" hidden="1" customWidth="1"/>
    <col min="43" max="43" width="26.109375" style="269" hidden="1" customWidth="1"/>
    <col min="44" max="44" width="34.33203125" style="196" customWidth="1"/>
    <col min="45" max="45" width="18.88671875" style="196" bestFit="1" customWidth="1"/>
    <col min="46" max="16384" width="9.109375" style="196"/>
  </cols>
  <sheetData>
    <row r="1" spans="1:46" ht="15.75" customHeight="1">
      <c r="A1" s="193"/>
      <c r="B1" s="3294" t="s">
        <v>211</v>
      </c>
      <c r="C1" s="3295"/>
      <c r="D1" s="3295"/>
      <c r="E1" s="3295"/>
      <c r="F1" s="3295"/>
      <c r="G1" s="3296"/>
      <c r="H1" s="279"/>
      <c r="I1" s="279"/>
      <c r="J1" s="277"/>
      <c r="K1" s="277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1"/>
      <c r="W1" s="280"/>
      <c r="X1" s="280"/>
      <c r="Y1" s="280"/>
      <c r="Z1" s="280"/>
      <c r="AA1" s="277"/>
      <c r="AB1" s="277"/>
      <c r="AC1" s="277"/>
      <c r="AD1" s="278"/>
      <c r="AE1" s="277"/>
      <c r="AF1" s="277"/>
      <c r="AG1" s="278"/>
      <c r="AH1" s="278"/>
      <c r="AI1" s="278"/>
      <c r="AJ1" s="282"/>
      <c r="AK1" s="278"/>
      <c r="AL1" s="278"/>
      <c r="AM1" s="283"/>
      <c r="AN1" s="284"/>
      <c r="AO1" s="284"/>
      <c r="AP1" s="284"/>
      <c r="AQ1" s="194"/>
      <c r="AR1" s="195"/>
    </row>
    <row r="2" spans="1:46" ht="18">
      <c r="A2" s="193"/>
      <c r="B2" s="197"/>
      <c r="C2" s="2" t="s">
        <v>0</v>
      </c>
      <c r="D2" s="200"/>
      <c r="E2" s="199"/>
      <c r="F2" s="199"/>
      <c r="G2" s="199"/>
      <c r="H2" s="198"/>
      <c r="I2" s="201"/>
      <c r="J2" s="201"/>
      <c r="K2" s="198"/>
      <c r="L2" s="198"/>
      <c r="M2" s="202"/>
      <c r="N2" s="198"/>
      <c r="O2" s="198"/>
      <c r="P2" s="198"/>
      <c r="Q2" s="198"/>
      <c r="R2" s="202"/>
      <c r="S2" s="202"/>
      <c r="T2" s="203"/>
      <c r="U2" s="202"/>
      <c r="V2" s="204"/>
      <c r="W2" s="202"/>
      <c r="X2" s="202"/>
      <c r="Y2" s="202"/>
      <c r="Z2" s="202"/>
      <c r="AA2" s="198"/>
      <c r="AB2" s="198"/>
      <c r="AC2" s="198"/>
      <c r="AD2" s="199"/>
      <c r="AE2" s="198"/>
      <c r="AF2" s="198"/>
      <c r="AG2" s="199"/>
      <c r="AH2" s="199"/>
      <c r="AI2" s="199"/>
      <c r="AJ2" s="205"/>
      <c r="AK2" s="199"/>
      <c r="AL2" s="199"/>
      <c r="AM2" s="206"/>
      <c r="AN2" s="207"/>
      <c r="AO2" s="207"/>
      <c r="AP2" s="207"/>
      <c r="AQ2" s="194"/>
      <c r="AR2" s="195"/>
      <c r="AS2" s="195"/>
    </row>
    <row r="3" spans="1:46" s="226" customFormat="1" ht="39.6">
      <c r="A3" s="208" t="s">
        <v>174</v>
      </c>
      <c r="B3" s="209" t="s">
        <v>2</v>
      </c>
      <c r="C3" s="211" t="s">
        <v>175</v>
      </c>
      <c r="D3" s="212" t="s">
        <v>176</v>
      </c>
      <c r="E3" s="211" t="s">
        <v>177</v>
      </c>
      <c r="F3" s="210" t="s">
        <v>178</v>
      </c>
      <c r="G3" s="212" t="s">
        <v>7</v>
      </c>
      <c r="H3" s="211" t="s">
        <v>179</v>
      </c>
      <c r="I3" s="211" t="s">
        <v>180</v>
      </c>
      <c r="J3" s="211" t="s">
        <v>8</v>
      </c>
      <c r="K3" s="211" t="s">
        <v>9</v>
      </c>
      <c r="L3" s="211" t="s">
        <v>102</v>
      </c>
      <c r="M3" s="214" t="s">
        <v>404</v>
      </c>
      <c r="N3" s="212" t="s">
        <v>11</v>
      </c>
      <c r="O3" s="212" t="s">
        <v>12</v>
      </c>
      <c r="P3" s="212" t="s">
        <v>13</v>
      </c>
      <c r="Q3" s="212" t="s">
        <v>182</v>
      </c>
      <c r="R3" s="213" t="s">
        <v>181</v>
      </c>
      <c r="S3" s="214" t="s">
        <v>183</v>
      </c>
      <c r="T3" s="211" t="s">
        <v>184</v>
      </c>
      <c r="U3" s="211" t="s">
        <v>185</v>
      </c>
      <c r="V3" s="215" t="s">
        <v>186</v>
      </c>
      <c r="W3" s="210" t="s">
        <v>187</v>
      </c>
      <c r="X3" s="210" t="s">
        <v>208</v>
      </c>
      <c r="Y3" s="210" t="s">
        <v>188</v>
      </c>
      <c r="Z3" s="216" t="s">
        <v>189</v>
      </c>
      <c r="AA3" s="217" t="s">
        <v>190</v>
      </c>
      <c r="AB3" s="217" t="s">
        <v>191</v>
      </c>
      <c r="AC3" s="218" t="s">
        <v>192</v>
      </c>
      <c r="AD3" s="218" t="s">
        <v>193</v>
      </c>
      <c r="AE3" s="210" t="s">
        <v>394</v>
      </c>
      <c r="AF3" s="210" t="s">
        <v>395</v>
      </c>
      <c r="AG3" s="219" t="s">
        <v>209</v>
      </c>
      <c r="AH3" s="219" t="s">
        <v>195</v>
      </c>
      <c r="AI3" s="220" t="s">
        <v>196</v>
      </c>
      <c r="AJ3" s="221" t="s">
        <v>197</v>
      </c>
      <c r="AK3" s="218" t="s">
        <v>198</v>
      </c>
      <c r="AL3" s="219" t="s">
        <v>199</v>
      </c>
      <c r="AM3" s="222" t="s">
        <v>200</v>
      </c>
      <c r="AN3" s="223" t="s">
        <v>201</v>
      </c>
      <c r="AO3" s="223" t="s">
        <v>202</v>
      </c>
      <c r="AP3" s="223" t="s">
        <v>203</v>
      </c>
      <c r="AQ3" s="224" t="s">
        <v>204</v>
      </c>
      <c r="AR3" s="225" t="s">
        <v>205</v>
      </c>
      <c r="AS3" s="225"/>
    </row>
    <row r="4" spans="1:46" ht="17.399999999999999">
      <c r="B4" s="253">
        <v>1</v>
      </c>
      <c r="C4" s="286" t="s">
        <v>390</v>
      </c>
      <c r="D4" s="245" t="s">
        <v>391</v>
      </c>
      <c r="E4" s="362" t="s">
        <v>429</v>
      </c>
      <c r="F4" s="363" t="s">
        <v>430</v>
      </c>
      <c r="G4" s="290"/>
      <c r="H4" s="230" t="s">
        <v>210</v>
      </c>
      <c r="I4" s="228"/>
      <c r="J4" s="228"/>
      <c r="K4" s="230">
        <v>1</v>
      </c>
      <c r="L4" s="230"/>
      <c r="M4" s="246"/>
      <c r="N4" s="287"/>
      <c r="O4" s="287"/>
      <c r="P4" s="287"/>
      <c r="Q4" s="287"/>
      <c r="R4" s="256"/>
      <c r="S4" s="256"/>
      <c r="T4" s="228"/>
      <c r="U4" s="293" t="s">
        <v>400</v>
      </c>
      <c r="V4" s="245"/>
      <c r="W4" s="254"/>
      <c r="X4" s="254"/>
      <c r="Y4" s="352" t="s">
        <v>396</v>
      </c>
      <c r="Z4" s="245"/>
      <c r="AA4" s="287"/>
      <c r="AB4" s="287"/>
      <c r="AC4" s="248"/>
      <c r="AD4" s="247"/>
      <c r="AE4" s="349"/>
      <c r="AF4" s="228"/>
      <c r="AG4" s="349">
        <f>+(1200000+(18-10)*40000)</f>
        <v>1520000</v>
      </c>
      <c r="AH4" s="340">
        <f>+AA4+AB4+AC4</f>
        <v>0</v>
      </c>
      <c r="AI4" s="343">
        <f>+AD4</f>
        <v>0</v>
      </c>
      <c r="AJ4" s="249"/>
      <c r="AK4" s="341">
        <f>(AE4+AF4+AG4)*1.1</f>
        <v>1672000.0000000002</v>
      </c>
      <c r="AL4" s="342">
        <f>+AK4+AI4+AH4</f>
        <v>1672000.0000000002</v>
      </c>
      <c r="AM4" s="349"/>
      <c r="AN4" s="241"/>
      <c r="AO4" s="241"/>
      <c r="AP4" s="241"/>
      <c r="AQ4" s="194"/>
      <c r="AR4" s="195"/>
      <c r="AS4" s="195"/>
      <c r="AT4" s="196">
        <v>1672000.0000000002</v>
      </c>
    </row>
    <row r="5" spans="1:46" ht="17.399999999999999">
      <c r="B5" s="253">
        <v>2</v>
      </c>
      <c r="C5" s="286" t="s">
        <v>392</v>
      </c>
      <c r="D5" s="245" t="s">
        <v>393</v>
      </c>
      <c r="E5" s="362" t="s">
        <v>428</v>
      </c>
      <c r="F5" s="363" t="s">
        <v>430</v>
      </c>
      <c r="G5" s="290"/>
      <c r="H5" s="230" t="s">
        <v>210</v>
      </c>
      <c r="I5" s="228"/>
      <c r="J5" s="228"/>
      <c r="K5" s="230">
        <v>1</v>
      </c>
      <c r="L5" s="230"/>
      <c r="M5" s="246"/>
      <c r="N5" s="287"/>
      <c r="O5" s="287"/>
      <c r="P5" s="287"/>
      <c r="Q5" s="287"/>
      <c r="R5" s="256"/>
      <c r="S5" s="256"/>
      <c r="T5" s="228"/>
      <c r="U5" s="293">
        <v>2712210591</v>
      </c>
      <c r="V5" s="245"/>
      <c r="W5" s="254"/>
      <c r="X5" s="254"/>
      <c r="Y5" s="352" t="s">
        <v>397</v>
      </c>
      <c r="Z5" s="245"/>
      <c r="AA5" s="453">
        <f>1227273*1.1</f>
        <v>1350000.3</v>
      </c>
      <c r="AB5" s="453">
        <f>959091*1.1</f>
        <v>1055000.1000000001</v>
      </c>
      <c r="AC5" s="248"/>
      <c r="AD5" s="247"/>
      <c r="AE5" s="349">
        <v>900000</v>
      </c>
      <c r="AF5" s="351">
        <v>3580000</v>
      </c>
      <c r="AG5" s="350"/>
      <c r="AH5" s="340">
        <f>+AA5+AB5+AC5</f>
        <v>2405000.4000000004</v>
      </c>
      <c r="AI5" s="343">
        <f>+AD5</f>
        <v>0</v>
      </c>
      <c r="AJ5" s="249"/>
      <c r="AK5" s="341">
        <f>(AE5+AF5+AG5)*1.1</f>
        <v>4928000</v>
      </c>
      <c r="AL5" s="342">
        <f>+AK5+AI5+AH5</f>
        <v>7333000.4000000004</v>
      </c>
      <c r="AM5" s="349">
        <f>+AA5+AB5</f>
        <v>2405000.4000000004</v>
      </c>
      <c r="AN5" s="241"/>
      <c r="AO5" s="241"/>
      <c r="AP5" s="241"/>
      <c r="AQ5" s="194"/>
      <c r="AR5" s="195"/>
      <c r="AS5" s="195"/>
      <c r="AT5" s="196">
        <v>4928000</v>
      </c>
    </row>
    <row r="6" spans="1:46" ht="17.399999999999999">
      <c r="B6" s="253">
        <v>3</v>
      </c>
      <c r="C6" s="286" t="s">
        <v>252</v>
      </c>
      <c r="D6" s="245">
        <v>44966</v>
      </c>
      <c r="E6" s="47" t="s">
        <v>271</v>
      </c>
      <c r="F6" s="288"/>
      <c r="G6" s="290" t="s">
        <v>299</v>
      </c>
      <c r="H6" s="230" t="s">
        <v>210</v>
      </c>
      <c r="I6" s="228"/>
      <c r="J6" s="228"/>
      <c r="K6" s="230">
        <v>1</v>
      </c>
      <c r="L6" s="230"/>
      <c r="M6" s="246"/>
      <c r="N6" s="287"/>
      <c r="O6" s="287"/>
      <c r="P6" s="287"/>
      <c r="Q6" s="287"/>
      <c r="R6" s="256"/>
      <c r="S6" s="256"/>
      <c r="T6" s="228"/>
      <c r="U6" s="293" t="s">
        <v>212</v>
      </c>
      <c r="V6" s="245"/>
      <c r="W6" s="254"/>
      <c r="X6" s="254"/>
      <c r="Y6" s="352" t="s">
        <v>398</v>
      </c>
      <c r="Z6" s="245"/>
      <c r="AA6" s="453">
        <f>836364*1.1</f>
        <v>920000.4</v>
      </c>
      <c r="AB6" s="453">
        <f>645000*1.1</f>
        <v>709500</v>
      </c>
      <c r="AC6" s="248"/>
      <c r="AD6" s="247"/>
      <c r="AE6" s="349">
        <v>900000</v>
      </c>
      <c r="AF6" s="351">
        <v>3580000</v>
      </c>
      <c r="AG6" s="349">
        <f>+(1200000+(21-10)*40000)</f>
        <v>1640000</v>
      </c>
      <c r="AH6" s="340">
        <f>+AA6+AB6+AC6</f>
        <v>1629500.4</v>
      </c>
      <c r="AI6" s="343">
        <f>+AD6</f>
        <v>0</v>
      </c>
      <c r="AJ6" s="249"/>
      <c r="AK6" s="341">
        <f>(AE6+AF6+AG6)*1.1</f>
        <v>6732000.0000000009</v>
      </c>
      <c r="AL6" s="342">
        <f>+AK6+AI6+AH6</f>
        <v>8361500.4000000004</v>
      </c>
      <c r="AM6" s="349">
        <f>+AA6+AB6</f>
        <v>1629500.4</v>
      </c>
      <c r="AN6" s="241"/>
      <c r="AO6" s="241"/>
      <c r="AP6" s="241"/>
      <c r="AQ6" s="194"/>
      <c r="AR6" s="195"/>
      <c r="AS6" s="195"/>
      <c r="AT6" s="196">
        <v>6732000.0000000009</v>
      </c>
    </row>
    <row r="7" spans="1:46" ht="17.399999999999999">
      <c r="B7" s="253">
        <v>4</v>
      </c>
      <c r="C7" s="286" t="s">
        <v>253</v>
      </c>
      <c r="D7" s="245">
        <v>44966</v>
      </c>
      <c r="E7" s="47" t="s">
        <v>272</v>
      </c>
      <c r="F7" s="288"/>
      <c r="G7" s="290" t="s">
        <v>299</v>
      </c>
      <c r="H7" s="230" t="s">
        <v>210</v>
      </c>
      <c r="I7" s="228"/>
      <c r="J7" s="228">
        <v>1</v>
      </c>
      <c r="K7" s="230"/>
      <c r="L7" s="230"/>
      <c r="M7" s="246"/>
      <c r="N7" s="287"/>
      <c r="O7" s="287"/>
      <c r="P7" s="287"/>
      <c r="Q7" s="287"/>
      <c r="R7" s="256"/>
      <c r="S7" s="256"/>
      <c r="T7" s="228"/>
      <c r="U7" s="293" t="s">
        <v>213</v>
      </c>
      <c r="V7" s="245"/>
      <c r="W7" s="254"/>
      <c r="X7" s="254"/>
      <c r="Y7" s="352" t="s">
        <v>399</v>
      </c>
      <c r="Z7" s="245"/>
      <c r="AA7" s="453">
        <f>790909*1.1</f>
        <v>869999.9</v>
      </c>
      <c r="AB7" s="453">
        <f>365000*1.1</f>
        <v>401500.00000000006</v>
      </c>
      <c r="AC7" s="248"/>
      <c r="AD7" s="247"/>
      <c r="AE7" s="349">
        <v>900000</v>
      </c>
      <c r="AF7" s="351">
        <v>3380000</v>
      </c>
      <c r="AG7" s="349">
        <v>1200000</v>
      </c>
      <c r="AH7" s="340">
        <f>+AA7+AB7+AC7</f>
        <v>1271499.9000000001</v>
      </c>
      <c r="AI7" s="343">
        <f>+AD7</f>
        <v>0</v>
      </c>
      <c r="AJ7" s="249"/>
      <c r="AK7" s="341">
        <f>(AE7+AF7+AG7)*1.1</f>
        <v>6028000.0000000009</v>
      </c>
      <c r="AL7" s="342">
        <f>+AK7+AI7+AH7</f>
        <v>7299499.9000000013</v>
      </c>
      <c r="AM7" s="349">
        <f>+AA7+AB7</f>
        <v>1271499.9000000001</v>
      </c>
      <c r="AN7" s="241"/>
      <c r="AO7" s="241"/>
      <c r="AP7" s="241"/>
      <c r="AQ7" s="194"/>
      <c r="AR7" s="195"/>
      <c r="AS7" s="195"/>
      <c r="AT7" s="196">
        <v>6028000.0000000009</v>
      </c>
    </row>
    <row r="8" spans="1:46" s="13" customFormat="1" ht="36" customHeight="1">
      <c r="A8" s="3297" t="s">
        <v>436</v>
      </c>
      <c r="B8" s="3298"/>
      <c r="C8" s="3298"/>
      <c r="D8" s="3298"/>
      <c r="E8" s="3298"/>
      <c r="F8" s="3298"/>
      <c r="G8" s="3298"/>
      <c r="H8" s="3298"/>
      <c r="I8" s="3298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54"/>
      <c r="V8" s="355"/>
      <c r="W8" s="356"/>
      <c r="X8" s="355"/>
      <c r="Y8" s="354"/>
      <c r="Z8" s="353"/>
      <c r="AA8" s="346"/>
      <c r="AB8" s="357"/>
      <c r="AC8" s="357"/>
      <c r="AD8" s="357"/>
      <c r="AE8" s="357"/>
      <c r="AF8" s="357"/>
      <c r="AG8" s="357"/>
      <c r="AH8" s="358">
        <f>SUM(AH4:AH7)</f>
        <v>5306000.7</v>
      </c>
      <c r="AI8" s="358">
        <f>SUM(AI2:AI7)</f>
        <v>0</v>
      </c>
      <c r="AJ8" s="359"/>
      <c r="AK8" s="358">
        <f>SUM(AK4:AK7)</f>
        <v>19360000</v>
      </c>
      <c r="AL8" s="358">
        <f>+AH8+AI8+AK8</f>
        <v>24666000.699999999</v>
      </c>
      <c r="AM8" s="357"/>
      <c r="AN8" s="357"/>
      <c r="AO8" s="357"/>
      <c r="AP8" s="357"/>
      <c r="AQ8" s="357"/>
      <c r="AR8" s="357"/>
      <c r="AS8" s="357"/>
    </row>
    <row r="9" spans="1:46" ht="34.799999999999997">
      <c r="B9" s="253">
        <v>1</v>
      </c>
      <c r="C9" s="286" t="s">
        <v>408</v>
      </c>
      <c r="D9" s="245">
        <v>44988</v>
      </c>
      <c r="E9" s="47" t="s">
        <v>531</v>
      </c>
      <c r="F9" s="230"/>
      <c r="G9" s="290" t="s">
        <v>535</v>
      </c>
      <c r="H9" s="230" t="s">
        <v>210</v>
      </c>
      <c r="I9" s="228"/>
      <c r="J9" s="228"/>
      <c r="K9" s="230">
        <v>1</v>
      </c>
      <c r="L9" s="230"/>
      <c r="M9" s="376" t="s">
        <v>123</v>
      </c>
      <c r="N9" s="230"/>
      <c r="O9" s="230"/>
      <c r="P9" s="230"/>
      <c r="Q9" s="230"/>
      <c r="R9" s="256"/>
      <c r="S9" s="257"/>
      <c r="T9" s="228"/>
      <c r="U9" s="228">
        <v>11349535</v>
      </c>
      <c r="V9" s="245"/>
      <c r="W9" s="254"/>
      <c r="X9" s="254"/>
      <c r="Y9" s="291" t="s">
        <v>409</v>
      </c>
      <c r="Z9" s="255"/>
      <c r="AA9" s="373">
        <f>840000*1.1</f>
        <v>924000.00000000012</v>
      </c>
      <c r="AB9" s="373">
        <f>954545*1.1</f>
        <v>1049999.5</v>
      </c>
      <c r="AC9" s="248"/>
      <c r="AD9" s="247"/>
      <c r="AE9" s="349">
        <f>900000+300000</f>
        <v>1200000</v>
      </c>
      <c r="AF9" s="351">
        <v>3580000</v>
      </c>
      <c r="AG9" s="248"/>
      <c r="AH9" s="340">
        <f>+AA9+AB9+AC9</f>
        <v>1973999.5</v>
      </c>
      <c r="AI9" s="343">
        <f>+AD9</f>
        <v>0</v>
      </c>
      <c r="AJ9" s="249" t="s">
        <v>417</v>
      </c>
      <c r="AK9" s="341">
        <f>(AE9+AF9+AG9)*1.1</f>
        <v>5258000</v>
      </c>
      <c r="AL9" s="342">
        <f>+AK9+AI9+AH9</f>
        <v>7231999.5</v>
      </c>
      <c r="AM9" s="349">
        <f>+AA9+AB9</f>
        <v>1973999.5</v>
      </c>
      <c r="AN9" s="241"/>
      <c r="AO9" s="241"/>
      <c r="AP9" s="241"/>
      <c r="AQ9" s="194"/>
      <c r="AR9" s="195"/>
      <c r="AS9" s="195"/>
    </row>
    <row r="10" spans="1:46" ht="34.799999999999997">
      <c r="B10" s="253">
        <v>2</v>
      </c>
      <c r="C10" s="286" t="s">
        <v>410</v>
      </c>
      <c r="D10" s="245">
        <v>44991</v>
      </c>
      <c r="E10" s="47" t="s">
        <v>532</v>
      </c>
      <c r="F10" s="230"/>
      <c r="G10" s="290" t="s">
        <v>535</v>
      </c>
      <c r="H10" s="230" t="s">
        <v>210</v>
      </c>
      <c r="I10" s="228"/>
      <c r="J10" s="228"/>
      <c r="K10" s="230">
        <v>1</v>
      </c>
      <c r="L10" s="230"/>
      <c r="M10" s="246" t="s">
        <v>108</v>
      </c>
      <c r="N10" s="230"/>
      <c r="O10" s="230"/>
      <c r="P10" s="230"/>
      <c r="Q10" s="230"/>
      <c r="R10" s="256"/>
      <c r="S10" s="257"/>
      <c r="T10" s="228"/>
      <c r="U10" s="228">
        <v>11349535</v>
      </c>
      <c r="V10" s="245"/>
      <c r="W10" s="254"/>
      <c r="X10" s="254"/>
      <c r="Y10" s="228" t="s">
        <v>411</v>
      </c>
      <c r="Z10" s="255"/>
      <c r="AA10" s="373">
        <f>840000*1.1</f>
        <v>924000.00000000012</v>
      </c>
      <c r="AB10" s="373">
        <f>954545*1.1</f>
        <v>1049999.5</v>
      </c>
      <c r="AC10" s="248"/>
      <c r="AD10" s="247"/>
      <c r="AE10" s="349">
        <f>900000+300000</f>
        <v>1200000</v>
      </c>
      <c r="AF10" s="351">
        <v>3580000</v>
      </c>
      <c r="AG10" s="248"/>
      <c r="AH10" s="340">
        <f>+AA10+AB10+AC10</f>
        <v>1973999.5</v>
      </c>
      <c r="AI10" s="343">
        <f>+AD10</f>
        <v>0</v>
      </c>
      <c r="AJ10" s="249" t="s">
        <v>417</v>
      </c>
      <c r="AK10" s="341">
        <f>(AE10+AF10+AG10)*1.1</f>
        <v>5258000</v>
      </c>
      <c r="AL10" s="342">
        <f>+AK10+AI10+AH10</f>
        <v>7231999.5</v>
      </c>
      <c r="AM10" s="349">
        <f>+AA10+AB10</f>
        <v>1973999.5</v>
      </c>
      <c r="AN10" s="241"/>
      <c r="AO10" s="241"/>
      <c r="AP10" s="241"/>
      <c r="AQ10" s="194"/>
      <c r="AR10" s="195"/>
      <c r="AS10" s="195"/>
    </row>
    <row r="11" spans="1:46" ht="17.399999999999999">
      <c r="B11" s="253">
        <v>3</v>
      </c>
      <c r="C11" s="286" t="s">
        <v>412</v>
      </c>
      <c r="D11" s="245">
        <v>44992</v>
      </c>
      <c r="E11" s="47" t="s">
        <v>533</v>
      </c>
      <c r="F11" s="230"/>
      <c r="G11" s="290" t="s">
        <v>535</v>
      </c>
      <c r="H11" s="230" t="s">
        <v>210</v>
      </c>
      <c r="I11" s="228"/>
      <c r="J11" s="228"/>
      <c r="K11" s="230">
        <v>1</v>
      </c>
      <c r="L11" s="230"/>
      <c r="M11" s="246" t="s">
        <v>108</v>
      </c>
      <c r="N11" s="230"/>
      <c r="O11" s="230"/>
      <c r="P11" s="230"/>
      <c r="Q11" s="230"/>
      <c r="R11" s="256"/>
      <c r="S11" s="257"/>
      <c r="T11" s="228"/>
      <c r="U11" s="228">
        <v>8035233140</v>
      </c>
      <c r="V11" s="245"/>
      <c r="W11" s="254"/>
      <c r="X11" s="254"/>
      <c r="Y11" s="228" t="s">
        <v>413</v>
      </c>
      <c r="Z11" s="255"/>
      <c r="AA11" s="373">
        <f>1227273*1.1</f>
        <v>1350000.3</v>
      </c>
      <c r="AB11" s="373">
        <f>954545*1.1</f>
        <v>1049999.5</v>
      </c>
      <c r="AC11" s="248"/>
      <c r="AD11" s="247"/>
      <c r="AE11" s="349">
        <v>900000</v>
      </c>
      <c r="AF11" s="351">
        <v>3580000</v>
      </c>
      <c r="AG11" s="248"/>
      <c r="AH11" s="340">
        <f t="shared" ref="AH11:AH23" si="0">+AA11+AB11+AC11</f>
        <v>2399999.7999999998</v>
      </c>
      <c r="AI11" s="343">
        <f t="shared" ref="AI11:AI23" si="1">+AD11</f>
        <v>0</v>
      </c>
      <c r="AJ11" s="249"/>
      <c r="AK11" s="341">
        <f t="shared" ref="AK11:AK23" si="2">(AE11+AF11+AG11)*1.1</f>
        <v>4928000</v>
      </c>
      <c r="AL11" s="342">
        <f t="shared" ref="AL11:AL23" si="3">+AK11+AI11+AH11</f>
        <v>7327999.7999999998</v>
      </c>
      <c r="AM11" s="349">
        <f>+AA11+AB11</f>
        <v>2399999.7999999998</v>
      </c>
      <c r="AN11" s="241"/>
      <c r="AO11" s="241"/>
      <c r="AP11" s="241"/>
      <c r="AQ11" s="194"/>
      <c r="AR11" s="195"/>
      <c r="AS11" s="195"/>
    </row>
    <row r="12" spans="1:46" ht="17.399999999999999">
      <c r="B12" s="253">
        <v>4</v>
      </c>
      <c r="C12" s="286" t="s">
        <v>414</v>
      </c>
      <c r="D12" s="245">
        <v>44993</v>
      </c>
      <c r="E12" s="47" t="s">
        <v>534</v>
      </c>
      <c r="F12" s="230"/>
      <c r="G12" s="290" t="s">
        <v>535</v>
      </c>
      <c r="H12" s="230" t="s">
        <v>210</v>
      </c>
      <c r="I12" s="228"/>
      <c r="J12" s="228"/>
      <c r="K12" s="230">
        <v>1</v>
      </c>
      <c r="L12" s="230"/>
      <c r="M12" s="376" t="s">
        <v>123</v>
      </c>
      <c r="N12" s="230"/>
      <c r="O12" s="230"/>
      <c r="P12" s="230"/>
      <c r="Q12" s="230"/>
      <c r="R12" s="256"/>
      <c r="S12" s="257"/>
      <c r="T12" s="228"/>
      <c r="U12" s="228" t="s">
        <v>530</v>
      </c>
      <c r="V12" s="245"/>
      <c r="W12" s="254"/>
      <c r="X12" s="254"/>
      <c r="Y12" s="228" t="s">
        <v>415</v>
      </c>
      <c r="Z12" s="255"/>
      <c r="AA12" s="373">
        <f>1227273*1.1</f>
        <v>1350000.3</v>
      </c>
      <c r="AB12" s="373">
        <f>954545*1.1</f>
        <v>1049999.5</v>
      </c>
      <c r="AC12" s="248"/>
      <c r="AD12" s="247"/>
      <c r="AE12" s="349">
        <v>900000</v>
      </c>
      <c r="AF12" s="351">
        <v>3580000</v>
      </c>
      <c r="AG12" s="248">
        <f>+(1200000+(14-10)*40000)</f>
        <v>1360000</v>
      </c>
      <c r="AH12" s="340">
        <f t="shared" si="0"/>
        <v>2399999.7999999998</v>
      </c>
      <c r="AI12" s="343">
        <f t="shared" si="1"/>
        <v>0</v>
      </c>
      <c r="AJ12" s="249" t="s">
        <v>416</v>
      </c>
      <c r="AK12" s="341">
        <f t="shared" si="2"/>
        <v>6424000.0000000009</v>
      </c>
      <c r="AL12" s="342">
        <f t="shared" si="3"/>
        <v>8823999.8000000007</v>
      </c>
      <c r="AM12" s="349">
        <f>+AA12+AB12</f>
        <v>2399999.7999999998</v>
      </c>
      <c r="AN12" s="241"/>
      <c r="AO12" s="241"/>
      <c r="AP12" s="241"/>
      <c r="AQ12" s="194"/>
      <c r="AR12" s="195"/>
      <c r="AS12" s="195"/>
    </row>
    <row r="13" spans="1:46" ht="18">
      <c r="B13" s="253">
        <v>5</v>
      </c>
      <c r="C13" s="364">
        <v>105325974830</v>
      </c>
      <c r="D13" s="365" t="s">
        <v>452</v>
      </c>
      <c r="E13" s="47" t="s">
        <v>540</v>
      </c>
      <c r="F13" s="230"/>
      <c r="G13" s="230" t="s">
        <v>377</v>
      </c>
      <c r="H13" s="230" t="s">
        <v>206</v>
      </c>
      <c r="I13" s="228"/>
      <c r="J13" s="228"/>
      <c r="K13" s="230"/>
      <c r="L13" s="230"/>
      <c r="M13" s="377" t="s">
        <v>136</v>
      </c>
      <c r="N13" s="230"/>
      <c r="O13" s="230"/>
      <c r="P13" s="230"/>
      <c r="Q13" s="230"/>
      <c r="R13" s="256"/>
      <c r="S13" s="257"/>
      <c r="T13" s="228"/>
      <c r="U13" s="228" t="s">
        <v>536</v>
      </c>
      <c r="V13" s="245"/>
      <c r="W13" s="254"/>
      <c r="X13" s="254"/>
      <c r="Y13" s="228"/>
      <c r="Z13" s="255"/>
      <c r="AA13" s="248"/>
      <c r="AB13" s="248"/>
      <c r="AC13" s="248"/>
      <c r="AD13" s="247"/>
      <c r="AE13" s="349">
        <v>900000</v>
      </c>
      <c r="AF13" s="228"/>
      <c r="AG13" s="248">
        <v>1500000</v>
      </c>
      <c r="AH13" s="340">
        <f t="shared" si="0"/>
        <v>0</v>
      </c>
      <c r="AI13" s="343">
        <f t="shared" si="1"/>
        <v>0</v>
      </c>
      <c r="AJ13" s="249" t="s">
        <v>539</v>
      </c>
      <c r="AK13" s="341">
        <f t="shared" si="2"/>
        <v>2640000</v>
      </c>
      <c r="AL13" s="342">
        <f t="shared" si="3"/>
        <v>2640000</v>
      </c>
      <c r="AM13" s="349"/>
      <c r="AN13" s="241"/>
      <c r="AO13" s="241"/>
      <c r="AP13" s="241"/>
      <c r="AQ13" s="194"/>
      <c r="AR13" s="195"/>
      <c r="AS13" s="195"/>
    </row>
    <row r="14" spans="1:46" ht="18">
      <c r="B14" s="253">
        <v>6</v>
      </c>
      <c r="C14" s="366">
        <v>105324562930</v>
      </c>
      <c r="D14" s="365" t="s">
        <v>452</v>
      </c>
      <c r="E14" s="47" t="s">
        <v>541</v>
      </c>
      <c r="F14" s="230"/>
      <c r="G14" s="230" t="s">
        <v>377</v>
      </c>
      <c r="H14" s="230" t="s">
        <v>206</v>
      </c>
      <c r="I14" s="228"/>
      <c r="J14" s="228"/>
      <c r="K14" s="230"/>
      <c r="L14" s="230"/>
      <c r="M14" s="376" t="s">
        <v>123</v>
      </c>
      <c r="N14" s="230"/>
      <c r="O14" s="230"/>
      <c r="P14" s="230"/>
      <c r="Q14" s="230"/>
      <c r="R14" s="256"/>
      <c r="S14" s="257"/>
      <c r="T14" s="228"/>
      <c r="U14" s="228" t="s">
        <v>537</v>
      </c>
      <c r="V14" s="245"/>
      <c r="W14" s="254"/>
      <c r="X14" s="254"/>
      <c r="Y14" s="228"/>
      <c r="Z14" s="255"/>
      <c r="AA14" s="248"/>
      <c r="AB14" s="248"/>
      <c r="AC14" s="248"/>
      <c r="AD14" s="247"/>
      <c r="AE14" s="349">
        <v>900000</v>
      </c>
      <c r="AF14" s="228"/>
      <c r="AG14" s="248"/>
      <c r="AH14" s="340">
        <f t="shared" si="0"/>
        <v>0</v>
      </c>
      <c r="AI14" s="343">
        <f t="shared" si="1"/>
        <v>0</v>
      </c>
      <c r="AJ14" s="249" t="s">
        <v>538</v>
      </c>
      <c r="AK14" s="341">
        <f t="shared" si="2"/>
        <v>990000.00000000012</v>
      </c>
      <c r="AL14" s="342">
        <f t="shared" si="3"/>
        <v>990000.00000000012</v>
      </c>
      <c r="AM14" s="349"/>
      <c r="AN14" s="241"/>
      <c r="AO14" s="241"/>
      <c r="AP14" s="241"/>
      <c r="AQ14" s="194"/>
      <c r="AR14" s="195"/>
      <c r="AS14" s="195"/>
    </row>
    <row r="15" spans="1:46" s="13" customFormat="1" ht="36" customHeight="1">
      <c r="A15" s="3297" t="s">
        <v>654</v>
      </c>
      <c r="B15" s="3298"/>
      <c r="C15" s="3298"/>
      <c r="D15" s="3298"/>
      <c r="E15" s="3298"/>
      <c r="F15" s="3298"/>
      <c r="G15" s="3298"/>
      <c r="H15" s="3298"/>
      <c r="I15" s="3298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54"/>
      <c r="V15" s="355"/>
      <c r="W15" s="356"/>
      <c r="X15" s="355"/>
      <c r="Y15" s="354"/>
      <c r="Z15" s="353"/>
      <c r="AA15" s="346"/>
      <c r="AB15" s="357"/>
      <c r="AC15" s="357"/>
      <c r="AD15" s="357"/>
      <c r="AE15" s="357"/>
      <c r="AF15" s="357"/>
      <c r="AG15" s="357"/>
      <c r="AH15" s="358">
        <f>SUM(AH9:AH14)</f>
        <v>8747998.5999999996</v>
      </c>
      <c r="AI15" s="358">
        <f>SUM(AI9:AI14)</f>
        <v>0</v>
      </c>
      <c r="AJ15" s="359"/>
      <c r="AK15" s="358">
        <f>SUM(AK9:AK14)</f>
        <v>25498000</v>
      </c>
      <c r="AL15" s="358">
        <f>+AH15+AI15+AK15</f>
        <v>34245998.600000001</v>
      </c>
      <c r="AM15" s="357"/>
      <c r="AN15" s="357"/>
      <c r="AO15" s="357"/>
      <c r="AP15" s="357"/>
      <c r="AQ15" s="357"/>
      <c r="AR15" s="357"/>
      <c r="AS15" s="357"/>
    </row>
    <row r="16" spans="1:46" ht="17.399999999999999">
      <c r="B16" s="253">
        <v>1</v>
      </c>
      <c r="C16" s="364">
        <v>105377855700</v>
      </c>
      <c r="D16" s="378" t="s">
        <v>776</v>
      </c>
      <c r="E16" s="47" t="s">
        <v>778</v>
      </c>
      <c r="F16" s="230"/>
      <c r="G16" s="290" t="s">
        <v>886</v>
      </c>
      <c r="H16" s="230" t="s">
        <v>206</v>
      </c>
      <c r="I16" s="228"/>
      <c r="J16" s="228"/>
      <c r="K16" s="230"/>
      <c r="L16" s="230"/>
      <c r="M16" s="377" t="s">
        <v>136</v>
      </c>
      <c r="N16" s="230"/>
      <c r="O16" s="230"/>
      <c r="P16" s="230"/>
      <c r="Q16" s="230"/>
      <c r="R16" s="256"/>
      <c r="S16" s="257"/>
      <c r="T16" s="228"/>
      <c r="U16" s="289" t="s">
        <v>777</v>
      </c>
      <c r="V16" s="245"/>
      <c r="W16" s="254"/>
      <c r="X16" s="254"/>
      <c r="Y16" s="228"/>
      <c r="Z16" s="255"/>
      <c r="AA16" s="248"/>
      <c r="AB16" s="248"/>
      <c r="AC16" s="248"/>
      <c r="AD16" s="247"/>
      <c r="AE16" s="349">
        <v>900000</v>
      </c>
      <c r="AF16" s="228"/>
      <c r="AG16" s="248"/>
      <c r="AH16" s="340">
        <f>+AA16+AB16+AC16</f>
        <v>0</v>
      </c>
      <c r="AI16" s="343">
        <f>+AD16</f>
        <v>0</v>
      </c>
      <c r="AJ16" s="249" t="s">
        <v>538</v>
      </c>
      <c r="AK16" s="341">
        <f>(AE16+AF16+AG16)*1.1</f>
        <v>990000.00000000012</v>
      </c>
      <c r="AL16" s="342">
        <f>+AK16+AI16+AH16</f>
        <v>990000.00000000012</v>
      </c>
      <c r="AM16" s="349"/>
      <c r="AN16" s="241"/>
      <c r="AO16" s="241"/>
      <c r="AP16" s="241"/>
      <c r="AQ16" s="194"/>
      <c r="AR16" s="440">
        <v>100000</v>
      </c>
      <c r="AS16" s="195"/>
    </row>
    <row r="17" spans="1:45" ht="17.399999999999999">
      <c r="B17" s="399">
        <v>2</v>
      </c>
      <c r="C17" s="400">
        <v>105382774450</v>
      </c>
      <c r="D17" s="401" t="s">
        <v>765</v>
      </c>
      <c r="E17" s="332" t="s">
        <v>767</v>
      </c>
      <c r="F17" s="402"/>
      <c r="G17" s="290" t="s">
        <v>886</v>
      </c>
      <c r="H17" s="402" t="s">
        <v>206</v>
      </c>
      <c r="I17" s="395"/>
      <c r="J17" s="395"/>
      <c r="K17" s="402"/>
      <c r="L17" s="402" t="s">
        <v>128</v>
      </c>
      <c r="M17" s="403" t="s">
        <v>108</v>
      </c>
      <c r="N17" s="402"/>
      <c r="O17" s="402"/>
      <c r="P17" s="402"/>
      <c r="Q17" s="402"/>
      <c r="R17" s="404"/>
      <c r="S17" s="405"/>
      <c r="T17" s="395"/>
      <c r="U17" s="395" t="s">
        <v>766</v>
      </c>
      <c r="V17" s="406"/>
      <c r="W17" s="407"/>
      <c r="X17" s="407"/>
      <c r="Y17" s="395"/>
      <c r="Z17" s="408"/>
      <c r="AA17" s="409"/>
      <c r="AB17" s="409"/>
      <c r="AC17" s="409"/>
      <c r="AD17" s="410"/>
      <c r="AE17" s="411">
        <v>900000</v>
      </c>
      <c r="AF17" s="395"/>
      <c r="AG17" s="409"/>
      <c r="AH17" s="412">
        <f>+AA17+AB17+AC17</f>
        <v>0</v>
      </c>
      <c r="AI17" s="413">
        <f>+AD17</f>
        <v>0</v>
      </c>
      <c r="AJ17" s="397" t="s">
        <v>538</v>
      </c>
      <c r="AK17" s="414">
        <f>(AE17+AF17+AG17)*1.1</f>
        <v>990000.00000000012</v>
      </c>
      <c r="AL17" s="415">
        <f>+AK17+AI17+AH17</f>
        <v>990000.00000000012</v>
      </c>
      <c r="AM17" s="349"/>
      <c r="AN17" s="416"/>
      <c r="AO17" s="416"/>
      <c r="AP17" s="416"/>
      <c r="AQ17" s="417"/>
      <c r="AR17" s="440">
        <v>100000</v>
      </c>
      <c r="AS17" s="418"/>
    </row>
    <row r="18" spans="1:45" ht="17.399999999999999">
      <c r="B18" s="253">
        <v>3</v>
      </c>
      <c r="C18" s="286" t="s">
        <v>753</v>
      </c>
      <c r="D18" s="245" t="s">
        <v>693</v>
      </c>
      <c r="E18" s="47" t="s">
        <v>825</v>
      </c>
      <c r="F18" s="230"/>
      <c r="G18" s="290" t="s">
        <v>886</v>
      </c>
      <c r="H18" s="230" t="s">
        <v>210</v>
      </c>
      <c r="I18" s="228"/>
      <c r="J18" s="228"/>
      <c r="K18" s="230"/>
      <c r="L18" s="230" t="s">
        <v>128</v>
      </c>
      <c r="M18" s="246" t="s">
        <v>108</v>
      </c>
      <c r="N18" s="230"/>
      <c r="O18" s="230"/>
      <c r="P18" s="230"/>
      <c r="Q18" s="230"/>
      <c r="R18" s="256"/>
      <c r="S18" s="257"/>
      <c r="T18" s="228"/>
      <c r="U18" s="228"/>
      <c r="V18" s="245"/>
      <c r="W18" s="254"/>
      <c r="X18" s="254"/>
      <c r="Y18" s="228"/>
      <c r="Z18" s="255"/>
      <c r="AA18" s="248"/>
      <c r="AB18" s="248"/>
      <c r="AC18" s="248"/>
      <c r="AD18" s="247"/>
      <c r="AE18" s="349">
        <v>900000</v>
      </c>
      <c r="AF18" s="351"/>
      <c r="AG18" s="248"/>
      <c r="AH18" s="340">
        <f>+AA18+AB18+AC18</f>
        <v>0</v>
      </c>
      <c r="AI18" s="343">
        <f>+AD18</f>
        <v>0</v>
      </c>
      <c r="AJ18" s="249" t="s">
        <v>538</v>
      </c>
      <c r="AK18" s="341">
        <f>(AE18+AF18+AG18)*1.1</f>
        <v>990000.00000000012</v>
      </c>
      <c r="AL18" s="342">
        <f>+AK18+AI18+AH18</f>
        <v>990000.00000000012</v>
      </c>
      <c r="AM18" s="349"/>
      <c r="AN18" s="241"/>
      <c r="AO18" s="241"/>
      <c r="AP18" s="241"/>
      <c r="AQ18" s="194"/>
      <c r="AR18" s="440">
        <v>100000</v>
      </c>
      <c r="AS18" s="195"/>
    </row>
    <row r="19" spans="1:45" ht="34.799999999999997">
      <c r="B19" s="399">
        <v>4</v>
      </c>
      <c r="C19" s="286" t="s">
        <v>676</v>
      </c>
      <c r="D19" s="378" t="s">
        <v>667</v>
      </c>
      <c r="E19" s="47" t="s">
        <v>678</v>
      </c>
      <c r="F19" s="230"/>
      <c r="G19" s="290" t="s">
        <v>886</v>
      </c>
      <c r="H19" s="230" t="s">
        <v>210</v>
      </c>
      <c r="I19" s="228"/>
      <c r="J19" s="228"/>
      <c r="K19" s="230">
        <v>1</v>
      </c>
      <c r="L19" s="230"/>
      <c r="M19" s="246" t="s">
        <v>108</v>
      </c>
      <c r="N19" s="230"/>
      <c r="O19" s="230"/>
      <c r="P19" s="230"/>
      <c r="Q19" s="230"/>
      <c r="R19" s="256"/>
      <c r="S19" s="257"/>
      <c r="T19" s="228"/>
      <c r="U19" s="228" t="s">
        <v>668</v>
      </c>
      <c r="V19" s="245"/>
      <c r="W19" s="254"/>
      <c r="X19" s="254"/>
      <c r="Y19" s="375" t="s">
        <v>677</v>
      </c>
      <c r="Z19" s="255"/>
      <c r="AA19" s="373">
        <v>1450000</v>
      </c>
      <c r="AB19" s="373">
        <v>709500</v>
      </c>
      <c r="AC19" s="248"/>
      <c r="AD19" s="247"/>
      <c r="AE19" s="349">
        <f>900000+300000</f>
        <v>1200000</v>
      </c>
      <c r="AF19" s="351">
        <v>3580000</v>
      </c>
      <c r="AG19" s="248"/>
      <c r="AH19" s="340">
        <f t="shared" si="0"/>
        <v>2159500</v>
      </c>
      <c r="AI19" s="343">
        <f t="shared" si="1"/>
        <v>0</v>
      </c>
      <c r="AJ19" s="249"/>
      <c r="AK19" s="341">
        <f t="shared" si="2"/>
        <v>5258000</v>
      </c>
      <c r="AL19" s="342">
        <f t="shared" si="3"/>
        <v>7417500</v>
      </c>
      <c r="AM19" s="349">
        <f>+AA19+AB19</f>
        <v>2159500</v>
      </c>
      <c r="AN19" s="241"/>
      <c r="AO19" s="241"/>
      <c r="AP19" s="241"/>
      <c r="AQ19" s="194"/>
      <c r="AR19" s="440">
        <v>200000</v>
      </c>
      <c r="AS19" s="195"/>
    </row>
    <row r="20" spans="1:45" ht="17.399999999999999">
      <c r="B20" s="253">
        <v>5</v>
      </c>
      <c r="C20" s="286" t="s">
        <v>760</v>
      </c>
      <c r="D20" s="378" t="s">
        <v>761</v>
      </c>
      <c r="E20" s="47" t="s">
        <v>764</v>
      </c>
      <c r="F20" s="230"/>
      <c r="G20" s="290" t="s">
        <v>886</v>
      </c>
      <c r="H20" s="230" t="s">
        <v>210</v>
      </c>
      <c r="I20" s="228"/>
      <c r="J20" s="228"/>
      <c r="K20" s="230">
        <v>1</v>
      </c>
      <c r="L20" s="230"/>
      <c r="M20" s="246" t="s">
        <v>108</v>
      </c>
      <c r="N20" s="230"/>
      <c r="O20" s="230"/>
      <c r="P20" s="230"/>
      <c r="Q20" s="230"/>
      <c r="R20" s="256"/>
      <c r="S20" s="257"/>
      <c r="T20" s="228"/>
      <c r="U20" s="289" t="s">
        <v>762</v>
      </c>
      <c r="V20" s="245"/>
      <c r="W20" s="254"/>
      <c r="X20" s="254"/>
      <c r="Y20" s="228" t="s">
        <v>763</v>
      </c>
      <c r="Z20" s="255"/>
      <c r="AA20" s="373">
        <v>1350000</v>
      </c>
      <c r="AB20" s="373">
        <v>1050000</v>
      </c>
      <c r="AC20" s="248"/>
      <c r="AD20" s="247"/>
      <c r="AE20" s="349">
        <v>900000</v>
      </c>
      <c r="AF20" s="351">
        <v>3580000</v>
      </c>
      <c r="AG20" s="248"/>
      <c r="AH20" s="340">
        <f t="shared" si="0"/>
        <v>2400000</v>
      </c>
      <c r="AI20" s="343">
        <f t="shared" si="1"/>
        <v>0</v>
      </c>
      <c r="AJ20" s="249"/>
      <c r="AK20" s="341">
        <f t="shared" si="2"/>
        <v>4928000</v>
      </c>
      <c r="AL20" s="342">
        <f t="shared" si="3"/>
        <v>7328000</v>
      </c>
      <c r="AM20" s="349">
        <f>+AA20+AB20</f>
        <v>2400000</v>
      </c>
      <c r="AN20" s="241"/>
      <c r="AO20" s="241"/>
      <c r="AP20" s="241"/>
      <c r="AQ20" s="194"/>
      <c r="AR20" s="440">
        <v>200000</v>
      </c>
      <c r="AS20" s="195"/>
    </row>
    <row r="21" spans="1:45" ht="17.399999999999999">
      <c r="B21" s="399">
        <v>6</v>
      </c>
      <c r="C21" s="286" t="s">
        <v>774</v>
      </c>
      <c r="D21" s="378" t="s">
        <v>768</v>
      </c>
      <c r="E21" s="47" t="s">
        <v>775</v>
      </c>
      <c r="F21" s="230"/>
      <c r="G21" s="290" t="s">
        <v>886</v>
      </c>
      <c r="H21" s="230" t="s">
        <v>210</v>
      </c>
      <c r="I21" s="228"/>
      <c r="J21" s="228"/>
      <c r="K21" s="230">
        <v>1</v>
      </c>
      <c r="L21" s="230"/>
      <c r="M21" s="246" t="s">
        <v>108</v>
      </c>
      <c r="N21" s="230"/>
      <c r="O21" s="230"/>
      <c r="P21" s="230"/>
      <c r="Q21" s="230"/>
      <c r="R21" s="256"/>
      <c r="S21" s="257"/>
      <c r="T21" s="228"/>
      <c r="U21" s="228" t="s">
        <v>772</v>
      </c>
      <c r="V21" s="245"/>
      <c r="W21" s="254"/>
      <c r="X21" s="254"/>
      <c r="Y21" s="375" t="s">
        <v>871</v>
      </c>
      <c r="Z21" s="255"/>
      <c r="AA21" s="373">
        <v>1450000</v>
      </c>
      <c r="AB21" s="373">
        <v>1055000</v>
      </c>
      <c r="AC21" s="248"/>
      <c r="AD21" s="247"/>
      <c r="AE21" s="349">
        <v>900000</v>
      </c>
      <c r="AF21" s="351">
        <v>3580000</v>
      </c>
      <c r="AG21" s="248"/>
      <c r="AH21" s="340">
        <f t="shared" si="0"/>
        <v>2505000</v>
      </c>
      <c r="AI21" s="343">
        <f t="shared" si="1"/>
        <v>0</v>
      </c>
      <c r="AJ21" s="249"/>
      <c r="AK21" s="341">
        <f t="shared" si="2"/>
        <v>4928000</v>
      </c>
      <c r="AL21" s="342">
        <f t="shared" si="3"/>
        <v>7433000</v>
      </c>
      <c r="AM21" s="349">
        <f>+AA21+AB21</f>
        <v>2505000</v>
      </c>
      <c r="AN21" s="241"/>
      <c r="AO21" s="241"/>
      <c r="AP21" s="241"/>
      <c r="AQ21" s="194"/>
      <c r="AR21" s="440">
        <v>200000</v>
      </c>
      <c r="AS21" s="195"/>
    </row>
    <row r="22" spans="1:45" ht="17.399999999999999">
      <c r="B22" s="253">
        <v>7</v>
      </c>
      <c r="C22" s="286" t="s">
        <v>826</v>
      </c>
      <c r="D22" s="245">
        <v>45028</v>
      </c>
      <c r="E22" s="387" t="s">
        <v>828</v>
      </c>
      <c r="F22" s="230"/>
      <c r="G22" s="228" t="s">
        <v>965</v>
      </c>
      <c r="H22" s="230" t="s">
        <v>210</v>
      </c>
      <c r="I22" s="228"/>
      <c r="J22" s="228"/>
      <c r="K22" s="230">
        <v>1</v>
      </c>
      <c r="L22" s="230"/>
      <c r="M22" s="246" t="s">
        <v>108</v>
      </c>
      <c r="N22" s="230"/>
      <c r="O22" s="230"/>
      <c r="P22" s="230"/>
      <c r="Q22" s="230"/>
      <c r="R22" s="256"/>
      <c r="S22" s="257"/>
      <c r="T22" s="228"/>
      <c r="U22" s="228" t="s">
        <v>772</v>
      </c>
      <c r="V22" s="245"/>
      <c r="W22" s="254"/>
      <c r="X22" s="254"/>
      <c r="Y22" s="375" t="s">
        <v>827</v>
      </c>
      <c r="Z22" s="255"/>
      <c r="AA22" s="373">
        <v>1450000</v>
      </c>
      <c r="AB22" s="373">
        <v>2110000</v>
      </c>
      <c r="AC22" s="248"/>
      <c r="AD22" s="247"/>
      <c r="AE22" s="349">
        <v>900000</v>
      </c>
      <c r="AF22" s="351">
        <v>3580000</v>
      </c>
      <c r="AG22" s="248"/>
      <c r="AH22" s="340">
        <f t="shared" si="0"/>
        <v>3560000</v>
      </c>
      <c r="AI22" s="343">
        <f t="shared" si="1"/>
        <v>0</v>
      </c>
      <c r="AJ22" s="249"/>
      <c r="AK22" s="341">
        <f t="shared" si="2"/>
        <v>4928000</v>
      </c>
      <c r="AL22" s="342">
        <f t="shared" si="3"/>
        <v>8488000</v>
      </c>
      <c r="AM22" s="349">
        <f>+AA22+AB22</f>
        <v>3560000</v>
      </c>
      <c r="AN22" s="241"/>
      <c r="AO22" s="241"/>
      <c r="AP22" s="241"/>
      <c r="AQ22" s="194"/>
      <c r="AR22" s="440">
        <v>200000</v>
      </c>
      <c r="AS22" s="195"/>
    </row>
    <row r="23" spans="1:45" ht="34.799999999999997">
      <c r="B23" s="399">
        <v>8</v>
      </c>
      <c r="C23" s="286" t="s">
        <v>829</v>
      </c>
      <c r="D23" s="245">
        <v>45028</v>
      </c>
      <c r="E23" s="387" t="s">
        <v>831</v>
      </c>
      <c r="F23" s="230"/>
      <c r="G23" s="228" t="s">
        <v>965</v>
      </c>
      <c r="H23" s="230" t="s">
        <v>210</v>
      </c>
      <c r="I23" s="228"/>
      <c r="J23" s="228"/>
      <c r="K23" s="230">
        <v>1</v>
      </c>
      <c r="L23" s="230"/>
      <c r="M23" s="376" t="s">
        <v>123</v>
      </c>
      <c r="N23" s="230"/>
      <c r="O23" s="230"/>
      <c r="P23" s="230"/>
      <c r="Q23" s="230"/>
      <c r="R23" s="256"/>
      <c r="S23" s="257"/>
      <c r="T23" s="228"/>
      <c r="U23" s="228" t="s">
        <v>772</v>
      </c>
      <c r="V23" s="245"/>
      <c r="W23" s="254"/>
      <c r="X23" s="254"/>
      <c r="Y23" s="375" t="s">
        <v>830</v>
      </c>
      <c r="Z23" s="255"/>
      <c r="AA23" s="373">
        <v>1450000</v>
      </c>
      <c r="AB23" s="248"/>
      <c r="AC23" s="248"/>
      <c r="AD23" s="247"/>
      <c r="AE23" s="349">
        <f>900000+300000</f>
        <v>1200000</v>
      </c>
      <c r="AF23" s="351">
        <v>3580000</v>
      </c>
      <c r="AG23" s="248"/>
      <c r="AH23" s="340">
        <f t="shared" si="0"/>
        <v>1450000</v>
      </c>
      <c r="AI23" s="343">
        <f t="shared" si="1"/>
        <v>0</v>
      </c>
      <c r="AJ23" s="249"/>
      <c r="AK23" s="341">
        <f t="shared" si="2"/>
        <v>5258000</v>
      </c>
      <c r="AL23" s="342">
        <f t="shared" si="3"/>
        <v>6708000</v>
      </c>
      <c r="AM23" s="349">
        <f>+AA23</f>
        <v>1450000</v>
      </c>
      <c r="AN23" s="241"/>
      <c r="AO23" s="241"/>
      <c r="AP23" s="241"/>
      <c r="AQ23" s="194"/>
      <c r="AR23" s="440">
        <v>200000</v>
      </c>
      <c r="AS23" s="195"/>
    </row>
    <row r="24" spans="1:45" ht="17.399999999999999">
      <c r="B24" s="253">
        <v>9</v>
      </c>
      <c r="C24" s="390" t="s">
        <v>844</v>
      </c>
      <c r="D24" s="245" t="s">
        <v>845</v>
      </c>
      <c r="E24" s="387" t="s">
        <v>847</v>
      </c>
      <c r="F24" s="230"/>
      <c r="G24" s="228" t="s">
        <v>965</v>
      </c>
      <c r="H24" s="230" t="s">
        <v>210</v>
      </c>
      <c r="I24" s="228"/>
      <c r="J24" s="228"/>
      <c r="K24" s="230">
        <v>1</v>
      </c>
      <c r="L24" s="230"/>
      <c r="M24" s="246" t="s">
        <v>108</v>
      </c>
      <c r="N24" s="230"/>
      <c r="O24" s="230"/>
      <c r="P24" s="230"/>
      <c r="Q24" s="230"/>
      <c r="R24" s="256"/>
      <c r="S24" s="257"/>
      <c r="T24" s="228"/>
      <c r="U24" s="228">
        <v>2716792970</v>
      </c>
      <c r="V24" s="245"/>
      <c r="W24" s="254"/>
      <c r="X24" s="254"/>
      <c r="Y24" s="375" t="s">
        <v>859</v>
      </c>
      <c r="Z24" s="255"/>
      <c r="AA24" s="373">
        <v>1200000</v>
      </c>
      <c r="AB24" s="373">
        <v>4220000</v>
      </c>
      <c r="AC24" s="248"/>
      <c r="AD24" s="247"/>
      <c r="AE24" s="349">
        <v>900000</v>
      </c>
      <c r="AF24" s="351">
        <v>3580000</v>
      </c>
      <c r="AG24" s="248"/>
      <c r="AH24" s="340">
        <f t="shared" ref="AH24:AH34" si="4">+AA24+AB24+AC24</f>
        <v>5420000</v>
      </c>
      <c r="AI24" s="343">
        <f t="shared" ref="AI24:AI34" si="5">+AD24</f>
        <v>0</v>
      </c>
      <c r="AJ24" s="249"/>
      <c r="AK24" s="341">
        <f t="shared" ref="AK24:AK34" si="6">(AE24+AF24+AG24)*1.1</f>
        <v>4928000</v>
      </c>
      <c r="AL24" s="342">
        <f t="shared" ref="AL24:AL34" si="7">+AK24+AI24+AH24</f>
        <v>10348000</v>
      </c>
      <c r="AM24" s="349">
        <f>+AA24+AB24</f>
        <v>5420000</v>
      </c>
      <c r="AN24" s="241"/>
      <c r="AO24" s="241"/>
      <c r="AP24" s="241"/>
      <c r="AQ24" s="194"/>
      <c r="AR24" s="440">
        <v>200000</v>
      </c>
      <c r="AS24" s="195"/>
    </row>
    <row r="25" spans="1:45" ht="17.399999999999999">
      <c r="B25" s="399">
        <v>10</v>
      </c>
      <c r="C25" s="390" t="s">
        <v>842</v>
      </c>
      <c r="D25" s="245" t="s">
        <v>845</v>
      </c>
      <c r="E25" s="387" t="s">
        <v>848</v>
      </c>
      <c r="F25" s="230"/>
      <c r="G25" s="228" t="s">
        <v>965</v>
      </c>
      <c r="H25" s="230" t="s">
        <v>210</v>
      </c>
      <c r="I25" s="228"/>
      <c r="J25" s="228"/>
      <c r="K25" s="230">
        <v>1</v>
      </c>
      <c r="L25" s="230"/>
      <c r="M25" s="246" t="s">
        <v>108</v>
      </c>
      <c r="N25" s="230"/>
      <c r="O25" s="230"/>
      <c r="P25" s="230"/>
      <c r="Q25" s="230"/>
      <c r="R25" s="256"/>
      <c r="S25" s="257"/>
      <c r="T25" s="228"/>
      <c r="U25" s="228">
        <v>2716792970</v>
      </c>
      <c r="V25" s="245"/>
      <c r="W25" s="254"/>
      <c r="X25" s="254"/>
      <c r="Y25" s="375" t="s">
        <v>843</v>
      </c>
      <c r="Z25" s="255"/>
      <c r="AA25" s="373">
        <v>1200000</v>
      </c>
      <c r="AB25" s="248"/>
      <c r="AC25" s="248"/>
      <c r="AD25" s="247"/>
      <c r="AE25" s="349">
        <v>900000</v>
      </c>
      <c r="AF25" s="351">
        <v>3580000</v>
      </c>
      <c r="AG25" s="248"/>
      <c r="AH25" s="340">
        <f t="shared" si="4"/>
        <v>1200000</v>
      </c>
      <c r="AI25" s="343">
        <f t="shared" si="5"/>
        <v>0</v>
      </c>
      <c r="AJ25" s="249"/>
      <c r="AK25" s="341">
        <f t="shared" si="6"/>
        <v>4928000</v>
      </c>
      <c r="AL25" s="342">
        <f t="shared" si="7"/>
        <v>6128000</v>
      </c>
      <c r="AM25" s="349">
        <f>+AA25+AB25</f>
        <v>1200000</v>
      </c>
      <c r="AN25" s="241"/>
      <c r="AO25" s="241"/>
      <c r="AP25" s="241"/>
      <c r="AQ25" s="194"/>
      <c r="AR25" s="440">
        <v>200000</v>
      </c>
      <c r="AS25" s="195"/>
    </row>
    <row r="26" spans="1:45" ht="17.399999999999999">
      <c r="B26" s="253">
        <v>11</v>
      </c>
      <c r="C26" s="390" t="s">
        <v>839</v>
      </c>
      <c r="D26" s="245" t="s">
        <v>840</v>
      </c>
      <c r="E26" s="387" t="s">
        <v>846</v>
      </c>
      <c r="F26" s="230"/>
      <c r="G26" s="228" t="s">
        <v>965</v>
      </c>
      <c r="H26" s="230" t="s">
        <v>210</v>
      </c>
      <c r="I26" s="228"/>
      <c r="J26" s="228"/>
      <c r="K26" s="230">
        <v>1</v>
      </c>
      <c r="L26" s="230"/>
      <c r="M26" s="246" t="s">
        <v>108</v>
      </c>
      <c r="N26" s="230"/>
      <c r="O26" s="230"/>
      <c r="P26" s="230"/>
      <c r="Q26" s="230"/>
      <c r="R26" s="256"/>
      <c r="S26" s="257"/>
      <c r="T26" s="228"/>
      <c r="U26" s="228">
        <v>2716792970</v>
      </c>
      <c r="V26" s="245"/>
      <c r="W26" s="254"/>
      <c r="X26" s="254"/>
      <c r="Y26" s="375" t="s">
        <v>841</v>
      </c>
      <c r="Z26" s="255"/>
      <c r="AA26" s="373">
        <v>1200000</v>
      </c>
      <c r="AB26" s="248"/>
      <c r="AC26" s="248"/>
      <c r="AD26" s="247"/>
      <c r="AE26" s="349">
        <v>900000</v>
      </c>
      <c r="AF26" s="351">
        <v>3580000</v>
      </c>
      <c r="AG26" s="248"/>
      <c r="AH26" s="340">
        <f t="shared" si="4"/>
        <v>1200000</v>
      </c>
      <c r="AI26" s="343">
        <f t="shared" si="5"/>
        <v>0</v>
      </c>
      <c r="AJ26" s="249"/>
      <c r="AK26" s="341">
        <f t="shared" si="6"/>
        <v>4928000</v>
      </c>
      <c r="AL26" s="342">
        <f t="shared" si="7"/>
        <v>6128000</v>
      </c>
      <c r="AM26" s="349">
        <f t="shared" ref="AM26:AM34" si="8">+AA26+AB26</f>
        <v>1200000</v>
      </c>
      <c r="AN26" s="241"/>
      <c r="AO26" s="241"/>
      <c r="AP26" s="241"/>
      <c r="AQ26" s="194"/>
      <c r="AR26" s="440">
        <v>200000</v>
      </c>
      <c r="AS26" s="195"/>
    </row>
    <row r="27" spans="1:45" ht="16.5" customHeight="1">
      <c r="B27" s="399">
        <v>12</v>
      </c>
      <c r="C27" s="392" t="s">
        <v>849</v>
      </c>
      <c r="D27" s="245" t="s">
        <v>850</v>
      </c>
      <c r="E27" s="387" t="s">
        <v>852</v>
      </c>
      <c r="F27" s="230"/>
      <c r="G27" s="228" t="s">
        <v>965</v>
      </c>
      <c r="H27" s="230" t="s">
        <v>210</v>
      </c>
      <c r="I27" s="228"/>
      <c r="J27" s="228"/>
      <c r="K27" s="230">
        <v>1</v>
      </c>
      <c r="L27" s="230"/>
      <c r="M27" s="246" t="s">
        <v>108</v>
      </c>
      <c r="N27" s="230"/>
      <c r="O27" s="230"/>
      <c r="P27" s="230"/>
      <c r="Q27" s="230"/>
      <c r="R27" s="256"/>
      <c r="S27" s="257"/>
      <c r="T27" s="228"/>
      <c r="U27" s="228">
        <v>2716792970</v>
      </c>
      <c r="V27" s="245"/>
      <c r="W27" s="254"/>
      <c r="X27" s="254"/>
      <c r="Y27" s="375" t="s">
        <v>851</v>
      </c>
      <c r="Z27" s="255"/>
      <c r="AA27" s="373">
        <v>1200000</v>
      </c>
      <c r="AB27" s="248"/>
      <c r="AC27" s="248"/>
      <c r="AD27" s="247"/>
      <c r="AE27" s="349">
        <v>900000</v>
      </c>
      <c r="AF27" s="351">
        <v>3580000</v>
      </c>
      <c r="AG27" s="248"/>
      <c r="AH27" s="340">
        <f t="shared" si="4"/>
        <v>1200000</v>
      </c>
      <c r="AI27" s="343">
        <f t="shared" si="5"/>
        <v>0</v>
      </c>
      <c r="AJ27" s="249"/>
      <c r="AK27" s="341">
        <f t="shared" si="6"/>
        <v>4928000</v>
      </c>
      <c r="AL27" s="342">
        <f t="shared" si="7"/>
        <v>6128000</v>
      </c>
      <c r="AM27" s="349">
        <f t="shared" si="8"/>
        <v>1200000</v>
      </c>
      <c r="AN27" s="241"/>
      <c r="AO27" s="241"/>
      <c r="AP27" s="241"/>
      <c r="AQ27" s="194"/>
      <c r="AR27" s="440">
        <v>200000</v>
      </c>
      <c r="AS27" s="195"/>
    </row>
    <row r="28" spans="1:45">
      <c r="B28" s="253">
        <v>13</v>
      </c>
      <c r="C28" s="392" t="s">
        <v>855</v>
      </c>
      <c r="D28" s="245" t="s">
        <v>850</v>
      </c>
      <c r="E28" s="387" t="s">
        <v>858</v>
      </c>
      <c r="F28" s="230"/>
      <c r="G28" s="228" t="s">
        <v>965</v>
      </c>
      <c r="H28" s="230" t="s">
        <v>210</v>
      </c>
      <c r="I28" s="228"/>
      <c r="J28" s="228"/>
      <c r="K28" s="230">
        <v>1</v>
      </c>
      <c r="L28" s="230"/>
      <c r="M28" s="246" t="s">
        <v>108</v>
      </c>
      <c r="N28" s="230"/>
      <c r="O28" s="230"/>
      <c r="P28" s="230"/>
      <c r="Q28" s="230"/>
      <c r="R28" s="256"/>
      <c r="S28" s="257"/>
      <c r="T28" s="228"/>
      <c r="U28" s="228" t="s">
        <v>856</v>
      </c>
      <c r="V28" s="245"/>
      <c r="W28" s="254"/>
      <c r="X28" s="254"/>
      <c r="Y28" s="375" t="s">
        <v>857</v>
      </c>
      <c r="Z28" s="255"/>
      <c r="AA28" s="373">
        <v>1450000</v>
      </c>
      <c r="AB28" s="373">
        <v>1050000</v>
      </c>
      <c r="AC28" s="248"/>
      <c r="AD28" s="247"/>
      <c r="AE28" s="349">
        <v>900000</v>
      </c>
      <c r="AF28" s="351">
        <v>3580000</v>
      </c>
      <c r="AG28" s="248"/>
      <c r="AH28" s="340">
        <f t="shared" si="4"/>
        <v>2500000</v>
      </c>
      <c r="AI28" s="343">
        <f t="shared" si="5"/>
        <v>0</v>
      </c>
      <c r="AJ28" s="249"/>
      <c r="AK28" s="341">
        <f t="shared" si="6"/>
        <v>4928000</v>
      </c>
      <c r="AL28" s="342">
        <f t="shared" si="7"/>
        <v>7428000</v>
      </c>
      <c r="AM28" s="349">
        <f t="shared" si="8"/>
        <v>2500000</v>
      </c>
      <c r="AN28" s="241"/>
      <c r="AO28" s="241"/>
      <c r="AP28" s="241"/>
      <c r="AQ28" s="194"/>
      <c r="AR28" s="440">
        <v>200000</v>
      </c>
      <c r="AS28" s="195"/>
    </row>
    <row r="29" spans="1:45" ht="31.2">
      <c r="B29" s="399">
        <v>14</v>
      </c>
      <c r="C29" s="393" t="s">
        <v>862</v>
      </c>
      <c r="D29" s="245">
        <v>45034</v>
      </c>
      <c r="E29" s="391" t="s">
        <v>863</v>
      </c>
      <c r="F29" s="230"/>
      <c r="G29" s="228" t="s">
        <v>965</v>
      </c>
      <c r="H29" s="230" t="s">
        <v>210</v>
      </c>
      <c r="I29" s="228"/>
      <c r="J29" s="228"/>
      <c r="K29" s="230">
        <v>1</v>
      </c>
      <c r="L29" s="230"/>
      <c r="M29" s="376" t="s">
        <v>123</v>
      </c>
      <c r="N29" s="230"/>
      <c r="O29" s="230"/>
      <c r="P29" s="230"/>
      <c r="Q29" s="230"/>
      <c r="R29" s="256"/>
      <c r="S29" s="257"/>
      <c r="T29" s="228"/>
      <c r="U29" s="228" t="s">
        <v>861</v>
      </c>
      <c r="V29" s="245"/>
      <c r="W29" s="254"/>
      <c r="X29" s="254"/>
      <c r="Y29" s="375" t="s">
        <v>860</v>
      </c>
      <c r="Z29" s="255"/>
      <c r="AA29" s="373">
        <v>920000</v>
      </c>
      <c r="AB29" s="373">
        <v>709500</v>
      </c>
      <c r="AC29" s="248"/>
      <c r="AD29" s="247"/>
      <c r="AE29" s="349">
        <f t="shared" ref="AE29:AE34" si="9">900000+300000</f>
        <v>1200000</v>
      </c>
      <c r="AF29" s="351">
        <v>3580000</v>
      </c>
      <c r="AG29" s="248">
        <v>1200000</v>
      </c>
      <c r="AH29" s="340">
        <f t="shared" si="4"/>
        <v>1629500</v>
      </c>
      <c r="AI29" s="343">
        <f t="shared" si="5"/>
        <v>0</v>
      </c>
      <c r="AJ29" s="249" t="s">
        <v>416</v>
      </c>
      <c r="AK29" s="341">
        <f t="shared" si="6"/>
        <v>6578000.0000000009</v>
      </c>
      <c r="AL29" s="342">
        <f t="shared" si="7"/>
        <v>8207500.0000000009</v>
      </c>
      <c r="AM29" s="349">
        <f t="shared" si="8"/>
        <v>1629500</v>
      </c>
      <c r="AN29" s="241"/>
      <c r="AO29" s="241"/>
      <c r="AP29" s="241"/>
      <c r="AQ29" s="194"/>
      <c r="AR29" s="440">
        <v>200000</v>
      </c>
      <c r="AS29" s="195"/>
    </row>
    <row r="30" spans="1:45" s="195" customFormat="1" ht="31.2">
      <c r="A30" s="193"/>
      <c r="B30" s="253">
        <v>15</v>
      </c>
      <c r="C30" s="432" t="s">
        <v>875</v>
      </c>
      <c r="D30" s="363" t="s">
        <v>872</v>
      </c>
      <c r="E30" s="387" t="s">
        <v>874</v>
      </c>
      <c r="F30" s="230"/>
      <c r="G30" s="228" t="s">
        <v>965</v>
      </c>
      <c r="H30" s="230" t="s">
        <v>748</v>
      </c>
      <c r="I30" s="228"/>
      <c r="J30" s="228"/>
      <c r="K30" s="230">
        <v>1</v>
      </c>
      <c r="L30" s="230"/>
      <c r="M30" s="376" t="s">
        <v>947</v>
      </c>
      <c r="N30" s="230"/>
      <c r="O30" s="230"/>
      <c r="P30" s="230"/>
      <c r="Q30" s="230"/>
      <c r="R30" s="247"/>
      <c r="S30" s="246"/>
      <c r="T30" s="228"/>
      <c r="U30" s="228">
        <v>2717182770</v>
      </c>
      <c r="V30" s="258"/>
      <c r="W30" s="228"/>
      <c r="X30" s="228"/>
      <c r="Y30" s="375" t="s">
        <v>873</v>
      </c>
      <c r="Z30" s="255"/>
      <c r="AA30" s="373">
        <v>1450000</v>
      </c>
      <c r="AB30" s="373">
        <v>2110000</v>
      </c>
      <c r="AC30" s="248"/>
      <c r="AD30" s="247"/>
      <c r="AE30" s="349">
        <f t="shared" si="9"/>
        <v>1200000</v>
      </c>
      <c r="AF30" s="351">
        <v>3580000</v>
      </c>
      <c r="AG30" s="248"/>
      <c r="AH30" s="412">
        <f t="shared" si="4"/>
        <v>3560000</v>
      </c>
      <c r="AI30" s="413">
        <f t="shared" si="5"/>
        <v>0</v>
      </c>
      <c r="AJ30" s="249"/>
      <c r="AK30" s="414">
        <f t="shared" si="6"/>
        <v>5258000</v>
      </c>
      <c r="AL30" s="415">
        <f t="shared" si="7"/>
        <v>8818000</v>
      </c>
      <c r="AM30" s="349">
        <f t="shared" si="8"/>
        <v>3560000</v>
      </c>
      <c r="AN30" s="241"/>
      <c r="AO30" s="241"/>
      <c r="AP30" s="241"/>
      <c r="AQ30" s="194"/>
      <c r="AR30" s="440">
        <v>200000</v>
      </c>
    </row>
    <row r="31" spans="1:45" ht="31.2">
      <c r="B31" s="399">
        <v>16</v>
      </c>
      <c r="C31" s="432" t="s">
        <v>876</v>
      </c>
      <c r="D31" s="363" t="s">
        <v>872</v>
      </c>
      <c r="E31" s="430" t="s">
        <v>877</v>
      </c>
      <c r="F31" s="419"/>
      <c r="G31" s="228" t="s">
        <v>965</v>
      </c>
      <c r="H31" s="419" t="s">
        <v>210</v>
      </c>
      <c r="I31" s="396"/>
      <c r="J31" s="396"/>
      <c r="K31" s="419">
        <v>1</v>
      </c>
      <c r="L31" s="419"/>
      <c r="M31" s="376" t="s">
        <v>947</v>
      </c>
      <c r="N31" s="419"/>
      <c r="O31" s="419"/>
      <c r="P31" s="419"/>
      <c r="Q31" s="419"/>
      <c r="R31" s="421"/>
      <c r="S31" s="422"/>
      <c r="T31" s="396"/>
      <c r="U31" s="228">
        <v>2717182770</v>
      </c>
      <c r="V31" s="420"/>
      <c r="W31" s="423"/>
      <c r="X31" s="423"/>
      <c r="Y31" s="437" t="s">
        <v>943</v>
      </c>
      <c r="Z31" s="424"/>
      <c r="AA31" s="373">
        <v>1450000</v>
      </c>
      <c r="AB31" s="425"/>
      <c r="AC31" s="425"/>
      <c r="AD31" s="426"/>
      <c r="AE31" s="349">
        <f t="shared" si="9"/>
        <v>1200000</v>
      </c>
      <c r="AF31" s="351">
        <v>3580000</v>
      </c>
      <c r="AG31" s="425"/>
      <c r="AH31" s="412">
        <f t="shared" si="4"/>
        <v>1450000</v>
      </c>
      <c r="AI31" s="413">
        <f t="shared" si="5"/>
        <v>0</v>
      </c>
      <c r="AJ31" s="398"/>
      <c r="AK31" s="414">
        <f t="shared" si="6"/>
        <v>5258000</v>
      </c>
      <c r="AL31" s="415">
        <f t="shared" si="7"/>
        <v>6708000</v>
      </c>
      <c r="AM31" s="349">
        <f t="shared" si="8"/>
        <v>1450000</v>
      </c>
      <c r="AN31" s="428"/>
      <c r="AO31" s="428"/>
      <c r="AP31" s="428"/>
      <c r="AQ31" s="427"/>
      <c r="AR31" s="440">
        <v>200000</v>
      </c>
      <c r="AS31" s="429"/>
    </row>
    <row r="32" spans="1:45" ht="31.2">
      <c r="B32" s="253">
        <v>17</v>
      </c>
      <c r="C32" s="393" t="s">
        <v>951</v>
      </c>
      <c r="D32" s="245" t="s">
        <v>881</v>
      </c>
      <c r="E32" s="391" t="s">
        <v>957</v>
      </c>
      <c r="F32" s="230"/>
      <c r="G32" s="230" t="s">
        <v>377</v>
      </c>
      <c r="H32" s="419" t="s">
        <v>210</v>
      </c>
      <c r="I32" s="228"/>
      <c r="J32" s="228"/>
      <c r="K32" s="419">
        <v>1</v>
      </c>
      <c r="L32" s="230"/>
      <c r="M32" s="376" t="s">
        <v>947</v>
      </c>
      <c r="N32" s="230"/>
      <c r="O32" s="230"/>
      <c r="P32" s="230"/>
      <c r="Q32" s="230"/>
      <c r="R32" s="256"/>
      <c r="S32" s="257"/>
      <c r="T32" s="228"/>
      <c r="U32" s="228" t="s">
        <v>946</v>
      </c>
      <c r="V32" s="245"/>
      <c r="W32" s="254"/>
      <c r="X32" s="254"/>
      <c r="Y32" s="228" t="s">
        <v>955</v>
      </c>
      <c r="Z32" s="255"/>
      <c r="AA32" s="373">
        <v>920000</v>
      </c>
      <c r="AB32" s="373">
        <v>709500</v>
      </c>
      <c r="AC32" s="425"/>
      <c r="AD32" s="247"/>
      <c r="AE32" s="349">
        <f t="shared" si="9"/>
        <v>1200000</v>
      </c>
      <c r="AF32" s="351">
        <v>3580000</v>
      </c>
      <c r="AG32" s="248"/>
      <c r="AH32" s="412">
        <f t="shared" si="4"/>
        <v>1629500</v>
      </c>
      <c r="AI32" s="413">
        <f t="shared" si="5"/>
        <v>0</v>
      </c>
      <c r="AJ32" s="249"/>
      <c r="AK32" s="414">
        <f t="shared" si="6"/>
        <v>5258000</v>
      </c>
      <c r="AL32" s="415">
        <f t="shared" si="7"/>
        <v>6887500</v>
      </c>
      <c r="AM32" s="349">
        <f t="shared" si="8"/>
        <v>1629500</v>
      </c>
      <c r="AN32" s="241"/>
      <c r="AO32" s="241"/>
      <c r="AP32" s="241"/>
      <c r="AQ32" s="194"/>
      <c r="AR32" s="440">
        <v>200000</v>
      </c>
      <c r="AS32" s="195"/>
    </row>
    <row r="33" spans="1:45" ht="31.2">
      <c r="B33" s="399">
        <v>18</v>
      </c>
      <c r="C33" s="432" t="s">
        <v>950</v>
      </c>
      <c r="D33" s="245" t="s">
        <v>881</v>
      </c>
      <c r="E33" s="391" t="s">
        <v>956</v>
      </c>
      <c r="F33" s="230"/>
      <c r="G33" s="230" t="s">
        <v>377</v>
      </c>
      <c r="H33" s="419" t="s">
        <v>210</v>
      </c>
      <c r="I33" s="228"/>
      <c r="J33" s="228"/>
      <c r="K33" s="419">
        <v>1</v>
      </c>
      <c r="L33" s="230"/>
      <c r="M33" s="376" t="s">
        <v>947</v>
      </c>
      <c r="N33" s="230"/>
      <c r="O33" s="230"/>
      <c r="P33" s="230"/>
      <c r="Q33" s="230"/>
      <c r="R33" s="256"/>
      <c r="S33" s="257"/>
      <c r="T33" s="228"/>
      <c r="U33" s="228" t="s">
        <v>944</v>
      </c>
      <c r="V33" s="245"/>
      <c r="W33" s="254"/>
      <c r="X33" s="254"/>
      <c r="Y33" s="228" t="s">
        <v>945</v>
      </c>
      <c r="Z33" s="255"/>
      <c r="AA33" s="373">
        <v>1450000</v>
      </c>
      <c r="AB33" s="373">
        <v>1050000</v>
      </c>
      <c r="AC33" s="248"/>
      <c r="AD33" s="247"/>
      <c r="AE33" s="349">
        <f t="shared" si="9"/>
        <v>1200000</v>
      </c>
      <c r="AF33" s="351">
        <v>3580000</v>
      </c>
      <c r="AG33" s="248"/>
      <c r="AH33" s="412">
        <f t="shared" si="4"/>
        <v>2500000</v>
      </c>
      <c r="AI33" s="413">
        <f t="shared" si="5"/>
        <v>0</v>
      </c>
      <c r="AJ33" s="249"/>
      <c r="AK33" s="414">
        <f t="shared" si="6"/>
        <v>5258000</v>
      </c>
      <c r="AL33" s="415">
        <f t="shared" si="7"/>
        <v>7758000</v>
      </c>
      <c r="AM33" s="349">
        <f t="shared" si="8"/>
        <v>2500000</v>
      </c>
      <c r="AN33" s="241"/>
      <c r="AO33" s="241"/>
      <c r="AP33" s="241"/>
      <c r="AQ33" s="194"/>
      <c r="AR33" s="440">
        <v>200000</v>
      </c>
      <c r="AS33" s="195"/>
    </row>
    <row r="34" spans="1:45" ht="31.2">
      <c r="B34" s="253">
        <v>19</v>
      </c>
      <c r="C34" s="393" t="s">
        <v>953</v>
      </c>
      <c r="D34" s="245" t="s">
        <v>910</v>
      </c>
      <c r="E34" s="391" t="s">
        <v>958</v>
      </c>
      <c r="F34" s="230"/>
      <c r="G34" s="230" t="s">
        <v>377</v>
      </c>
      <c r="H34" s="230" t="s">
        <v>748</v>
      </c>
      <c r="I34" s="228"/>
      <c r="J34" s="228"/>
      <c r="K34" s="230">
        <v>1</v>
      </c>
      <c r="L34" s="230"/>
      <c r="M34" s="434" t="s">
        <v>108</v>
      </c>
      <c r="N34" s="230"/>
      <c r="O34" s="230"/>
      <c r="P34" s="230"/>
      <c r="Q34" s="230"/>
      <c r="R34" s="256"/>
      <c r="S34" s="257"/>
      <c r="T34" s="228"/>
      <c r="U34" s="228" t="s">
        <v>954</v>
      </c>
      <c r="V34" s="245"/>
      <c r="W34" s="254"/>
      <c r="X34" s="254"/>
      <c r="Y34" s="228" t="s">
        <v>952</v>
      </c>
      <c r="Z34" s="255"/>
      <c r="AA34" s="373">
        <v>920000</v>
      </c>
      <c r="AB34" s="373">
        <v>1055000</v>
      </c>
      <c r="AC34" s="248"/>
      <c r="AD34" s="247"/>
      <c r="AE34" s="349">
        <f t="shared" si="9"/>
        <v>1200000</v>
      </c>
      <c r="AF34" s="351">
        <v>3580000</v>
      </c>
      <c r="AG34" s="248"/>
      <c r="AH34" s="412">
        <f t="shared" si="4"/>
        <v>1975000</v>
      </c>
      <c r="AI34" s="413">
        <f t="shared" si="5"/>
        <v>0</v>
      </c>
      <c r="AJ34" s="249"/>
      <c r="AK34" s="414">
        <f t="shared" si="6"/>
        <v>5258000</v>
      </c>
      <c r="AL34" s="415">
        <f t="shared" si="7"/>
        <v>7233000</v>
      </c>
      <c r="AM34" s="349">
        <f t="shared" si="8"/>
        <v>1975000</v>
      </c>
      <c r="AN34" s="241"/>
      <c r="AO34" s="241"/>
      <c r="AP34" s="241"/>
      <c r="AQ34" s="194"/>
      <c r="AR34" s="440">
        <v>200000</v>
      </c>
      <c r="AS34" s="195"/>
    </row>
    <row r="35" spans="1:45" ht="29.25" customHeight="1">
      <c r="A35" s="3297" t="s">
        <v>867</v>
      </c>
      <c r="B35" s="3298"/>
      <c r="C35" s="3298"/>
      <c r="D35" s="3298"/>
      <c r="E35" s="3298"/>
      <c r="F35" s="3298"/>
      <c r="G35" s="3298"/>
      <c r="H35" s="3298"/>
      <c r="I35" s="3298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54"/>
      <c r="V35" s="355"/>
      <c r="W35" s="356"/>
      <c r="X35" s="355"/>
      <c r="Y35" s="354"/>
      <c r="Z35" s="353"/>
      <c r="AA35" s="346"/>
      <c r="AB35" s="357"/>
      <c r="AC35" s="357"/>
      <c r="AD35" s="357"/>
      <c r="AE35" s="357"/>
      <c r="AF35" s="357"/>
      <c r="AG35" s="357"/>
      <c r="AH35" s="358">
        <f>SUM(AH18:AH34)</f>
        <v>36338500</v>
      </c>
      <c r="AI35" s="358">
        <f>SUM(AI18:AI34)</f>
        <v>0</v>
      </c>
      <c r="AJ35" s="359"/>
      <c r="AK35" s="358">
        <f>SUM(AK18:AK34)</f>
        <v>83798000</v>
      </c>
      <c r="AL35" s="358">
        <f>SUM(AL18:AL34)</f>
        <v>120136500</v>
      </c>
      <c r="AM35" s="357"/>
      <c r="AN35" s="357"/>
      <c r="AO35" s="357"/>
      <c r="AP35" s="357"/>
      <c r="AQ35" s="357"/>
      <c r="AR35" s="357"/>
      <c r="AS35" s="357"/>
    </row>
    <row r="36" spans="1:45">
      <c r="B36" s="253"/>
      <c r="C36" s="230"/>
      <c r="D36" s="245"/>
      <c r="E36" s="230"/>
      <c r="F36" s="230"/>
      <c r="G36" s="230"/>
      <c r="H36" s="230"/>
      <c r="I36" s="228"/>
      <c r="J36" s="228"/>
      <c r="K36" s="230"/>
      <c r="L36" s="230"/>
      <c r="M36" s="246"/>
      <c r="N36" s="230"/>
      <c r="O36" s="230"/>
      <c r="P36" s="230"/>
      <c r="Q36" s="230"/>
      <c r="R36" s="256"/>
      <c r="S36" s="257"/>
      <c r="T36" s="228"/>
      <c r="U36" s="228"/>
      <c r="V36" s="245"/>
      <c r="W36" s="254"/>
      <c r="X36" s="254"/>
      <c r="Y36" s="228"/>
      <c r="Z36" s="255"/>
      <c r="AA36" s="248"/>
      <c r="AB36" s="248"/>
      <c r="AC36" s="248"/>
      <c r="AD36" s="247"/>
      <c r="AE36" s="228"/>
      <c r="AF36" s="228"/>
      <c r="AG36" s="248"/>
      <c r="AH36" s="248"/>
      <c r="AI36" s="194"/>
      <c r="AJ36" s="249"/>
      <c r="AK36" s="250"/>
      <c r="AL36" s="251"/>
      <c r="AM36" s="252"/>
      <c r="AN36" s="241"/>
      <c r="AO36" s="241"/>
      <c r="AP36" s="241"/>
      <c r="AQ36" s="194"/>
      <c r="AR36" s="195"/>
      <c r="AS36" s="195"/>
    </row>
    <row r="37" spans="1:45">
      <c r="B37" s="253"/>
      <c r="C37" s="230"/>
      <c r="D37" s="245"/>
      <c r="E37" s="230"/>
      <c r="F37" s="230"/>
      <c r="G37" s="230"/>
      <c r="H37" s="230"/>
      <c r="I37" s="228"/>
      <c r="J37" s="228"/>
      <c r="K37" s="230"/>
      <c r="L37" s="230"/>
      <c r="M37" s="246"/>
      <c r="N37" s="230"/>
      <c r="O37" s="230"/>
      <c r="P37" s="230"/>
      <c r="Q37" s="230"/>
      <c r="R37" s="256"/>
      <c r="S37" s="257"/>
      <c r="T37" s="228"/>
      <c r="U37" s="228"/>
      <c r="V37" s="245"/>
      <c r="W37" s="254"/>
      <c r="X37" s="254"/>
      <c r="Y37" s="228"/>
      <c r="Z37" s="255"/>
      <c r="AA37" s="248"/>
      <c r="AB37" s="248"/>
      <c r="AC37" s="248"/>
      <c r="AD37" s="247"/>
      <c r="AE37" s="228"/>
      <c r="AF37" s="228"/>
      <c r="AG37" s="248"/>
      <c r="AH37" s="248"/>
      <c r="AI37" s="194"/>
      <c r="AJ37" s="249"/>
      <c r="AK37" s="250"/>
      <c r="AL37" s="251"/>
      <c r="AM37" s="252"/>
      <c r="AN37" s="241"/>
      <c r="AO37" s="241"/>
      <c r="AP37" s="241"/>
      <c r="AQ37" s="194"/>
      <c r="AR37" s="195"/>
      <c r="AS37" s="195"/>
    </row>
    <row r="38" spans="1:45">
      <c r="B38" s="253"/>
      <c r="C38" s="230"/>
      <c r="D38" s="245"/>
      <c r="E38" s="230"/>
      <c r="F38" s="230"/>
      <c r="G38" s="230"/>
      <c r="H38" s="230"/>
      <c r="I38" s="228"/>
      <c r="J38" s="228"/>
      <c r="K38" s="230"/>
      <c r="L38" s="230"/>
      <c r="M38" s="246"/>
      <c r="N38" s="230"/>
      <c r="O38" s="230"/>
      <c r="P38" s="230"/>
      <c r="Q38" s="230"/>
      <c r="R38" s="256"/>
      <c r="S38" s="257"/>
      <c r="T38" s="228"/>
      <c r="U38" s="228"/>
      <c r="V38" s="245"/>
      <c r="W38" s="254"/>
      <c r="X38" s="254"/>
      <c r="Y38" s="228"/>
      <c r="Z38" s="255"/>
      <c r="AA38" s="248"/>
      <c r="AB38" s="248"/>
      <c r="AC38" s="248"/>
      <c r="AD38" s="247"/>
      <c r="AE38" s="228"/>
      <c r="AF38" s="228"/>
      <c r="AG38" s="248"/>
      <c r="AH38" s="248"/>
      <c r="AI38" s="194"/>
      <c r="AJ38" s="249"/>
      <c r="AK38" s="250"/>
      <c r="AL38" s="251"/>
      <c r="AM38" s="252"/>
      <c r="AN38" s="241"/>
      <c r="AO38" s="241"/>
      <c r="AP38" s="241"/>
      <c r="AQ38" s="194"/>
      <c r="AR38" s="195"/>
      <c r="AS38" s="195"/>
    </row>
    <row r="39" spans="1:45">
      <c r="B39" s="253"/>
      <c r="C39" s="230"/>
      <c r="D39" s="245"/>
      <c r="E39" s="230"/>
      <c r="F39" s="230"/>
      <c r="G39" s="230"/>
      <c r="H39" s="230"/>
      <c r="I39" s="228"/>
      <c r="J39" s="228"/>
      <c r="K39" s="230"/>
      <c r="L39" s="230"/>
      <c r="M39" s="246"/>
      <c r="N39" s="230"/>
      <c r="O39" s="230"/>
      <c r="P39" s="230"/>
      <c r="Q39" s="230"/>
      <c r="R39" s="256"/>
      <c r="S39" s="257"/>
      <c r="T39" s="228"/>
      <c r="U39" s="228"/>
      <c r="V39" s="245"/>
      <c r="W39" s="254"/>
      <c r="X39" s="254"/>
      <c r="Y39" s="228"/>
      <c r="Z39" s="255"/>
      <c r="AA39" s="248"/>
      <c r="AB39" s="248"/>
      <c r="AC39" s="248"/>
      <c r="AD39" s="247"/>
      <c r="AE39" s="228"/>
      <c r="AF39" s="228"/>
      <c r="AG39" s="248"/>
      <c r="AH39" s="248"/>
      <c r="AI39" s="194"/>
      <c r="AJ39" s="249"/>
      <c r="AK39" s="250"/>
      <c r="AL39" s="251"/>
      <c r="AM39" s="252"/>
      <c r="AN39" s="241"/>
      <c r="AO39" s="241"/>
      <c r="AP39" s="241"/>
      <c r="AQ39" s="194"/>
      <c r="AR39" s="195"/>
      <c r="AS39" s="195"/>
    </row>
    <row r="40" spans="1:45">
      <c r="B40" s="253"/>
      <c r="C40" s="230"/>
      <c r="D40" s="245"/>
      <c r="E40" s="230"/>
      <c r="F40" s="230"/>
      <c r="G40" s="230"/>
      <c r="H40" s="230"/>
      <c r="I40" s="228"/>
      <c r="J40" s="228"/>
      <c r="K40" s="230"/>
      <c r="L40" s="230"/>
      <c r="M40" s="246"/>
      <c r="N40" s="230"/>
      <c r="O40" s="230"/>
      <c r="P40" s="230"/>
      <c r="Q40" s="230"/>
      <c r="R40" s="256"/>
      <c r="S40" s="257"/>
      <c r="T40" s="228"/>
      <c r="U40" s="228"/>
      <c r="V40" s="245"/>
      <c r="W40" s="254"/>
      <c r="X40" s="254"/>
      <c r="Y40" s="228"/>
      <c r="Z40" s="255"/>
      <c r="AA40" s="248"/>
      <c r="AB40" s="248"/>
      <c r="AC40" s="248"/>
      <c r="AD40" s="247"/>
      <c r="AE40" s="228"/>
      <c r="AF40" s="228"/>
      <c r="AG40" s="248"/>
      <c r="AH40" s="248"/>
      <c r="AI40" s="194"/>
      <c r="AJ40" s="249"/>
      <c r="AK40" s="250"/>
      <c r="AL40" s="251"/>
      <c r="AM40" s="252"/>
      <c r="AN40" s="241"/>
      <c r="AO40" s="241"/>
      <c r="AP40" s="241"/>
      <c r="AQ40" s="194"/>
      <c r="AR40" s="195"/>
      <c r="AS40" s="195"/>
    </row>
    <row r="41" spans="1:45">
      <c r="B41" s="253"/>
      <c r="C41" s="230"/>
      <c r="D41" s="245"/>
      <c r="E41" s="230"/>
      <c r="F41" s="230"/>
      <c r="G41" s="230"/>
      <c r="H41" s="230"/>
      <c r="I41" s="228"/>
      <c r="J41" s="228"/>
      <c r="K41" s="230"/>
      <c r="L41" s="230"/>
      <c r="M41" s="246"/>
      <c r="N41" s="230"/>
      <c r="O41" s="230"/>
      <c r="P41" s="230"/>
      <c r="Q41" s="230"/>
      <c r="R41" s="256"/>
      <c r="S41" s="257"/>
      <c r="T41" s="228"/>
      <c r="U41" s="228"/>
      <c r="V41" s="245"/>
      <c r="W41" s="254"/>
      <c r="X41" s="254"/>
      <c r="Y41" s="228"/>
      <c r="Z41" s="255"/>
      <c r="AA41" s="248"/>
      <c r="AB41" s="248"/>
      <c r="AC41" s="248"/>
      <c r="AD41" s="247"/>
      <c r="AE41" s="228"/>
      <c r="AF41" s="228"/>
      <c r="AG41" s="248"/>
      <c r="AH41" s="248"/>
      <c r="AI41" s="194"/>
      <c r="AJ41" s="249"/>
      <c r="AK41" s="250"/>
      <c r="AL41" s="251"/>
      <c r="AM41" s="252"/>
      <c r="AN41" s="241"/>
      <c r="AO41" s="241"/>
      <c r="AP41" s="241"/>
      <c r="AQ41" s="194"/>
      <c r="AR41" s="195"/>
      <c r="AS41" s="195"/>
    </row>
    <row r="42" spans="1:45">
      <c r="B42" s="253"/>
      <c r="C42" s="230"/>
      <c r="D42" s="245"/>
      <c r="E42" s="230"/>
      <c r="F42" s="230"/>
      <c r="G42" s="230"/>
      <c r="H42" s="230"/>
      <c r="I42" s="228"/>
      <c r="J42" s="228"/>
      <c r="K42" s="230"/>
      <c r="L42" s="230"/>
      <c r="M42" s="246"/>
      <c r="N42" s="230"/>
      <c r="O42" s="230"/>
      <c r="P42" s="230"/>
      <c r="Q42" s="230"/>
      <c r="R42" s="256"/>
      <c r="S42" s="257"/>
      <c r="T42" s="228"/>
      <c r="U42" s="228"/>
      <c r="V42" s="245"/>
      <c r="W42" s="254"/>
      <c r="X42" s="254"/>
      <c r="Y42" s="228"/>
      <c r="Z42" s="255"/>
      <c r="AA42" s="248"/>
      <c r="AB42" s="248"/>
      <c r="AC42" s="248"/>
      <c r="AD42" s="247"/>
      <c r="AE42" s="228"/>
      <c r="AF42" s="228"/>
      <c r="AG42" s="248"/>
      <c r="AH42" s="248"/>
      <c r="AI42" s="194"/>
      <c r="AJ42" s="249"/>
      <c r="AK42" s="250"/>
      <c r="AL42" s="251"/>
      <c r="AM42" s="252"/>
      <c r="AN42" s="241"/>
      <c r="AO42" s="241"/>
      <c r="AP42" s="241"/>
      <c r="AQ42" s="194"/>
      <c r="AR42" s="195"/>
      <c r="AS42" s="195"/>
    </row>
    <row r="43" spans="1:45">
      <c r="B43" s="253"/>
      <c r="C43" s="230"/>
      <c r="D43" s="245"/>
      <c r="E43" s="230"/>
      <c r="F43" s="230"/>
      <c r="G43" s="230"/>
      <c r="H43" s="230"/>
      <c r="I43" s="228"/>
      <c r="J43" s="228"/>
      <c r="K43" s="230"/>
      <c r="L43" s="230"/>
      <c r="M43" s="246"/>
      <c r="N43" s="230"/>
      <c r="O43" s="230"/>
      <c r="P43" s="230"/>
      <c r="Q43" s="230"/>
      <c r="R43" s="256"/>
      <c r="S43" s="257"/>
      <c r="T43" s="228"/>
      <c r="U43" s="228"/>
      <c r="V43" s="245"/>
      <c r="W43" s="254"/>
      <c r="X43" s="254"/>
      <c r="Y43" s="228"/>
      <c r="Z43" s="255"/>
      <c r="AA43" s="248"/>
      <c r="AB43" s="248"/>
      <c r="AC43" s="248"/>
      <c r="AD43" s="247"/>
      <c r="AE43" s="228"/>
      <c r="AF43" s="228"/>
      <c r="AG43" s="248"/>
      <c r="AH43" s="248"/>
      <c r="AI43" s="194"/>
      <c r="AJ43" s="249"/>
      <c r="AK43" s="250"/>
      <c r="AL43" s="251"/>
      <c r="AM43" s="252"/>
      <c r="AN43" s="241"/>
      <c r="AO43" s="241"/>
      <c r="AP43" s="241"/>
      <c r="AQ43" s="194"/>
      <c r="AR43" s="195"/>
      <c r="AS43" s="195"/>
    </row>
    <row r="44" spans="1:45">
      <c r="B44" s="253"/>
      <c r="C44" s="230"/>
      <c r="D44" s="245"/>
      <c r="E44" s="230"/>
      <c r="F44" s="230"/>
      <c r="G44" s="230"/>
      <c r="H44" s="230"/>
      <c r="I44" s="228"/>
      <c r="J44" s="228"/>
      <c r="K44" s="230"/>
      <c r="L44" s="230"/>
      <c r="M44" s="246"/>
      <c r="N44" s="230"/>
      <c r="O44" s="230"/>
      <c r="P44" s="230"/>
      <c r="Q44" s="230"/>
      <c r="R44" s="256"/>
      <c r="S44" s="257"/>
      <c r="T44" s="228"/>
      <c r="U44" s="228"/>
      <c r="V44" s="245"/>
      <c r="W44" s="254"/>
      <c r="X44" s="254"/>
      <c r="Y44" s="228"/>
      <c r="Z44" s="255"/>
      <c r="AA44" s="248"/>
      <c r="AB44" s="248"/>
      <c r="AC44" s="248"/>
      <c r="AD44" s="247"/>
      <c r="AE44" s="228"/>
      <c r="AF44" s="228"/>
      <c r="AG44" s="248"/>
      <c r="AH44" s="248"/>
      <c r="AI44" s="194"/>
      <c r="AJ44" s="249"/>
      <c r="AK44" s="250"/>
      <c r="AL44" s="251"/>
      <c r="AM44" s="252"/>
      <c r="AN44" s="241"/>
      <c r="AO44" s="241"/>
      <c r="AP44" s="241"/>
      <c r="AQ44" s="194"/>
      <c r="AR44" s="195"/>
      <c r="AS44" s="195"/>
    </row>
    <row r="45" spans="1:45">
      <c r="B45" s="253"/>
      <c r="C45" s="230"/>
      <c r="D45" s="245"/>
      <c r="E45" s="230"/>
      <c r="F45" s="230"/>
      <c r="G45" s="230"/>
      <c r="H45" s="230"/>
      <c r="I45" s="228"/>
      <c r="J45" s="228"/>
      <c r="K45" s="230"/>
      <c r="L45" s="230"/>
      <c r="M45" s="246"/>
      <c r="N45" s="230"/>
      <c r="O45" s="230"/>
      <c r="P45" s="230"/>
      <c r="Q45" s="230"/>
      <c r="R45" s="256"/>
      <c r="S45" s="257"/>
      <c r="T45" s="228"/>
      <c r="U45" s="228"/>
      <c r="V45" s="245"/>
      <c r="W45" s="254"/>
      <c r="X45" s="254"/>
      <c r="Y45" s="228"/>
      <c r="Z45" s="255"/>
      <c r="AA45" s="248"/>
      <c r="AB45" s="248"/>
      <c r="AC45" s="248"/>
      <c r="AD45" s="247"/>
      <c r="AE45" s="228"/>
      <c r="AF45" s="228"/>
      <c r="AG45" s="248"/>
      <c r="AH45" s="248"/>
      <c r="AI45" s="194"/>
      <c r="AJ45" s="249"/>
      <c r="AK45" s="250"/>
      <c r="AL45" s="251"/>
      <c r="AM45" s="252"/>
      <c r="AN45" s="241"/>
      <c r="AO45" s="241"/>
      <c r="AP45" s="241"/>
      <c r="AQ45" s="194"/>
      <c r="AR45" s="195"/>
      <c r="AS45" s="195"/>
    </row>
    <row r="46" spans="1:45">
      <c r="B46" s="253"/>
      <c r="C46" s="230"/>
      <c r="D46" s="245"/>
      <c r="E46" s="230"/>
      <c r="F46" s="230"/>
      <c r="G46" s="230"/>
      <c r="H46" s="230"/>
      <c r="I46" s="228"/>
      <c r="J46" s="228"/>
      <c r="K46" s="230"/>
      <c r="L46" s="230"/>
      <c r="M46" s="246"/>
      <c r="N46" s="230"/>
      <c r="O46" s="230"/>
      <c r="P46" s="230"/>
      <c r="Q46" s="230"/>
      <c r="R46" s="256"/>
      <c r="S46" s="257"/>
      <c r="T46" s="228"/>
      <c r="U46" s="228"/>
      <c r="V46" s="245"/>
      <c r="W46" s="254"/>
      <c r="X46" s="254"/>
      <c r="Y46" s="228"/>
      <c r="Z46" s="255"/>
      <c r="AA46" s="248"/>
      <c r="AB46" s="248"/>
      <c r="AC46" s="248"/>
      <c r="AD46" s="247"/>
      <c r="AE46" s="228"/>
      <c r="AF46" s="228"/>
      <c r="AG46" s="248"/>
      <c r="AH46" s="248"/>
      <c r="AI46" s="194"/>
      <c r="AJ46" s="249"/>
      <c r="AK46" s="250"/>
      <c r="AL46" s="251"/>
      <c r="AM46" s="252"/>
      <c r="AN46" s="241"/>
      <c r="AO46" s="241"/>
      <c r="AP46" s="241"/>
      <c r="AQ46" s="194"/>
      <c r="AR46" s="195"/>
      <c r="AS46" s="195"/>
    </row>
    <row r="47" spans="1:45">
      <c r="B47" s="253"/>
      <c r="C47" s="230"/>
      <c r="D47" s="245"/>
      <c r="E47" s="230"/>
      <c r="F47" s="230"/>
      <c r="G47" s="230"/>
      <c r="H47" s="230"/>
      <c r="I47" s="228"/>
      <c r="J47" s="228"/>
      <c r="K47" s="230"/>
      <c r="L47" s="230"/>
      <c r="M47" s="246"/>
      <c r="N47" s="230"/>
      <c r="O47" s="230"/>
      <c r="P47" s="230"/>
      <c r="Q47" s="230"/>
      <c r="R47" s="256"/>
      <c r="S47" s="257"/>
      <c r="T47" s="228"/>
      <c r="U47" s="228"/>
      <c r="V47" s="245"/>
      <c r="W47" s="254"/>
      <c r="X47" s="254"/>
      <c r="Y47" s="228"/>
      <c r="Z47" s="255"/>
      <c r="AA47" s="248"/>
      <c r="AB47" s="248"/>
      <c r="AC47" s="248"/>
      <c r="AD47" s="247"/>
      <c r="AE47" s="228"/>
      <c r="AF47" s="228"/>
      <c r="AG47" s="248"/>
      <c r="AH47" s="248"/>
      <c r="AI47" s="194"/>
      <c r="AJ47" s="249"/>
      <c r="AK47" s="250"/>
      <c r="AL47" s="251"/>
      <c r="AM47" s="252"/>
      <c r="AN47" s="241"/>
      <c r="AO47" s="241"/>
      <c r="AP47" s="241"/>
      <c r="AQ47" s="194"/>
      <c r="AR47" s="195"/>
      <c r="AS47" s="195"/>
    </row>
    <row r="48" spans="1:45">
      <c r="B48" s="253"/>
      <c r="C48" s="230"/>
      <c r="D48" s="245"/>
      <c r="E48" s="230"/>
      <c r="F48" s="230"/>
      <c r="G48" s="230"/>
      <c r="H48" s="230"/>
      <c r="I48" s="228"/>
      <c r="J48" s="228"/>
      <c r="K48" s="230"/>
      <c r="L48" s="230"/>
      <c r="M48" s="246"/>
      <c r="N48" s="230"/>
      <c r="O48" s="230"/>
      <c r="P48" s="230"/>
      <c r="Q48" s="230"/>
      <c r="R48" s="256"/>
      <c r="S48" s="257"/>
      <c r="T48" s="228"/>
      <c r="U48" s="228"/>
      <c r="V48" s="245"/>
      <c r="W48" s="254"/>
      <c r="X48" s="254"/>
      <c r="Y48" s="228"/>
      <c r="Z48" s="255"/>
      <c r="AA48" s="248"/>
      <c r="AB48" s="248"/>
      <c r="AC48" s="248"/>
      <c r="AD48" s="247"/>
      <c r="AE48" s="228"/>
      <c r="AF48" s="228"/>
      <c r="AG48" s="248"/>
      <c r="AH48" s="248"/>
      <c r="AI48" s="194"/>
      <c r="AJ48" s="249"/>
      <c r="AK48" s="250"/>
      <c r="AL48" s="251"/>
      <c r="AM48" s="252"/>
      <c r="AN48" s="241"/>
      <c r="AO48" s="241"/>
      <c r="AP48" s="241"/>
      <c r="AQ48" s="194"/>
      <c r="AR48" s="195"/>
      <c r="AS48" s="195"/>
    </row>
    <row r="49" spans="2:45">
      <c r="B49" s="253"/>
      <c r="C49" s="230"/>
      <c r="D49" s="245"/>
      <c r="E49" s="230"/>
      <c r="F49" s="230"/>
      <c r="G49" s="230"/>
      <c r="H49" s="230"/>
      <c r="I49" s="228"/>
      <c r="J49" s="228"/>
      <c r="K49" s="230"/>
      <c r="L49" s="230"/>
      <c r="M49" s="246"/>
      <c r="N49" s="230"/>
      <c r="O49" s="230"/>
      <c r="P49" s="230"/>
      <c r="Q49" s="230"/>
      <c r="R49" s="256"/>
      <c r="S49" s="257"/>
      <c r="T49" s="228"/>
      <c r="U49" s="228"/>
      <c r="V49" s="245"/>
      <c r="W49" s="254"/>
      <c r="X49" s="254"/>
      <c r="Y49" s="228"/>
      <c r="Z49" s="255"/>
      <c r="AA49" s="248"/>
      <c r="AB49" s="248"/>
      <c r="AC49" s="248"/>
      <c r="AD49" s="247"/>
      <c r="AE49" s="228"/>
      <c r="AF49" s="228"/>
      <c r="AG49" s="248"/>
      <c r="AH49" s="248"/>
      <c r="AI49" s="194"/>
      <c r="AJ49" s="249"/>
      <c r="AK49" s="250"/>
      <c r="AL49" s="251"/>
      <c r="AM49" s="252"/>
      <c r="AN49" s="241"/>
      <c r="AO49" s="241"/>
      <c r="AP49" s="241"/>
      <c r="AQ49" s="194"/>
      <c r="AR49" s="195"/>
      <c r="AS49" s="195"/>
    </row>
    <row r="50" spans="2:45">
      <c r="B50" s="253"/>
      <c r="C50" s="230"/>
      <c r="D50" s="245"/>
      <c r="E50" s="230"/>
      <c r="F50" s="230"/>
      <c r="G50" s="230"/>
      <c r="H50" s="230"/>
      <c r="I50" s="228"/>
      <c r="J50" s="228"/>
      <c r="K50" s="230"/>
      <c r="L50" s="230"/>
      <c r="M50" s="246"/>
      <c r="N50" s="230"/>
      <c r="O50" s="230"/>
      <c r="P50" s="230"/>
      <c r="Q50" s="230"/>
      <c r="R50" s="256"/>
      <c r="S50" s="257"/>
      <c r="T50" s="228"/>
      <c r="U50" s="228"/>
      <c r="V50" s="245"/>
      <c r="W50" s="254"/>
      <c r="X50" s="254"/>
      <c r="Y50" s="228"/>
      <c r="Z50" s="255"/>
      <c r="AA50" s="248"/>
      <c r="AB50" s="248"/>
      <c r="AC50" s="248"/>
      <c r="AD50" s="247"/>
      <c r="AE50" s="228"/>
      <c r="AF50" s="228"/>
      <c r="AG50" s="248"/>
      <c r="AH50" s="248"/>
      <c r="AI50" s="194"/>
      <c r="AJ50" s="249"/>
      <c r="AK50" s="250"/>
      <c r="AL50" s="251"/>
      <c r="AM50" s="252"/>
      <c r="AN50" s="241"/>
      <c r="AO50" s="241"/>
      <c r="AP50" s="241"/>
      <c r="AQ50" s="194"/>
      <c r="AR50" s="195"/>
      <c r="AS50" s="195"/>
    </row>
    <row r="51" spans="2:45">
      <c r="B51" s="253"/>
      <c r="C51" s="230"/>
      <c r="D51" s="245"/>
      <c r="E51" s="230"/>
      <c r="F51" s="230"/>
      <c r="G51" s="230"/>
      <c r="H51" s="230"/>
      <c r="I51" s="228"/>
      <c r="J51" s="228"/>
      <c r="K51" s="230"/>
      <c r="L51" s="230"/>
      <c r="M51" s="246"/>
      <c r="N51" s="230"/>
      <c r="O51" s="230"/>
      <c r="P51" s="230"/>
      <c r="Q51" s="230"/>
      <c r="R51" s="256"/>
      <c r="S51" s="257"/>
      <c r="T51" s="228"/>
      <c r="U51" s="228"/>
      <c r="V51" s="245"/>
      <c r="W51" s="254"/>
      <c r="X51" s="254"/>
      <c r="Y51" s="228"/>
      <c r="Z51" s="255"/>
      <c r="AA51" s="248"/>
      <c r="AB51" s="248"/>
      <c r="AC51" s="248"/>
      <c r="AD51" s="247"/>
      <c r="AE51" s="228"/>
      <c r="AF51" s="228"/>
      <c r="AG51" s="248"/>
      <c r="AH51" s="248"/>
      <c r="AI51" s="194"/>
      <c r="AJ51" s="249"/>
      <c r="AK51" s="250"/>
      <c r="AL51" s="251"/>
      <c r="AM51" s="252"/>
      <c r="AN51" s="241"/>
      <c r="AO51" s="241"/>
      <c r="AP51" s="241"/>
      <c r="AQ51" s="194"/>
      <c r="AR51" s="195"/>
      <c r="AS51" s="195"/>
    </row>
    <row r="52" spans="2:45">
      <c r="B52" s="253"/>
      <c r="C52" s="230"/>
      <c r="D52" s="245"/>
      <c r="E52" s="230"/>
      <c r="F52" s="230"/>
      <c r="G52" s="230"/>
      <c r="H52" s="230"/>
      <c r="I52" s="228"/>
      <c r="J52" s="228"/>
      <c r="K52" s="230"/>
      <c r="L52" s="230"/>
      <c r="M52" s="246"/>
      <c r="N52" s="230"/>
      <c r="O52" s="230"/>
      <c r="P52" s="230"/>
      <c r="Q52" s="230"/>
      <c r="R52" s="256"/>
      <c r="S52" s="257"/>
      <c r="T52" s="228"/>
      <c r="U52" s="228"/>
      <c r="V52" s="245"/>
      <c r="W52" s="254"/>
      <c r="X52" s="254"/>
      <c r="Y52" s="228"/>
      <c r="Z52" s="255"/>
      <c r="AA52" s="248"/>
      <c r="AB52" s="248"/>
      <c r="AC52" s="248"/>
      <c r="AD52" s="247"/>
      <c r="AE52" s="228"/>
      <c r="AF52" s="228"/>
      <c r="AG52" s="248"/>
      <c r="AH52" s="248"/>
      <c r="AI52" s="194"/>
      <c r="AJ52" s="249"/>
      <c r="AK52" s="250"/>
      <c r="AL52" s="251"/>
      <c r="AM52" s="252"/>
      <c r="AN52" s="241"/>
      <c r="AO52" s="241"/>
      <c r="AP52" s="241"/>
      <c r="AQ52" s="194"/>
      <c r="AR52" s="195"/>
      <c r="AS52" s="195"/>
    </row>
    <row r="53" spans="2:45">
      <c r="B53" s="253"/>
      <c r="C53" s="230"/>
      <c r="D53" s="245"/>
      <c r="E53" s="230"/>
      <c r="F53" s="230"/>
      <c r="G53" s="230"/>
      <c r="H53" s="230"/>
      <c r="I53" s="228"/>
      <c r="J53" s="228"/>
      <c r="K53" s="230"/>
      <c r="L53" s="230"/>
      <c r="M53" s="246"/>
      <c r="N53" s="230"/>
      <c r="O53" s="230"/>
      <c r="P53" s="230"/>
      <c r="Q53" s="230"/>
      <c r="R53" s="256"/>
      <c r="S53" s="257"/>
      <c r="T53" s="228"/>
      <c r="U53" s="228"/>
      <c r="V53" s="245"/>
      <c r="W53" s="254"/>
      <c r="X53" s="254"/>
      <c r="Y53" s="228"/>
      <c r="Z53" s="255"/>
      <c r="AA53" s="248"/>
      <c r="AB53" s="248"/>
      <c r="AC53" s="248"/>
      <c r="AD53" s="247"/>
      <c r="AE53" s="228"/>
      <c r="AF53" s="228"/>
      <c r="AG53" s="248"/>
      <c r="AH53" s="248"/>
      <c r="AI53" s="194"/>
      <c r="AJ53" s="249"/>
      <c r="AK53" s="250"/>
      <c r="AL53" s="251"/>
      <c r="AM53" s="252"/>
      <c r="AN53" s="241"/>
      <c r="AO53" s="241"/>
      <c r="AP53" s="241"/>
      <c r="AQ53" s="194"/>
      <c r="AR53" s="195"/>
      <c r="AS53" s="195"/>
    </row>
    <row r="54" spans="2:45">
      <c r="B54" s="253"/>
      <c r="C54" s="230"/>
      <c r="D54" s="245"/>
      <c r="E54" s="230"/>
      <c r="F54" s="230"/>
      <c r="G54" s="230"/>
      <c r="H54" s="230"/>
      <c r="I54" s="228"/>
      <c r="J54" s="228"/>
      <c r="K54" s="230"/>
      <c r="L54" s="230"/>
      <c r="M54" s="246"/>
      <c r="N54" s="230"/>
      <c r="O54" s="230"/>
      <c r="P54" s="230"/>
      <c r="Q54" s="230"/>
      <c r="R54" s="256"/>
      <c r="S54" s="257"/>
      <c r="T54" s="228"/>
      <c r="U54" s="228"/>
      <c r="V54" s="245"/>
      <c r="W54" s="254"/>
      <c r="X54" s="254"/>
      <c r="Y54" s="228"/>
      <c r="Z54" s="255"/>
      <c r="AA54" s="248"/>
      <c r="AB54" s="248"/>
      <c r="AC54" s="248"/>
      <c r="AD54" s="247"/>
      <c r="AE54" s="228"/>
      <c r="AF54" s="228"/>
      <c r="AG54" s="248"/>
      <c r="AH54" s="248"/>
      <c r="AI54" s="194"/>
      <c r="AJ54" s="249"/>
      <c r="AK54" s="250"/>
      <c r="AL54" s="251"/>
      <c r="AM54" s="252"/>
      <c r="AN54" s="241"/>
      <c r="AO54" s="241"/>
      <c r="AP54" s="241"/>
      <c r="AQ54" s="194"/>
      <c r="AR54" s="195"/>
      <c r="AS54" s="195"/>
    </row>
    <row r="55" spans="2:45">
      <c r="B55" s="253"/>
      <c r="C55" s="230"/>
      <c r="D55" s="245"/>
      <c r="E55" s="230"/>
      <c r="F55" s="230"/>
      <c r="G55" s="230"/>
      <c r="H55" s="230"/>
      <c r="I55" s="228"/>
      <c r="J55" s="228"/>
      <c r="K55" s="230"/>
      <c r="L55" s="230"/>
      <c r="M55" s="246"/>
      <c r="N55" s="230"/>
      <c r="O55" s="230"/>
      <c r="P55" s="230"/>
      <c r="Q55" s="230"/>
      <c r="R55" s="256"/>
      <c r="S55" s="257"/>
      <c r="T55" s="228"/>
      <c r="U55" s="228"/>
      <c r="V55" s="245"/>
      <c r="W55" s="254"/>
      <c r="X55" s="254"/>
      <c r="Y55" s="228"/>
      <c r="Z55" s="255"/>
      <c r="AA55" s="248"/>
      <c r="AB55" s="248"/>
      <c r="AC55" s="248"/>
      <c r="AD55" s="247"/>
      <c r="AE55" s="228"/>
      <c r="AF55" s="228"/>
      <c r="AG55" s="248"/>
      <c r="AH55" s="248"/>
      <c r="AI55" s="194"/>
      <c r="AJ55" s="249"/>
      <c r="AK55" s="250"/>
      <c r="AL55" s="251"/>
      <c r="AM55" s="252"/>
      <c r="AN55" s="241"/>
      <c r="AO55" s="241"/>
      <c r="AP55" s="241"/>
      <c r="AQ55" s="194"/>
      <c r="AR55" s="195"/>
      <c r="AS55" s="195"/>
    </row>
    <row r="56" spans="2:45">
      <c r="B56" s="253"/>
      <c r="C56" s="230"/>
      <c r="D56" s="245"/>
      <c r="E56" s="230"/>
      <c r="F56" s="230"/>
      <c r="G56" s="230"/>
      <c r="H56" s="230"/>
      <c r="I56" s="228"/>
      <c r="J56" s="228"/>
      <c r="K56" s="230"/>
      <c r="L56" s="230"/>
      <c r="M56" s="246"/>
      <c r="N56" s="230"/>
      <c r="O56" s="230"/>
      <c r="P56" s="230"/>
      <c r="Q56" s="230"/>
      <c r="R56" s="256"/>
      <c r="S56" s="257"/>
      <c r="T56" s="228"/>
      <c r="U56" s="228"/>
      <c r="V56" s="245"/>
      <c r="W56" s="254"/>
      <c r="X56" s="254"/>
      <c r="Y56" s="228"/>
      <c r="Z56" s="255"/>
      <c r="AA56" s="248"/>
      <c r="AB56" s="248"/>
      <c r="AC56" s="248"/>
      <c r="AD56" s="247"/>
      <c r="AE56" s="228"/>
      <c r="AF56" s="228"/>
      <c r="AG56" s="248"/>
      <c r="AH56" s="248"/>
      <c r="AI56" s="194"/>
      <c r="AJ56" s="249"/>
      <c r="AK56" s="250"/>
      <c r="AL56" s="251"/>
      <c r="AM56" s="252"/>
      <c r="AN56" s="241"/>
      <c r="AO56" s="241"/>
      <c r="AP56" s="241"/>
      <c r="AQ56" s="194"/>
      <c r="AR56" s="195"/>
      <c r="AS56" s="195"/>
    </row>
    <row r="57" spans="2:45">
      <c r="B57" s="253"/>
      <c r="C57" s="230"/>
      <c r="D57" s="245"/>
      <c r="E57" s="230"/>
      <c r="F57" s="230"/>
      <c r="G57" s="230"/>
      <c r="H57" s="230"/>
      <c r="I57" s="228"/>
      <c r="J57" s="228"/>
      <c r="K57" s="230"/>
      <c r="L57" s="230"/>
      <c r="M57" s="246"/>
      <c r="N57" s="230"/>
      <c r="O57" s="230"/>
      <c r="P57" s="230"/>
      <c r="Q57" s="230"/>
      <c r="R57" s="256"/>
      <c r="S57" s="257"/>
      <c r="T57" s="228"/>
      <c r="U57" s="228"/>
      <c r="V57" s="245"/>
      <c r="W57" s="254"/>
      <c r="X57" s="254"/>
      <c r="Y57" s="228"/>
      <c r="Z57" s="255"/>
      <c r="AA57" s="248"/>
      <c r="AB57" s="248"/>
      <c r="AC57" s="248"/>
      <c r="AD57" s="247"/>
      <c r="AE57" s="228"/>
      <c r="AF57" s="228"/>
      <c r="AG57" s="248"/>
      <c r="AH57" s="248"/>
      <c r="AI57" s="194"/>
      <c r="AJ57" s="249"/>
      <c r="AK57" s="250"/>
      <c r="AL57" s="251"/>
      <c r="AM57" s="252"/>
      <c r="AN57" s="241"/>
      <c r="AO57" s="241"/>
      <c r="AP57" s="241"/>
      <c r="AQ57" s="194"/>
      <c r="AR57" s="195"/>
      <c r="AS57" s="195"/>
    </row>
    <row r="58" spans="2:45">
      <c r="B58" s="253"/>
      <c r="C58" s="230"/>
      <c r="D58" s="245"/>
      <c r="E58" s="230"/>
      <c r="F58" s="230"/>
      <c r="G58" s="230"/>
      <c r="H58" s="230"/>
      <c r="I58" s="228"/>
      <c r="J58" s="228"/>
      <c r="K58" s="230"/>
      <c r="L58" s="230"/>
      <c r="M58" s="246"/>
      <c r="N58" s="230"/>
      <c r="O58" s="230"/>
      <c r="P58" s="230"/>
      <c r="Q58" s="230"/>
      <c r="R58" s="256"/>
      <c r="S58" s="257"/>
      <c r="T58" s="228"/>
      <c r="U58" s="228"/>
      <c r="V58" s="245"/>
      <c r="W58" s="254"/>
      <c r="X58" s="254"/>
      <c r="Y58" s="228"/>
      <c r="Z58" s="255"/>
      <c r="AA58" s="248"/>
      <c r="AB58" s="248"/>
      <c r="AC58" s="248"/>
      <c r="AD58" s="247"/>
      <c r="AE58" s="228"/>
      <c r="AF58" s="228"/>
      <c r="AG58" s="248"/>
      <c r="AH58" s="248"/>
      <c r="AI58" s="194"/>
      <c r="AJ58" s="249"/>
      <c r="AK58" s="250"/>
      <c r="AL58" s="251"/>
      <c r="AM58" s="252"/>
      <c r="AN58" s="241"/>
      <c r="AO58" s="241"/>
      <c r="AP58" s="241"/>
      <c r="AQ58" s="194"/>
      <c r="AR58" s="195"/>
      <c r="AS58" s="195"/>
    </row>
    <row r="59" spans="2:45">
      <c r="B59" s="253"/>
      <c r="C59" s="230"/>
      <c r="D59" s="245"/>
      <c r="E59" s="230"/>
      <c r="F59" s="230"/>
      <c r="G59" s="230"/>
      <c r="H59" s="230"/>
      <c r="I59" s="228"/>
      <c r="J59" s="228"/>
      <c r="K59" s="230"/>
      <c r="L59" s="230"/>
      <c r="M59" s="246"/>
      <c r="N59" s="230"/>
      <c r="O59" s="230"/>
      <c r="P59" s="230"/>
      <c r="Q59" s="230"/>
      <c r="R59" s="256"/>
      <c r="S59" s="257"/>
      <c r="T59" s="228"/>
      <c r="U59" s="228"/>
      <c r="V59" s="245"/>
      <c r="W59" s="254"/>
      <c r="X59" s="254"/>
      <c r="Y59" s="228"/>
      <c r="Z59" s="255"/>
      <c r="AA59" s="248"/>
      <c r="AB59" s="248"/>
      <c r="AC59" s="248"/>
      <c r="AD59" s="247"/>
      <c r="AE59" s="228"/>
      <c r="AF59" s="228"/>
      <c r="AG59" s="248"/>
      <c r="AH59" s="248"/>
      <c r="AI59" s="194"/>
      <c r="AJ59" s="249"/>
      <c r="AK59" s="250"/>
      <c r="AL59" s="251"/>
      <c r="AM59" s="252"/>
      <c r="AN59" s="241"/>
      <c r="AO59" s="241"/>
      <c r="AP59" s="241"/>
      <c r="AQ59" s="194"/>
      <c r="AR59" s="195"/>
      <c r="AS59" s="195"/>
    </row>
    <row r="60" spans="2:45">
      <c r="B60" s="253"/>
      <c r="C60" s="230"/>
      <c r="D60" s="245"/>
      <c r="E60" s="230"/>
      <c r="F60" s="230"/>
      <c r="G60" s="230"/>
      <c r="H60" s="230"/>
      <c r="I60" s="228"/>
      <c r="J60" s="228"/>
      <c r="K60" s="230"/>
      <c r="L60" s="230"/>
      <c r="M60" s="246"/>
      <c r="N60" s="230"/>
      <c r="O60" s="230"/>
      <c r="P60" s="230"/>
      <c r="Q60" s="230"/>
      <c r="R60" s="256"/>
      <c r="S60" s="257"/>
      <c r="T60" s="228"/>
      <c r="U60" s="228"/>
      <c r="V60" s="245"/>
      <c r="W60" s="254"/>
      <c r="X60" s="254"/>
      <c r="Y60" s="228"/>
      <c r="Z60" s="255"/>
      <c r="AA60" s="248"/>
      <c r="AB60" s="248"/>
      <c r="AC60" s="248"/>
      <c r="AD60" s="247"/>
      <c r="AE60" s="228"/>
      <c r="AF60" s="228"/>
      <c r="AG60" s="248"/>
      <c r="AH60" s="248"/>
      <c r="AI60" s="194"/>
      <c r="AJ60" s="249"/>
      <c r="AK60" s="250"/>
      <c r="AL60" s="251"/>
      <c r="AM60" s="252"/>
      <c r="AN60" s="241"/>
      <c r="AO60" s="241"/>
      <c r="AP60" s="241"/>
      <c r="AQ60" s="194"/>
      <c r="AR60" s="195"/>
      <c r="AS60" s="195"/>
    </row>
    <row r="61" spans="2:45">
      <c r="B61" s="253"/>
      <c r="C61" s="230"/>
      <c r="D61" s="245"/>
      <c r="E61" s="230"/>
      <c r="F61" s="230"/>
      <c r="G61" s="230"/>
      <c r="H61" s="230"/>
      <c r="I61" s="228"/>
      <c r="J61" s="228"/>
      <c r="K61" s="230"/>
      <c r="L61" s="230"/>
      <c r="M61" s="246"/>
      <c r="N61" s="230"/>
      <c r="O61" s="230"/>
      <c r="P61" s="230"/>
      <c r="Q61" s="230"/>
      <c r="R61" s="256"/>
      <c r="S61" s="257"/>
      <c r="T61" s="228"/>
      <c r="U61" s="228"/>
      <c r="V61" s="245"/>
      <c r="W61" s="254"/>
      <c r="X61" s="254"/>
      <c r="Y61" s="228"/>
      <c r="Z61" s="255"/>
      <c r="AA61" s="248"/>
      <c r="AB61" s="248"/>
      <c r="AC61" s="248"/>
      <c r="AD61" s="247"/>
      <c r="AE61" s="228"/>
      <c r="AF61" s="228"/>
      <c r="AG61" s="248"/>
      <c r="AH61" s="248"/>
      <c r="AI61" s="194"/>
      <c r="AJ61" s="249"/>
      <c r="AK61" s="250"/>
      <c r="AL61" s="251"/>
      <c r="AM61" s="252"/>
      <c r="AN61" s="241"/>
      <c r="AO61" s="241"/>
      <c r="AP61" s="241"/>
      <c r="AQ61" s="194"/>
      <c r="AR61" s="195"/>
      <c r="AS61" s="195"/>
    </row>
    <row r="62" spans="2:45">
      <c r="B62" s="253"/>
      <c r="C62" s="230"/>
      <c r="D62" s="245"/>
      <c r="E62" s="230"/>
      <c r="F62" s="230"/>
      <c r="G62" s="230"/>
      <c r="H62" s="230"/>
      <c r="I62" s="228"/>
      <c r="J62" s="228"/>
      <c r="K62" s="230"/>
      <c r="L62" s="230"/>
      <c r="M62" s="246"/>
      <c r="N62" s="230"/>
      <c r="O62" s="230"/>
      <c r="P62" s="230"/>
      <c r="Q62" s="230"/>
      <c r="R62" s="256"/>
      <c r="S62" s="257"/>
      <c r="T62" s="228"/>
      <c r="U62" s="228"/>
      <c r="V62" s="245"/>
      <c r="W62" s="254"/>
      <c r="X62" s="254"/>
      <c r="Y62" s="228"/>
      <c r="Z62" s="255"/>
      <c r="AA62" s="248"/>
      <c r="AB62" s="248"/>
      <c r="AC62" s="248"/>
      <c r="AD62" s="247"/>
      <c r="AE62" s="228"/>
      <c r="AF62" s="228"/>
      <c r="AG62" s="248"/>
      <c r="AH62" s="248"/>
      <c r="AI62" s="194"/>
      <c r="AJ62" s="249"/>
      <c r="AK62" s="250"/>
      <c r="AL62" s="251"/>
      <c r="AM62" s="252"/>
      <c r="AN62" s="241"/>
      <c r="AO62" s="241"/>
      <c r="AP62" s="241"/>
      <c r="AQ62" s="194"/>
      <c r="AR62" s="195"/>
      <c r="AS62" s="195"/>
    </row>
    <row r="63" spans="2:45">
      <c r="B63" s="253"/>
      <c r="C63" s="230"/>
      <c r="D63" s="245"/>
      <c r="E63" s="230"/>
      <c r="F63" s="230"/>
      <c r="G63" s="230"/>
      <c r="H63" s="230"/>
      <c r="I63" s="228"/>
      <c r="J63" s="228"/>
      <c r="K63" s="230"/>
      <c r="L63" s="230"/>
      <c r="M63" s="246"/>
      <c r="N63" s="230"/>
      <c r="O63" s="230"/>
      <c r="P63" s="230"/>
      <c r="Q63" s="230"/>
      <c r="R63" s="256"/>
      <c r="S63" s="257"/>
      <c r="T63" s="228"/>
      <c r="U63" s="228"/>
      <c r="V63" s="245"/>
      <c r="W63" s="254"/>
      <c r="X63" s="254"/>
      <c r="Y63" s="228"/>
      <c r="Z63" s="255"/>
      <c r="AA63" s="248"/>
      <c r="AB63" s="248"/>
      <c r="AC63" s="248"/>
      <c r="AD63" s="247"/>
      <c r="AE63" s="228"/>
      <c r="AF63" s="228"/>
      <c r="AG63" s="248"/>
      <c r="AH63" s="248"/>
      <c r="AI63" s="194"/>
      <c r="AJ63" s="249"/>
      <c r="AK63" s="250"/>
      <c r="AL63" s="251"/>
      <c r="AM63" s="252"/>
      <c r="AN63" s="241"/>
      <c r="AO63" s="241"/>
      <c r="AP63" s="241"/>
      <c r="AQ63" s="194"/>
      <c r="AR63" s="195"/>
      <c r="AS63" s="195"/>
    </row>
    <row r="64" spans="2:45">
      <c r="B64" s="253"/>
      <c r="C64" s="230"/>
      <c r="D64" s="245"/>
      <c r="E64" s="230"/>
      <c r="F64" s="230"/>
      <c r="G64" s="230"/>
      <c r="H64" s="230"/>
      <c r="I64" s="228"/>
      <c r="J64" s="228"/>
      <c r="K64" s="230"/>
      <c r="L64" s="230"/>
      <c r="M64" s="246"/>
      <c r="N64" s="230"/>
      <c r="O64" s="230"/>
      <c r="P64" s="230"/>
      <c r="Q64" s="230"/>
      <c r="R64" s="256"/>
      <c r="S64" s="257"/>
      <c r="T64" s="228"/>
      <c r="U64" s="228"/>
      <c r="V64" s="245"/>
      <c r="W64" s="254"/>
      <c r="X64" s="254"/>
      <c r="Y64" s="228"/>
      <c r="Z64" s="255"/>
      <c r="AA64" s="248"/>
      <c r="AB64" s="248"/>
      <c r="AC64" s="248"/>
      <c r="AD64" s="247"/>
      <c r="AE64" s="228"/>
      <c r="AF64" s="228"/>
      <c r="AG64" s="248"/>
      <c r="AH64" s="248"/>
      <c r="AI64" s="194"/>
      <c r="AJ64" s="249"/>
      <c r="AK64" s="250"/>
      <c r="AL64" s="251"/>
      <c r="AM64" s="252"/>
      <c r="AN64" s="241"/>
      <c r="AO64" s="241"/>
      <c r="AP64" s="241"/>
      <c r="AQ64" s="194"/>
      <c r="AR64" s="195"/>
      <c r="AS64" s="195"/>
    </row>
    <row r="65" spans="2:45">
      <c r="B65" s="253"/>
      <c r="C65" s="230"/>
      <c r="D65" s="245"/>
      <c r="E65" s="230"/>
      <c r="F65" s="230"/>
      <c r="G65" s="230"/>
      <c r="H65" s="230"/>
      <c r="I65" s="228"/>
      <c r="J65" s="228"/>
      <c r="K65" s="230"/>
      <c r="L65" s="230"/>
      <c r="M65" s="246"/>
      <c r="N65" s="230"/>
      <c r="O65" s="230"/>
      <c r="P65" s="230"/>
      <c r="Q65" s="230"/>
      <c r="R65" s="256"/>
      <c r="S65" s="257"/>
      <c r="T65" s="228"/>
      <c r="U65" s="228"/>
      <c r="V65" s="245"/>
      <c r="W65" s="254"/>
      <c r="X65" s="254"/>
      <c r="Y65" s="228"/>
      <c r="Z65" s="255"/>
      <c r="AA65" s="248"/>
      <c r="AB65" s="248"/>
      <c r="AC65" s="248"/>
      <c r="AD65" s="247"/>
      <c r="AE65" s="228"/>
      <c r="AF65" s="228"/>
      <c r="AG65" s="248"/>
      <c r="AH65" s="248"/>
      <c r="AI65" s="194"/>
      <c r="AJ65" s="249"/>
      <c r="AK65" s="250"/>
      <c r="AL65" s="251"/>
      <c r="AM65" s="252"/>
      <c r="AN65" s="241"/>
      <c r="AO65" s="241"/>
      <c r="AP65" s="241"/>
      <c r="AQ65" s="194"/>
      <c r="AR65" s="195"/>
      <c r="AS65" s="195"/>
    </row>
    <row r="66" spans="2:45">
      <c r="B66" s="253"/>
      <c r="C66" s="230"/>
      <c r="D66" s="245"/>
      <c r="E66" s="230"/>
      <c r="F66" s="230"/>
      <c r="G66" s="230"/>
      <c r="H66" s="230"/>
      <c r="I66" s="228"/>
      <c r="J66" s="228"/>
      <c r="K66" s="230"/>
      <c r="L66" s="230"/>
      <c r="M66" s="246"/>
      <c r="N66" s="230"/>
      <c r="O66" s="230"/>
      <c r="P66" s="230"/>
      <c r="Q66" s="230"/>
      <c r="R66" s="256"/>
      <c r="S66" s="257"/>
      <c r="T66" s="228"/>
      <c r="U66" s="228"/>
      <c r="V66" s="245"/>
      <c r="W66" s="254"/>
      <c r="X66" s="254"/>
      <c r="Y66" s="228"/>
      <c r="Z66" s="255"/>
      <c r="AA66" s="248"/>
      <c r="AB66" s="248"/>
      <c r="AC66" s="248"/>
      <c r="AD66" s="247"/>
      <c r="AE66" s="228"/>
      <c r="AF66" s="228"/>
      <c r="AG66" s="248"/>
      <c r="AH66" s="248"/>
      <c r="AI66" s="194"/>
      <c r="AJ66" s="249"/>
      <c r="AK66" s="250"/>
      <c r="AL66" s="251"/>
      <c r="AM66" s="252"/>
      <c r="AN66" s="241"/>
      <c r="AO66" s="241"/>
      <c r="AP66" s="241"/>
      <c r="AQ66" s="194"/>
      <c r="AR66" s="195"/>
      <c r="AS66" s="195"/>
    </row>
    <row r="67" spans="2:45">
      <c r="B67" s="253"/>
      <c r="C67" s="230"/>
      <c r="D67" s="245"/>
      <c r="E67" s="230"/>
      <c r="F67" s="230"/>
      <c r="G67" s="230"/>
      <c r="H67" s="230"/>
      <c r="I67" s="228"/>
      <c r="J67" s="228"/>
      <c r="K67" s="230"/>
      <c r="L67" s="230"/>
      <c r="M67" s="246"/>
      <c r="N67" s="230"/>
      <c r="O67" s="230"/>
      <c r="P67" s="230"/>
      <c r="Q67" s="230"/>
      <c r="R67" s="256"/>
      <c r="S67" s="257"/>
      <c r="T67" s="228"/>
      <c r="U67" s="228"/>
      <c r="V67" s="245"/>
      <c r="W67" s="254"/>
      <c r="X67" s="254"/>
      <c r="Y67" s="228"/>
      <c r="Z67" s="255"/>
      <c r="AA67" s="248"/>
      <c r="AB67" s="248"/>
      <c r="AC67" s="248"/>
      <c r="AD67" s="247"/>
      <c r="AE67" s="228"/>
      <c r="AF67" s="228"/>
      <c r="AG67" s="248"/>
      <c r="AH67" s="248"/>
      <c r="AI67" s="194"/>
      <c r="AJ67" s="249"/>
      <c r="AK67" s="250"/>
      <c r="AL67" s="251"/>
      <c r="AM67" s="252"/>
      <c r="AN67" s="241"/>
      <c r="AO67" s="241"/>
      <c r="AP67" s="241"/>
      <c r="AQ67" s="194"/>
      <c r="AR67" s="195"/>
      <c r="AS67" s="195"/>
    </row>
    <row r="68" spans="2:45">
      <c r="B68" s="253"/>
      <c r="C68" s="230"/>
      <c r="D68" s="245"/>
      <c r="E68" s="230"/>
      <c r="F68" s="230"/>
      <c r="G68" s="230"/>
      <c r="H68" s="230"/>
      <c r="I68" s="228"/>
      <c r="J68" s="228"/>
      <c r="K68" s="230"/>
      <c r="L68" s="230"/>
      <c r="M68" s="246"/>
      <c r="N68" s="230"/>
      <c r="O68" s="230"/>
      <c r="P68" s="230"/>
      <c r="Q68" s="230"/>
      <c r="R68" s="256"/>
      <c r="S68" s="257"/>
      <c r="T68" s="228"/>
      <c r="U68" s="228"/>
      <c r="V68" s="245"/>
      <c r="W68" s="254"/>
      <c r="X68" s="254"/>
      <c r="Y68" s="228"/>
      <c r="Z68" s="255"/>
      <c r="AA68" s="248"/>
      <c r="AB68" s="248"/>
      <c r="AC68" s="248"/>
      <c r="AD68" s="247"/>
      <c r="AE68" s="228"/>
      <c r="AF68" s="228"/>
      <c r="AG68" s="248"/>
      <c r="AH68" s="248"/>
      <c r="AI68" s="194"/>
      <c r="AJ68" s="249"/>
      <c r="AK68" s="250"/>
      <c r="AL68" s="251"/>
      <c r="AM68" s="252"/>
      <c r="AN68" s="241"/>
      <c r="AO68" s="241"/>
      <c r="AP68" s="241"/>
      <c r="AQ68" s="194"/>
      <c r="AR68" s="195"/>
      <c r="AS68" s="195"/>
    </row>
    <row r="69" spans="2:45">
      <c r="B69" s="253"/>
      <c r="C69" s="230"/>
      <c r="D69" s="245"/>
      <c r="E69" s="230"/>
      <c r="F69" s="230"/>
      <c r="G69" s="230"/>
      <c r="H69" s="230"/>
      <c r="I69" s="228"/>
      <c r="J69" s="228"/>
      <c r="K69" s="230"/>
      <c r="L69" s="230"/>
      <c r="M69" s="246"/>
      <c r="N69" s="230"/>
      <c r="O69" s="230"/>
      <c r="P69" s="230"/>
      <c r="Q69" s="230"/>
      <c r="R69" s="256"/>
      <c r="S69" s="257"/>
      <c r="T69" s="228"/>
      <c r="U69" s="228"/>
      <c r="V69" s="245"/>
      <c r="W69" s="254"/>
      <c r="X69" s="254"/>
      <c r="Y69" s="228"/>
      <c r="Z69" s="255"/>
      <c r="AA69" s="248"/>
      <c r="AB69" s="248"/>
      <c r="AC69" s="248"/>
      <c r="AD69" s="247"/>
      <c r="AE69" s="228"/>
      <c r="AF69" s="228"/>
      <c r="AG69" s="248"/>
      <c r="AH69" s="248"/>
      <c r="AI69" s="194"/>
      <c r="AJ69" s="249"/>
      <c r="AK69" s="250"/>
      <c r="AL69" s="251"/>
      <c r="AM69" s="252"/>
      <c r="AN69" s="241"/>
      <c r="AO69" s="241"/>
      <c r="AP69" s="241"/>
      <c r="AQ69" s="194"/>
      <c r="AR69" s="195"/>
      <c r="AS69" s="195"/>
    </row>
    <row r="70" spans="2:45">
      <c r="B70" s="253"/>
      <c r="C70" s="230"/>
      <c r="D70" s="245"/>
      <c r="E70" s="230"/>
      <c r="F70" s="230"/>
      <c r="G70" s="230"/>
      <c r="H70" s="230"/>
      <c r="I70" s="228"/>
      <c r="J70" s="228"/>
      <c r="K70" s="230"/>
      <c r="L70" s="230"/>
      <c r="M70" s="246"/>
      <c r="N70" s="230"/>
      <c r="O70" s="230"/>
      <c r="P70" s="230"/>
      <c r="Q70" s="230"/>
      <c r="R70" s="256"/>
      <c r="S70" s="257"/>
      <c r="T70" s="228"/>
      <c r="U70" s="228"/>
      <c r="V70" s="245"/>
      <c r="W70" s="254"/>
      <c r="X70" s="254"/>
      <c r="Y70" s="228"/>
      <c r="Z70" s="255"/>
      <c r="AA70" s="248"/>
      <c r="AB70" s="248"/>
      <c r="AC70" s="248"/>
      <c r="AD70" s="247"/>
      <c r="AE70" s="228"/>
      <c r="AF70" s="228"/>
      <c r="AG70" s="248"/>
      <c r="AH70" s="248"/>
      <c r="AI70" s="194"/>
      <c r="AJ70" s="249"/>
      <c r="AK70" s="250"/>
      <c r="AL70" s="251"/>
      <c r="AM70" s="252"/>
      <c r="AN70" s="241"/>
      <c r="AO70" s="241"/>
      <c r="AP70" s="241"/>
      <c r="AQ70" s="194"/>
      <c r="AR70" s="195"/>
      <c r="AS70" s="195"/>
    </row>
    <row r="71" spans="2:45">
      <c r="B71" s="253"/>
      <c r="C71" s="230"/>
      <c r="D71" s="245"/>
      <c r="E71" s="230"/>
      <c r="F71" s="230"/>
      <c r="G71" s="230"/>
      <c r="H71" s="230"/>
      <c r="I71" s="228"/>
      <c r="J71" s="228"/>
      <c r="K71" s="230"/>
      <c r="L71" s="230"/>
      <c r="M71" s="246"/>
      <c r="N71" s="230"/>
      <c r="O71" s="230"/>
      <c r="P71" s="230"/>
      <c r="Q71" s="230"/>
      <c r="R71" s="256"/>
      <c r="S71" s="257"/>
      <c r="T71" s="228"/>
      <c r="U71" s="228"/>
      <c r="V71" s="245"/>
      <c r="W71" s="254"/>
      <c r="X71" s="254"/>
      <c r="Y71" s="228"/>
      <c r="Z71" s="255"/>
      <c r="AA71" s="248"/>
      <c r="AB71" s="248"/>
      <c r="AC71" s="248"/>
      <c r="AD71" s="247"/>
      <c r="AE71" s="228"/>
      <c r="AF71" s="228"/>
      <c r="AG71" s="248"/>
      <c r="AH71" s="248"/>
      <c r="AI71" s="194"/>
      <c r="AJ71" s="249"/>
      <c r="AK71" s="250"/>
      <c r="AL71" s="251"/>
      <c r="AM71" s="252"/>
      <c r="AN71" s="241"/>
      <c r="AO71" s="241"/>
      <c r="AP71" s="241"/>
      <c r="AQ71" s="194"/>
      <c r="AR71" s="195"/>
      <c r="AS71" s="195"/>
    </row>
    <row r="72" spans="2:45">
      <c r="B72" s="253"/>
      <c r="C72" s="230"/>
      <c r="D72" s="245"/>
      <c r="E72" s="230"/>
      <c r="F72" s="230"/>
      <c r="G72" s="230"/>
      <c r="H72" s="230"/>
      <c r="I72" s="228"/>
      <c r="J72" s="228"/>
      <c r="K72" s="230"/>
      <c r="L72" s="230"/>
      <c r="M72" s="246"/>
      <c r="N72" s="230"/>
      <c r="O72" s="230"/>
      <c r="P72" s="230"/>
      <c r="Q72" s="230"/>
      <c r="R72" s="256"/>
      <c r="S72" s="257"/>
      <c r="T72" s="228"/>
      <c r="U72" s="228"/>
      <c r="V72" s="245"/>
      <c r="W72" s="254"/>
      <c r="X72" s="254"/>
      <c r="Y72" s="228"/>
      <c r="Z72" s="255"/>
      <c r="AA72" s="248"/>
      <c r="AB72" s="248"/>
      <c r="AC72" s="248"/>
      <c r="AD72" s="247"/>
      <c r="AE72" s="228"/>
      <c r="AF72" s="228"/>
      <c r="AG72" s="248"/>
      <c r="AH72" s="248"/>
      <c r="AI72" s="194"/>
      <c r="AJ72" s="249"/>
      <c r="AK72" s="250"/>
      <c r="AL72" s="251"/>
      <c r="AM72" s="252"/>
      <c r="AN72" s="241"/>
      <c r="AO72" s="241"/>
      <c r="AP72" s="241"/>
      <c r="AQ72" s="194"/>
      <c r="AR72" s="195"/>
      <c r="AS72" s="195"/>
    </row>
    <row r="73" spans="2:45">
      <c r="B73" s="253"/>
      <c r="C73" s="230"/>
      <c r="D73" s="245"/>
      <c r="E73" s="230"/>
      <c r="F73" s="230"/>
      <c r="G73" s="230"/>
      <c r="H73" s="230"/>
      <c r="I73" s="228"/>
      <c r="J73" s="228"/>
      <c r="K73" s="230"/>
      <c r="L73" s="230"/>
      <c r="M73" s="246"/>
      <c r="N73" s="230"/>
      <c r="O73" s="230"/>
      <c r="P73" s="230"/>
      <c r="Q73" s="230"/>
      <c r="R73" s="256"/>
      <c r="S73" s="257"/>
      <c r="T73" s="228"/>
      <c r="U73" s="228"/>
      <c r="V73" s="245"/>
      <c r="W73" s="254"/>
      <c r="X73" s="254"/>
      <c r="Y73" s="228"/>
      <c r="Z73" s="255"/>
      <c r="AA73" s="248"/>
      <c r="AB73" s="248"/>
      <c r="AC73" s="248"/>
      <c r="AD73" s="247"/>
      <c r="AE73" s="228"/>
      <c r="AF73" s="228"/>
      <c r="AG73" s="248"/>
      <c r="AH73" s="248"/>
      <c r="AI73" s="194"/>
      <c r="AJ73" s="249"/>
      <c r="AK73" s="250"/>
      <c r="AL73" s="251"/>
      <c r="AM73" s="252"/>
      <c r="AN73" s="241"/>
      <c r="AO73" s="241"/>
      <c r="AP73" s="241"/>
      <c r="AQ73" s="194"/>
      <c r="AR73" s="195"/>
      <c r="AS73" s="195"/>
    </row>
    <row r="74" spans="2:45">
      <c r="B74" s="253"/>
      <c r="C74" s="230"/>
      <c r="D74" s="245"/>
      <c r="E74" s="230"/>
      <c r="F74" s="230"/>
      <c r="G74" s="230"/>
      <c r="H74" s="230"/>
      <c r="I74" s="228"/>
      <c r="J74" s="228"/>
      <c r="K74" s="230"/>
      <c r="L74" s="230"/>
      <c r="M74" s="246"/>
      <c r="N74" s="230"/>
      <c r="O74" s="230"/>
      <c r="P74" s="230"/>
      <c r="Q74" s="230"/>
      <c r="R74" s="256"/>
      <c r="S74" s="257"/>
      <c r="T74" s="228"/>
      <c r="U74" s="228"/>
      <c r="V74" s="245"/>
      <c r="W74" s="254"/>
      <c r="X74" s="254"/>
      <c r="Y74" s="228"/>
      <c r="Z74" s="255"/>
      <c r="AA74" s="248"/>
      <c r="AB74" s="248"/>
      <c r="AC74" s="248"/>
      <c r="AD74" s="247"/>
      <c r="AE74" s="228"/>
      <c r="AF74" s="228"/>
      <c r="AG74" s="248"/>
      <c r="AH74" s="248"/>
      <c r="AI74" s="194"/>
      <c r="AJ74" s="249"/>
      <c r="AK74" s="250"/>
      <c r="AL74" s="251"/>
      <c r="AM74" s="252"/>
      <c r="AN74" s="241"/>
      <c r="AO74" s="241"/>
      <c r="AP74" s="241"/>
      <c r="AQ74" s="194"/>
      <c r="AR74" s="195"/>
      <c r="AS74" s="195"/>
    </row>
    <row r="75" spans="2:45">
      <c r="B75" s="253"/>
      <c r="C75" s="230"/>
      <c r="D75" s="245"/>
      <c r="E75" s="230"/>
      <c r="F75" s="230"/>
      <c r="G75" s="230"/>
      <c r="H75" s="230"/>
      <c r="I75" s="228"/>
      <c r="J75" s="228"/>
      <c r="K75" s="230"/>
      <c r="L75" s="230"/>
      <c r="M75" s="246"/>
      <c r="N75" s="230"/>
      <c r="O75" s="230"/>
      <c r="P75" s="230"/>
      <c r="Q75" s="230"/>
      <c r="R75" s="256"/>
      <c r="S75" s="257"/>
      <c r="T75" s="228"/>
      <c r="U75" s="228"/>
      <c r="V75" s="245"/>
      <c r="W75" s="254"/>
      <c r="X75" s="254"/>
      <c r="Y75" s="228"/>
      <c r="Z75" s="255"/>
      <c r="AA75" s="248"/>
      <c r="AB75" s="248"/>
      <c r="AC75" s="248"/>
      <c r="AD75" s="247"/>
      <c r="AE75" s="228"/>
      <c r="AF75" s="228"/>
      <c r="AG75" s="248"/>
      <c r="AH75" s="248"/>
      <c r="AI75" s="194"/>
      <c r="AJ75" s="249"/>
      <c r="AK75" s="250"/>
      <c r="AL75" s="251"/>
      <c r="AM75" s="252"/>
      <c r="AN75" s="241"/>
      <c r="AO75" s="241"/>
      <c r="AP75" s="241"/>
      <c r="AQ75" s="194"/>
      <c r="AR75" s="195"/>
      <c r="AS75" s="195"/>
    </row>
    <row r="76" spans="2:45">
      <c r="B76" s="253"/>
      <c r="C76" s="230"/>
      <c r="D76" s="245"/>
      <c r="E76" s="230"/>
      <c r="F76" s="230"/>
      <c r="G76" s="230"/>
      <c r="H76" s="230"/>
      <c r="I76" s="228"/>
      <c r="J76" s="228"/>
      <c r="K76" s="230"/>
      <c r="L76" s="230"/>
      <c r="M76" s="246"/>
      <c r="N76" s="230"/>
      <c r="O76" s="230"/>
      <c r="P76" s="230"/>
      <c r="Q76" s="230"/>
      <c r="R76" s="256"/>
      <c r="S76" s="257"/>
      <c r="T76" s="228"/>
      <c r="U76" s="228"/>
      <c r="V76" s="245"/>
      <c r="W76" s="254"/>
      <c r="X76" s="254"/>
      <c r="Y76" s="228"/>
      <c r="Z76" s="255"/>
      <c r="AA76" s="248"/>
      <c r="AB76" s="248"/>
      <c r="AC76" s="248"/>
      <c r="AD76" s="247"/>
      <c r="AE76" s="228"/>
      <c r="AF76" s="228"/>
      <c r="AG76" s="248"/>
      <c r="AH76" s="248"/>
      <c r="AI76" s="194"/>
      <c r="AJ76" s="249"/>
      <c r="AK76" s="250"/>
      <c r="AL76" s="251"/>
      <c r="AM76" s="252"/>
      <c r="AN76" s="241"/>
      <c r="AO76" s="241"/>
      <c r="AP76" s="241"/>
      <c r="AQ76" s="194"/>
      <c r="AR76" s="195"/>
      <c r="AS76" s="195"/>
    </row>
    <row r="77" spans="2:45">
      <c r="B77" s="253"/>
      <c r="C77" s="230"/>
      <c r="D77" s="245"/>
      <c r="E77" s="230"/>
      <c r="F77" s="230"/>
      <c r="G77" s="230"/>
      <c r="H77" s="230"/>
      <c r="I77" s="228"/>
      <c r="J77" s="228"/>
      <c r="K77" s="230"/>
      <c r="L77" s="230"/>
      <c r="M77" s="246"/>
      <c r="N77" s="230"/>
      <c r="O77" s="230"/>
      <c r="P77" s="230"/>
      <c r="Q77" s="230"/>
      <c r="R77" s="256"/>
      <c r="S77" s="257"/>
      <c r="T77" s="228"/>
      <c r="U77" s="228"/>
      <c r="V77" s="245"/>
      <c r="W77" s="254"/>
      <c r="X77" s="254"/>
      <c r="Y77" s="228"/>
      <c r="Z77" s="255"/>
      <c r="AA77" s="248"/>
      <c r="AB77" s="248"/>
      <c r="AC77" s="248"/>
      <c r="AD77" s="247"/>
      <c r="AE77" s="228"/>
      <c r="AF77" s="228"/>
      <c r="AG77" s="248"/>
      <c r="AH77" s="248"/>
      <c r="AI77" s="194"/>
      <c r="AJ77" s="249"/>
      <c r="AK77" s="250"/>
      <c r="AL77" s="251"/>
      <c r="AM77" s="252"/>
      <c r="AN77" s="241"/>
      <c r="AO77" s="241"/>
      <c r="AP77" s="241"/>
      <c r="AQ77" s="194"/>
      <c r="AR77" s="195"/>
      <c r="AS77" s="195"/>
    </row>
    <row r="78" spans="2:45">
      <c r="B78" s="253"/>
      <c r="C78" s="230"/>
      <c r="D78" s="245"/>
      <c r="E78" s="230"/>
      <c r="F78" s="230"/>
      <c r="G78" s="230"/>
      <c r="H78" s="230"/>
      <c r="I78" s="228"/>
      <c r="J78" s="228"/>
      <c r="K78" s="230"/>
      <c r="L78" s="230"/>
      <c r="M78" s="246"/>
      <c r="N78" s="230"/>
      <c r="O78" s="230"/>
      <c r="P78" s="230"/>
      <c r="Q78" s="230"/>
      <c r="R78" s="256"/>
      <c r="S78" s="257"/>
      <c r="T78" s="228"/>
      <c r="U78" s="228"/>
      <c r="V78" s="245"/>
      <c r="W78" s="254"/>
      <c r="X78" s="254"/>
      <c r="Y78" s="228"/>
      <c r="Z78" s="255"/>
      <c r="AA78" s="248"/>
      <c r="AB78" s="248"/>
      <c r="AC78" s="248"/>
      <c r="AD78" s="247"/>
      <c r="AE78" s="228"/>
      <c r="AF78" s="228"/>
      <c r="AG78" s="248"/>
      <c r="AH78" s="248"/>
      <c r="AI78" s="194"/>
      <c r="AJ78" s="249"/>
      <c r="AK78" s="250"/>
      <c r="AL78" s="251"/>
      <c r="AM78" s="252"/>
      <c r="AN78" s="241"/>
      <c r="AO78" s="241"/>
      <c r="AP78" s="241"/>
      <c r="AQ78" s="194"/>
      <c r="AR78" s="195"/>
      <c r="AS78" s="195"/>
    </row>
    <row r="79" spans="2:45">
      <c r="B79" s="253"/>
      <c r="C79" s="230"/>
      <c r="D79" s="245"/>
      <c r="E79" s="230"/>
      <c r="F79" s="230"/>
      <c r="G79" s="230"/>
      <c r="H79" s="230"/>
      <c r="I79" s="228"/>
      <c r="J79" s="228"/>
      <c r="K79" s="230"/>
      <c r="L79" s="230"/>
      <c r="M79" s="246"/>
      <c r="N79" s="230"/>
      <c r="O79" s="230"/>
      <c r="P79" s="230"/>
      <c r="Q79" s="230"/>
      <c r="R79" s="256"/>
      <c r="S79" s="257"/>
      <c r="T79" s="228"/>
      <c r="U79" s="228"/>
      <c r="V79" s="245"/>
      <c r="W79" s="254"/>
      <c r="X79" s="254"/>
      <c r="Y79" s="228"/>
      <c r="Z79" s="255"/>
      <c r="AA79" s="248"/>
      <c r="AB79" s="248"/>
      <c r="AC79" s="248"/>
      <c r="AD79" s="247"/>
      <c r="AE79" s="228"/>
      <c r="AF79" s="228"/>
      <c r="AG79" s="248"/>
      <c r="AH79" s="248"/>
      <c r="AI79" s="194"/>
      <c r="AJ79" s="249"/>
      <c r="AK79" s="250"/>
      <c r="AL79" s="251"/>
      <c r="AM79" s="252"/>
      <c r="AN79" s="241"/>
      <c r="AO79" s="241"/>
      <c r="AP79" s="241"/>
      <c r="AQ79" s="194"/>
      <c r="AR79" s="195"/>
      <c r="AS79" s="195"/>
    </row>
    <row r="80" spans="2:45">
      <c r="B80" s="253"/>
      <c r="C80" s="230"/>
      <c r="D80" s="245"/>
      <c r="E80" s="230"/>
      <c r="F80" s="230"/>
      <c r="G80" s="230"/>
      <c r="H80" s="230"/>
      <c r="I80" s="228"/>
      <c r="J80" s="228"/>
      <c r="K80" s="230"/>
      <c r="L80" s="230"/>
      <c r="M80" s="246"/>
      <c r="N80" s="230"/>
      <c r="O80" s="230"/>
      <c r="P80" s="230"/>
      <c r="Q80" s="230"/>
      <c r="R80" s="256"/>
      <c r="S80" s="257"/>
      <c r="T80" s="228"/>
      <c r="U80" s="228"/>
      <c r="V80" s="245"/>
      <c r="W80" s="254"/>
      <c r="X80" s="254"/>
      <c r="Y80" s="228"/>
      <c r="Z80" s="255"/>
      <c r="AA80" s="248"/>
      <c r="AB80" s="248"/>
      <c r="AC80" s="248"/>
      <c r="AD80" s="247"/>
      <c r="AE80" s="228"/>
      <c r="AF80" s="228"/>
      <c r="AG80" s="248"/>
      <c r="AH80" s="248"/>
      <c r="AI80" s="194"/>
      <c r="AJ80" s="249"/>
      <c r="AK80" s="250"/>
      <c r="AL80" s="251"/>
      <c r="AM80" s="252"/>
      <c r="AN80" s="241"/>
      <c r="AO80" s="241"/>
      <c r="AP80" s="241"/>
      <c r="AQ80" s="194"/>
      <c r="AR80" s="195"/>
      <c r="AS80" s="195"/>
    </row>
    <row r="81" spans="2:45">
      <c r="B81" s="253"/>
      <c r="C81" s="230"/>
      <c r="D81" s="245"/>
      <c r="E81" s="230"/>
      <c r="F81" s="230"/>
      <c r="G81" s="230"/>
      <c r="H81" s="230"/>
      <c r="I81" s="228"/>
      <c r="J81" s="228"/>
      <c r="K81" s="230"/>
      <c r="L81" s="230"/>
      <c r="M81" s="246"/>
      <c r="N81" s="230"/>
      <c r="O81" s="230"/>
      <c r="P81" s="230"/>
      <c r="Q81" s="230"/>
      <c r="R81" s="256"/>
      <c r="S81" s="257"/>
      <c r="T81" s="228"/>
      <c r="U81" s="228"/>
      <c r="V81" s="245"/>
      <c r="W81" s="254"/>
      <c r="X81" s="254"/>
      <c r="Y81" s="228"/>
      <c r="Z81" s="255"/>
      <c r="AA81" s="248"/>
      <c r="AB81" s="248"/>
      <c r="AC81" s="248"/>
      <c r="AD81" s="247"/>
      <c r="AE81" s="228"/>
      <c r="AF81" s="228"/>
      <c r="AG81" s="248"/>
      <c r="AH81" s="248"/>
      <c r="AI81" s="194"/>
      <c r="AJ81" s="249"/>
      <c r="AK81" s="250"/>
      <c r="AL81" s="251"/>
      <c r="AM81" s="252"/>
      <c r="AN81" s="241"/>
      <c r="AO81" s="241"/>
      <c r="AP81" s="241"/>
      <c r="AQ81" s="194"/>
      <c r="AR81" s="195"/>
      <c r="AS81" s="195"/>
    </row>
    <row r="82" spans="2:45">
      <c r="B82" s="253"/>
      <c r="C82" s="230"/>
      <c r="D82" s="245"/>
      <c r="E82" s="230"/>
      <c r="F82" s="230"/>
      <c r="G82" s="230"/>
      <c r="H82" s="230"/>
      <c r="I82" s="228"/>
      <c r="J82" s="228"/>
      <c r="K82" s="230"/>
      <c r="L82" s="230"/>
      <c r="M82" s="246"/>
      <c r="N82" s="230"/>
      <c r="O82" s="230"/>
      <c r="P82" s="230"/>
      <c r="Q82" s="230"/>
      <c r="R82" s="256"/>
      <c r="S82" s="257"/>
      <c r="T82" s="228"/>
      <c r="U82" s="228"/>
      <c r="V82" s="245"/>
      <c r="W82" s="254"/>
      <c r="X82" s="254"/>
      <c r="Y82" s="228"/>
      <c r="Z82" s="255"/>
      <c r="AA82" s="248"/>
      <c r="AB82" s="248"/>
      <c r="AC82" s="248"/>
      <c r="AD82" s="247"/>
      <c r="AE82" s="228"/>
      <c r="AF82" s="228"/>
      <c r="AG82" s="248"/>
      <c r="AH82" s="248"/>
      <c r="AI82" s="194"/>
      <c r="AJ82" s="249"/>
      <c r="AK82" s="250"/>
      <c r="AL82" s="251"/>
      <c r="AM82" s="252"/>
      <c r="AN82" s="241"/>
      <c r="AO82" s="241"/>
      <c r="AP82" s="241"/>
      <c r="AQ82" s="194"/>
      <c r="AR82" s="195"/>
      <c r="AS82" s="195"/>
    </row>
    <row r="83" spans="2:45">
      <c r="B83" s="253"/>
      <c r="C83" s="230"/>
      <c r="D83" s="245"/>
      <c r="E83" s="230"/>
      <c r="F83" s="230"/>
      <c r="G83" s="230"/>
      <c r="H83" s="230"/>
      <c r="I83" s="228"/>
      <c r="J83" s="228"/>
      <c r="K83" s="230"/>
      <c r="L83" s="230"/>
      <c r="M83" s="246"/>
      <c r="N83" s="230"/>
      <c r="O83" s="230"/>
      <c r="P83" s="230"/>
      <c r="Q83" s="230"/>
      <c r="R83" s="256"/>
      <c r="S83" s="257"/>
      <c r="T83" s="228"/>
      <c r="U83" s="228"/>
      <c r="V83" s="245"/>
      <c r="W83" s="254"/>
      <c r="X83" s="254"/>
      <c r="Y83" s="228"/>
      <c r="Z83" s="255"/>
      <c r="AA83" s="248"/>
      <c r="AB83" s="248"/>
      <c r="AC83" s="248"/>
      <c r="AD83" s="247"/>
      <c r="AE83" s="228"/>
      <c r="AF83" s="228"/>
      <c r="AG83" s="248"/>
      <c r="AH83" s="248"/>
      <c r="AI83" s="194"/>
      <c r="AJ83" s="249"/>
      <c r="AK83" s="250"/>
      <c r="AL83" s="251"/>
      <c r="AM83" s="252"/>
      <c r="AN83" s="241"/>
      <c r="AO83" s="241"/>
      <c r="AP83" s="241"/>
      <c r="AQ83" s="194"/>
      <c r="AR83" s="195"/>
      <c r="AS83" s="195"/>
    </row>
    <row r="84" spans="2:45">
      <c r="B84" s="253"/>
      <c r="C84" s="230"/>
      <c r="D84" s="245"/>
      <c r="E84" s="230"/>
      <c r="F84" s="230"/>
      <c r="G84" s="230"/>
      <c r="H84" s="230"/>
      <c r="I84" s="228"/>
      <c r="J84" s="228"/>
      <c r="K84" s="230"/>
      <c r="L84" s="230"/>
      <c r="M84" s="246"/>
      <c r="N84" s="230"/>
      <c r="O84" s="230"/>
      <c r="P84" s="230"/>
      <c r="Q84" s="230"/>
      <c r="R84" s="256"/>
      <c r="S84" s="257"/>
      <c r="T84" s="228"/>
      <c r="U84" s="228"/>
      <c r="V84" s="245"/>
      <c r="W84" s="254"/>
      <c r="X84" s="254"/>
      <c r="Y84" s="228"/>
      <c r="Z84" s="255"/>
      <c r="AA84" s="248"/>
      <c r="AB84" s="248"/>
      <c r="AC84" s="248"/>
      <c r="AD84" s="247"/>
      <c r="AE84" s="228"/>
      <c r="AF84" s="228"/>
      <c r="AG84" s="248"/>
      <c r="AH84" s="248"/>
      <c r="AI84" s="194"/>
      <c r="AJ84" s="249"/>
      <c r="AK84" s="250"/>
      <c r="AL84" s="251"/>
      <c r="AM84" s="252"/>
      <c r="AN84" s="241"/>
      <c r="AO84" s="241"/>
      <c r="AP84" s="241"/>
      <c r="AQ84" s="194"/>
      <c r="AR84" s="195"/>
      <c r="AS84" s="195"/>
    </row>
    <row r="85" spans="2:45">
      <c r="B85" s="253"/>
      <c r="C85" s="230"/>
      <c r="D85" s="245"/>
      <c r="E85" s="230"/>
      <c r="F85" s="230"/>
      <c r="G85" s="230"/>
      <c r="H85" s="230"/>
      <c r="I85" s="228"/>
      <c r="J85" s="228"/>
      <c r="K85" s="230"/>
      <c r="L85" s="230"/>
      <c r="M85" s="246"/>
      <c r="N85" s="230"/>
      <c r="O85" s="230"/>
      <c r="P85" s="230"/>
      <c r="Q85" s="230"/>
      <c r="R85" s="256"/>
      <c r="S85" s="257"/>
      <c r="T85" s="228"/>
      <c r="U85" s="228"/>
      <c r="V85" s="245"/>
      <c r="W85" s="254"/>
      <c r="X85" s="254"/>
      <c r="Y85" s="228"/>
      <c r="Z85" s="255"/>
      <c r="AA85" s="248"/>
      <c r="AB85" s="248"/>
      <c r="AC85" s="248"/>
      <c r="AD85" s="247"/>
      <c r="AE85" s="228"/>
      <c r="AF85" s="228"/>
      <c r="AG85" s="248"/>
      <c r="AH85" s="248"/>
      <c r="AI85" s="194"/>
      <c r="AJ85" s="249"/>
      <c r="AK85" s="250"/>
      <c r="AL85" s="251"/>
      <c r="AM85" s="252"/>
      <c r="AN85" s="241"/>
      <c r="AO85" s="241"/>
      <c r="AP85" s="241"/>
      <c r="AQ85" s="194"/>
      <c r="AR85" s="195"/>
      <c r="AS85" s="195"/>
    </row>
    <row r="86" spans="2:45">
      <c r="B86" s="253"/>
      <c r="C86" s="230"/>
      <c r="D86" s="245"/>
      <c r="E86" s="230"/>
      <c r="F86" s="230"/>
      <c r="G86" s="230"/>
      <c r="H86" s="230"/>
      <c r="I86" s="228"/>
      <c r="J86" s="228"/>
      <c r="K86" s="230"/>
      <c r="L86" s="230"/>
      <c r="M86" s="246"/>
      <c r="N86" s="230"/>
      <c r="O86" s="230"/>
      <c r="P86" s="230"/>
      <c r="Q86" s="230"/>
      <c r="R86" s="256"/>
      <c r="S86" s="257"/>
      <c r="T86" s="228"/>
      <c r="U86" s="228"/>
      <c r="V86" s="245"/>
      <c r="W86" s="254"/>
      <c r="X86" s="254"/>
      <c r="Y86" s="228"/>
      <c r="Z86" s="255"/>
      <c r="AA86" s="248"/>
      <c r="AB86" s="248"/>
      <c r="AC86" s="248"/>
      <c r="AD86" s="247"/>
      <c r="AE86" s="228"/>
      <c r="AF86" s="228"/>
      <c r="AG86" s="248"/>
      <c r="AH86" s="248"/>
      <c r="AI86" s="194"/>
      <c r="AJ86" s="249"/>
      <c r="AK86" s="250"/>
      <c r="AL86" s="251"/>
      <c r="AM86" s="252"/>
      <c r="AN86" s="241"/>
      <c r="AO86" s="241"/>
      <c r="AP86" s="241"/>
      <c r="AQ86" s="194"/>
      <c r="AR86" s="195"/>
      <c r="AS86" s="195"/>
    </row>
    <row r="87" spans="2:45">
      <c r="B87" s="253"/>
      <c r="C87" s="230"/>
      <c r="D87" s="245"/>
      <c r="E87" s="230"/>
      <c r="F87" s="230"/>
      <c r="G87" s="230"/>
      <c r="H87" s="230"/>
      <c r="I87" s="228"/>
      <c r="J87" s="228"/>
      <c r="K87" s="230"/>
      <c r="L87" s="230"/>
      <c r="M87" s="246"/>
      <c r="N87" s="230"/>
      <c r="O87" s="230"/>
      <c r="P87" s="230"/>
      <c r="Q87" s="230"/>
      <c r="R87" s="256"/>
      <c r="S87" s="257"/>
      <c r="T87" s="228"/>
      <c r="U87" s="228"/>
      <c r="V87" s="245"/>
      <c r="W87" s="254"/>
      <c r="X87" s="254"/>
      <c r="Y87" s="228"/>
      <c r="Z87" s="255"/>
      <c r="AA87" s="248"/>
      <c r="AB87" s="248"/>
      <c r="AC87" s="248"/>
      <c r="AD87" s="247"/>
      <c r="AE87" s="228"/>
      <c r="AF87" s="228"/>
      <c r="AG87" s="248"/>
      <c r="AH87" s="248"/>
      <c r="AI87" s="194"/>
      <c r="AJ87" s="249"/>
      <c r="AK87" s="250"/>
      <c r="AL87" s="251"/>
      <c r="AM87" s="252"/>
      <c r="AN87" s="241"/>
      <c r="AO87" s="241"/>
      <c r="AP87" s="241"/>
      <c r="AQ87" s="194"/>
      <c r="AR87" s="195"/>
      <c r="AS87" s="195"/>
    </row>
    <row r="88" spans="2:45">
      <c r="B88" s="253"/>
      <c r="C88" s="230"/>
      <c r="D88" s="245"/>
      <c r="E88" s="230"/>
      <c r="F88" s="230"/>
      <c r="G88" s="230"/>
      <c r="H88" s="230"/>
      <c r="I88" s="228"/>
      <c r="J88" s="228"/>
      <c r="K88" s="230"/>
      <c r="L88" s="230"/>
      <c r="M88" s="246"/>
      <c r="N88" s="230"/>
      <c r="O88" s="230"/>
      <c r="P88" s="230"/>
      <c r="Q88" s="230"/>
      <c r="R88" s="256"/>
      <c r="S88" s="257"/>
      <c r="T88" s="228"/>
      <c r="U88" s="228"/>
      <c r="V88" s="245"/>
      <c r="W88" s="254"/>
      <c r="X88" s="254"/>
      <c r="Y88" s="228"/>
      <c r="Z88" s="255"/>
      <c r="AA88" s="248"/>
      <c r="AB88" s="248"/>
      <c r="AC88" s="248"/>
      <c r="AD88" s="247"/>
      <c r="AE88" s="228"/>
      <c r="AF88" s="228"/>
      <c r="AG88" s="248"/>
      <c r="AH88" s="248"/>
      <c r="AI88" s="194"/>
      <c r="AJ88" s="249"/>
      <c r="AK88" s="250"/>
      <c r="AL88" s="251"/>
      <c r="AM88" s="252"/>
      <c r="AN88" s="241"/>
      <c r="AO88" s="241"/>
      <c r="AP88" s="241"/>
      <c r="AQ88" s="194"/>
      <c r="AR88" s="195"/>
      <c r="AS88" s="195"/>
    </row>
    <row r="89" spans="2:45">
      <c r="B89" s="253"/>
      <c r="C89" s="230"/>
      <c r="D89" s="245"/>
      <c r="E89" s="230"/>
      <c r="F89" s="230"/>
      <c r="G89" s="230"/>
      <c r="H89" s="230"/>
      <c r="I89" s="228"/>
      <c r="J89" s="228"/>
      <c r="K89" s="230"/>
      <c r="L89" s="230"/>
      <c r="M89" s="246"/>
      <c r="N89" s="230"/>
      <c r="O89" s="230"/>
      <c r="P89" s="230"/>
      <c r="Q89" s="230"/>
      <c r="R89" s="256"/>
      <c r="S89" s="257"/>
      <c r="T89" s="228"/>
      <c r="U89" s="228"/>
      <c r="V89" s="245"/>
      <c r="W89" s="254"/>
      <c r="X89" s="254"/>
      <c r="Y89" s="228"/>
      <c r="Z89" s="255"/>
      <c r="AA89" s="248"/>
      <c r="AB89" s="248"/>
      <c r="AC89" s="248"/>
      <c r="AD89" s="247"/>
      <c r="AE89" s="228"/>
      <c r="AF89" s="228"/>
      <c r="AG89" s="248"/>
      <c r="AH89" s="248"/>
      <c r="AI89" s="194"/>
      <c r="AJ89" s="249"/>
      <c r="AK89" s="250"/>
      <c r="AL89" s="251"/>
      <c r="AM89" s="252"/>
      <c r="AN89" s="241"/>
      <c r="AO89" s="241"/>
      <c r="AP89" s="241"/>
      <c r="AQ89" s="194"/>
      <c r="AR89" s="195"/>
      <c r="AS89" s="195"/>
    </row>
    <row r="90" spans="2:45">
      <c r="B90" s="253"/>
      <c r="C90" s="230"/>
      <c r="D90" s="245"/>
      <c r="E90" s="230"/>
      <c r="F90" s="230"/>
      <c r="G90" s="230"/>
      <c r="H90" s="230"/>
      <c r="I90" s="228"/>
      <c r="J90" s="228"/>
      <c r="K90" s="230"/>
      <c r="L90" s="230"/>
      <c r="M90" s="246"/>
      <c r="N90" s="230"/>
      <c r="O90" s="230"/>
      <c r="P90" s="230"/>
      <c r="Q90" s="230"/>
      <c r="R90" s="256"/>
      <c r="S90" s="257"/>
      <c r="T90" s="228"/>
      <c r="U90" s="228"/>
      <c r="V90" s="245"/>
      <c r="W90" s="254"/>
      <c r="X90" s="254"/>
      <c r="Y90" s="228"/>
      <c r="Z90" s="255"/>
      <c r="AA90" s="248"/>
      <c r="AB90" s="248"/>
      <c r="AC90" s="248"/>
      <c r="AD90" s="247"/>
      <c r="AE90" s="228"/>
      <c r="AF90" s="228"/>
      <c r="AG90" s="248"/>
      <c r="AH90" s="248"/>
      <c r="AI90" s="194"/>
      <c r="AJ90" s="249"/>
      <c r="AK90" s="250"/>
      <c r="AL90" s="251"/>
      <c r="AM90" s="252"/>
      <c r="AN90" s="241"/>
      <c r="AO90" s="241"/>
      <c r="AP90" s="241"/>
      <c r="AQ90" s="194"/>
      <c r="AR90" s="195"/>
      <c r="AS90" s="195"/>
    </row>
    <row r="91" spans="2:45">
      <c r="B91" s="253"/>
      <c r="C91" s="230"/>
      <c r="D91" s="245"/>
      <c r="E91" s="230"/>
      <c r="F91" s="230"/>
      <c r="G91" s="230"/>
      <c r="H91" s="230"/>
      <c r="I91" s="228"/>
      <c r="J91" s="228"/>
      <c r="K91" s="230"/>
      <c r="L91" s="230"/>
      <c r="M91" s="246"/>
      <c r="N91" s="230"/>
      <c r="O91" s="230"/>
      <c r="P91" s="230"/>
      <c r="Q91" s="230"/>
      <c r="R91" s="256"/>
      <c r="S91" s="257"/>
      <c r="T91" s="228"/>
      <c r="U91" s="228"/>
      <c r="V91" s="245"/>
      <c r="W91" s="254"/>
      <c r="X91" s="254"/>
      <c r="Y91" s="228"/>
      <c r="Z91" s="255"/>
      <c r="AA91" s="248"/>
      <c r="AB91" s="248"/>
      <c r="AC91" s="248"/>
      <c r="AD91" s="247"/>
      <c r="AE91" s="228"/>
      <c r="AF91" s="228"/>
      <c r="AG91" s="248"/>
      <c r="AH91" s="248"/>
      <c r="AI91" s="194"/>
      <c r="AJ91" s="249"/>
      <c r="AK91" s="250"/>
      <c r="AL91" s="251"/>
      <c r="AM91" s="252"/>
      <c r="AN91" s="241"/>
      <c r="AO91" s="241"/>
      <c r="AP91" s="241"/>
      <c r="AQ91" s="194"/>
      <c r="AR91" s="195"/>
      <c r="AS91" s="195"/>
    </row>
    <row r="92" spans="2:45">
      <c r="B92" s="253"/>
      <c r="C92" s="230"/>
      <c r="D92" s="245"/>
      <c r="E92" s="230"/>
      <c r="F92" s="230"/>
      <c r="G92" s="230"/>
      <c r="H92" s="230"/>
      <c r="I92" s="228"/>
      <c r="J92" s="228"/>
      <c r="K92" s="230"/>
      <c r="L92" s="230"/>
      <c r="M92" s="246"/>
      <c r="N92" s="230"/>
      <c r="O92" s="230"/>
      <c r="P92" s="230"/>
      <c r="Q92" s="230"/>
      <c r="R92" s="256"/>
      <c r="S92" s="257"/>
      <c r="T92" s="228"/>
      <c r="U92" s="228"/>
      <c r="V92" s="245"/>
      <c r="W92" s="254"/>
      <c r="X92" s="254"/>
      <c r="Y92" s="228"/>
      <c r="Z92" s="255"/>
      <c r="AA92" s="248"/>
      <c r="AB92" s="248"/>
      <c r="AC92" s="248"/>
      <c r="AD92" s="247"/>
      <c r="AE92" s="228"/>
      <c r="AF92" s="228"/>
      <c r="AG92" s="248"/>
      <c r="AH92" s="248"/>
      <c r="AI92" s="194"/>
      <c r="AJ92" s="249"/>
      <c r="AK92" s="250"/>
      <c r="AL92" s="251"/>
      <c r="AM92" s="252"/>
      <c r="AN92" s="241"/>
      <c r="AO92" s="241"/>
      <c r="AP92" s="241"/>
      <c r="AQ92" s="194"/>
      <c r="AR92" s="195"/>
      <c r="AS92" s="195"/>
    </row>
    <row r="93" spans="2:45">
      <c r="B93" s="253"/>
      <c r="C93" s="230"/>
      <c r="D93" s="245"/>
      <c r="E93" s="230"/>
      <c r="F93" s="230"/>
      <c r="G93" s="230"/>
      <c r="H93" s="230"/>
      <c r="I93" s="228"/>
      <c r="J93" s="228"/>
      <c r="K93" s="230"/>
      <c r="L93" s="230"/>
      <c r="M93" s="246"/>
      <c r="N93" s="230"/>
      <c r="O93" s="230"/>
      <c r="P93" s="230"/>
      <c r="Q93" s="230"/>
      <c r="R93" s="256"/>
      <c r="S93" s="257"/>
      <c r="T93" s="228"/>
      <c r="U93" s="228"/>
      <c r="V93" s="245"/>
      <c r="W93" s="254"/>
      <c r="X93" s="254"/>
      <c r="Y93" s="228"/>
      <c r="Z93" s="255"/>
      <c r="AA93" s="248"/>
      <c r="AB93" s="248"/>
      <c r="AC93" s="248"/>
      <c r="AD93" s="247"/>
      <c r="AE93" s="228"/>
      <c r="AF93" s="228"/>
      <c r="AG93" s="248"/>
      <c r="AH93" s="248"/>
      <c r="AI93" s="194"/>
      <c r="AJ93" s="249"/>
      <c r="AK93" s="250"/>
      <c r="AL93" s="251"/>
      <c r="AM93" s="252"/>
      <c r="AN93" s="241"/>
      <c r="AO93" s="241"/>
      <c r="AP93" s="241"/>
      <c r="AQ93" s="194"/>
      <c r="AR93" s="195"/>
      <c r="AS93" s="195"/>
    </row>
    <row r="94" spans="2:45">
      <c r="B94" s="253"/>
      <c r="C94" s="230"/>
      <c r="D94" s="245"/>
      <c r="E94" s="230"/>
      <c r="F94" s="230"/>
      <c r="G94" s="230"/>
      <c r="H94" s="230"/>
      <c r="I94" s="228"/>
      <c r="J94" s="228"/>
      <c r="K94" s="230"/>
      <c r="L94" s="230"/>
      <c r="M94" s="246"/>
      <c r="N94" s="230"/>
      <c r="O94" s="230"/>
      <c r="P94" s="230"/>
      <c r="Q94" s="230"/>
      <c r="R94" s="256"/>
      <c r="S94" s="257"/>
      <c r="T94" s="228"/>
      <c r="U94" s="228"/>
      <c r="V94" s="245"/>
      <c r="W94" s="254"/>
      <c r="X94" s="254"/>
      <c r="Y94" s="228"/>
      <c r="Z94" s="255"/>
      <c r="AA94" s="248"/>
      <c r="AB94" s="248"/>
      <c r="AC94" s="248"/>
      <c r="AD94" s="247"/>
      <c r="AE94" s="228"/>
      <c r="AF94" s="228"/>
      <c r="AG94" s="248"/>
      <c r="AH94" s="248"/>
      <c r="AI94" s="194"/>
      <c r="AJ94" s="249"/>
      <c r="AK94" s="250"/>
      <c r="AL94" s="251"/>
      <c r="AM94" s="252"/>
      <c r="AN94" s="241"/>
      <c r="AO94" s="241"/>
      <c r="AP94" s="241"/>
      <c r="AQ94" s="194"/>
      <c r="AR94" s="195"/>
      <c r="AS94" s="195"/>
    </row>
    <row r="95" spans="2:45">
      <c r="B95" s="253"/>
      <c r="C95" s="230"/>
      <c r="D95" s="245"/>
      <c r="E95" s="230"/>
      <c r="F95" s="230"/>
      <c r="G95" s="230"/>
      <c r="H95" s="230"/>
      <c r="I95" s="228"/>
      <c r="J95" s="228"/>
      <c r="K95" s="230"/>
      <c r="L95" s="230"/>
      <c r="M95" s="246"/>
      <c r="N95" s="230"/>
      <c r="O95" s="230"/>
      <c r="P95" s="230"/>
      <c r="Q95" s="230"/>
      <c r="R95" s="256"/>
      <c r="S95" s="257"/>
      <c r="T95" s="228"/>
      <c r="U95" s="228"/>
      <c r="V95" s="245"/>
      <c r="W95" s="254"/>
      <c r="X95" s="254"/>
      <c r="Y95" s="228"/>
      <c r="Z95" s="255"/>
      <c r="AA95" s="248"/>
      <c r="AB95" s="248"/>
      <c r="AC95" s="248"/>
      <c r="AD95" s="247"/>
      <c r="AE95" s="228"/>
      <c r="AF95" s="228"/>
      <c r="AG95" s="248"/>
      <c r="AH95" s="248"/>
      <c r="AI95" s="194"/>
      <c r="AJ95" s="249"/>
      <c r="AK95" s="250"/>
      <c r="AL95" s="251"/>
      <c r="AM95" s="252"/>
      <c r="AN95" s="241"/>
      <c r="AO95" s="241"/>
      <c r="AP95" s="241"/>
      <c r="AQ95" s="194"/>
      <c r="AR95" s="195"/>
      <c r="AS95" s="195"/>
    </row>
    <row r="96" spans="2:45">
      <c r="B96" s="253"/>
      <c r="C96" s="230"/>
      <c r="D96" s="245"/>
      <c r="E96" s="230"/>
      <c r="F96" s="230"/>
      <c r="G96" s="230"/>
      <c r="H96" s="230"/>
      <c r="I96" s="228"/>
      <c r="J96" s="228"/>
      <c r="K96" s="230"/>
      <c r="L96" s="230"/>
      <c r="M96" s="246"/>
      <c r="N96" s="230"/>
      <c r="O96" s="230"/>
      <c r="P96" s="230"/>
      <c r="Q96" s="230"/>
      <c r="R96" s="256"/>
      <c r="S96" s="257"/>
      <c r="T96" s="228"/>
      <c r="U96" s="228"/>
      <c r="V96" s="245"/>
      <c r="W96" s="254"/>
      <c r="X96" s="254"/>
      <c r="Y96" s="228"/>
      <c r="Z96" s="255"/>
      <c r="AA96" s="248"/>
      <c r="AB96" s="248"/>
      <c r="AC96" s="248"/>
      <c r="AD96" s="247"/>
      <c r="AE96" s="228"/>
      <c r="AF96" s="228"/>
      <c r="AG96" s="248"/>
      <c r="AH96" s="248"/>
      <c r="AI96" s="194"/>
      <c r="AJ96" s="249"/>
      <c r="AK96" s="250"/>
      <c r="AL96" s="251"/>
      <c r="AM96" s="252"/>
      <c r="AN96" s="241"/>
      <c r="AO96" s="241"/>
      <c r="AP96" s="241"/>
      <c r="AQ96" s="194"/>
      <c r="AR96" s="195"/>
      <c r="AS96" s="195"/>
    </row>
    <row r="97" spans="2:45">
      <c r="B97" s="253"/>
      <c r="C97" s="230"/>
      <c r="D97" s="245"/>
      <c r="E97" s="230"/>
      <c r="F97" s="230"/>
      <c r="G97" s="230"/>
      <c r="H97" s="230"/>
      <c r="I97" s="228"/>
      <c r="J97" s="228"/>
      <c r="K97" s="230"/>
      <c r="L97" s="230"/>
      <c r="M97" s="246"/>
      <c r="N97" s="230"/>
      <c r="O97" s="230"/>
      <c r="P97" s="230"/>
      <c r="Q97" s="230"/>
      <c r="R97" s="256"/>
      <c r="S97" s="257"/>
      <c r="T97" s="228"/>
      <c r="U97" s="228"/>
      <c r="V97" s="245"/>
      <c r="W97" s="254"/>
      <c r="X97" s="254"/>
      <c r="Y97" s="228"/>
      <c r="Z97" s="255"/>
      <c r="AA97" s="248"/>
      <c r="AB97" s="248"/>
      <c r="AC97" s="248"/>
      <c r="AD97" s="247"/>
      <c r="AE97" s="228"/>
      <c r="AF97" s="228"/>
      <c r="AG97" s="248"/>
      <c r="AH97" s="248"/>
      <c r="AI97" s="194"/>
      <c r="AJ97" s="249"/>
      <c r="AK97" s="250"/>
      <c r="AL97" s="251"/>
      <c r="AM97" s="252"/>
      <c r="AN97" s="241"/>
      <c r="AO97" s="241"/>
      <c r="AP97" s="241"/>
      <c r="AQ97" s="194"/>
      <c r="AR97" s="195"/>
      <c r="AS97" s="195"/>
    </row>
    <row r="98" spans="2:45">
      <c r="B98" s="253"/>
      <c r="C98" s="230"/>
      <c r="D98" s="245"/>
      <c r="E98" s="230"/>
      <c r="F98" s="230"/>
      <c r="G98" s="230"/>
      <c r="H98" s="230"/>
      <c r="I98" s="228"/>
      <c r="J98" s="228"/>
      <c r="K98" s="230"/>
      <c r="L98" s="230"/>
      <c r="M98" s="246"/>
      <c r="N98" s="230"/>
      <c r="O98" s="230"/>
      <c r="P98" s="230"/>
      <c r="Q98" s="230"/>
      <c r="R98" s="256"/>
      <c r="S98" s="257"/>
      <c r="T98" s="228"/>
      <c r="U98" s="228"/>
      <c r="V98" s="245"/>
      <c r="W98" s="254"/>
      <c r="X98" s="254"/>
      <c r="Y98" s="228"/>
      <c r="Z98" s="255"/>
      <c r="AA98" s="248"/>
      <c r="AB98" s="248"/>
      <c r="AC98" s="248"/>
      <c r="AD98" s="247"/>
      <c r="AE98" s="228"/>
      <c r="AF98" s="228"/>
      <c r="AG98" s="248"/>
      <c r="AH98" s="248"/>
      <c r="AI98" s="194"/>
      <c r="AJ98" s="249"/>
      <c r="AK98" s="250"/>
      <c r="AL98" s="251"/>
      <c r="AM98" s="252"/>
      <c r="AN98" s="241"/>
      <c r="AO98" s="241"/>
      <c r="AP98" s="241"/>
      <c r="AQ98" s="194"/>
      <c r="AR98" s="195"/>
      <c r="AS98" s="195"/>
    </row>
    <row r="99" spans="2:45">
      <c r="B99" s="253"/>
      <c r="C99" s="230"/>
      <c r="D99" s="245"/>
      <c r="E99" s="230"/>
      <c r="F99" s="230"/>
      <c r="G99" s="230"/>
      <c r="H99" s="230"/>
      <c r="I99" s="228"/>
      <c r="J99" s="228"/>
      <c r="K99" s="230"/>
      <c r="L99" s="230"/>
      <c r="M99" s="246"/>
      <c r="N99" s="230"/>
      <c r="O99" s="230"/>
      <c r="P99" s="230"/>
      <c r="Q99" s="230"/>
      <c r="R99" s="256"/>
      <c r="S99" s="257"/>
      <c r="T99" s="228"/>
      <c r="U99" s="228"/>
      <c r="V99" s="245"/>
      <c r="W99" s="254"/>
      <c r="X99" s="254"/>
      <c r="Y99" s="228"/>
      <c r="Z99" s="255"/>
      <c r="AA99" s="248"/>
      <c r="AB99" s="248"/>
      <c r="AC99" s="248"/>
      <c r="AD99" s="247"/>
      <c r="AE99" s="228"/>
      <c r="AF99" s="228"/>
      <c r="AG99" s="248"/>
      <c r="AH99" s="248"/>
      <c r="AI99" s="194"/>
      <c r="AJ99" s="249"/>
      <c r="AK99" s="250"/>
      <c r="AL99" s="251"/>
      <c r="AM99" s="252"/>
      <c r="AN99" s="241"/>
      <c r="AO99" s="241"/>
      <c r="AP99" s="241"/>
      <c r="AQ99" s="194"/>
      <c r="AR99" s="195"/>
      <c r="AS99" s="195"/>
    </row>
    <row r="100" spans="2:45">
      <c r="B100" s="253"/>
      <c r="C100" s="230"/>
      <c r="D100" s="245"/>
      <c r="E100" s="230"/>
      <c r="F100" s="230"/>
      <c r="G100" s="230"/>
      <c r="H100" s="230"/>
      <c r="I100" s="228"/>
      <c r="J100" s="228"/>
      <c r="K100" s="230"/>
      <c r="L100" s="230"/>
      <c r="M100" s="246"/>
      <c r="N100" s="230"/>
      <c r="O100" s="230"/>
      <c r="P100" s="230"/>
      <c r="Q100" s="230"/>
      <c r="R100" s="256"/>
      <c r="S100" s="257"/>
      <c r="T100" s="228"/>
      <c r="U100" s="228"/>
      <c r="V100" s="245"/>
      <c r="W100" s="254"/>
      <c r="X100" s="254"/>
      <c r="Y100" s="228"/>
      <c r="Z100" s="255"/>
      <c r="AA100" s="248"/>
      <c r="AB100" s="248"/>
      <c r="AC100" s="248"/>
      <c r="AD100" s="247"/>
      <c r="AE100" s="228"/>
      <c r="AF100" s="228"/>
      <c r="AG100" s="248"/>
      <c r="AH100" s="248"/>
      <c r="AI100" s="194"/>
      <c r="AJ100" s="249"/>
      <c r="AK100" s="250"/>
      <c r="AL100" s="251"/>
      <c r="AM100" s="252"/>
      <c r="AN100" s="241"/>
      <c r="AO100" s="241"/>
      <c r="AP100" s="241"/>
      <c r="AQ100" s="194"/>
      <c r="AR100" s="195"/>
      <c r="AS100" s="195"/>
    </row>
    <row r="101" spans="2:45">
      <c r="B101" s="253"/>
      <c r="C101" s="230"/>
      <c r="D101" s="245"/>
      <c r="E101" s="230"/>
      <c r="F101" s="230"/>
      <c r="G101" s="230"/>
      <c r="H101" s="230"/>
      <c r="I101" s="228"/>
      <c r="J101" s="228"/>
      <c r="K101" s="230"/>
      <c r="L101" s="230"/>
      <c r="M101" s="246"/>
      <c r="N101" s="230"/>
      <c r="O101" s="230"/>
      <c r="P101" s="230"/>
      <c r="Q101" s="230"/>
      <c r="R101" s="256"/>
      <c r="S101" s="257"/>
      <c r="T101" s="228"/>
      <c r="U101" s="228"/>
      <c r="V101" s="245"/>
      <c r="W101" s="254"/>
      <c r="X101" s="254"/>
      <c r="Y101" s="228"/>
      <c r="Z101" s="255"/>
      <c r="AA101" s="248"/>
      <c r="AB101" s="248"/>
      <c r="AC101" s="248"/>
      <c r="AD101" s="247"/>
      <c r="AE101" s="228"/>
      <c r="AF101" s="228"/>
      <c r="AG101" s="248"/>
      <c r="AH101" s="248"/>
      <c r="AI101" s="194"/>
      <c r="AJ101" s="249"/>
      <c r="AK101" s="250"/>
      <c r="AL101" s="251"/>
      <c r="AM101" s="252"/>
      <c r="AN101" s="241"/>
      <c r="AO101" s="241"/>
      <c r="AP101" s="241"/>
      <c r="AQ101" s="194"/>
      <c r="AR101" s="195"/>
      <c r="AS101" s="195"/>
    </row>
    <row r="102" spans="2:45">
      <c r="B102" s="253"/>
      <c r="C102" s="230"/>
      <c r="D102" s="245"/>
      <c r="E102" s="230"/>
      <c r="F102" s="230"/>
      <c r="G102" s="230"/>
      <c r="H102" s="230"/>
      <c r="I102" s="228"/>
      <c r="J102" s="228"/>
      <c r="K102" s="230"/>
      <c r="L102" s="230"/>
      <c r="M102" s="246"/>
      <c r="N102" s="230"/>
      <c r="O102" s="230"/>
      <c r="P102" s="230"/>
      <c r="Q102" s="230"/>
      <c r="R102" s="256"/>
      <c r="S102" s="257"/>
      <c r="T102" s="228"/>
      <c r="U102" s="228"/>
      <c r="V102" s="245"/>
      <c r="W102" s="254"/>
      <c r="X102" s="254"/>
      <c r="Y102" s="228"/>
      <c r="Z102" s="255"/>
      <c r="AA102" s="248"/>
      <c r="AB102" s="248"/>
      <c r="AC102" s="248"/>
      <c r="AD102" s="247"/>
      <c r="AE102" s="228"/>
      <c r="AF102" s="228"/>
      <c r="AG102" s="248"/>
      <c r="AH102" s="248"/>
      <c r="AI102" s="194"/>
      <c r="AJ102" s="249"/>
      <c r="AK102" s="250"/>
      <c r="AL102" s="251"/>
      <c r="AM102" s="252"/>
      <c r="AN102" s="241"/>
      <c r="AO102" s="241"/>
      <c r="AP102" s="241"/>
      <c r="AQ102" s="194"/>
      <c r="AR102" s="195"/>
      <c r="AS102" s="195"/>
    </row>
    <row r="103" spans="2:45">
      <c r="B103" s="253"/>
      <c r="C103" s="230"/>
      <c r="D103" s="245"/>
      <c r="E103" s="230"/>
      <c r="F103" s="230"/>
      <c r="G103" s="230"/>
      <c r="H103" s="230"/>
      <c r="I103" s="228"/>
      <c r="J103" s="228"/>
      <c r="K103" s="230"/>
      <c r="L103" s="230"/>
      <c r="M103" s="246"/>
      <c r="N103" s="230"/>
      <c r="O103" s="230"/>
      <c r="P103" s="230"/>
      <c r="Q103" s="230"/>
      <c r="R103" s="256"/>
      <c r="S103" s="257"/>
      <c r="T103" s="228"/>
      <c r="U103" s="228"/>
      <c r="V103" s="245"/>
      <c r="W103" s="254"/>
      <c r="X103" s="254"/>
      <c r="Y103" s="228"/>
      <c r="Z103" s="255"/>
      <c r="AA103" s="248"/>
      <c r="AB103" s="248"/>
      <c r="AC103" s="248"/>
      <c r="AD103" s="247"/>
      <c r="AE103" s="228"/>
      <c r="AF103" s="228"/>
      <c r="AG103" s="248"/>
      <c r="AH103" s="248"/>
      <c r="AI103" s="194"/>
      <c r="AJ103" s="249"/>
      <c r="AK103" s="250"/>
      <c r="AL103" s="251"/>
      <c r="AM103" s="252"/>
      <c r="AN103" s="241"/>
      <c r="AO103" s="241"/>
      <c r="AP103" s="241"/>
      <c r="AQ103" s="194"/>
      <c r="AR103" s="195"/>
      <c r="AS103" s="195"/>
    </row>
    <row r="104" spans="2:45">
      <c r="B104" s="253"/>
      <c r="C104" s="230"/>
      <c r="D104" s="245"/>
      <c r="E104" s="230"/>
      <c r="F104" s="230"/>
      <c r="G104" s="230"/>
      <c r="H104" s="230"/>
      <c r="I104" s="228"/>
      <c r="J104" s="228"/>
      <c r="K104" s="230"/>
      <c r="L104" s="230"/>
      <c r="M104" s="246"/>
      <c r="N104" s="230"/>
      <c r="O104" s="230"/>
      <c r="P104" s="230"/>
      <c r="Q104" s="230"/>
      <c r="R104" s="256"/>
      <c r="S104" s="257"/>
      <c r="T104" s="228"/>
      <c r="U104" s="228"/>
      <c r="V104" s="245"/>
      <c r="W104" s="254"/>
      <c r="X104" s="254"/>
      <c r="Y104" s="228"/>
      <c r="Z104" s="255"/>
      <c r="AA104" s="248"/>
      <c r="AB104" s="248"/>
      <c r="AC104" s="248"/>
      <c r="AD104" s="247"/>
      <c r="AE104" s="228"/>
      <c r="AF104" s="228"/>
      <c r="AG104" s="248"/>
      <c r="AH104" s="248"/>
      <c r="AI104" s="194"/>
      <c r="AJ104" s="249"/>
      <c r="AK104" s="250"/>
      <c r="AL104" s="251"/>
      <c r="AM104" s="252"/>
      <c r="AN104" s="241"/>
      <c r="AO104" s="241"/>
      <c r="AP104" s="241"/>
      <c r="AQ104" s="194"/>
      <c r="AR104" s="195"/>
      <c r="AS104" s="195"/>
    </row>
    <row r="105" spans="2:45">
      <c r="B105" s="253"/>
      <c r="C105" s="230"/>
      <c r="D105" s="245"/>
      <c r="E105" s="230"/>
      <c r="F105" s="230"/>
      <c r="G105" s="230"/>
      <c r="H105" s="230"/>
      <c r="I105" s="228"/>
      <c r="J105" s="228"/>
      <c r="K105" s="230"/>
      <c r="L105" s="230"/>
      <c r="M105" s="246"/>
      <c r="N105" s="230"/>
      <c r="O105" s="230"/>
      <c r="P105" s="230"/>
      <c r="Q105" s="230"/>
      <c r="R105" s="256"/>
      <c r="S105" s="257"/>
      <c r="T105" s="228"/>
      <c r="U105" s="228"/>
      <c r="V105" s="245"/>
      <c r="W105" s="254"/>
      <c r="X105" s="254"/>
      <c r="Y105" s="228"/>
      <c r="Z105" s="255"/>
      <c r="AA105" s="248"/>
      <c r="AB105" s="248"/>
      <c r="AC105" s="248"/>
      <c r="AD105" s="247"/>
      <c r="AE105" s="228"/>
      <c r="AF105" s="228"/>
      <c r="AG105" s="248"/>
      <c r="AH105" s="248"/>
      <c r="AI105" s="194"/>
      <c r="AJ105" s="249"/>
      <c r="AK105" s="250"/>
      <c r="AL105" s="251"/>
      <c r="AM105" s="252"/>
      <c r="AN105" s="241"/>
      <c r="AO105" s="241"/>
      <c r="AP105" s="241"/>
      <c r="AQ105" s="194"/>
      <c r="AR105" s="195"/>
      <c r="AS105" s="195"/>
    </row>
    <row r="106" spans="2:45">
      <c r="B106" s="253"/>
      <c r="C106" s="230"/>
      <c r="D106" s="245"/>
      <c r="E106" s="230"/>
      <c r="F106" s="230"/>
      <c r="G106" s="230"/>
      <c r="H106" s="230"/>
      <c r="I106" s="228"/>
      <c r="J106" s="228"/>
      <c r="K106" s="230"/>
      <c r="L106" s="230"/>
      <c r="M106" s="246"/>
      <c r="N106" s="230"/>
      <c r="O106" s="230"/>
      <c r="P106" s="230"/>
      <c r="Q106" s="230"/>
      <c r="R106" s="256"/>
      <c r="S106" s="257"/>
      <c r="T106" s="228"/>
      <c r="U106" s="228"/>
      <c r="V106" s="245"/>
      <c r="W106" s="254"/>
      <c r="X106" s="254"/>
      <c r="Y106" s="228"/>
      <c r="Z106" s="255"/>
      <c r="AA106" s="248"/>
      <c r="AB106" s="248"/>
      <c r="AC106" s="248"/>
      <c r="AD106" s="247"/>
      <c r="AE106" s="228"/>
      <c r="AF106" s="228"/>
      <c r="AG106" s="248"/>
      <c r="AH106" s="248"/>
      <c r="AI106" s="194"/>
      <c r="AJ106" s="249"/>
      <c r="AK106" s="250"/>
      <c r="AL106" s="251"/>
      <c r="AM106" s="252"/>
      <c r="AN106" s="241"/>
      <c r="AO106" s="241"/>
      <c r="AP106" s="241"/>
      <c r="AQ106" s="194"/>
      <c r="AR106" s="195"/>
      <c r="AS106" s="195"/>
    </row>
    <row r="107" spans="2:45">
      <c r="B107" s="253"/>
      <c r="C107" s="230"/>
      <c r="D107" s="245"/>
      <c r="E107" s="230"/>
      <c r="F107" s="230"/>
      <c r="G107" s="230"/>
      <c r="H107" s="230"/>
      <c r="I107" s="228"/>
      <c r="J107" s="228"/>
      <c r="K107" s="230"/>
      <c r="L107" s="230"/>
      <c r="M107" s="246"/>
      <c r="N107" s="230"/>
      <c r="O107" s="230"/>
      <c r="P107" s="230"/>
      <c r="Q107" s="230"/>
      <c r="R107" s="256"/>
      <c r="S107" s="257"/>
      <c r="T107" s="228"/>
      <c r="U107" s="228"/>
      <c r="V107" s="245"/>
      <c r="W107" s="254"/>
      <c r="X107" s="254"/>
      <c r="Y107" s="228"/>
      <c r="Z107" s="255"/>
      <c r="AA107" s="248"/>
      <c r="AB107" s="248"/>
      <c r="AC107" s="248"/>
      <c r="AD107" s="247"/>
      <c r="AE107" s="228"/>
      <c r="AF107" s="228"/>
      <c r="AG107" s="248"/>
      <c r="AH107" s="248"/>
      <c r="AI107" s="194"/>
      <c r="AJ107" s="249"/>
      <c r="AK107" s="250"/>
      <c r="AL107" s="251"/>
      <c r="AM107" s="252"/>
      <c r="AN107" s="241"/>
      <c r="AO107" s="241"/>
      <c r="AP107" s="241"/>
      <c r="AQ107" s="194"/>
      <c r="AR107" s="195"/>
      <c r="AS107" s="195"/>
    </row>
    <row r="108" spans="2:45">
      <c r="B108" s="253"/>
      <c r="C108" s="230"/>
      <c r="D108" s="245"/>
      <c r="E108" s="230"/>
      <c r="F108" s="230"/>
      <c r="G108" s="230"/>
      <c r="H108" s="230"/>
      <c r="I108" s="228"/>
      <c r="J108" s="228"/>
      <c r="K108" s="230"/>
      <c r="L108" s="230"/>
      <c r="M108" s="246"/>
      <c r="N108" s="230"/>
      <c r="O108" s="230"/>
      <c r="P108" s="230"/>
      <c r="Q108" s="230"/>
      <c r="R108" s="256"/>
      <c r="S108" s="257"/>
      <c r="T108" s="228"/>
      <c r="U108" s="228"/>
      <c r="V108" s="245"/>
      <c r="W108" s="254"/>
      <c r="X108" s="254"/>
      <c r="Y108" s="228"/>
      <c r="Z108" s="255"/>
      <c r="AA108" s="248"/>
      <c r="AB108" s="248"/>
      <c r="AC108" s="248"/>
      <c r="AD108" s="247"/>
      <c r="AE108" s="228"/>
      <c r="AF108" s="228"/>
      <c r="AG108" s="248"/>
      <c r="AH108" s="248"/>
      <c r="AI108" s="194"/>
      <c r="AJ108" s="249"/>
      <c r="AK108" s="250"/>
      <c r="AL108" s="251"/>
      <c r="AM108" s="252"/>
      <c r="AN108" s="241"/>
      <c r="AO108" s="241"/>
      <c r="AP108" s="241"/>
      <c r="AQ108" s="194"/>
      <c r="AR108" s="195"/>
      <c r="AS108" s="195"/>
    </row>
    <row r="109" spans="2:45">
      <c r="B109" s="253"/>
      <c r="C109" s="230"/>
      <c r="D109" s="245"/>
      <c r="E109" s="230"/>
      <c r="F109" s="230"/>
      <c r="G109" s="230"/>
      <c r="H109" s="230"/>
      <c r="I109" s="228"/>
      <c r="J109" s="228"/>
      <c r="K109" s="230"/>
      <c r="L109" s="230"/>
      <c r="M109" s="246"/>
      <c r="N109" s="230"/>
      <c r="O109" s="230"/>
      <c r="P109" s="230"/>
      <c r="Q109" s="230"/>
      <c r="R109" s="256"/>
      <c r="S109" s="257"/>
      <c r="T109" s="228"/>
      <c r="U109" s="228"/>
      <c r="V109" s="245"/>
      <c r="W109" s="254"/>
      <c r="X109" s="254"/>
      <c r="Y109" s="228"/>
      <c r="Z109" s="255"/>
      <c r="AA109" s="248"/>
      <c r="AB109" s="248"/>
      <c r="AC109" s="248"/>
      <c r="AD109" s="247"/>
      <c r="AE109" s="228"/>
      <c r="AF109" s="228"/>
      <c r="AG109" s="248"/>
      <c r="AH109" s="248"/>
      <c r="AI109" s="194"/>
      <c r="AJ109" s="249"/>
      <c r="AK109" s="250"/>
      <c r="AL109" s="251"/>
      <c r="AM109" s="252"/>
      <c r="AN109" s="241"/>
      <c r="AO109" s="241"/>
      <c r="AP109" s="241"/>
      <c r="AQ109" s="194"/>
      <c r="AR109" s="195"/>
      <c r="AS109" s="195"/>
    </row>
    <row r="110" spans="2:45">
      <c r="B110" s="253"/>
      <c r="C110" s="230"/>
      <c r="D110" s="245"/>
      <c r="E110" s="230"/>
      <c r="F110" s="230"/>
      <c r="G110" s="230"/>
      <c r="H110" s="230"/>
      <c r="I110" s="228"/>
      <c r="J110" s="228"/>
      <c r="K110" s="230"/>
      <c r="L110" s="230"/>
      <c r="M110" s="246"/>
      <c r="N110" s="230"/>
      <c r="O110" s="230"/>
      <c r="P110" s="230"/>
      <c r="Q110" s="230"/>
      <c r="R110" s="256"/>
      <c r="S110" s="257"/>
      <c r="T110" s="228"/>
      <c r="U110" s="228"/>
      <c r="V110" s="245"/>
      <c r="W110" s="254"/>
      <c r="X110" s="254"/>
      <c r="Y110" s="228"/>
      <c r="Z110" s="255"/>
      <c r="AA110" s="248"/>
      <c r="AB110" s="248"/>
      <c r="AC110" s="248"/>
      <c r="AD110" s="247"/>
      <c r="AE110" s="228"/>
      <c r="AF110" s="228"/>
      <c r="AG110" s="248"/>
      <c r="AH110" s="248"/>
      <c r="AI110" s="194"/>
      <c r="AJ110" s="249"/>
      <c r="AK110" s="250"/>
      <c r="AL110" s="251"/>
      <c r="AM110" s="252"/>
      <c r="AN110" s="241"/>
      <c r="AO110" s="241"/>
      <c r="AP110" s="241"/>
      <c r="AQ110" s="194"/>
      <c r="AR110" s="195"/>
      <c r="AS110" s="195"/>
    </row>
    <row r="111" spans="2:45">
      <c r="B111" s="253"/>
      <c r="C111" s="230"/>
      <c r="D111" s="245"/>
      <c r="E111" s="230"/>
      <c r="F111" s="230"/>
      <c r="G111" s="230"/>
      <c r="H111" s="230"/>
      <c r="I111" s="228"/>
      <c r="J111" s="228"/>
      <c r="K111" s="230"/>
      <c r="L111" s="230"/>
      <c r="M111" s="246"/>
      <c r="N111" s="230"/>
      <c r="O111" s="230"/>
      <c r="P111" s="230"/>
      <c r="Q111" s="230"/>
      <c r="R111" s="256"/>
      <c r="S111" s="257"/>
      <c r="T111" s="228"/>
      <c r="U111" s="228"/>
      <c r="V111" s="245"/>
      <c r="W111" s="254"/>
      <c r="X111" s="254"/>
      <c r="Y111" s="228"/>
      <c r="Z111" s="255"/>
      <c r="AA111" s="248"/>
      <c r="AB111" s="248"/>
      <c r="AC111" s="248"/>
      <c r="AD111" s="247"/>
      <c r="AE111" s="228"/>
      <c r="AF111" s="228"/>
      <c r="AG111" s="248"/>
      <c r="AH111" s="248"/>
      <c r="AI111" s="194"/>
      <c r="AJ111" s="249"/>
      <c r="AK111" s="250"/>
      <c r="AL111" s="251"/>
      <c r="AM111" s="252"/>
      <c r="AN111" s="241"/>
      <c r="AO111" s="241"/>
      <c r="AP111" s="241"/>
      <c r="AQ111" s="194"/>
      <c r="AR111" s="195"/>
      <c r="AS111" s="195"/>
    </row>
    <row r="112" spans="2:45">
      <c r="B112" s="253"/>
      <c r="C112" s="230"/>
      <c r="D112" s="245"/>
      <c r="E112" s="230"/>
      <c r="F112" s="230"/>
      <c r="G112" s="230"/>
      <c r="H112" s="230"/>
      <c r="I112" s="228"/>
      <c r="J112" s="228"/>
      <c r="K112" s="230"/>
      <c r="L112" s="230"/>
      <c r="M112" s="246"/>
      <c r="N112" s="230"/>
      <c r="O112" s="230"/>
      <c r="P112" s="230"/>
      <c r="Q112" s="230"/>
      <c r="R112" s="256"/>
      <c r="S112" s="257"/>
      <c r="T112" s="228"/>
      <c r="U112" s="228"/>
      <c r="V112" s="245"/>
      <c r="W112" s="254"/>
      <c r="X112" s="254"/>
      <c r="Y112" s="228"/>
      <c r="Z112" s="255"/>
      <c r="AA112" s="248"/>
      <c r="AB112" s="248"/>
      <c r="AC112" s="248"/>
      <c r="AD112" s="247"/>
      <c r="AE112" s="228"/>
      <c r="AF112" s="228"/>
      <c r="AG112" s="248"/>
      <c r="AH112" s="248"/>
      <c r="AI112" s="194"/>
      <c r="AJ112" s="249"/>
      <c r="AK112" s="250"/>
      <c r="AL112" s="251"/>
      <c r="AM112" s="252"/>
      <c r="AN112" s="241"/>
      <c r="AO112" s="241"/>
      <c r="AP112" s="241"/>
      <c r="AQ112" s="194"/>
      <c r="AR112" s="195"/>
      <c r="AS112" s="195"/>
    </row>
    <row r="113" spans="2:45">
      <c r="B113" s="253"/>
      <c r="C113" s="230"/>
      <c r="D113" s="245"/>
      <c r="E113" s="230"/>
      <c r="F113" s="230"/>
      <c r="G113" s="230"/>
      <c r="H113" s="230"/>
      <c r="I113" s="228"/>
      <c r="J113" s="228"/>
      <c r="K113" s="230"/>
      <c r="L113" s="230"/>
      <c r="M113" s="246"/>
      <c r="N113" s="230"/>
      <c r="O113" s="230"/>
      <c r="P113" s="230"/>
      <c r="Q113" s="230"/>
      <c r="R113" s="256"/>
      <c r="S113" s="257"/>
      <c r="T113" s="228"/>
      <c r="U113" s="228"/>
      <c r="V113" s="245"/>
      <c r="W113" s="254"/>
      <c r="X113" s="254"/>
      <c r="Y113" s="228"/>
      <c r="Z113" s="255"/>
      <c r="AA113" s="248"/>
      <c r="AB113" s="248"/>
      <c r="AC113" s="248"/>
      <c r="AD113" s="247"/>
      <c r="AE113" s="228"/>
      <c r="AF113" s="228"/>
      <c r="AG113" s="248"/>
      <c r="AH113" s="248"/>
      <c r="AI113" s="194"/>
      <c r="AJ113" s="249"/>
      <c r="AK113" s="250"/>
      <c r="AL113" s="251"/>
      <c r="AM113" s="252"/>
      <c r="AN113" s="241"/>
      <c r="AO113" s="241"/>
      <c r="AP113" s="241"/>
      <c r="AQ113" s="194"/>
      <c r="AR113" s="195"/>
      <c r="AS113" s="195"/>
    </row>
    <row r="114" spans="2:45">
      <c r="B114" s="253"/>
      <c r="C114" s="230"/>
      <c r="D114" s="245"/>
      <c r="E114" s="230"/>
      <c r="F114" s="230"/>
      <c r="G114" s="230"/>
      <c r="H114" s="230"/>
      <c r="I114" s="228"/>
      <c r="J114" s="228"/>
      <c r="K114" s="230"/>
      <c r="L114" s="230"/>
      <c r="M114" s="246"/>
      <c r="N114" s="230"/>
      <c r="O114" s="230"/>
      <c r="P114" s="230"/>
      <c r="Q114" s="230"/>
      <c r="R114" s="256"/>
      <c r="S114" s="257"/>
      <c r="T114" s="228"/>
      <c r="U114" s="228"/>
      <c r="V114" s="245"/>
      <c r="W114" s="254"/>
      <c r="X114" s="254"/>
      <c r="Y114" s="228"/>
      <c r="Z114" s="255"/>
      <c r="AA114" s="248"/>
      <c r="AB114" s="248"/>
      <c r="AC114" s="248"/>
      <c r="AD114" s="247"/>
      <c r="AE114" s="228"/>
      <c r="AF114" s="228"/>
      <c r="AG114" s="248"/>
      <c r="AH114" s="248"/>
      <c r="AI114" s="194"/>
      <c r="AJ114" s="249"/>
      <c r="AK114" s="250"/>
      <c r="AL114" s="251"/>
      <c r="AM114" s="252"/>
      <c r="AN114" s="241"/>
      <c r="AO114" s="241"/>
      <c r="AP114" s="241"/>
      <c r="AQ114" s="194"/>
      <c r="AR114" s="195"/>
      <c r="AS114" s="195"/>
    </row>
    <row r="115" spans="2:45">
      <c r="B115" s="253"/>
      <c r="C115" s="230"/>
      <c r="D115" s="245"/>
      <c r="E115" s="230"/>
      <c r="F115" s="230"/>
      <c r="G115" s="230"/>
      <c r="H115" s="230"/>
      <c r="I115" s="228"/>
      <c r="J115" s="228"/>
      <c r="K115" s="230"/>
      <c r="L115" s="230"/>
      <c r="M115" s="246"/>
      <c r="N115" s="230"/>
      <c r="O115" s="230"/>
      <c r="P115" s="230"/>
      <c r="Q115" s="230"/>
      <c r="R115" s="256"/>
      <c r="S115" s="257"/>
      <c r="T115" s="228"/>
      <c r="U115" s="228"/>
      <c r="V115" s="245"/>
      <c r="W115" s="254"/>
      <c r="X115" s="254"/>
      <c r="Y115" s="228"/>
      <c r="Z115" s="255"/>
      <c r="AA115" s="248"/>
      <c r="AB115" s="248"/>
      <c r="AC115" s="248"/>
      <c r="AD115" s="247"/>
      <c r="AE115" s="228"/>
      <c r="AF115" s="228"/>
      <c r="AG115" s="248"/>
      <c r="AH115" s="248"/>
      <c r="AI115" s="194"/>
      <c r="AJ115" s="249"/>
      <c r="AK115" s="250"/>
      <c r="AL115" s="251"/>
      <c r="AM115" s="252"/>
      <c r="AN115" s="241"/>
      <c r="AO115" s="241"/>
      <c r="AP115" s="241"/>
      <c r="AQ115" s="194"/>
      <c r="AR115" s="195"/>
      <c r="AS115" s="195"/>
    </row>
    <row r="116" spans="2:45">
      <c r="B116" s="253"/>
      <c r="C116" s="230"/>
      <c r="D116" s="245"/>
      <c r="E116" s="230"/>
      <c r="F116" s="230"/>
      <c r="G116" s="230"/>
      <c r="H116" s="230"/>
      <c r="I116" s="228"/>
      <c r="J116" s="228"/>
      <c r="K116" s="230"/>
      <c r="L116" s="230"/>
      <c r="M116" s="246"/>
      <c r="N116" s="230"/>
      <c r="O116" s="230"/>
      <c r="P116" s="230"/>
      <c r="Q116" s="230"/>
      <c r="R116" s="256"/>
      <c r="S116" s="257"/>
      <c r="T116" s="228"/>
      <c r="U116" s="228"/>
      <c r="V116" s="245"/>
      <c r="W116" s="254"/>
      <c r="X116" s="254"/>
      <c r="Y116" s="228"/>
      <c r="Z116" s="255"/>
      <c r="AA116" s="248"/>
      <c r="AB116" s="248"/>
      <c r="AC116" s="248"/>
      <c r="AD116" s="247"/>
      <c r="AE116" s="228"/>
      <c r="AF116" s="228"/>
      <c r="AG116" s="248"/>
      <c r="AH116" s="248"/>
      <c r="AI116" s="194"/>
      <c r="AJ116" s="249"/>
      <c r="AK116" s="250"/>
      <c r="AL116" s="251"/>
      <c r="AM116" s="252"/>
      <c r="AN116" s="241"/>
      <c r="AO116" s="241"/>
      <c r="AP116" s="241"/>
      <c r="AQ116" s="194"/>
      <c r="AR116" s="195"/>
      <c r="AS116" s="195"/>
    </row>
    <row r="117" spans="2:45">
      <c r="B117" s="253"/>
      <c r="C117" s="230"/>
      <c r="D117" s="245"/>
      <c r="E117" s="230"/>
      <c r="F117" s="230"/>
      <c r="G117" s="230"/>
      <c r="H117" s="230"/>
      <c r="I117" s="228"/>
      <c r="J117" s="228"/>
      <c r="K117" s="230"/>
      <c r="L117" s="230"/>
      <c r="M117" s="246"/>
      <c r="N117" s="230"/>
      <c r="O117" s="230"/>
      <c r="P117" s="230"/>
      <c r="Q117" s="230"/>
      <c r="R117" s="256"/>
      <c r="S117" s="257"/>
      <c r="T117" s="228"/>
      <c r="U117" s="228"/>
      <c r="V117" s="245"/>
      <c r="W117" s="254"/>
      <c r="X117" s="254"/>
      <c r="Y117" s="228"/>
      <c r="Z117" s="255"/>
      <c r="AA117" s="248"/>
      <c r="AB117" s="248"/>
      <c r="AC117" s="248"/>
      <c r="AD117" s="247"/>
      <c r="AE117" s="228"/>
      <c r="AF117" s="228"/>
      <c r="AG117" s="248"/>
      <c r="AH117" s="248"/>
      <c r="AI117" s="194"/>
      <c r="AJ117" s="249"/>
      <c r="AK117" s="250"/>
      <c r="AL117" s="251"/>
      <c r="AM117" s="252"/>
      <c r="AN117" s="241"/>
      <c r="AO117" s="241"/>
      <c r="AP117" s="241"/>
      <c r="AQ117" s="194"/>
      <c r="AR117" s="195"/>
      <c r="AS117" s="195"/>
    </row>
    <row r="118" spans="2:45">
      <c r="B118" s="253"/>
      <c r="C118" s="230"/>
      <c r="D118" s="245"/>
      <c r="E118" s="230"/>
      <c r="F118" s="230"/>
      <c r="G118" s="230"/>
      <c r="H118" s="230"/>
      <c r="I118" s="228"/>
      <c r="J118" s="228"/>
      <c r="K118" s="230"/>
      <c r="L118" s="230"/>
      <c r="M118" s="246"/>
      <c r="N118" s="230"/>
      <c r="O118" s="230"/>
      <c r="P118" s="230"/>
      <c r="Q118" s="230"/>
      <c r="R118" s="256"/>
      <c r="S118" s="257"/>
      <c r="T118" s="228"/>
      <c r="U118" s="228"/>
      <c r="V118" s="245"/>
      <c r="W118" s="254"/>
      <c r="X118" s="254"/>
      <c r="Y118" s="228"/>
      <c r="Z118" s="255"/>
      <c r="AA118" s="248"/>
      <c r="AB118" s="248"/>
      <c r="AC118" s="248"/>
      <c r="AD118" s="247"/>
      <c r="AE118" s="228"/>
      <c r="AF118" s="228"/>
      <c r="AG118" s="248"/>
      <c r="AH118" s="248"/>
      <c r="AI118" s="194"/>
      <c r="AJ118" s="249"/>
      <c r="AK118" s="250"/>
      <c r="AL118" s="251"/>
      <c r="AM118" s="252"/>
      <c r="AN118" s="241"/>
      <c r="AO118" s="241"/>
      <c r="AP118" s="241"/>
      <c r="AQ118" s="194"/>
      <c r="AR118" s="195"/>
      <c r="AS118" s="195"/>
    </row>
    <row r="119" spans="2:45">
      <c r="B119" s="253"/>
      <c r="C119" s="230"/>
      <c r="D119" s="245"/>
      <c r="E119" s="230"/>
      <c r="F119" s="230"/>
      <c r="G119" s="230"/>
      <c r="H119" s="230"/>
      <c r="I119" s="228"/>
      <c r="J119" s="228"/>
      <c r="K119" s="230"/>
      <c r="L119" s="230"/>
      <c r="M119" s="246"/>
      <c r="N119" s="230"/>
      <c r="O119" s="230"/>
      <c r="P119" s="230"/>
      <c r="Q119" s="230"/>
      <c r="R119" s="256"/>
      <c r="S119" s="257"/>
      <c r="T119" s="228"/>
      <c r="U119" s="228"/>
      <c r="V119" s="245"/>
      <c r="W119" s="254"/>
      <c r="X119" s="254"/>
      <c r="Y119" s="228"/>
      <c r="Z119" s="255"/>
      <c r="AA119" s="248"/>
      <c r="AB119" s="248"/>
      <c r="AC119" s="248"/>
      <c r="AD119" s="247"/>
      <c r="AE119" s="228"/>
      <c r="AF119" s="228"/>
      <c r="AG119" s="248"/>
      <c r="AH119" s="248"/>
      <c r="AI119" s="194"/>
      <c r="AJ119" s="249"/>
      <c r="AK119" s="250"/>
      <c r="AL119" s="251"/>
      <c r="AM119" s="252"/>
      <c r="AN119" s="241"/>
      <c r="AO119" s="241"/>
      <c r="AP119" s="241"/>
      <c r="AQ119" s="194"/>
      <c r="AR119" s="195"/>
      <c r="AS119" s="195"/>
    </row>
    <row r="120" spans="2:45">
      <c r="B120" s="253"/>
      <c r="C120" s="230"/>
      <c r="D120" s="245"/>
      <c r="E120" s="230"/>
      <c r="F120" s="230"/>
      <c r="G120" s="230"/>
      <c r="H120" s="230"/>
      <c r="I120" s="228"/>
      <c r="J120" s="228"/>
      <c r="K120" s="230"/>
      <c r="L120" s="230"/>
      <c r="M120" s="246"/>
      <c r="N120" s="230"/>
      <c r="O120" s="230"/>
      <c r="P120" s="230"/>
      <c r="Q120" s="230"/>
      <c r="R120" s="256"/>
      <c r="S120" s="257"/>
      <c r="T120" s="228"/>
      <c r="U120" s="228"/>
      <c r="V120" s="245"/>
      <c r="W120" s="254"/>
      <c r="X120" s="254"/>
      <c r="Y120" s="228"/>
      <c r="Z120" s="255"/>
      <c r="AA120" s="248"/>
      <c r="AB120" s="248"/>
      <c r="AC120" s="248"/>
      <c r="AD120" s="247"/>
      <c r="AE120" s="228"/>
      <c r="AF120" s="228"/>
      <c r="AG120" s="248"/>
      <c r="AH120" s="248"/>
      <c r="AI120" s="194"/>
      <c r="AJ120" s="249"/>
      <c r="AK120" s="250"/>
      <c r="AL120" s="251"/>
      <c r="AM120" s="252"/>
      <c r="AN120" s="241"/>
      <c r="AO120" s="241"/>
      <c r="AP120" s="241"/>
      <c r="AQ120" s="194"/>
      <c r="AR120" s="195"/>
      <c r="AS120" s="195"/>
    </row>
    <row r="121" spans="2:45">
      <c r="B121" s="253"/>
      <c r="C121" s="230"/>
      <c r="D121" s="245"/>
      <c r="E121" s="230"/>
      <c r="F121" s="230"/>
      <c r="G121" s="230"/>
      <c r="H121" s="230"/>
      <c r="I121" s="228"/>
      <c r="J121" s="228"/>
      <c r="K121" s="230"/>
      <c r="L121" s="230"/>
      <c r="M121" s="246"/>
      <c r="N121" s="230"/>
      <c r="O121" s="230"/>
      <c r="P121" s="230"/>
      <c r="Q121" s="230"/>
      <c r="R121" s="256"/>
      <c r="S121" s="257"/>
      <c r="T121" s="228"/>
      <c r="U121" s="228"/>
      <c r="V121" s="245"/>
      <c r="W121" s="254"/>
      <c r="X121" s="254"/>
      <c r="Y121" s="228"/>
      <c r="Z121" s="255"/>
      <c r="AA121" s="248"/>
      <c r="AB121" s="248"/>
      <c r="AC121" s="248"/>
      <c r="AD121" s="247"/>
      <c r="AE121" s="228"/>
      <c r="AF121" s="228"/>
      <c r="AG121" s="248"/>
      <c r="AH121" s="248"/>
      <c r="AI121" s="194"/>
      <c r="AJ121" s="249"/>
      <c r="AK121" s="250"/>
      <c r="AL121" s="251"/>
      <c r="AM121" s="252"/>
      <c r="AN121" s="241"/>
      <c r="AO121" s="241"/>
      <c r="AP121" s="241"/>
      <c r="AQ121" s="194"/>
      <c r="AR121" s="195"/>
      <c r="AS121" s="195"/>
    </row>
    <row r="122" spans="2:45">
      <c r="B122" s="253"/>
      <c r="C122" s="230"/>
      <c r="D122" s="245"/>
      <c r="E122" s="230"/>
      <c r="F122" s="230"/>
      <c r="G122" s="230"/>
      <c r="H122" s="230"/>
      <c r="I122" s="228"/>
      <c r="J122" s="228"/>
      <c r="K122" s="230"/>
      <c r="L122" s="230"/>
      <c r="M122" s="246"/>
      <c r="N122" s="230"/>
      <c r="O122" s="230"/>
      <c r="P122" s="230"/>
      <c r="Q122" s="230"/>
      <c r="R122" s="256"/>
      <c r="S122" s="257"/>
      <c r="T122" s="228"/>
      <c r="U122" s="228"/>
      <c r="V122" s="245"/>
      <c r="W122" s="254"/>
      <c r="X122" s="254"/>
      <c r="Y122" s="228"/>
      <c r="Z122" s="255"/>
      <c r="AA122" s="248"/>
      <c r="AB122" s="248"/>
      <c r="AC122" s="248"/>
      <c r="AD122" s="247"/>
      <c r="AE122" s="228"/>
      <c r="AF122" s="228"/>
      <c r="AG122" s="248"/>
      <c r="AH122" s="248"/>
      <c r="AI122" s="194"/>
      <c r="AJ122" s="249"/>
      <c r="AK122" s="250"/>
      <c r="AL122" s="251"/>
      <c r="AM122" s="252"/>
      <c r="AN122" s="241"/>
      <c r="AO122" s="241"/>
      <c r="AP122" s="241"/>
      <c r="AQ122" s="194"/>
      <c r="AR122" s="195"/>
      <c r="AS122" s="195"/>
    </row>
    <row r="123" spans="2:45">
      <c r="B123" s="253"/>
      <c r="C123" s="230"/>
      <c r="D123" s="245"/>
      <c r="E123" s="230"/>
      <c r="F123" s="230"/>
      <c r="G123" s="230"/>
      <c r="H123" s="230"/>
      <c r="I123" s="228"/>
      <c r="J123" s="228"/>
      <c r="K123" s="230"/>
      <c r="L123" s="230"/>
      <c r="M123" s="246"/>
      <c r="N123" s="230"/>
      <c r="O123" s="230"/>
      <c r="P123" s="230"/>
      <c r="Q123" s="230"/>
      <c r="R123" s="256"/>
      <c r="S123" s="257"/>
      <c r="T123" s="228"/>
      <c r="U123" s="228"/>
      <c r="V123" s="245"/>
      <c r="W123" s="254"/>
      <c r="X123" s="254"/>
      <c r="Y123" s="228"/>
      <c r="Z123" s="255"/>
      <c r="AA123" s="248"/>
      <c r="AB123" s="248"/>
      <c r="AC123" s="248"/>
      <c r="AD123" s="247"/>
      <c r="AE123" s="228"/>
      <c r="AF123" s="228"/>
      <c r="AG123" s="248"/>
      <c r="AH123" s="248"/>
      <c r="AI123" s="194"/>
      <c r="AJ123" s="249"/>
      <c r="AK123" s="250"/>
      <c r="AL123" s="251"/>
      <c r="AM123" s="252"/>
      <c r="AN123" s="241"/>
      <c r="AO123" s="241"/>
      <c r="AP123" s="241"/>
      <c r="AQ123" s="194"/>
      <c r="AR123" s="195"/>
      <c r="AS123" s="195"/>
    </row>
    <row r="124" spans="2:45">
      <c r="B124" s="253"/>
      <c r="C124" s="230"/>
      <c r="D124" s="245"/>
      <c r="E124" s="230"/>
      <c r="F124" s="230"/>
      <c r="G124" s="230"/>
      <c r="H124" s="230"/>
      <c r="I124" s="228"/>
      <c r="J124" s="228"/>
      <c r="K124" s="230"/>
      <c r="L124" s="230"/>
      <c r="M124" s="246"/>
      <c r="N124" s="230"/>
      <c r="O124" s="230"/>
      <c r="P124" s="230"/>
      <c r="Q124" s="230"/>
      <c r="R124" s="256"/>
      <c r="S124" s="257"/>
      <c r="T124" s="228"/>
      <c r="U124" s="228"/>
      <c r="V124" s="245"/>
      <c r="W124" s="254"/>
      <c r="X124" s="254"/>
      <c r="Y124" s="228"/>
      <c r="Z124" s="255"/>
      <c r="AA124" s="248"/>
      <c r="AB124" s="248"/>
      <c r="AC124" s="248"/>
      <c r="AD124" s="247"/>
      <c r="AE124" s="228"/>
      <c r="AF124" s="228"/>
      <c r="AG124" s="248"/>
      <c r="AH124" s="248"/>
      <c r="AI124" s="194"/>
      <c r="AJ124" s="249"/>
      <c r="AK124" s="250"/>
      <c r="AL124" s="251"/>
      <c r="AM124" s="252"/>
      <c r="AN124" s="241"/>
      <c r="AO124" s="241"/>
      <c r="AP124" s="241"/>
      <c r="AQ124" s="194"/>
      <c r="AR124" s="195"/>
      <c r="AS124" s="195"/>
    </row>
    <row r="125" spans="2:45">
      <c r="B125" s="253"/>
      <c r="C125" s="230"/>
      <c r="D125" s="245"/>
      <c r="E125" s="230"/>
      <c r="F125" s="230"/>
      <c r="G125" s="230"/>
      <c r="H125" s="230"/>
      <c r="I125" s="228"/>
      <c r="J125" s="228"/>
      <c r="K125" s="230"/>
      <c r="L125" s="230"/>
      <c r="M125" s="246"/>
      <c r="N125" s="230"/>
      <c r="O125" s="230"/>
      <c r="P125" s="230"/>
      <c r="Q125" s="230"/>
      <c r="R125" s="256"/>
      <c r="S125" s="257"/>
      <c r="T125" s="228"/>
      <c r="U125" s="228"/>
      <c r="V125" s="245"/>
      <c r="W125" s="254"/>
      <c r="X125" s="254"/>
      <c r="Y125" s="228"/>
      <c r="Z125" s="255"/>
      <c r="AA125" s="248"/>
      <c r="AB125" s="248"/>
      <c r="AC125" s="248"/>
      <c r="AD125" s="247"/>
      <c r="AE125" s="228"/>
      <c r="AF125" s="228"/>
      <c r="AG125" s="248"/>
      <c r="AH125" s="248"/>
      <c r="AI125" s="194"/>
      <c r="AJ125" s="249"/>
      <c r="AK125" s="250"/>
      <c r="AL125" s="251"/>
      <c r="AM125" s="252"/>
      <c r="AN125" s="241"/>
      <c r="AO125" s="241"/>
      <c r="AP125" s="241"/>
      <c r="AQ125" s="194"/>
      <c r="AR125" s="195"/>
      <c r="AS125" s="195"/>
    </row>
    <row r="126" spans="2:45">
      <c r="B126" s="253"/>
      <c r="C126" s="230"/>
      <c r="D126" s="245"/>
      <c r="E126" s="230"/>
      <c r="F126" s="230"/>
      <c r="G126" s="230"/>
      <c r="H126" s="230"/>
      <c r="I126" s="228"/>
      <c r="J126" s="228"/>
      <c r="K126" s="230"/>
      <c r="L126" s="230"/>
      <c r="M126" s="246"/>
      <c r="N126" s="230"/>
      <c r="O126" s="230"/>
      <c r="P126" s="230"/>
      <c r="Q126" s="230"/>
      <c r="R126" s="256"/>
      <c r="S126" s="257"/>
      <c r="T126" s="228"/>
      <c r="U126" s="228"/>
      <c r="V126" s="245"/>
      <c r="W126" s="254"/>
      <c r="X126" s="254"/>
      <c r="Y126" s="228"/>
      <c r="Z126" s="255"/>
      <c r="AA126" s="248"/>
      <c r="AB126" s="248"/>
      <c r="AC126" s="248"/>
      <c r="AD126" s="247"/>
      <c r="AE126" s="228"/>
      <c r="AF126" s="228"/>
      <c r="AG126" s="248"/>
      <c r="AH126" s="248"/>
      <c r="AI126" s="194"/>
      <c r="AJ126" s="249"/>
      <c r="AK126" s="250"/>
      <c r="AL126" s="251"/>
      <c r="AM126" s="252"/>
      <c r="AN126" s="241"/>
      <c r="AO126" s="241"/>
      <c r="AP126" s="241"/>
      <c r="AQ126" s="194"/>
      <c r="AR126" s="195"/>
      <c r="AS126" s="195"/>
    </row>
    <row r="127" spans="2:45">
      <c r="B127" s="253"/>
      <c r="C127" s="230"/>
      <c r="D127" s="245"/>
      <c r="E127" s="230"/>
      <c r="F127" s="230"/>
      <c r="G127" s="230"/>
      <c r="H127" s="230"/>
      <c r="I127" s="228"/>
      <c r="J127" s="228"/>
      <c r="K127" s="230"/>
      <c r="L127" s="230"/>
      <c r="M127" s="246"/>
      <c r="N127" s="230"/>
      <c r="O127" s="230"/>
      <c r="P127" s="230"/>
      <c r="Q127" s="230"/>
      <c r="R127" s="256"/>
      <c r="S127" s="257"/>
      <c r="T127" s="228"/>
      <c r="U127" s="228"/>
      <c r="V127" s="245"/>
      <c r="W127" s="254"/>
      <c r="X127" s="254"/>
      <c r="Y127" s="228"/>
      <c r="Z127" s="255"/>
      <c r="AA127" s="248"/>
      <c r="AB127" s="248"/>
      <c r="AC127" s="248"/>
      <c r="AD127" s="247"/>
      <c r="AE127" s="228"/>
      <c r="AF127" s="228"/>
      <c r="AG127" s="248"/>
      <c r="AH127" s="248"/>
      <c r="AI127" s="194"/>
      <c r="AJ127" s="249"/>
      <c r="AK127" s="250"/>
      <c r="AL127" s="251"/>
      <c r="AM127" s="252"/>
      <c r="AN127" s="241"/>
      <c r="AO127" s="241"/>
      <c r="AP127" s="241"/>
      <c r="AQ127" s="194"/>
      <c r="AR127" s="195"/>
      <c r="AS127" s="195"/>
    </row>
    <row r="128" spans="2:45">
      <c r="B128" s="253"/>
      <c r="C128" s="230"/>
      <c r="D128" s="245"/>
      <c r="E128" s="230"/>
      <c r="F128" s="230"/>
      <c r="G128" s="230"/>
      <c r="H128" s="230"/>
      <c r="I128" s="228"/>
      <c r="J128" s="228"/>
      <c r="K128" s="230"/>
      <c r="L128" s="230"/>
      <c r="M128" s="246"/>
      <c r="N128" s="230"/>
      <c r="O128" s="230"/>
      <c r="P128" s="230"/>
      <c r="Q128" s="230"/>
      <c r="R128" s="256"/>
      <c r="S128" s="257"/>
      <c r="T128" s="228"/>
      <c r="U128" s="228"/>
      <c r="V128" s="245"/>
      <c r="W128" s="254"/>
      <c r="X128" s="254"/>
      <c r="Y128" s="228"/>
      <c r="Z128" s="255"/>
      <c r="AA128" s="248"/>
      <c r="AB128" s="248"/>
      <c r="AC128" s="248"/>
      <c r="AD128" s="247"/>
      <c r="AE128" s="228"/>
      <c r="AF128" s="228"/>
      <c r="AG128" s="248"/>
      <c r="AH128" s="248"/>
      <c r="AI128" s="194"/>
      <c r="AJ128" s="249"/>
      <c r="AK128" s="250"/>
      <c r="AL128" s="251"/>
      <c r="AM128" s="252"/>
      <c r="AN128" s="241"/>
      <c r="AO128" s="241"/>
      <c r="AP128" s="241"/>
      <c r="AQ128" s="194"/>
      <c r="AR128" s="195"/>
      <c r="AS128" s="195"/>
    </row>
    <row r="129" spans="2:45">
      <c r="B129" s="253"/>
      <c r="C129" s="230"/>
      <c r="D129" s="245"/>
      <c r="E129" s="230"/>
      <c r="F129" s="230"/>
      <c r="G129" s="230"/>
      <c r="H129" s="230"/>
      <c r="I129" s="228"/>
      <c r="J129" s="228"/>
      <c r="K129" s="230"/>
      <c r="L129" s="230"/>
      <c r="M129" s="246"/>
      <c r="N129" s="230"/>
      <c r="O129" s="230"/>
      <c r="P129" s="230"/>
      <c r="Q129" s="230"/>
      <c r="R129" s="256"/>
      <c r="S129" s="257"/>
      <c r="T129" s="228"/>
      <c r="U129" s="228"/>
      <c r="V129" s="245"/>
      <c r="W129" s="254"/>
      <c r="X129" s="254"/>
      <c r="Y129" s="228"/>
      <c r="Z129" s="255"/>
      <c r="AA129" s="248"/>
      <c r="AB129" s="248"/>
      <c r="AC129" s="248"/>
      <c r="AD129" s="247"/>
      <c r="AE129" s="228"/>
      <c r="AF129" s="228"/>
      <c r="AG129" s="248"/>
      <c r="AH129" s="248"/>
      <c r="AI129" s="194"/>
      <c r="AJ129" s="249"/>
      <c r="AK129" s="250"/>
      <c r="AL129" s="251"/>
      <c r="AM129" s="252"/>
      <c r="AN129" s="241"/>
      <c r="AO129" s="241"/>
      <c r="AP129" s="241"/>
      <c r="AQ129" s="194"/>
      <c r="AR129" s="195"/>
      <c r="AS129" s="195"/>
    </row>
    <row r="130" spans="2:45">
      <c r="B130" s="253"/>
      <c r="C130" s="230"/>
      <c r="D130" s="245"/>
      <c r="E130" s="230"/>
      <c r="F130" s="230"/>
      <c r="G130" s="230"/>
      <c r="H130" s="230"/>
      <c r="I130" s="228"/>
      <c r="J130" s="228"/>
      <c r="K130" s="230"/>
      <c r="L130" s="230"/>
      <c r="M130" s="246"/>
      <c r="N130" s="230"/>
      <c r="O130" s="230"/>
      <c r="P130" s="230"/>
      <c r="Q130" s="230"/>
      <c r="R130" s="256"/>
      <c r="S130" s="257"/>
      <c r="T130" s="228"/>
      <c r="U130" s="228"/>
      <c r="V130" s="245"/>
      <c r="W130" s="254"/>
      <c r="X130" s="254"/>
      <c r="Y130" s="228"/>
      <c r="Z130" s="255"/>
      <c r="AA130" s="248"/>
      <c r="AB130" s="248"/>
      <c r="AC130" s="248"/>
      <c r="AD130" s="247"/>
      <c r="AE130" s="228"/>
      <c r="AF130" s="228"/>
      <c r="AG130" s="248"/>
      <c r="AH130" s="248"/>
      <c r="AI130" s="194"/>
      <c r="AJ130" s="249"/>
      <c r="AK130" s="250"/>
      <c r="AL130" s="251"/>
      <c r="AM130" s="252"/>
      <c r="AN130" s="241"/>
      <c r="AO130" s="241"/>
      <c r="AP130" s="241"/>
      <c r="AQ130" s="194"/>
      <c r="AR130" s="195"/>
      <c r="AS130" s="195"/>
    </row>
    <row r="131" spans="2:45">
      <c r="B131" s="253"/>
      <c r="C131" s="230"/>
      <c r="D131" s="245"/>
      <c r="E131" s="230"/>
      <c r="F131" s="230"/>
      <c r="G131" s="230"/>
      <c r="H131" s="230"/>
      <c r="I131" s="228"/>
      <c r="J131" s="228"/>
      <c r="K131" s="230"/>
      <c r="L131" s="230"/>
      <c r="M131" s="246"/>
      <c r="N131" s="230"/>
      <c r="O131" s="230"/>
      <c r="P131" s="230"/>
      <c r="Q131" s="230"/>
      <c r="R131" s="256"/>
      <c r="S131" s="257"/>
      <c r="T131" s="228"/>
      <c r="U131" s="228"/>
      <c r="V131" s="245"/>
      <c r="W131" s="254"/>
      <c r="X131" s="254"/>
      <c r="Y131" s="228"/>
      <c r="Z131" s="255"/>
      <c r="AA131" s="248"/>
      <c r="AB131" s="248"/>
      <c r="AC131" s="248"/>
      <c r="AD131" s="247"/>
      <c r="AE131" s="228"/>
      <c r="AF131" s="228"/>
      <c r="AG131" s="248"/>
      <c r="AH131" s="248"/>
      <c r="AI131" s="194"/>
      <c r="AJ131" s="249"/>
      <c r="AK131" s="250"/>
      <c r="AL131" s="251"/>
      <c r="AM131" s="252"/>
      <c r="AN131" s="241"/>
      <c r="AO131" s="241"/>
      <c r="AP131" s="241"/>
      <c r="AQ131" s="194"/>
      <c r="AR131" s="195"/>
      <c r="AS131" s="195"/>
    </row>
    <row r="132" spans="2:45">
      <c r="B132" s="253"/>
      <c r="C132" s="230"/>
      <c r="D132" s="245"/>
      <c r="E132" s="230"/>
      <c r="F132" s="230"/>
      <c r="G132" s="230"/>
      <c r="H132" s="230"/>
      <c r="I132" s="228"/>
      <c r="J132" s="228"/>
      <c r="K132" s="230"/>
      <c r="L132" s="230"/>
      <c r="M132" s="246"/>
      <c r="N132" s="230"/>
      <c r="O132" s="230"/>
      <c r="P132" s="230"/>
      <c r="Q132" s="230"/>
      <c r="R132" s="256"/>
      <c r="S132" s="257"/>
      <c r="T132" s="228"/>
      <c r="U132" s="228"/>
      <c r="V132" s="245"/>
      <c r="W132" s="254"/>
      <c r="X132" s="254"/>
      <c r="Y132" s="228"/>
      <c r="Z132" s="255"/>
      <c r="AA132" s="248"/>
      <c r="AB132" s="248"/>
      <c r="AC132" s="248"/>
      <c r="AD132" s="247"/>
      <c r="AE132" s="228"/>
      <c r="AF132" s="228"/>
      <c r="AG132" s="248"/>
      <c r="AH132" s="248"/>
      <c r="AI132" s="194"/>
      <c r="AJ132" s="249"/>
      <c r="AK132" s="250"/>
      <c r="AL132" s="251"/>
      <c r="AM132" s="252"/>
      <c r="AN132" s="241"/>
      <c r="AO132" s="241"/>
      <c r="AP132" s="241"/>
      <c r="AQ132" s="194"/>
      <c r="AR132" s="195"/>
      <c r="AS132" s="195"/>
    </row>
    <row r="133" spans="2:45">
      <c r="B133" s="253"/>
      <c r="C133" s="230"/>
      <c r="D133" s="245"/>
      <c r="E133" s="230"/>
      <c r="F133" s="230"/>
      <c r="G133" s="230"/>
      <c r="H133" s="230"/>
      <c r="I133" s="228"/>
      <c r="J133" s="228"/>
      <c r="K133" s="230"/>
      <c r="L133" s="230"/>
      <c r="M133" s="246"/>
      <c r="N133" s="230"/>
      <c r="O133" s="230"/>
      <c r="P133" s="230"/>
      <c r="Q133" s="230"/>
      <c r="R133" s="256"/>
      <c r="S133" s="257"/>
      <c r="T133" s="228"/>
      <c r="U133" s="228"/>
      <c r="V133" s="245"/>
      <c r="W133" s="254"/>
      <c r="X133" s="254"/>
      <c r="Y133" s="228"/>
      <c r="Z133" s="255"/>
      <c r="AA133" s="248"/>
      <c r="AB133" s="248"/>
      <c r="AC133" s="248"/>
      <c r="AD133" s="247"/>
      <c r="AE133" s="228"/>
      <c r="AF133" s="228"/>
      <c r="AG133" s="248"/>
      <c r="AH133" s="248"/>
      <c r="AI133" s="194"/>
      <c r="AJ133" s="249"/>
      <c r="AK133" s="250"/>
      <c r="AL133" s="251"/>
      <c r="AM133" s="252"/>
      <c r="AN133" s="241"/>
      <c r="AO133" s="241"/>
      <c r="AP133" s="241"/>
      <c r="AQ133" s="194"/>
      <c r="AR133" s="195"/>
      <c r="AS133" s="195"/>
    </row>
    <row r="134" spans="2:45">
      <c r="B134" s="253"/>
      <c r="C134" s="230"/>
      <c r="D134" s="245"/>
      <c r="E134" s="230"/>
      <c r="F134" s="230"/>
      <c r="G134" s="230"/>
      <c r="H134" s="230"/>
      <c r="I134" s="228"/>
      <c r="J134" s="228"/>
      <c r="K134" s="230"/>
      <c r="L134" s="230"/>
      <c r="M134" s="246"/>
      <c r="N134" s="230"/>
      <c r="O134" s="230"/>
      <c r="P134" s="230"/>
      <c r="Q134" s="230"/>
      <c r="R134" s="256"/>
      <c r="S134" s="257"/>
      <c r="T134" s="228"/>
      <c r="U134" s="228"/>
      <c r="V134" s="245"/>
      <c r="W134" s="254"/>
      <c r="X134" s="254"/>
      <c r="Y134" s="228"/>
      <c r="Z134" s="255"/>
      <c r="AA134" s="248"/>
      <c r="AB134" s="248"/>
      <c r="AC134" s="248"/>
      <c r="AD134" s="247"/>
      <c r="AE134" s="228"/>
      <c r="AF134" s="228"/>
      <c r="AG134" s="248"/>
      <c r="AH134" s="248"/>
      <c r="AI134" s="194"/>
      <c r="AJ134" s="249"/>
      <c r="AK134" s="250"/>
      <c r="AL134" s="251"/>
      <c r="AM134" s="252"/>
      <c r="AN134" s="241"/>
      <c r="AO134" s="241"/>
      <c r="AP134" s="241"/>
      <c r="AQ134" s="194"/>
      <c r="AR134" s="195"/>
      <c r="AS134" s="195"/>
    </row>
    <row r="135" spans="2:45">
      <c r="B135" s="253"/>
      <c r="C135" s="230"/>
      <c r="D135" s="245"/>
      <c r="E135" s="230"/>
      <c r="F135" s="230"/>
      <c r="G135" s="230"/>
      <c r="H135" s="230"/>
      <c r="I135" s="228"/>
      <c r="J135" s="228"/>
      <c r="K135" s="230"/>
      <c r="L135" s="230"/>
      <c r="M135" s="246"/>
      <c r="N135" s="230"/>
      <c r="O135" s="230"/>
      <c r="P135" s="230"/>
      <c r="Q135" s="230"/>
      <c r="R135" s="256"/>
      <c r="S135" s="257"/>
      <c r="T135" s="228"/>
      <c r="U135" s="228"/>
      <c r="V135" s="245"/>
      <c r="W135" s="254"/>
      <c r="X135" s="254"/>
      <c r="Y135" s="228"/>
      <c r="Z135" s="255"/>
      <c r="AA135" s="248"/>
      <c r="AB135" s="248"/>
      <c r="AC135" s="248"/>
      <c r="AD135" s="247"/>
      <c r="AE135" s="228"/>
      <c r="AF135" s="228"/>
      <c r="AG135" s="248"/>
      <c r="AH135" s="248"/>
      <c r="AI135" s="194"/>
      <c r="AJ135" s="249"/>
      <c r="AK135" s="250"/>
      <c r="AL135" s="251"/>
      <c r="AM135" s="252"/>
      <c r="AN135" s="241"/>
      <c r="AO135" s="241"/>
      <c r="AP135" s="241"/>
      <c r="AQ135" s="194"/>
      <c r="AR135" s="195"/>
      <c r="AS135" s="195"/>
    </row>
    <row r="136" spans="2:45">
      <c r="B136" s="253"/>
      <c r="C136" s="230"/>
      <c r="D136" s="245"/>
      <c r="E136" s="230"/>
      <c r="F136" s="230"/>
      <c r="G136" s="230"/>
      <c r="H136" s="230"/>
      <c r="I136" s="228"/>
      <c r="J136" s="228"/>
      <c r="K136" s="230"/>
      <c r="L136" s="230"/>
      <c r="M136" s="246"/>
      <c r="N136" s="230"/>
      <c r="O136" s="230"/>
      <c r="P136" s="230"/>
      <c r="Q136" s="230"/>
      <c r="R136" s="256"/>
      <c r="S136" s="257"/>
      <c r="T136" s="228"/>
      <c r="U136" s="228"/>
      <c r="V136" s="245"/>
      <c r="W136" s="254"/>
      <c r="X136" s="254"/>
      <c r="Y136" s="228"/>
      <c r="Z136" s="255"/>
      <c r="AA136" s="248"/>
      <c r="AB136" s="248"/>
      <c r="AC136" s="248"/>
      <c r="AD136" s="247"/>
      <c r="AE136" s="228"/>
      <c r="AF136" s="228"/>
      <c r="AG136" s="248"/>
      <c r="AH136" s="248"/>
      <c r="AI136" s="194"/>
      <c r="AJ136" s="249"/>
      <c r="AK136" s="250"/>
      <c r="AL136" s="251"/>
      <c r="AM136" s="252"/>
      <c r="AN136" s="241"/>
      <c r="AO136" s="241"/>
      <c r="AP136" s="241"/>
      <c r="AQ136" s="194"/>
      <c r="AR136" s="195"/>
      <c r="AS136" s="195"/>
    </row>
    <row r="137" spans="2:45">
      <c r="B137" s="253"/>
      <c r="C137" s="230"/>
      <c r="D137" s="245"/>
      <c r="E137" s="230"/>
      <c r="F137" s="230"/>
      <c r="G137" s="230"/>
      <c r="H137" s="230"/>
      <c r="I137" s="228"/>
      <c r="J137" s="228"/>
      <c r="K137" s="230"/>
      <c r="L137" s="230"/>
      <c r="M137" s="246"/>
      <c r="N137" s="230"/>
      <c r="O137" s="230"/>
      <c r="P137" s="230"/>
      <c r="Q137" s="230"/>
      <c r="R137" s="256"/>
      <c r="S137" s="257"/>
      <c r="T137" s="228"/>
      <c r="U137" s="228"/>
      <c r="V137" s="245"/>
      <c r="W137" s="254"/>
      <c r="X137" s="254"/>
      <c r="Y137" s="228"/>
      <c r="Z137" s="255"/>
      <c r="AA137" s="248"/>
      <c r="AB137" s="248"/>
      <c r="AC137" s="248"/>
      <c r="AD137" s="247"/>
      <c r="AE137" s="228"/>
      <c r="AF137" s="228"/>
      <c r="AG137" s="248"/>
      <c r="AH137" s="248"/>
      <c r="AI137" s="194"/>
      <c r="AJ137" s="249"/>
      <c r="AK137" s="250"/>
      <c r="AL137" s="251"/>
      <c r="AM137" s="252"/>
      <c r="AN137" s="241"/>
      <c r="AO137" s="241"/>
      <c r="AP137" s="241"/>
      <c r="AQ137" s="194"/>
      <c r="AR137" s="195"/>
      <c r="AS137" s="195"/>
    </row>
    <row r="138" spans="2:45">
      <c r="B138" s="253"/>
      <c r="C138" s="230"/>
      <c r="D138" s="245"/>
      <c r="E138" s="230"/>
      <c r="F138" s="230"/>
      <c r="G138" s="230"/>
      <c r="H138" s="230"/>
      <c r="I138" s="228"/>
      <c r="J138" s="228"/>
      <c r="K138" s="230"/>
      <c r="L138" s="230"/>
      <c r="M138" s="246"/>
      <c r="N138" s="230"/>
      <c r="O138" s="230"/>
      <c r="P138" s="230"/>
      <c r="Q138" s="230"/>
      <c r="R138" s="256"/>
      <c r="S138" s="257"/>
      <c r="T138" s="228"/>
      <c r="U138" s="228"/>
      <c r="V138" s="245"/>
      <c r="W138" s="254"/>
      <c r="X138" s="254"/>
      <c r="Y138" s="228"/>
      <c r="Z138" s="255"/>
      <c r="AA138" s="248"/>
      <c r="AB138" s="248"/>
      <c r="AC138" s="248"/>
      <c r="AD138" s="247"/>
      <c r="AE138" s="228"/>
      <c r="AF138" s="228"/>
      <c r="AG138" s="248"/>
      <c r="AH138" s="248"/>
      <c r="AI138" s="194"/>
      <c r="AJ138" s="249"/>
      <c r="AK138" s="250"/>
      <c r="AL138" s="251"/>
      <c r="AM138" s="252"/>
      <c r="AN138" s="241"/>
      <c r="AO138" s="241"/>
      <c r="AP138" s="241"/>
      <c r="AQ138" s="194"/>
      <c r="AR138" s="195"/>
      <c r="AS138" s="195"/>
    </row>
    <row r="139" spans="2:45">
      <c r="B139" s="253"/>
      <c r="C139" s="230"/>
      <c r="D139" s="245"/>
      <c r="E139" s="230"/>
      <c r="F139" s="230"/>
      <c r="G139" s="230"/>
      <c r="H139" s="230"/>
      <c r="I139" s="228"/>
      <c r="J139" s="228"/>
      <c r="K139" s="230"/>
      <c r="L139" s="230"/>
      <c r="M139" s="246"/>
      <c r="N139" s="230"/>
      <c r="O139" s="230"/>
      <c r="P139" s="230"/>
      <c r="Q139" s="230"/>
      <c r="R139" s="256"/>
      <c r="S139" s="257"/>
      <c r="T139" s="228"/>
      <c r="U139" s="228"/>
      <c r="V139" s="245"/>
      <c r="W139" s="254"/>
      <c r="X139" s="254"/>
      <c r="Y139" s="228"/>
      <c r="Z139" s="255"/>
      <c r="AA139" s="248"/>
      <c r="AB139" s="248"/>
      <c r="AC139" s="248"/>
      <c r="AD139" s="247"/>
      <c r="AE139" s="228"/>
      <c r="AF139" s="228"/>
      <c r="AG139" s="248"/>
      <c r="AH139" s="248"/>
      <c r="AI139" s="194"/>
      <c r="AJ139" s="249"/>
      <c r="AK139" s="250"/>
      <c r="AL139" s="251"/>
      <c r="AM139" s="252"/>
      <c r="AN139" s="241"/>
      <c r="AO139" s="241"/>
      <c r="AP139" s="241"/>
      <c r="AQ139" s="194"/>
      <c r="AR139" s="195"/>
      <c r="AS139" s="195"/>
    </row>
    <row r="140" spans="2:45">
      <c r="B140" s="253"/>
      <c r="C140" s="230"/>
      <c r="D140" s="245"/>
      <c r="E140" s="230"/>
      <c r="F140" s="230"/>
      <c r="G140" s="230"/>
      <c r="H140" s="230"/>
      <c r="I140" s="228"/>
      <c r="J140" s="228"/>
      <c r="K140" s="230"/>
      <c r="L140" s="230"/>
      <c r="M140" s="246"/>
      <c r="N140" s="230"/>
      <c r="O140" s="230"/>
      <c r="P140" s="230"/>
      <c r="Q140" s="230"/>
      <c r="R140" s="256"/>
      <c r="S140" s="257"/>
      <c r="T140" s="228"/>
      <c r="U140" s="228"/>
      <c r="V140" s="245"/>
      <c r="W140" s="254"/>
      <c r="X140" s="254"/>
      <c r="Y140" s="228"/>
      <c r="Z140" s="255"/>
      <c r="AA140" s="248"/>
      <c r="AB140" s="248"/>
      <c r="AC140" s="248"/>
      <c r="AD140" s="247"/>
      <c r="AE140" s="228"/>
      <c r="AF140" s="228"/>
      <c r="AG140" s="248"/>
      <c r="AH140" s="248"/>
      <c r="AI140" s="194"/>
      <c r="AJ140" s="249"/>
      <c r="AK140" s="250"/>
      <c r="AL140" s="251"/>
      <c r="AM140" s="252"/>
      <c r="AN140" s="241"/>
      <c r="AO140" s="241"/>
      <c r="AP140" s="241"/>
      <c r="AQ140" s="194"/>
      <c r="AR140" s="195"/>
      <c r="AS140" s="195"/>
    </row>
    <row r="141" spans="2:45">
      <c r="B141" s="253"/>
      <c r="C141" s="230"/>
      <c r="D141" s="245"/>
      <c r="E141" s="230"/>
      <c r="F141" s="230"/>
      <c r="G141" s="230"/>
      <c r="H141" s="230"/>
      <c r="I141" s="228"/>
      <c r="J141" s="228"/>
      <c r="K141" s="230"/>
      <c r="L141" s="230"/>
      <c r="M141" s="246"/>
      <c r="N141" s="230"/>
      <c r="O141" s="230"/>
      <c r="P141" s="230"/>
      <c r="Q141" s="230"/>
      <c r="R141" s="256"/>
      <c r="S141" s="257"/>
      <c r="T141" s="228"/>
      <c r="U141" s="228"/>
      <c r="V141" s="245"/>
      <c r="W141" s="254"/>
      <c r="X141" s="254"/>
      <c r="Y141" s="228"/>
      <c r="Z141" s="255"/>
      <c r="AA141" s="248"/>
      <c r="AB141" s="248"/>
      <c r="AC141" s="248"/>
      <c r="AD141" s="247"/>
      <c r="AE141" s="228"/>
      <c r="AF141" s="228"/>
      <c r="AG141" s="248"/>
      <c r="AH141" s="248"/>
      <c r="AI141" s="194"/>
      <c r="AJ141" s="249"/>
      <c r="AK141" s="250"/>
      <c r="AL141" s="251"/>
      <c r="AM141" s="252"/>
      <c r="AN141" s="241"/>
      <c r="AO141" s="241"/>
      <c r="AP141" s="241"/>
      <c r="AQ141" s="194"/>
      <c r="AR141" s="195"/>
      <c r="AS141" s="195"/>
    </row>
    <row r="142" spans="2:45">
      <c r="B142" s="253"/>
      <c r="C142" s="230"/>
      <c r="D142" s="245"/>
      <c r="E142" s="230"/>
      <c r="F142" s="230"/>
      <c r="G142" s="230"/>
      <c r="H142" s="230"/>
      <c r="I142" s="228"/>
      <c r="J142" s="228"/>
      <c r="K142" s="230"/>
      <c r="L142" s="230"/>
      <c r="M142" s="246"/>
      <c r="N142" s="230"/>
      <c r="O142" s="230"/>
      <c r="P142" s="230"/>
      <c r="Q142" s="230"/>
      <c r="R142" s="256"/>
      <c r="S142" s="257"/>
      <c r="T142" s="228"/>
      <c r="U142" s="228"/>
      <c r="V142" s="245"/>
      <c r="W142" s="254"/>
      <c r="X142" s="254"/>
      <c r="Y142" s="228"/>
      <c r="Z142" s="255"/>
      <c r="AA142" s="248"/>
      <c r="AB142" s="248"/>
      <c r="AC142" s="248"/>
      <c r="AD142" s="247"/>
      <c r="AE142" s="228"/>
      <c r="AF142" s="228"/>
      <c r="AG142" s="248"/>
      <c r="AH142" s="248"/>
      <c r="AI142" s="194"/>
      <c r="AJ142" s="249"/>
      <c r="AK142" s="250"/>
      <c r="AL142" s="251"/>
      <c r="AM142" s="252"/>
      <c r="AN142" s="241"/>
      <c r="AO142" s="241"/>
      <c r="AP142" s="241"/>
      <c r="AQ142" s="194"/>
      <c r="AR142" s="195"/>
      <c r="AS142" s="195"/>
    </row>
    <row r="143" spans="2:45">
      <c r="B143" s="253"/>
      <c r="C143" s="230"/>
      <c r="D143" s="245"/>
      <c r="E143" s="230"/>
      <c r="F143" s="230"/>
      <c r="G143" s="230"/>
      <c r="H143" s="230"/>
      <c r="I143" s="228"/>
      <c r="J143" s="228"/>
      <c r="K143" s="230"/>
      <c r="L143" s="230"/>
      <c r="M143" s="246"/>
      <c r="N143" s="230"/>
      <c r="O143" s="230"/>
      <c r="P143" s="230"/>
      <c r="Q143" s="230"/>
      <c r="R143" s="256"/>
      <c r="S143" s="257"/>
      <c r="T143" s="228"/>
      <c r="U143" s="228"/>
      <c r="V143" s="245"/>
      <c r="W143" s="254"/>
      <c r="X143" s="254"/>
      <c r="Y143" s="228"/>
      <c r="Z143" s="255"/>
      <c r="AA143" s="248"/>
      <c r="AB143" s="248"/>
      <c r="AC143" s="248"/>
      <c r="AD143" s="247"/>
      <c r="AE143" s="228"/>
      <c r="AF143" s="228"/>
      <c r="AG143" s="248"/>
      <c r="AH143" s="248"/>
      <c r="AI143" s="194"/>
      <c r="AJ143" s="249"/>
      <c r="AK143" s="250"/>
      <c r="AL143" s="251"/>
      <c r="AM143" s="252"/>
      <c r="AN143" s="241"/>
      <c r="AO143" s="241"/>
      <c r="AP143" s="241"/>
      <c r="AQ143" s="194"/>
      <c r="AR143" s="195"/>
      <c r="AS143" s="195"/>
    </row>
    <row r="144" spans="2:45">
      <c r="B144" s="253"/>
      <c r="C144" s="230"/>
      <c r="D144" s="245"/>
      <c r="E144" s="230"/>
      <c r="F144" s="230"/>
      <c r="G144" s="230"/>
      <c r="H144" s="230"/>
      <c r="I144" s="228"/>
      <c r="J144" s="228"/>
      <c r="K144" s="230"/>
      <c r="L144" s="230"/>
      <c r="M144" s="246"/>
      <c r="N144" s="230"/>
      <c r="O144" s="230"/>
      <c r="P144" s="230"/>
      <c r="Q144" s="230"/>
      <c r="R144" s="256"/>
      <c r="S144" s="257"/>
      <c r="T144" s="228"/>
      <c r="U144" s="228"/>
      <c r="V144" s="245"/>
      <c r="W144" s="254"/>
      <c r="X144" s="254"/>
      <c r="Y144" s="228"/>
      <c r="Z144" s="255"/>
      <c r="AA144" s="248"/>
      <c r="AB144" s="248"/>
      <c r="AC144" s="248"/>
      <c r="AD144" s="247"/>
      <c r="AE144" s="228"/>
      <c r="AF144" s="228"/>
      <c r="AG144" s="248"/>
      <c r="AH144" s="248"/>
      <c r="AI144" s="194"/>
      <c r="AJ144" s="249"/>
      <c r="AK144" s="250"/>
      <c r="AL144" s="251"/>
      <c r="AM144" s="252"/>
      <c r="AN144" s="241"/>
      <c r="AO144" s="241"/>
      <c r="AP144" s="241"/>
      <c r="AQ144" s="194"/>
      <c r="AR144" s="195"/>
      <c r="AS144" s="195"/>
    </row>
    <row r="145" spans="2:45">
      <c r="B145" s="253"/>
      <c r="C145" s="230"/>
      <c r="D145" s="245"/>
      <c r="E145" s="230"/>
      <c r="F145" s="230"/>
      <c r="G145" s="230"/>
      <c r="H145" s="230"/>
      <c r="I145" s="228"/>
      <c r="J145" s="228"/>
      <c r="K145" s="230"/>
      <c r="L145" s="230"/>
      <c r="M145" s="246"/>
      <c r="N145" s="230"/>
      <c r="O145" s="230"/>
      <c r="P145" s="230"/>
      <c r="Q145" s="230"/>
      <c r="R145" s="256"/>
      <c r="S145" s="257"/>
      <c r="T145" s="228"/>
      <c r="U145" s="228"/>
      <c r="V145" s="245"/>
      <c r="W145" s="254"/>
      <c r="X145" s="254"/>
      <c r="Y145" s="228"/>
      <c r="Z145" s="255"/>
      <c r="AA145" s="248"/>
      <c r="AB145" s="248"/>
      <c r="AC145" s="248"/>
      <c r="AD145" s="247"/>
      <c r="AE145" s="228"/>
      <c r="AF145" s="228"/>
      <c r="AG145" s="248"/>
      <c r="AH145" s="248"/>
      <c r="AI145" s="194"/>
      <c r="AJ145" s="249"/>
      <c r="AK145" s="250"/>
      <c r="AL145" s="251"/>
      <c r="AM145" s="252"/>
      <c r="AN145" s="241"/>
      <c r="AO145" s="241"/>
      <c r="AP145" s="241"/>
      <c r="AQ145" s="194"/>
      <c r="AR145" s="195"/>
      <c r="AS145" s="195"/>
    </row>
    <row r="146" spans="2:45">
      <c r="B146" s="253"/>
      <c r="C146" s="230"/>
      <c r="D146" s="245"/>
      <c r="E146" s="230"/>
      <c r="F146" s="230"/>
      <c r="G146" s="230"/>
      <c r="H146" s="230"/>
      <c r="I146" s="228"/>
      <c r="J146" s="228"/>
      <c r="K146" s="230"/>
      <c r="L146" s="230"/>
      <c r="M146" s="246"/>
      <c r="N146" s="230"/>
      <c r="O146" s="230"/>
      <c r="P146" s="230"/>
      <c r="Q146" s="230"/>
      <c r="R146" s="256"/>
      <c r="S146" s="257"/>
      <c r="T146" s="228"/>
      <c r="U146" s="228"/>
      <c r="V146" s="245"/>
      <c r="W146" s="254"/>
      <c r="X146" s="254"/>
      <c r="Y146" s="228"/>
      <c r="Z146" s="255"/>
      <c r="AA146" s="248"/>
      <c r="AB146" s="248"/>
      <c r="AC146" s="248"/>
      <c r="AD146" s="247"/>
      <c r="AE146" s="228"/>
      <c r="AF146" s="228"/>
      <c r="AG146" s="248"/>
      <c r="AH146" s="248"/>
      <c r="AI146" s="194"/>
      <c r="AJ146" s="249"/>
      <c r="AK146" s="250"/>
      <c r="AL146" s="251"/>
      <c r="AM146" s="252"/>
      <c r="AN146" s="241"/>
      <c r="AO146" s="241"/>
      <c r="AP146" s="241"/>
      <c r="AQ146" s="194"/>
      <c r="AR146" s="195"/>
      <c r="AS146" s="195"/>
    </row>
    <row r="147" spans="2:45">
      <c r="B147" s="253"/>
      <c r="C147" s="230"/>
      <c r="D147" s="245"/>
      <c r="E147" s="230"/>
      <c r="F147" s="230"/>
      <c r="G147" s="230"/>
      <c r="H147" s="230"/>
      <c r="I147" s="228"/>
      <c r="J147" s="228"/>
      <c r="K147" s="230"/>
      <c r="L147" s="230"/>
      <c r="M147" s="246"/>
      <c r="N147" s="230"/>
      <c r="O147" s="230"/>
      <c r="P147" s="230"/>
      <c r="Q147" s="230"/>
      <c r="R147" s="256"/>
      <c r="S147" s="257"/>
      <c r="T147" s="228"/>
      <c r="U147" s="228"/>
      <c r="V147" s="245"/>
      <c r="W147" s="254"/>
      <c r="X147" s="254"/>
      <c r="Y147" s="228"/>
      <c r="Z147" s="255"/>
      <c r="AA147" s="248"/>
      <c r="AB147" s="248"/>
      <c r="AC147" s="248"/>
      <c r="AD147" s="247"/>
      <c r="AE147" s="228"/>
      <c r="AF147" s="228"/>
      <c r="AG147" s="248"/>
      <c r="AH147" s="248"/>
      <c r="AI147" s="194"/>
      <c r="AJ147" s="249"/>
      <c r="AK147" s="250"/>
      <c r="AL147" s="251"/>
      <c r="AM147" s="252"/>
      <c r="AN147" s="241"/>
      <c r="AO147" s="241"/>
      <c r="AP147" s="241"/>
      <c r="AQ147" s="194"/>
      <c r="AR147" s="195"/>
      <c r="AS147" s="195"/>
    </row>
    <row r="148" spans="2:45">
      <c r="B148" s="253"/>
      <c r="C148" s="230"/>
      <c r="D148" s="245"/>
      <c r="E148" s="230"/>
      <c r="F148" s="230"/>
      <c r="G148" s="230"/>
      <c r="H148" s="230"/>
      <c r="I148" s="228"/>
      <c r="J148" s="228"/>
      <c r="K148" s="230"/>
      <c r="L148" s="230"/>
      <c r="M148" s="246"/>
      <c r="N148" s="230"/>
      <c r="O148" s="230"/>
      <c r="P148" s="230"/>
      <c r="Q148" s="230"/>
      <c r="R148" s="256"/>
      <c r="S148" s="257"/>
      <c r="T148" s="228"/>
      <c r="U148" s="228"/>
      <c r="V148" s="245"/>
      <c r="W148" s="254"/>
      <c r="X148" s="254"/>
      <c r="Y148" s="228"/>
      <c r="Z148" s="255"/>
      <c r="AA148" s="248"/>
      <c r="AB148" s="248"/>
      <c r="AC148" s="248"/>
      <c r="AD148" s="247"/>
      <c r="AE148" s="228"/>
      <c r="AF148" s="228"/>
      <c r="AG148" s="248"/>
      <c r="AH148" s="248"/>
      <c r="AI148" s="194"/>
      <c r="AJ148" s="249"/>
      <c r="AK148" s="250"/>
      <c r="AL148" s="251"/>
      <c r="AM148" s="252"/>
      <c r="AN148" s="241"/>
      <c r="AO148" s="241"/>
      <c r="AP148" s="241"/>
      <c r="AQ148" s="194"/>
      <c r="AR148" s="195"/>
      <c r="AS148" s="195"/>
    </row>
    <row r="149" spans="2:45">
      <c r="B149" s="253"/>
      <c r="C149" s="230"/>
      <c r="D149" s="245"/>
      <c r="E149" s="230"/>
      <c r="F149" s="230"/>
      <c r="G149" s="230"/>
      <c r="H149" s="230"/>
      <c r="I149" s="228"/>
      <c r="J149" s="228"/>
      <c r="K149" s="230"/>
      <c r="L149" s="230"/>
      <c r="M149" s="246"/>
      <c r="N149" s="230"/>
      <c r="O149" s="230"/>
      <c r="P149" s="230"/>
      <c r="Q149" s="230"/>
      <c r="R149" s="256"/>
      <c r="S149" s="257"/>
      <c r="T149" s="228"/>
      <c r="U149" s="228"/>
      <c r="V149" s="245"/>
      <c r="W149" s="254"/>
      <c r="X149" s="254"/>
      <c r="Y149" s="228"/>
      <c r="Z149" s="255"/>
      <c r="AA149" s="248"/>
      <c r="AB149" s="248"/>
      <c r="AC149" s="248"/>
      <c r="AD149" s="247"/>
      <c r="AE149" s="228"/>
      <c r="AF149" s="228"/>
      <c r="AG149" s="248"/>
      <c r="AH149" s="248"/>
      <c r="AI149" s="194"/>
      <c r="AJ149" s="249"/>
      <c r="AK149" s="250"/>
      <c r="AL149" s="251"/>
      <c r="AM149" s="252"/>
      <c r="AN149" s="241"/>
      <c r="AO149" s="241"/>
      <c r="AP149" s="241"/>
      <c r="AQ149" s="194"/>
      <c r="AR149" s="195"/>
      <c r="AS149" s="195"/>
    </row>
    <row r="150" spans="2:45">
      <c r="B150" s="253"/>
      <c r="C150" s="230"/>
      <c r="D150" s="245"/>
      <c r="E150" s="230"/>
      <c r="F150" s="230"/>
      <c r="G150" s="230"/>
      <c r="H150" s="230"/>
      <c r="I150" s="228"/>
      <c r="J150" s="228"/>
      <c r="K150" s="230"/>
      <c r="L150" s="230"/>
      <c r="M150" s="246"/>
      <c r="N150" s="230"/>
      <c r="O150" s="230"/>
      <c r="P150" s="230"/>
      <c r="Q150" s="230"/>
      <c r="R150" s="256"/>
      <c r="S150" s="257"/>
      <c r="T150" s="228"/>
      <c r="U150" s="228"/>
      <c r="V150" s="245"/>
      <c r="W150" s="254"/>
      <c r="X150" s="254"/>
      <c r="Y150" s="228"/>
      <c r="Z150" s="255"/>
      <c r="AA150" s="248"/>
      <c r="AB150" s="248"/>
      <c r="AC150" s="248"/>
      <c r="AD150" s="247"/>
      <c r="AE150" s="228"/>
      <c r="AF150" s="228"/>
      <c r="AG150" s="248"/>
      <c r="AH150" s="248"/>
      <c r="AI150" s="194"/>
      <c r="AJ150" s="249"/>
      <c r="AK150" s="250"/>
      <c r="AL150" s="251"/>
      <c r="AM150" s="252"/>
      <c r="AN150" s="241"/>
      <c r="AO150" s="241"/>
      <c r="AP150" s="241"/>
      <c r="AQ150" s="194"/>
      <c r="AR150" s="195"/>
      <c r="AS150" s="195"/>
    </row>
    <row r="151" spans="2:45">
      <c r="B151" s="253"/>
      <c r="C151" s="230"/>
      <c r="D151" s="245"/>
      <c r="E151" s="230"/>
      <c r="F151" s="230"/>
      <c r="G151" s="230"/>
      <c r="H151" s="230"/>
      <c r="I151" s="228"/>
      <c r="J151" s="228"/>
      <c r="K151" s="230"/>
      <c r="L151" s="230"/>
      <c r="M151" s="246"/>
      <c r="N151" s="230"/>
      <c r="O151" s="230"/>
      <c r="P151" s="230"/>
      <c r="Q151" s="230"/>
      <c r="R151" s="256"/>
      <c r="S151" s="257"/>
      <c r="T151" s="228"/>
      <c r="U151" s="228"/>
      <c r="V151" s="245"/>
      <c r="W151" s="254"/>
      <c r="X151" s="254"/>
      <c r="Y151" s="228"/>
      <c r="Z151" s="255"/>
      <c r="AA151" s="248"/>
      <c r="AB151" s="248"/>
      <c r="AC151" s="248"/>
      <c r="AD151" s="247"/>
      <c r="AE151" s="228"/>
      <c r="AF151" s="228"/>
      <c r="AG151" s="248"/>
      <c r="AH151" s="248"/>
      <c r="AI151" s="194"/>
      <c r="AJ151" s="249"/>
      <c r="AK151" s="250"/>
      <c r="AL151" s="251"/>
      <c r="AM151" s="252"/>
      <c r="AN151" s="241"/>
      <c r="AO151" s="241"/>
      <c r="AP151" s="241"/>
      <c r="AQ151" s="194"/>
      <c r="AR151" s="195"/>
      <c r="AS151" s="195"/>
    </row>
    <row r="152" spans="2:45">
      <c r="B152" s="253"/>
      <c r="C152" s="230"/>
      <c r="D152" s="245"/>
      <c r="E152" s="230"/>
      <c r="F152" s="230"/>
      <c r="G152" s="230"/>
      <c r="H152" s="230"/>
      <c r="I152" s="228"/>
      <c r="J152" s="228"/>
      <c r="K152" s="230"/>
      <c r="L152" s="230"/>
      <c r="M152" s="246"/>
      <c r="N152" s="230"/>
      <c r="O152" s="230"/>
      <c r="P152" s="230"/>
      <c r="Q152" s="230"/>
      <c r="R152" s="256"/>
      <c r="S152" s="257"/>
      <c r="T152" s="228"/>
      <c r="U152" s="228"/>
      <c r="V152" s="245"/>
      <c r="W152" s="254"/>
      <c r="X152" s="254"/>
      <c r="Y152" s="228"/>
      <c r="Z152" s="255"/>
      <c r="AA152" s="248"/>
      <c r="AB152" s="248"/>
      <c r="AC152" s="248"/>
      <c r="AD152" s="247"/>
      <c r="AE152" s="228"/>
      <c r="AF152" s="228"/>
      <c r="AG152" s="248"/>
      <c r="AH152" s="248"/>
      <c r="AI152" s="194"/>
      <c r="AJ152" s="249"/>
      <c r="AK152" s="250"/>
      <c r="AL152" s="251"/>
      <c r="AM152" s="252"/>
      <c r="AN152" s="241"/>
      <c r="AO152" s="241"/>
      <c r="AP152" s="241"/>
      <c r="AQ152" s="194"/>
      <c r="AR152" s="195"/>
      <c r="AS152" s="195"/>
    </row>
    <row r="153" spans="2:45">
      <c r="B153" s="253"/>
      <c r="C153" s="230"/>
      <c r="D153" s="245"/>
      <c r="E153" s="230"/>
      <c r="F153" s="230"/>
      <c r="G153" s="230"/>
      <c r="H153" s="230"/>
      <c r="I153" s="228"/>
      <c r="J153" s="228"/>
      <c r="K153" s="230"/>
      <c r="L153" s="230"/>
      <c r="M153" s="246"/>
      <c r="N153" s="230"/>
      <c r="O153" s="230"/>
      <c r="P153" s="230"/>
      <c r="Q153" s="230"/>
      <c r="R153" s="256"/>
      <c r="S153" s="257"/>
      <c r="T153" s="228"/>
      <c r="U153" s="228"/>
      <c r="V153" s="245"/>
      <c r="W153" s="254"/>
      <c r="X153" s="254"/>
      <c r="Y153" s="228"/>
      <c r="Z153" s="255"/>
      <c r="AA153" s="248"/>
      <c r="AB153" s="248"/>
      <c r="AC153" s="248"/>
      <c r="AD153" s="247"/>
      <c r="AE153" s="228"/>
      <c r="AF153" s="228"/>
      <c r="AG153" s="248"/>
      <c r="AH153" s="248"/>
      <c r="AI153" s="194"/>
      <c r="AJ153" s="249"/>
      <c r="AK153" s="250"/>
      <c r="AL153" s="251"/>
      <c r="AM153" s="252"/>
      <c r="AN153" s="241"/>
      <c r="AO153" s="241"/>
      <c r="AP153" s="241"/>
      <c r="AQ153" s="194"/>
      <c r="AR153" s="195"/>
      <c r="AS153" s="195"/>
    </row>
    <row r="154" spans="2:45">
      <c r="B154" s="253"/>
      <c r="C154" s="230"/>
      <c r="D154" s="245"/>
      <c r="E154" s="230"/>
      <c r="F154" s="230"/>
      <c r="G154" s="230"/>
      <c r="H154" s="230"/>
      <c r="I154" s="228"/>
      <c r="J154" s="228"/>
      <c r="K154" s="230"/>
      <c r="L154" s="230"/>
      <c r="M154" s="246"/>
      <c r="N154" s="230"/>
      <c r="O154" s="230"/>
      <c r="P154" s="230"/>
      <c r="Q154" s="230"/>
      <c r="R154" s="256"/>
      <c r="S154" s="257"/>
      <c r="T154" s="228"/>
      <c r="U154" s="228"/>
      <c r="V154" s="245"/>
      <c r="W154" s="254"/>
      <c r="X154" s="254"/>
      <c r="Y154" s="228"/>
      <c r="Z154" s="255"/>
      <c r="AA154" s="248"/>
      <c r="AB154" s="248"/>
      <c r="AC154" s="248"/>
      <c r="AD154" s="247"/>
      <c r="AE154" s="228"/>
      <c r="AF154" s="228"/>
      <c r="AG154" s="248"/>
      <c r="AH154" s="248"/>
      <c r="AI154" s="194"/>
      <c r="AJ154" s="249"/>
      <c r="AK154" s="250"/>
      <c r="AL154" s="251"/>
      <c r="AM154" s="252"/>
      <c r="AN154" s="241"/>
      <c r="AO154" s="241"/>
      <c r="AP154" s="241"/>
      <c r="AQ154" s="194"/>
      <c r="AR154" s="195"/>
      <c r="AS154" s="195"/>
    </row>
    <row r="155" spans="2:45">
      <c r="B155" s="253"/>
      <c r="C155" s="230"/>
      <c r="D155" s="245"/>
      <c r="E155" s="230"/>
      <c r="F155" s="230"/>
      <c r="G155" s="230"/>
      <c r="H155" s="230"/>
      <c r="I155" s="228"/>
      <c r="J155" s="228"/>
      <c r="K155" s="230"/>
      <c r="L155" s="230"/>
      <c r="M155" s="246"/>
      <c r="N155" s="230"/>
      <c r="O155" s="230"/>
      <c r="P155" s="230"/>
      <c r="Q155" s="230"/>
      <c r="R155" s="256"/>
      <c r="S155" s="257"/>
      <c r="T155" s="228"/>
      <c r="U155" s="228"/>
      <c r="V155" s="245"/>
      <c r="W155" s="254"/>
      <c r="X155" s="254"/>
      <c r="Y155" s="228"/>
      <c r="Z155" s="255"/>
      <c r="AA155" s="248"/>
      <c r="AB155" s="248"/>
      <c r="AC155" s="248"/>
      <c r="AD155" s="247"/>
      <c r="AE155" s="228"/>
      <c r="AF155" s="228"/>
      <c r="AG155" s="248"/>
      <c r="AH155" s="248"/>
      <c r="AI155" s="194"/>
      <c r="AJ155" s="249"/>
      <c r="AK155" s="250"/>
      <c r="AL155" s="251"/>
      <c r="AM155" s="252"/>
      <c r="AN155" s="241"/>
      <c r="AO155" s="241"/>
      <c r="AP155" s="241"/>
      <c r="AQ155" s="194"/>
      <c r="AR155" s="195"/>
      <c r="AS155" s="195"/>
    </row>
    <row r="156" spans="2:45">
      <c r="B156" s="253"/>
      <c r="C156" s="230"/>
      <c r="D156" s="245"/>
      <c r="E156" s="230"/>
      <c r="F156" s="230"/>
      <c r="G156" s="230"/>
      <c r="H156" s="230"/>
      <c r="I156" s="228"/>
      <c r="J156" s="228"/>
      <c r="K156" s="230"/>
      <c r="L156" s="230"/>
      <c r="M156" s="246"/>
      <c r="N156" s="230"/>
      <c r="O156" s="230"/>
      <c r="P156" s="230"/>
      <c r="Q156" s="230"/>
      <c r="R156" s="256"/>
      <c r="S156" s="257"/>
      <c r="T156" s="228"/>
      <c r="U156" s="228"/>
      <c r="V156" s="245"/>
      <c r="W156" s="254"/>
      <c r="X156" s="254"/>
      <c r="Y156" s="228"/>
      <c r="Z156" s="255"/>
      <c r="AA156" s="248"/>
      <c r="AB156" s="248"/>
      <c r="AC156" s="248"/>
      <c r="AD156" s="247"/>
      <c r="AE156" s="228"/>
      <c r="AF156" s="228"/>
      <c r="AG156" s="248"/>
      <c r="AH156" s="248"/>
      <c r="AI156" s="194"/>
      <c r="AJ156" s="249"/>
      <c r="AK156" s="250"/>
      <c r="AL156" s="251"/>
      <c r="AM156" s="252"/>
      <c r="AN156" s="241"/>
      <c r="AO156" s="241"/>
      <c r="AP156" s="241"/>
      <c r="AQ156" s="194"/>
      <c r="AR156" s="195"/>
      <c r="AS156" s="195"/>
    </row>
    <row r="157" spans="2:45">
      <c r="B157" s="253"/>
      <c r="C157" s="230"/>
      <c r="D157" s="245"/>
      <c r="E157" s="230"/>
      <c r="F157" s="230"/>
      <c r="G157" s="230"/>
      <c r="H157" s="230"/>
      <c r="I157" s="228"/>
      <c r="J157" s="228"/>
      <c r="K157" s="230"/>
      <c r="L157" s="230"/>
      <c r="M157" s="246"/>
      <c r="N157" s="230"/>
      <c r="O157" s="230"/>
      <c r="P157" s="230"/>
      <c r="Q157" s="230"/>
      <c r="R157" s="256"/>
      <c r="S157" s="257"/>
      <c r="T157" s="228"/>
      <c r="U157" s="228"/>
      <c r="V157" s="245"/>
      <c r="W157" s="254"/>
      <c r="X157" s="254"/>
      <c r="Y157" s="228"/>
      <c r="Z157" s="255"/>
      <c r="AA157" s="248"/>
      <c r="AB157" s="248"/>
      <c r="AC157" s="248"/>
      <c r="AD157" s="247"/>
      <c r="AE157" s="228"/>
      <c r="AF157" s="228"/>
      <c r="AG157" s="248"/>
      <c r="AH157" s="248"/>
      <c r="AI157" s="194"/>
      <c r="AJ157" s="249"/>
      <c r="AK157" s="250"/>
      <c r="AL157" s="251"/>
      <c r="AM157" s="252"/>
      <c r="AN157" s="241"/>
      <c r="AO157" s="241"/>
      <c r="AP157" s="241"/>
      <c r="AQ157" s="194"/>
      <c r="AR157" s="195"/>
      <c r="AS157" s="195"/>
    </row>
    <row r="158" spans="2:45">
      <c r="B158" s="253"/>
      <c r="C158" s="230"/>
      <c r="D158" s="245"/>
      <c r="E158" s="230"/>
      <c r="F158" s="230"/>
      <c r="G158" s="230"/>
      <c r="H158" s="230"/>
      <c r="I158" s="228"/>
      <c r="J158" s="228"/>
      <c r="K158" s="230"/>
      <c r="L158" s="230"/>
      <c r="M158" s="246"/>
      <c r="N158" s="230"/>
      <c r="O158" s="230"/>
      <c r="P158" s="230"/>
      <c r="Q158" s="230"/>
      <c r="R158" s="256"/>
      <c r="S158" s="257"/>
      <c r="T158" s="228"/>
      <c r="U158" s="228"/>
      <c r="V158" s="245"/>
      <c r="W158" s="254"/>
      <c r="X158" s="254"/>
      <c r="Y158" s="228"/>
      <c r="Z158" s="255"/>
      <c r="AA158" s="248"/>
      <c r="AB158" s="248"/>
      <c r="AC158" s="248"/>
      <c r="AD158" s="247"/>
      <c r="AE158" s="228"/>
      <c r="AF158" s="228"/>
      <c r="AG158" s="248"/>
      <c r="AH158" s="248"/>
      <c r="AI158" s="194"/>
      <c r="AJ158" s="249"/>
      <c r="AK158" s="250"/>
      <c r="AL158" s="251"/>
      <c r="AM158" s="252"/>
      <c r="AN158" s="241"/>
      <c r="AO158" s="241"/>
      <c r="AP158" s="241"/>
      <c r="AQ158" s="194"/>
      <c r="AR158" s="195"/>
      <c r="AS158" s="195"/>
    </row>
    <row r="159" spans="2:45">
      <c r="B159" s="253"/>
      <c r="C159" s="230"/>
      <c r="D159" s="245"/>
      <c r="E159" s="230"/>
      <c r="F159" s="230"/>
      <c r="G159" s="230"/>
      <c r="H159" s="230"/>
      <c r="I159" s="228"/>
      <c r="J159" s="228"/>
      <c r="K159" s="230"/>
      <c r="L159" s="230"/>
      <c r="M159" s="246"/>
      <c r="N159" s="230"/>
      <c r="O159" s="230"/>
      <c r="P159" s="230"/>
      <c r="Q159" s="230"/>
      <c r="R159" s="256"/>
      <c r="S159" s="257"/>
      <c r="T159" s="228"/>
      <c r="U159" s="228"/>
      <c r="V159" s="245"/>
      <c r="W159" s="254"/>
      <c r="X159" s="254"/>
      <c r="Y159" s="228"/>
      <c r="Z159" s="255"/>
      <c r="AA159" s="248"/>
      <c r="AB159" s="248"/>
      <c r="AC159" s="248"/>
      <c r="AD159" s="247"/>
      <c r="AE159" s="228"/>
      <c r="AF159" s="228"/>
      <c r="AG159" s="248"/>
      <c r="AH159" s="248"/>
      <c r="AI159" s="194"/>
      <c r="AJ159" s="249"/>
      <c r="AK159" s="250"/>
      <c r="AL159" s="251"/>
      <c r="AM159" s="252"/>
      <c r="AN159" s="241"/>
      <c r="AO159" s="241"/>
      <c r="AP159" s="241"/>
      <c r="AQ159" s="194"/>
      <c r="AR159" s="195"/>
      <c r="AS159" s="195"/>
    </row>
    <row r="160" spans="2:45">
      <c r="B160" s="253"/>
      <c r="C160" s="230"/>
      <c r="D160" s="245"/>
      <c r="E160" s="230"/>
      <c r="F160" s="230"/>
      <c r="G160" s="230"/>
      <c r="H160" s="230"/>
      <c r="I160" s="228"/>
      <c r="J160" s="228"/>
      <c r="K160" s="230"/>
      <c r="L160" s="230"/>
      <c r="M160" s="246"/>
      <c r="N160" s="230"/>
      <c r="O160" s="230"/>
      <c r="P160" s="230"/>
      <c r="Q160" s="230"/>
      <c r="R160" s="256"/>
      <c r="S160" s="257"/>
      <c r="T160" s="228"/>
      <c r="U160" s="228"/>
      <c r="V160" s="245"/>
      <c r="W160" s="254"/>
      <c r="X160" s="254"/>
      <c r="Y160" s="228"/>
      <c r="Z160" s="255"/>
      <c r="AA160" s="248"/>
      <c r="AB160" s="248"/>
      <c r="AC160" s="248"/>
      <c r="AD160" s="247"/>
      <c r="AE160" s="228"/>
      <c r="AF160" s="228"/>
      <c r="AG160" s="248"/>
      <c r="AH160" s="248"/>
      <c r="AI160" s="194"/>
      <c r="AJ160" s="249"/>
      <c r="AK160" s="250"/>
      <c r="AL160" s="251"/>
      <c r="AM160" s="252"/>
      <c r="AN160" s="241"/>
      <c r="AO160" s="241"/>
      <c r="AP160" s="241"/>
      <c r="AQ160" s="194"/>
      <c r="AR160" s="195"/>
      <c r="AS160" s="195"/>
    </row>
    <row r="161" spans="2:45">
      <c r="B161" s="253"/>
      <c r="C161" s="230"/>
      <c r="D161" s="245"/>
      <c r="E161" s="230"/>
      <c r="F161" s="230"/>
      <c r="G161" s="230"/>
      <c r="H161" s="230"/>
      <c r="I161" s="228"/>
      <c r="J161" s="228"/>
      <c r="K161" s="230"/>
      <c r="L161" s="230"/>
      <c r="M161" s="246"/>
      <c r="N161" s="230"/>
      <c r="O161" s="230"/>
      <c r="P161" s="230"/>
      <c r="Q161" s="230"/>
      <c r="R161" s="256"/>
      <c r="S161" s="257"/>
      <c r="T161" s="228"/>
      <c r="U161" s="228"/>
      <c r="V161" s="245"/>
      <c r="W161" s="254"/>
      <c r="X161" s="254"/>
      <c r="Y161" s="228"/>
      <c r="Z161" s="255"/>
      <c r="AA161" s="248"/>
      <c r="AB161" s="248"/>
      <c r="AC161" s="248"/>
      <c r="AD161" s="247"/>
      <c r="AE161" s="228"/>
      <c r="AF161" s="228"/>
      <c r="AG161" s="248"/>
      <c r="AH161" s="248"/>
      <c r="AI161" s="194"/>
      <c r="AJ161" s="249"/>
      <c r="AK161" s="250"/>
      <c r="AL161" s="251"/>
      <c r="AM161" s="252"/>
      <c r="AN161" s="241"/>
      <c r="AO161" s="241"/>
      <c r="AP161" s="241"/>
      <c r="AQ161" s="194"/>
      <c r="AR161" s="195"/>
      <c r="AS161" s="195"/>
    </row>
    <row r="162" spans="2:45">
      <c r="B162" s="253"/>
      <c r="C162" s="230"/>
      <c r="D162" s="245"/>
      <c r="E162" s="230"/>
      <c r="F162" s="230"/>
      <c r="G162" s="230"/>
      <c r="H162" s="230"/>
      <c r="I162" s="228"/>
      <c r="J162" s="228"/>
      <c r="K162" s="230"/>
      <c r="L162" s="230"/>
      <c r="M162" s="246"/>
      <c r="N162" s="230"/>
      <c r="O162" s="230"/>
      <c r="P162" s="230"/>
      <c r="Q162" s="230"/>
      <c r="R162" s="256"/>
      <c r="S162" s="257"/>
      <c r="T162" s="228"/>
      <c r="U162" s="228"/>
      <c r="V162" s="245"/>
      <c r="W162" s="254"/>
      <c r="X162" s="254"/>
      <c r="Y162" s="228"/>
      <c r="Z162" s="255"/>
      <c r="AA162" s="248"/>
      <c r="AB162" s="248"/>
      <c r="AC162" s="248"/>
      <c r="AD162" s="247"/>
      <c r="AE162" s="228"/>
      <c r="AF162" s="228"/>
      <c r="AG162" s="248"/>
      <c r="AH162" s="248"/>
      <c r="AI162" s="194"/>
      <c r="AJ162" s="249"/>
      <c r="AK162" s="250"/>
      <c r="AL162" s="251"/>
      <c r="AM162" s="252"/>
      <c r="AN162" s="241"/>
      <c r="AO162" s="241"/>
      <c r="AP162" s="241"/>
      <c r="AQ162" s="194"/>
      <c r="AR162" s="195"/>
      <c r="AS162" s="195"/>
    </row>
    <row r="163" spans="2:45">
      <c r="B163" s="253"/>
      <c r="C163" s="230"/>
      <c r="D163" s="245"/>
      <c r="E163" s="230"/>
      <c r="F163" s="230"/>
      <c r="G163" s="230"/>
      <c r="H163" s="230"/>
      <c r="I163" s="228"/>
      <c r="J163" s="228"/>
      <c r="K163" s="230"/>
      <c r="L163" s="230"/>
      <c r="M163" s="246"/>
      <c r="N163" s="230"/>
      <c r="O163" s="230"/>
      <c r="P163" s="230"/>
      <c r="Q163" s="230"/>
      <c r="R163" s="256"/>
      <c r="S163" s="257"/>
      <c r="T163" s="228"/>
      <c r="U163" s="228"/>
      <c r="V163" s="245"/>
      <c r="W163" s="254"/>
      <c r="X163" s="254"/>
      <c r="Y163" s="228"/>
      <c r="Z163" s="255"/>
      <c r="AA163" s="248"/>
      <c r="AB163" s="248"/>
      <c r="AC163" s="248"/>
      <c r="AD163" s="247"/>
      <c r="AE163" s="228"/>
      <c r="AF163" s="228"/>
      <c r="AG163" s="248"/>
      <c r="AH163" s="248"/>
      <c r="AI163" s="194"/>
      <c r="AJ163" s="249"/>
      <c r="AK163" s="250"/>
      <c r="AL163" s="251"/>
      <c r="AM163" s="252"/>
      <c r="AN163" s="241"/>
      <c r="AO163" s="241"/>
      <c r="AP163" s="241"/>
      <c r="AQ163" s="194"/>
      <c r="AR163" s="195"/>
      <c r="AS163" s="195"/>
    </row>
    <row r="164" spans="2:45">
      <c r="B164" s="253"/>
      <c r="C164" s="230"/>
      <c r="D164" s="245"/>
      <c r="E164" s="230"/>
      <c r="F164" s="230"/>
      <c r="G164" s="230"/>
      <c r="H164" s="230"/>
      <c r="I164" s="228"/>
      <c r="J164" s="228"/>
      <c r="K164" s="230"/>
      <c r="L164" s="230"/>
      <c r="M164" s="246"/>
      <c r="N164" s="230"/>
      <c r="O164" s="230"/>
      <c r="P164" s="230"/>
      <c r="Q164" s="230"/>
      <c r="R164" s="256"/>
      <c r="S164" s="257"/>
      <c r="T164" s="228"/>
      <c r="U164" s="228"/>
      <c r="V164" s="245"/>
      <c r="W164" s="254"/>
      <c r="X164" s="254"/>
      <c r="Y164" s="228"/>
      <c r="Z164" s="255"/>
      <c r="AA164" s="248"/>
      <c r="AB164" s="248"/>
      <c r="AC164" s="248"/>
      <c r="AD164" s="247"/>
      <c r="AE164" s="228"/>
      <c r="AF164" s="228"/>
      <c r="AG164" s="248"/>
      <c r="AH164" s="248"/>
      <c r="AI164" s="194"/>
      <c r="AJ164" s="249"/>
      <c r="AK164" s="250"/>
      <c r="AL164" s="251"/>
      <c r="AM164" s="252"/>
      <c r="AN164" s="241"/>
      <c r="AO164" s="241"/>
      <c r="AP164" s="241"/>
      <c r="AQ164" s="194"/>
      <c r="AR164" s="195"/>
      <c r="AS164" s="195"/>
    </row>
    <row r="165" spans="2:45">
      <c r="B165" s="253"/>
      <c r="C165" s="230"/>
      <c r="D165" s="245"/>
      <c r="E165" s="230"/>
      <c r="F165" s="230"/>
      <c r="G165" s="230"/>
      <c r="H165" s="230"/>
      <c r="I165" s="228"/>
      <c r="J165" s="228"/>
      <c r="K165" s="230"/>
      <c r="L165" s="230"/>
      <c r="M165" s="246"/>
      <c r="N165" s="230"/>
      <c r="O165" s="230"/>
      <c r="P165" s="230"/>
      <c r="Q165" s="230"/>
      <c r="R165" s="256"/>
      <c r="S165" s="257"/>
      <c r="T165" s="228"/>
      <c r="U165" s="228"/>
      <c r="V165" s="245"/>
      <c r="W165" s="254"/>
      <c r="X165" s="254"/>
      <c r="Y165" s="228"/>
      <c r="Z165" s="255"/>
      <c r="AA165" s="248"/>
      <c r="AB165" s="248"/>
      <c r="AC165" s="248"/>
      <c r="AD165" s="247"/>
      <c r="AE165" s="228"/>
      <c r="AF165" s="228"/>
      <c r="AG165" s="248"/>
      <c r="AH165" s="248"/>
      <c r="AI165" s="194"/>
      <c r="AJ165" s="249"/>
      <c r="AK165" s="250"/>
      <c r="AL165" s="251"/>
      <c r="AM165" s="252"/>
      <c r="AN165" s="241"/>
      <c r="AO165" s="241"/>
      <c r="AP165" s="241"/>
      <c r="AQ165" s="194"/>
      <c r="AR165" s="195"/>
      <c r="AS165" s="195"/>
    </row>
    <row r="166" spans="2:45">
      <c r="B166" s="253"/>
      <c r="C166" s="230"/>
      <c r="D166" s="245"/>
      <c r="E166" s="230"/>
      <c r="F166" s="230"/>
      <c r="G166" s="230"/>
      <c r="H166" s="230"/>
      <c r="I166" s="228"/>
      <c r="J166" s="228"/>
      <c r="K166" s="230"/>
      <c r="L166" s="230"/>
      <c r="M166" s="246"/>
      <c r="N166" s="230"/>
      <c r="O166" s="230"/>
      <c r="P166" s="230"/>
      <c r="Q166" s="230"/>
      <c r="R166" s="256"/>
      <c r="S166" s="257"/>
      <c r="T166" s="228"/>
      <c r="U166" s="228"/>
      <c r="V166" s="245"/>
      <c r="W166" s="254"/>
      <c r="X166" s="254"/>
      <c r="Y166" s="228"/>
      <c r="Z166" s="255"/>
      <c r="AA166" s="248"/>
      <c r="AB166" s="248"/>
      <c r="AC166" s="248"/>
      <c r="AD166" s="247"/>
      <c r="AE166" s="228"/>
      <c r="AF166" s="228"/>
      <c r="AG166" s="248"/>
      <c r="AH166" s="248"/>
      <c r="AI166" s="194"/>
      <c r="AJ166" s="249"/>
      <c r="AK166" s="250"/>
      <c r="AL166" s="251"/>
      <c r="AM166" s="252"/>
      <c r="AN166" s="241"/>
      <c r="AO166" s="241"/>
      <c r="AP166" s="241"/>
      <c r="AQ166" s="194"/>
      <c r="AR166" s="195"/>
      <c r="AS166" s="195"/>
    </row>
    <row r="167" spans="2:45">
      <c r="B167" s="253"/>
      <c r="C167" s="230"/>
      <c r="D167" s="245"/>
      <c r="E167" s="230"/>
      <c r="F167" s="230"/>
      <c r="G167" s="230"/>
      <c r="H167" s="230"/>
      <c r="I167" s="228"/>
      <c r="J167" s="228"/>
      <c r="K167" s="230"/>
      <c r="L167" s="230"/>
      <c r="M167" s="246"/>
      <c r="N167" s="230"/>
      <c r="O167" s="230"/>
      <c r="P167" s="230"/>
      <c r="Q167" s="230"/>
      <c r="R167" s="256"/>
      <c r="S167" s="257"/>
      <c r="T167" s="228"/>
      <c r="U167" s="228"/>
      <c r="V167" s="245"/>
      <c r="W167" s="254"/>
      <c r="X167" s="254"/>
      <c r="Y167" s="228"/>
      <c r="Z167" s="255"/>
      <c r="AA167" s="248"/>
      <c r="AB167" s="248"/>
      <c r="AC167" s="248"/>
      <c r="AD167" s="247"/>
      <c r="AE167" s="228"/>
      <c r="AF167" s="228"/>
      <c r="AG167" s="248"/>
      <c r="AH167" s="248"/>
      <c r="AI167" s="194"/>
      <c r="AJ167" s="249"/>
      <c r="AK167" s="250"/>
      <c r="AL167" s="251"/>
      <c r="AM167" s="252"/>
      <c r="AN167" s="241"/>
      <c r="AO167" s="241"/>
      <c r="AP167" s="241"/>
      <c r="AQ167" s="194"/>
      <c r="AR167" s="195"/>
      <c r="AS167" s="195"/>
    </row>
    <row r="168" spans="2:45">
      <c r="B168" s="253"/>
      <c r="C168" s="230"/>
      <c r="D168" s="245"/>
      <c r="E168" s="230"/>
      <c r="F168" s="230"/>
      <c r="G168" s="230"/>
      <c r="H168" s="230"/>
      <c r="I168" s="228"/>
      <c r="J168" s="228"/>
      <c r="K168" s="230"/>
      <c r="L168" s="230"/>
      <c r="M168" s="246"/>
      <c r="N168" s="230"/>
      <c r="O168" s="230"/>
      <c r="P168" s="230"/>
      <c r="Q168" s="230"/>
      <c r="R168" s="256"/>
      <c r="S168" s="257"/>
      <c r="T168" s="228"/>
      <c r="U168" s="228"/>
      <c r="V168" s="245"/>
      <c r="W168" s="254"/>
      <c r="X168" s="254"/>
      <c r="Y168" s="228"/>
      <c r="Z168" s="255"/>
      <c r="AA168" s="248"/>
      <c r="AB168" s="248"/>
      <c r="AC168" s="248"/>
      <c r="AD168" s="247"/>
      <c r="AE168" s="228"/>
      <c r="AF168" s="228"/>
      <c r="AG168" s="248"/>
      <c r="AH168" s="248"/>
      <c r="AI168" s="194"/>
      <c r="AJ168" s="249"/>
      <c r="AK168" s="250"/>
      <c r="AL168" s="251"/>
      <c r="AM168" s="252"/>
      <c r="AN168" s="241"/>
      <c r="AO168" s="241"/>
      <c r="AP168" s="241"/>
      <c r="AQ168" s="194"/>
      <c r="AR168" s="195"/>
      <c r="AS168" s="195"/>
    </row>
    <row r="169" spans="2:45">
      <c r="B169" s="253"/>
      <c r="C169" s="230"/>
      <c r="D169" s="245"/>
      <c r="E169" s="230"/>
      <c r="F169" s="230"/>
      <c r="G169" s="230"/>
      <c r="H169" s="230"/>
      <c r="I169" s="228"/>
      <c r="J169" s="228"/>
      <c r="K169" s="230"/>
      <c r="L169" s="230"/>
      <c r="M169" s="246"/>
      <c r="N169" s="230"/>
      <c r="O169" s="230"/>
      <c r="P169" s="230"/>
      <c r="Q169" s="230"/>
      <c r="R169" s="256"/>
      <c r="S169" s="257"/>
      <c r="T169" s="228"/>
      <c r="U169" s="228"/>
      <c r="V169" s="245"/>
      <c r="W169" s="254"/>
      <c r="X169" s="254"/>
      <c r="Y169" s="228"/>
      <c r="Z169" s="255"/>
      <c r="AA169" s="248"/>
      <c r="AB169" s="248"/>
      <c r="AC169" s="248"/>
      <c r="AD169" s="247"/>
      <c r="AE169" s="228"/>
      <c r="AF169" s="228"/>
      <c r="AG169" s="248"/>
      <c r="AH169" s="248"/>
      <c r="AI169" s="194"/>
      <c r="AJ169" s="249"/>
      <c r="AK169" s="250"/>
      <c r="AL169" s="251"/>
      <c r="AM169" s="252"/>
      <c r="AN169" s="241"/>
      <c r="AO169" s="241"/>
      <c r="AP169" s="241"/>
      <c r="AQ169" s="194"/>
      <c r="AR169" s="195"/>
      <c r="AS169" s="195"/>
    </row>
    <row r="170" spans="2:45">
      <c r="B170" s="253"/>
      <c r="C170" s="230"/>
      <c r="D170" s="245"/>
      <c r="E170" s="230"/>
      <c r="F170" s="230"/>
      <c r="G170" s="230"/>
      <c r="H170" s="230"/>
      <c r="I170" s="228"/>
      <c r="J170" s="228"/>
      <c r="K170" s="230"/>
      <c r="L170" s="230"/>
      <c r="M170" s="246"/>
      <c r="N170" s="230"/>
      <c r="O170" s="230"/>
      <c r="P170" s="230"/>
      <c r="Q170" s="230"/>
      <c r="R170" s="256"/>
      <c r="S170" s="257"/>
      <c r="T170" s="228"/>
      <c r="U170" s="228"/>
      <c r="V170" s="245"/>
      <c r="W170" s="254"/>
      <c r="X170" s="254"/>
      <c r="Y170" s="228"/>
      <c r="Z170" s="255"/>
      <c r="AA170" s="248"/>
      <c r="AB170" s="248"/>
      <c r="AC170" s="248"/>
      <c r="AD170" s="247"/>
      <c r="AE170" s="228"/>
      <c r="AF170" s="228"/>
      <c r="AG170" s="248"/>
      <c r="AH170" s="248"/>
      <c r="AI170" s="194"/>
      <c r="AJ170" s="249"/>
      <c r="AK170" s="250"/>
      <c r="AL170" s="251"/>
      <c r="AM170" s="252"/>
      <c r="AN170" s="241"/>
      <c r="AO170" s="241"/>
      <c r="AP170" s="241"/>
      <c r="AQ170" s="194"/>
      <c r="AR170" s="195"/>
      <c r="AS170" s="195"/>
    </row>
    <row r="171" spans="2:45">
      <c r="B171" s="253"/>
      <c r="C171" s="230"/>
      <c r="D171" s="245"/>
      <c r="E171" s="230"/>
      <c r="F171" s="230"/>
      <c r="G171" s="230"/>
      <c r="H171" s="230"/>
      <c r="I171" s="228"/>
      <c r="J171" s="228"/>
      <c r="K171" s="230"/>
      <c r="L171" s="230"/>
      <c r="M171" s="246"/>
      <c r="N171" s="230"/>
      <c r="O171" s="230"/>
      <c r="P171" s="230"/>
      <c r="Q171" s="230"/>
      <c r="R171" s="256"/>
      <c r="S171" s="257"/>
      <c r="T171" s="228"/>
      <c r="U171" s="228"/>
      <c r="V171" s="245"/>
      <c r="W171" s="254"/>
      <c r="X171" s="254"/>
      <c r="Y171" s="228"/>
      <c r="Z171" s="255"/>
      <c r="AA171" s="248"/>
      <c r="AB171" s="248"/>
      <c r="AC171" s="248"/>
      <c r="AD171" s="247"/>
      <c r="AE171" s="228"/>
      <c r="AF171" s="228"/>
      <c r="AG171" s="248"/>
      <c r="AH171" s="248"/>
      <c r="AI171" s="194"/>
      <c r="AJ171" s="249"/>
      <c r="AK171" s="250"/>
      <c r="AL171" s="251"/>
      <c r="AM171" s="252"/>
      <c r="AN171" s="241"/>
      <c r="AO171" s="241"/>
      <c r="AP171" s="241"/>
      <c r="AQ171" s="194"/>
      <c r="AR171" s="195"/>
      <c r="AS171" s="195"/>
    </row>
    <row r="172" spans="2:45">
      <c r="B172" s="253"/>
      <c r="C172" s="230"/>
      <c r="D172" s="245"/>
      <c r="E172" s="230"/>
      <c r="F172" s="230"/>
      <c r="G172" s="230"/>
      <c r="H172" s="230"/>
      <c r="I172" s="228"/>
      <c r="J172" s="228"/>
      <c r="K172" s="230"/>
      <c r="L172" s="230"/>
      <c r="M172" s="246"/>
      <c r="N172" s="230"/>
      <c r="O172" s="230"/>
      <c r="P172" s="230"/>
      <c r="Q172" s="230"/>
      <c r="R172" s="256"/>
      <c r="S172" s="257"/>
      <c r="T172" s="228"/>
      <c r="U172" s="228"/>
      <c r="V172" s="245"/>
      <c r="W172" s="254"/>
      <c r="X172" s="254"/>
      <c r="Y172" s="228"/>
      <c r="Z172" s="255"/>
      <c r="AA172" s="248"/>
      <c r="AB172" s="248"/>
      <c r="AC172" s="248"/>
      <c r="AD172" s="247"/>
      <c r="AE172" s="228"/>
      <c r="AF172" s="228"/>
      <c r="AG172" s="248"/>
      <c r="AH172" s="248"/>
      <c r="AI172" s="194"/>
      <c r="AJ172" s="249"/>
      <c r="AK172" s="250"/>
      <c r="AL172" s="251"/>
      <c r="AM172" s="252"/>
      <c r="AN172" s="241"/>
      <c r="AO172" s="241"/>
      <c r="AP172" s="241"/>
      <c r="AQ172" s="194"/>
      <c r="AR172" s="195"/>
      <c r="AS172" s="195"/>
    </row>
    <row r="173" spans="2:45">
      <c r="B173" s="253"/>
      <c r="C173" s="230"/>
      <c r="D173" s="245"/>
      <c r="E173" s="230"/>
      <c r="F173" s="230"/>
      <c r="G173" s="230"/>
      <c r="H173" s="230"/>
      <c r="I173" s="228"/>
      <c r="J173" s="228"/>
      <c r="K173" s="230"/>
      <c r="L173" s="230"/>
      <c r="M173" s="246"/>
      <c r="N173" s="230"/>
      <c r="O173" s="230"/>
      <c r="P173" s="230"/>
      <c r="Q173" s="230"/>
      <c r="R173" s="256"/>
      <c r="S173" s="257"/>
      <c r="T173" s="228"/>
      <c r="U173" s="228"/>
      <c r="V173" s="245"/>
      <c r="W173" s="254"/>
      <c r="X173" s="254"/>
      <c r="Y173" s="228"/>
      <c r="Z173" s="255"/>
      <c r="AA173" s="248"/>
      <c r="AB173" s="248"/>
      <c r="AC173" s="248"/>
      <c r="AD173" s="247"/>
      <c r="AE173" s="228"/>
      <c r="AF173" s="228"/>
      <c r="AG173" s="248"/>
      <c r="AH173" s="248"/>
      <c r="AI173" s="194"/>
      <c r="AJ173" s="249"/>
      <c r="AK173" s="250"/>
      <c r="AL173" s="251"/>
      <c r="AM173" s="252"/>
      <c r="AN173" s="241"/>
      <c r="AO173" s="241"/>
      <c r="AP173" s="241"/>
      <c r="AQ173" s="194"/>
      <c r="AR173" s="195"/>
      <c r="AS173" s="195"/>
    </row>
    <row r="174" spans="2:45">
      <c r="B174" s="253"/>
      <c r="C174" s="230"/>
      <c r="D174" s="245"/>
      <c r="E174" s="230"/>
      <c r="F174" s="230"/>
      <c r="G174" s="230"/>
      <c r="H174" s="230"/>
      <c r="I174" s="228"/>
      <c r="J174" s="228"/>
      <c r="K174" s="230"/>
      <c r="L174" s="230"/>
      <c r="M174" s="246"/>
      <c r="N174" s="230"/>
      <c r="O174" s="230"/>
      <c r="P174" s="230"/>
      <c r="Q174" s="230"/>
      <c r="R174" s="256"/>
      <c r="S174" s="257"/>
      <c r="T174" s="228"/>
      <c r="U174" s="228"/>
      <c r="V174" s="245"/>
      <c r="W174" s="254"/>
      <c r="X174" s="254"/>
      <c r="Y174" s="228"/>
      <c r="Z174" s="255"/>
      <c r="AA174" s="248"/>
      <c r="AB174" s="248"/>
      <c r="AC174" s="248"/>
      <c r="AD174" s="247"/>
      <c r="AE174" s="228"/>
      <c r="AF174" s="228"/>
      <c r="AG174" s="248"/>
      <c r="AH174" s="248"/>
      <c r="AI174" s="194"/>
      <c r="AJ174" s="249"/>
      <c r="AK174" s="250"/>
      <c r="AL174" s="251"/>
      <c r="AM174" s="252"/>
      <c r="AN174" s="241"/>
      <c r="AO174" s="241"/>
      <c r="AP174" s="241"/>
      <c r="AQ174" s="194"/>
      <c r="AR174" s="195"/>
      <c r="AS174" s="195"/>
    </row>
    <row r="175" spans="2:45">
      <c r="B175" s="253"/>
      <c r="C175" s="230"/>
      <c r="D175" s="245"/>
      <c r="E175" s="230"/>
      <c r="F175" s="230"/>
      <c r="G175" s="230"/>
      <c r="H175" s="230"/>
      <c r="I175" s="228"/>
      <c r="J175" s="228"/>
      <c r="K175" s="230"/>
      <c r="L175" s="230"/>
      <c r="M175" s="246"/>
      <c r="N175" s="230"/>
      <c r="O175" s="230"/>
      <c r="P175" s="230"/>
      <c r="Q175" s="230"/>
      <c r="R175" s="256"/>
      <c r="S175" s="257"/>
      <c r="T175" s="228"/>
      <c r="U175" s="228"/>
      <c r="V175" s="245"/>
      <c r="W175" s="254"/>
      <c r="X175" s="254"/>
      <c r="Y175" s="228"/>
      <c r="Z175" s="255"/>
      <c r="AA175" s="248"/>
      <c r="AB175" s="248"/>
      <c r="AC175" s="248"/>
      <c r="AD175" s="247"/>
      <c r="AE175" s="228"/>
      <c r="AF175" s="228"/>
      <c r="AG175" s="248"/>
      <c r="AH175" s="248"/>
      <c r="AI175" s="194"/>
      <c r="AJ175" s="249"/>
      <c r="AK175" s="250"/>
      <c r="AL175" s="251"/>
      <c r="AM175" s="252"/>
      <c r="AN175" s="241"/>
      <c r="AO175" s="241"/>
      <c r="AP175" s="241"/>
      <c r="AQ175" s="194"/>
      <c r="AR175" s="195"/>
      <c r="AS175" s="195"/>
    </row>
    <row r="176" spans="2:45">
      <c r="B176" s="253"/>
      <c r="C176" s="230"/>
      <c r="D176" s="245"/>
      <c r="E176" s="230"/>
      <c r="F176" s="230"/>
      <c r="G176" s="230"/>
      <c r="H176" s="230"/>
      <c r="I176" s="228"/>
      <c r="J176" s="228"/>
      <c r="K176" s="230"/>
      <c r="L176" s="230"/>
      <c r="M176" s="246"/>
      <c r="N176" s="230"/>
      <c r="O176" s="230"/>
      <c r="P176" s="230"/>
      <c r="Q176" s="230"/>
      <c r="R176" s="256"/>
      <c r="S176" s="257"/>
      <c r="T176" s="228"/>
      <c r="U176" s="228"/>
      <c r="V176" s="245"/>
      <c r="W176" s="254"/>
      <c r="X176" s="254"/>
      <c r="Y176" s="228"/>
      <c r="Z176" s="255"/>
      <c r="AA176" s="248"/>
      <c r="AB176" s="248"/>
      <c r="AC176" s="248"/>
      <c r="AD176" s="247"/>
      <c r="AE176" s="228"/>
      <c r="AF176" s="228"/>
      <c r="AG176" s="248"/>
      <c r="AH176" s="248"/>
      <c r="AI176" s="194"/>
      <c r="AJ176" s="249"/>
      <c r="AK176" s="250"/>
      <c r="AL176" s="251"/>
      <c r="AM176" s="252"/>
      <c r="AN176" s="241"/>
      <c r="AO176" s="241"/>
      <c r="AP176" s="241"/>
      <c r="AQ176" s="194"/>
      <c r="AR176" s="195"/>
      <c r="AS176" s="195"/>
    </row>
    <row r="177" spans="2:45">
      <c r="B177" s="253"/>
      <c r="C177" s="230"/>
      <c r="D177" s="245"/>
      <c r="E177" s="230"/>
      <c r="F177" s="230"/>
      <c r="G177" s="230"/>
      <c r="H177" s="230"/>
      <c r="I177" s="228"/>
      <c r="J177" s="228"/>
      <c r="K177" s="230"/>
      <c r="L177" s="230"/>
      <c r="M177" s="246"/>
      <c r="N177" s="230"/>
      <c r="O177" s="230"/>
      <c r="P177" s="230"/>
      <c r="Q177" s="230"/>
      <c r="R177" s="256"/>
      <c r="S177" s="257"/>
      <c r="T177" s="228"/>
      <c r="U177" s="228"/>
      <c r="V177" s="245"/>
      <c r="W177" s="254"/>
      <c r="X177" s="254"/>
      <c r="Y177" s="228"/>
      <c r="Z177" s="255"/>
      <c r="AA177" s="248"/>
      <c r="AB177" s="248"/>
      <c r="AC177" s="248"/>
      <c r="AD177" s="247"/>
      <c r="AE177" s="228"/>
      <c r="AF177" s="228"/>
      <c r="AG177" s="248"/>
      <c r="AH177" s="248"/>
      <c r="AI177" s="194"/>
      <c r="AJ177" s="249"/>
      <c r="AK177" s="250"/>
      <c r="AL177" s="251"/>
      <c r="AM177" s="252"/>
      <c r="AN177" s="241"/>
      <c r="AO177" s="241"/>
      <c r="AP177" s="241"/>
      <c r="AQ177" s="194"/>
      <c r="AR177" s="195"/>
      <c r="AS177" s="195"/>
    </row>
    <row r="178" spans="2:45">
      <c r="B178" s="253"/>
      <c r="C178" s="230"/>
      <c r="D178" s="245"/>
      <c r="E178" s="230"/>
      <c r="F178" s="230"/>
      <c r="G178" s="230"/>
      <c r="H178" s="230"/>
      <c r="I178" s="228"/>
      <c r="J178" s="228"/>
      <c r="K178" s="230"/>
      <c r="L178" s="230"/>
      <c r="M178" s="246"/>
      <c r="N178" s="230"/>
      <c r="O178" s="230"/>
      <c r="P178" s="230"/>
      <c r="Q178" s="230"/>
      <c r="R178" s="256"/>
      <c r="S178" s="257"/>
      <c r="T178" s="228"/>
      <c r="U178" s="228"/>
      <c r="V178" s="245"/>
      <c r="W178" s="254"/>
      <c r="X178" s="254"/>
      <c r="Y178" s="228"/>
      <c r="Z178" s="255"/>
      <c r="AA178" s="248"/>
      <c r="AB178" s="248"/>
      <c r="AC178" s="248"/>
      <c r="AD178" s="247"/>
      <c r="AE178" s="228"/>
      <c r="AF178" s="228"/>
      <c r="AG178" s="248"/>
      <c r="AH178" s="248"/>
      <c r="AI178" s="194"/>
      <c r="AJ178" s="249"/>
      <c r="AK178" s="250"/>
      <c r="AL178" s="251"/>
      <c r="AM178" s="252"/>
      <c r="AN178" s="241"/>
      <c r="AO178" s="241"/>
      <c r="AP178" s="241"/>
      <c r="AQ178" s="194"/>
      <c r="AR178" s="195"/>
      <c r="AS178" s="195"/>
    </row>
    <row r="179" spans="2:45">
      <c r="B179" s="253"/>
      <c r="C179" s="230"/>
      <c r="D179" s="245"/>
      <c r="E179" s="230"/>
      <c r="F179" s="230"/>
      <c r="G179" s="230"/>
      <c r="H179" s="230"/>
      <c r="I179" s="228"/>
      <c r="J179" s="228"/>
      <c r="K179" s="230"/>
      <c r="L179" s="230"/>
      <c r="M179" s="246"/>
      <c r="N179" s="230"/>
      <c r="O179" s="230"/>
      <c r="P179" s="230"/>
      <c r="Q179" s="230"/>
      <c r="R179" s="256"/>
      <c r="S179" s="257"/>
      <c r="T179" s="228"/>
      <c r="U179" s="228"/>
      <c r="V179" s="245"/>
      <c r="W179" s="254"/>
      <c r="X179" s="254"/>
      <c r="Y179" s="228"/>
      <c r="Z179" s="255"/>
      <c r="AA179" s="248"/>
      <c r="AB179" s="248"/>
      <c r="AC179" s="248"/>
      <c r="AD179" s="247"/>
      <c r="AE179" s="228"/>
      <c r="AF179" s="228"/>
      <c r="AG179" s="248"/>
      <c r="AH179" s="248"/>
      <c r="AI179" s="194"/>
      <c r="AJ179" s="249"/>
      <c r="AK179" s="250"/>
      <c r="AL179" s="251"/>
      <c r="AM179" s="252"/>
      <c r="AN179" s="241"/>
      <c r="AO179" s="241"/>
      <c r="AP179" s="241"/>
      <c r="AQ179" s="194"/>
      <c r="AR179" s="195"/>
      <c r="AS179" s="195"/>
    </row>
    <row r="180" spans="2:45">
      <c r="B180" s="253"/>
      <c r="C180" s="230"/>
      <c r="D180" s="245"/>
      <c r="E180" s="230"/>
      <c r="F180" s="230"/>
      <c r="G180" s="230"/>
      <c r="H180" s="230"/>
      <c r="I180" s="228"/>
      <c r="J180" s="228"/>
      <c r="K180" s="230"/>
      <c r="L180" s="230"/>
      <c r="M180" s="246"/>
      <c r="N180" s="230"/>
      <c r="O180" s="230"/>
      <c r="P180" s="230"/>
      <c r="Q180" s="230"/>
      <c r="R180" s="256"/>
      <c r="S180" s="257"/>
      <c r="T180" s="228"/>
      <c r="U180" s="228"/>
      <c r="V180" s="245"/>
      <c r="W180" s="254"/>
      <c r="X180" s="254"/>
      <c r="Y180" s="228"/>
      <c r="Z180" s="255"/>
      <c r="AA180" s="248"/>
      <c r="AB180" s="248"/>
      <c r="AC180" s="248"/>
      <c r="AD180" s="247"/>
      <c r="AE180" s="228"/>
      <c r="AF180" s="228"/>
      <c r="AG180" s="248"/>
      <c r="AH180" s="248"/>
      <c r="AI180" s="194"/>
      <c r="AJ180" s="249"/>
      <c r="AK180" s="250"/>
      <c r="AL180" s="251"/>
      <c r="AM180" s="252"/>
      <c r="AN180" s="241"/>
      <c r="AO180" s="241"/>
      <c r="AP180" s="241"/>
      <c r="AQ180" s="194"/>
      <c r="AR180" s="195"/>
      <c r="AS180" s="195"/>
    </row>
    <row r="181" spans="2:45">
      <c r="B181" s="253"/>
      <c r="C181" s="230"/>
      <c r="D181" s="245"/>
      <c r="E181" s="230"/>
      <c r="F181" s="230"/>
      <c r="G181" s="230"/>
      <c r="H181" s="230"/>
      <c r="I181" s="228"/>
      <c r="J181" s="228"/>
      <c r="K181" s="230"/>
      <c r="L181" s="230"/>
      <c r="M181" s="246"/>
      <c r="N181" s="230"/>
      <c r="O181" s="230"/>
      <c r="P181" s="230"/>
      <c r="Q181" s="230"/>
      <c r="R181" s="256"/>
      <c r="S181" s="257"/>
      <c r="T181" s="228"/>
      <c r="U181" s="228"/>
      <c r="V181" s="245"/>
      <c r="W181" s="254"/>
      <c r="X181" s="254"/>
      <c r="Y181" s="228"/>
      <c r="Z181" s="255"/>
      <c r="AA181" s="248"/>
      <c r="AB181" s="248"/>
      <c r="AC181" s="248"/>
      <c r="AD181" s="247"/>
      <c r="AE181" s="228"/>
      <c r="AF181" s="228"/>
      <c r="AG181" s="248"/>
      <c r="AH181" s="248"/>
      <c r="AI181" s="194"/>
      <c r="AJ181" s="249"/>
      <c r="AK181" s="250"/>
      <c r="AL181" s="251"/>
      <c r="AM181" s="252"/>
      <c r="AN181" s="241"/>
      <c r="AO181" s="241"/>
      <c r="AP181" s="241"/>
      <c r="AQ181" s="194"/>
      <c r="AR181" s="195"/>
      <c r="AS181" s="195"/>
    </row>
    <row r="182" spans="2:45">
      <c r="B182" s="253"/>
      <c r="C182" s="230"/>
      <c r="D182" s="245"/>
      <c r="E182" s="230"/>
      <c r="F182" s="230"/>
      <c r="G182" s="230"/>
      <c r="H182" s="230"/>
      <c r="I182" s="228"/>
      <c r="J182" s="228"/>
      <c r="K182" s="230"/>
      <c r="L182" s="230"/>
      <c r="M182" s="246"/>
      <c r="N182" s="230"/>
      <c r="O182" s="230"/>
      <c r="P182" s="230"/>
      <c r="Q182" s="230"/>
      <c r="R182" s="256"/>
      <c r="S182" s="257"/>
      <c r="T182" s="228"/>
      <c r="U182" s="228"/>
      <c r="V182" s="245"/>
      <c r="W182" s="254"/>
      <c r="X182" s="254"/>
      <c r="Y182" s="228"/>
      <c r="Z182" s="255"/>
      <c r="AA182" s="248"/>
      <c r="AB182" s="248"/>
      <c r="AC182" s="248"/>
      <c r="AD182" s="247"/>
      <c r="AE182" s="228"/>
      <c r="AF182" s="228"/>
      <c r="AG182" s="248"/>
      <c r="AH182" s="248"/>
      <c r="AI182" s="194"/>
      <c r="AJ182" s="249"/>
      <c r="AK182" s="250"/>
      <c r="AL182" s="251"/>
      <c r="AM182" s="252"/>
      <c r="AN182" s="241"/>
      <c r="AO182" s="241"/>
      <c r="AP182" s="241"/>
      <c r="AQ182" s="194"/>
      <c r="AR182" s="195"/>
      <c r="AS182" s="195"/>
    </row>
    <row r="183" spans="2:45">
      <c r="B183" s="253"/>
      <c r="C183" s="230"/>
      <c r="D183" s="245"/>
      <c r="E183" s="230"/>
      <c r="F183" s="230"/>
      <c r="G183" s="230"/>
      <c r="H183" s="230"/>
      <c r="I183" s="228"/>
      <c r="J183" s="228"/>
      <c r="K183" s="230"/>
      <c r="L183" s="230"/>
      <c r="M183" s="246"/>
      <c r="N183" s="230"/>
      <c r="O183" s="230"/>
      <c r="P183" s="230"/>
      <c r="Q183" s="230"/>
      <c r="R183" s="256"/>
      <c r="S183" s="257"/>
      <c r="T183" s="228"/>
      <c r="U183" s="228"/>
      <c r="V183" s="245"/>
      <c r="W183" s="254"/>
      <c r="X183" s="254"/>
      <c r="Y183" s="228"/>
      <c r="Z183" s="255"/>
      <c r="AA183" s="248"/>
      <c r="AB183" s="248"/>
      <c r="AC183" s="248"/>
      <c r="AD183" s="247"/>
      <c r="AE183" s="228"/>
      <c r="AF183" s="228"/>
      <c r="AG183" s="248"/>
      <c r="AH183" s="248"/>
      <c r="AI183" s="194"/>
      <c r="AJ183" s="249"/>
      <c r="AK183" s="250"/>
      <c r="AL183" s="251"/>
      <c r="AM183" s="252"/>
      <c r="AN183" s="241"/>
      <c r="AO183" s="241"/>
      <c r="AP183" s="241"/>
      <c r="AQ183" s="194"/>
      <c r="AR183" s="195"/>
      <c r="AS183" s="195"/>
    </row>
    <row r="184" spans="2:45">
      <c r="B184" s="253"/>
      <c r="C184" s="230"/>
      <c r="D184" s="245"/>
      <c r="E184" s="230"/>
      <c r="F184" s="230"/>
      <c r="G184" s="230"/>
      <c r="H184" s="230"/>
      <c r="I184" s="228"/>
      <c r="J184" s="228"/>
      <c r="K184" s="230"/>
      <c r="L184" s="230"/>
      <c r="M184" s="246"/>
      <c r="N184" s="230"/>
      <c r="O184" s="230"/>
      <c r="P184" s="230"/>
      <c r="Q184" s="230"/>
      <c r="R184" s="256"/>
      <c r="S184" s="257"/>
      <c r="T184" s="228"/>
      <c r="U184" s="228"/>
      <c r="V184" s="245"/>
      <c r="W184" s="254"/>
      <c r="X184" s="254"/>
      <c r="Y184" s="228"/>
      <c r="Z184" s="255"/>
      <c r="AA184" s="248"/>
      <c r="AB184" s="248"/>
      <c r="AC184" s="248"/>
      <c r="AD184" s="247"/>
      <c r="AE184" s="228"/>
      <c r="AF184" s="228"/>
      <c r="AG184" s="248"/>
      <c r="AH184" s="248"/>
      <c r="AI184" s="194"/>
      <c r="AJ184" s="249"/>
      <c r="AK184" s="250"/>
      <c r="AL184" s="251"/>
      <c r="AM184" s="252"/>
      <c r="AN184" s="241"/>
      <c r="AO184" s="241"/>
      <c r="AP184" s="241"/>
      <c r="AQ184" s="194"/>
      <c r="AR184" s="195"/>
      <c r="AS184" s="195"/>
    </row>
    <row r="185" spans="2:45">
      <c r="B185" s="253"/>
      <c r="C185" s="230"/>
      <c r="D185" s="245"/>
      <c r="E185" s="230"/>
      <c r="F185" s="230"/>
      <c r="G185" s="230"/>
      <c r="H185" s="230"/>
      <c r="I185" s="228"/>
      <c r="J185" s="228"/>
      <c r="K185" s="230"/>
      <c r="L185" s="230"/>
      <c r="M185" s="246"/>
      <c r="N185" s="230"/>
      <c r="O185" s="230"/>
      <c r="P185" s="230"/>
      <c r="Q185" s="230"/>
      <c r="R185" s="256"/>
      <c r="S185" s="257"/>
      <c r="T185" s="228"/>
      <c r="U185" s="228"/>
      <c r="V185" s="245"/>
      <c r="W185" s="254"/>
      <c r="X185" s="254"/>
      <c r="Y185" s="228"/>
      <c r="Z185" s="255"/>
      <c r="AA185" s="248"/>
      <c r="AB185" s="248"/>
      <c r="AC185" s="248"/>
      <c r="AD185" s="247"/>
      <c r="AE185" s="228"/>
      <c r="AF185" s="228"/>
      <c r="AG185" s="248"/>
      <c r="AH185" s="248"/>
      <c r="AI185" s="194"/>
      <c r="AJ185" s="249"/>
      <c r="AK185" s="250"/>
      <c r="AL185" s="251"/>
      <c r="AM185" s="252"/>
      <c r="AN185" s="241"/>
      <c r="AO185" s="241"/>
      <c r="AP185" s="241"/>
      <c r="AQ185" s="194"/>
      <c r="AR185" s="195"/>
      <c r="AS185" s="195"/>
    </row>
    <row r="186" spans="2:45">
      <c r="B186" s="253"/>
      <c r="C186" s="230"/>
      <c r="D186" s="245"/>
      <c r="E186" s="230"/>
      <c r="F186" s="230"/>
      <c r="G186" s="230"/>
      <c r="H186" s="230"/>
      <c r="I186" s="228"/>
      <c r="J186" s="228"/>
      <c r="K186" s="230"/>
      <c r="L186" s="230"/>
      <c r="M186" s="246"/>
      <c r="N186" s="230"/>
      <c r="O186" s="230"/>
      <c r="P186" s="230"/>
      <c r="Q186" s="230"/>
      <c r="R186" s="256"/>
      <c r="S186" s="257"/>
      <c r="T186" s="228"/>
      <c r="U186" s="228"/>
      <c r="V186" s="245"/>
      <c r="W186" s="254"/>
      <c r="X186" s="254"/>
      <c r="Y186" s="228"/>
      <c r="Z186" s="255"/>
      <c r="AA186" s="248"/>
      <c r="AB186" s="248"/>
      <c r="AC186" s="248"/>
      <c r="AD186" s="247"/>
      <c r="AE186" s="228"/>
      <c r="AF186" s="228"/>
      <c r="AG186" s="248"/>
      <c r="AH186" s="248"/>
      <c r="AI186" s="194"/>
      <c r="AJ186" s="249"/>
      <c r="AK186" s="250"/>
      <c r="AL186" s="251"/>
      <c r="AM186" s="252"/>
      <c r="AN186" s="241"/>
      <c r="AO186" s="241"/>
      <c r="AP186" s="241"/>
      <c r="AQ186" s="194"/>
      <c r="AR186" s="195"/>
      <c r="AS186" s="195"/>
    </row>
    <row r="187" spans="2:45">
      <c r="B187" s="253"/>
      <c r="C187" s="230"/>
      <c r="D187" s="245"/>
      <c r="E187" s="230"/>
      <c r="F187" s="230"/>
      <c r="G187" s="230"/>
      <c r="H187" s="230"/>
      <c r="I187" s="228"/>
      <c r="J187" s="228"/>
      <c r="K187" s="230"/>
      <c r="L187" s="230"/>
      <c r="M187" s="246"/>
      <c r="N187" s="230"/>
      <c r="O187" s="230"/>
      <c r="P187" s="230"/>
      <c r="Q187" s="230"/>
      <c r="R187" s="256"/>
      <c r="S187" s="257"/>
      <c r="T187" s="228"/>
      <c r="U187" s="228"/>
      <c r="V187" s="245"/>
      <c r="W187" s="254"/>
      <c r="X187" s="254"/>
      <c r="Y187" s="228"/>
      <c r="Z187" s="255"/>
      <c r="AA187" s="248"/>
      <c r="AB187" s="248"/>
      <c r="AC187" s="248"/>
      <c r="AD187" s="247"/>
      <c r="AE187" s="228"/>
      <c r="AF187" s="228"/>
      <c r="AG187" s="248"/>
      <c r="AH187" s="248"/>
      <c r="AI187" s="194"/>
      <c r="AJ187" s="249"/>
      <c r="AK187" s="250"/>
      <c r="AL187" s="251"/>
      <c r="AM187" s="252"/>
      <c r="AN187" s="241"/>
      <c r="AO187" s="241"/>
      <c r="AP187" s="241"/>
      <c r="AQ187" s="194"/>
      <c r="AR187" s="195"/>
      <c r="AS187" s="195"/>
    </row>
    <row r="188" spans="2:45">
      <c r="B188" s="253"/>
      <c r="C188" s="230"/>
      <c r="D188" s="245"/>
      <c r="E188" s="230"/>
      <c r="F188" s="230"/>
      <c r="G188" s="230"/>
      <c r="H188" s="230"/>
      <c r="I188" s="228"/>
      <c r="J188" s="228"/>
      <c r="K188" s="230"/>
      <c r="L188" s="230"/>
      <c r="M188" s="246"/>
      <c r="N188" s="230"/>
      <c r="O188" s="230"/>
      <c r="P188" s="230"/>
      <c r="Q188" s="230"/>
      <c r="R188" s="256"/>
      <c r="S188" s="257"/>
      <c r="T188" s="228"/>
      <c r="U188" s="228"/>
      <c r="V188" s="245"/>
      <c r="W188" s="254"/>
      <c r="X188" s="254"/>
      <c r="Y188" s="228"/>
      <c r="Z188" s="255"/>
      <c r="AA188" s="248"/>
      <c r="AB188" s="248"/>
      <c r="AC188" s="248"/>
      <c r="AD188" s="247"/>
      <c r="AE188" s="228"/>
      <c r="AF188" s="228"/>
      <c r="AG188" s="248"/>
      <c r="AH188" s="248"/>
      <c r="AI188" s="194"/>
      <c r="AJ188" s="249"/>
      <c r="AK188" s="250"/>
      <c r="AL188" s="251"/>
      <c r="AM188" s="252"/>
      <c r="AN188" s="241"/>
      <c r="AO188" s="241"/>
      <c r="AP188" s="241"/>
      <c r="AQ188" s="194"/>
      <c r="AR188" s="195"/>
      <c r="AS188" s="195"/>
    </row>
    <row r="189" spans="2:45">
      <c r="B189" s="253"/>
      <c r="C189" s="230"/>
      <c r="D189" s="245"/>
      <c r="E189" s="230"/>
      <c r="F189" s="230"/>
      <c r="G189" s="230"/>
      <c r="H189" s="230"/>
      <c r="I189" s="228"/>
      <c r="J189" s="228"/>
      <c r="K189" s="230"/>
      <c r="L189" s="230"/>
      <c r="M189" s="246"/>
      <c r="N189" s="230"/>
      <c r="O189" s="230"/>
      <c r="P189" s="230"/>
      <c r="Q189" s="230"/>
      <c r="R189" s="256"/>
      <c r="S189" s="257"/>
      <c r="T189" s="228"/>
      <c r="U189" s="228"/>
      <c r="V189" s="245"/>
      <c r="W189" s="254"/>
      <c r="X189" s="254"/>
      <c r="Y189" s="228"/>
      <c r="Z189" s="255"/>
      <c r="AA189" s="248"/>
      <c r="AB189" s="248"/>
      <c r="AC189" s="248"/>
      <c r="AD189" s="247"/>
      <c r="AE189" s="228"/>
      <c r="AF189" s="228"/>
      <c r="AG189" s="248"/>
      <c r="AH189" s="248"/>
      <c r="AI189" s="194"/>
      <c r="AJ189" s="249"/>
      <c r="AK189" s="250"/>
      <c r="AL189" s="251"/>
      <c r="AM189" s="252"/>
      <c r="AN189" s="241"/>
      <c r="AO189" s="241"/>
      <c r="AP189" s="241"/>
      <c r="AQ189" s="194"/>
      <c r="AR189" s="195"/>
      <c r="AS189" s="195"/>
    </row>
    <row r="190" spans="2:45">
      <c r="B190" s="253"/>
      <c r="C190" s="230"/>
      <c r="D190" s="245"/>
      <c r="E190" s="230"/>
      <c r="F190" s="230"/>
      <c r="G190" s="230"/>
      <c r="H190" s="230"/>
      <c r="I190" s="228"/>
      <c r="J190" s="228"/>
      <c r="K190" s="230"/>
      <c r="L190" s="230"/>
      <c r="M190" s="246"/>
      <c r="N190" s="230"/>
      <c r="O190" s="230"/>
      <c r="P190" s="230"/>
      <c r="Q190" s="230"/>
      <c r="R190" s="256"/>
      <c r="S190" s="257"/>
      <c r="T190" s="228"/>
      <c r="U190" s="228"/>
      <c r="V190" s="245"/>
      <c r="W190" s="254"/>
      <c r="X190" s="254"/>
      <c r="Y190" s="228"/>
      <c r="Z190" s="255"/>
      <c r="AA190" s="248"/>
      <c r="AB190" s="248"/>
      <c r="AC190" s="248"/>
      <c r="AD190" s="247"/>
      <c r="AE190" s="228"/>
      <c r="AF190" s="228"/>
      <c r="AG190" s="248"/>
      <c r="AH190" s="248"/>
      <c r="AI190" s="194"/>
      <c r="AJ190" s="249"/>
      <c r="AK190" s="250"/>
      <c r="AL190" s="251"/>
      <c r="AM190" s="252"/>
      <c r="AN190" s="241"/>
      <c r="AO190" s="241"/>
      <c r="AP190" s="241"/>
      <c r="AQ190" s="194"/>
      <c r="AR190" s="195"/>
      <c r="AS190" s="195"/>
    </row>
    <row r="191" spans="2:45">
      <c r="B191" s="253"/>
      <c r="C191" s="230"/>
      <c r="D191" s="245"/>
      <c r="E191" s="230"/>
      <c r="F191" s="230"/>
      <c r="G191" s="230"/>
      <c r="H191" s="230"/>
      <c r="I191" s="228"/>
      <c r="J191" s="228"/>
      <c r="K191" s="230"/>
      <c r="L191" s="230"/>
      <c r="M191" s="246"/>
      <c r="N191" s="230"/>
      <c r="O191" s="230"/>
      <c r="P191" s="230"/>
      <c r="Q191" s="230"/>
      <c r="R191" s="256"/>
      <c r="S191" s="257"/>
      <c r="T191" s="228"/>
      <c r="U191" s="228"/>
      <c r="V191" s="245"/>
      <c r="W191" s="254"/>
      <c r="X191" s="254"/>
      <c r="Y191" s="228"/>
      <c r="Z191" s="255"/>
      <c r="AA191" s="248"/>
      <c r="AB191" s="248"/>
      <c r="AC191" s="248"/>
      <c r="AD191" s="247"/>
      <c r="AE191" s="228"/>
      <c r="AF191" s="228"/>
      <c r="AG191" s="248"/>
      <c r="AH191" s="248"/>
      <c r="AI191" s="194"/>
      <c r="AJ191" s="249"/>
      <c r="AK191" s="250"/>
      <c r="AL191" s="251"/>
      <c r="AM191" s="252"/>
      <c r="AN191" s="241"/>
      <c r="AO191" s="241"/>
      <c r="AP191" s="241"/>
      <c r="AQ191" s="194"/>
      <c r="AR191" s="195"/>
      <c r="AS191" s="195"/>
    </row>
    <row r="192" spans="2:45">
      <c r="B192" s="253"/>
      <c r="C192" s="230"/>
      <c r="D192" s="245"/>
      <c r="E192" s="230"/>
      <c r="F192" s="230"/>
      <c r="G192" s="230"/>
      <c r="H192" s="230"/>
      <c r="I192" s="228"/>
      <c r="J192" s="228"/>
      <c r="K192" s="230"/>
      <c r="L192" s="230"/>
      <c r="M192" s="246"/>
      <c r="N192" s="230"/>
      <c r="O192" s="230"/>
      <c r="P192" s="230"/>
      <c r="Q192" s="230"/>
      <c r="R192" s="256"/>
      <c r="S192" s="257"/>
      <c r="T192" s="228"/>
      <c r="U192" s="228"/>
      <c r="V192" s="245"/>
      <c r="W192" s="254"/>
      <c r="X192" s="254"/>
      <c r="Y192" s="228"/>
      <c r="Z192" s="255"/>
      <c r="AA192" s="248"/>
      <c r="AB192" s="248"/>
      <c r="AC192" s="248"/>
      <c r="AD192" s="247"/>
      <c r="AE192" s="228"/>
      <c r="AF192" s="228"/>
      <c r="AG192" s="248"/>
      <c r="AH192" s="248"/>
      <c r="AI192" s="194"/>
      <c r="AJ192" s="249"/>
      <c r="AK192" s="250"/>
      <c r="AL192" s="251"/>
      <c r="AM192" s="252"/>
      <c r="AN192" s="241"/>
      <c r="AO192" s="241"/>
      <c r="AP192" s="241"/>
      <c r="AQ192" s="194"/>
      <c r="AR192" s="195"/>
      <c r="AS192" s="195"/>
    </row>
    <row r="193" spans="2:45">
      <c r="B193" s="253"/>
      <c r="C193" s="230"/>
      <c r="D193" s="245"/>
      <c r="E193" s="230"/>
      <c r="F193" s="230"/>
      <c r="G193" s="230"/>
      <c r="H193" s="230"/>
      <c r="I193" s="228"/>
      <c r="J193" s="228"/>
      <c r="K193" s="230"/>
      <c r="L193" s="230"/>
      <c r="M193" s="246"/>
      <c r="N193" s="230"/>
      <c r="O193" s="230"/>
      <c r="P193" s="230"/>
      <c r="Q193" s="230"/>
      <c r="R193" s="256"/>
      <c r="S193" s="257"/>
      <c r="T193" s="228"/>
      <c r="U193" s="228"/>
      <c r="V193" s="245"/>
      <c r="W193" s="254"/>
      <c r="X193" s="254"/>
      <c r="Y193" s="228"/>
      <c r="Z193" s="255"/>
      <c r="AA193" s="248"/>
      <c r="AB193" s="248"/>
      <c r="AC193" s="248"/>
      <c r="AD193" s="247"/>
      <c r="AE193" s="228"/>
      <c r="AF193" s="228"/>
      <c r="AG193" s="248"/>
      <c r="AH193" s="248"/>
      <c r="AI193" s="194"/>
      <c r="AJ193" s="249"/>
      <c r="AK193" s="250"/>
      <c r="AL193" s="251"/>
      <c r="AM193" s="252"/>
      <c r="AN193" s="241"/>
      <c r="AO193" s="241"/>
      <c r="AP193" s="241"/>
      <c r="AQ193" s="194"/>
      <c r="AR193" s="195"/>
      <c r="AS193" s="195"/>
    </row>
    <row r="194" spans="2:45">
      <c r="B194" s="253"/>
      <c r="C194" s="230"/>
      <c r="D194" s="245"/>
      <c r="E194" s="230"/>
      <c r="F194" s="230"/>
      <c r="G194" s="230"/>
      <c r="H194" s="230"/>
      <c r="I194" s="228"/>
      <c r="J194" s="228"/>
      <c r="K194" s="230"/>
      <c r="L194" s="230"/>
      <c r="M194" s="246"/>
      <c r="N194" s="230"/>
      <c r="O194" s="230"/>
      <c r="P194" s="230"/>
      <c r="Q194" s="230"/>
      <c r="R194" s="256"/>
      <c r="S194" s="257"/>
      <c r="T194" s="228"/>
      <c r="U194" s="228"/>
      <c r="V194" s="245"/>
      <c r="W194" s="254"/>
      <c r="X194" s="254"/>
      <c r="Y194" s="228"/>
      <c r="Z194" s="255"/>
      <c r="AA194" s="248"/>
      <c r="AB194" s="248"/>
      <c r="AC194" s="248"/>
      <c r="AD194" s="247"/>
      <c r="AE194" s="228"/>
      <c r="AF194" s="228"/>
      <c r="AG194" s="248"/>
      <c r="AH194" s="248"/>
      <c r="AI194" s="194"/>
      <c r="AJ194" s="249"/>
      <c r="AK194" s="250"/>
      <c r="AL194" s="251"/>
      <c r="AM194" s="252"/>
      <c r="AN194" s="241"/>
      <c r="AO194" s="241"/>
      <c r="AP194" s="241"/>
      <c r="AQ194" s="194"/>
      <c r="AR194" s="195"/>
      <c r="AS194" s="195"/>
    </row>
    <row r="195" spans="2:45">
      <c r="B195" s="253"/>
      <c r="C195" s="230"/>
      <c r="D195" s="245"/>
      <c r="E195" s="230"/>
      <c r="F195" s="230"/>
      <c r="G195" s="230"/>
      <c r="H195" s="230"/>
      <c r="I195" s="228"/>
      <c r="J195" s="228"/>
      <c r="K195" s="230"/>
      <c r="L195" s="230"/>
      <c r="M195" s="246"/>
      <c r="N195" s="230"/>
      <c r="O195" s="230"/>
      <c r="P195" s="230"/>
      <c r="Q195" s="230"/>
      <c r="R195" s="256"/>
      <c r="S195" s="257"/>
      <c r="T195" s="228"/>
      <c r="U195" s="228"/>
      <c r="V195" s="245"/>
      <c r="W195" s="254"/>
      <c r="X195" s="254"/>
      <c r="Y195" s="228"/>
      <c r="Z195" s="255"/>
      <c r="AA195" s="248"/>
      <c r="AB195" s="248"/>
      <c r="AC195" s="248"/>
      <c r="AD195" s="247"/>
      <c r="AE195" s="228"/>
      <c r="AF195" s="228"/>
      <c r="AG195" s="248"/>
      <c r="AH195" s="248"/>
      <c r="AI195" s="194"/>
      <c r="AJ195" s="249"/>
      <c r="AK195" s="250"/>
      <c r="AL195" s="251"/>
      <c r="AM195" s="252"/>
      <c r="AN195" s="241"/>
      <c r="AO195" s="241"/>
      <c r="AP195" s="241"/>
      <c r="AQ195" s="194"/>
      <c r="AR195" s="195"/>
      <c r="AS195" s="195"/>
    </row>
    <row r="196" spans="2:45">
      <c r="B196" s="253"/>
      <c r="C196" s="230"/>
      <c r="D196" s="245"/>
      <c r="E196" s="230"/>
      <c r="F196" s="230"/>
      <c r="G196" s="230"/>
      <c r="H196" s="230"/>
      <c r="I196" s="228"/>
      <c r="J196" s="228"/>
      <c r="K196" s="230"/>
      <c r="L196" s="230"/>
      <c r="M196" s="246"/>
      <c r="N196" s="230"/>
      <c r="O196" s="230"/>
      <c r="P196" s="230"/>
      <c r="Q196" s="230"/>
      <c r="R196" s="256"/>
      <c r="S196" s="257"/>
      <c r="T196" s="228"/>
      <c r="U196" s="228"/>
      <c r="V196" s="245"/>
      <c r="W196" s="254"/>
      <c r="X196" s="254"/>
      <c r="Y196" s="228"/>
      <c r="Z196" s="255"/>
      <c r="AA196" s="248"/>
      <c r="AB196" s="248"/>
      <c r="AC196" s="248"/>
      <c r="AD196" s="247"/>
      <c r="AE196" s="228"/>
      <c r="AF196" s="228"/>
      <c r="AG196" s="248"/>
      <c r="AH196" s="248"/>
      <c r="AI196" s="194"/>
      <c r="AJ196" s="249"/>
      <c r="AK196" s="250"/>
      <c r="AL196" s="251"/>
      <c r="AM196" s="252"/>
      <c r="AN196" s="241"/>
      <c r="AO196" s="241"/>
      <c r="AP196" s="241"/>
      <c r="AQ196" s="194"/>
      <c r="AR196" s="195"/>
      <c r="AS196" s="195"/>
    </row>
    <row r="197" spans="2:45">
      <c r="B197" s="253"/>
      <c r="C197" s="230"/>
      <c r="D197" s="245"/>
      <c r="E197" s="230"/>
      <c r="F197" s="230"/>
      <c r="G197" s="230"/>
      <c r="H197" s="230"/>
      <c r="I197" s="228"/>
      <c r="J197" s="228"/>
      <c r="K197" s="230"/>
      <c r="L197" s="230"/>
      <c r="M197" s="246"/>
      <c r="N197" s="230"/>
      <c r="O197" s="230"/>
      <c r="P197" s="230"/>
      <c r="Q197" s="230"/>
      <c r="R197" s="256"/>
      <c r="S197" s="257"/>
      <c r="T197" s="228"/>
      <c r="U197" s="228"/>
      <c r="V197" s="245"/>
      <c r="W197" s="254"/>
      <c r="X197" s="254"/>
      <c r="Y197" s="228"/>
      <c r="Z197" s="255"/>
      <c r="AA197" s="248"/>
      <c r="AB197" s="248"/>
      <c r="AC197" s="248"/>
      <c r="AD197" s="247"/>
      <c r="AE197" s="228"/>
      <c r="AF197" s="228"/>
      <c r="AG197" s="248"/>
      <c r="AH197" s="248"/>
      <c r="AI197" s="194"/>
      <c r="AJ197" s="249"/>
      <c r="AK197" s="250"/>
      <c r="AL197" s="251"/>
      <c r="AM197" s="252"/>
      <c r="AN197" s="241"/>
      <c r="AO197" s="241"/>
      <c r="AP197" s="241"/>
      <c r="AQ197" s="194"/>
      <c r="AR197" s="195"/>
      <c r="AS197" s="195"/>
    </row>
    <row r="198" spans="2:45">
      <c r="B198" s="253"/>
      <c r="C198" s="230"/>
      <c r="D198" s="245"/>
      <c r="E198" s="230"/>
      <c r="F198" s="230"/>
      <c r="G198" s="230"/>
      <c r="H198" s="230"/>
      <c r="I198" s="228"/>
      <c r="J198" s="228"/>
      <c r="K198" s="230"/>
      <c r="L198" s="230"/>
      <c r="M198" s="246"/>
      <c r="N198" s="230"/>
      <c r="O198" s="230"/>
      <c r="P198" s="230"/>
      <c r="Q198" s="230"/>
      <c r="R198" s="256"/>
      <c r="S198" s="257"/>
      <c r="T198" s="228"/>
      <c r="U198" s="228"/>
      <c r="V198" s="245"/>
      <c r="W198" s="254"/>
      <c r="X198" s="254"/>
      <c r="Y198" s="228"/>
      <c r="Z198" s="255"/>
      <c r="AA198" s="248"/>
      <c r="AB198" s="248"/>
      <c r="AC198" s="248"/>
      <c r="AD198" s="247"/>
      <c r="AE198" s="228"/>
      <c r="AF198" s="228"/>
      <c r="AG198" s="248"/>
      <c r="AH198" s="248"/>
      <c r="AI198" s="194"/>
      <c r="AJ198" s="249"/>
      <c r="AK198" s="250"/>
      <c r="AL198" s="251"/>
      <c r="AM198" s="252"/>
      <c r="AN198" s="241"/>
      <c r="AO198" s="241"/>
      <c r="AP198" s="241"/>
      <c r="AQ198" s="194"/>
      <c r="AR198" s="195"/>
      <c r="AS198" s="195"/>
    </row>
    <row r="199" spans="2:45">
      <c r="B199" s="253"/>
      <c r="C199" s="230"/>
      <c r="D199" s="245"/>
      <c r="E199" s="230"/>
      <c r="F199" s="230"/>
      <c r="G199" s="230"/>
      <c r="H199" s="230"/>
      <c r="I199" s="228"/>
      <c r="J199" s="228"/>
      <c r="K199" s="230"/>
      <c r="L199" s="230"/>
      <c r="M199" s="246"/>
      <c r="N199" s="230"/>
      <c r="O199" s="230"/>
      <c r="P199" s="230"/>
      <c r="Q199" s="230"/>
      <c r="R199" s="256"/>
      <c r="S199" s="257"/>
      <c r="T199" s="228"/>
      <c r="U199" s="228"/>
      <c r="V199" s="245"/>
      <c r="W199" s="254"/>
      <c r="X199" s="254"/>
      <c r="Y199" s="228"/>
      <c r="Z199" s="255"/>
      <c r="AA199" s="248"/>
      <c r="AB199" s="248"/>
      <c r="AC199" s="248"/>
      <c r="AD199" s="247"/>
      <c r="AE199" s="228"/>
      <c r="AF199" s="228"/>
      <c r="AG199" s="248"/>
      <c r="AH199" s="248"/>
      <c r="AI199" s="194"/>
      <c r="AJ199" s="249"/>
      <c r="AK199" s="250"/>
      <c r="AL199" s="251"/>
      <c r="AM199" s="252"/>
      <c r="AN199" s="241"/>
      <c r="AO199" s="241"/>
      <c r="AP199" s="241"/>
      <c r="AQ199" s="194"/>
      <c r="AR199" s="195"/>
      <c r="AS199" s="195"/>
    </row>
    <row r="200" spans="2:45">
      <c r="B200" s="253"/>
      <c r="C200" s="230"/>
      <c r="D200" s="245"/>
      <c r="E200" s="230"/>
      <c r="F200" s="230"/>
      <c r="G200" s="230"/>
      <c r="H200" s="230"/>
      <c r="I200" s="228"/>
      <c r="J200" s="228"/>
      <c r="K200" s="230"/>
      <c r="L200" s="230"/>
      <c r="M200" s="246"/>
      <c r="N200" s="230"/>
      <c r="O200" s="230"/>
      <c r="P200" s="230"/>
      <c r="Q200" s="230"/>
      <c r="R200" s="256"/>
      <c r="S200" s="257"/>
      <c r="T200" s="228"/>
      <c r="U200" s="228"/>
      <c r="V200" s="245"/>
      <c r="W200" s="254"/>
      <c r="X200" s="254"/>
      <c r="Y200" s="228"/>
      <c r="Z200" s="255"/>
      <c r="AA200" s="248"/>
      <c r="AB200" s="248"/>
      <c r="AC200" s="248"/>
      <c r="AD200" s="247"/>
      <c r="AE200" s="228"/>
      <c r="AF200" s="228"/>
      <c r="AG200" s="248"/>
      <c r="AH200" s="248"/>
      <c r="AI200" s="194"/>
      <c r="AJ200" s="249"/>
      <c r="AK200" s="250"/>
      <c r="AL200" s="251"/>
      <c r="AM200" s="252"/>
      <c r="AN200" s="241"/>
      <c r="AO200" s="241"/>
      <c r="AP200" s="241"/>
      <c r="AQ200" s="194"/>
      <c r="AR200" s="195"/>
      <c r="AS200" s="195"/>
    </row>
    <row r="201" spans="2:45">
      <c r="B201" s="253"/>
      <c r="C201" s="230"/>
      <c r="D201" s="245"/>
      <c r="E201" s="230"/>
      <c r="F201" s="230"/>
      <c r="G201" s="230"/>
      <c r="H201" s="230"/>
      <c r="I201" s="228"/>
      <c r="J201" s="228"/>
      <c r="K201" s="230"/>
      <c r="L201" s="230"/>
      <c r="M201" s="246"/>
      <c r="N201" s="230"/>
      <c r="O201" s="230"/>
      <c r="P201" s="230"/>
      <c r="Q201" s="230"/>
      <c r="R201" s="256"/>
      <c r="S201" s="257"/>
      <c r="T201" s="228"/>
      <c r="U201" s="228"/>
      <c r="V201" s="245"/>
      <c r="W201" s="254"/>
      <c r="X201" s="254"/>
      <c r="Y201" s="228"/>
      <c r="Z201" s="255"/>
      <c r="AA201" s="248"/>
      <c r="AB201" s="248"/>
      <c r="AC201" s="248"/>
      <c r="AD201" s="247"/>
      <c r="AE201" s="228"/>
      <c r="AF201" s="228"/>
      <c r="AG201" s="248"/>
      <c r="AH201" s="248"/>
      <c r="AI201" s="194"/>
      <c r="AJ201" s="249"/>
      <c r="AK201" s="250"/>
      <c r="AL201" s="251"/>
      <c r="AM201" s="252"/>
      <c r="AN201" s="241"/>
      <c r="AO201" s="241"/>
      <c r="AP201" s="241"/>
      <c r="AQ201" s="194"/>
      <c r="AR201" s="195"/>
      <c r="AS201" s="195"/>
    </row>
    <row r="202" spans="2:45">
      <c r="B202" s="253"/>
      <c r="C202" s="230"/>
      <c r="D202" s="245"/>
      <c r="E202" s="230"/>
      <c r="F202" s="230"/>
      <c r="G202" s="230"/>
      <c r="H202" s="230"/>
      <c r="I202" s="228"/>
      <c r="J202" s="228"/>
      <c r="K202" s="230"/>
      <c r="L202" s="230"/>
      <c r="M202" s="246"/>
      <c r="N202" s="230"/>
      <c r="O202" s="230"/>
      <c r="P202" s="230"/>
      <c r="Q202" s="230"/>
      <c r="R202" s="256"/>
      <c r="S202" s="257"/>
      <c r="T202" s="228"/>
      <c r="U202" s="228"/>
      <c r="V202" s="245"/>
      <c r="W202" s="254"/>
      <c r="X202" s="254"/>
      <c r="Y202" s="228"/>
      <c r="Z202" s="255"/>
      <c r="AA202" s="248"/>
      <c r="AB202" s="248"/>
      <c r="AC202" s="248"/>
      <c r="AD202" s="247"/>
      <c r="AE202" s="228"/>
      <c r="AF202" s="228"/>
      <c r="AG202" s="248"/>
      <c r="AH202" s="248"/>
      <c r="AI202" s="194"/>
      <c r="AJ202" s="249"/>
      <c r="AK202" s="250"/>
      <c r="AL202" s="251"/>
      <c r="AM202" s="252"/>
      <c r="AN202" s="241"/>
      <c r="AO202" s="241"/>
      <c r="AP202" s="241"/>
      <c r="AQ202" s="194"/>
      <c r="AR202" s="195"/>
      <c r="AS202" s="195"/>
    </row>
    <row r="203" spans="2:45">
      <c r="B203" s="253"/>
      <c r="C203" s="230"/>
      <c r="D203" s="245"/>
      <c r="E203" s="230"/>
      <c r="F203" s="230"/>
      <c r="G203" s="230"/>
      <c r="H203" s="230"/>
      <c r="I203" s="228"/>
      <c r="J203" s="228"/>
      <c r="K203" s="230"/>
      <c r="L203" s="230"/>
      <c r="M203" s="246"/>
      <c r="N203" s="230"/>
      <c r="O203" s="230"/>
      <c r="P203" s="230"/>
      <c r="Q203" s="230"/>
      <c r="R203" s="256"/>
      <c r="S203" s="257"/>
      <c r="T203" s="228"/>
      <c r="U203" s="228"/>
      <c r="V203" s="245"/>
      <c r="W203" s="254"/>
      <c r="X203" s="254"/>
      <c r="Y203" s="228"/>
      <c r="Z203" s="255"/>
      <c r="AA203" s="248"/>
      <c r="AB203" s="248"/>
      <c r="AC203" s="248"/>
      <c r="AD203" s="247"/>
      <c r="AE203" s="228"/>
      <c r="AF203" s="228"/>
      <c r="AG203" s="248"/>
      <c r="AH203" s="248"/>
      <c r="AI203" s="194"/>
      <c r="AJ203" s="249"/>
      <c r="AK203" s="250"/>
      <c r="AL203" s="251"/>
      <c r="AM203" s="252"/>
      <c r="AN203" s="241"/>
      <c r="AO203" s="241"/>
      <c r="AP203" s="241"/>
      <c r="AQ203" s="194"/>
      <c r="AR203" s="195"/>
      <c r="AS203" s="195"/>
    </row>
    <row r="204" spans="2:45">
      <c r="B204" s="253"/>
      <c r="C204" s="230"/>
      <c r="D204" s="245"/>
      <c r="E204" s="230"/>
      <c r="F204" s="230"/>
      <c r="G204" s="230"/>
      <c r="H204" s="230"/>
      <c r="I204" s="228"/>
      <c r="J204" s="228"/>
      <c r="K204" s="230"/>
      <c r="L204" s="230"/>
      <c r="M204" s="246"/>
      <c r="N204" s="230"/>
      <c r="O204" s="230"/>
      <c r="P204" s="230"/>
      <c r="Q204" s="230"/>
      <c r="R204" s="256"/>
      <c r="S204" s="257"/>
      <c r="T204" s="228"/>
      <c r="U204" s="228"/>
      <c r="V204" s="245"/>
      <c r="W204" s="254"/>
      <c r="X204" s="254"/>
      <c r="Y204" s="228"/>
      <c r="Z204" s="255"/>
      <c r="AA204" s="248"/>
      <c r="AB204" s="248"/>
      <c r="AC204" s="248"/>
      <c r="AD204" s="247"/>
      <c r="AE204" s="228"/>
      <c r="AF204" s="228"/>
      <c r="AG204" s="248"/>
      <c r="AH204" s="248"/>
      <c r="AI204" s="194"/>
      <c r="AJ204" s="249"/>
      <c r="AK204" s="250"/>
      <c r="AL204" s="251"/>
      <c r="AM204" s="252"/>
      <c r="AN204" s="241"/>
      <c r="AO204" s="241"/>
      <c r="AP204" s="241"/>
      <c r="AQ204" s="194"/>
      <c r="AR204" s="195"/>
      <c r="AS204" s="195"/>
    </row>
    <row r="205" spans="2:45">
      <c r="B205" s="253"/>
      <c r="C205" s="230"/>
      <c r="D205" s="245"/>
      <c r="E205" s="230"/>
      <c r="F205" s="230"/>
      <c r="G205" s="230"/>
      <c r="H205" s="230"/>
      <c r="I205" s="228"/>
      <c r="J205" s="228"/>
      <c r="K205" s="230"/>
      <c r="L205" s="230"/>
      <c r="M205" s="246"/>
      <c r="N205" s="230"/>
      <c r="O205" s="230"/>
      <c r="P205" s="230"/>
      <c r="Q205" s="230"/>
      <c r="R205" s="256"/>
      <c r="S205" s="257"/>
      <c r="T205" s="228"/>
      <c r="U205" s="228"/>
      <c r="V205" s="245"/>
      <c r="W205" s="254"/>
      <c r="X205" s="254"/>
      <c r="Y205" s="228"/>
      <c r="Z205" s="255"/>
      <c r="AA205" s="248"/>
      <c r="AB205" s="248"/>
      <c r="AC205" s="248"/>
      <c r="AD205" s="247"/>
      <c r="AE205" s="228"/>
      <c r="AF205" s="228"/>
      <c r="AG205" s="248"/>
      <c r="AH205" s="248"/>
      <c r="AI205" s="194"/>
      <c r="AJ205" s="249"/>
      <c r="AK205" s="250"/>
      <c r="AL205" s="251"/>
      <c r="AM205" s="252"/>
      <c r="AN205" s="241"/>
      <c r="AO205" s="241"/>
      <c r="AP205" s="241"/>
      <c r="AQ205" s="194"/>
      <c r="AR205" s="195"/>
      <c r="AS205" s="195"/>
    </row>
    <row r="206" spans="2:45">
      <c r="B206" s="253"/>
      <c r="C206" s="230"/>
      <c r="D206" s="245"/>
      <c r="E206" s="230"/>
      <c r="F206" s="230"/>
      <c r="G206" s="230"/>
      <c r="H206" s="230"/>
      <c r="I206" s="228"/>
      <c r="J206" s="228"/>
      <c r="K206" s="230"/>
      <c r="L206" s="230"/>
      <c r="M206" s="246"/>
      <c r="N206" s="230"/>
      <c r="O206" s="230"/>
      <c r="P206" s="230"/>
      <c r="Q206" s="230"/>
      <c r="R206" s="256"/>
      <c r="S206" s="257"/>
      <c r="T206" s="228"/>
      <c r="U206" s="228"/>
      <c r="V206" s="245"/>
      <c r="W206" s="254"/>
      <c r="X206" s="254"/>
      <c r="Y206" s="228"/>
      <c r="Z206" s="255"/>
      <c r="AA206" s="248"/>
      <c r="AB206" s="248"/>
      <c r="AC206" s="248"/>
      <c r="AD206" s="247"/>
      <c r="AE206" s="228"/>
      <c r="AF206" s="228"/>
      <c r="AG206" s="248"/>
      <c r="AH206" s="248"/>
      <c r="AI206" s="194"/>
      <c r="AJ206" s="249"/>
      <c r="AK206" s="250"/>
      <c r="AL206" s="251"/>
      <c r="AM206" s="252"/>
      <c r="AN206" s="241"/>
      <c r="AO206" s="241"/>
      <c r="AP206" s="241"/>
      <c r="AQ206" s="194"/>
      <c r="AR206" s="195"/>
      <c r="AS206" s="195"/>
    </row>
    <row r="207" spans="2:45">
      <c r="B207" s="253"/>
      <c r="C207" s="230"/>
      <c r="D207" s="245"/>
      <c r="E207" s="230"/>
      <c r="F207" s="230"/>
      <c r="G207" s="230"/>
      <c r="H207" s="230"/>
      <c r="I207" s="228"/>
      <c r="J207" s="228"/>
      <c r="K207" s="230"/>
      <c r="L207" s="230"/>
      <c r="M207" s="246"/>
      <c r="N207" s="230"/>
      <c r="O207" s="230"/>
      <c r="P207" s="230"/>
      <c r="Q207" s="230"/>
      <c r="R207" s="256"/>
      <c r="S207" s="257"/>
      <c r="T207" s="228"/>
      <c r="U207" s="228"/>
      <c r="V207" s="245"/>
      <c r="W207" s="254"/>
      <c r="X207" s="254"/>
      <c r="Y207" s="228"/>
      <c r="Z207" s="255"/>
      <c r="AA207" s="248"/>
      <c r="AB207" s="248"/>
      <c r="AC207" s="248"/>
      <c r="AD207" s="247"/>
      <c r="AE207" s="228"/>
      <c r="AF207" s="228"/>
      <c r="AG207" s="248"/>
      <c r="AH207" s="248"/>
      <c r="AI207" s="194"/>
      <c r="AJ207" s="249"/>
      <c r="AK207" s="250"/>
      <c r="AL207" s="251"/>
      <c r="AM207" s="252"/>
      <c r="AN207" s="241"/>
      <c r="AO207" s="241"/>
      <c r="AP207" s="241"/>
      <c r="AQ207" s="194"/>
      <c r="AR207" s="195"/>
      <c r="AS207" s="195"/>
    </row>
    <row r="208" spans="2:45">
      <c r="B208" s="253"/>
      <c r="C208" s="230"/>
      <c r="D208" s="245"/>
      <c r="E208" s="230"/>
      <c r="F208" s="230"/>
      <c r="G208" s="230"/>
      <c r="H208" s="230"/>
      <c r="I208" s="228"/>
      <c r="J208" s="228"/>
      <c r="K208" s="230"/>
      <c r="L208" s="230"/>
      <c r="M208" s="246"/>
      <c r="N208" s="230"/>
      <c r="O208" s="230"/>
      <c r="P208" s="230"/>
      <c r="Q208" s="230"/>
      <c r="R208" s="256"/>
      <c r="S208" s="257"/>
      <c r="T208" s="228"/>
      <c r="U208" s="228"/>
      <c r="V208" s="245"/>
      <c r="W208" s="254"/>
      <c r="X208" s="254"/>
      <c r="Y208" s="228"/>
      <c r="Z208" s="255"/>
      <c r="AA208" s="248"/>
      <c r="AB208" s="248"/>
      <c r="AC208" s="248"/>
      <c r="AD208" s="247"/>
      <c r="AE208" s="228"/>
      <c r="AF208" s="228"/>
      <c r="AG208" s="248"/>
      <c r="AH208" s="248"/>
      <c r="AI208" s="194"/>
      <c r="AJ208" s="249"/>
      <c r="AK208" s="250"/>
      <c r="AL208" s="251"/>
      <c r="AM208" s="252"/>
      <c r="AN208" s="241"/>
      <c r="AO208" s="241"/>
      <c r="AP208" s="241"/>
      <c r="AQ208" s="194"/>
      <c r="AR208" s="195"/>
      <c r="AS208" s="195"/>
    </row>
    <row r="209" spans="2:45">
      <c r="B209" s="253"/>
      <c r="C209" s="230"/>
      <c r="D209" s="245"/>
      <c r="E209" s="230"/>
      <c r="F209" s="230"/>
      <c r="G209" s="230"/>
      <c r="H209" s="230"/>
      <c r="I209" s="228"/>
      <c r="J209" s="228"/>
      <c r="K209" s="230"/>
      <c r="L209" s="230"/>
      <c r="M209" s="246"/>
      <c r="N209" s="230"/>
      <c r="O209" s="230"/>
      <c r="P209" s="230"/>
      <c r="Q209" s="230"/>
      <c r="R209" s="256"/>
      <c r="S209" s="257"/>
      <c r="T209" s="228"/>
      <c r="U209" s="228"/>
      <c r="V209" s="245"/>
      <c r="W209" s="254"/>
      <c r="X209" s="254"/>
      <c r="Y209" s="228"/>
      <c r="Z209" s="255"/>
      <c r="AA209" s="248"/>
      <c r="AB209" s="248"/>
      <c r="AC209" s="248"/>
      <c r="AD209" s="247"/>
      <c r="AE209" s="228"/>
      <c r="AF209" s="228"/>
      <c r="AG209" s="248"/>
      <c r="AH209" s="248"/>
      <c r="AI209" s="194"/>
      <c r="AJ209" s="249"/>
      <c r="AK209" s="250"/>
      <c r="AL209" s="251"/>
      <c r="AM209" s="252"/>
      <c r="AN209" s="241"/>
      <c r="AO209" s="241"/>
      <c r="AP209" s="241"/>
      <c r="AQ209" s="194"/>
      <c r="AR209" s="195"/>
      <c r="AS209" s="195"/>
    </row>
    <row r="210" spans="2:45">
      <c r="B210" s="253"/>
      <c r="C210" s="230"/>
      <c r="D210" s="245"/>
      <c r="E210" s="230"/>
      <c r="F210" s="230"/>
      <c r="G210" s="230"/>
      <c r="H210" s="230"/>
      <c r="I210" s="228"/>
      <c r="J210" s="228"/>
      <c r="K210" s="230"/>
      <c r="L210" s="230"/>
      <c r="M210" s="246"/>
      <c r="N210" s="230"/>
      <c r="O210" s="230"/>
      <c r="P210" s="230"/>
      <c r="Q210" s="230"/>
      <c r="R210" s="256"/>
      <c r="S210" s="257"/>
      <c r="T210" s="228"/>
      <c r="U210" s="228"/>
      <c r="V210" s="245"/>
      <c r="W210" s="254"/>
      <c r="X210" s="254"/>
      <c r="Y210" s="228"/>
      <c r="Z210" s="255"/>
      <c r="AA210" s="248"/>
      <c r="AB210" s="248"/>
      <c r="AC210" s="248"/>
      <c r="AD210" s="247"/>
      <c r="AE210" s="228"/>
      <c r="AF210" s="228"/>
      <c r="AG210" s="248"/>
      <c r="AH210" s="248"/>
      <c r="AI210" s="194"/>
      <c r="AJ210" s="249"/>
      <c r="AK210" s="250"/>
      <c r="AL210" s="251"/>
      <c r="AM210" s="252"/>
      <c r="AN210" s="241"/>
      <c r="AO210" s="241"/>
      <c r="AP210" s="241"/>
      <c r="AQ210" s="194"/>
      <c r="AR210" s="195"/>
      <c r="AS210" s="195"/>
    </row>
    <row r="211" spans="2:45">
      <c r="B211" s="253"/>
      <c r="C211" s="230"/>
      <c r="D211" s="245"/>
      <c r="E211" s="230"/>
      <c r="F211" s="230"/>
      <c r="G211" s="230"/>
      <c r="H211" s="230"/>
      <c r="I211" s="228"/>
      <c r="J211" s="228"/>
      <c r="K211" s="230"/>
      <c r="L211" s="230"/>
      <c r="M211" s="246"/>
      <c r="N211" s="230"/>
      <c r="O211" s="230"/>
      <c r="P211" s="230"/>
      <c r="Q211" s="230"/>
      <c r="R211" s="256"/>
      <c r="S211" s="257"/>
      <c r="T211" s="228"/>
      <c r="U211" s="228"/>
      <c r="V211" s="245"/>
      <c r="W211" s="254"/>
      <c r="X211" s="254"/>
      <c r="Y211" s="228"/>
      <c r="Z211" s="255"/>
      <c r="AA211" s="248"/>
      <c r="AB211" s="248"/>
      <c r="AC211" s="248"/>
      <c r="AD211" s="247"/>
      <c r="AE211" s="228"/>
      <c r="AF211" s="228"/>
      <c r="AG211" s="248"/>
      <c r="AH211" s="248"/>
      <c r="AI211" s="194"/>
      <c r="AJ211" s="249"/>
      <c r="AK211" s="250"/>
      <c r="AL211" s="251"/>
      <c r="AM211" s="252"/>
      <c r="AN211" s="241"/>
      <c r="AO211" s="241"/>
      <c r="AP211" s="241"/>
      <c r="AQ211" s="194"/>
      <c r="AR211" s="195"/>
      <c r="AS211" s="195"/>
    </row>
    <row r="212" spans="2:45">
      <c r="B212" s="253"/>
      <c r="C212" s="230"/>
      <c r="D212" s="245"/>
      <c r="E212" s="230"/>
      <c r="F212" s="230"/>
      <c r="G212" s="230"/>
      <c r="H212" s="230"/>
      <c r="I212" s="228"/>
      <c r="J212" s="228"/>
      <c r="K212" s="230"/>
      <c r="L212" s="230"/>
      <c r="M212" s="246"/>
      <c r="N212" s="230"/>
      <c r="O212" s="230"/>
      <c r="P212" s="230"/>
      <c r="Q212" s="230"/>
      <c r="R212" s="256"/>
      <c r="S212" s="257"/>
      <c r="T212" s="228"/>
      <c r="U212" s="228"/>
      <c r="V212" s="245"/>
      <c r="W212" s="254"/>
      <c r="X212" s="254"/>
      <c r="Y212" s="228"/>
      <c r="Z212" s="255"/>
      <c r="AA212" s="248"/>
      <c r="AB212" s="248"/>
      <c r="AC212" s="248"/>
      <c r="AD212" s="247"/>
      <c r="AE212" s="228"/>
      <c r="AF212" s="228"/>
      <c r="AG212" s="248"/>
      <c r="AH212" s="248"/>
      <c r="AI212" s="194"/>
      <c r="AJ212" s="249"/>
      <c r="AK212" s="250"/>
      <c r="AL212" s="251"/>
      <c r="AM212" s="252"/>
      <c r="AN212" s="241"/>
      <c r="AO212" s="241"/>
      <c r="AP212" s="241"/>
      <c r="AQ212" s="194"/>
      <c r="AR212" s="195"/>
      <c r="AS212" s="195"/>
    </row>
    <row r="213" spans="2:45">
      <c r="B213" s="253"/>
      <c r="C213" s="230"/>
      <c r="D213" s="245"/>
      <c r="E213" s="230"/>
      <c r="F213" s="230"/>
      <c r="G213" s="230"/>
      <c r="H213" s="230"/>
      <c r="I213" s="228"/>
      <c r="J213" s="228"/>
      <c r="K213" s="230"/>
      <c r="L213" s="230"/>
      <c r="M213" s="246"/>
      <c r="N213" s="230"/>
      <c r="O213" s="230"/>
      <c r="P213" s="230"/>
      <c r="Q213" s="230"/>
      <c r="R213" s="256"/>
      <c r="S213" s="257"/>
      <c r="T213" s="228"/>
      <c r="U213" s="228"/>
      <c r="V213" s="245"/>
      <c r="W213" s="254"/>
      <c r="X213" s="254"/>
      <c r="Y213" s="228"/>
      <c r="Z213" s="255"/>
      <c r="AA213" s="248"/>
      <c r="AB213" s="248"/>
      <c r="AC213" s="248"/>
      <c r="AD213" s="247"/>
      <c r="AE213" s="228"/>
      <c r="AF213" s="228"/>
      <c r="AG213" s="248"/>
      <c r="AH213" s="248"/>
      <c r="AI213" s="194"/>
      <c r="AJ213" s="249"/>
      <c r="AK213" s="250"/>
      <c r="AL213" s="251"/>
      <c r="AM213" s="252"/>
      <c r="AN213" s="241"/>
      <c r="AO213" s="241"/>
      <c r="AP213" s="241"/>
      <c r="AQ213" s="194"/>
      <c r="AR213" s="195"/>
      <c r="AS213" s="195"/>
    </row>
    <row r="214" spans="2:45">
      <c r="B214" s="253"/>
      <c r="C214" s="230"/>
      <c r="D214" s="245"/>
      <c r="E214" s="230"/>
      <c r="F214" s="230"/>
      <c r="G214" s="230"/>
      <c r="H214" s="230"/>
      <c r="I214" s="228"/>
      <c r="J214" s="228"/>
      <c r="K214" s="230"/>
      <c r="L214" s="230"/>
      <c r="M214" s="246"/>
      <c r="N214" s="230"/>
      <c r="O214" s="230"/>
      <c r="P214" s="230"/>
      <c r="Q214" s="230"/>
      <c r="R214" s="256"/>
      <c r="S214" s="257"/>
      <c r="T214" s="228"/>
      <c r="U214" s="228"/>
      <c r="V214" s="245"/>
      <c r="W214" s="254"/>
      <c r="X214" s="254"/>
      <c r="Y214" s="228"/>
      <c r="Z214" s="255"/>
      <c r="AA214" s="248"/>
      <c r="AB214" s="248"/>
      <c r="AC214" s="248"/>
      <c r="AD214" s="247"/>
      <c r="AE214" s="228"/>
      <c r="AF214" s="228"/>
      <c r="AG214" s="248"/>
      <c r="AH214" s="248"/>
      <c r="AI214" s="194"/>
      <c r="AJ214" s="249"/>
      <c r="AK214" s="250"/>
      <c r="AL214" s="251"/>
      <c r="AM214" s="252"/>
      <c r="AN214" s="241"/>
      <c r="AO214" s="241"/>
      <c r="AP214" s="241"/>
      <c r="AQ214" s="194"/>
      <c r="AR214" s="195"/>
      <c r="AS214" s="195"/>
    </row>
    <row r="215" spans="2:45">
      <c r="B215" s="253"/>
      <c r="C215" s="230"/>
      <c r="D215" s="245"/>
      <c r="E215" s="230"/>
      <c r="F215" s="230"/>
      <c r="G215" s="230"/>
      <c r="H215" s="230"/>
      <c r="I215" s="228"/>
      <c r="J215" s="228"/>
      <c r="K215" s="230"/>
      <c r="L215" s="230"/>
      <c r="M215" s="246"/>
      <c r="N215" s="230"/>
      <c r="O215" s="230"/>
      <c r="P215" s="230"/>
      <c r="Q215" s="230"/>
      <c r="R215" s="256"/>
      <c r="S215" s="257"/>
      <c r="T215" s="228"/>
      <c r="U215" s="228"/>
      <c r="V215" s="245"/>
      <c r="W215" s="254"/>
      <c r="X215" s="254"/>
      <c r="Y215" s="228"/>
      <c r="Z215" s="255"/>
      <c r="AA215" s="248"/>
      <c r="AB215" s="248"/>
      <c r="AC215" s="248"/>
      <c r="AD215" s="247"/>
      <c r="AE215" s="228"/>
      <c r="AF215" s="228"/>
      <c r="AG215" s="248"/>
      <c r="AH215" s="248"/>
      <c r="AI215" s="194"/>
      <c r="AJ215" s="249"/>
      <c r="AK215" s="250"/>
      <c r="AL215" s="251"/>
      <c r="AM215" s="252"/>
      <c r="AN215" s="241"/>
      <c r="AO215" s="241"/>
      <c r="AP215" s="241"/>
      <c r="AQ215" s="194"/>
      <c r="AR215" s="195"/>
      <c r="AS215" s="195"/>
    </row>
    <row r="216" spans="2:45">
      <c r="B216" s="253"/>
      <c r="C216" s="230"/>
      <c r="D216" s="245"/>
      <c r="E216" s="230"/>
      <c r="F216" s="230"/>
      <c r="G216" s="230"/>
      <c r="H216" s="230"/>
      <c r="I216" s="228"/>
      <c r="J216" s="228"/>
      <c r="K216" s="230"/>
      <c r="L216" s="230"/>
      <c r="M216" s="246"/>
      <c r="N216" s="230"/>
      <c r="O216" s="230"/>
      <c r="P216" s="230"/>
      <c r="Q216" s="230"/>
      <c r="R216" s="256"/>
      <c r="S216" s="257"/>
      <c r="T216" s="228"/>
      <c r="U216" s="228"/>
      <c r="V216" s="245"/>
      <c r="W216" s="254"/>
      <c r="X216" s="254"/>
      <c r="Y216" s="228"/>
      <c r="Z216" s="255"/>
      <c r="AA216" s="248"/>
      <c r="AB216" s="248"/>
      <c r="AC216" s="248"/>
      <c r="AD216" s="247"/>
      <c r="AE216" s="228"/>
      <c r="AF216" s="228"/>
      <c r="AG216" s="248"/>
      <c r="AH216" s="248"/>
      <c r="AI216" s="194"/>
      <c r="AJ216" s="249"/>
      <c r="AK216" s="250"/>
      <c r="AL216" s="251"/>
      <c r="AM216" s="252"/>
      <c r="AN216" s="241"/>
      <c r="AO216" s="241"/>
      <c r="AP216" s="241"/>
      <c r="AQ216" s="194"/>
      <c r="AR216" s="195"/>
      <c r="AS216" s="195"/>
    </row>
    <row r="217" spans="2:45">
      <c r="B217" s="253"/>
      <c r="C217" s="230"/>
      <c r="D217" s="245"/>
      <c r="E217" s="230"/>
      <c r="F217" s="230"/>
      <c r="G217" s="230"/>
      <c r="H217" s="230"/>
      <c r="I217" s="228"/>
      <c r="J217" s="228"/>
      <c r="K217" s="230"/>
      <c r="L217" s="230"/>
      <c r="M217" s="246"/>
      <c r="N217" s="230"/>
      <c r="O217" s="230"/>
      <c r="P217" s="230"/>
      <c r="Q217" s="230"/>
      <c r="R217" s="256"/>
      <c r="S217" s="257"/>
      <c r="T217" s="228"/>
      <c r="U217" s="228"/>
      <c r="V217" s="245"/>
      <c r="W217" s="254"/>
      <c r="X217" s="254"/>
      <c r="Y217" s="228"/>
      <c r="Z217" s="255"/>
      <c r="AA217" s="248"/>
      <c r="AB217" s="248"/>
      <c r="AC217" s="248"/>
      <c r="AD217" s="247"/>
      <c r="AE217" s="228"/>
      <c r="AF217" s="228"/>
      <c r="AG217" s="248"/>
      <c r="AH217" s="248"/>
      <c r="AI217" s="194"/>
      <c r="AJ217" s="249"/>
      <c r="AK217" s="250"/>
      <c r="AL217" s="251"/>
      <c r="AM217" s="252"/>
      <c r="AN217" s="241"/>
      <c r="AO217" s="241"/>
      <c r="AP217" s="241"/>
      <c r="AQ217" s="194"/>
      <c r="AR217" s="195"/>
      <c r="AS217" s="195"/>
    </row>
    <row r="218" spans="2:45">
      <c r="B218" s="253"/>
      <c r="C218" s="230"/>
      <c r="D218" s="245"/>
      <c r="E218" s="230"/>
      <c r="F218" s="230"/>
      <c r="G218" s="230"/>
      <c r="H218" s="230"/>
      <c r="I218" s="228"/>
      <c r="J218" s="228"/>
      <c r="K218" s="230"/>
      <c r="L218" s="230"/>
      <c r="M218" s="246"/>
      <c r="N218" s="230"/>
      <c r="O218" s="230"/>
      <c r="P218" s="230"/>
      <c r="Q218" s="230"/>
      <c r="R218" s="256"/>
      <c r="S218" s="257"/>
      <c r="T218" s="228"/>
      <c r="U218" s="228"/>
      <c r="V218" s="245"/>
      <c r="W218" s="254"/>
      <c r="X218" s="254"/>
      <c r="Y218" s="228"/>
      <c r="Z218" s="255"/>
      <c r="AA218" s="248"/>
      <c r="AB218" s="248"/>
      <c r="AC218" s="248"/>
      <c r="AD218" s="247"/>
      <c r="AE218" s="228"/>
      <c r="AF218" s="228"/>
      <c r="AG218" s="248"/>
      <c r="AH218" s="248"/>
      <c r="AI218" s="194"/>
      <c r="AJ218" s="249"/>
      <c r="AK218" s="250"/>
      <c r="AL218" s="251"/>
      <c r="AM218" s="252"/>
      <c r="AN218" s="241"/>
      <c r="AO218" s="241"/>
      <c r="AP218" s="241"/>
      <c r="AQ218" s="194"/>
      <c r="AR218" s="195"/>
      <c r="AS218" s="195"/>
    </row>
    <row r="219" spans="2:45">
      <c r="B219" s="253"/>
      <c r="C219" s="230"/>
      <c r="D219" s="245"/>
      <c r="E219" s="230"/>
      <c r="F219" s="230"/>
      <c r="G219" s="230"/>
      <c r="H219" s="230"/>
      <c r="I219" s="228"/>
      <c r="J219" s="228"/>
      <c r="K219" s="230"/>
      <c r="L219" s="230"/>
      <c r="M219" s="246"/>
      <c r="N219" s="230"/>
      <c r="O219" s="230"/>
      <c r="P219" s="230"/>
      <c r="Q219" s="230"/>
      <c r="R219" s="256"/>
      <c r="S219" s="257"/>
      <c r="T219" s="228"/>
      <c r="U219" s="228"/>
      <c r="V219" s="245"/>
      <c r="W219" s="254"/>
      <c r="X219" s="254"/>
      <c r="Y219" s="228"/>
      <c r="Z219" s="255"/>
      <c r="AA219" s="248"/>
      <c r="AB219" s="248"/>
      <c r="AC219" s="248"/>
      <c r="AD219" s="247"/>
      <c r="AE219" s="228"/>
      <c r="AF219" s="228"/>
      <c r="AG219" s="248"/>
      <c r="AH219" s="248"/>
      <c r="AI219" s="194"/>
      <c r="AJ219" s="249"/>
      <c r="AK219" s="250"/>
      <c r="AL219" s="251"/>
      <c r="AM219" s="252"/>
      <c r="AN219" s="241"/>
      <c r="AO219" s="241"/>
      <c r="AP219" s="241"/>
      <c r="AQ219" s="194"/>
      <c r="AR219" s="195"/>
      <c r="AS219" s="195"/>
    </row>
    <row r="220" spans="2:45">
      <c r="B220" s="253"/>
      <c r="C220" s="230"/>
      <c r="D220" s="245"/>
      <c r="E220" s="230"/>
      <c r="F220" s="230"/>
      <c r="G220" s="230"/>
      <c r="H220" s="230"/>
      <c r="I220" s="228"/>
      <c r="J220" s="228"/>
      <c r="K220" s="230"/>
      <c r="L220" s="230"/>
      <c r="M220" s="246"/>
      <c r="N220" s="230"/>
      <c r="O220" s="230"/>
      <c r="P220" s="230"/>
      <c r="Q220" s="230"/>
      <c r="R220" s="256"/>
      <c r="S220" s="257"/>
      <c r="T220" s="228"/>
      <c r="U220" s="228"/>
      <c r="V220" s="245"/>
      <c r="W220" s="254"/>
      <c r="X220" s="254"/>
      <c r="Y220" s="228"/>
      <c r="Z220" s="255"/>
      <c r="AA220" s="248"/>
      <c r="AB220" s="248"/>
      <c r="AC220" s="248"/>
      <c r="AD220" s="247"/>
      <c r="AE220" s="228"/>
      <c r="AF220" s="228"/>
      <c r="AG220" s="248"/>
      <c r="AH220" s="248"/>
      <c r="AI220" s="194"/>
      <c r="AJ220" s="249"/>
      <c r="AK220" s="250"/>
      <c r="AL220" s="251"/>
      <c r="AM220" s="252"/>
      <c r="AN220" s="241"/>
      <c r="AO220" s="241"/>
      <c r="AP220" s="241"/>
      <c r="AQ220" s="194"/>
      <c r="AR220" s="195"/>
      <c r="AS220" s="195"/>
    </row>
    <row r="221" spans="2:45">
      <c r="B221" s="253"/>
      <c r="C221" s="230"/>
      <c r="D221" s="245"/>
      <c r="E221" s="230"/>
      <c r="F221" s="230"/>
      <c r="G221" s="230"/>
      <c r="H221" s="230"/>
      <c r="I221" s="228"/>
      <c r="J221" s="228"/>
      <c r="K221" s="230"/>
      <c r="L221" s="230"/>
      <c r="M221" s="246"/>
      <c r="N221" s="230"/>
      <c r="O221" s="230"/>
      <c r="P221" s="230"/>
      <c r="Q221" s="230"/>
      <c r="R221" s="256"/>
      <c r="S221" s="257"/>
      <c r="T221" s="228"/>
      <c r="U221" s="228"/>
      <c r="V221" s="245"/>
      <c r="W221" s="254"/>
      <c r="X221" s="254"/>
      <c r="Y221" s="228"/>
      <c r="Z221" s="255"/>
      <c r="AA221" s="248"/>
      <c r="AB221" s="248"/>
      <c r="AC221" s="248"/>
      <c r="AD221" s="247"/>
      <c r="AE221" s="228"/>
      <c r="AF221" s="228"/>
      <c r="AG221" s="248"/>
      <c r="AH221" s="248"/>
      <c r="AI221" s="194"/>
      <c r="AJ221" s="249"/>
      <c r="AK221" s="250"/>
      <c r="AL221" s="251"/>
      <c r="AM221" s="252"/>
      <c r="AN221" s="241"/>
      <c r="AO221" s="241"/>
      <c r="AP221" s="241"/>
      <c r="AQ221" s="194"/>
      <c r="AR221" s="195"/>
      <c r="AS221" s="195"/>
    </row>
    <row r="222" spans="2:45">
      <c r="B222" s="253"/>
      <c r="C222" s="230"/>
      <c r="D222" s="245"/>
      <c r="E222" s="230"/>
      <c r="F222" s="230"/>
      <c r="G222" s="230"/>
      <c r="H222" s="230"/>
      <c r="I222" s="228"/>
      <c r="J222" s="228"/>
      <c r="K222" s="230"/>
      <c r="L222" s="230"/>
      <c r="M222" s="246"/>
      <c r="N222" s="230"/>
      <c r="O222" s="230"/>
      <c r="P222" s="230"/>
      <c r="Q222" s="230"/>
      <c r="R222" s="256"/>
      <c r="S222" s="257"/>
      <c r="T222" s="228"/>
      <c r="U222" s="228"/>
      <c r="V222" s="245"/>
      <c r="W222" s="254"/>
      <c r="X222" s="254"/>
      <c r="Y222" s="228"/>
      <c r="Z222" s="255"/>
      <c r="AA222" s="248"/>
      <c r="AB222" s="248"/>
      <c r="AC222" s="248"/>
      <c r="AD222" s="247"/>
      <c r="AE222" s="228"/>
      <c r="AF222" s="228"/>
      <c r="AG222" s="248"/>
      <c r="AH222" s="248"/>
      <c r="AI222" s="194"/>
      <c r="AJ222" s="249"/>
      <c r="AK222" s="250"/>
      <c r="AL222" s="251"/>
      <c r="AM222" s="252"/>
      <c r="AN222" s="241"/>
      <c r="AO222" s="241"/>
      <c r="AP222" s="241"/>
      <c r="AQ222" s="194"/>
      <c r="AR222" s="195"/>
      <c r="AS222" s="195"/>
    </row>
    <row r="223" spans="2:45">
      <c r="B223" s="253"/>
      <c r="C223" s="230"/>
      <c r="D223" s="245"/>
      <c r="E223" s="230"/>
      <c r="F223" s="230"/>
      <c r="G223" s="230"/>
      <c r="H223" s="230"/>
      <c r="I223" s="228"/>
      <c r="J223" s="228"/>
      <c r="K223" s="230"/>
      <c r="L223" s="230"/>
      <c r="M223" s="246"/>
      <c r="N223" s="230"/>
      <c r="O223" s="230"/>
      <c r="P223" s="230"/>
      <c r="Q223" s="230"/>
      <c r="R223" s="256"/>
      <c r="S223" s="257"/>
      <c r="T223" s="228"/>
      <c r="U223" s="228"/>
      <c r="V223" s="245"/>
      <c r="W223" s="254"/>
      <c r="X223" s="254"/>
      <c r="Y223" s="228"/>
      <c r="Z223" s="255"/>
      <c r="AA223" s="248"/>
      <c r="AB223" s="248"/>
      <c r="AC223" s="248"/>
      <c r="AD223" s="247"/>
      <c r="AE223" s="228"/>
      <c r="AF223" s="228"/>
      <c r="AG223" s="248"/>
      <c r="AH223" s="248"/>
      <c r="AI223" s="194"/>
      <c r="AJ223" s="249"/>
      <c r="AK223" s="250"/>
      <c r="AL223" s="251"/>
      <c r="AM223" s="252"/>
      <c r="AN223" s="241"/>
      <c r="AO223" s="241"/>
      <c r="AP223" s="241"/>
      <c r="AQ223" s="194"/>
      <c r="AR223" s="195"/>
      <c r="AS223" s="195"/>
    </row>
    <row r="224" spans="2:45">
      <c r="B224" s="253"/>
      <c r="C224" s="230"/>
      <c r="D224" s="245"/>
      <c r="E224" s="230"/>
      <c r="F224" s="230"/>
      <c r="G224" s="230"/>
      <c r="H224" s="230"/>
      <c r="I224" s="228"/>
      <c r="J224" s="228"/>
      <c r="K224" s="230"/>
      <c r="L224" s="230"/>
      <c r="M224" s="246"/>
      <c r="N224" s="230"/>
      <c r="O224" s="230"/>
      <c r="P224" s="230"/>
      <c r="Q224" s="230"/>
      <c r="R224" s="256"/>
      <c r="S224" s="257"/>
      <c r="T224" s="228"/>
      <c r="U224" s="228"/>
      <c r="V224" s="245"/>
      <c r="W224" s="254"/>
      <c r="X224" s="254"/>
      <c r="Y224" s="228"/>
      <c r="Z224" s="255"/>
      <c r="AA224" s="248"/>
      <c r="AB224" s="248"/>
      <c r="AC224" s="248"/>
      <c r="AD224" s="247"/>
      <c r="AE224" s="228"/>
      <c r="AF224" s="228"/>
      <c r="AG224" s="248"/>
      <c r="AH224" s="248"/>
      <c r="AI224" s="194"/>
      <c r="AJ224" s="249"/>
      <c r="AK224" s="250"/>
      <c r="AL224" s="251"/>
      <c r="AM224" s="252"/>
      <c r="AN224" s="241"/>
      <c r="AO224" s="241"/>
      <c r="AP224" s="241"/>
      <c r="AQ224" s="194"/>
      <c r="AR224" s="195"/>
      <c r="AS224" s="195"/>
    </row>
    <row r="225" spans="2:45">
      <c r="B225" s="253"/>
      <c r="C225" s="230"/>
      <c r="D225" s="245"/>
      <c r="E225" s="230"/>
      <c r="F225" s="230"/>
      <c r="G225" s="230"/>
      <c r="H225" s="230"/>
      <c r="I225" s="228"/>
      <c r="J225" s="228"/>
      <c r="K225" s="230"/>
      <c r="L225" s="230"/>
      <c r="M225" s="246"/>
      <c r="N225" s="230"/>
      <c r="O225" s="230"/>
      <c r="P225" s="230"/>
      <c r="Q225" s="230"/>
      <c r="R225" s="256"/>
      <c r="S225" s="257"/>
      <c r="T225" s="228"/>
      <c r="U225" s="228"/>
      <c r="V225" s="245"/>
      <c r="W225" s="254"/>
      <c r="X225" s="254"/>
      <c r="Y225" s="228"/>
      <c r="Z225" s="255"/>
      <c r="AA225" s="248"/>
      <c r="AB225" s="248"/>
      <c r="AC225" s="248"/>
      <c r="AD225" s="247"/>
      <c r="AE225" s="228"/>
      <c r="AF225" s="228"/>
      <c r="AG225" s="248"/>
      <c r="AH225" s="248"/>
      <c r="AI225" s="194"/>
      <c r="AJ225" s="249"/>
      <c r="AK225" s="250"/>
      <c r="AL225" s="251"/>
      <c r="AM225" s="252"/>
      <c r="AN225" s="241"/>
      <c r="AO225" s="241"/>
      <c r="AP225" s="241"/>
      <c r="AQ225" s="194"/>
      <c r="AR225" s="195"/>
      <c r="AS225" s="195"/>
    </row>
    <row r="226" spans="2:45">
      <c r="B226" s="253"/>
      <c r="C226" s="230"/>
      <c r="D226" s="245"/>
      <c r="E226" s="230"/>
      <c r="F226" s="230"/>
      <c r="G226" s="230"/>
      <c r="H226" s="230"/>
      <c r="I226" s="228"/>
      <c r="J226" s="228"/>
      <c r="K226" s="230"/>
      <c r="L226" s="230"/>
      <c r="M226" s="246"/>
      <c r="N226" s="230"/>
      <c r="O226" s="230"/>
      <c r="P226" s="230"/>
      <c r="Q226" s="230"/>
      <c r="R226" s="256"/>
      <c r="S226" s="257"/>
      <c r="T226" s="228"/>
      <c r="U226" s="228"/>
      <c r="V226" s="245"/>
      <c r="W226" s="254"/>
      <c r="X226" s="254"/>
      <c r="Y226" s="228"/>
      <c r="Z226" s="255"/>
      <c r="AA226" s="248"/>
      <c r="AB226" s="248"/>
      <c r="AC226" s="248"/>
      <c r="AD226" s="247"/>
      <c r="AE226" s="228"/>
      <c r="AF226" s="228"/>
      <c r="AG226" s="248"/>
      <c r="AH226" s="248"/>
      <c r="AI226" s="194"/>
      <c r="AJ226" s="249"/>
      <c r="AK226" s="250"/>
      <c r="AL226" s="251"/>
      <c r="AM226" s="252"/>
      <c r="AN226" s="241"/>
      <c r="AO226" s="241"/>
      <c r="AP226" s="241"/>
      <c r="AQ226" s="194"/>
      <c r="AR226" s="195"/>
      <c r="AS226" s="195"/>
    </row>
    <row r="227" spans="2:45">
      <c r="B227" s="253"/>
      <c r="C227" s="230"/>
      <c r="D227" s="245"/>
      <c r="E227" s="230"/>
      <c r="F227" s="230"/>
      <c r="G227" s="230"/>
      <c r="H227" s="230"/>
      <c r="I227" s="228"/>
      <c r="J227" s="228"/>
      <c r="K227" s="230"/>
      <c r="L227" s="230"/>
      <c r="M227" s="246"/>
      <c r="N227" s="230"/>
      <c r="O227" s="230"/>
      <c r="P227" s="230"/>
      <c r="Q227" s="230"/>
      <c r="R227" s="256"/>
      <c r="S227" s="257"/>
      <c r="T227" s="228"/>
      <c r="U227" s="228"/>
      <c r="V227" s="245"/>
      <c r="W227" s="254"/>
      <c r="X227" s="254"/>
      <c r="Y227" s="228"/>
      <c r="Z227" s="255"/>
      <c r="AA227" s="248"/>
      <c r="AB227" s="248"/>
      <c r="AC227" s="248"/>
      <c r="AD227" s="247"/>
      <c r="AE227" s="228"/>
      <c r="AF227" s="228"/>
      <c r="AG227" s="248"/>
      <c r="AH227" s="248"/>
      <c r="AI227" s="194"/>
      <c r="AJ227" s="249"/>
      <c r="AK227" s="250"/>
      <c r="AL227" s="251"/>
      <c r="AM227" s="252"/>
      <c r="AN227" s="241"/>
      <c r="AO227" s="241"/>
      <c r="AP227" s="241"/>
      <c r="AQ227" s="194"/>
      <c r="AR227" s="195"/>
      <c r="AS227" s="195"/>
    </row>
    <row r="228" spans="2:45">
      <c r="B228" s="253"/>
      <c r="C228" s="230"/>
      <c r="D228" s="245"/>
      <c r="E228" s="230"/>
      <c r="F228" s="230"/>
      <c r="G228" s="230"/>
      <c r="H228" s="230"/>
      <c r="I228" s="228"/>
      <c r="J228" s="228"/>
      <c r="K228" s="230"/>
      <c r="L228" s="230"/>
      <c r="M228" s="246"/>
      <c r="N228" s="230"/>
      <c r="O228" s="230"/>
      <c r="P228" s="230"/>
      <c r="Q228" s="230"/>
      <c r="R228" s="256"/>
      <c r="S228" s="257"/>
      <c r="T228" s="228"/>
      <c r="U228" s="228"/>
      <c r="V228" s="245"/>
      <c r="W228" s="254"/>
      <c r="X228" s="254"/>
      <c r="Y228" s="228"/>
      <c r="Z228" s="255"/>
      <c r="AA228" s="248"/>
      <c r="AB228" s="248"/>
      <c r="AC228" s="248"/>
      <c r="AD228" s="247"/>
      <c r="AE228" s="228"/>
      <c r="AF228" s="228"/>
      <c r="AG228" s="248"/>
      <c r="AH228" s="248"/>
      <c r="AI228" s="194"/>
      <c r="AJ228" s="249"/>
      <c r="AK228" s="250"/>
      <c r="AL228" s="251"/>
      <c r="AM228" s="252"/>
      <c r="AN228" s="241"/>
      <c r="AO228" s="241"/>
      <c r="AP228" s="241"/>
      <c r="AQ228" s="194"/>
      <c r="AR228" s="195"/>
      <c r="AS228" s="195"/>
    </row>
    <row r="229" spans="2:45">
      <c r="B229" s="253"/>
      <c r="C229" s="230"/>
      <c r="D229" s="245"/>
      <c r="E229" s="230"/>
      <c r="F229" s="230"/>
      <c r="G229" s="230"/>
      <c r="H229" s="230"/>
      <c r="I229" s="228"/>
      <c r="J229" s="228"/>
      <c r="K229" s="230"/>
      <c r="L229" s="230"/>
      <c r="M229" s="246"/>
      <c r="N229" s="230"/>
      <c r="O229" s="230"/>
      <c r="P229" s="230"/>
      <c r="Q229" s="230"/>
      <c r="R229" s="256"/>
      <c r="S229" s="257"/>
      <c r="T229" s="228"/>
      <c r="U229" s="228"/>
      <c r="V229" s="245"/>
      <c r="W229" s="254"/>
      <c r="X229" s="254"/>
      <c r="Y229" s="228"/>
      <c r="Z229" s="255"/>
      <c r="AA229" s="248"/>
      <c r="AB229" s="248"/>
      <c r="AC229" s="248"/>
      <c r="AD229" s="247"/>
      <c r="AE229" s="228"/>
      <c r="AF229" s="228"/>
      <c r="AG229" s="248"/>
      <c r="AH229" s="248"/>
      <c r="AI229" s="194"/>
      <c r="AJ229" s="249"/>
      <c r="AK229" s="250"/>
      <c r="AL229" s="251"/>
      <c r="AM229" s="252"/>
      <c r="AN229" s="241"/>
      <c r="AO229" s="241"/>
      <c r="AP229" s="241"/>
      <c r="AQ229" s="194"/>
      <c r="AR229" s="195"/>
      <c r="AS229" s="195"/>
    </row>
    <row r="230" spans="2:45">
      <c r="B230" s="253"/>
      <c r="C230" s="230"/>
      <c r="D230" s="245"/>
      <c r="E230" s="230"/>
      <c r="F230" s="230"/>
      <c r="G230" s="230"/>
      <c r="H230" s="230"/>
      <c r="I230" s="228"/>
      <c r="J230" s="228"/>
      <c r="K230" s="230"/>
      <c r="L230" s="230"/>
      <c r="M230" s="246"/>
      <c r="N230" s="230"/>
      <c r="O230" s="230"/>
      <c r="P230" s="230"/>
      <c r="Q230" s="230"/>
      <c r="R230" s="256"/>
      <c r="S230" s="257"/>
      <c r="T230" s="228"/>
      <c r="U230" s="228"/>
      <c r="V230" s="245"/>
      <c r="W230" s="254"/>
      <c r="X230" s="254"/>
      <c r="Y230" s="228"/>
      <c r="Z230" s="255"/>
      <c r="AA230" s="248"/>
      <c r="AB230" s="248"/>
      <c r="AC230" s="248"/>
      <c r="AD230" s="247"/>
      <c r="AE230" s="228"/>
      <c r="AF230" s="228"/>
      <c r="AG230" s="248"/>
      <c r="AH230" s="248"/>
      <c r="AI230" s="194"/>
      <c r="AJ230" s="249"/>
      <c r="AK230" s="250"/>
      <c r="AL230" s="251"/>
      <c r="AM230" s="252"/>
      <c r="AN230" s="241"/>
      <c r="AO230" s="241"/>
      <c r="AP230" s="241"/>
      <c r="AQ230" s="194"/>
      <c r="AR230" s="195"/>
      <c r="AS230" s="195"/>
    </row>
    <row r="231" spans="2:45">
      <c r="B231" s="253"/>
      <c r="C231" s="230"/>
      <c r="D231" s="245"/>
      <c r="E231" s="230"/>
      <c r="F231" s="230"/>
      <c r="G231" s="230"/>
      <c r="H231" s="230"/>
      <c r="I231" s="228"/>
      <c r="J231" s="228"/>
      <c r="K231" s="230"/>
      <c r="L231" s="230"/>
      <c r="M231" s="246"/>
      <c r="N231" s="230"/>
      <c r="O231" s="230"/>
      <c r="P231" s="230"/>
      <c r="Q231" s="230"/>
      <c r="R231" s="256"/>
      <c r="S231" s="257"/>
      <c r="T231" s="228"/>
      <c r="U231" s="228"/>
      <c r="V231" s="245"/>
      <c r="W231" s="254"/>
      <c r="X231" s="254"/>
      <c r="Y231" s="228"/>
      <c r="Z231" s="255"/>
      <c r="AA231" s="248"/>
      <c r="AB231" s="248"/>
      <c r="AC231" s="248"/>
      <c r="AD231" s="247"/>
      <c r="AE231" s="228"/>
      <c r="AF231" s="228"/>
      <c r="AG231" s="248"/>
      <c r="AH231" s="248"/>
      <c r="AI231" s="194"/>
      <c r="AJ231" s="249"/>
      <c r="AK231" s="250"/>
      <c r="AL231" s="251"/>
      <c r="AM231" s="252"/>
      <c r="AN231" s="241"/>
      <c r="AO231" s="241"/>
      <c r="AP231" s="241"/>
      <c r="AQ231" s="194"/>
      <c r="AR231" s="195"/>
      <c r="AS231" s="195"/>
    </row>
    <row r="232" spans="2:45">
      <c r="B232" s="253"/>
      <c r="C232" s="230"/>
      <c r="D232" s="245"/>
      <c r="E232" s="230"/>
      <c r="F232" s="230"/>
      <c r="G232" s="230"/>
      <c r="H232" s="230"/>
      <c r="I232" s="228"/>
      <c r="J232" s="228"/>
      <c r="K232" s="230"/>
      <c r="L232" s="230"/>
      <c r="M232" s="246"/>
      <c r="N232" s="230"/>
      <c r="O232" s="230"/>
      <c r="P232" s="230"/>
      <c r="Q232" s="230"/>
      <c r="R232" s="256"/>
      <c r="S232" s="257"/>
      <c r="T232" s="228"/>
      <c r="U232" s="228"/>
      <c r="V232" s="245"/>
      <c r="W232" s="254"/>
      <c r="X232" s="254"/>
      <c r="Y232" s="228"/>
      <c r="Z232" s="255"/>
      <c r="AA232" s="248"/>
      <c r="AB232" s="248"/>
      <c r="AC232" s="248"/>
      <c r="AD232" s="247"/>
      <c r="AE232" s="228"/>
      <c r="AF232" s="228"/>
      <c r="AG232" s="248"/>
      <c r="AH232" s="248"/>
      <c r="AI232" s="194"/>
      <c r="AJ232" s="249"/>
      <c r="AK232" s="250"/>
      <c r="AL232" s="251"/>
      <c r="AM232" s="252"/>
      <c r="AN232" s="241"/>
      <c r="AO232" s="241"/>
      <c r="AP232" s="241"/>
      <c r="AQ232" s="194"/>
      <c r="AR232" s="195"/>
      <c r="AS232" s="195"/>
    </row>
    <row r="233" spans="2:45">
      <c r="B233" s="253"/>
      <c r="C233" s="230"/>
      <c r="D233" s="245"/>
      <c r="E233" s="230"/>
      <c r="F233" s="230"/>
      <c r="G233" s="230"/>
      <c r="H233" s="230"/>
      <c r="I233" s="228"/>
      <c r="J233" s="228"/>
      <c r="K233" s="230"/>
      <c r="L233" s="230"/>
      <c r="M233" s="246"/>
      <c r="N233" s="230"/>
      <c r="O233" s="230"/>
      <c r="P233" s="230"/>
      <c r="Q233" s="230"/>
      <c r="R233" s="256"/>
      <c r="S233" s="257"/>
      <c r="T233" s="228"/>
      <c r="U233" s="228"/>
      <c r="V233" s="245"/>
      <c r="W233" s="254"/>
      <c r="X233" s="254"/>
      <c r="Y233" s="228"/>
      <c r="Z233" s="255"/>
      <c r="AA233" s="248"/>
      <c r="AB233" s="248"/>
      <c r="AC233" s="248"/>
      <c r="AD233" s="247"/>
      <c r="AE233" s="228"/>
      <c r="AF233" s="228"/>
      <c r="AG233" s="248"/>
      <c r="AH233" s="248"/>
      <c r="AI233" s="194"/>
      <c r="AJ233" s="249"/>
      <c r="AK233" s="250"/>
      <c r="AL233" s="251"/>
      <c r="AM233" s="252"/>
      <c r="AN233" s="241"/>
      <c r="AO233" s="241"/>
      <c r="AP233" s="241"/>
      <c r="AQ233" s="194"/>
      <c r="AR233" s="195"/>
      <c r="AS233" s="195"/>
    </row>
    <row r="234" spans="2:45">
      <c r="B234" s="253"/>
      <c r="C234" s="230"/>
      <c r="D234" s="245"/>
      <c r="E234" s="230"/>
      <c r="F234" s="230"/>
      <c r="G234" s="230"/>
      <c r="H234" s="230"/>
      <c r="I234" s="228"/>
      <c r="J234" s="228"/>
      <c r="K234" s="230"/>
      <c r="L234" s="230"/>
      <c r="M234" s="246"/>
      <c r="N234" s="230"/>
      <c r="O234" s="230"/>
      <c r="P234" s="230"/>
      <c r="Q234" s="230"/>
      <c r="R234" s="256"/>
      <c r="S234" s="257"/>
      <c r="T234" s="228"/>
      <c r="U234" s="228"/>
      <c r="V234" s="245"/>
      <c r="W234" s="254"/>
      <c r="X234" s="254"/>
      <c r="Y234" s="228"/>
      <c r="Z234" s="255"/>
      <c r="AA234" s="248"/>
      <c r="AB234" s="248"/>
      <c r="AC234" s="248"/>
      <c r="AD234" s="247"/>
      <c r="AE234" s="228"/>
      <c r="AF234" s="228"/>
      <c r="AG234" s="248"/>
      <c r="AH234" s="248"/>
      <c r="AI234" s="194"/>
      <c r="AJ234" s="249"/>
      <c r="AK234" s="250"/>
      <c r="AL234" s="251"/>
      <c r="AM234" s="252"/>
      <c r="AN234" s="241"/>
      <c r="AO234" s="241"/>
      <c r="AP234" s="241"/>
      <c r="AQ234" s="194"/>
      <c r="AR234" s="195"/>
      <c r="AS234" s="195"/>
    </row>
    <row r="235" spans="2:45">
      <c r="B235" s="253"/>
      <c r="C235" s="230"/>
      <c r="D235" s="245"/>
      <c r="E235" s="230"/>
      <c r="F235" s="230"/>
      <c r="G235" s="230"/>
      <c r="H235" s="230"/>
      <c r="I235" s="228"/>
      <c r="J235" s="228"/>
      <c r="K235" s="230"/>
      <c r="L235" s="230"/>
      <c r="M235" s="246"/>
      <c r="N235" s="230"/>
      <c r="O235" s="230"/>
      <c r="P235" s="230"/>
      <c r="Q235" s="230"/>
      <c r="R235" s="256"/>
      <c r="S235" s="257"/>
      <c r="T235" s="228"/>
      <c r="U235" s="228"/>
      <c r="V235" s="245"/>
      <c r="W235" s="254"/>
      <c r="X235" s="254"/>
      <c r="Y235" s="228"/>
      <c r="Z235" s="255"/>
      <c r="AA235" s="248"/>
      <c r="AB235" s="248"/>
      <c r="AC235" s="248"/>
      <c r="AD235" s="247"/>
      <c r="AE235" s="228"/>
      <c r="AF235" s="228"/>
      <c r="AG235" s="248"/>
      <c r="AH235" s="248"/>
      <c r="AI235" s="194"/>
      <c r="AJ235" s="249"/>
      <c r="AK235" s="250"/>
      <c r="AL235" s="251"/>
      <c r="AM235" s="252"/>
      <c r="AN235" s="241"/>
      <c r="AO235" s="241"/>
      <c r="AP235" s="241"/>
      <c r="AQ235" s="194"/>
      <c r="AR235" s="195"/>
      <c r="AS235" s="195"/>
    </row>
    <row r="236" spans="2:45">
      <c r="B236" s="253"/>
      <c r="C236" s="230"/>
      <c r="D236" s="245"/>
      <c r="E236" s="230"/>
      <c r="F236" s="230"/>
      <c r="G236" s="230"/>
      <c r="H236" s="230"/>
      <c r="I236" s="228"/>
      <c r="J236" s="228"/>
      <c r="K236" s="230"/>
      <c r="L236" s="230"/>
      <c r="M236" s="246"/>
      <c r="N236" s="230"/>
      <c r="O236" s="230"/>
      <c r="P236" s="230"/>
      <c r="Q236" s="230"/>
      <c r="R236" s="256"/>
      <c r="S236" s="257"/>
      <c r="T236" s="228"/>
      <c r="U236" s="228"/>
      <c r="V236" s="245"/>
      <c r="W236" s="254"/>
      <c r="X236" s="254"/>
      <c r="Y236" s="228"/>
      <c r="Z236" s="255"/>
      <c r="AA236" s="248"/>
      <c r="AB236" s="248"/>
      <c r="AC236" s="248"/>
      <c r="AD236" s="247"/>
      <c r="AE236" s="228"/>
      <c r="AF236" s="228"/>
      <c r="AG236" s="248"/>
      <c r="AH236" s="248"/>
      <c r="AI236" s="194"/>
      <c r="AJ236" s="249"/>
      <c r="AK236" s="250"/>
      <c r="AL236" s="251"/>
      <c r="AM236" s="252"/>
      <c r="AN236" s="241"/>
      <c r="AO236" s="241"/>
      <c r="AP236" s="241"/>
      <c r="AQ236" s="194"/>
      <c r="AR236" s="195"/>
      <c r="AS236" s="195"/>
    </row>
    <row r="237" spans="2:45">
      <c r="B237" s="253"/>
      <c r="C237" s="230"/>
      <c r="D237" s="245"/>
      <c r="E237" s="230"/>
      <c r="F237" s="230"/>
      <c r="G237" s="230"/>
      <c r="H237" s="230"/>
      <c r="I237" s="228"/>
      <c r="J237" s="228"/>
      <c r="K237" s="230"/>
      <c r="L237" s="230"/>
      <c r="M237" s="246"/>
      <c r="N237" s="230"/>
      <c r="O237" s="230"/>
      <c r="P237" s="230"/>
      <c r="Q237" s="230"/>
      <c r="R237" s="256"/>
      <c r="S237" s="257"/>
      <c r="T237" s="228"/>
      <c r="U237" s="228"/>
      <c r="V237" s="245"/>
      <c r="W237" s="254"/>
      <c r="X237" s="254"/>
      <c r="Y237" s="228"/>
      <c r="Z237" s="255"/>
      <c r="AA237" s="248"/>
      <c r="AB237" s="248"/>
      <c r="AC237" s="248"/>
      <c r="AD237" s="247"/>
      <c r="AE237" s="228"/>
      <c r="AF237" s="228"/>
      <c r="AG237" s="248"/>
      <c r="AH237" s="248"/>
      <c r="AI237" s="194"/>
      <c r="AJ237" s="249"/>
      <c r="AK237" s="250"/>
      <c r="AL237" s="251"/>
      <c r="AM237" s="252"/>
      <c r="AN237" s="241"/>
      <c r="AO237" s="241"/>
      <c r="AP237" s="241"/>
      <c r="AQ237" s="194"/>
      <c r="AR237" s="195"/>
      <c r="AS237" s="195"/>
    </row>
    <row r="238" spans="2:45">
      <c r="B238" s="253"/>
      <c r="C238" s="230"/>
      <c r="D238" s="245"/>
      <c r="E238" s="230"/>
      <c r="F238" s="230"/>
      <c r="G238" s="230"/>
      <c r="H238" s="230"/>
      <c r="I238" s="228"/>
      <c r="J238" s="228"/>
      <c r="K238" s="230"/>
      <c r="L238" s="230"/>
      <c r="M238" s="246"/>
      <c r="N238" s="230"/>
      <c r="O238" s="230"/>
      <c r="P238" s="230"/>
      <c r="Q238" s="230"/>
      <c r="R238" s="256"/>
      <c r="S238" s="257"/>
      <c r="T238" s="228"/>
      <c r="U238" s="228"/>
      <c r="V238" s="245"/>
      <c r="W238" s="254"/>
      <c r="X238" s="254"/>
      <c r="Y238" s="228"/>
      <c r="Z238" s="255"/>
      <c r="AA238" s="248"/>
      <c r="AB238" s="248"/>
      <c r="AC238" s="248"/>
      <c r="AD238" s="247"/>
      <c r="AE238" s="228"/>
      <c r="AF238" s="228"/>
      <c r="AG238" s="248"/>
      <c r="AH238" s="248"/>
      <c r="AI238" s="194"/>
      <c r="AJ238" s="249"/>
      <c r="AK238" s="250"/>
      <c r="AL238" s="251"/>
      <c r="AM238" s="252"/>
      <c r="AN238" s="241"/>
      <c r="AO238" s="241"/>
      <c r="AP238" s="241"/>
      <c r="AQ238" s="194"/>
      <c r="AR238" s="195"/>
      <c r="AS238" s="195"/>
    </row>
    <row r="239" spans="2:45">
      <c r="B239" s="253"/>
      <c r="C239" s="230"/>
      <c r="D239" s="245"/>
      <c r="E239" s="230"/>
      <c r="F239" s="230"/>
      <c r="G239" s="230"/>
      <c r="H239" s="230"/>
      <c r="I239" s="228"/>
      <c r="J239" s="228"/>
      <c r="K239" s="230"/>
      <c r="L239" s="230"/>
      <c r="M239" s="246"/>
      <c r="N239" s="230"/>
      <c r="O239" s="230"/>
      <c r="P239" s="230"/>
      <c r="Q239" s="230"/>
      <c r="R239" s="256"/>
      <c r="S239" s="257"/>
      <c r="T239" s="228"/>
      <c r="U239" s="228"/>
      <c r="V239" s="245"/>
      <c r="W239" s="254"/>
      <c r="X239" s="254"/>
      <c r="Y239" s="228"/>
      <c r="Z239" s="255"/>
      <c r="AA239" s="248"/>
      <c r="AB239" s="248"/>
      <c r="AC239" s="248"/>
      <c r="AD239" s="247"/>
      <c r="AE239" s="228"/>
      <c r="AF239" s="228"/>
      <c r="AG239" s="248"/>
      <c r="AH239" s="248"/>
      <c r="AI239" s="194"/>
      <c r="AJ239" s="249"/>
      <c r="AK239" s="250"/>
      <c r="AL239" s="251"/>
      <c r="AM239" s="252"/>
      <c r="AN239" s="241"/>
      <c r="AO239" s="241"/>
      <c r="AP239" s="241"/>
      <c r="AQ239" s="194"/>
      <c r="AR239" s="195"/>
      <c r="AS239" s="195"/>
    </row>
    <row r="240" spans="2:45">
      <c r="B240" s="253"/>
      <c r="C240" s="230"/>
      <c r="D240" s="245"/>
      <c r="E240" s="230"/>
      <c r="F240" s="230"/>
      <c r="G240" s="230"/>
      <c r="H240" s="230"/>
      <c r="I240" s="228"/>
      <c r="J240" s="228"/>
      <c r="K240" s="230"/>
      <c r="L240" s="230"/>
      <c r="M240" s="246"/>
      <c r="N240" s="230"/>
      <c r="O240" s="230"/>
      <c r="P240" s="230"/>
      <c r="Q240" s="230"/>
      <c r="R240" s="256"/>
      <c r="S240" s="257"/>
      <c r="T240" s="228"/>
      <c r="U240" s="228"/>
      <c r="V240" s="245"/>
      <c r="W240" s="254"/>
      <c r="X240" s="254"/>
      <c r="Y240" s="228"/>
      <c r="Z240" s="255"/>
      <c r="AA240" s="248"/>
      <c r="AB240" s="248"/>
      <c r="AC240" s="248"/>
      <c r="AD240" s="247"/>
      <c r="AE240" s="228"/>
      <c r="AF240" s="228"/>
      <c r="AG240" s="248"/>
      <c r="AH240" s="248"/>
      <c r="AI240" s="194"/>
      <c r="AJ240" s="249"/>
      <c r="AK240" s="250"/>
      <c r="AL240" s="251"/>
      <c r="AM240" s="252"/>
      <c r="AN240" s="241"/>
      <c r="AO240" s="241"/>
      <c r="AP240" s="241"/>
      <c r="AQ240" s="194"/>
      <c r="AR240" s="195"/>
      <c r="AS240" s="195"/>
    </row>
    <row r="241" spans="2:45">
      <c r="B241" s="253"/>
      <c r="C241" s="230"/>
      <c r="D241" s="245"/>
      <c r="E241" s="230"/>
      <c r="F241" s="230"/>
      <c r="G241" s="230"/>
      <c r="H241" s="230"/>
      <c r="I241" s="228"/>
      <c r="J241" s="228"/>
      <c r="K241" s="230"/>
      <c r="L241" s="230"/>
      <c r="M241" s="246"/>
      <c r="N241" s="230"/>
      <c r="O241" s="230"/>
      <c r="P241" s="230"/>
      <c r="Q241" s="230"/>
      <c r="R241" s="256"/>
      <c r="S241" s="257"/>
      <c r="T241" s="228"/>
      <c r="U241" s="228"/>
      <c r="V241" s="245"/>
      <c r="W241" s="254"/>
      <c r="X241" s="254"/>
      <c r="Y241" s="228"/>
      <c r="Z241" s="255"/>
      <c r="AA241" s="248"/>
      <c r="AB241" s="248"/>
      <c r="AC241" s="248"/>
      <c r="AD241" s="247"/>
      <c r="AE241" s="228"/>
      <c r="AF241" s="228"/>
      <c r="AG241" s="248"/>
      <c r="AH241" s="248"/>
      <c r="AI241" s="194"/>
      <c r="AJ241" s="249"/>
      <c r="AK241" s="250"/>
      <c r="AL241" s="251"/>
      <c r="AM241" s="252"/>
      <c r="AN241" s="241"/>
      <c r="AO241" s="241"/>
      <c r="AP241" s="241"/>
      <c r="AQ241" s="194"/>
      <c r="AR241" s="195"/>
      <c r="AS241" s="195"/>
    </row>
    <row r="242" spans="2:45">
      <c r="B242" s="253"/>
      <c r="C242" s="230"/>
      <c r="D242" s="245"/>
      <c r="E242" s="230"/>
      <c r="F242" s="230"/>
      <c r="G242" s="230"/>
      <c r="H242" s="230"/>
      <c r="I242" s="228"/>
      <c r="J242" s="228"/>
      <c r="K242" s="230"/>
      <c r="L242" s="230"/>
      <c r="M242" s="246"/>
      <c r="N242" s="230"/>
      <c r="O242" s="230"/>
      <c r="P242" s="230"/>
      <c r="Q242" s="230"/>
      <c r="R242" s="256"/>
      <c r="S242" s="257"/>
      <c r="T242" s="228"/>
      <c r="U242" s="228"/>
      <c r="V242" s="245"/>
      <c r="W242" s="254"/>
      <c r="X242" s="254"/>
      <c r="Y242" s="228"/>
      <c r="Z242" s="255"/>
      <c r="AA242" s="248"/>
      <c r="AB242" s="248"/>
      <c r="AC242" s="248"/>
      <c r="AD242" s="247"/>
      <c r="AE242" s="228"/>
      <c r="AF242" s="228"/>
      <c r="AG242" s="248"/>
      <c r="AH242" s="248"/>
      <c r="AI242" s="194"/>
      <c r="AJ242" s="249"/>
      <c r="AK242" s="250"/>
      <c r="AL242" s="251"/>
      <c r="AM242" s="252"/>
      <c r="AN242" s="241"/>
      <c r="AO242" s="241"/>
      <c r="AP242" s="241"/>
      <c r="AQ242" s="194"/>
      <c r="AR242" s="195"/>
      <c r="AS242" s="195"/>
    </row>
    <row r="243" spans="2:45">
      <c r="B243" s="253"/>
      <c r="C243" s="230"/>
      <c r="D243" s="245"/>
      <c r="E243" s="230"/>
      <c r="F243" s="230"/>
      <c r="G243" s="230"/>
      <c r="H243" s="230"/>
      <c r="I243" s="228"/>
      <c r="J243" s="228"/>
      <c r="K243" s="230"/>
      <c r="L243" s="230"/>
      <c r="M243" s="246"/>
      <c r="N243" s="230"/>
      <c r="O243" s="230"/>
      <c r="P243" s="230"/>
      <c r="Q243" s="230"/>
      <c r="R243" s="256"/>
      <c r="S243" s="257"/>
      <c r="T243" s="228"/>
      <c r="U243" s="228"/>
      <c r="V243" s="245"/>
      <c r="W243" s="254"/>
      <c r="X243" s="254"/>
      <c r="Y243" s="228"/>
      <c r="Z243" s="255"/>
      <c r="AA243" s="248"/>
      <c r="AB243" s="248"/>
      <c r="AC243" s="248"/>
      <c r="AD243" s="247"/>
      <c r="AE243" s="228"/>
      <c r="AF243" s="228"/>
      <c r="AG243" s="248"/>
      <c r="AH243" s="248"/>
      <c r="AI243" s="194"/>
      <c r="AJ243" s="249"/>
      <c r="AK243" s="250"/>
      <c r="AL243" s="251"/>
      <c r="AM243" s="252"/>
      <c r="AN243" s="241"/>
      <c r="AO243" s="241"/>
      <c r="AP243" s="241"/>
      <c r="AQ243" s="194"/>
      <c r="AR243" s="195"/>
      <c r="AS243" s="195"/>
    </row>
    <row r="244" spans="2:45">
      <c r="B244" s="253"/>
      <c r="C244" s="230"/>
      <c r="D244" s="245"/>
      <c r="E244" s="230"/>
      <c r="F244" s="230"/>
      <c r="G244" s="230"/>
      <c r="H244" s="230"/>
      <c r="I244" s="228"/>
      <c r="J244" s="228"/>
      <c r="K244" s="230"/>
      <c r="L244" s="230"/>
      <c r="M244" s="246"/>
      <c r="N244" s="230"/>
      <c r="O244" s="230"/>
      <c r="P244" s="230"/>
      <c r="Q244" s="230"/>
      <c r="R244" s="256"/>
      <c r="S244" s="257"/>
      <c r="T244" s="228"/>
      <c r="U244" s="228"/>
      <c r="V244" s="245"/>
      <c r="W244" s="254"/>
      <c r="X244" s="254"/>
      <c r="Y244" s="228"/>
      <c r="Z244" s="255"/>
      <c r="AA244" s="248"/>
      <c r="AB244" s="248"/>
      <c r="AC244" s="248"/>
      <c r="AD244" s="247"/>
      <c r="AE244" s="228"/>
      <c r="AF244" s="228"/>
      <c r="AG244" s="248"/>
      <c r="AH244" s="248"/>
      <c r="AI244" s="194"/>
      <c r="AJ244" s="249"/>
      <c r="AK244" s="250"/>
      <c r="AL244" s="251"/>
      <c r="AM244" s="252"/>
      <c r="AN244" s="241"/>
      <c r="AO244" s="241"/>
      <c r="AP244" s="241"/>
      <c r="AQ244" s="194"/>
      <c r="AR244" s="195"/>
      <c r="AS244" s="195"/>
    </row>
    <row r="245" spans="2:45">
      <c r="B245" s="253"/>
      <c r="C245" s="230"/>
      <c r="D245" s="245"/>
      <c r="E245" s="230"/>
      <c r="F245" s="230"/>
      <c r="G245" s="230"/>
      <c r="H245" s="230"/>
      <c r="I245" s="228"/>
      <c r="J245" s="228"/>
      <c r="K245" s="230"/>
      <c r="L245" s="230"/>
      <c r="M245" s="246"/>
      <c r="N245" s="230"/>
      <c r="O245" s="230"/>
      <c r="P245" s="230"/>
      <c r="Q245" s="230"/>
      <c r="R245" s="256"/>
      <c r="S245" s="257"/>
      <c r="T245" s="228"/>
      <c r="U245" s="228"/>
      <c r="V245" s="245"/>
      <c r="W245" s="254"/>
      <c r="X245" s="254"/>
      <c r="Y245" s="228"/>
      <c r="Z245" s="255"/>
      <c r="AA245" s="248"/>
      <c r="AB245" s="248"/>
      <c r="AC245" s="248"/>
      <c r="AD245" s="247"/>
      <c r="AE245" s="228"/>
      <c r="AF245" s="228"/>
      <c r="AG245" s="248"/>
      <c r="AH245" s="248"/>
      <c r="AI245" s="194"/>
      <c r="AJ245" s="249"/>
      <c r="AK245" s="250"/>
      <c r="AL245" s="251"/>
      <c r="AM245" s="252"/>
      <c r="AN245" s="241"/>
      <c r="AO245" s="241"/>
      <c r="AP245" s="241"/>
      <c r="AQ245" s="194"/>
      <c r="AR245" s="195"/>
      <c r="AS245" s="195"/>
    </row>
    <row r="246" spans="2:45">
      <c r="B246" s="253"/>
      <c r="C246" s="230"/>
      <c r="D246" s="245"/>
      <c r="E246" s="230"/>
      <c r="F246" s="230"/>
      <c r="G246" s="230"/>
      <c r="H246" s="230"/>
      <c r="I246" s="228"/>
      <c r="J246" s="228"/>
      <c r="K246" s="230"/>
      <c r="L246" s="230"/>
      <c r="M246" s="246"/>
      <c r="N246" s="230"/>
      <c r="O246" s="230"/>
      <c r="P246" s="230"/>
      <c r="Q246" s="230"/>
      <c r="R246" s="256"/>
      <c r="S246" s="257"/>
      <c r="T246" s="228"/>
      <c r="U246" s="228"/>
      <c r="V246" s="245"/>
      <c r="W246" s="254"/>
      <c r="X246" s="254"/>
      <c r="Y246" s="228"/>
      <c r="Z246" s="255"/>
      <c r="AA246" s="248"/>
      <c r="AB246" s="248"/>
      <c r="AC246" s="248"/>
      <c r="AD246" s="247"/>
      <c r="AE246" s="228"/>
      <c r="AF246" s="228"/>
      <c r="AG246" s="248"/>
      <c r="AH246" s="248"/>
      <c r="AI246" s="194"/>
      <c r="AJ246" s="249"/>
      <c r="AK246" s="250"/>
      <c r="AL246" s="251"/>
      <c r="AM246" s="252"/>
      <c r="AN246" s="241"/>
      <c r="AO246" s="241"/>
      <c r="AP246" s="241"/>
      <c r="AQ246" s="194"/>
      <c r="AR246" s="195"/>
      <c r="AS246" s="195"/>
    </row>
    <row r="247" spans="2:45">
      <c r="B247" s="253"/>
      <c r="C247" s="230"/>
      <c r="D247" s="245"/>
      <c r="E247" s="230"/>
      <c r="F247" s="230"/>
      <c r="G247" s="230"/>
      <c r="H247" s="230"/>
      <c r="I247" s="228"/>
      <c r="J247" s="228"/>
      <c r="K247" s="230"/>
      <c r="L247" s="230"/>
      <c r="M247" s="246"/>
      <c r="N247" s="230"/>
      <c r="O247" s="230"/>
      <c r="P247" s="230"/>
      <c r="Q247" s="230"/>
      <c r="R247" s="256"/>
      <c r="S247" s="257"/>
      <c r="T247" s="228"/>
      <c r="U247" s="228"/>
      <c r="V247" s="245"/>
      <c r="W247" s="254"/>
      <c r="X247" s="254"/>
      <c r="Y247" s="228"/>
      <c r="Z247" s="255"/>
      <c r="AA247" s="248"/>
      <c r="AB247" s="248"/>
      <c r="AC247" s="248"/>
      <c r="AD247" s="247"/>
      <c r="AE247" s="228"/>
      <c r="AF247" s="228"/>
      <c r="AG247" s="248"/>
      <c r="AH247" s="248"/>
      <c r="AI247" s="194"/>
      <c r="AJ247" s="249"/>
      <c r="AK247" s="250"/>
      <c r="AL247" s="251"/>
      <c r="AM247" s="252"/>
      <c r="AN247" s="241"/>
      <c r="AO247" s="241"/>
      <c r="AP247" s="241"/>
      <c r="AQ247" s="194"/>
      <c r="AR247" s="195"/>
      <c r="AS247" s="195"/>
    </row>
    <row r="248" spans="2:45">
      <c r="B248" s="253"/>
      <c r="C248" s="230"/>
      <c r="D248" s="245"/>
      <c r="E248" s="230"/>
      <c r="F248" s="230"/>
      <c r="G248" s="230"/>
      <c r="H248" s="230"/>
      <c r="I248" s="228"/>
      <c r="J248" s="228"/>
      <c r="K248" s="230"/>
      <c r="L248" s="230"/>
      <c r="M248" s="246"/>
      <c r="N248" s="230"/>
      <c r="O248" s="230"/>
      <c r="P248" s="230"/>
      <c r="Q248" s="230"/>
      <c r="R248" s="256"/>
      <c r="S248" s="257"/>
      <c r="T248" s="228"/>
      <c r="U248" s="228"/>
      <c r="V248" s="245"/>
      <c r="W248" s="254"/>
      <c r="X248" s="254"/>
      <c r="Y248" s="228"/>
      <c r="Z248" s="255"/>
      <c r="AA248" s="248"/>
      <c r="AB248" s="248"/>
      <c r="AC248" s="248"/>
      <c r="AD248" s="247"/>
      <c r="AE248" s="228"/>
      <c r="AF248" s="228"/>
      <c r="AG248" s="248"/>
      <c r="AH248" s="248"/>
      <c r="AI248" s="194"/>
      <c r="AJ248" s="249"/>
      <c r="AK248" s="250"/>
      <c r="AL248" s="251"/>
      <c r="AM248" s="252"/>
      <c r="AN248" s="241"/>
      <c r="AO248" s="241"/>
      <c r="AP248" s="241"/>
      <c r="AQ248" s="194"/>
      <c r="AR248" s="195"/>
      <c r="AS248" s="195"/>
    </row>
    <row r="249" spans="2:45">
      <c r="B249" s="253"/>
      <c r="C249" s="230"/>
      <c r="D249" s="245"/>
      <c r="E249" s="230"/>
      <c r="F249" s="230"/>
      <c r="G249" s="230"/>
      <c r="H249" s="230"/>
      <c r="I249" s="228"/>
      <c r="J249" s="228"/>
      <c r="K249" s="230"/>
      <c r="L249" s="230"/>
      <c r="M249" s="246"/>
      <c r="N249" s="230"/>
      <c r="O249" s="230"/>
      <c r="P249" s="230"/>
      <c r="Q249" s="230"/>
      <c r="R249" s="256"/>
      <c r="S249" s="257"/>
      <c r="T249" s="228"/>
      <c r="U249" s="228"/>
      <c r="V249" s="245"/>
      <c r="W249" s="254"/>
      <c r="X249" s="254"/>
      <c r="Y249" s="228"/>
      <c r="Z249" s="255"/>
      <c r="AA249" s="248"/>
      <c r="AB249" s="248"/>
      <c r="AC249" s="248"/>
      <c r="AD249" s="247"/>
      <c r="AE249" s="228"/>
      <c r="AF249" s="228"/>
      <c r="AG249" s="248"/>
      <c r="AH249" s="248"/>
      <c r="AI249" s="194"/>
      <c r="AJ249" s="249"/>
      <c r="AK249" s="250"/>
      <c r="AL249" s="251"/>
      <c r="AM249" s="252"/>
      <c r="AN249" s="241"/>
      <c r="AO249" s="241"/>
      <c r="AP249" s="241"/>
      <c r="AQ249" s="194"/>
      <c r="AR249" s="195"/>
      <c r="AS249" s="195"/>
    </row>
    <row r="250" spans="2:45">
      <c r="B250" s="253"/>
      <c r="C250" s="230"/>
      <c r="D250" s="245"/>
      <c r="E250" s="230"/>
      <c r="F250" s="230"/>
      <c r="G250" s="230"/>
      <c r="H250" s="230"/>
      <c r="I250" s="228"/>
      <c r="J250" s="228"/>
      <c r="K250" s="230"/>
      <c r="L250" s="230"/>
      <c r="M250" s="246"/>
      <c r="N250" s="230"/>
      <c r="O250" s="230"/>
      <c r="P250" s="230"/>
      <c r="Q250" s="230"/>
      <c r="R250" s="256"/>
      <c r="S250" s="257"/>
      <c r="T250" s="228"/>
      <c r="U250" s="228"/>
      <c r="V250" s="245"/>
      <c r="W250" s="254"/>
      <c r="X250" s="254"/>
      <c r="Y250" s="228"/>
      <c r="Z250" s="255"/>
      <c r="AA250" s="248"/>
      <c r="AB250" s="248"/>
      <c r="AC250" s="248"/>
      <c r="AD250" s="247"/>
      <c r="AE250" s="228"/>
      <c r="AF250" s="228"/>
      <c r="AG250" s="248"/>
      <c r="AH250" s="248"/>
      <c r="AI250" s="194"/>
      <c r="AJ250" s="249"/>
      <c r="AK250" s="250"/>
      <c r="AL250" s="251"/>
      <c r="AM250" s="252"/>
      <c r="AN250" s="241"/>
      <c r="AO250" s="241"/>
      <c r="AP250" s="241"/>
      <c r="AQ250" s="194"/>
      <c r="AR250" s="195"/>
      <c r="AS250" s="195"/>
    </row>
    <row r="251" spans="2:45">
      <c r="B251" s="253"/>
      <c r="C251" s="230"/>
      <c r="D251" s="245"/>
      <c r="E251" s="230"/>
      <c r="F251" s="230"/>
      <c r="G251" s="230"/>
      <c r="H251" s="230"/>
      <c r="I251" s="228"/>
      <c r="J251" s="228"/>
      <c r="K251" s="230"/>
      <c r="L251" s="230"/>
      <c r="M251" s="246"/>
      <c r="N251" s="230"/>
      <c r="O251" s="230"/>
      <c r="P251" s="230"/>
      <c r="Q251" s="230"/>
      <c r="R251" s="256"/>
      <c r="S251" s="257"/>
      <c r="T251" s="228"/>
      <c r="U251" s="228"/>
      <c r="V251" s="245"/>
      <c r="W251" s="254"/>
      <c r="X251" s="254"/>
      <c r="Y251" s="228"/>
      <c r="Z251" s="255"/>
      <c r="AA251" s="248"/>
      <c r="AB251" s="248"/>
      <c r="AC251" s="248"/>
      <c r="AD251" s="247"/>
      <c r="AE251" s="228"/>
      <c r="AF251" s="228"/>
      <c r="AG251" s="248"/>
      <c r="AH251" s="248"/>
      <c r="AI251" s="194"/>
      <c r="AJ251" s="249"/>
      <c r="AK251" s="250"/>
      <c r="AL251" s="251"/>
      <c r="AM251" s="252"/>
      <c r="AN251" s="241"/>
      <c r="AO251" s="241"/>
      <c r="AP251" s="241"/>
      <c r="AQ251" s="194"/>
      <c r="AR251" s="195"/>
      <c r="AS251" s="195"/>
    </row>
    <row r="252" spans="2:45">
      <c r="B252" s="253"/>
      <c r="C252" s="230"/>
      <c r="D252" s="245"/>
      <c r="E252" s="230"/>
      <c r="F252" s="230"/>
      <c r="G252" s="230"/>
      <c r="H252" s="230"/>
      <c r="I252" s="228"/>
      <c r="J252" s="228"/>
      <c r="K252" s="230"/>
      <c r="L252" s="230"/>
      <c r="M252" s="246"/>
      <c r="N252" s="230"/>
      <c r="O252" s="230"/>
      <c r="P252" s="230"/>
      <c r="Q252" s="230"/>
      <c r="R252" s="256"/>
      <c r="S252" s="257"/>
      <c r="T252" s="228"/>
      <c r="U252" s="228"/>
      <c r="V252" s="245"/>
      <c r="W252" s="254"/>
      <c r="X252" s="254"/>
      <c r="Y252" s="228"/>
      <c r="Z252" s="255"/>
      <c r="AA252" s="248"/>
      <c r="AB252" s="248"/>
      <c r="AC252" s="248"/>
      <c r="AD252" s="247"/>
      <c r="AE252" s="228"/>
      <c r="AF252" s="228"/>
      <c r="AG252" s="248"/>
      <c r="AH252" s="248"/>
      <c r="AI252" s="194"/>
      <c r="AJ252" s="249"/>
      <c r="AK252" s="250"/>
      <c r="AL252" s="251"/>
      <c r="AM252" s="252"/>
      <c r="AN252" s="241"/>
      <c r="AO252" s="241"/>
      <c r="AP252" s="241"/>
      <c r="AQ252" s="194"/>
      <c r="AR252" s="195"/>
      <c r="AS252" s="195"/>
    </row>
    <row r="253" spans="2:45">
      <c r="B253" s="253"/>
      <c r="C253" s="230"/>
      <c r="D253" s="245"/>
      <c r="E253" s="230"/>
      <c r="F253" s="230"/>
      <c r="G253" s="230"/>
      <c r="H253" s="230"/>
      <c r="I253" s="228"/>
      <c r="J253" s="228"/>
      <c r="K253" s="230"/>
      <c r="L253" s="230"/>
      <c r="M253" s="246"/>
      <c r="N253" s="230"/>
      <c r="O253" s="230"/>
      <c r="P253" s="230"/>
      <c r="Q253" s="230"/>
      <c r="R253" s="256"/>
      <c r="S253" s="257"/>
      <c r="T253" s="228"/>
      <c r="U253" s="228"/>
      <c r="V253" s="245"/>
      <c r="W253" s="254"/>
      <c r="X253" s="254"/>
      <c r="Y253" s="228"/>
      <c r="Z253" s="255"/>
      <c r="AA253" s="248"/>
      <c r="AB253" s="248"/>
      <c r="AC253" s="248"/>
      <c r="AD253" s="247"/>
      <c r="AE253" s="228"/>
      <c r="AF253" s="228"/>
      <c r="AG253" s="248"/>
      <c r="AH253" s="248"/>
      <c r="AI253" s="194"/>
      <c r="AJ253" s="249"/>
      <c r="AK253" s="250"/>
      <c r="AL253" s="251"/>
      <c r="AM253" s="252"/>
      <c r="AN253" s="241"/>
      <c r="AO253" s="241"/>
      <c r="AP253" s="241"/>
      <c r="AQ253" s="194"/>
      <c r="AR253" s="195"/>
      <c r="AS253" s="195"/>
    </row>
    <row r="254" spans="2:45">
      <c r="B254" s="253"/>
      <c r="C254" s="230"/>
      <c r="D254" s="245"/>
      <c r="E254" s="230"/>
      <c r="F254" s="230"/>
      <c r="G254" s="230"/>
      <c r="H254" s="230"/>
      <c r="I254" s="228"/>
      <c r="J254" s="228"/>
      <c r="K254" s="230"/>
      <c r="L254" s="230"/>
      <c r="M254" s="246"/>
      <c r="N254" s="230"/>
      <c r="O254" s="230"/>
      <c r="P254" s="230"/>
      <c r="Q254" s="230"/>
      <c r="R254" s="256"/>
      <c r="S254" s="257"/>
      <c r="T254" s="228"/>
      <c r="U254" s="228"/>
      <c r="V254" s="245"/>
      <c r="W254" s="254"/>
      <c r="X254" s="254"/>
      <c r="Y254" s="228"/>
      <c r="Z254" s="255"/>
      <c r="AA254" s="248"/>
      <c r="AB254" s="248"/>
      <c r="AC254" s="248"/>
      <c r="AD254" s="247"/>
      <c r="AE254" s="228"/>
      <c r="AF254" s="228"/>
      <c r="AG254" s="248"/>
      <c r="AH254" s="248"/>
      <c r="AI254" s="194"/>
      <c r="AJ254" s="249"/>
      <c r="AK254" s="250"/>
      <c r="AL254" s="251"/>
      <c r="AM254" s="252"/>
      <c r="AN254" s="241"/>
      <c r="AO254" s="241"/>
      <c r="AP254" s="241"/>
      <c r="AQ254" s="194"/>
      <c r="AR254" s="195"/>
      <c r="AS254" s="195"/>
    </row>
    <row r="255" spans="2:45">
      <c r="B255" s="253"/>
      <c r="C255" s="230"/>
      <c r="D255" s="245"/>
      <c r="E255" s="230"/>
      <c r="F255" s="230"/>
      <c r="G255" s="230"/>
      <c r="H255" s="230"/>
      <c r="I255" s="228"/>
      <c r="J255" s="228"/>
      <c r="K255" s="230"/>
      <c r="L255" s="230"/>
      <c r="M255" s="246"/>
      <c r="N255" s="230"/>
      <c r="O255" s="230"/>
      <c r="P255" s="230"/>
      <c r="Q255" s="230"/>
      <c r="R255" s="256"/>
      <c r="S255" s="257"/>
      <c r="T255" s="228"/>
      <c r="U255" s="228"/>
      <c r="V255" s="245"/>
      <c r="W255" s="254"/>
      <c r="X255" s="254"/>
      <c r="Y255" s="228"/>
      <c r="Z255" s="255"/>
      <c r="AA255" s="248"/>
      <c r="AB255" s="248"/>
      <c r="AC255" s="248"/>
      <c r="AD255" s="247"/>
      <c r="AE255" s="228"/>
      <c r="AF255" s="228"/>
      <c r="AG255" s="248"/>
      <c r="AH255" s="248"/>
      <c r="AI255" s="194"/>
      <c r="AJ255" s="249"/>
      <c r="AK255" s="250"/>
      <c r="AL255" s="251"/>
      <c r="AM255" s="252"/>
      <c r="AN255" s="241"/>
      <c r="AO255" s="241"/>
      <c r="AP255" s="241"/>
      <c r="AQ255" s="194"/>
      <c r="AR255" s="195"/>
      <c r="AS255" s="195"/>
    </row>
    <row r="256" spans="2:45">
      <c r="B256" s="253"/>
      <c r="C256" s="230"/>
      <c r="D256" s="245"/>
      <c r="E256" s="230"/>
      <c r="F256" s="230"/>
      <c r="G256" s="230"/>
      <c r="H256" s="230"/>
      <c r="I256" s="228"/>
      <c r="J256" s="228"/>
      <c r="K256" s="230"/>
      <c r="L256" s="230"/>
      <c r="M256" s="246"/>
      <c r="N256" s="230"/>
      <c r="O256" s="230"/>
      <c r="P256" s="230"/>
      <c r="Q256" s="230"/>
      <c r="R256" s="256"/>
      <c r="S256" s="257"/>
      <c r="T256" s="228"/>
      <c r="U256" s="228"/>
      <c r="V256" s="245"/>
      <c r="W256" s="254"/>
      <c r="X256" s="254"/>
      <c r="Y256" s="228"/>
      <c r="Z256" s="255"/>
      <c r="AA256" s="248"/>
      <c r="AB256" s="248"/>
      <c r="AC256" s="248"/>
      <c r="AD256" s="247"/>
      <c r="AE256" s="228"/>
      <c r="AF256" s="228"/>
      <c r="AG256" s="248"/>
      <c r="AH256" s="248"/>
      <c r="AI256" s="194"/>
      <c r="AJ256" s="249"/>
      <c r="AK256" s="250"/>
      <c r="AL256" s="251"/>
      <c r="AM256" s="252"/>
      <c r="AN256" s="241"/>
      <c r="AO256" s="241"/>
      <c r="AP256" s="241"/>
      <c r="AQ256" s="194"/>
      <c r="AR256" s="195"/>
      <c r="AS256" s="195"/>
    </row>
    <row r="257" spans="2:45">
      <c r="B257" s="253"/>
      <c r="C257" s="230"/>
      <c r="D257" s="245"/>
      <c r="E257" s="230"/>
      <c r="F257" s="230"/>
      <c r="G257" s="230"/>
      <c r="H257" s="230"/>
      <c r="I257" s="228"/>
      <c r="J257" s="228"/>
      <c r="K257" s="230"/>
      <c r="L257" s="230"/>
      <c r="M257" s="246"/>
      <c r="N257" s="230"/>
      <c r="O257" s="230"/>
      <c r="P257" s="230"/>
      <c r="Q257" s="230"/>
      <c r="R257" s="256"/>
      <c r="S257" s="257"/>
      <c r="T257" s="228"/>
      <c r="U257" s="228"/>
      <c r="V257" s="245"/>
      <c r="W257" s="254"/>
      <c r="X257" s="254"/>
      <c r="Y257" s="228"/>
      <c r="Z257" s="255"/>
      <c r="AA257" s="248"/>
      <c r="AB257" s="248"/>
      <c r="AC257" s="248"/>
      <c r="AD257" s="247"/>
      <c r="AE257" s="228"/>
      <c r="AF257" s="228"/>
      <c r="AG257" s="248"/>
      <c r="AH257" s="248"/>
      <c r="AI257" s="194"/>
      <c r="AJ257" s="249"/>
      <c r="AK257" s="250"/>
      <c r="AL257" s="251"/>
      <c r="AM257" s="252"/>
      <c r="AN257" s="241"/>
      <c r="AO257" s="241"/>
      <c r="AP257" s="241"/>
      <c r="AQ257" s="194"/>
      <c r="AR257" s="195"/>
      <c r="AS257" s="195"/>
    </row>
    <row r="258" spans="2:45">
      <c r="B258" s="253"/>
      <c r="C258" s="230"/>
      <c r="D258" s="245"/>
      <c r="E258" s="230"/>
      <c r="F258" s="230"/>
      <c r="G258" s="230"/>
      <c r="H258" s="230"/>
      <c r="I258" s="228"/>
      <c r="J258" s="228"/>
      <c r="K258" s="230"/>
      <c r="L258" s="230"/>
      <c r="M258" s="246"/>
      <c r="N258" s="230"/>
      <c r="O258" s="230"/>
      <c r="P258" s="230"/>
      <c r="Q258" s="230"/>
      <c r="R258" s="256"/>
      <c r="S258" s="257"/>
      <c r="T258" s="228"/>
      <c r="U258" s="228"/>
      <c r="V258" s="245"/>
      <c r="W258" s="254"/>
      <c r="X258" s="254"/>
      <c r="Y258" s="228"/>
      <c r="Z258" s="255"/>
      <c r="AA258" s="248"/>
      <c r="AB258" s="248"/>
      <c r="AC258" s="248"/>
      <c r="AD258" s="247"/>
      <c r="AE258" s="228"/>
      <c r="AF258" s="228"/>
      <c r="AG258" s="248"/>
      <c r="AH258" s="248"/>
      <c r="AI258" s="194"/>
      <c r="AJ258" s="249"/>
      <c r="AK258" s="250"/>
      <c r="AL258" s="251"/>
      <c r="AM258" s="252"/>
      <c r="AN258" s="241"/>
      <c r="AO258" s="241"/>
      <c r="AP258" s="241"/>
      <c r="AQ258" s="194"/>
      <c r="AR258" s="195"/>
      <c r="AS258" s="195"/>
    </row>
    <row r="259" spans="2:45">
      <c r="B259" s="253"/>
      <c r="C259" s="230"/>
      <c r="D259" s="245"/>
      <c r="E259" s="230"/>
      <c r="F259" s="230"/>
      <c r="G259" s="230"/>
      <c r="H259" s="230"/>
      <c r="I259" s="228"/>
      <c r="J259" s="228"/>
      <c r="K259" s="230"/>
      <c r="L259" s="230"/>
      <c r="M259" s="246"/>
      <c r="N259" s="230"/>
      <c r="O259" s="230"/>
      <c r="P259" s="230"/>
      <c r="Q259" s="230"/>
      <c r="R259" s="256"/>
      <c r="S259" s="257"/>
      <c r="T259" s="228"/>
      <c r="U259" s="228"/>
      <c r="V259" s="245"/>
      <c r="W259" s="254"/>
      <c r="X259" s="254"/>
      <c r="Y259" s="228"/>
      <c r="Z259" s="255"/>
      <c r="AA259" s="248"/>
      <c r="AB259" s="248"/>
      <c r="AC259" s="248"/>
      <c r="AD259" s="247"/>
      <c r="AE259" s="228"/>
      <c r="AF259" s="228"/>
      <c r="AG259" s="248"/>
      <c r="AH259" s="248"/>
      <c r="AI259" s="194"/>
      <c r="AJ259" s="249"/>
      <c r="AK259" s="250"/>
      <c r="AL259" s="251"/>
      <c r="AM259" s="252"/>
      <c r="AN259" s="241"/>
      <c r="AO259" s="241"/>
      <c r="AP259" s="241"/>
      <c r="AQ259" s="194"/>
      <c r="AR259" s="195"/>
      <c r="AS259" s="195"/>
    </row>
    <row r="260" spans="2:45">
      <c r="B260" s="253"/>
      <c r="C260" s="230"/>
      <c r="D260" s="245"/>
      <c r="E260" s="230"/>
      <c r="F260" s="230"/>
      <c r="G260" s="230"/>
      <c r="H260" s="230"/>
      <c r="I260" s="228"/>
      <c r="J260" s="228"/>
      <c r="K260" s="230"/>
      <c r="L260" s="230"/>
      <c r="M260" s="246"/>
      <c r="N260" s="230"/>
      <c r="O260" s="230"/>
      <c r="P260" s="230"/>
      <c r="Q260" s="230"/>
      <c r="R260" s="256"/>
      <c r="S260" s="257"/>
      <c r="T260" s="228"/>
      <c r="U260" s="228"/>
      <c r="V260" s="245"/>
      <c r="W260" s="254"/>
      <c r="X260" s="254"/>
      <c r="Y260" s="228"/>
      <c r="Z260" s="255"/>
      <c r="AA260" s="248"/>
      <c r="AB260" s="248"/>
      <c r="AC260" s="248"/>
      <c r="AD260" s="247"/>
      <c r="AE260" s="228"/>
      <c r="AF260" s="228"/>
      <c r="AG260" s="248"/>
      <c r="AH260" s="248"/>
      <c r="AI260" s="194"/>
      <c r="AJ260" s="249"/>
      <c r="AK260" s="250"/>
      <c r="AL260" s="251"/>
      <c r="AM260" s="252"/>
      <c r="AN260" s="241"/>
      <c r="AO260" s="241"/>
      <c r="AP260" s="241"/>
      <c r="AQ260" s="194"/>
      <c r="AR260" s="195"/>
      <c r="AS260" s="195"/>
    </row>
    <row r="261" spans="2:45">
      <c r="B261" s="253"/>
      <c r="C261" s="230"/>
      <c r="D261" s="245"/>
      <c r="E261" s="230"/>
      <c r="F261" s="230"/>
      <c r="G261" s="230"/>
      <c r="H261" s="230"/>
      <c r="I261" s="228"/>
      <c r="J261" s="228"/>
      <c r="K261" s="230"/>
      <c r="L261" s="230"/>
      <c r="M261" s="246"/>
      <c r="N261" s="230"/>
      <c r="O261" s="230"/>
      <c r="P261" s="230"/>
      <c r="Q261" s="230"/>
      <c r="R261" s="256"/>
      <c r="S261" s="257"/>
      <c r="T261" s="228"/>
      <c r="U261" s="228"/>
      <c r="V261" s="245"/>
      <c r="W261" s="254"/>
      <c r="X261" s="254"/>
      <c r="Y261" s="228"/>
      <c r="Z261" s="255"/>
      <c r="AA261" s="248"/>
      <c r="AB261" s="248"/>
      <c r="AC261" s="248"/>
      <c r="AD261" s="247"/>
      <c r="AE261" s="228"/>
      <c r="AF261" s="228"/>
      <c r="AG261" s="248"/>
      <c r="AH261" s="248"/>
      <c r="AI261" s="194"/>
      <c r="AJ261" s="249"/>
      <c r="AK261" s="250"/>
      <c r="AL261" s="251"/>
      <c r="AM261" s="252"/>
      <c r="AN261" s="241"/>
      <c r="AO261" s="241"/>
      <c r="AP261" s="241"/>
      <c r="AQ261" s="194"/>
      <c r="AR261" s="195"/>
      <c r="AS261" s="195"/>
    </row>
    <row r="262" spans="2:45">
      <c r="B262" s="253"/>
      <c r="C262" s="230"/>
      <c r="D262" s="245"/>
      <c r="E262" s="230"/>
      <c r="F262" s="230"/>
      <c r="G262" s="230"/>
      <c r="H262" s="230"/>
      <c r="I262" s="228"/>
      <c r="J262" s="228"/>
      <c r="K262" s="230"/>
      <c r="L262" s="230"/>
      <c r="M262" s="246"/>
      <c r="N262" s="230"/>
      <c r="O262" s="230"/>
      <c r="P262" s="230"/>
      <c r="Q262" s="230"/>
      <c r="R262" s="256"/>
      <c r="S262" s="257"/>
      <c r="T262" s="228"/>
      <c r="U262" s="228"/>
      <c r="V262" s="245"/>
      <c r="W262" s="254"/>
      <c r="X262" s="254"/>
      <c r="Y262" s="228"/>
      <c r="Z262" s="255"/>
      <c r="AA262" s="248"/>
      <c r="AB262" s="248"/>
      <c r="AC262" s="248"/>
      <c r="AD262" s="247"/>
      <c r="AE262" s="228"/>
      <c r="AF262" s="228"/>
      <c r="AG262" s="248"/>
      <c r="AH262" s="248"/>
      <c r="AI262" s="194"/>
      <c r="AJ262" s="249"/>
      <c r="AK262" s="250"/>
      <c r="AL262" s="251"/>
      <c r="AM262" s="252"/>
      <c r="AN262" s="241"/>
      <c r="AO262" s="241"/>
      <c r="AP262" s="241"/>
      <c r="AQ262" s="194"/>
      <c r="AR262" s="195"/>
      <c r="AS262" s="195"/>
    </row>
    <row r="263" spans="2:45">
      <c r="B263" s="253"/>
      <c r="C263" s="230"/>
      <c r="D263" s="245"/>
      <c r="E263" s="230"/>
      <c r="F263" s="230"/>
      <c r="G263" s="230"/>
      <c r="H263" s="230"/>
      <c r="I263" s="228"/>
      <c r="J263" s="228"/>
      <c r="K263" s="230"/>
      <c r="L263" s="230"/>
      <c r="M263" s="246"/>
      <c r="N263" s="230"/>
      <c r="O263" s="230"/>
      <c r="P263" s="230"/>
      <c r="Q263" s="230"/>
      <c r="R263" s="256"/>
      <c r="S263" s="257"/>
      <c r="T263" s="228"/>
      <c r="U263" s="228"/>
      <c r="V263" s="245"/>
      <c r="W263" s="254"/>
      <c r="X263" s="254"/>
      <c r="Y263" s="228"/>
      <c r="Z263" s="255"/>
      <c r="AA263" s="248"/>
      <c r="AB263" s="248"/>
      <c r="AC263" s="248"/>
      <c r="AD263" s="247"/>
      <c r="AE263" s="228"/>
      <c r="AF263" s="228"/>
      <c r="AG263" s="248"/>
      <c r="AH263" s="248"/>
      <c r="AI263" s="194"/>
      <c r="AJ263" s="249"/>
      <c r="AK263" s="250"/>
      <c r="AL263" s="251"/>
      <c r="AM263" s="252"/>
      <c r="AN263" s="241"/>
      <c r="AO263" s="241"/>
      <c r="AP263" s="241"/>
      <c r="AQ263" s="194"/>
      <c r="AR263" s="195"/>
      <c r="AS263" s="195"/>
    </row>
    <row r="264" spans="2:45">
      <c r="B264" s="253"/>
      <c r="C264" s="230"/>
      <c r="D264" s="245"/>
      <c r="E264" s="230"/>
      <c r="F264" s="230"/>
      <c r="G264" s="230"/>
      <c r="H264" s="230"/>
      <c r="I264" s="228"/>
      <c r="J264" s="228"/>
      <c r="K264" s="230"/>
      <c r="L264" s="230"/>
      <c r="M264" s="246"/>
      <c r="N264" s="230"/>
      <c r="O264" s="230"/>
      <c r="P264" s="230"/>
      <c r="Q264" s="230"/>
      <c r="R264" s="256"/>
      <c r="S264" s="257"/>
      <c r="T264" s="228"/>
      <c r="U264" s="228"/>
      <c r="V264" s="245"/>
      <c r="W264" s="254"/>
      <c r="X264" s="254"/>
      <c r="Y264" s="228"/>
      <c r="Z264" s="255"/>
      <c r="AA264" s="248"/>
      <c r="AB264" s="248"/>
      <c r="AC264" s="248"/>
      <c r="AD264" s="247"/>
      <c r="AE264" s="228"/>
      <c r="AF264" s="228"/>
      <c r="AG264" s="248"/>
      <c r="AH264" s="248"/>
      <c r="AI264" s="194"/>
      <c r="AJ264" s="249"/>
      <c r="AK264" s="250"/>
      <c r="AL264" s="251"/>
      <c r="AM264" s="252"/>
      <c r="AN264" s="241"/>
      <c r="AO264" s="241"/>
      <c r="AP264" s="241"/>
      <c r="AQ264" s="194"/>
      <c r="AR264" s="195"/>
      <c r="AS264" s="195"/>
    </row>
    <row r="265" spans="2:45">
      <c r="B265" s="253"/>
      <c r="C265" s="230"/>
      <c r="D265" s="245"/>
      <c r="E265" s="230"/>
      <c r="F265" s="230"/>
      <c r="G265" s="230"/>
      <c r="H265" s="230"/>
      <c r="I265" s="228"/>
      <c r="J265" s="228"/>
      <c r="K265" s="230"/>
      <c r="L265" s="230"/>
      <c r="M265" s="246"/>
      <c r="N265" s="230"/>
      <c r="O265" s="230"/>
      <c r="P265" s="230"/>
      <c r="Q265" s="230"/>
      <c r="R265" s="256"/>
      <c r="S265" s="257"/>
      <c r="T265" s="228"/>
      <c r="U265" s="228"/>
      <c r="V265" s="245"/>
      <c r="W265" s="254"/>
      <c r="X265" s="254"/>
      <c r="Y265" s="228"/>
      <c r="Z265" s="255"/>
      <c r="AA265" s="248"/>
      <c r="AB265" s="248"/>
      <c r="AC265" s="248"/>
      <c r="AD265" s="247"/>
      <c r="AE265" s="228"/>
      <c r="AF265" s="228"/>
      <c r="AG265" s="248"/>
      <c r="AH265" s="248"/>
      <c r="AI265" s="194"/>
      <c r="AJ265" s="249"/>
      <c r="AK265" s="250"/>
      <c r="AL265" s="251"/>
      <c r="AM265" s="252"/>
      <c r="AN265" s="241"/>
      <c r="AO265" s="241"/>
      <c r="AP265" s="241"/>
      <c r="AQ265" s="194"/>
      <c r="AR265" s="195"/>
      <c r="AS265" s="195"/>
    </row>
    <row r="266" spans="2:45">
      <c r="B266" s="253"/>
      <c r="C266" s="230"/>
      <c r="D266" s="245"/>
      <c r="E266" s="230"/>
      <c r="F266" s="230"/>
      <c r="G266" s="230"/>
      <c r="H266" s="230"/>
      <c r="I266" s="228"/>
      <c r="J266" s="228"/>
      <c r="K266" s="230"/>
      <c r="L266" s="230"/>
      <c r="M266" s="246"/>
      <c r="N266" s="230"/>
      <c r="O266" s="230"/>
      <c r="P266" s="230"/>
      <c r="Q266" s="230"/>
      <c r="R266" s="256"/>
      <c r="S266" s="257"/>
      <c r="T266" s="228"/>
      <c r="U266" s="228"/>
      <c r="V266" s="245"/>
      <c r="W266" s="254"/>
      <c r="X266" s="254"/>
      <c r="Y266" s="228"/>
      <c r="Z266" s="255"/>
      <c r="AA266" s="248"/>
      <c r="AB266" s="248"/>
      <c r="AC266" s="248"/>
      <c r="AD266" s="247"/>
      <c r="AE266" s="228"/>
      <c r="AF266" s="228"/>
      <c r="AG266" s="248"/>
      <c r="AH266" s="248"/>
      <c r="AI266" s="194"/>
      <c r="AJ266" s="249"/>
      <c r="AK266" s="250"/>
      <c r="AL266" s="251"/>
      <c r="AM266" s="252"/>
      <c r="AN266" s="241"/>
      <c r="AO266" s="241"/>
      <c r="AP266" s="241"/>
      <c r="AQ266" s="194"/>
      <c r="AR266" s="195"/>
      <c r="AS266" s="195"/>
    </row>
    <row r="267" spans="2:45">
      <c r="B267" s="253"/>
      <c r="C267" s="230"/>
      <c r="D267" s="245"/>
      <c r="E267" s="230"/>
      <c r="F267" s="230"/>
      <c r="G267" s="230"/>
      <c r="H267" s="230"/>
      <c r="I267" s="228"/>
      <c r="J267" s="228"/>
      <c r="K267" s="230"/>
      <c r="L267" s="230"/>
      <c r="M267" s="246"/>
      <c r="N267" s="230"/>
      <c r="O267" s="230"/>
      <c r="P267" s="230"/>
      <c r="Q267" s="230"/>
      <c r="R267" s="256"/>
      <c r="S267" s="257"/>
      <c r="T267" s="228"/>
      <c r="U267" s="228"/>
      <c r="V267" s="245"/>
      <c r="W267" s="254"/>
      <c r="X267" s="254"/>
      <c r="Y267" s="228"/>
      <c r="Z267" s="255"/>
      <c r="AA267" s="248"/>
      <c r="AB267" s="248"/>
      <c r="AC267" s="248"/>
      <c r="AD267" s="247"/>
      <c r="AE267" s="228"/>
      <c r="AF267" s="228"/>
      <c r="AG267" s="248"/>
      <c r="AH267" s="248"/>
      <c r="AI267" s="194"/>
      <c r="AJ267" s="249"/>
      <c r="AK267" s="250"/>
      <c r="AL267" s="251"/>
      <c r="AM267" s="252"/>
      <c r="AN267" s="241"/>
      <c r="AO267" s="241"/>
      <c r="AP267" s="241"/>
      <c r="AQ267" s="194"/>
      <c r="AR267" s="195"/>
      <c r="AS267" s="195"/>
    </row>
    <row r="268" spans="2:45">
      <c r="B268" s="253"/>
      <c r="C268" s="230"/>
      <c r="D268" s="245"/>
      <c r="E268" s="230"/>
      <c r="F268" s="230"/>
      <c r="G268" s="230"/>
      <c r="H268" s="230"/>
      <c r="I268" s="228"/>
      <c r="J268" s="228"/>
      <c r="K268" s="230"/>
      <c r="L268" s="230"/>
      <c r="M268" s="246"/>
      <c r="N268" s="230"/>
      <c r="O268" s="230"/>
      <c r="P268" s="230"/>
      <c r="Q268" s="230"/>
      <c r="R268" s="256"/>
      <c r="S268" s="257"/>
      <c r="T268" s="228"/>
      <c r="U268" s="228"/>
      <c r="V268" s="245"/>
      <c r="W268" s="254"/>
      <c r="X268" s="254"/>
      <c r="Y268" s="228"/>
      <c r="Z268" s="255"/>
      <c r="AA268" s="248"/>
      <c r="AB268" s="248"/>
      <c r="AC268" s="248"/>
      <c r="AD268" s="247"/>
      <c r="AE268" s="228"/>
      <c r="AF268" s="228"/>
      <c r="AG268" s="248"/>
      <c r="AH268" s="248"/>
      <c r="AI268" s="194"/>
      <c r="AJ268" s="249"/>
      <c r="AK268" s="250"/>
      <c r="AL268" s="251"/>
      <c r="AM268" s="252"/>
      <c r="AN268" s="241"/>
      <c r="AO268" s="241"/>
      <c r="AP268" s="241"/>
      <c r="AQ268" s="194"/>
      <c r="AR268" s="195"/>
      <c r="AS268" s="195"/>
    </row>
    <row r="269" spans="2:45">
      <c r="B269" s="253"/>
      <c r="C269" s="230"/>
      <c r="D269" s="245"/>
      <c r="E269" s="230"/>
      <c r="F269" s="230"/>
      <c r="G269" s="230"/>
      <c r="H269" s="230"/>
      <c r="I269" s="228"/>
      <c r="J269" s="228"/>
      <c r="K269" s="230"/>
      <c r="L269" s="230"/>
      <c r="M269" s="246"/>
      <c r="N269" s="230"/>
      <c r="O269" s="230"/>
      <c r="P269" s="230"/>
      <c r="Q269" s="230"/>
      <c r="R269" s="256"/>
      <c r="S269" s="257"/>
      <c r="T269" s="228"/>
      <c r="U269" s="228"/>
      <c r="V269" s="245"/>
      <c r="W269" s="254"/>
      <c r="X269" s="254"/>
      <c r="Y269" s="228"/>
      <c r="Z269" s="255"/>
      <c r="AA269" s="248"/>
      <c r="AB269" s="248"/>
      <c r="AC269" s="248"/>
      <c r="AD269" s="247"/>
      <c r="AE269" s="228"/>
      <c r="AF269" s="228"/>
      <c r="AG269" s="248"/>
      <c r="AH269" s="248"/>
      <c r="AI269" s="194"/>
      <c r="AJ269" s="249"/>
      <c r="AK269" s="250"/>
      <c r="AL269" s="251"/>
      <c r="AM269" s="252"/>
      <c r="AN269" s="241"/>
      <c r="AO269" s="241"/>
      <c r="AP269" s="241"/>
      <c r="AQ269" s="194"/>
      <c r="AR269" s="195"/>
      <c r="AS269" s="195"/>
    </row>
    <row r="270" spans="2:45">
      <c r="B270" s="253"/>
      <c r="C270" s="230"/>
      <c r="D270" s="245"/>
      <c r="E270" s="230"/>
      <c r="F270" s="230"/>
      <c r="G270" s="230"/>
      <c r="H270" s="230"/>
      <c r="I270" s="228"/>
      <c r="J270" s="228"/>
      <c r="K270" s="230"/>
      <c r="L270" s="230"/>
      <c r="M270" s="246"/>
      <c r="N270" s="230"/>
      <c r="O270" s="230"/>
      <c r="P270" s="230"/>
      <c r="Q270" s="230"/>
      <c r="R270" s="256"/>
      <c r="S270" s="257"/>
      <c r="T270" s="228"/>
      <c r="U270" s="228"/>
      <c r="V270" s="245"/>
      <c r="W270" s="254"/>
      <c r="X270" s="254"/>
      <c r="Y270" s="228"/>
      <c r="Z270" s="255"/>
      <c r="AA270" s="248"/>
      <c r="AB270" s="248"/>
      <c r="AC270" s="248"/>
      <c r="AD270" s="247"/>
      <c r="AE270" s="228"/>
      <c r="AF270" s="228"/>
      <c r="AG270" s="248"/>
      <c r="AH270" s="248"/>
      <c r="AI270" s="194"/>
      <c r="AJ270" s="249"/>
      <c r="AK270" s="250"/>
      <c r="AL270" s="251"/>
      <c r="AM270" s="252"/>
      <c r="AN270" s="241"/>
      <c r="AO270" s="241"/>
      <c r="AP270" s="241"/>
      <c r="AQ270" s="194"/>
      <c r="AR270" s="195"/>
      <c r="AS270" s="195"/>
    </row>
    <row r="271" spans="2:45">
      <c r="B271" s="253"/>
      <c r="C271" s="230"/>
      <c r="D271" s="245"/>
      <c r="E271" s="230"/>
      <c r="F271" s="230"/>
      <c r="G271" s="230"/>
      <c r="H271" s="230"/>
      <c r="I271" s="228"/>
      <c r="J271" s="228"/>
      <c r="K271" s="230"/>
      <c r="L271" s="230"/>
      <c r="M271" s="246"/>
      <c r="N271" s="230"/>
      <c r="O271" s="230"/>
      <c r="P271" s="230"/>
      <c r="Q271" s="230"/>
      <c r="R271" s="256"/>
      <c r="S271" s="257"/>
      <c r="T271" s="228"/>
      <c r="U271" s="228"/>
      <c r="V271" s="245"/>
      <c r="W271" s="254"/>
      <c r="X271" s="254"/>
      <c r="Y271" s="228"/>
      <c r="Z271" s="255"/>
      <c r="AA271" s="248"/>
      <c r="AB271" s="248"/>
      <c r="AC271" s="248"/>
      <c r="AD271" s="247"/>
      <c r="AE271" s="228"/>
      <c r="AF271" s="228"/>
      <c r="AG271" s="248"/>
      <c r="AH271" s="248"/>
      <c r="AI271" s="194"/>
      <c r="AJ271" s="249"/>
      <c r="AK271" s="250"/>
      <c r="AL271" s="251"/>
      <c r="AM271" s="252"/>
      <c r="AN271" s="241"/>
      <c r="AO271" s="241"/>
      <c r="AP271" s="241"/>
      <c r="AQ271" s="194"/>
      <c r="AR271" s="195"/>
      <c r="AS271" s="195"/>
    </row>
    <row r="272" spans="2:45">
      <c r="B272" s="253"/>
      <c r="C272" s="230"/>
      <c r="D272" s="245"/>
      <c r="E272" s="230"/>
      <c r="F272" s="230"/>
      <c r="G272" s="230"/>
      <c r="H272" s="230"/>
      <c r="I272" s="228"/>
      <c r="J272" s="228"/>
      <c r="K272" s="230"/>
      <c r="L272" s="230"/>
      <c r="M272" s="246"/>
      <c r="N272" s="230"/>
      <c r="O272" s="230"/>
      <c r="P272" s="230"/>
      <c r="Q272" s="230"/>
      <c r="R272" s="256"/>
      <c r="S272" s="257"/>
      <c r="T272" s="228"/>
      <c r="U272" s="228"/>
      <c r="V272" s="245"/>
      <c r="W272" s="254"/>
      <c r="X272" s="254"/>
      <c r="Y272" s="228"/>
      <c r="Z272" s="255"/>
      <c r="AA272" s="248"/>
      <c r="AB272" s="248"/>
      <c r="AC272" s="248"/>
      <c r="AD272" s="247"/>
      <c r="AE272" s="228"/>
      <c r="AF272" s="228"/>
      <c r="AG272" s="248"/>
      <c r="AH272" s="248"/>
      <c r="AI272" s="194"/>
      <c r="AJ272" s="249"/>
      <c r="AK272" s="250"/>
      <c r="AL272" s="251"/>
      <c r="AM272" s="252"/>
      <c r="AN272" s="241"/>
      <c r="AO272" s="241"/>
      <c r="AP272" s="241"/>
      <c r="AQ272" s="194"/>
      <c r="AR272" s="195"/>
      <c r="AS272" s="195"/>
    </row>
    <row r="273" spans="2:45">
      <c r="B273" s="253"/>
      <c r="C273" s="230"/>
      <c r="D273" s="245"/>
      <c r="E273" s="230"/>
      <c r="F273" s="230"/>
      <c r="G273" s="230"/>
      <c r="H273" s="230"/>
      <c r="I273" s="228"/>
      <c r="J273" s="228"/>
      <c r="K273" s="230"/>
      <c r="L273" s="230"/>
      <c r="M273" s="246"/>
      <c r="N273" s="230"/>
      <c r="O273" s="230"/>
      <c r="P273" s="230"/>
      <c r="Q273" s="230"/>
      <c r="R273" s="256"/>
      <c r="S273" s="257"/>
      <c r="T273" s="228"/>
      <c r="U273" s="228"/>
      <c r="V273" s="245"/>
      <c r="W273" s="254"/>
      <c r="X273" s="254"/>
      <c r="Y273" s="228"/>
      <c r="Z273" s="255"/>
      <c r="AA273" s="248"/>
      <c r="AB273" s="248"/>
      <c r="AC273" s="248"/>
      <c r="AD273" s="247"/>
      <c r="AE273" s="228"/>
      <c r="AF273" s="228"/>
      <c r="AG273" s="248"/>
      <c r="AH273" s="248"/>
      <c r="AI273" s="194"/>
      <c r="AJ273" s="249"/>
      <c r="AK273" s="250"/>
      <c r="AL273" s="251"/>
      <c r="AM273" s="252"/>
      <c r="AN273" s="241"/>
      <c r="AO273" s="241"/>
      <c r="AP273" s="241"/>
      <c r="AQ273" s="194"/>
      <c r="AR273" s="195"/>
      <c r="AS273" s="195"/>
    </row>
    <row r="274" spans="2:45">
      <c r="B274" s="253"/>
      <c r="C274" s="230"/>
      <c r="D274" s="245"/>
      <c r="E274" s="230"/>
      <c r="F274" s="230"/>
      <c r="G274" s="230"/>
      <c r="H274" s="230"/>
      <c r="I274" s="228"/>
      <c r="J274" s="228"/>
      <c r="K274" s="230"/>
      <c r="L274" s="230"/>
      <c r="M274" s="246"/>
      <c r="N274" s="230"/>
      <c r="O274" s="230"/>
      <c r="P274" s="230"/>
      <c r="Q274" s="230"/>
      <c r="R274" s="256"/>
      <c r="S274" s="257"/>
      <c r="T274" s="228"/>
      <c r="U274" s="228"/>
      <c r="V274" s="245"/>
      <c r="W274" s="254"/>
      <c r="X274" s="254"/>
      <c r="Y274" s="228"/>
      <c r="Z274" s="255"/>
      <c r="AA274" s="248"/>
      <c r="AB274" s="248"/>
      <c r="AC274" s="248"/>
      <c r="AD274" s="247"/>
      <c r="AE274" s="228"/>
      <c r="AF274" s="228"/>
      <c r="AG274" s="248"/>
      <c r="AH274" s="248"/>
      <c r="AI274" s="194"/>
      <c r="AJ274" s="249"/>
      <c r="AK274" s="250"/>
      <c r="AL274" s="251"/>
      <c r="AM274" s="252"/>
      <c r="AN274" s="241"/>
      <c r="AO274" s="241"/>
      <c r="AP274" s="241"/>
      <c r="AQ274" s="194"/>
      <c r="AR274" s="195"/>
      <c r="AS274" s="195"/>
    </row>
    <row r="275" spans="2:45">
      <c r="B275" s="253"/>
      <c r="C275" s="230"/>
      <c r="D275" s="245"/>
      <c r="E275" s="230"/>
      <c r="F275" s="230"/>
      <c r="G275" s="230"/>
      <c r="H275" s="230"/>
      <c r="I275" s="228"/>
      <c r="J275" s="228"/>
      <c r="K275" s="230"/>
      <c r="L275" s="230"/>
      <c r="M275" s="246"/>
      <c r="N275" s="230"/>
      <c r="O275" s="230"/>
      <c r="P275" s="230"/>
      <c r="Q275" s="230"/>
      <c r="R275" s="256"/>
      <c r="S275" s="257"/>
      <c r="T275" s="228"/>
      <c r="U275" s="228"/>
      <c r="V275" s="245"/>
      <c r="W275" s="254"/>
      <c r="X275" s="254"/>
      <c r="Y275" s="228"/>
      <c r="Z275" s="255"/>
      <c r="AA275" s="248"/>
      <c r="AB275" s="248"/>
      <c r="AC275" s="248"/>
      <c r="AD275" s="247"/>
      <c r="AE275" s="228"/>
      <c r="AF275" s="228"/>
      <c r="AG275" s="248"/>
      <c r="AH275" s="248"/>
      <c r="AI275" s="194"/>
      <c r="AJ275" s="249"/>
      <c r="AK275" s="250"/>
      <c r="AL275" s="251"/>
      <c r="AM275" s="252"/>
      <c r="AN275" s="241"/>
      <c r="AO275" s="241"/>
      <c r="AP275" s="241"/>
      <c r="AQ275" s="194"/>
      <c r="AR275" s="195"/>
      <c r="AS275" s="195"/>
    </row>
    <row r="276" spans="2:45">
      <c r="B276" s="253"/>
      <c r="C276" s="230"/>
      <c r="D276" s="245"/>
      <c r="E276" s="230"/>
      <c r="F276" s="230"/>
      <c r="G276" s="230"/>
      <c r="H276" s="230"/>
      <c r="I276" s="228"/>
      <c r="J276" s="228"/>
      <c r="K276" s="230"/>
      <c r="L276" s="230"/>
      <c r="M276" s="246"/>
      <c r="N276" s="230"/>
      <c r="O276" s="230"/>
      <c r="P276" s="230"/>
      <c r="Q276" s="230"/>
      <c r="R276" s="256"/>
      <c r="S276" s="257"/>
      <c r="T276" s="228"/>
      <c r="U276" s="228"/>
      <c r="V276" s="245"/>
      <c r="W276" s="254"/>
      <c r="X276" s="254"/>
      <c r="Y276" s="228"/>
      <c r="Z276" s="255"/>
      <c r="AA276" s="248"/>
      <c r="AB276" s="248"/>
      <c r="AC276" s="248"/>
      <c r="AD276" s="247"/>
      <c r="AE276" s="228"/>
      <c r="AF276" s="228"/>
      <c r="AG276" s="248"/>
      <c r="AH276" s="248"/>
      <c r="AI276" s="194"/>
      <c r="AJ276" s="249"/>
      <c r="AK276" s="250"/>
      <c r="AL276" s="251"/>
      <c r="AM276" s="252"/>
      <c r="AN276" s="241"/>
      <c r="AO276" s="241"/>
      <c r="AP276" s="241"/>
      <c r="AQ276" s="194"/>
      <c r="AR276" s="195"/>
      <c r="AS276" s="195"/>
    </row>
    <row r="277" spans="2:45">
      <c r="B277" s="253"/>
      <c r="C277" s="230"/>
      <c r="D277" s="245"/>
      <c r="E277" s="230"/>
      <c r="F277" s="230"/>
      <c r="G277" s="230"/>
      <c r="H277" s="230"/>
      <c r="I277" s="228"/>
      <c r="J277" s="228"/>
      <c r="K277" s="230"/>
      <c r="L277" s="230"/>
      <c r="M277" s="246"/>
      <c r="N277" s="230"/>
      <c r="O277" s="230"/>
      <c r="P277" s="230"/>
      <c r="Q277" s="230"/>
      <c r="R277" s="256"/>
      <c r="S277" s="257"/>
      <c r="T277" s="228"/>
      <c r="U277" s="228"/>
      <c r="V277" s="245"/>
      <c r="W277" s="254"/>
      <c r="X277" s="254"/>
      <c r="Y277" s="228"/>
      <c r="Z277" s="255"/>
      <c r="AA277" s="248"/>
      <c r="AB277" s="248"/>
      <c r="AC277" s="248"/>
      <c r="AD277" s="247"/>
      <c r="AE277" s="228"/>
      <c r="AF277" s="228"/>
      <c r="AG277" s="248"/>
      <c r="AH277" s="248"/>
      <c r="AI277" s="194"/>
      <c r="AJ277" s="249"/>
      <c r="AK277" s="250"/>
      <c r="AL277" s="251"/>
      <c r="AM277" s="252"/>
      <c r="AN277" s="241"/>
      <c r="AO277" s="241"/>
      <c r="AP277" s="241"/>
      <c r="AQ277" s="194"/>
      <c r="AR277" s="195"/>
      <c r="AS277" s="195"/>
    </row>
    <row r="278" spans="2:45">
      <c r="B278" s="253"/>
      <c r="C278" s="230"/>
      <c r="D278" s="245"/>
      <c r="E278" s="230"/>
      <c r="F278" s="230"/>
      <c r="G278" s="230"/>
      <c r="H278" s="230"/>
      <c r="I278" s="228"/>
      <c r="J278" s="228"/>
      <c r="K278" s="230"/>
      <c r="L278" s="230"/>
      <c r="M278" s="246"/>
      <c r="N278" s="230"/>
      <c r="O278" s="230"/>
      <c r="P278" s="230"/>
      <c r="Q278" s="230"/>
      <c r="R278" s="256"/>
      <c r="S278" s="257"/>
      <c r="T278" s="228"/>
      <c r="U278" s="228"/>
      <c r="V278" s="245"/>
      <c r="W278" s="254"/>
      <c r="X278" s="254"/>
      <c r="Y278" s="228"/>
      <c r="Z278" s="255"/>
      <c r="AA278" s="248"/>
      <c r="AB278" s="248"/>
      <c r="AC278" s="248"/>
      <c r="AD278" s="247"/>
      <c r="AE278" s="228"/>
      <c r="AF278" s="228"/>
      <c r="AG278" s="248"/>
      <c r="AH278" s="248"/>
      <c r="AI278" s="194"/>
      <c r="AJ278" s="249"/>
      <c r="AK278" s="250"/>
      <c r="AL278" s="251"/>
      <c r="AM278" s="252"/>
      <c r="AN278" s="241"/>
      <c r="AO278" s="241"/>
      <c r="AP278" s="241"/>
      <c r="AQ278" s="194"/>
      <c r="AR278" s="195"/>
      <c r="AS278" s="195"/>
    </row>
    <row r="279" spans="2:45">
      <c r="B279" s="253"/>
      <c r="C279" s="230"/>
      <c r="D279" s="245"/>
      <c r="E279" s="230"/>
      <c r="F279" s="230"/>
      <c r="G279" s="230"/>
      <c r="H279" s="230"/>
      <c r="I279" s="228"/>
      <c r="J279" s="228"/>
      <c r="K279" s="230"/>
      <c r="L279" s="230"/>
      <c r="M279" s="246"/>
      <c r="N279" s="230"/>
      <c r="O279" s="230"/>
      <c r="P279" s="230"/>
      <c r="Q279" s="230"/>
      <c r="R279" s="256"/>
      <c r="S279" s="257"/>
      <c r="T279" s="228"/>
      <c r="U279" s="228"/>
      <c r="V279" s="245"/>
      <c r="W279" s="254"/>
      <c r="X279" s="254"/>
      <c r="Y279" s="228"/>
      <c r="Z279" s="255"/>
      <c r="AA279" s="248"/>
      <c r="AB279" s="248"/>
      <c r="AC279" s="248"/>
      <c r="AD279" s="247"/>
      <c r="AE279" s="228"/>
      <c r="AF279" s="228"/>
      <c r="AG279" s="248"/>
      <c r="AH279" s="248"/>
      <c r="AI279" s="194"/>
      <c r="AJ279" s="249"/>
      <c r="AK279" s="250"/>
      <c r="AL279" s="251"/>
      <c r="AM279" s="252"/>
      <c r="AN279" s="241"/>
      <c r="AO279" s="241"/>
      <c r="AP279" s="241"/>
      <c r="AQ279" s="194"/>
      <c r="AR279" s="195"/>
      <c r="AS279" s="195"/>
    </row>
    <row r="280" spans="2:45">
      <c r="B280" s="253"/>
      <c r="C280" s="230"/>
      <c r="D280" s="245"/>
      <c r="E280" s="230"/>
      <c r="F280" s="230"/>
      <c r="G280" s="230"/>
      <c r="H280" s="230"/>
      <c r="I280" s="228"/>
      <c r="J280" s="228"/>
      <c r="K280" s="230"/>
      <c r="L280" s="230"/>
      <c r="M280" s="246"/>
      <c r="N280" s="230"/>
      <c r="O280" s="230"/>
      <c r="P280" s="230"/>
      <c r="Q280" s="230"/>
      <c r="R280" s="256"/>
      <c r="S280" s="257"/>
      <c r="T280" s="228"/>
      <c r="U280" s="228"/>
      <c r="V280" s="245"/>
      <c r="W280" s="254"/>
      <c r="X280" s="254"/>
      <c r="Y280" s="228"/>
      <c r="Z280" s="255"/>
      <c r="AA280" s="248"/>
      <c r="AB280" s="248"/>
      <c r="AC280" s="248"/>
      <c r="AD280" s="247"/>
      <c r="AE280" s="228"/>
      <c r="AF280" s="228"/>
      <c r="AG280" s="248"/>
      <c r="AH280" s="248"/>
      <c r="AI280" s="194"/>
      <c r="AJ280" s="249"/>
      <c r="AK280" s="250"/>
      <c r="AL280" s="251"/>
      <c r="AM280" s="252"/>
      <c r="AN280" s="241"/>
      <c r="AO280" s="241"/>
      <c r="AP280" s="241"/>
      <c r="AQ280" s="194"/>
      <c r="AR280" s="195"/>
      <c r="AS280" s="195"/>
    </row>
    <row r="281" spans="2:45">
      <c r="B281" s="253"/>
      <c r="C281" s="230"/>
      <c r="D281" s="245"/>
      <c r="E281" s="230"/>
      <c r="F281" s="230"/>
      <c r="G281" s="230"/>
      <c r="H281" s="230"/>
      <c r="I281" s="228"/>
      <c r="J281" s="228"/>
      <c r="K281" s="230"/>
      <c r="L281" s="230"/>
      <c r="M281" s="246"/>
      <c r="N281" s="230"/>
      <c r="O281" s="230"/>
      <c r="P281" s="230"/>
      <c r="Q281" s="230"/>
      <c r="R281" s="256"/>
      <c r="S281" s="257"/>
      <c r="T281" s="228"/>
      <c r="U281" s="228"/>
      <c r="V281" s="245"/>
      <c r="W281" s="254"/>
      <c r="X281" s="254"/>
      <c r="Y281" s="228"/>
      <c r="Z281" s="255"/>
      <c r="AA281" s="248"/>
      <c r="AB281" s="248"/>
      <c r="AC281" s="248"/>
      <c r="AD281" s="247"/>
      <c r="AE281" s="228"/>
      <c r="AF281" s="228"/>
      <c r="AG281" s="248"/>
      <c r="AH281" s="248"/>
      <c r="AI281" s="194"/>
      <c r="AJ281" s="249"/>
      <c r="AK281" s="250"/>
      <c r="AL281" s="251"/>
      <c r="AM281" s="252"/>
      <c r="AN281" s="241"/>
      <c r="AO281" s="241"/>
      <c r="AP281" s="241"/>
      <c r="AQ281" s="194"/>
      <c r="AR281" s="195"/>
      <c r="AS281" s="195"/>
    </row>
    <row r="282" spans="2:45">
      <c r="B282" s="253"/>
      <c r="C282" s="230"/>
      <c r="D282" s="245"/>
      <c r="E282" s="230"/>
      <c r="F282" s="230"/>
      <c r="G282" s="230"/>
      <c r="H282" s="230"/>
      <c r="I282" s="228"/>
      <c r="J282" s="228"/>
      <c r="K282" s="230"/>
      <c r="L282" s="230"/>
      <c r="M282" s="246"/>
      <c r="N282" s="230"/>
      <c r="O282" s="230"/>
      <c r="P282" s="230"/>
      <c r="Q282" s="230"/>
      <c r="R282" s="256"/>
      <c r="S282" s="257"/>
      <c r="T282" s="228"/>
      <c r="U282" s="228"/>
      <c r="V282" s="245"/>
      <c r="W282" s="254"/>
      <c r="X282" s="254"/>
      <c r="Y282" s="228"/>
      <c r="Z282" s="255"/>
      <c r="AA282" s="248"/>
      <c r="AB282" s="248"/>
      <c r="AC282" s="248"/>
      <c r="AD282" s="247"/>
      <c r="AE282" s="228"/>
      <c r="AF282" s="228"/>
      <c r="AG282" s="248"/>
      <c r="AH282" s="248"/>
      <c r="AI282" s="194"/>
      <c r="AJ282" s="249"/>
      <c r="AK282" s="250"/>
      <c r="AL282" s="251"/>
      <c r="AM282" s="252"/>
      <c r="AN282" s="241"/>
      <c r="AO282" s="241"/>
      <c r="AP282" s="241"/>
      <c r="AQ282" s="194"/>
      <c r="AR282" s="195"/>
      <c r="AS282" s="195"/>
    </row>
    <row r="283" spans="2:45">
      <c r="B283" s="253"/>
      <c r="C283" s="230"/>
      <c r="D283" s="245"/>
      <c r="E283" s="230"/>
      <c r="F283" s="230"/>
      <c r="G283" s="230"/>
      <c r="H283" s="230"/>
      <c r="I283" s="228"/>
      <c r="J283" s="228"/>
      <c r="K283" s="230"/>
      <c r="L283" s="230"/>
      <c r="M283" s="246"/>
      <c r="N283" s="230"/>
      <c r="O283" s="230"/>
      <c r="P283" s="230"/>
      <c r="Q283" s="230"/>
      <c r="R283" s="256"/>
      <c r="S283" s="257"/>
      <c r="T283" s="228"/>
      <c r="U283" s="228"/>
      <c r="V283" s="245"/>
      <c r="W283" s="254"/>
      <c r="X283" s="254"/>
      <c r="Y283" s="228"/>
      <c r="Z283" s="255"/>
      <c r="AA283" s="248"/>
      <c r="AB283" s="248"/>
      <c r="AC283" s="248"/>
      <c r="AD283" s="247"/>
      <c r="AE283" s="228"/>
      <c r="AF283" s="228"/>
      <c r="AG283" s="248"/>
      <c r="AH283" s="248"/>
      <c r="AI283" s="194"/>
      <c r="AJ283" s="249"/>
      <c r="AK283" s="250"/>
      <c r="AL283" s="251"/>
      <c r="AM283" s="252"/>
      <c r="AN283" s="241"/>
      <c r="AO283" s="241"/>
      <c r="AP283" s="241"/>
      <c r="AQ283" s="194"/>
      <c r="AR283" s="195"/>
      <c r="AS283" s="195"/>
    </row>
    <row r="284" spans="2:45">
      <c r="B284" s="253"/>
      <c r="C284" s="230"/>
      <c r="D284" s="245"/>
      <c r="E284" s="230"/>
      <c r="F284" s="230"/>
      <c r="G284" s="230"/>
      <c r="H284" s="230"/>
      <c r="I284" s="228"/>
      <c r="J284" s="228"/>
      <c r="K284" s="230"/>
      <c r="L284" s="230"/>
      <c r="M284" s="246"/>
      <c r="N284" s="230"/>
      <c r="O284" s="230"/>
      <c r="P284" s="230"/>
      <c r="Q284" s="230"/>
      <c r="R284" s="256"/>
      <c r="S284" s="257"/>
      <c r="T284" s="228"/>
      <c r="U284" s="228"/>
      <c r="V284" s="245"/>
      <c r="W284" s="254"/>
      <c r="X284" s="254"/>
      <c r="Y284" s="228"/>
      <c r="Z284" s="255"/>
      <c r="AA284" s="248"/>
      <c r="AB284" s="248"/>
      <c r="AC284" s="248"/>
      <c r="AD284" s="247"/>
      <c r="AE284" s="228"/>
      <c r="AF284" s="228"/>
      <c r="AG284" s="248"/>
      <c r="AH284" s="248"/>
      <c r="AI284" s="194"/>
      <c r="AJ284" s="249"/>
      <c r="AK284" s="250"/>
      <c r="AL284" s="251"/>
      <c r="AM284" s="252"/>
      <c r="AN284" s="241"/>
      <c r="AO284" s="241"/>
      <c r="AP284" s="241"/>
      <c r="AQ284" s="194"/>
      <c r="AR284" s="195"/>
      <c r="AS284" s="195"/>
    </row>
    <row r="285" spans="2:45">
      <c r="B285" s="253"/>
      <c r="C285" s="230"/>
      <c r="D285" s="245"/>
      <c r="E285" s="230"/>
      <c r="F285" s="230"/>
      <c r="G285" s="230"/>
      <c r="H285" s="230"/>
      <c r="I285" s="228"/>
      <c r="J285" s="228"/>
      <c r="K285" s="230"/>
      <c r="L285" s="230"/>
      <c r="M285" s="246"/>
      <c r="N285" s="230"/>
      <c r="O285" s="230"/>
      <c r="P285" s="230"/>
      <c r="Q285" s="230"/>
      <c r="R285" s="256"/>
      <c r="S285" s="257"/>
      <c r="T285" s="228"/>
      <c r="U285" s="228"/>
      <c r="V285" s="245"/>
      <c r="W285" s="254"/>
      <c r="X285" s="254"/>
      <c r="Y285" s="228"/>
      <c r="Z285" s="255"/>
      <c r="AA285" s="248"/>
      <c r="AB285" s="248"/>
      <c r="AC285" s="248"/>
      <c r="AD285" s="247"/>
      <c r="AE285" s="228"/>
      <c r="AF285" s="228"/>
      <c r="AG285" s="248"/>
      <c r="AH285" s="248"/>
      <c r="AI285" s="194"/>
      <c r="AJ285" s="249"/>
      <c r="AK285" s="250"/>
      <c r="AL285" s="251"/>
      <c r="AM285" s="252"/>
      <c r="AN285" s="241"/>
      <c r="AO285" s="241"/>
      <c r="AP285" s="241"/>
      <c r="AQ285" s="194"/>
      <c r="AR285" s="195"/>
      <c r="AS285" s="195"/>
    </row>
    <row r="286" spans="2:45">
      <c r="B286" s="253"/>
      <c r="C286" s="230"/>
      <c r="D286" s="245"/>
      <c r="E286" s="230"/>
      <c r="F286" s="230"/>
      <c r="G286" s="230"/>
      <c r="H286" s="230"/>
      <c r="I286" s="228"/>
      <c r="J286" s="228"/>
      <c r="K286" s="230"/>
      <c r="L286" s="230"/>
      <c r="M286" s="246"/>
      <c r="N286" s="230"/>
      <c r="O286" s="230"/>
      <c r="P286" s="230"/>
      <c r="Q286" s="230"/>
      <c r="R286" s="256"/>
      <c r="S286" s="257"/>
      <c r="T286" s="228"/>
      <c r="U286" s="228"/>
      <c r="V286" s="245"/>
      <c r="W286" s="254"/>
      <c r="X286" s="254"/>
      <c r="Y286" s="228"/>
      <c r="Z286" s="255"/>
      <c r="AA286" s="248"/>
      <c r="AB286" s="248"/>
      <c r="AC286" s="248"/>
      <c r="AD286" s="247"/>
      <c r="AE286" s="228"/>
      <c r="AF286" s="228"/>
      <c r="AG286" s="248"/>
      <c r="AH286" s="248"/>
      <c r="AI286" s="194"/>
      <c r="AJ286" s="249"/>
      <c r="AK286" s="250"/>
      <c r="AL286" s="251"/>
      <c r="AM286" s="252"/>
      <c r="AN286" s="241"/>
      <c r="AO286" s="241"/>
      <c r="AP286" s="241"/>
      <c r="AQ286" s="194"/>
      <c r="AR286" s="195"/>
      <c r="AS286" s="195"/>
    </row>
    <row r="287" spans="2:45">
      <c r="B287" s="253"/>
      <c r="C287" s="230"/>
      <c r="D287" s="245"/>
      <c r="E287" s="230"/>
      <c r="F287" s="230"/>
      <c r="G287" s="230"/>
      <c r="H287" s="230"/>
      <c r="I287" s="228"/>
      <c r="J287" s="228"/>
      <c r="K287" s="230"/>
      <c r="L287" s="230"/>
      <c r="M287" s="246"/>
      <c r="N287" s="230"/>
      <c r="O287" s="230"/>
      <c r="P287" s="230"/>
      <c r="Q287" s="230"/>
      <c r="R287" s="256"/>
      <c r="S287" s="257"/>
      <c r="T287" s="228"/>
      <c r="U287" s="228"/>
      <c r="V287" s="245"/>
      <c r="W287" s="254"/>
      <c r="X287" s="254"/>
      <c r="Y287" s="228"/>
      <c r="Z287" s="255"/>
      <c r="AA287" s="248"/>
      <c r="AB287" s="248"/>
      <c r="AC287" s="248"/>
      <c r="AD287" s="247"/>
      <c r="AE287" s="228"/>
      <c r="AF287" s="228"/>
      <c r="AG287" s="248"/>
      <c r="AH287" s="248"/>
      <c r="AI287" s="194"/>
      <c r="AJ287" s="249"/>
      <c r="AK287" s="250"/>
      <c r="AL287" s="251"/>
      <c r="AM287" s="252"/>
      <c r="AN287" s="241"/>
      <c r="AO287" s="241"/>
      <c r="AP287" s="241"/>
      <c r="AQ287" s="194"/>
      <c r="AR287" s="195"/>
      <c r="AS287" s="195"/>
    </row>
    <row r="288" spans="2:45">
      <c r="B288" s="253"/>
      <c r="C288" s="230"/>
      <c r="D288" s="245"/>
      <c r="E288" s="230"/>
      <c r="F288" s="230"/>
      <c r="G288" s="230"/>
      <c r="H288" s="230"/>
      <c r="I288" s="228"/>
      <c r="J288" s="228"/>
      <c r="K288" s="230"/>
      <c r="L288" s="230"/>
      <c r="M288" s="246"/>
      <c r="N288" s="230"/>
      <c r="O288" s="230"/>
      <c r="P288" s="230"/>
      <c r="Q288" s="230"/>
      <c r="R288" s="256"/>
      <c r="S288" s="257"/>
      <c r="T288" s="228"/>
      <c r="U288" s="228"/>
      <c r="V288" s="245"/>
      <c r="W288" s="254"/>
      <c r="X288" s="254"/>
      <c r="Y288" s="228"/>
      <c r="Z288" s="255"/>
      <c r="AA288" s="248"/>
      <c r="AB288" s="248"/>
      <c r="AC288" s="248"/>
      <c r="AD288" s="247"/>
      <c r="AE288" s="228"/>
      <c r="AF288" s="228"/>
      <c r="AG288" s="248"/>
      <c r="AH288" s="248"/>
      <c r="AI288" s="194"/>
      <c r="AJ288" s="249"/>
      <c r="AK288" s="250"/>
      <c r="AL288" s="251"/>
      <c r="AM288" s="252"/>
      <c r="AN288" s="241"/>
      <c r="AO288" s="241"/>
      <c r="AP288" s="241"/>
      <c r="AQ288" s="194"/>
      <c r="AR288" s="195"/>
      <c r="AS288" s="195"/>
    </row>
    <row r="289" spans="2:45">
      <c r="B289" s="253"/>
      <c r="C289" s="230"/>
      <c r="D289" s="245"/>
      <c r="E289" s="230"/>
      <c r="F289" s="230"/>
      <c r="G289" s="230"/>
      <c r="H289" s="230"/>
      <c r="I289" s="228"/>
      <c r="J289" s="228"/>
      <c r="K289" s="230"/>
      <c r="L289" s="230"/>
      <c r="M289" s="246"/>
      <c r="N289" s="230"/>
      <c r="O289" s="230"/>
      <c r="P289" s="230"/>
      <c r="Q289" s="230"/>
      <c r="R289" s="256"/>
      <c r="S289" s="257"/>
      <c r="T289" s="228"/>
      <c r="U289" s="228"/>
      <c r="V289" s="245"/>
      <c r="W289" s="254"/>
      <c r="X289" s="254"/>
      <c r="Y289" s="228"/>
      <c r="Z289" s="255"/>
      <c r="AA289" s="248"/>
      <c r="AB289" s="248"/>
      <c r="AC289" s="248"/>
      <c r="AD289" s="247"/>
      <c r="AE289" s="228"/>
      <c r="AF289" s="228"/>
      <c r="AG289" s="248"/>
      <c r="AH289" s="248"/>
      <c r="AI289" s="194"/>
      <c r="AJ289" s="249"/>
      <c r="AK289" s="250"/>
      <c r="AL289" s="251"/>
      <c r="AM289" s="252"/>
      <c r="AN289" s="241"/>
      <c r="AO289" s="241"/>
      <c r="AP289" s="241"/>
      <c r="AQ289" s="194"/>
      <c r="AR289" s="195"/>
      <c r="AS289" s="195"/>
    </row>
    <row r="290" spans="2:45">
      <c r="B290" s="253"/>
      <c r="C290" s="230"/>
      <c r="D290" s="245"/>
      <c r="E290" s="230"/>
      <c r="F290" s="230"/>
      <c r="G290" s="230"/>
      <c r="H290" s="230"/>
      <c r="I290" s="228"/>
      <c r="J290" s="228"/>
      <c r="K290" s="230"/>
      <c r="L290" s="230"/>
      <c r="M290" s="246"/>
      <c r="N290" s="230"/>
      <c r="O290" s="230"/>
      <c r="P290" s="230"/>
      <c r="Q290" s="230"/>
      <c r="R290" s="256"/>
      <c r="S290" s="257"/>
      <c r="T290" s="228"/>
      <c r="U290" s="228"/>
      <c r="V290" s="245"/>
      <c r="W290" s="254"/>
      <c r="X290" s="254"/>
      <c r="Y290" s="228"/>
      <c r="Z290" s="255"/>
      <c r="AA290" s="248"/>
      <c r="AB290" s="248"/>
      <c r="AC290" s="248"/>
      <c r="AD290" s="247"/>
      <c r="AE290" s="228"/>
      <c r="AF290" s="228"/>
      <c r="AG290" s="248"/>
      <c r="AH290" s="248"/>
      <c r="AI290" s="194"/>
      <c r="AJ290" s="249"/>
      <c r="AK290" s="250"/>
      <c r="AL290" s="251"/>
      <c r="AM290" s="252"/>
      <c r="AN290" s="241"/>
      <c r="AO290" s="241"/>
      <c r="AP290" s="241"/>
      <c r="AQ290" s="194"/>
      <c r="AR290" s="195"/>
      <c r="AS290" s="195"/>
    </row>
    <row r="291" spans="2:45">
      <c r="B291" s="253"/>
      <c r="C291" s="230"/>
      <c r="D291" s="245"/>
      <c r="E291" s="230"/>
      <c r="F291" s="230"/>
      <c r="G291" s="230"/>
      <c r="H291" s="230"/>
      <c r="I291" s="228"/>
      <c r="J291" s="228"/>
      <c r="K291" s="230"/>
      <c r="L291" s="230"/>
      <c r="M291" s="246"/>
      <c r="N291" s="230"/>
      <c r="O291" s="230"/>
      <c r="P291" s="230"/>
      <c r="Q291" s="230"/>
      <c r="R291" s="256"/>
      <c r="S291" s="257"/>
      <c r="T291" s="228"/>
      <c r="U291" s="228"/>
      <c r="V291" s="245"/>
      <c r="W291" s="254"/>
      <c r="X291" s="254"/>
      <c r="Y291" s="228"/>
      <c r="Z291" s="255"/>
      <c r="AA291" s="248"/>
      <c r="AB291" s="248"/>
      <c r="AC291" s="248"/>
      <c r="AD291" s="247"/>
      <c r="AE291" s="228"/>
      <c r="AF291" s="228"/>
      <c r="AG291" s="248"/>
      <c r="AH291" s="248"/>
      <c r="AI291" s="194"/>
      <c r="AJ291" s="249"/>
      <c r="AK291" s="250"/>
      <c r="AL291" s="251"/>
      <c r="AM291" s="252"/>
      <c r="AN291" s="241"/>
      <c r="AO291" s="241"/>
      <c r="AP291" s="241"/>
      <c r="AQ291" s="194"/>
      <c r="AR291" s="195"/>
      <c r="AS291" s="195"/>
    </row>
    <row r="292" spans="2:45">
      <c r="B292" s="253"/>
      <c r="C292" s="230"/>
      <c r="D292" s="245"/>
      <c r="E292" s="230"/>
      <c r="F292" s="230"/>
      <c r="G292" s="230"/>
      <c r="H292" s="230"/>
      <c r="I292" s="228"/>
      <c r="J292" s="228"/>
      <c r="K292" s="230"/>
      <c r="L292" s="230"/>
      <c r="M292" s="246"/>
      <c r="N292" s="230"/>
      <c r="O292" s="230"/>
      <c r="P292" s="230"/>
      <c r="Q292" s="230"/>
      <c r="R292" s="256"/>
      <c r="S292" s="257"/>
      <c r="T292" s="228"/>
      <c r="U292" s="228"/>
      <c r="V292" s="245"/>
      <c r="W292" s="254"/>
      <c r="X292" s="254"/>
      <c r="Y292" s="228"/>
      <c r="Z292" s="255"/>
      <c r="AA292" s="248"/>
      <c r="AB292" s="248"/>
      <c r="AC292" s="248"/>
      <c r="AD292" s="247"/>
      <c r="AE292" s="228"/>
      <c r="AF292" s="228"/>
      <c r="AG292" s="248"/>
      <c r="AH292" s="248"/>
      <c r="AI292" s="194"/>
      <c r="AJ292" s="249"/>
      <c r="AK292" s="250"/>
      <c r="AL292" s="251"/>
      <c r="AM292" s="252"/>
      <c r="AN292" s="241"/>
      <c r="AO292" s="241"/>
      <c r="AP292" s="241"/>
      <c r="AQ292" s="194"/>
      <c r="AR292" s="195"/>
      <c r="AS292" s="195"/>
    </row>
    <row r="293" spans="2:45">
      <c r="B293" s="253"/>
      <c r="C293" s="230"/>
      <c r="D293" s="245"/>
      <c r="E293" s="230"/>
      <c r="F293" s="230"/>
      <c r="G293" s="230"/>
      <c r="H293" s="230"/>
      <c r="I293" s="228"/>
      <c r="J293" s="228"/>
      <c r="K293" s="230"/>
      <c r="L293" s="230"/>
      <c r="M293" s="246"/>
      <c r="N293" s="230"/>
      <c r="O293" s="230"/>
      <c r="P293" s="230"/>
      <c r="Q293" s="230"/>
      <c r="R293" s="256"/>
      <c r="S293" s="257"/>
      <c r="T293" s="228"/>
      <c r="U293" s="228"/>
      <c r="V293" s="245"/>
      <c r="W293" s="254"/>
      <c r="X293" s="254"/>
      <c r="Y293" s="228"/>
      <c r="Z293" s="255"/>
      <c r="AA293" s="248"/>
      <c r="AB293" s="248"/>
      <c r="AC293" s="248"/>
      <c r="AD293" s="247"/>
      <c r="AE293" s="228"/>
      <c r="AF293" s="228"/>
      <c r="AG293" s="248"/>
      <c r="AH293" s="248"/>
      <c r="AI293" s="194"/>
      <c r="AJ293" s="249"/>
      <c r="AK293" s="250"/>
      <c r="AL293" s="251"/>
      <c r="AM293" s="252"/>
      <c r="AN293" s="241"/>
      <c r="AO293" s="241"/>
      <c r="AP293" s="241"/>
      <c r="AQ293" s="194"/>
      <c r="AR293" s="195"/>
      <c r="AS293" s="195"/>
    </row>
    <row r="294" spans="2:45">
      <c r="B294" s="253"/>
      <c r="C294" s="230"/>
      <c r="D294" s="245"/>
      <c r="E294" s="230"/>
      <c r="F294" s="230"/>
      <c r="G294" s="230"/>
      <c r="H294" s="230"/>
      <c r="I294" s="228"/>
      <c r="J294" s="228"/>
      <c r="K294" s="230"/>
      <c r="L294" s="230"/>
      <c r="M294" s="246"/>
      <c r="N294" s="230"/>
      <c r="O294" s="230"/>
      <c r="P294" s="230"/>
      <c r="Q294" s="230"/>
      <c r="R294" s="256"/>
      <c r="S294" s="257"/>
      <c r="T294" s="228"/>
      <c r="U294" s="228"/>
      <c r="V294" s="245"/>
      <c r="W294" s="254"/>
      <c r="X294" s="254"/>
      <c r="Y294" s="228"/>
      <c r="Z294" s="255"/>
      <c r="AA294" s="248"/>
      <c r="AB294" s="248"/>
      <c r="AC294" s="248"/>
      <c r="AD294" s="247"/>
      <c r="AE294" s="228"/>
      <c r="AF294" s="228"/>
      <c r="AG294" s="248"/>
      <c r="AH294" s="248"/>
      <c r="AI294" s="194"/>
      <c r="AJ294" s="249"/>
      <c r="AK294" s="250"/>
      <c r="AL294" s="251"/>
      <c r="AM294" s="252"/>
      <c r="AN294" s="241"/>
      <c r="AO294" s="241"/>
      <c r="AP294" s="241"/>
      <c r="AQ294" s="194"/>
      <c r="AR294" s="195"/>
      <c r="AS294" s="195"/>
    </row>
    <row r="295" spans="2:45">
      <c r="B295" s="253"/>
      <c r="C295" s="230"/>
      <c r="D295" s="245"/>
      <c r="E295" s="230"/>
      <c r="F295" s="230"/>
      <c r="G295" s="230"/>
      <c r="H295" s="230"/>
      <c r="I295" s="228"/>
      <c r="J295" s="228"/>
      <c r="K295" s="230"/>
      <c r="L295" s="230"/>
      <c r="M295" s="246"/>
      <c r="N295" s="230"/>
      <c r="O295" s="230"/>
      <c r="P295" s="230"/>
      <c r="Q295" s="230"/>
      <c r="R295" s="256"/>
      <c r="S295" s="257"/>
      <c r="T295" s="228"/>
      <c r="U295" s="228"/>
      <c r="V295" s="245"/>
      <c r="W295" s="254"/>
      <c r="X295" s="254"/>
      <c r="Y295" s="228"/>
      <c r="Z295" s="255"/>
      <c r="AA295" s="248"/>
      <c r="AB295" s="248"/>
      <c r="AC295" s="248"/>
      <c r="AD295" s="247"/>
      <c r="AE295" s="228"/>
      <c r="AF295" s="228"/>
      <c r="AG295" s="248"/>
      <c r="AH295" s="248"/>
      <c r="AI295" s="194"/>
      <c r="AJ295" s="249"/>
      <c r="AK295" s="250"/>
      <c r="AL295" s="251"/>
      <c r="AM295" s="252"/>
      <c r="AN295" s="241"/>
      <c r="AO295" s="241"/>
      <c r="AP295" s="241"/>
      <c r="AQ295" s="194"/>
      <c r="AR295" s="195"/>
      <c r="AS295" s="195"/>
    </row>
    <row r="296" spans="2:45">
      <c r="B296" s="253"/>
      <c r="C296" s="230"/>
      <c r="D296" s="245"/>
      <c r="E296" s="230"/>
      <c r="F296" s="230"/>
      <c r="G296" s="230"/>
      <c r="H296" s="230"/>
      <c r="I296" s="228"/>
      <c r="J296" s="228"/>
      <c r="K296" s="230"/>
      <c r="L296" s="230"/>
      <c r="M296" s="246"/>
      <c r="N296" s="230"/>
      <c r="O296" s="230"/>
      <c r="P296" s="230"/>
      <c r="Q296" s="230"/>
      <c r="R296" s="256"/>
      <c r="S296" s="257"/>
      <c r="T296" s="228"/>
      <c r="U296" s="228"/>
      <c r="V296" s="245"/>
      <c r="W296" s="254"/>
      <c r="X296" s="254"/>
      <c r="Y296" s="228"/>
      <c r="Z296" s="255"/>
      <c r="AA296" s="248"/>
      <c r="AB296" s="248"/>
      <c r="AC296" s="248"/>
      <c r="AD296" s="247"/>
      <c r="AE296" s="228"/>
      <c r="AF296" s="228"/>
      <c r="AG296" s="248"/>
      <c r="AH296" s="248"/>
      <c r="AI296" s="194"/>
      <c r="AJ296" s="249"/>
      <c r="AK296" s="250"/>
      <c r="AL296" s="251"/>
      <c r="AM296" s="252"/>
      <c r="AN296" s="241"/>
      <c r="AO296" s="241"/>
      <c r="AP296" s="241"/>
      <c r="AQ296" s="194"/>
      <c r="AR296" s="195"/>
      <c r="AS296" s="195"/>
    </row>
    <row r="297" spans="2:45">
      <c r="B297" s="253"/>
      <c r="C297" s="230"/>
      <c r="D297" s="245"/>
      <c r="E297" s="230"/>
      <c r="F297" s="230"/>
      <c r="G297" s="230"/>
      <c r="H297" s="230"/>
      <c r="I297" s="228"/>
      <c r="J297" s="228"/>
      <c r="K297" s="230"/>
      <c r="L297" s="230"/>
      <c r="M297" s="246"/>
      <c r="N297" s="230"/>
      <c r="O297" s="230"/>
      <c r="P297" s="230"/>
      <c r="Q297" s="230"/>
      <c r="R297" s="256"/>
      <c r="S297" s="257"/>
      <c r="T297" s="228"/>
      <c r="U297" s="228"/>
      <c r="V297" s="245"/>
      <c r="W297" s="254"/>
      <c r="X297" s="254"/>
      <c r="Y297" s="228"/>
      <c r="Z297" s="255"/>
      <c r="AA297" s="248"/>
      <c r="AB297" s="248"/>
      <c r="AC297" s="248"/>
      <c r="AD297" s="247"/>
      <c r="AE297" s="228"/>
      <c r="AF297" s="228"/>
      <c r="AG297" s="248"/>
      <c r="AH297" s="248"/>
      <c r="AI297" s="194"/>
      <c r="AJ297" s="249"/>
      <c r="AK297" s="250"/>
      <c r="AL297" s="251"/>
      <c r="AM297" s="252"/>
      <c r="AN297" s="241"/>
      <c r="AO297" s="241"/>
      <c r="AP297" s="241"/>
      <c r="AQ297" s="194"/>
      <c r="AR297" s="195"/>
      <c r="AS297" s="195"/>
    </row>
    <row r="298" spans="2:45">
      <c r="B298" s="253"/>
      <c r="C298" s="230"/>
      <c r="D298" s="245"/>
      <c r="E298" s="230"/>
      <c r="F298" s="230"/>
      <c r="G298" s="230"/>
      <c r="H298" s="230"/>
      <c r="I298" s="228"/>
      <c r="J298" s="228"/>
      <c r="K298" s="230"/>
      <c r="L298" s="230"/>
      <c r="M298" s="246"/>
      <c r="N298" s="230"/>
      <c r="O298" s="230"/>
      <c r="P298" s="230"/>
      <c r="Q298" s="230"/>
      <c r="R298" s="256"/>
      <c r="S298" s="257"/>
      <c r="T298" s="228"/>
      <c r="U298" s="228"/>
      <c r="V298" s="245"/>
      <c r="W298" s="254"/>
      <c r="X298" s="254"/>
      <c r="Y298" s="228"/>
      <c r="Z298" s="255"/>
      <c r="AA298" s="248"/>
      <c r="AB298" s="248"/>
      <c r="AC298" s="248"/>
      <c r="AD298" s="247"/>
      <c r="AE298" s="228"/>
      <c r="AF298" s="228"/>
      <c r="AG298" s="248"/>
      <c r="AH298" s="248"/>
      <c r="AI298" s="194"/>
      <c r="AJ298" s="249"/>
      <c r="AK298" s="250"/>
      <c r="AL298" s="251"/>
      <c r="AM298" s="252"/>
      <c r="AN298" s="241"/>
      <c r="AO298" s="241"/>
      <c r="AP298" s="241"/>
      <c r="AQ298" s="194"/>
      <c r="AR298" s="195"/>
      <c r="AS298" s="195"/>
    </row>
    <row r="299" spans="2:45">
      <c r="B299" s="253"/>
      <c r="C299" s="230"/>
      <c r="D299" s="245"/>
      <c r="E299" s="230"/>
      <c r="F299" s="230"/>
      <c r="G299" s="230"/>
      <c r="H299" s="230"/>
      <c r="I299" s="228"/>
      <c r="J299" s="228"/>
      <c r="K299" s="230"/>
      <c r="L299" s="230"/>
      <c r="M299" s="246"/>
      <c r="N299" s="230"/>
      <c r="O299" s="230"/>
      <c r="P299" s="230"/>
      <c r="Q299" s="230"/>
      <c r="R299" s="256"/>
      <c r="S299" s="257"/>
      <c r="T299" s="228"/>
      <c r="U299" s="228"/>
      <c r="V299" s="245"/>
      <c r="W299" s="254"/>
      <c r="X299" s="254"/>
      <c r="Y299" s="228"/>
      <c r="Z299" s="255"/>
      <c r="AA299" s="248"/>
      <c r="AB299" s="248"/>
      <c r="AC299" s="248"/>
      <c r="AD299" s="247"/>
      <c r="AE299" s="228"/>
      <c r="AF299" s="228"/>
      <c r="AG299" s="248"/>
      <c r="AH299" s="248"/>
      <c r="AI299" s="194"/>
      <c r="AJ299" s="249"/>
      <c r="AK299" s="250"/>
      <c r="AL299" s="251"/>
      <c r="AM299" s="252"/>
      <c r="AN299" s="241"/>
      <c r="AO299" s="241"/>
      <c r="AP299" s="241"/>
      <c r="AQ299" s="194"/>
      <c r="AR299" s="195"/>
      <c r="AS299" s="195"/>
    </row>
    <row r="300" spans="2:45">
      <c r="B300" s="253"/>
      <c r="C300" s="230"/>
      <c r="D300" s="245"/>
      <c r="E300" s="230"/>
      <c r="F300" s="230"/>
      <c r="G300" s="230"/>
      <c r="H300" s="230"/>
      <c r="I300" s="228"/>
      <c r="J300" s="228"/>
      <c r="K300" s="230"/>
      <c r="L300" s="230"/>
      <c r="M300" s="246"/>
      <c r="N300" s="230"/>
      <c r="O300" s="230"/>
      <c r="P300" s="230"/>
      <c r="Q300" s="230"/>
      <c r="R300" s="256"/>
      <c r="S300" s="257"/>
      <c r="T300" s="228"/>
      <c r="U300" s="228"/>
      <c r="V300" s="245"/>
      <c r="W300" s="254"/>
      <c r="X300" s="254"/>
      <c r="Y300" s="228"/>
      <c r="Z300" s="255"/>
      <c r="AA300" s="248"/>
      <c r="AB300" s="248"/>
      <c r="AC300" s="248"/>
      <c r="AD300" s="247"/>
      <c r="AE300" s="228"/>
      <c r="AF300" s="228"/>
      <c r="AG300" s="248"/>
      <c r="AH300" s="248"/>
      <c r="AI300" s="194"/>
      <c r="AJ300" s="249"/>
      <c r="AK300" s="250"/>
      <c r="AL300" s="251"/>
      <c r="AM300" s="252"/>
      <c r="AN300" s="241"/>
      <c r="AO300" s="241"/>
      <c r="AP300" s="241"/>
      <c r="AQ300" s="194"/>
      <c r="AR300" s="195"/>
      <c r="AS300" s="195"/>
    </row>
    <row r="301" spans="2:45">
      <c r="B301" s="253"/>
      <c r="C301" s="230"/>
      <c r="D301" s="245"/>
      <c r="E301" s="230"/>
      <c r="F301" s="230"/>
      <c r="G301" s="230"/>
      <c r="H301" s="230"/>
      <c r="I301" s="228"/>
      <c r="J301" s="228"/>
      <c r="K301" s="230"/>
      <c r="L301" s="230"/>
      <c r="M301" s="246"/>
      <c r="N301" s="230"/>
      <c r="O301" s="230"/>
      <c r="P301" s="230"/>
      <c r="Q301" s="230"/>
      <c r="R301" s="256"/>
      <c r="S301" s="257"/>
      <c r="T301" s="228"/>
      <c r="U301" s="228"/>
      <c r="V301" s="245"/>
      <c r="W301" s="254"/>
      <c r="X301" s="254"/>
      <c r="Y301" s="228"/>
      <c r="Z301" s="255"/>
      <c r="AA301" s="248"/>
      <c r="AB301" s="248"/>
      <c r="AC301" s="248"/>
      <c r="AD301" s="247"/>
      <c r="AE301" s="228"/>
      <c r="AF301" s="228"/>
      <c r="AG301" s="248"/>
      <c r="AH301" s="248"/>
      <c r="AI301" s="194"/>
      <c r="AJ301" s="249"/>
      <c r="AK301" s="250"/>
      <c r="AL301" s="251"/>
      <c r="AM301" s="252"/>
      <c r="AN301" s="241"/>
      <c r="AO301" s="241"/>
      <c r="AP301" s="241"/>
      <c r="AQ301" s="194"/>
      <c r="AR301" s="195"/>
      <c r="AS301" s="195"/>
    </row>
    <row r="302" spans="2:45">
      <c r="B302" s="253"/>
      <c r="C302" s="230"/>
      <c r="D302" s="245"/>
      <c r="E302" s="230"/>
      <c r="F302" s="230"/>
      <c r="G302" s="230"/>
      <c r="H302" s="230"/>
      <c r="I302" s="228"/>
      <c r="J302" s="228"/>
      <c r="K302" s="230"/>
      <c r="L302" s="230"/>
      <c r="M302" s="246"/>
      <c r="N302" s="230"/>
      <c r="O302" s="230"/>
      <c r="P302" s="230"/>
      <c r="Q302" s="230"/>
      <c r="R302" s="256"/>
      <c r="S302" s="257"/>
      <c r="T302" s="228"/>
      <c r="U302" s="228"/>
      <c r="V302" s="245"/>
      <c r="W302" s="254"/>
      <c r="X302" s="254"/>
      <c r="Y302" s="228"/>
      <c r="Z302" s="255"/>
      <c r="AA302" s="248"/>
      <c r="AB302" s="248"/>
      <c r="AC302" s="248"/>
      <c r="AD302" s="247"/>
      <c r="AE302" s="228"/>
      <c r="AF302" s="228"/>
      <c r="AG302" s="248"/>
      <c r="AH302" s="248"/>
      <c r="AI302" s="194"/>
      <c r="AJ302" s="249"/>
      <c r="AK302" s="250"/>
      <c r="AL302" s="251"/>
      <c r="AM302" s="252"/>
      <c r="AN302" s="241"/>
      <c r="AO302" s="241"/>
      <c r="AP302" s="241"/>
      <c r="AQ302" s="194"/>
      <c r="AR302" s="195"/>
      <c r="AS302" s="195"/>
    </row>
    <row r="303" spans="2:45">
      <c r="B303" s="253"/>
      <c r="C303" s="230"/>
      <c r="D303" s="245"/>
      <c r="E303" s="230"/>
      <c r="F303" s="230"/>
      <c r="G303" s="230"/>
      <c r="H303" s="230"/>
      <c r="I303" s="228"/>
      <c r="J303" s="228"/>
      <c r="K303" s="230"/>
      <c r="L303" s="230"/>
      <c r="M303" s="246"/>
      <c r="N303" s="230"/>
      <c r="O303" s="230"/>
      <c r="P303" s="230"/>
      <c r="Q303" s="230"/>
      <c r="R303" s="256"/>
      <c r="S303" s="257"/>
      <c r="T303" s="228"/>
      <c r="U303" s="228"/>
      <c r="V303" s="245"/>
      <c r="W303" s="254"/>
      <c r="X303" s="254"/>
      <c r="Y303" s="228"/>
      <c r="Z303" s="255"/>
      <c r="AA303" s="248"/>
      <c r="AB303" s="248"/>
      <c r="AC303" s="248"/>
      <c r="AD303" s="247"/>
      <c r="AE303" s="228"/>
      <c r="AF303" s="228"/>
      <c r="AG303" s="248"/>
      <c r="AH303" s="248"/>
      <c r="AI303" s="194"/>
      <c r="AJ303" s="249"/>
      <c r="AK303" s="250"/>
      <c r="AL303" s="251"/>
      <c r="AM303" s="252"/>
      <c r="AN303" s="241"/>
      <c r="AO303" s="241"/>
      <c r="AP303" s="241"/>
      <c r="AQ303" s="194"/>
      <c r="AR303" s="195"/>
      <c r="AS303" s="195"/>
    </row>
    <row r="304" spans="2:45">
      <c r="B304" s="253"/>
      <c r="C304" s="230"/>
      <c r="D304" s="245"/>
      <c r="E304" s="230"/>
      <c r="F304" s="230"/>
      <c r="G304" s="230"/>
      <c r="H304" s="230"/>
      <c r="I304" s="228"/>
      <c r="J304" s="228"/>
      <c r="K304" s="230"/>
      <c r="L304" s="230"/>
      <c r="M304" s="246"/>
      <c r="N304" s="230"/>
      <c r="O304" s="230"/>
      <c r="P304" s="230"/>
      <c r="Q304" s="230"/>
      <c r="R304" s="256"/>
      <c r="S304" s="257"/>
      <c r="T304" s="228"/>
      <c r="U304" s="228"/>
      <c r="V304" s="245"/>
      <c r="W304" s="254"/>
      <c r="X304" s="254"/>
      <c r="Y304" s="228"/>
      <c r="Z304" s="255"/>
      <c r="AA304" s="248"/>
      <c r="AB304" s="248"/>
      <c r="AC304" s="248"/>
      <c r="AD304" s="247"/>
      <c r="AE304" s="228"/>
      <c r="AF304" s="228"/>
      <c r="AG304" s="248"/>
      <c r="AH304" s="248"/>
      <c r="AI304" s="194"/>
      <c r="AJ304" s="249"/>
      <c r="AK304" s="250"/>
      <c r="AL304" s="251"/>
      <c r="AM304" s="252"/>
      <c r="AN304" s="241"/>
      <c r="AO304" s="241"/>
      <c r="AP304" s="241"/>
      <c r="AQ304" s="194"/>
      <c r="AR304" s="195"/>
      <c r="AS304" s="195"/>
    </row>
    <row r="305" spans="2:45">
      <c r="B305" s="253"/>
      <c r="C305" s="230"/>
      <c r="D305" s="245"/>
      <c r="E305" s="230"/>
      <c r="F305" s="230"/>
      <c r="G305" s="230"/>
      <c r="H305" s="230"/>
      <c r="I305" s="228"/>
      <c r="J305" s="228"/>
      <c r="K305" s="230"/>
      <c r="L305" s="230"/>
      <c r="M305" s="246"/>
      <c r="N305" s="230"/>
      <c r="O305" s="230"/>
      <c r="P305" s="230"/>
      <c r="Q305" s="230"/>
      <c r="R305" s="256"/>
      <c r="S305" s="257"/>
      <c r="T305" s="228"/>
      <c r="U305" s="228"/>
      <c r="V305" s="245"/>
      <c r="W305" s="254"/>
      <c r="X305" s="254"/>
      <c r="Y305" s="228"/>
      <c r="Z305" s="255"/>
      <c r="AA305" s="248"/>
      <c r="AB305" s="248"/>
      <c r="AC305" s="248"/>
      <c r="AD305" s="247"/>
      <c r="AE305" s="228"/>
      <c r="AF305" s="228"/>
      <c r="AG305" s="248"/>
      <c r="AH305" s="248"/>
      <c r="AI305" s="194"/>
      <c r="AJ305" s="249"/>
      <c r="AK305" s="250"/>
      <c r="AL305" s="251"/>
      <c r="AM305" s="252"/>
      <c r="AN305" s="241"/>
      <c r="AO305" s="241"/>
      <c r="AP305" s="241"/>
      <c r="AQ305" s="194"/>
      <c r="AR305" s="195"/>
      <c r="AS305" s="195"/>
    </row>
    <row r="306" spans="2:45">
      <c r="B306" s="253"/>
      <c r="C306" s="230"/>
      <c r="D306" s="245"/>
      <c r="E306" s="230"/>
      <c r="F306" s="230"/>
      <c r="G306" s="230"/>
      <c r="H306" s="230"/>
      <c r="I306" s="228"/>
      <c r="J306" s="228"/>
      <c r="K306" s="230"/>
      <c r="L306" s="230"/>
      <c r="M306" s="246"/>
      <c r="N306" s="230"/>
      <c r="O306" s="230"/>
      <c r="P306" s="230"/>
      <c r="Q306" s="230"/>
      <c r="R306" s="256"/>
      <c r="S306" s="257"/>
      <c r="T306" s="228"/>
      <c r="U306" s="228"/>
      <c r="V306" s="245"/>
      <c r="W306" s="254"/>
      <c r="X306" s="254"/>
      <c r="Y306" s="228"/>
      <c r="Z306" s="255"/>
      <c r="AA306" s="248"/>
      <c r="AB306" s="248"/>
      <c r="AC306" s="248"/>
      <c r="AD306" s="247"/>
      <c r="AE306" s="228"/>
      <c r="AF306" s="228"/>
      <c r="AG306" s="248"/>
      <c r="AH306" s="248"/>
      <c r="AI306" s="194"/>
      <c r="AJ306" s="249"/>
      <c r="AK306" s="250"/>
      <c r="AL306" s="251"/>
      <c r="AM306" s="252"/>
      <c r="AN306" s="241"/>
      <c r="AO306" s="241"/>
      <c r="AP306" s="241"/>
      <c r="AQ306" s="194"/>
      <c r="AR306" s="195"/>
      <c r="AS306" s="195"/>
    </row>
    <row r="307" spans="2:45">
      <c r="B307" s="253"/>
      <c r="C307" s="230"/>
      <c r="D307" s="245"/>
      <c r="E307" s="230"/>
      <c r="F307" s="230"/>
      <c r="G307" s="230"/>
      <c r="H307" s="230"/>
      <c r="I307" s="228"/>
      <c r="J307" s="228"/>
      <c r="K307" s="230"/>
      <c r="L307" s="230"/>
      <c r="M307" s="246"/>
      <c r="N307" s="230"/>
      <c r="O307" s="230"/>
      <c r="P307" s="230"/>
      <c r="Q307" s="230"/>
      <c r="R307" s="256"/>
      <c r="S307" s="257"/>
      <c r="T307" s="228"/>
      <c r="U307" s="228"/>
      <c r="V307" s="245"/>
      <c r="W307" s="254"/>
      <c r="X307" s="254"/>
      <c r="Y307" s="228"/>
      <c r="Z307" s="255"/>
      <c r="AA307" s="248"/>
      <c r="AB307" s="248"/>
      <c r="AC307" s="248"/>
      <c r="AD307" s="247"/>
      <c r="AE307" s="228"/>
      <c r="AF307" s="228"/>
      <c r="AG307" s="248"/>
      <c r="AH307" s="248"/>
      <c r="AI307" s="194"/>
      <c r="AJ307" s="249"/>
      <c r="AK307" s="250"/>
      <c r="AL307" s="251"/>
      <c r="AM307" s="252"/>
      <c r="AN307" s="241"/>
      <c r="AO307" s="241"/>
      <c r="AP307" s="241"/>
      <c r="AQ307" s="194"/>
      <c r="AR307" s="195"/>
      <c r="AS307" s="195"/>
    </row>
    <row r="308" spans="2:45">
      <c r="B308" s="253"/>
      <c r="C308" s="230"/>
      <c r="D308" s="245"/>
      <c r="E308" s="230"/>
      <c r="F308" s="230"/>
      <c r="G308" s="230"/>
      <c r="H308" s="230"/>
      <c r="I308" s="228"/>
      <c r="J308" s="228"/>
      <c r="K308" s="230"/>
      <c r="L308" s="230"/>
      <c r="M308" s="246"/>
      <c r="N308" s="230"/>
      <c r="O308" s="230"/>
      <c r="P308" s="230"/>
      <c r="Q308" s="230"/>
      <c r="R308" s="256"/>
      <c r="S308" s="257"/>
      <c r="T308" s="228"/>
      <c r="U308" s="228"/>
      <c r="V308" s="245"/>
      <c r="W308" s="254"/>
      <c r="X308" s="254"/>
      <c r="Y308" s="228"/>
      <c r="Z308" s="255"/>
      <c r="AA308" s="248"/>
      <c r="AB308" s="248"/>
      <c r="AC308" s="248"/>
      <c r="AD308" s="247"/>
      <c r="AE308" s="228"/>
      <c r="AF308" s="228"/>
      <c r="AG308" s="248"/>
      <c r="AH308" s="248"/>
      <c r="AI308" s="194"/>
      <c r="AJ308" s="249"/>
      <c r="AK308" s="250"/>
      <c r="AL308" s="251"/>
      <c r="AM308" s="252"/>
      <c r="AN308" s="241"/>
      <c r="AO308" s="241"/>
      <c r="AP308" s="241"/>
      <c r="AQ308" s="194"/>
      <c r="AR308" s="195"/>
      <c r="AS308" s="195"/>
    </row>
    <row r="309" spans="2:45">
      <c r="B309" s="253"/>
      <c r="C309" s="230"/>
      <c r="D309" s="245"/>
      <c r="E309" s="230"/>
      <c r="F309" s="230"/>
      <c r="G309" s="230"/>
      <c r="H309" s="230"/>
      <c r="I309" s="228"/>
      <c r="J309" s="228"/>
      <c r="K309" s="230"/>
      <c r="L309" s="230"/>
      <c r="M309" s="246"/>
      <c r="N309" s="230"/>
      <c r="O309" s="230"/>
      <c r="P309" s="230"/>
      <c r="Q309" s="230"/>
      <c r="R309" s="256"/>
      <c r="S309" s="257"/>
      <c r="T309" s="228"/>
      <c r="U309" s="228"/>
      <c r="V309" s="245"/>
      <c r="W309" s="254"/>
      <c r="X309" s="254"/>
      <c r="Y309" s="228"/>
      <c r="Z309" s="255"/>
      <c r="AA309" s="248"/>
      <c r="AB309" s="248"/>
      <c r="AC309" s="248"/>
      <c r="AD309" s="247"/>
      <c r="AE309" s="228"/>
      <c r="AF309" s="228"/>
      <c r="AG309" s="248"/>
      <c r="AH309" s="248"/>
      <c r="AI309" s="194"/>
      <c r="AJ309" s="249"/>
      <c r="AK309" s="250"/>
      <c r="AL309" s="251"/>
      <c r="AM309" s="252"/>
      <c r="AN309" s="241"/>
      <c r="AO309" s="241"/>
      <c r="AP309" s="241"/>
      <c r="AQ309" s="194"/>
      <c r="AR309" s="195"/>
      <c r="AS309" s="195"/>
    </row>
    <row r="310" spans="2:45">
      <c r="B310" s="253"/>
      <c r="C310" s="230"/>
      <c r="D310" s="245"/>
      <c r="E310" s="230"/>
      <c r="F310" s="230"/>
      <c r="G310" s="230"/>
      <c r="H310" s="230"/>
      <c r="I310" s="228"/>
      <c r="J310" s="228"/>
      <c r="K310" s="230"/>
      <c r="L310" s="230"/>
      <c r="M310" s="246"/>
      <c r="N310" s="230"/>
      <c r="O310" s="230"/>
      <c r="P310" s="230"/>
      <c r="Q310" s="230"/>
      <c r="R310" s="256"/>
      <c r="S310" s="257"/>
      <c r="T310" s="228"/>
      <c r="U310" s="228"/>
      <c r="V310" s="245"/>
      <c r="W310" s="254"/>
      <c r="X310" s="254"/>
      <c r="Y310" s="228"/>
      <c r="Z310" s="255"/>
      <c r="AA310" s="248"/>
      <c r="AB310" s="248"/>
      <c r="AC310" s="248"/>
      <c r="AD310" s="247"/>
      <c r="AE310" s="228"/>
      <c r="AF310" s="228"/>
      <c r="AG310" s="248"/>
      <c r="AH310" s="248"/>
      <c r="AI310" s="194"/>
      <c r="AJ310" s="249"/>
      <c r="AK310" s="250"/>
      <c r="AL310" s="251"/>
      <c r="AM310" s="252"/>
      <c r="AN310" s="241"/>
      <c r="AO310" s="241"/>
      <c r="AP310" s="241"/>
      <c r="AQ310" s="194"/>
      <c r="AR310" s="195"/>
      <c r="AS310" s="195"/>
    </row>
    <row r="311" spans="2:45">
      <c r="B311" s="253"/>
      <c r="C311" s="230"/>
      <c r="D311" s="245"/>
      <c r="E311" s="230"/>
      <c r="F311" s="230"/>
      <c r="G311" s="230"/>
      <c r="H311" s="230"/>
      <c r="I311" s="228"/>
      <c r="J311" s="228"/>
      <c r="K311" s="230"/>
      <c r="L311" s="230"/>
      <c r="M311" s="246"/>
      <c r="N311" s="230"/>
      <c r="O311" s="230"/>
      <c r="P311" s="230"/>
      <c r="Q311" s="230"/>
      <c r="R311" s="256"/>
      <c r="S311" s="257"/>
      <c r="T311" s="228"/>
      <c r="U311" s="228"/>
      <c r="V311" s="245"/>
      <c r="W311" s="254"/>
      <c r="X311" s="254"/>
      <c r="Y311" s="228"/>
      <c r="Z311" s="255"/>
      <c r="AA311" s="248"/>
      <c r="AB311" s="248"/>
      <c r="AC311" s="248"/>
      <c r="AD311" s="247"/>
      <c r="AE311" s="228"/>
      <c r="AF311" s="228"/>
      <c r="AG311" s="248"/>
      <c r="AH311" s="248"/>
      <c r="AI311" s="194"/>
      <c r="AJ311" s="249"/>
      <c r="AK311" s="250"/>
      <c r="AL311" s="251"/>
      <c r="AM311" s="252"/>
      <c r="AN311" s="241"/>
      <c r="AO311" s="241"/>
      <c r="AP311" s="241"/>
      <c r="AQ311" s="194"/>
      <c r="AR311" s="195"/>
      <c r="AS311" s="195"/>
    </row>
    <row r="312" spans="2:45">
      <c r="B312" s="253"/>
      <c r="C312" s="230"/>
      <c r="D312" s="245"/>
      <c r="E312" s="230"/>
      <c r="F312" s="230"/>
      <c r="G312" s="230"/>
      <c r="H312" s="230"/>
      <c r="I312" s="228"/>
      <c r="J312" s="228"/>
      <c r="K312" s="230"/>
      <c r="L312" s="230"/>
      <c r="M312" s="246"/>
      <c r="N312" s="230"/>
      <c r="O312" s="230"/>
      <c r="P312" s="230"/>
      <c r="Q312" s="230"/>
      <c r="R312" s="256"/>
      <c r="S312" s="257"/>
      <c r="T312" s="228"/>
      <c r="U312" s="228"/>
      <c r="V312" s="245"/>
      <c r="W312" s="254"/>
      <c r="X312" s="254"/>
      <c r="Y312" s="228"/>
      <c r="Z312" s="255"/>
      <c r="AA312" s="248"/>
      <c r="AB312" s="248"/>
      <c r="AC312" s="248"/>
      <c r="AD312" s="247"/>
      <c r="AE312" s="228"/>
      <c r="AF312" s="228"/>
      <c r="AG312" s="248"/>
      <c r="AH312" s="248"/>
      <c r="AI312" s="194"/>
      <c r="AJ312" s="249"/>
      <c r="AK312" s="250"/>
      <c r="AL312" s="251"/>
      <c r="AM312" s="252"/>
      <c r="AN312" s="241"/>
      <c r="AO312" s="241"/>
      <c r="AP312" s="241"/>
      <c r="AQ312" s="194"/>
      <c r="AR312" s="195"/>
      <c r="AS312" s="195"/>
    </row>
    <row r="313" spans="2:45">
      <c r="B313" s="253"/>
      <c r="C313" s="230"/>
      <c r="D313" s="245"/>
      <c r="E313" s="230"/>
      <c r="F313" s="230"/>
      <c r="G313" s="230"/>
      <c r="H313" s="230"/>
      <c r="I313" s="228"/>
      <c r="J313" s="228"/>
      <c r="K313" s="230"/>
      <c r="L313" s="230"/>
      <c r="M313" s="246"/>
      <c r="N313" s="230"/>
      <c r="O313" s="230"/>
      <c r="P313" s="230"/>
      <c r="Q313" s="230"/>
      <c r="R313" s="256"/>
      <c r="S313" s="257"/>
      <c r="T313" s="228"/>
      <c r="U313" s="228"/>
      <c r="V313" s="245"/>
      <c r="W313" s="254"/>
      <c r="X313" s="254"/>
      <c r="Y313" s="228"/>
      <c r="Z313" s="255"/>
      <c r="AA313" s="248"/>
      <c r="AB313" s="248"/>
      <c r="AC313" s="248"/>
      <c r="AD313" s="247"/>
      <c r="AE313" s="228"/>
      <c r="AF313" s="228"/>
      <c r="AG313" s="248"/>
      <c r="AH313" s="248"/>
      <c r="AI313" s="194"/>
      <c r="AJ313" s="249"/>
      <c r="AK313" s="250"/>
      <c r="AL313" s="251"/>
      <c r="AM313" s="252"/>
      <c r="AN313" s="241"/>
      <c r="AO313" s="241"/>
      <c r="AP313" s="241"/>
      <c r="AQ313" s="194"/>
      <c r="AR313" s="195"/>
      <c r="AS313" s="195"/>
    </row>
    <row r="314" spans="2:45">
      <c r="B314" s="253"/>
      <c r="C314" s="230"/>
      <c r="D314" s="245"/>
      <c r="E314" s="230"/>
      <c r="F314" s="230"/>
      <c r="G314" s="230"/>
      <c r="H314" s="230"/>
      <c r="I314" s="228"/>
      <c r="J314" s="228"/>
      <c r="K314" s="230"/>
      <c r="L314" s="230"/>
      <c r="M314" s="246"/>
      <c r="N314" s="230"/>
      <c r="O314" s="230"/>
      <c r="P314" s="230"/>
      <c r="Q314" s="230"/>
      <c r="R314" s="256"/>
      <c r="S314" s="257"/>
      <c r="T314" s="228"/>
      <c r="U314" s="228"/>
      <c r="V314" s="245"/>
      <c r="W314" s="254"/>
      <c r="X314" s="254"/>
      <c r="Y314" s="228"/>
      <c r="Z314" s="255"/>
      <c r="AA314" s="248"/>
      <c r="AB314" s="248"/>
      <c r="AC314" s="248"/>
      <c r="AD314" s="247"/>
      <c r="AE314" s="228"/>
      <c r="AF314" s="228"/>
      <c r="AG314" s="248"/>
      <c r="AH314" s="248"/>
      <c r="AI314" s="194"/>
      <c r="AJ314" s="249"/>
      <c r="AK314" s="250"/>
      <c r="AL314" s="251"/>
      <c r="AM314" s="252"/>
      <c r="AN314" s="241"/>
      <c r="AO314" s="241"/>
      <c r="AP314" s="241"/>
      <c r="AQ314" s="194"/>
      <c r="AR314" s="195"/>
      <c r="AS314" s="195"/>
    </row>
    <row r="315" spans="2:45">
      <c r="B315" s="253"/>
      <c r="C315" s="230"/>
      <c r="D315" s="245"/>
      <c r="E315" s="230"/>
      <c r="F315" s="230"/>
      <c r="G315" s="230"/>
      <c r="H315" s="230"/>
      <c r="I315" s="228"/>
      <c r="J315" s="228"/>
      <c r="K315" s="230"/>
      <c r="L315" s="230"/>
      <c r="M315" s="246"/>
      <c r="N315" s="230"/>
      <c r="O315" s="230"/>
      <c r="P315" s="230"/>
      <c r="Q315" s="230"/>
      <c r="R315" s="256"/>
      <c r="S315" s="257"/>
      <c r="T315" s="228"/>
      <c r="U315" s="228"/>
      <c r="V315" s="245"/>
      <c r="W315" s="254"/>
      <c r="X315" s="254"/>
      <c r="Y315" s="228"/>
      <c r="Z315" s="255"/>
      <c r="AA315" s="248"/>
      <c r="AB315" s="248"/>
      <c r="AC315" s="248"/>
      <c r="AD315" s="247"/>
      <c r="AE315" s="228"/>
      <c r="AF315" s="228"/>
      <c r="AG315" s="248"/>
      <c r="AH315" s="248"/>
      <c r="AI315" s="194"/>
      <c r="AJ315" s="249"/>
      <c r="AK315" s="250"/>
      <c r="AL315" s="251"/>
      <c r="AM315" s="252"/>
      <c r="AN315" s="241"/>
      <c r="AO315" s="241"/>
      <c r="AP315" s="241"/>
      <c r="AQ315" s="194"/>
      <c r="AR315" s="195"/>
      <c r="AS315" s="195"/>
    </row>
    <row r="316" spans="2:45">
      <c r="B316" s="253"/>
      <c r="C316" s="230"/>
      <c r="D316" s="245"/>
      <c r="E316" s="230"/>
      <c r="F316" s="230"/>
      <c r="G316" s="230"/>
      <c r="H316" s="230"/>
      <c r="I316" s="228"/>
      <c r="J316" s="228"/>
      <c r="K316" s="230"/>
      <c r="L316" s="230"/>
      <c r="M316" s="246"/>
      <c r="N316" s="230"/>
      <c r="O316" s="230"/>
      <c r="P316" s="230"/>
      <c r="Q316" s="230"/>
      <c r="R316" s="256"/>
      <c r="S316" s="257"/>
      <c r="T316" s="228"/>
      <c r="U316" s="228"/>
      <c r="V316" s="245"/>
      <c r="W316" s="254"/>
      <c r="X316" s="254"/>
      <c r="Y316" s="228"/>
      <c r="Z316" s="255"/>
      <c r="AA316" s="248"/>
      <c r="AB316" s="248"/>
      <c r="AC316" s="248"/>
      <c r="AD316" s="247"/>
      <c r="AE316" s="228"/>
      <c r="AF316" s="228"/>
      <c r="AG316" s="248"/>
      <c r="AH316" s="248"/>
      <c r="AI316" s="194"/>
      <c r="AJ316" s="249"/>
      <c r="AK316" s="250"/>
      <c r="AL316" s="251"/>
      <c r="AM316" s="252"/>
      <c r="AN316" s="241"/>
      <c r="AO316" s="241"/>
      <c r="AP316" s="241"/>
      <c r="AQ316" s="194"/>
      <c r="AR316" s="195"/>
      <c r="AS316" s="195"/>
    </row>
    <row r="317" spans="2:45">
      <c r="B317" s="253"/>
      <c r="C317" s="230"/>
      <c r="D317" s="245"/>
      <c r="E317" s="230"/>
      <c r="F317" s="230"/>
      <c r="G317" s="230"/>
      <c r="H317" s="230"/>
      <c r="I317" s="228"/>
      <c r="J317" s="228"/>
      <c r="K317" s="230"/>
      <c r="L317" s="230"/>
      <c r="M317" s="246"/>
      <c r="N317" s="230"/>
      <c r="O317" s="230"/>
      <c r="P317" s="230"/>
      <c r="Q317" s="230"/>
      <c r="R317" s="256"/>
      <c r="S317" s="257"/>
      <c r="T317" s="228"/>
      <c r="U317" s="228"/>
      <c r="V317" s="245"/>
      <c r="W317" s="254"/>
      <c r="X317" s="254"/>
      <c r="Y317" s="228"/>
      <c r="Z317" s="255"/>
      <c r="AA317" s="248"/>
      <c r="AB317" s="248"/>
      <c r="AC317" s="248"/>
      <c r="AD317" s="247"/>
      <c r="AE317" s="228"/>
      <c r="AF317" s="228"/>
      <c r="AG317" s="248"/>
      <c r="AH317" s="248"/>
      <c r="AI317" s="194"/>
      <c r="AJ317" s="249"/>
      <c r="AK317" s="250"/>
      <c r="AL317" s="251"/>
      <c r="AM317" s="252"/>
      <c r="AN317" s="241"/>
      <c r="AO317" s="241"/>
      <c r="AP317" s="241"/>
      <c r="AQ317" s="194"/>
      <c r="AR317" s="195"/>
      <c r="AS317" s="195"/>
    </row>
    <row r="318" spans="2:45">
      <c r="B318" s="253"/>
      <c r="C318" s="230"/>
      <c r="D318" s="245"/>
      <c r="E318" s="230"/>
      <c r="F318" s="230"/>
      <c r="G318" s="230"/>
      <c r="H318" s="230"/>
      <c r="I318" s="228"/>
      <c r="J318" s="228"/>
      <c r="K318" s="230"/>
      <c r="L318" s="230"/>
      <c r="M318" s="246"/>
      <c r="N318" s="230"/>
      <c r="O318" s="230"/>
      <c r="P318" s="230"/>
      <c r="Q318" s="230"/>
      <c r="R318" s="256"/>
      <c r="S318" s="257"/>
      <c r="T318" s="228"/>
      <c r="U318" s="228"/>
      <c r="V318" s="245"/>
      <c r="W318" s="254"/>
      <c r="X318" s="254"/>
      <c r="Y318" s="228"/>
      <c r="Z318" s="255"/>
      <c r="AA318" s="248"/>
      <c r="AB318" s="248"/>
      <c r="AC318" s="248"/>
      <c r="AD318" s="247"/>
      <c r="AE318" s="228"/>
      <c r="AF318" s="228"/>
      <c r="AG318" s="248"/>
      <c r="AH318" s="248"/>
      <c r="AI318" s="194"/>
      <c r="AJ318" s="249"/>
      <c r="AK318" s="250"/>
      <c r="AL318" s="251"/>
      <c r="AM318" s="252"/>
      <c r="AN318" s="241"/>
      <c r="AO318" s="241"/>
      <c r="AP318" s="241"/>
      <c r="AQ318" s="194"/>
      <c r="AR318" s="195"/>
      <c r="AS318" s="195"/>
    </row>
    <row r="319" spans="2:45">
      <c r="B319" s="253"/>
      <c r="C319" s="230"/>
      <c r="D319" s="245"/>
      <c r="E319" s="230"/>
      <c r="F319" s="230"/>
      <c r="G319" s="230"/>
      <c r="H319" s="230"/>
      <c r="I319" s="228"/>
      <c r="J319" s="228"/>
      <c r="K319" s="230"/>
      <c r="L319" s="230"/>
      <c r="M319" s="246"/>
      <c r="N319" s="230"/>
      <c r="O319" s="230"/>
      <c r="P319" s="230"/>
      <c r="Q319" s="230"/>
      <c r="R319" s="256"/>
      <c r="S319" s="257"/>
      <c r="T319" s="228"/>
      <c r="U319" s="228"/>
      <c r="V319" s="245"/>
      <c r="W319" s="254"/>
      <c r="X319" s="254"/>
      <c r="Y319" s="228"/>
      <c r="Z319" s="255"/>
      <c r="AA319" s="248"/>
      <c r="AB319" s="248"/>
      <c r="AC319" s="248"/>
      <c r="AD319" s="247"/>
      <c r="AE319" s="228"/>
      <c r="AF319" s="228"/>
      <c r="AG319" s="248"/>
      <c r="AH319" s="248"/>
      <c r="AI319" s="194"/>
      <c r="AJ319" s="249"/>
      <c r="AK319" s="250"/>
      <c r="AL319" s="251"/>
      <c r="AM319" s="252"/>
      <c r="AN319" s="241"/>
      <c r="AO319" s="241"/>
      <c r="AP319" s="241"/>
      <c r="AQ319" s="194"/>
      <c r="AR319" s="195"/>
      <c r="AS319" s="195"/>
    </row>
    <row r="320" spans="2:45">
      <c r="B320" s="253"/>
      <c r="C320" s="230"/>
      <c r="D320" s="245"/>
      <c r="E320" s="230"/>
      <c r="F320" s="230"/>
      <c r="G320" s="230"/>
      <c r="H320" s="230"/>
      <c r="I320" s="228"/>
      <c r="J320" s="228"/>
      <c r="K320" s="230"/>
      <c r="L320" s="230"/>
      <c r="M320" s="246"/>
      <c r="N320" s="230"/>
      <c r="O320" s="230"/>
      <c r="P320" s="230"/>
      <c r="Q320" s="230"/>
      <c r="R320" s="256"/>
      <c r="S320" s="257"/>
      <c r="T320" s="228"/>
      <c r="U320" s="228"/>
      <c r="V320" s="245"/>
      <c r="W320" s="254"/>
      <c r="X320" s="254"/>
      <c r="Y320" s="228"/>
      <c r="Z320" s="255"/>
      <c r="AA320" s="248"/>
      <c r="AB320" s="248"/>
      <c r="AC320" s="248"/>
      <c r="AD320" s="247"/>
      <c r="AE320" s="228"/>
      <c r="AF320" s="228"/>
      <c r="AG320" s="248"/>
      <c r="AH320" s="248"/>
      <c r="AI320" s="194"/>
      <c r="AJ320" s="249"/>
      <c r="AK320" s="250"/>
      <c r="AL320" s="251"/>
      <c r="AM320" s="252"/>
      <c r="AN320" s="241"/>
      <c r="AO320" s="241"/>
      <c r="AP320" s="241"/>
      <c r="AQ320" s="194"/>
      <c r="AR320" s="195"/>
      <c r="AS320" s="195"/>
    </row>
    <row r="321" spans="2:45">
      <c r="B321" s="253"/>
      <c r="C321" s="230"/>
      <c r="D321" s="245"/>
      <c r="E321" s="230"/>
      <c r="F321" s="230"/>
      <c r="G321" s="230"/>
      <c r="H321" s="230"/>
      <c r="I321" s="228"/>
      <c r="J321" s="228"/>
      <c r="K321" s="230"/>
      <c r="L321" s="230"/>
      <c r="M321" s="246"/>
      <c r="N321" s="230"/>
      <c r="O321" s="230"/>
      <c r="P321" s="230"/>
      <c r="Q321" s="230"/>
      <c r="R321" s="256"/>
      <c r="S321" s="257"/>
      <c r="T321" s="228"/>
      <c r="U321" s="228"/>
      <c r="V321" s="245"/>
      <c r="W321" s="254"/>
      <c r="X321" s="254"/>
      <c r="Y321" s="228"/>
      <c r="Z321" s="255"/>
      <c r="AA321" s="248"/>
      <c r="AB321" s="248"/>
      <c r="AC321" s="248"/>
      <c r="AD321" s="247"/>
      <c r="AE321" s="228"/>
      <c r="AF321" s="228"/>
      <c r="AG321" s="248"/>
      <c r="AH321" s="248"/>
      <c r="AI321" s="194"/>
      <c r="AJ321" s="249"/>
      <c r="AK321" s="250"/>
      <c r="AL321" s="251"/>
      <c r="AM321" s="252"/>
      <c r="AN321" s="241"/>
      <c r="AO321" s="241"/>
      <c r="AP321" s="241"/>
      <c r="AQ321" s="194"/>
      <c r="AR321" s="195"/>
      <c r="AS321" s="195"/>
    </row>
    <row r="322" spans="2:45">
      <c r="B322" s="253"/>
      <c r="C322" s="230"/>
      <c r="D322" s="245"/>
      <c r="E322" s="230"/>
      <c r="F322" s="230"/>
      <c r="G322" s="230"/>
      <c r="H322" s="230"/>
      <c r="I322" s="228"/>
      <c r="J322" s="228"/>
      <c r="K322" s="230"/>
      <c r="L322" s="230"/>
      <c r="M322" s="246"/>
      <c r="N322" s="230"/>
      <c r="O322" s="230"/>
      <c r="P322" s="230"/>
      <c r="Q322" s="230"/>
      <c r="R322" s="256"/>
      <c r="S322" s="257"/>
      <c r="T322" s="228"/>
      <c r="U322" s="228"/>
      <c r="V322" s="245"/>
      <c r="W322" s="254"/>
      <c r="X322" s="254"/>
      <c r="Y322" s="228"/>
      <c r="Z322" s="255"/>
      <c r="AA322" s="248"/>
      <c r="AB322" s="248"/>
      <c r="AC322" s="248"/>
      <c r="AD322" s="247"/>
      <c r="AE322" s="228"/>
      <c r="AF322" s="228"/>
      <c r="AG322" s="248"/>
      <c r="AH322" s="248"/>
      <c r="AI322" s="194"/>
      <c r="AJ322" s="249"/>
      <c r="AK322" s="250"/>
      <c r="AL322" s="251"/>
      <c r="AM322" s="252"/>
      <c r="AN322" s="241"/>
      <c r="AO322" s="241"/>
      <c r="AP322" s="241"/>
      <c r="AQ322" s="194"/>
      <c r="AR322" s="195"/>
      <c r="AS322" s="195"/>
    </row>
    <row r="323" spans="2:45">
      <c r="B323" s="253"/>
      <c r="C323" s="230"/>
      <c r="D323" s="245"/>
      <c r="E323" s="230"/>
      <c r="F323" s="230"/>
      <c r="G323" s="230"/>
      <c r="H323" s="230"/>
      <c r="I323" s="228"/>
      <c r="J323" s="228"/>
      <c r="K323" s="230"/>
      <c r="L323" s="230"/>
      <c r="M323" s="246"/>
      <c r="N323" s="230"/>
      <c r="O323" s="230"/>
      <c r="P323" s="230"/>
      <c r="Q323" s="230"/>
      <c r="R323" s="256"/>
      <c r="S323" s="257"/>
      <c r="T323" s="228"/>
      <c r="U323" s="228"/>
      <c r="V323" s="245"/>
      <c r="W323" s="254"/>
      <c r="X323" s="254"/>
      <c r="Y323" s="228"/>
      <c r="Z323" s="255"/>
      <c r="AA323" s="248"/>
      <c r="AB323" s="248"/>
      <c r="AC323" s="248"/>
      <c r="AD323" s="247"/>
      <c r="AE323" s="228"/>
      <c r="AF323" s="228"/>
      <c r="AG323" s="248"/>
      <c r="AH323" s="248"/>
      <c r="AI323" s="194"/>
      <c r="AJ323" s="249"/>
      <c r="AK323" s="250"/>
      <c r="AL323" s="251"/>
      <c r="AM323" s="252"/>
      <c r="AN323" s="241"/>
      <c r="AO323" s="241"/>
      <c r="AP323" s="241"/>
      <c r="AQ323" s="194"/>
      <c r="AR323" s="195"/>
      <c r="AS323" s="195"/>
    </row>
    <row r="324" spans="2:45">
      <c r="B324" s="253"/>
      <c r="C324" s="230"/>
      <c r="D324" s="245"/>
      <c r="E324" s="230"/>
      <c r="F324" s="230"/>
      <c r="G324" s="230"/>
      <c r="H324" s="230"/>
      <c r="I324" s="228"/>
      <c r="J324" s="228"/>
      <c r="K324" s="230"/>
      <c r="L324" s="230"/>
      <c r="M324" s="246"/>
      <c r="N324" s="230"/>
      <c r="O324" s="230"/>
      <c r="P324" s="230"/>
      <c r="Q324" s="230"/>
      <c r="R324" s="256"/>
      <c r="S324" s="257"/>
      <c r="T324" s="228"/>
      <c r="U324" s="228"/>
      <c r="V324" s="245"/>
      <c r="W324" s="254"/>
      <c r="X324" s="254"/>
      <c r="Y324" s="228"/>
      <c r="Z324" s="255"/>
      <c r="AA324" s="248"/>
      <c r="AB324" s="248"/>
      <c r="AC324" s="248"/>
      <c r="AD324" s="247"/>
      <c r="AE324" s="228"/>
      <c r="AF324" s="228"/>
      <c r="AG324" s="248"/>
      <c r="AH324" s="248"/>
      <c r="AI324" s="194"/>
      <c r="AJ324" s="249"/>
      <c r="AK324" s="250"/>
      <c r="AL324" s="251"/>
      <c r="AM324" s="252"/>
      <c r="AN324" s="241"/>
      <c r="AO324" s="241"/>
      <c r="AP324" s="241"/>
      <c r="AQ324" s="194"/>
      <c r="AR324" s="195"/>
      <c r="AS324" s="195"/>
    </row>
    <row r="325" spans="2:45">
      <c r="B325" s="253"/>
      <c r="C325" s="230"/>
      <c r="D325" s="245"/>
      <c r="E325" s="230"/>
      <c r="F325" s="230"/>
      <c r="G325" s="230"/>
      <c r="H325" s="230"/>
      <c r="I325" s="228"/>
      <c r="J325" s="228"/>
      <c r="K325" s="230"/>
      <c r="L325" s="230"/>
      <c r="M325" s="246"/>
      <c r="N325" s="230"/>
      <c r="O325" s="230"/>
      <c r="P325" s="230"/>
      <c r="Q325" s="230"/>
      <c r="R325" s="256"/>
      <c r="S325" s="257"/>
      <c r="T325" s="228"/>
      <c r="U325" s="228"/>
      <c r="V325" s="245"/>
      <c r="W325" s="254"/>
      <c r="X325" s="254"/>
      <c r="Y325" s="228"/>
      <c r="Z325" s="255"/>
      <c r="AA325" s="248"/>
      <c r="AB325" s="248"/>
      <c r="AC325" s="248"/>
      <c r="AD325" s="247"/>
      <c r="AE325" s="228"/>
      <c r="AF325" s="228"/>
      <c r="AG325" s="248"/>
      <c r="AH325" s="248"/>
      <c r="AI325" s="194"/>
      <c r="AJ325" s="249"/>
      <c r="AK325" s="250"/>
      <c r="AL325" s="251"/>
      <c r="AM325" s="252"/>
      <c r="AN325" s="241"/>
      <c r="AO325" s="241"/>
      <c r="AP325" s="241"/>
      <c r="AQ325" s="194"/>
      <c r="AR325" s="195"/>
      <c r="AS325" s="195"/>
    </row>
    <row r="326" spans="2:45">
      <c r="B326" s="253"/>
      <c r="C326" s="230"/>
      <c r="D326" s="245"/>
      <c r="E326" s="230"/>
      <c r="F326" s="230"/>
      <c r="G326" s="230"/>
      <c r="H326" s="230"/>
      <c r="I326" s="228"/>
      <c r="J326" s="228"/>
      <c r="K326" s="230"/>
      <c r="L326" s="230"/>
      <c r="M326" s="246"/>
      <c r="N326" s="230"/>
      <c r="O326" s="230"/>
      <c r="P326" s="230"/>
      <c r="Q326" s="230"/>
      <c r="R326" s="256"/>
      <c r="S326" s="257"/>
      <c r="T326" s="228"/>
      <c r="U326" s="228"/>
      <c r="V326" s="245"/>
      <c r="W326" s="254"/>
      <c r="X326" s="254"/>
      <c r="Y326" s="228"/>
      <c r="Z326" s="255"/>
      <c r="AA326" s="248"/>
      <c r="AB326" s="248"/>
      <c r="AC326" s="248"/>
      <c r="AD326" s="247"/>
      <c r="AE326" s="228"/>
      <c r="AF326" s="228"/>
      <c r="AG326" s="248"/>
      <c r="AH326" s="248"/>
      <c r="AI326" s="194"/>
      <c r="AJ326" s="249"/>
      <c r="AK326" s="250"/>
      <c r="AL326" s="251"/>
      <c r="AM326" s="252"/>
      <c r="AN326" s="241"/>
      <c r="AO326" s="241"/>
      <c r="AP326" s="241"/>
      <c r="AQ326" s="194"/>
      <c r="AR326" s="195"/>
      <c r="AS326" s="195"/>
    </row>
    <row r="327" spans="2:45">
      <c r="B327" s="253"/>
      <c r="C327" s="230"/>
      <c r="D327" s="245"/>
      <c r="E327" s="230"/>
      <c r="F327" s="230"/>
      <c r="G327" s="230"/>
      <c r="H327" s="230"/>
      <c r="I327" s="228"/>
      <c r="J327" s="228"/>
      <c r="K327" s="230"/>
      <c r="L327" s="230"/>
      <c r="M327" s="246"/>
      <c r="N327" s="230"/>
      <c r="O327" s="230"/>
      <c r="P327" s="230"/>
      <c r="Q327" s="230"/>
      <c r="R327" s="256"/>
      <c r="S327" s="257"/>
      <c r="T327" s="228"/>
      <c r="U327" s="228"/>
      <c r="V327" s="245"/>
      <c r="W327" s="254"/>
      <c r="X327" s="254"/>
      <c r="Y327" s="228"/>
      <c r="Z327" s="255"/>
      <c r="AA327" s="248"/>
      <c r="AB327" s="248"/>
      <c r="AC327" s="248"/>
      <c r="AD327" s="247"/>
      <c r="AE327" s="228"/>
      <c r="AF327" s="228"/>
      <c r="AG327" s="248"/>
      <c r="AH327" s="248"/>
      <c r="AI327" s="194"/>
      <c r="AJ327" s="249"/>
      <c r="AK327" s="250"/>
      <c r="AL327" s="251"/>
      <c r="AM327" s="252"/>
      <c r="AN327" s="241"/>
      <c r="AO327" s="241"/>
      <c r="AP327" s="241"/>
      <c r="AQ327" s="194"/>
      <c r="AR327" s="195"/>
      <c r="AS327" s="195"/>
    </row>
    <row r="328" spans="2:45">
      <c r="B328" s="253"/>
      <c r="C328" s="230"/>
      <c r="D328" s="245"/>
      <c r="E328" s="230"/>
      <c r="F328" s="230"/>
      <c r="G328" s="230"/>
      <c r="H328" s="230"/>
      <c r="I328" s="228"/>
      <c r="J328" s="228"/>
      <c r="K328" s="230"/>
      <c r="L328" s="230"/>
      <c r="M328" s="246"/>
      <c r="N328" s="230"/>
      <c r="O328" s="230"/>
      <c r="P328" s="230"/>
      <c r="Q328" s="230"/>
      <c r="R328" s="256"/>
      <c r="S328" s="257"/>
      <c r="T328" s="228"/>
      <c r="U328" s="228"/>
      <c r="V328" s="245"/>
      <c r="W328" s="254"/>
      <c r="X328" s="254"/>
      <c r="Y328" s="228"/>
      <c r="Z328" s="255"/>
      <c r="AA328" s="248"/>
      <c r="AB328" s="248"/>
      <c r="AC328" s="248"/>
      <c r="AD328" s="247"/>
      <c r="AE328" s="228"/>
      <c r="AF328" s="228"/>
      <c r="AG328" s="248"/>
      <c r="AH328" s="248"/>
      <c r="AI328" s="194"/>
      <c r="AJ328" s="249"/>
      <c r="AK328" s="250"/>
      <c r="AL328" s="251"/>
      <c r="AM328" s="252"/>
      <c r="AN328" s="241"/>
      <c r="AO328" s="241"/>
      <c r="AP328" s="241"/>
      <c r="AQ328" s="194"/>
      <c r="AR328" s="195"/>
      <c r="AS328" s="195"/>
    </row>
    <row r="329" spans="2:45">
      <c r="B329" s="253"/>
      <c r="C329" s="230"/>
      <c r="D329" s="245"/>
      <c r="E329" s="230"/>
      <c r="F329" s="230"/>
      <c r="G329" s="230"/>
      <c r="H329" s="230"/>
      <c r="I329" s="228"/>
      <c r="J329" s="228"/>
      <c r="K329" s="230"/>
      <c r="L329" s="230"/>
      <c r="M329" s="246"/>
      <c r="N329" s="230"/>
      <c r="O329" s="230"/>
      <c r="P329" s="230"/>
      <c r="Q329" s="230"/>
      <c r="R329" s="256"/>
      <c r="S329" s="257"/>
      <c r="T329" s="228"/>
      <c r="U329" s="228"/>
      <c r="V329" s="245"/>
      <c r="W329" s="254"/>
      <c r="X329" s="254"/>
      <c r="Y329" s="228"/>
      <c r="Z329" s="255"/>
      <c r="AA329" s="248"/>
      <c r="AB329" s="248"/>
      <c r="AC329" s="248"/>
      <c r="AD329" s="247"/>
      <c r="AE329" s="228"/>
      <c r="AF329" s="228"/>
      <c r="AG329" s="248"/>
      <c r="AH329" s="248"/>
      <c r="AI329" s="194"/>
      <c r="AJ329" s="249"/>
      <c r="AK329" s="250"/>
      <c r="AL329" s="251"/>
      <c r="AM329" s="252"/>
      <c r="AN329" s="241"/>
      <c r="AO329" s="241"/>
      <c r="AP329" s="241"/>
      <c r="AQ329" s="194"/>
      <c r="AR329" s="195"/>
      <c r="AS329" s="195"/>
    </row>
    <row r="330" spans="2:45">
      <c r="B330" s="253"/>
      <c r="C330" s="230"/>
      <c r="D330" s="245"/>
      <c r="E330" s="230"/>
      <c r="F330" s="230"/>
      <c r="G330" s="230"/>
      <c r="H330" s="230"/>
      <c r="I330" s="228"/>
      <c r="J330" s="228"/>
      <c r="K330" s="230"/>
      <c r="L330" s="230"/>
      <c r="M330" s="246"/>
      <c r="N330" s="230"/>
      <c r="O330" s="230"/>
      <c r="P330" s="230"/>
      <c r="Q330" s="230"/>
      <c r="R330" s="256"/>
      <c r="S330" s="257"/>
      <c r="T330" s="228"/>
      <c r="U330" s="228"/>
      <c r="V330" s="245"/>
      <c r="W330" s="254"/>
      <c r="X330" s="254"/>
      <c r="Y330" s="228"/>
      <c r="Z330" s="255"/>
      <c r="AA330" s="248"/>
      <c r="AB330" s="248"/>
      <c r="AC330" s="248"/>
      <c r="AD330" s="247"/>
      <c r="AE330" s="228"/>
      <c r="AF330" s="228"/>
      <c r="AG330" s="248"/>
      <c r="AH330" s="248"/>
      <c r="AI330" s="194"/>
      <c r="AJ330" s="249"/>
      <c r="AK330" s="250"/>
      <c r="AL330" s="251"/>
      <c r="AM330" s="252"/>
      <c r="AN330" s="241"/>
      <c r="AO330" s="241"/>
      <c r="AP330" s="241"/>
      <c r="AQ330" s="194"/>
      <c r="AR330" s="195"/>
      <c r="AS330" s="195"/>
    </row>
    <row r="331" spans="2:45">
      <c r="B331" s="253"/>
      <c r="C331" s="230"/>
      <c r="D331" s="245"/>
      <c r="E331" s="230"/>
      <c r="F331" s="230"/>
      <c r="G331" s="230"/>
      <c r="H331" s="230"/>
      <c r="I331" s="228"/>
      <c r="J331" s="228"/>
      <c r="K331" s="230"/>
      <c r="L331" s="230"/>
      <c r="M331" s="246"/>
      <c r="N331" s="230"/>
      <c r="O331" s="230"/>
      <c r="P331" s="230"/>
      <c r="Q331" s="230"/>
      <c r="R331" s="256"/>
      <c r="S331" s="257"/>
      <c r="T331" s="228"/>
      <c r="U331" s="228"/>
      <c r="V331" s="245"/>
      <c r="W331" s="254"/>
      <c r="X331" s="254"/>
      <c r="Y331" s="228"/>
      <c r="Z331" s="255"/>
      <c r="AA331" s="248"/>
      <c r="AB331" s="248"/>
      <c r="AC331" s="248"/>
      <c r="AD331" s="247"/>
      <c r="AE331" s="228"/>
      <c r="AF331" s="228"/>
      <c r="AG331" s="248"/>
      <c r="AH331" s="248"/>
      <c r="AI331" s="194"/>
      <c r="AJ331" s="249"/>
      <c r="AK331" s="250"/>
      <c r="AL331" s="251"/>
      <c r="AM331" s="252"/>
      <c r="AN331" s="241"/>
      <c r="AO331" s="241"/>
      <c r="AP331" s="241"/>
      <c r="AQ331" s="194"/>
      <c r="AR331" s="195"/>
      <c r="AS331" s="195"/>
    </row>
    <row r="332" spans="2:45">
      <c r="B332" s="253"/>
      <c r="C332" s="230"/>
      <c r="D332" s="245"/>
      <c r="E332" s="230"/>
      <c r="F332" s="230"/>
      <c r="G332" s="230"/>
      <c r="H332" s="230"/>
      <c r="I332" s="228"/>
      <c r="J332" s="228"/>
      <c r="K332" s="230"/>
      <c r="L332" s="230"/>
      <c r="M332" s="246"/>
      <c r="N332" s="230"/>
      <c r="O332" s="230"/>
      <c r="P332" s="230"/>
      <c r="Q332" s="230"/>
      <c r="R332" s="256"/>
      <c r="S332" s="257"/>
      <c r="T332" s="228"/>
      <c r="U332" s="228"/>
      <c r="V332" s="245"/>
      <c r="W332" s="254"/>
      <c r="X332" s="254"/>
      <c r="Y332" s="228"/>
      <c r="Z332" s="255"/>
      <c r="AA332" s="248"/>
      <c r="AB332" s="248"/>
      <c r="AC332" s="248"/>
      <c r="AD332" s="247"/>
      <c r="AE332" s="228"/>
      <c r="AF332" s="228"/>
      <c r="AG332" s="248"/>
      <c r="AH332" s="248"/>
      <c r="AI332" s="194"/>
      <c r="AJ332" s="249"/>
      <c r="AK332" s="250"/>
      <c r="AL332" s="251"/>
      <c r="AM332" s="252"/>
      <c r="AN332" s="241"/>
      <c r="AO332" s="241"/>
      <c r="AP332" s="241"/>
      <c r="AQ332" s="194"/>
      <c r="AR332" s="195"/>
      <c r="AS332" s="195"/>
    </row>
    <row r="333" spans="2:45">
      <c r="B333" s="253"/>
      <c r="C333" s="230"/>
      <c r="D333" s="245"/>
      <c r="E333" s="230"/>
      <c r="F333" s="230"/>
      <c r="G333" s="230"/>
      <c r="H333" s="230"/>
      <c r="I333" s="228"/>
      <c r="J333" s="228"/>
      <c r="K333" s="230"/>
      <c r="L333" s="230"/>
      <c r="M333" s="246"/>
      <c r="N333" s="230"/>
      <c r="O333" s="230"/>
      <c r="P333" s="230"/>
      <c r="Q333" s="230"/>
      <c r="R333" s="256"/>
      <c r="S333" s="257"/>
      <c r="T333" s="228"/>
      <c r="U333" s="228"/>
      <c r="V333" s="245"/>
      <c r="W333" s="254"/>
      <c r="X333" s="254"/>
      <c r="Y333" s="228"/>
      <c r="Z333" s="255"/>
      <c r="AA333" s="248"/>
      <c r="AB333" s="248"/>
      <c r="AC333" s="248"/>
      <c r="AD333" s="247"/>
      <c r="AE333" s="228"/>
      <c r="AF333" s="228"/>
      <c r="AG333" s="248"/>
      <c r="AH333" s="248"/>
      <c r="AI333" s="194"/>
      <c r="AJ333" s="249"/>
      <c r="AK333" s="250"/>
      <c r="AL333" s="251"/>
      <c r="AM333" s="252"/>
      <c r="AN333" s="241"/>
      <c r="AO333" s="241"/>
      <c r="AP333" s="241"/>
      <c r="AQ333" s="194"/>
      <c r="AR333" s="195"/>
      <c r="AS333" s="195"/>
    </row>
    <row r="334" spans="2:45">
      <c r="B334" s="253"/>
      <c r="C334" s="230"/>
      <c r="D334" s="245"/>
      <c r="E334" s="230"/>
      <c r="F334" s="230"/>
      <c r="G334" s="230"/>
      <c r="H334" s="230"/>
      <c r="I334" s="228"/>
      <c r="J334" s="228"/>
      <c r="K334" s="230"/>
      <c r="L334" s="230"/>
      <c r="M334" s="246"/>
      <c r="N334" s="230"/>
      <c r="O334" s="230"/>
      <c r="P334" s="230"/>
      <c r="Q334" s="230"/>
      <c r="R334" s="256"/>
      <c r="S334" s="257"/>
      <c r="T334" s="228"/>
      <c r="U334" s="228"/>
      <c r="V334" s="245"/>
      <c r="W334" s="254"/>
      <c r="X334" s="254"/>
      <c r="Y334" s="228"/>
      <c r="Z334" s="255"/>
      <c r="AA334" s="248"/>
      <c r="AB334" s="248"/>
      <c r="AC334" s="248"/>
      <c r="AD334" s="247"/>
      <c r="AE334" s="228"/>
      <c r="AF334" s="228"/>
      <c r="AG334" s="248"/>
      <c r="AH334" s="248"/>
      <c r="AI334" s="194"/>
      <c r="AJ334" s="249"/>
      <c r="AK334" s="250"/>
      <c r="AL334" s="251"/>
      <c r="AM334" s="252"/>
      <c r="AN334" s="241"/>
      <c r="AO334" s="241"/>
      <c r="AP334" s="241"/>
      <c r="AQ334" s="194"/>
      <c r="AR334" s="195"/>
      <c r="AS334" s="195"/>
    </row>
    <row r="335" spans="2:45">
      <c r="B335" s="253"/>
      <c r="C335" s="230"/>
      <c r="D335" s="245"/>
      <c r="E335" s="230"/>
      <c r="F335" s="230"/>
      <c r="G335" s="230"/>
      <c r="H335" s="230"/>
      <c r="I335" s="228"/>
      <c r="J335" s="228"/>
      <c r="K335" s="230"/>
      <c r="L335" s="230"/>
      <c r="M335" s="246"/>
      <c r="N335" s="230"/>
      <c r="O335" s="230"/>
      <c r="P335" s="230"/>
      <c r="Q335" s="230"/>
      <c r="R335" s="256"/>
      <c r="S335" s="257"/>
      <c r="T335" s="228"/>
      <c r="U335" s="228"/>
      <c r="V335" s="245"/>
      <c r="W335" s="254"/>
      <c r="X335" s="254"/>
      <c r="Y335" s="228"/>
      <c r="Z335" s="255"/>
      <c r="AA335" s="248"/>
      <c r="AB335" s="248"/>
      <c r="AC335" s="248"/>
      <c r="AD335" s="247"/>
      <c r="AE335" s="228"/>
      <c r="AF335" s="228"/>
      <c r="AG335" s="248"/>
      <c r="AH335" s="248"/>
      <c r="AI335" s="194"/>
      <c r="AJ335" s="249"/>
      <c r="AK335" s="250"/>
      <c r="AL335" s="251"/>
      <c r="AM335" s="252"/>
      <c r="AN335" s="241"/>
      <c r="AO335" s="241"/>
      <c r="AP335" s="241"/>
      <c r="AQ335" s="194"/>
      <c r="AR335" s="195"/>
      <c r="AS335" s="195"/>
    </row>
    <row r="336" spans="2:45">
      <c r="B336" s="253"/>
      <c r="C336" s="230"/>
      <c r="D336" s="245"/>
      <c r="E336" s="230"/>
      <c r="F336" s="230"/>
      <c r="G336" s="230"/>
      <c r="H336" s="230"/>
      <c r="I336" s="228"/>
      <c r="J336" s="228"/>
      <c r="K336" s="230"/>
      <c r="L336" s="230"/>
      <c r="M336" s="246"/>
      <c r="N336" s="230"/>
      <c r="O336" s="230"/>
      <c r="P336" s="230"/>
      <c r="Q336" s="230"/>
      <c r="R336" s="256"/>
      <c r="S336" s="257"/>
      <c r="T336" s="228"/>
      <c r="U336" s="228"/>
      <c r="V336" s="245"/>
      <c r="W336" s="254"/>
      <c r="X336" s="254"/>
      <c r="Y336" s="228"/>
      <c r="Z336" s="255"/>
      <c r="AA336" s="248"/>
      <c r="AB336" s="248"/>
      <c r="AC336" s="248"/>
      <c r="AD336" s="247"/>
      <c r="AE336" s="228"/>
      <c r="AF336" s="228"/>
      <c r="AG336" s="248"/>
      <c r="AH336" s="248"/>
      <c r="AI336" s="194"/>
      <c r="AJ336" s="249"/>
      <c r="AK336" s="250"/>
      <c r="AL336" s="251"/>
      <c r="AM336" s="252"/>
      <c r="AN336" s="241"/>
      <c r="AO336" s="241"/>
      <c r="AP336" s="241"/>
      <c r="AQ336" s="194"/>
      <c r="AR336" s="195"/>
      <c r="AS336" s="195"/>
    </row>
    <row r="337" spans="2:45">
      <c r="B337" s="253"/>
      <c r="C337" s="230"/>
      <c r="D337" s="245"/>
      <c r="E337" s="230"/>
      <c r="F337" s="230"/>
      <c r="G337" s="230"/>
      <c r="H337" s="230"/>
      <c r="I337" s="228"/>
      <c r="J337" s="228"/>
      <c r="K337" s="230"/>
      <c r="L337" s="230"/>
      <c r="M337" s="246"/>
      <c r="N337" s="230"/>
      <c r="O337" s="230"/>
      <c r="P337" s="230"/>
      <c r="Q337" s="230"/>
      <c r="R337" s="256"/>
      <c r="S337" s="257"/>
      <c r="T337" s="228"/>
      <c r="U337" s="228"/>
      <c r="V337" s="245"/>
      <c r="W337" s="254"/>
      <c r="X337" s="254"/>
      <c r="Y337" s="228"/>
      <c r="Z337" s="255"/>
      <c r="AA337" s="248"/>
      <c r="AB337" s="248"/>
      <c r="AC337" s="248"/>
      <c r="AD337" s="247"/>
      <c r="AE337" s="228"/>
      <c r="AF337" s="228"/>
      <c r="AG337" s="248"/>
      <c r="AH337" s="248"/>
      <c r="AI337" s="194"/>
      <c r="AJ337" s="249"/>
      <c r="AK337" s="250"/>
      <c r="AL337" s="251"/>
      <c r="AM337" s="252"/>
      <c r="AN337" s="241"/>
      <c r="AO337" s="241"/>
      <c r="AP337" s="241"/>
      <c r="AQ337" s="194"/>
      <c r="AR337" s="195"/>
      <c r="AS337" s="195"/>
    </row>
    <row r="338" spans="2:45">
      <c r="B338" s="253"/>
      <c r="C338" s="230"/>
      <c r="D338" s="245"/>
      <c r="E338" s="230"/>
      <c r="F338" s="230"/>
      <c r="G338" s="230"/>
      <c r="H338" s="230"/>
      <c r="I338" s="228"/>
      <c r="J338" s="228"/>
      <c r="K338" s="230"/>
      <c r="L338" s="230"/>
      <c r="M338" s="246"/>
      <c r="N338" s="230"/>
      <c r="O338" s="230"/>
      <c r="P338" s="230"/>
      <c r="Q338" s="230"/>
      <c r="R338" s="256"/>
      <c r="S338" s="257"/>
      <c r="T338" s="228"/>
      <c r="U338" s="228"/>
      <c r="V338" s="245"/>
      <c r="W338" s="254"/>
      <c r="X338" s="254"/>
      <c r="Y338" s="228"/>
      <c r="Z338" s="255"/>
      <c r="AA338" s="248"/>
      <c r="AB338" s="248"/>
      <c r="AC338" s="248"/>
      <c r="AD338" s="247"/>
      <c r="AE338" s="228"/>
      <c r="AF338" s="228"/>
      <c r="AG338" s="248"/>
      <c r="AH338" s="248"/>
      <c r="AI338" s="194"/>
      <c r="AJ338" s="249"/>
      <c r="AK338" s="250"/>
      <c r="AL338" s="251"/>
      <c r="AM338" s="252"/>
      <c r="AN338" s="241"/>
      <c r="AO338" s="241"/>
      <c r="AP338" s="241"/>
      <c r="AQ338" s="194"/>
      <c r="AR338" s="195"/>
      <c r="AS338" s="195"/>
    </row>
    <row r="339" spans="2:45">
      <c r="B339" s="253"/>
      <c r="C339" s="230"/>
      <c r="D339" s="245"/>
      <c r="E339" s="230"/>
      <c r="F339" s="230"/>
      <c r="G339" s="230"/>
      <c r="H339" s="230"/>
      <c r="I339" s="228"/>
      <c r="J339" s="228"/>
      <c r="K339" s="230"/>
      <c r="L339" s="230"/>
      <c r="M339" s="246"/>
      <c r="N339" s="230"/>
      <c r="O339" s="230"/>
      <c r="P339" s="230"/>
      <c r="Q339" s="230"/>
      <c r="R339" s="256"/>
      <c r="S339" s="257"/>
      <c r="T339" s="228"/>
      <c r="U339" s="228"/>
      <c r="V339" s="245"/>
      <c r="W339" s="254"/>
      <c r="X339" s="254"/>
      <c r="Y339" s="228"/>
      <c r="Z339" s="255"/>
      <c r="AA339" s="248"/>
      <c r="AB339" s="248"/>
      <c r="AC339" s="248"/>
      <c r="AD339" s="247"/>
      <c r="AE339" s="228"/>
      <c r="AF339" s="228"/>
      <c r="AG339" s="248"/>
      <c r="AH339" s="248"/>
      <c r="AI339" s="194"/>
      <c r="AJ339" s="249"/>
      <c r="AK339" s="250"/>
      <c r="AL339" s="251"/>
      <c r="AM339" s="252"/>
      <c r="AN339" s="241"/>
      <c r="AO339" s="241"/>
      <c r="AP339" s="241"/>
      <c r="AQ339" s="194"/>
      <c r="AR339" s="195"/>
      <c r="AS339" s="195"/>
    </row>
    <row r="340" spans="2:45">
      <c r="B340" s="253"/>
      <c r="C340" s="230"/>
      <c r="D340" s="245"/>
      <c r="E340" s="230"/>
      <c r="F340" s="230"/>
      <c r="G340" s="230"/>
      <c r="H340" s="230"/>
      <c r="I340" s="228"/>
      <c r="J340" s="228"/>
      <c r="K340" s="230"/>
      <c r="L340" s="230"/>
      <c r="M340" s="246"/>
      <c r="N340" s="230"/>
      <c r="O340" s="230"/>
      <c r="P340" s="230"/>
      <c r="Q340" s="230"/>
      <c r="R340" s="256"/>
      <c r="S340" s="257"/>
      <c r="T340" s="228"/>
      <c r="U340" s="228"/>
      <c r="V340" s="245"/>
      <c r="W340" s="254"/>
      <c r="X340" s="254"/>
      <c r="Y340" s="228"/>
      <c r="Z340" s="255"/>
      <c r="AA340" s="248"/>
      <c r="AB340" s="248"/>
      <c r="AC340" s="248"/>
      <c r="AD340" s="247"/>
      <c r="AE340" s="228"/>
      <c r="AF340" s="228"/>
      <c r="AG340" s="248"/>
      <c r="AH340" s="248"/>
      <c r="AI340" s="194"/>
      <c r="AJ340" s="249"/>
      <c r="AK340" s="250"/>
      <c r="AL340" s="251"/>
      <c r="AM340" s="252"/>
      <c r="AN340" s="241"/>
      <c r="AO340" s="241"/>
      <c r="AP340" s="241"/>
      <c r="AQ340" s="194"/>
      <c r="AR340" s="195"/>
      <c r="AS340" s="195"/>
    </row>
    <row r="341" spans="2:45">
      <c r="B341" s="253"/>
      <c r="C341" s="230"/>
      <c r="D341" s="245"/>
      <c r="E341" s="230"/>
      <c r="F341" s="230"/>
      <c r="G341" s="230"/>
      <c r="H341" s="230"/>
      <c r="I341" s="228"/>
      <c r="J341" s="228"/>
      <c r="K341" s="230"/>
      <c r="L341" s="230"/>
      <c r="M341" s="246"/>
      <c r="N341" s="230"/>
      <c r="O341" s="230"/>
      <c r="P341" s="230"/>
      <c r="Q341" s="230"/>
      <c r="R341" s="256"/>
      <c r="S341" s="257"/>
      <c r="T341" s="228"/>
      <c r="U341" s="228"/>
      <c r="V341" s="245"/>
      <c r="W341" s="254"/>
      <c r="X341" s="254"/>
      <c r="Y341" s="228"/>
      <c r="Z341" s="255"/>
      <c r="AA341" s="248"/>
      <c r="AB341" s="248"/>
      <c r="AC341" s="248"/>
      <c r="AD341" s="247"/>
      <c r="AE341" s="228"/>
      <c r="AF341" s="228"/>
      <c r="AG341" s="248"/>
      <c r="AH341" s="248"/>
      <c r="AI341" s="194"/>
      <c r="AJ341" s="249"/>
      <c r="AK341" s="250"/>
      <c r="AL341" s="251"/>
      <c r="AM341" s="252"/>
      <c r="AN341" s="241"/>
      <c r="AO341" s="241"/>
      <c r="AP341" s="241"/>
      <c r="AQ341" s="194"/>
      <c r="AR341" s="195"/>
      <c r="AS341" s="195"/>
    </row>
    <row r="342" spans="2:45">
      <c r="B342" s="253"/>
      <c r="C342" s="230"/>
      <c r="D342" s="245"/>
      <c r="E342" s="230"/>
      <c r="F342" s="230"/>
      <c r="G342" s="230"/>
      <c r="H342" s="230"/>
      <c r="I342" s="228"/>
      <c r="J342" s="228"/>
      <c r="K342" s="230"/>
      <c r="L342" s="230"/>
      <c r="M342" s="246"/>
      <c r="N342" s="230"/>
      <c r="O342" s="230"/>
      <c r="P342" s="230"/>
      <c r="Q342" s="230"/>
      <c r="R342" s="256"/>
      <c r="S342" s="257"/>
      <c r="T342" s="228"/>
      <c r="U342" s="228"/>
      <c r="V342" s="245"/>
      <c r="W342" s="254"/>
      <c r="X342" s="254"/>
      <c r="Y342" s="228"/>
      <c r="Z342" s="255"/>
      <c r="AA342" s="248"/>
      <c r="AB342" s="248"/>
      <c r="AC342" s="248"/>
      <c r="AD342" s="247"/>
      <c r="AE342" s="228"/>
      <c r="AF342" s="228"/>
      <c r="AG342" s="248"/>
      <c r="AH342" s="248"/>
      <c r="AI342" s="194"/>
      <c r="AJ342" s="249"/>
      <c r="AK342" s="250"/>
      <c r="AL342" s="251"/>
      <c r="AM342" s="252"/>
      <c r="AN342" s="241"/>
      <c r="AO342" s="241"/>
      <c r="AP342" s="241"/>
      <c r="AQ342" s="194"/>
      <c r="AR342" s="195"/>
      <c r="AS342" s="195"/>
    </row>
    <row r="343" spans="2:45">
      <c r="B343" s="253"/>
      <c r="C343" s="230"/>
      <c r="D343" s="245"/>
      <c r="E343" s="230"/>
      <c r="F343" s="230"/>
      <c r="G343" s="230"/>
      <c r="H343" s="230"/>
      <c r="I343" s="228"/>
      <c r="J343" s="228"/>
      <c r="K343" s="230"/>
      <c r="L343" s="230"/>
      <c r="M343" s="246"/>
      <c r="N343" s="230"/>
      <c r="O343" s="230"/>
      <c r="P343" s="230"/>
      <c r="Q343" s="230"/>
      <c r="R343" s="256"/>
      <c r="S343" s="257"/>
      <c r="T343" s="228"/>
      <c r="U343" s="228"/>
      <c r="V343" s="245"/>
      <c r="W343" s="254"/>
      <c r="X343" s="254"/>
      <c r="Y343" s="228"/>
      <c r="Z343" s="255"/>
      <c r="AA343" s="248"/>
      <c r="AB343" s="248"/>
      <c r="AC343" s="248"/>
      <c r="AD343" s="247"/>
      <c r="AE343" s="228"/>
      <c r="AF343" s="228"/>
      <c r="AG343" s="248"/>
      <c r="AH343" s="248"/>
      <c r="AI343" s="194"/>
      <c r="AJ343" s="249"/>
      <c r="AK343" s="250"/>
      <c r="AL343" s="251"/>
      <c r="AM343" s="252"/>
      <c r="AN343" s="241"/>
      <c r="AO343" s="241"/>
      <c r="AP343" s="241"/>
      <c r="AQ343" s="194"/>
      <c r="AR343" s="195"/>
      <c r="AS343" s="195"/>
    </row>
    <row r="344" spans="2:45">
      <c r="B344" s="253"/>
      <c r="C344" s="230"/>
      <c r="D344" s="245"/>
      <c r="E344" s="230"/>
      <c r="F344" s="230"/>
      <c r="G344" s="230"/>
      <c r="H344" s="230"/>
      <c r="I344" s="228"/>
      <c r="J344" s="228"/>
      <c r="K344" s="230"/>
      <c r="L344" s="230"/>
      <c r="M344" s="246"/>
      <c r="N344" s="230"/>
      <c r="O344" s="230"/>
      <c r="P344" s="230"/>
      <c r="Q344" s="230"/>
      <c r="R344" s="256"/>
      <c r="S344" s="257"/>
      <c r="T344" s="228"/>
      <c r="U344" s="228"/>
      <c r="V344" s="245"/>
      <c r="W344" s="254"/>
      <c r="X344" s="254"/>
      <c r="Y344" s="228"/>
      <c r="Z344" s="255"/>
      <c r="AA344" s="248"/>
      <c r="AB344" s="248"/>
      <c r="AC344" s="248"/>
      <c r="AD344" s="247"/>
      <c r="AE344" s="228"/>
      <c r="AF344" s="228"/>
      <c r="AG344" s="248"/>
      <c r="AH344" s="248"/>
      <c r="AI344" s="194"/>
      <c r="AJ344" s="249"/>
      <c r="AK344" s="250"/>
      <c r="AL344" s="251"/>
      <c r="AM344" s="252"/>
      <c r="AN344" s="241"/>
      <c r="AO344" s="241"/>
      <c r="AP344" s="241"/>
      <c r="AQ344" s="194"/>
      <c r="AR344" s="195"/>
      <c r="AS344" s="195"/>
    </row>
    <row r="345" spans="2:45">
      <c r="B345" s="253"/>
      <c r="C345" s="230"/>
      <c r="D345" s="245"/>
      <c r="E345" s="230"/>
      <c r="F345" s="230"/>
      <c r="G345" s="230"/>
      <c r="H345" s="230"/>
      <c r="I345" s="228"/>
      <c r="J345" s="228"/>
      <c r="K345" s="230"/>
      <c r="L345" s="230"/>
      <c r="M345" s="246"/>
      <c r="N345" s="230"/>
      <c r="O345" s="230"/>
      <c r="P345" s="230"/>
      <c r="Q345" s="230"/>
      <c r="R345" s="256"/>
      <c r="S345" s="257"/>
      <c r="T345" s="228"/>
      <c r="U345" s="228"/>
      <c r="V345" s="245"/>
      <c r="W345" s="254"/>
      <c r="X345" s="254"/>
      <c r="Y345" s="228"/>
      <c r="Z345" s="255"/>
      <c r="AA345" s="248"/>
      <c r="AB345" s="248"/>
      <c r="AC345" s="248"/>
      <c r="AD345" s="247"/>
      <c r="AE345" s="228"/>
      <c r="AF345" s="228"/>
      <c r="AG345" s="248"/>
      <c r="AH345" s="248"/>
      <c r="AI345" s="194"/>
      <c r="AJ345" s="249"/>
      <c r="AK345" s="250"/>
      <c r="AL345" s="251"/>
      <c r="AM345" s="252"/>
      <c r="AN345" s="241"/>
      <c r="AO345" s="241"/>
      <c r="AP345" s="241"/>
      <c r="AQ345" s="194"/>
      <c r="AR345" s="195"/>
      <c r="AS345" s="195"/>
    </row>
    <row r="346" spans="2:45">
      <c r="B346" s="253"/>
      <c r="C346" s="230"/>
      <c r="D346" s="245"/>
      <c r="E346" s="230"/>
      <c r="F346" s="230"/>
      <c r="G346" s="230"/>
      <c r="H346" s="230"/>
      <c r="I346" s="228"/>
      <c r="J346" s="228"/>
      <c r="K346" s="230"/>
      <c r="L346" s="230"/>
      <c r="M346" s="246"/>
      <c r="N346" s="230"/>
      <c r="O346" s="230"/>
      <c r="P346" s="230"/>
      <c r="Q346" s="230"/>
      <c r="R346" s="256"/>
      <c r="S346" s="257"/>
      <c r="T346" s="228"/>
      <c r="U346" s="228"/>
      <c r="V346" s="245"/>
      <c r="W346" s="254"/>
      <c r="X346" s="254"/>
      <c r="Y346" s="228"/>
      <c r="Z346" s="255"/>
      <c r="AA346" s="248"/>
      <c r="AB346" s="248"/>
      <c r="AC346" s="248"/>
      <c r="AD346" s="247"/>
      <c r="AE346" s="228"/>
      <c r="AF346" s="228"/>
      <c r="AG346" s="248"/>
      <c r="AH346" s="248"/>
      <c r="AI346" s="194"/>
      <c r="AJ346" s="249"/>
      <c r="AK346" s="250"/>
      <c r="AL346" s="251"/>
      <c r="AM346" s="252"/>
      <c r="AN346" s="241"/>
      <c r="AO346" s="241"/>
      <c r="AP346" s="241"/>
      <c r="AQ346" s="194"/>
      <c r="AR346" s="195"/>
      <c r="AS346" s="195"/>
    </row>
    <row r="347" spans="2:45">
      <c r="B347" s="253"/>
      <c r="C347" s="230"/>
      <c r="D347" s="245"/>
      <c r="E347" s="230"/>
      <c r="F347" s="230"/>
      <c r="G347" s="230"/>
      <c r="H347" s="230"/>
      <c r="I347" s="228"/>
      <c r="J347" s="228"/>
      <c r="K347" s="230"/>
      <c r="L347" s="230"/>
      <c r="M347" s="246"/>
      <c r="N347" s="230"/>
      <c r="O347" s="230"/>
      <c r="P347" s="230"/>
      <c r="Q347" s="230"/>
      <c r="R347" s="256"/>
      <c r="S347" s="257"/>
      <c r="T347" s="228"/>
      <c r="U347" s="228"/>
      <c r="V347" s="245"/>
      <c r="W347" s="254"/>
      <c r="X347" s="254"/>
      <c r="Y347" s="228"/>
      <c r="Z347" s="255"/>
      <c r="AA347" s="248"/>
      <c r="AB347" s="248"/>
      <c r="AC347" s="248"/>
      <c r="AD347" s="247"/>
      <c r="AE347" s="228"/>
      <c r="AF347" s="228"/>
      <c r="AG347" s="248"/>
      <c r="AH347" s="248"/>
      <c r="AI347" s="194"/>
      <c r="AJ347" s="249"/>
      <c r="AK347" s="250"/>
      <c r="AL347" s="251"/>
      <c r="AM347" s="252"/>
      <c r="AN347" s="241"/>
      <c r="AO347" s="241"/>
      <c r="AP347" s="241"/>
      <c r="AQ347" s="194"/>
      <c r="AR347" s="195"/>
      <c r="AS347" s="195"/>
    </row>
    <row r="348" spans="2:45">
      <c r="B348" s="253"/>
      <c r="C348" s="230"/>
      <c r="D348" s="245"/>
      <c r="E348" s="230"/>
      <c r="F348" s="230"/>
      <c r="G348" s="230"/>
      <c r="H348" s="230"/>
      <c r="I348" s="228"/>
      <c r="J348" s="228"/>
      <c r="K348" s="230"/>
      <c r="L348" s="230"/>
      <c r="M348" s="246"/>
      <c r="N348" s="230"/>
      <c r="O348" s="230"/>
      <c r="P348" s="230"/>
      <c r="Q348" s="230"/>
      <c r="R348" s="256"/>
      <c r="S348" s="257"/>
      <c r="T348" s="228"/>
      <c r="U348" s="228"/>
      <c r="V348" s="245"/>
      <c r="W348" s="254"/>
      <c r="X348" s="254"/>
      <c r="Y348" s="228"/>
      <c r="Z348" s="255"/>
      <c r="AA348" s="248"/>
      <c r="AB348" s="248"/>
      <c r="AC348" s="248"/>
      <c r="AD348" s="247"/>
      <c r="AE348" s="228"/>
      <c r="AF348" s="228"/>
      <c r="AG348" s="248"/>
      <c r="AH348" s="248"/>
      <c r="AI348" s="194"/>
      <c r="AJ348" s="249"/>
      <c r="AK348" s="250"/>
      <c r="AL348" s="251"/>
      <c r="AM348" s="252"/>
      <c r="AN348" s="241"/>
      <c r="AO348" s="241"/>
      <c r="AP348" s="241"/>
      <c r="AQ348" s="194"/>
      <c r="AR348" s="195"/>
      <c r="AS348" s="195"/>
    </row>
    <row r="349" spans="2:45">
      <c r="B349" s="253"/>
      <c r="C349" s="230"/>
      <c r="D349" s="245"/>
      <c r="E349" s="230"/>
      <c r="F349" s="230"/>
      <c r="G349" s="230"/>
      <c r="H349" s="230"/>
      <c r="I349" s="228"/>
      <c r="J349" s="228"/>
      <c r="K349" s="230"/>
      <c r="L349" s="230"/>
      <c r="M349" s="246"/>
      <c r="N349" s="230"/>
      <c r="O349" s="230"/>
      <c r="P349" s="230"/>
      <c r="Q349" s="230"/>
      <c r="R349" s="256"/>
      <c r="S349" s="257"/>
      <c r="T349" s="228"/>
      <c r="U349" s="228"/>
      <c r="V349" s="245"/>
      <c r="W349" s="254"/>
      <c r="X349" s="254"/>
      <c r="Y349" s="228"/>
      <c r="Z349" s="255"/>
      <c r="AA349" s="248"/>
      <c r="AB349" s="248"/>
      <c r="AC349" s="248"/>
      <c r="AD349" s="247"/>
      <c r="AE349" s="228"/>
      <c r="AF349" s="228"/>
      <c r="AG349" s="248"/>
      <c r="AH349" s="248"/>
      <c r="AI349" s="194"/>
      <c r="AJ349" s="249"/>
      <c r="AK349" s="250"/>
      <c r="AL349" s="251"/>
      <c r="AM349" s="252"/>
      <c r="AN349" s="241"/>
      <c r="AO349" s="241"/>
      <c r="AP349" s="241"/>
      <c r="AQ349" s="194"/>
      <c r="AR349" s="195"/>
      <c r="AS349" s="195"/>
    </row>
    <row r="350" spans="2:45">
      <c r="B350" s="253"/>
      <c r="C350" s="230"/>
      <c r="D350" s="245"/>
      <c r="E350" s="230"/>
      <c r="F350" s="230"/>
      <c r="G350" s="230"/>
      <c r="H350" s="230"/>
      <c r="I350" s="228"/>
      <c r="J350" s="228"/>
      <c r="K350" s="230"/>
      <c r="L350" s="230"/>
      <c r="M350" s="246"/>
      <c r="N350" s="230"/>
      <c r="O350" s="230"/>
      <c r="P350" s="230"/>
      <c r="Q350" s="230"/>
      <c r="R350" s="256"/>
      <c r="S350" s="257"/>
      <c r="T350" s="228"/>
      <c r="U350" s="228"/>
      <c r="V350" s="245"/>
      <c r="W350" s="254"/>
      <c r="X350" s="254"/>
      <c r="Y350" s="228"/>
      <c r="Z350" s="255"/>
      <c r="AA350" s="248"/>
      <c r="AB350" s="248"/>
      <c r="AC350" s="248"/>
      <c r="AD350" s="247"/>
      <c r="AE350" s="228"/>
      <c r="AF350" s="228"/>
      <c r="AG350" s="248"/>
      <c r="AH350" s="248"/>
      <c r="AI350" s="194"/>
      <c r="AJ350" s="249"/>
      <c r="AK350" s="250"/>
      <c r="AL350" s="251"/>
      <c r="AM350" s="252"/>
      <c r="AN350" s="241"/>
      <c r="AO350" s="241"/>
      <c r="AP350" s="241"/>
      <c r="AQ350" s="194"/>
      <c r="AR350" s="195"/>
      <c r="AS350" s="195"/>
    </row>
    <row r="351" spans="2:45">
      <c r="B351" s="253"/>
      <c r="C351" s="230"/>
      <c r="D351" s="245"/>
      <c r="E351" s="230"/>
      <c r="F351" s="230"/>
      <c r="G351" s="230"/>
      <c r="H351" s="230"/>
      <c r="I351" s="228"/>
      <c r="J351" s="228"/>
      <c r="K351" s="230"/>
      <c r="L351" s="230"/>
      <c r="M351" s="246"/>
      <c r="N351" s="230"/>
      <c r="O351" s="230"/>
      <c r="P351" s="230"/>
      <c r="Q351" s="230"/>
      <c r="R351" s="256"/>
      <c r="S351" s="257"/>
      <c r="T351" s="228"/>
      <c r="U351" s="228"/>
      <c r="V351" s="245"/>
      <c r="W351" s="254"/>
      <c r="X351" s="254"/>
      <c r="Y351" s="228"/>
      <c r="Z351" s="255"/>
      <c r="AA351" s="248"/>
      <c r="AB351" s="248"/>
      <c r="AC351" s="248"/>
      <c r="AD351" s="247"/>
      <c r="AE351" s="228"/>
      <c r="AF351" s="228"/>
      <c r="AG351" s="248"/>
      <c r="AH351" s="248"/>
      <c r="AI351" s="194"/>
      <c r="AJ351" s="249"/>
      <c r="AK351" s="250"/>
      <c r="AL351" s="251"/>
      <c r="AM351" s="252"/>
      <c r="AN351" s="241"/>
      <c r="AO351" s="241"/>
      <c r="AP351" s="241"/>
      <c r="AQ351" s="194"/>
      <c r="AR351" s="195"/>
      <c r="AS351" s="195"/>
    </row>
    <row r="352" spans="2:45">
      <c r="B352" s="253"/>
      <c r="C352" s="230"/>
      <c r="D352" s="245"/>
      <c r="E352" s="230"/>
      <c r="F352" s="230"/>
      <c r="G352" s="230"/>
      <c r="H352" s="230"/>
      <c r="I352" s="228"/>
      <c r="J352" s="228"/>
      <c r="K352" s="230"/>
      <c r="L352" s="230"/>
      <c r="M352" s="246"/>
      <c r="N352" s="230"/>
      <c r="O352" s="230"/>
      <c r="P352" s="230"/>
      <c r="Q352" s="230"/>
      <c r="R352" s="256"/>
      <c r="S352" s="257"/>
      <c r="T352" s="228"/>
      <c r="U352" s="228"/>
      <c r="V352" s="245"/>
      <c r="W352" s="254"/>
      <c r="X352" s="254"/>
      <c r="Y352" s="228"/>
      <c r="Z352" s="255"/>
      <c r="AA352" s="248"/>
      <c r="AB352" s="248"/>
      <c r="AC352" s="248"/>
      <c r="AD352" s="247"/>
      <c r="AE352" s="228"/>
      <c r="AF352" s="228"/>
      <c r="AG352" s="248"/>
      <c r="AH352" s="248"/>
      <c r="AI352" s="194"/>
      <c r="AJ352" s="249"/>
      <c r="AK352" s="250"/>
      <c r="AL352" s="251"/>
      <c r="AM352" s="252"/>
      <c r="AN352" s="241"/>
      <c r="AO352" s="241"/>
      <c r="AP352" s="241"/>
      <c r="AQ352" s="194"/>
      <c r="AR352" s="195"/>
      <c r="AS352" s="195"/>
    </row>
    <row r="353" spans="2:45">
      <c r="B353" s="253"/>
      <c r="C353" s="230"/>
      <c r="D353" s="245"/>
      <c r="E353" s="230"/>
      <c r="F353" s="230"/>
      <c r="G353" s="230"/>
      <c r="H353" s="230"/>
      <c r="I353" s="228"/>
      <c r="J353" s="228"/>
      <c r="K353" s="230"/>
      <c r="L353" s="230"/>
      <c r="M353" s="246"/>
      <c r="N353" s="230"/>
      <c r="O353" s="230"/>
      <c r="P353" s="230"/>
      <c r="Q353" s="230"/>
      <c r="R353" s="256"/>
      <c r="S353" s="257"/>
      <c r="T353" s="228"/>
      <c r="U353" s="228"/>
      <c r="V353" s="245"/>
      <c r="W353" s="254"/>
      <c r="X353" s="254"/>
      <c r="Y353" s="228"/>
      <c r="Z353" s="255"/>
      <c r="AA353" s="248"/>
      <c r="AB353" s="248"/>
      <c r="AC353" s="248"/>
      <c r="AD353" s="247"/>
      <c r="AE353" s="228"/>
      <c r="AF353" s="228"/>
      <c r="AG353" s="248"/>
      <c r="AH353" s="248"/>
      <c r="AI353" s="194"/>
      <c r="AJ353" s="249"/>
      <c r="AK353" s="250"/>
      <c r="AL353" s="251"/>
      <c r="AM353" s="252"/>
      <c r="AN353" s="241"/>
      <c r="AO353" s="241"/>
      <c r="AP353" s="241"/>
      <c r="AQ353" s="194"/>
      <c r="AR353" s="195"/>
      <c r="AS353" s="195"/>
    </row>
    <row r="354" spans="2:45">
      <c r="B354" s="253"/>
      <c r="C354" s="230"/>
      <c r="D354" s="245"/>
      <c r="E354" s="230"/>
      <c r="F354" s="230"/>
      <c r="G354" s="230"/>
      <c r="H354" s="230"/>
      <c r="I354" s="228"/>
      <c r="J354" s="228"/>
      <c r="K354" s="230"/>
      <c r="L354" s="230"/>
      <c r="M354" s="246"/>
      <c r="N354" s="230"/>
      <c r="O354" s="230"/>
      <c r="P354" s="230"/>
      <c r="Q354" s="230"/>
      <c r="R354" s="256"/>
      <c r="S354" s="257"/>
      <c r="T354" s="228"/>
      <c r="U354" s="228"/>
      <c r="V354" s="245"/>
      <c r="W354" s="254"/>
      <c r="X354" s="254"/>
      <c r="Y354" s="228"/>
      <c r="Z354" s="255"/>
      <c r="AA354" s="248"/>
      <c r="AB354" s="248"/>
      <c r="AC354" s="248"/>
      <c r="AD354" s="247"/>
      <c r="AE354" s="228"/>
      <c r="AF354" s="228"/>
      <c r="AG354" s="248"/>
      <c r="AH354" s="248"/>
      <c r="AI354" s="194"/>
      <c r="AJ354" s="249"/>
      <c r="AK354" s="250"/>
      <c r="AL354" s="251"/>
      <c r="AM354" s="252"/>
      <c r="AN354" s="241"/>
      <c r="AO354" s="241"/>
      <c r="AP354" s="241"/>
      <c r="AQ354" s="194"/>
      <c r="AR354" s="195"/>
      <c r="AS354" s="195"/>
    </row>
    <row r="355" spans="2:45">
      <c r="B355" s="253"/>
      <c r="C355" s="230"/>
      <c r="D355" s="245"/>
      <c r="E355" s="230"/>
      <c r="F355" s="230"/>
      <c r="G355" s="230"/>
      <c r="H355" s="230"/>
      <c r="I355" s="228"/>
      <c r="J355" s="228"/>
      <c r="K355" s="230"/>
      <c r="L355" s="230"/>
      <c r="M355" s="246"/>
      <c r="N355" s="230"/>
      <c r="O355" s="230"/>
      <c r="P355" s="230"/>
      <c r="Q355" s="230"/>
      <c r="R355" s="256"/>
      <c r="S355" s="257"/>
      <c r="T355" s="228"/>
      <c r="U355" s="228"/>
      <c r="V355" s="245"/>
      <c r="W355" s="254"/>
      <c r="X355" s="254"/>
      <c r="Y355" s="228"/>
      <c r="Z355" s="255"/>
      <c r="AA355" s="248"/>
      <c r="AB355" s="248"/>
      <c r="AC355" s="248"/>
      <c r="AD355" s="247"/>
      <c r="AE355" s="228"/>
      <c r="AF355" s="228"/>
      <c r="AG355" s="248"/>
      <c r="AH355" s="248"/>
      <c r="AI355" s="194"/>
      <c r="AJ355" s="249"/>
      <c r="AK355" s="250"/>
      <c r="AL355" s="251"/>
      <c r="AM355" s="252"/>
      <c r="AN355" s="241"/>
      <c r="AO355" s="241"/>
      <c r="AP355" s="241"/>
      <c r="AQ355" s="194"/>
      <c r="AR355" s="195"/>
      <c r="AS355" s="195"/>
    </row>
    <row r="356" spans="2:45">
      <c r="B356" s="253"/>
      <c r="C356" s="230"/>
      <c r="D356" s="245"/>
      <c r="E356" s="230"/>
      <c r="F356" s="230"/>
      <c r="G356" s="230"/>
      <c r="H356" s="230"/>
      <c r="I356" s="228"/>
      <c r="J356" s="228"/>
      <c r="K356" s="230"/>
      <c r="L356" s="230"/>
      <c r="M356" s="246"/>
      <c r="N356" s="230"/>
      <c r="O356" s="230"/>
      <c r="P356" s="230"/>
      <c r="Q356" s="230"/>
      <c r="R356" s="256"/>
      <c r="S356" s="257"/>
      <c r="T356" s="228"/>
      <c r="U356" s="228"/>
      <c r="V356" s="245"/>
      <c r="W356" s="254"/>
      <c r="X356" s="254"/>
      <c r="Y356" s="228"/>
      <c r="Z356" s="255"/>
      <c r="AA356" s="248"/>
      <c r="AB356" s="248"/>
      <c r="AC356" s="248"/>
      <c r="AD356" s="247"/>
      <c r="AE356" s="228"/>
      <c r="AF356" s="228"/>
      <c r="AG356" s="248"/>
      <c r="AH356" s="248"/>
      <c r="AI356" s="194"/>
      <c r="AJ356" s="249"/>
      <c r="AK356" s="250"/>
      <c r="AL356" s="251"/>
      <c r="AM356" s="252"/>
      <c r="AN356" s="241"/>
      <c r="AO356" s="241"/>
      <c r="AP356" s="241"/>
      <c r="AQ356" s="194"/>
      <c r="AR356" s="195"/>
      <c r="AS356" s="195"/>
    </row>
    <row r="357" spans="2:45">
      <c r="B357" s="253"/>
      <c r="C357" s="230"/>
      <c r="D357" s="245"/>
      <c r="E357" s="230"/>
      <c r="F357" s="230"/>
      <c r="G357" s="230"/>
      <c r="H357" s="230"/>
      <c r="I357" s="228"/>
      <c r="J357" s="228"/>
      <c r="K357" s="230"/>
      <c r="L357" s="230"/>
      <c r="M357" s="246"/>
      <c r="N357" s="230"/>
      <c r="O357" s="230"/>
      <c r="P357" s="230"/>
      <c r="Q357" s="230"/>
      <c r="R357" s="256"/>
      <c r="S357" s="257"/>
      <c r="T357" s="228"/>
      <c r="U357" s="228"/>
      <c r="V357" s="245"/>
      <c r="W357" s="254"/>
      <c r="X357" s="254"/>
      <c r="Y357" s="228"/>
      <c r="Z357" s="255"/>
      <c r="AA357" s="248"/>
      <c r="AB357" s="248"/>
      <c r="AC357" s="248"/>
      <c r="AD357" s="247"/>
      <c r="AE357" s="228"/>
      <c r="AF357" s="228"/>
      <c r="AG357" s="248"/>
      <c r="AH357" s="248"/>
      <c r="AI357" s="194"/>
      <c r="AJ357" s="249"/>
      <c r="AK357" s="250"/>
      <c r="AL357" s="251"/>
      <c r="AM357" s="252"/>
      <c r="AN357" s="241"/>
      <c r="AO357" s="241"/>
      <c r="AP357" s="241"/>
      <c r="AQ357" s="194"/>
      <c r="AR357" s="195"/>
      <c r="AS357" s="195"/>
    </row>
    <row r="358" spans="2:45">
      <c r="B358" s="253"/>
      <c r="C358" s="230"/>
      <c r="D358" s="245"/>
      <c r="E358" s="230"/>
      <c r="F358" s="230"/>
      <c r="G358" s="230"/>
      <c r="H358" s="230"/>
      <c r="I358" s="228"/>
      <c r="J358" s="228"/>
      <c r="K358" s="230"/>
      <c r="L358" s="230"/>
      <c r="M358" s="246"/>
      <c r="N358" s="230"/>
      <c r="O358" s="230"/>
      <c r="P358" s="230"/>
      <c r="Q358" s="230"/>
      <c r="R358" s="256"/>
      <c r="S358" s="257"/>
      <c r="T358" s="228"/>
      <c r="U358" s="228"/>
      <c r="V358" s="245"/>
      <c r="W358" s="254"/>
      <c r="X358" s="254"/>
      <c r="Y358" s="228"/>
      <c r="Z358" s="255"/>
      <c r="AA358" s="248"/>
      <c r="AB358" s="248"/>
      <c r="AC358" s="248"/>
      <c r="AD358" s="247"/>
      <c r="AE358" s="228"/>
      <c r="AF358" s="228"/>
      <c r="AG358" s="248"/>
      <c r="AH358" s="248"/>
      <c r="AI358" s="194"/>
      <c r="AJ358" s="249"/>
      <c r="AK358" s="250"/>
      <c r="AL358" s="251"/>
      <c r="AM358" s="252"/>
      <c r="AN358" s="241"/>
      <c r="AO358" s="241"/>
      <c r="AP358" s="241"/>
      <c r="AQ358" s="194"/>
      <c r="AR358" s="195"/>
      <c r="AS358" s="195"/>
    </row>
    <row r="359" spans="2:45">
      <c r="B359" s="253"/>
      <c r="C359" s="230"/>
      <c r="D359" s="245"/>
      <c r="E359" s="230"/>
      <c r="F359" s="230"/>
      <c r="G359" s="230"/>
      <c r="H359" s="230"/>
      <c r="I359" s="228"/>
      <c r="J359" s="228"/>
      <c r="K359" s="230"/>
      <c r="L359" s="230"/>
      <c r="M359" s="246"/>
      <c r="N359" s="230"/>
      <c r="O359" s="230"/>
      <c r="P359" s="230"/>
      <c r="Q359" s="230"/>
      <c r="R359" s="256"/>
      <c r="S359" s="257"/>
      <c r="T359" s="228"/>
      <c r="U359" s="228"/>
      <c r="V359" s="245"/>
      <c r="W359" s="254"/>
      <c r="X359" s="254"/>
      <c r="Y359" s="228"/>
      <c r="Z359" s="255"/>
      <c r="AA359" s="248"/>
      <c r="AB359" s="248"/>
      <c r="AC359" s="248"/>
      <c r="AD359" s="247"/>
      <c r="AE359" s="228"/>
      <c r="AF359" s="228"/>
      <c r="AG359" s="248"/>
      <c r="AH359" s="248"/>
      <c r="AI359" s="194"/>
      <c r="AJ359" s="249"/>
      <c r="AK359" s="250"/>
      <c r="AL359" s="251"/>
      <c r="AM359" s="252"/>
      <c r="AN359" s="241"/>
      <c r="AO359" s="241"/>
      <c r="AP359" s="241"/>
      <c r="AQ359" s="194"/>
      <c r="AR359" s="195"/>
      <c r="AS359" s="195"/>
    </row>
    <row r="360" spans="2:45">
      <c r="B360" s="253"/>
      <c r="C360" s="230"/>
      <c r="D360" s="245"/>
      <c r="E360" s="230"/>
      <c r="F360" s="230"/>
      <c r="G360" s="230"/>
      <c r="H360" s="230"/>
      <c r="I360" s="228"/>
      <c r="J360" s="228"/>
      <c r="K360" s="230"/>
      <c r="L360" s="230"/>
      <c r="M360" s="246"/>
      <c r="N360" s="230"/>
      <c r="O360" s="230"/>
      <c r="P360" s="230"/>
      <c r="Q360" s="230"/>
      <c r="R360" s="256"/>
      <c r="S360" s="257"/>
      <c r="T360" s="228"/>
      <c r="U360" s="228"/>
      <c r="V360" s="245"/>
      <c r="W360" s="254"/>
      <c r="X360" s="254"/>
      <c r="Y360" s="228"/>
      <c r="Z360" s="255"/>
      <c r="AA360" s="248"/>
      <c r="AB360" s="248"/>
      <c r="AC360" s="248"/>
      <c r="AD360" s="247"/>
      <c r="AE360" s="228"/>
      <c r="AF360" s="228"/>
      <c r="AG360" s="248"/>
      <c r="AH360" s="248"/>
      <c r="AI360" s="194"/>
      <c r="AJ360" s="249"/>
      <c r="AK360" s="250"/>
      <c r="AL360" s="251"/>
      <c r="AM360" s="252"/>
      <c r="AN360" s="241"/>
      <c r="AO360" s="241"/>
      <c r="AP360" s="241"/>
      <c r="AQ360" s="194"/>
      <c r="AR360" s="195"/>
      <c r="AS360" s="195"/>
    </row>
    <row r="361" spans="2:45">
      <c r="B361" s="253"/>
      <c r="C361" s="230"/>
      <c r="D361" s="245"/>
      <c r="E361" s="230"/>
      <c r="F361" s="230"/>
      <c r="G361" s="230"/>
      <c r="H361" s="230"/>
      <c r="I361" s="228"/>
      <c r="J361" s="228"/>
      <c r="K361" s="230"/>
      <c r="L361" s="230"/>
      <c r="M361" s="246"/>
      <c r="N361" s="230"/>
      <c r="O361" s="230"/>
      <c r="P361" s="230"/>
      <c r="Q361" s="230"/>
      <c r="R361" s="256"/>
      <c r="S361" s="257"/>
      <c r="T361" s="228"/>
      <c r="U361" s="228"/>
      <c r="V361" s="245"/>
      <c r="W361" s="254"/>
      <c r="X361" s="254"/>
      <c r="Y361" s="228"/>
      <c r="Z361" s="255"/>
      <c r="AA361" s="248"/>
      <c r="AB361" s="248"/>
      <c r="AC361" s="248"/>
      <c r="AD361" s="247"/>
      <c r="AE361" s="228"/>
      <c r="AF361" s="228"/>
      <c r="AG361" s="248"/>
      <c r="AH361" s="248"/>
      <c r="AI361" s="194"/>
      <c r="AJ361" s="249"/>
      <c r="AK361" s="250"/>
      <c r="AL361" s="251"/>
      <c r="AM361" s="252"/>
      <c r="AN361" s="241"/>
      <c r="AO361" s="241"/>
      <c r="AP361" s="241"/>
      <c r="AQ361" s="194"/>
      <c r="AR361" s="195"/>
      <c r="AS361" s="195"/>
    </row>
    <row r="362" spans="2:45">
      <c r="B362" s="253"/>
      <c r="C362" s="230"/>
      <c r="D362" s="245"/>
      <c r="E362" s="230"/>
      <c r="F362" s="230"/>
      <c r="G362" s="230"/>
      <c r="H362" s="230"/>
      <c r="I362" s="228"/>
      <c r="J362" s="228"/>
      <c r="K362" s="230"/>
      <c r="L362" s="230"/>
      <c r="M362" s="246"/>
      <c r="N362" s="230"/>
      <c r="O362" s="230"/>
      <c r="P362" s="230"/>
      <c r="Q362" s="230"/>
      <c r="R362" s="256"/>
      <c r="S362" s="257"/>
      <c r="T362" s="228"/>
      <c r="U362" s="228"/>
      <c r="V362" s="245"/>
      <c r="W362" s="254"/>
      <c r="X362" s="254"/>
      <c r="Y362" s="228"/>
      <c r="Z362" s="255"/>
      <c r="AA362" s="248"/>
      <c r="AB362" s="248"/>
      <c r="AC362" s="248"/>
      <c r="AD362" s="247"/>
      <c r="AE362" s="228"/>
      <c r="AF362" s="228"/>
      <c r="AG362" s="248"/>
      <c r="AH362" s="248"/>
      <c r="AI362" s="194"/>
      <c r="AJ362" s="249"/>
      <c r="AK362" s="250"/>
      <c r="AL362" s="251"/>
      <c r="AM362" s="252"/>
      <c r="AN362" s="241"/>
      <c r="AO362" s="241"/>
      <c r="AP362" s="241"/>
      <c r="AQ362" s="194"/>
      <c r="AR362" s="195"/>
      <c r="AS362" s="195"/>
    </row>
    <row r="363" spans="2:45">
      <c r="B363" s="253"/>
      <c r="C363" s="230"/>
      <c r="D363" s="245"/>
      <c r="E363" s="230"/>
      <c r="F363" s="230"/>
      <c r="G363" s="230"/>
      <c r="H363" s="230"/>
      <c r="I363" s="228"/>
      <c r="J363" s="228"/>
      <c r="K363" s="230"/>
      <c r="L363" s="230"/>
      <c r="M363" s="246"/>
      <c r="N363" s="230"/>
      <c r="O363" s="230"/>
      <c r="P363" s="230"/>
      <c r="Q363" s="230"/>
      <c r="R363" s="256"/>
      <c r="S363" s="257"/>
      <c r="T363" s="228"/>
      <c r="U363" s="228"/>
      <c r="V363" s="245"/>
      <c r="W363" s="254"/>
      <c r="X363" s="254"/>
      <c r="Y363" s="228"/>
      <c r="Z363" s="255"/>
      <c r="AA363" s="248"/>
      <c r="AB363" s="248"/>
      <c r="AC363" s="248"/>
      <c r="AD363" s="247"/>
      <c r="AE363" s="228"/>
      <c r="AF363" s="228"/>
      <c r="AG363" s="248"/>
      <c r="AH363" s="248"/>
      <c r="AI363" s="194"/>
      <c r="AJ363" s="249"/>
      <c r="AK363" s="250"/>
      <c r="AL363" s="251"/>
      <c r="AM363" s="252"/>
      <c r="AN363" s="241"/>
      <c r="AO363" s="241"/>
      <c r="AP363" s="241"/>
      <c r="AQ363" s="194"/>
      <c r="AR363" s="195"/>
      <c r="AS363" s="195"/>
    </row>
    <row r="364" spans="2:45">
      <c r="B364" s="253"/>
      <c r="C364" s="230"/>
      <c r="D364" s="245"/>
      <c r="E364" s="230"/>
      <c r="F364" s="230"/>
      <c r="G364" s="230"/>
      <c r="H364" s="230"/>
      <c r="I364" s="228"/>
      <c r="J364" s="228"/>
      <c r="K364" s="230"/>
      <c r="L364" s="230"/>
      <c r="M364" s="246"/>
      <c r="N364" s="230"/>
      <c r="O364" s="230"/>
      <c r="P364" s="230"/>
      <c r="Q364" s="230"/>
      <c r="R364" s="256"/>
      <c r="S364" s="257"/>
      <c r="T364" s="228"/>
      <c r="U364" s="228"/>
      <c r="V364" s="245"/>
      <c r="W364" s="254"/>
      <c r="X364" s="254"/>
      <c r="Y364" s="228"/>
      <c r="Z364" s="255"/>
      <c r="AA364" s="248"/>
      <c r="AB364" s="248"/>
      <c r="AC364" s="248"/>
      <c r="AD364" s="247"/>
      <c r="AE364" s="228"/>
      <c r="AF364" s="228"/>
      <c r="AG364" s="248"/>
      <c r="AH364" s="248"/>
      <c r="AI364" s="194"/>
      <c r="AJ364" s="249"/>
      <c r="AK364" s="250"/>
      <c r="AL364" s="251"/>
      <c r="AM364" s="252"/>
      <c r="AN364" s="241"/>
      <c r="AO364" s="241"/>
      <c r="AP364" s="241"/>
      <c r="AQ364" s="194"/>
      <c r="AR364" s="195"/>
      <c r="AS364" s="195"/>
    </row>
    <row r="365" spans="2:45">
      <c r="B365" s="253"/>
      <c r="C365" s="230"/>
      <c r="D365" s="245"/>
      <c r="E365" s="230"/>
      <c r="F365" s="230"/>
      <c r="G365" s="230"/>
      <c r="H365" s="230"/>
      <c r="I365" s="228"/>
      <c r="J365" s="228"/>
      <c r="K365" s="230"/>
      <c r="L365" s="230"/>
      <c r="M365" s="246"/>
      <c r="N365" s="230"/>
      <c r="O365" s="230"/>
      <c r="P365" s="230"/>
      <c r="Q365" s="230"/>
      <c r="R365" s="256"/>
      <c r="S365" s="257"/>
      <c r="T365" s="228"/>
      <c r="U365" s="228"/>
      <c r="V365" s="245"/>
      <c r="W365" s="254"/>
      <c r="X365" s="254"/>
      <c r="Y365" s="228"/>
      <c r="Z365" s="255"/>
      <c r="AA365" s="248"/>
      <c r="AB365" s="248"/>
      <c r="AC365" s="248"/>
      <c r="AD365" s="247"/>
      <c r="AE365" s="228"/>
      <c r="AF365" s="228"/>
      <c r="AG365" s="248"/>
      <c r="AH365" s="248"/>
      <c r="AI365" s="194"/>
      <c r="AJ365" s="249"/>
      <c r="AK365" s="250"/>
      <c r="AL365" s="251"/>
      <c r="AM365" s="252"/>
      <c r="AN365" s="241"/>
      <c r="AO365" s="241"/>
      <c r="AP365" s="241"/>
      <c r="AQ365" s="194"/>
      <c r="AR365" s="195"/>
      <c r="AS365" s="195"/>
    </row>
    <row r="366" spans="2:45">
      <c r="B366" s="253"/>
      <c r="C366" s="230"/>
      <c r="D366" s="245"/>
      <c r="E366" s="230"/>
      <c r="F366" s="230"/>
      <c r="G366" s="230"/>
      <c r="H366" s="230"/>
      <c r="I366" s="228"/>
      <c r="J366" s="228"/>
      <c r="K366" s="230"/>
      <c r="L366" s="230"/>
      <c r="M366" s="246"/>
      <c r="N366" s="230"/>
      <c r="O366" s="230"/>
      <c r="P366" s="230"/>
      <c r="Q366" s="230"/>
      <c r="R366" s="256"/>
      <c r="S366" s="257"/>
      <c r="T366" s="228"/>
      <c r="U366" s="228"/>
      <c r="V366" s="245"/>
      <c r="W366" s="254"/>
      <c r="X366" s="254"/>
      <c r="Y366" s="228"/>
      <c r="Z366" s="255"/>
      <c r="AA366" s="248"/>
      <c r="AB366" s="248"/>
      <c r="AC366" s="248"/>
      <c r="AD366" s="247"/>
      <c r="AE366" s="228"/>
      <c r="AF366" s="228"/>
      <c r="AG366" s="248"/>
      <c r="AH366" s="248"/>
      <c r="AI366" s="194"/>
      <c r="AJ366" s="249"/>
      <c r="AK366" s="250"/>
      <c r="AL366" s="251"/>
      <c r="AM366" s="252"/>
      <c r="AN366" s="241"/>
      <c r="AO366" s="241"/>
      <c r="AP366" s="241"/>
      <c r="AQ366" s="194"/>
      <c r="AR366" s="195"/>
      <c r="AS366" s="195"/>
    </row>
    <row r="367" spans="2:45">
      <c r="B367" s="253"/>
      <c r="C367" s="230"/>
      <c r="D367" s="245"/>
      <c r="E367" s="230"/>
      <c r="F367" s="230"/>
      <c r="G367" s="230"/>
      <c r="H367" s="230"/>
      <c r="I367" s="228"/>
      <c r="J367" s="228"/>
      <c r="K367" s="230"/>
      <c r="L367" s="230"/>
      <c r="M367" s="246"/>
      <c r="N367" s="230"/>
      <c r="O367" s="230"/>
      <c r="P367" s="230"/>
      <c r="Q367" s="230"/>
      <c r="R367" s="256"/>
      <c r="S367" s="257"/>
      <c r="T367" s="228"/>
      <c r="U367" s="228"/>
      <c r="V367" s="245"/>
      <c r="W367" s="254"/>
      <c r="X367" s="254"/>
      <c r="Y367" s="228"/>
      <c r="Z367" s="255"/>
      <c r="AA367" s="248"/>
      <c r="AB367" s="248"/>
      <c r="AC367" s="248"/>
      <c r="AD367" s="247"/>
      <c r="AE367" s="228"/>
      <c r="AF367" s="228"/>
      <c r="AG367" s="248"/>
      <c r="AH367" s="248"/>
      <c r="AI367" s="194"/>
      <c r="AJ367" s="249"/>
      <c r="AK367" s="250"/>
      <c r="AL367" s="251"/>
      <c r="AM367" s="252"/>
      <c r="AN367" s="241"/>
      <c r="AO367" s="241"/>
      <c r="AP367" s="241"/>
      <c r="AQ367" s="194"/>
      <c r="AR367" s="195"/>
      <c r="AS367" s="195"/>
    </row>
    <row r="368" spans="2:45">
      <c r="B368" s="253"/>
      <c r="C368" s="230"/>
      <c r="D368" s="245"/>
      <c r="E368" s="230"/>
      <c r="F368" s="230"/>
      <c r="G368" s="230"/>
      <c r="H368" s="230"/>
      <c r="I368" s="228"/>
      <c r="J368" s="228"/>
      <c r="K368" s="230"/>
      <c r="L368" s="230"/>
      <c r="M368" s="246"/>
      <c r="N368" s="230"/>
      <c r="O368" s="230"/>
      <c r="P368" s="230"/>
      <c r="Q368" s="230"/>
      <c r="R368" s="256"/>
      <c r="S368" s="257"/>
      <c r="T368" s="228"/>
      <c r="U368" s="228"/>
      <c r="V368" s="245"/>
      <c r="W368" s="254"/>
      <c r="X368" s="254"/>
      <c r="Y368" s="228"/>
      <c r="Z368" s="255"/>
      <c r="AA368" s="248"/>
      <c r="AB368" s="248"/>
      <c r="AC368" s="248"/>
      <c r="AD368" s="247"/>
      <c r="AE368" s="228"/>
      <c r="AF368" s="228"/>
      <c r="AG368" s="248"/>
      <c r="AH368" s="248"/>
      <c r="AI368" s="194"/>
      <c r="AJ368" s="249"/>
      <c r="AK368" s="250"/>
      <c r="AL368" s="251"/>
      <c r="AM368" s="252"/>
      <c r="AN368" s="241"/>
      <c r="AO368" s="241"/>
      <c r="AP368" s="241"/>
      <c r="AQ368" s="194"/>
      <c r="AR368" s="195"/>
      <c r="AS368" s="195"/>
    </row>
    <row r="369" spans="2:45">
      <c r="B369" s="253"/>
      <c r="C369" s="230"/>
      <c r="D369" s="245"/>
      <c r="E369" s="230"/>
      <c r="F369" s="230"/>
      <c r="G369" s="230"/>
      <c r="H369" s="230"/>
      <c r="I369" s="228"/>
      <c r="J369" s="228"/>
      <c r="K369" s="230"/>
      <c r="L369" s="230"/>
      <c r="M369" s="246"/>
      <c r="N369" s="230"/>
      <c r="O369" s="230"/>
      <c r="P369" s="230"/>
      <c r="Q369" s="230"/>
      <c r="R369" s="256"/>
      <c r="S369" s="257"/>
      <c r="T369" s="228"/>
      <c r="U369" s="228"/>
      <c r="V369" s="258"/>
      <c r="W369" s="254"/>
      <c r="X369" s="254"/>
      <c r="Y369" s="228"/>
      <c r="Z369" s="255"/>
      <c r="AA369" s="248"/>
      <c r="AB369" s="248"/>
      <c r="AC369" s="248"/>
      <c r="AD369" s="247"/>
      <c r="AE369" s="228"/>
      <c r="AF369" s="228"/>
      <c r="AG369" s="248"/>
      <c r="AH369" s="248"/>
      <c r="AI369" s="194"/>
      <c r="AJ369" s="249"/>
      <c r="AK369" s="250"/>
      <c r="AL369" s="251"/>
      <c r="AM369" s="252"/>
      <c r="AN369" s="241"/>
      <c r="AO369" s="241"/>
      <c r="AP369" s="241"/>
      <c r="AQ369" s="194"/>
      <c r="AR369" s="195"/>
      <c r="AS369" s="195"/>
    </row>
    <row r="370" spans="2:45">
      <c r="B370" s="253"/>
      <c r="C370" s="230"/>
      <c r="D370" s="245"/>
      <c r="E370" s="230"/>
      <c r="F370" s="230"/>
      <c r="G370" s="230"/>
      <c r="H370" s="230"/>
      <c r="I370" s="228"/>
      <c r="J370" s="228"/>
      <c r="K370" s="230"/>
      <c r="L370" s="230"/>
      <c r="M370" s="246"/>
      <c r="N370" s="230"/>
      <c r="O370" s="230"/>
      <c r="P370" s="230"/>
      <c r="Q370" s="230"/>
      <c r="R370" s="256"/>
      <c r="S370" s="257"/>
      <c r="T370" s="228"/>
      <c r="U370" s="228"/>
      <c r="V370" s="258"/>
      <c r="W370" s="254"/>
      <c r="X370" s="254"/>
      <c r="Y370" s="228"/>
      <c r="Z370" s="255"/>
      <c r="AA370" s="248"/>
      <c r="AB370" s="248"/>
      <c r="AC370" s="248"/>
      <c r="AD370" s="247"/>
      <c r="AE370" s="228"/>
      <c r="AF370" s="228"/>
      <c r="AG370" s="248"/>
      <c r="AH370" s="248"/>
      <c r="AI370" s="194"/>
      <c r="AJ370" s="249"/>
      <c r="AK370" s="250"/>
      <c r="AL370" s="251"/>
      <c r="AM370" s="252"/>
      <c r="AN370" s="241"/>
      <c r="AO370" s="241"/>
      <c r="AP370" s="241"/>
      <c r="AQ370" s="194"/>
      <c r="AR370" s="195"/>
      <c r="AS370" s="195"/>
    </row>
    <row r="371" spans="2:45">
      <c r="B371" s="253"/>
      <c r="C371" s="230"/>
      <c r="D371" s="245"/>
      <c r="E371" s="230"/>
      <c r="F371" s="230"/>
      <c r="G371" s="230"/>
      <c r="H371" s="230"/>
      <c r="I371" s="228"/>
      <c r="J371" s="228"/>
      <c r="K371" s="230"/>
      <c r="L371" s="230"/>
      <c r="M371" s="246"/>
      <c r="N371" s="230"/>
      <c r="O371" s="230"/>
      <c r="P371" s="230"/>
      <c r="Q371" s="230"/>
      <c r="R371" s="256"/>
      <c r="S371" s="257"/>
      <c r="T371" s="228"/>
      <c r="U371" s="228"/>
      <c r="V371" s="258"/>
      <c r="W371" s="254"/>
      <c r="X371" s="254"/>
      <c r="Y371" s="228"/>
      <c r="Z371" s="255"/>
      <c r="AA371" s="248"/>
      <c r="AB371" s="248"/>
      <c r="AC371" s="248"/>
      <c r="AD371" s="247"/>
      <c r="AE371" s="228"/>
      <c r="AF371" s="228"/>
      <c r="AG371" s="248"/>
      <c r="AH371" s="248"/>
      <c r="AI371" s="194"/>
      <c r="AJ371" s="249"/>
      <c r="AK371" s="250"/>
      <c r="AL371" s="251"/>
      <c r="AM371" s="252"/>
      <c r="AN371" s="241"/>
      <c r="AO371" s="241"/>
      <c r="AP371" s="241"/>
      <c r="AQ371" s="194"/>
      <c r="AR371" s="195"/>
      <c r="AS371" s="195"/>
    </row>
    <row r="372" spans="2:45">
      <c r="B372" s="253"/>
      <c r="C372" s="230"/>
      <c r="D372" s="245"/>
      <c r="E372" s="230"/>
      <c r="F372" s="230"/>
      <c r="G372" s="230"/>
      <c r="H372" s="230"/>
      <c r="I372" s="228"/>
      <c r="J372" s="228"/>
      <c r="K372" s="230"/>
      <c r="L372" s="230"/>
      <c r="M372" s="246"/>
      <c r="N372" s="230"/>
      <c r="O372" s="230"/>
      <c r="P372" s="230"/>
      <c r="Q372" s="230"/>
      <c r="R372" s="256"/>
      <c r="S372" s="257"/>
      <c r="T372" s="228"/>
      <c r="U372" s="228"/>
      <c r="V372" s="258"/>
      <c r="W372" s="254"/>
      <c r="X372" s="254"/>
      <c r="Y372" s="228"/>
      <c r="Z372" s="255"/>
      <c r="AA372" s="248"/>
      <c r="AB372" s="248"/>
      <c r="AC372" s="248"/>
      <c r="AD372" s="247"/>
      <c r="AE372" s="228"/>
      <c r="AF372" s="228"/>
      <c r="AG372" s="248"/>
      <c r="AH372" s="248"/>
      <c r="AI372" s="194"/>
      <c r="AJ372" s="249"/>
      <c r="AK372" s="250"/>
      <c r="AL372" s="251"/>
      <c r="AM372" s="252"/>
      <c r="AN372" s="241"/>
      <c r="AO372" s="241"/>
      <c r="AP372" s="241"/>
      <c r="AQ372" s="194"/>
      <c r="AR372" s="195"/>
      <c r="AS372" s="195"/>
    </row>
    <row r="373" spans="2:45">
      <c r="B373" s="253"/>
      <c r="C373" s="230"/>
      <c r="D373" s="245"/>
      <c r="E373" s="230"/>
      <c r="F373" s="230"/>
      <c r="G373" s="230"/>
      <c r="H373" s="230"/>
      <c r="I373" s="228"/>
      <c r="J373" s="228"/>
      <c r="K373" s="230"/>
      <c r="L373" s="230"/>
      <c r="M373" s="246"/>
      <c r="N373" s="230"/>
      <c r="O373" s="230"/>
      <c r="P373" s="230"/>
      <c r="Q373" s="230"/>
      <c r="R373" s="256"/>
      <c r="S373" s="257"/>
      <c r="T373" s="228"/>
      <c r="U373" s="228"/>
      <c r="V373" s="258"/>
      <c r="W373" s="254"/>
      <c r="X373" s="254"/>
      <c r="Y373" s="228"/>
      <c r="Z373" s="255"/>
      <c r="AA373" s="248"/>
      <c r="AB373" s="248"/>
      <c r="AC373" s="248"/>
      <c r="AD373" s="247"/>
      <c r="AE373" s="228"/>
      <c r="AF373" s="228"/>
      <c r="AG373" s="248"/>
      <c r="AH373" s="248"/>
      <c r="AI373" s="194"/>
      <c r="AJ373" s="249"/>
      <c r="AK373" s="250"/>
      <c r="AL373" s="251"/>
      <c r="AM373" s="252"/>
      <c r="AN373" s="241"/>
      <c r="AO373" s="241"/>
      <c r="AP373" s="241"/>
      <c r="AQ373" s="194"/>
      <c r="AR373" s="195"/>
      <c r="AS373" s="195"/>
    </row>
    <row r="374" spans="2:45">
      <c r="B374" s="253"/>
      <c r="C374" s="230"/>
      <c r="D374" s="245"/>
      <c r="E374" s="230"/>
      <c r="F374" s="230"/>
      <c r="G374" s="230"/>
      <c r="H374" s="230"/>
      <c r="I374" s="228"/>
      <c r="J374" s="228"/>
      <c r="K374" s="230"/>
      <c r="L374" s="230"/>
      <c r="M374" s="246"/>
      <c r="N374" s="230"/>
      <c r="O374" s="230"/>
      <c r="P374" s="230"/>
      <c r="Q374" s="230"/>
      <c r="R374" s="256"/>
      <c r="S374" s="257"/>
      <c r="T374" s="228"/>
      <c r="U374" s="228"/>
      <c r="V374" s="258"/>
      <c r="W374" s="254"/>
      <c r="X374" s="254"/>
      <c r="Y374" s="228"/>
      <c r="Z374" s="255"/>
      <c r="AA374" s="248"/>
      <c r="AB374" s="248"/>
      <c r="AC374" s="248"/>
      <c r="AD374" s="247"/>
      <c r="AE374" s="228"/>
      <c r="AF374" s="228"/>
      <c r="AG374" s="248"/>
      <c r="AH374" s="248"/>
      <c r="AI374" s="194"/>
      <c r="AJ374" s="249"/>
      <c r="AK374" s="250"/>
      <c r="AL374" s="251"/>
      <c r="AM374" s="252"/>
      <c r="AN374" s="241"/>
      <c r="AO374" s="241"/>
      <c r="AP374" s="241"/>
      <c r="AQ374" s="194"/>
      <c r="AR374" s="195"/>
      <c r="AS374" s="195"/>
    </row>
    <row r="375" spans="2:45">
      <c r="B375" s="253"/>
      <c r="C375" s="230"/>
      <c r="D375" s="245"/>
      <c r="E375" s="230"/>
      <c r="F375" s="230"/>
      <c r="G375" s="230"/>
      <c r="H375" s="230"/>
      <c r="I375" s="228"/>
      <c r="J375" s="228"/>
      <c r="K375" s="230"/>
      <c r="L375" s="230"/>
      <c r="M375" s="246"/>
      <c r="N375" s="230"/>
      <c r="O375" s="230"/>
      <c r="P375" s="230"/>
      <c r="Q375" s="230"/>
      <c r="R375" s="256"/>
      <c r="S375" s="257"/>
      <c r="T375" s="228"/>
      <c r="U375" s="228"/>
      <c r="V375" s="258"/>
      <c r="W375" s="254"/>
      <c r="X375" s="254"/>
      <c r="Y375" s="228"/>
      <c r="Z375" s="255"/>
      <c r="AA375" s="248"/>
      <c r="AB375" s="248"/>
      <c r="AC375" s="248"/>
      <c r="AD375" s="247"/>
      <c r="AE375" s="228"/>
      <c r="AF375" s="228"/>
      <c r="AG375" s="248"/>
      <c r="AH375" s="248"/>
      <c r="AI375" s="194"/>
      <c r="AJ375" s="249"/>
      <c r="AK375" s="250"/>
      <c r="AL375" s="251"/>
      <c r="AM375" s="252"/>
      <c r="AN375" s="241"/>
      <c r="AO375" s="241"/>
      <c r="AP375" s="241"/>
      <c r="AQ375" s="194"/>
      <c r="AR375" s="195"/>
      <c r="AS375" s="195"/>
    </row>
    <row r="376" spans="2:45">
      <c r="B376" s="253"/>
      <c r="C376" s="230"/>
      <c r="D376" s="245"/>
      <c r="E376" s="230"/>
      <c r="F376" s="230"/>
      <c r="G376" s="230"/>
      <c r="H376" s="230"/>
      <c r="I376" s="228"/>
      <c r="J376" s="228"/>
      <c r="K376" s="230"/>
      <c r="L376" s="230"/>
      <c r="M376" s="246"/>
      <c r="N376" s="230"/>
      <c r="O376" s="230"/>
      <c r="P376" s="230"/>
      <c r="Q376" s="230"/>
      <c r="R376" s="256"/>
      <c r="S376" s="257"/>
      <c r="T376" s="228"/>
      <c r="U376" s="228"/>
      <c r="V376" s="258"/>
      <c r="W376" s="254"/>
      <c r="X376" s="254"/>
      <c r="Y376" s="228"/>
      <c r="Z376" s="255"/>
      <c r="AA376" s="248"/>
      <c r="AB376" s="248"/>
      <c r="AC376" s="248"/>
      <c r="AD376" s="247"/>
      <c r="AE376" s="228"/>
      <c r="AF376" s="228"/>
      <c r="AG376" s="248"/>
      <c r="AH376" s="248"/>
      <c r="AI376" s="194"/>
      <c r="AJ376" s="249"/>
      <c r="AK376" s="250"/>
      <c r="AL376" s="251"/>
      <c r="AM376" s="252"/>
      <c r="AN376" s="241"/>
      <c r="AO376" s="241"/>
      <c r="AP376" s="241"/>
      <c r="AQ376" s="194"/>
      <c r="AR376" s="195"/>
      <c r="AS376" s="195"/>
    </row>
    <row r="377" spans="2:45">
      <c r="B377" s="253"/>
      <c r="C377" s="230"/>
      <c r="D377" s="245"/>
      <c r="E377" s="230"/>
      <c r="F377" s="230"/>
      <c r="G377" s="230"/>
      <c r="H377" s="230"/>
      <c r="I377" s="228"/>
      <c r="J377" s="228"/>
      <c r="K377" s="230"/>
      <c r="L377" s="230"/>
      <c r="M377" s="246"/>
      <c r="N377" s="230"/>
      <c r="O377" s="230"/>
      <c r="P377" s="230"/>
      <c r="Q377" s="230"/>
      <c r="R377" s="256"/>
      <c r="S377" s="257"/>
      <c r="T377" s="228"/>
      <c r="U377" s="228"/>
      <c r="V377" s="258"/>
      <c r="W377" s="254"/>
      <c r="X377" s="254"/>
      <c r="Y377" s="228"/>
      <c r="Z377" s="255"/>
      <c r="AA377" s="248"/>
      <c r="AB377" s="248"/>
      <c r="AC377" s="248"/>
      <c r="AD377" s="247"/>
      <c r="AE377" s="228"/>
      <c r="AF377" s="228"/>
      <c r="AG377" s="248"/>
      <c r="AH377" s="248"/>
      <c r="AI377" s="194"/>
      <c r="AJ377" s="249"/>
      <c r="AK377" s="250"/>
      <c r="AL377" s="251"/>
      <c r="AM377" s="252"/>
      <c r="AN377" s="241"/>
      <c r="AO377" s="241"/>
      <c r="AP377" s="241"/>
      <c r="AQ377" s="194"/>
      <c r="AR377" s="195"/>
      <c r="AS377" s="195"/>
    </row>
    <row r="378" spans="2:45">
      <c r="B378" s="253"/>
      <c r="C378" s="230"/>
      <c r="D378" s="245"/>
      <c r="E378" s="230"/>
      <c r="F378" s="230"/>
      <c r="G378" s="230"/>
      <c r="H378" s="230"/>
      <c r="I378" s="228"/>
      <c r="J378" s="228"/>
      <c r="K378" s="230"/>
      <c r="L378" s="230"/>
      <c r="M378" s="246"/>
      <c r="N378" s="230"/>
      <c r="O378" s="230"/>
      <c r="P378" s="230"/>
      <c r="Q378" s="230"/>
      <c r="R378" s="256"/>
      <c r="S378" s="257"/>
      <c r="T378" s="228"/>
      <c r="U378" s="228"/>
      <c r="V378" s="258"/>
      <c r="W378" s="254"/>
      <c r="X378" s="254"/>
      <c r="Y378" s="228"/>
      <c r="Z378" s="255"/>
      <c r="AA378" s="248"/>
      <c r="AB378" s="248"/>
      <c r="AC378" s="248"/>
      <c r="AD378" s="247"/>
      <c r="AE378" s="228"/>
      <c r="AF378" s="228"/>
      <c r="AG378" s="248"/>
      <c r="AH378" s="248"/>
      <c r="AI378" s="194"/>
      <c r="AJ378" s="249"/>
      <c r="AK378" s="250"/>
      <c r="AL378" s="251"/>
      <c r="AM378" s="252"/>
      <c r="AN378" s="241"/>
      <c r="AO378" s="241"/>
      <c r="AP378" s="241"/>
      <c r="AQ378" s="194"/>
      <c r="AR378" s="195"/>
      <c r="AS378" s="195"/>
    </row>
    <row r="379" spans="2:45">
      <c r="B379" s="253"/>
      <c r="C379" s="230"/>
      <c r="D379" s="245"/>
      <c r="E379" s="230"/>
      <c r="F379" s="230"/>
      <c r="G379" s="230"/>
      <c r="H379" s="230"/>
      <c r="I379" s="228"/>
      <c r="J379" s="228"/>
      <c r="K379" s="230"/>
      <c r="L379" s="230"/>
      <c r="M379" s="246"/>
      <c r="N379" s="230"/>
      <c r="O379" s="230"/>
      <c r="P379" s="230"/>
      <c r="Q379" s="230"/>
      <c r="R379" s="256"/>
      <c r="S379" s="257"/>
      <c r="T379" s="228"/>
      <c r="U379" s="228"/>
      <c r="V379" s="258"/>
      <c r="W379" s="254"/>
      <c r="X379" s="254"/>
      <c r="Y379" s="228"/>
      <c r="Z379" s="255"/>
      <c r="AA379" s="248"/>
      <c r="AB379" s="248"/>
      <c r="AC379" s="248"/>
      <c r="AD379" s="247"/>
      <c r="AE379" s="228"/>
      <c r="AF379" s="228"/>
      <c r="AG379" s="248"/>
      <c r="AH379" s="248"/>
      <c r="AI379" s="194"/>
      <c r="AJ379" s="249"/>
      <c r="AK379" s="250"/>
      <c r="AL379" s="251"/>
      <c r="AM379" s="252"/>
      <c r="AN379" s="241"/>
      <c r="AO379" s="241"/>
      <c r="AP379" s="241"/>
      <c r="AQ379" s="194"/>
      <c r="AR379" s="195"/>
      <c r="AS379" s="195"/>
    </row>
    <row r="380" spans="2:45">
      <c r="B380" s="253"/>
      <c r="C380" s="230"/>
      <c r="D380" s="245"/>
      <c r="E380" s="230"/>
      <c r="F380" s="230"/>
      <c r="G380" s="230"/>
      <c r="H380" s="230"/>
      <c r="I380" s="228"/>
      <c r="J380" s="228"/>
      <c r="K380" s="230"/>
      <c r="L380" s="230"/>
      <c r="M380" s="246"/>
      <c r="N380" s="230"/>
      <c r="O380" s="230"/>
      <c r="P380" s="230"/>
      <c r="Q380" s="230"/>
      <c r="R380" s="256"/>
      <c r="S380" s="257"/>
      <c r="T380" s="228"/>
      <c r="U380" s="228"/>
      <c r="V380" s="258"/>
      <c r="W380" s="254"/>
      <c r="X380" s="254"/>
      <c r="Y380" s="228"/>
      <c r="Z380" s="255"/>
      <c r="AA380" s="248"/>
      <c r="AB380" s="248"/>
      <c r="AC380" s="248"/>
      <c r="AD380" s="247"/>
      <c r="AE380" s="228"/>
      <c r="AF380" s="228"/>
      <c r="AG380" s="248"/>
      <c r="AH380" s="248"/>
      <c r="AI380" s="194"/>
      <c r="AJ380" s="249"/>
      <c r="AK380" s="250"/>
      <c r="AL380" s="251"/>
      <c r="AM380" s="252"/>
      <c r="AN380" s="241"/>
      <c r="AO380" s="241"/>
      <c r="AP380" s="241"/>
      <c r="AQ380" s="194"/>
      <c r="AR380" s="195"/>
      <c r="AS380" s="195"/>
    </row>
    <row r="381" spans="2:45">
      <c r="B381" s="253"/>
      <c r="C381" s="230"/>
      <c r="D381" s="245"/>
      <c r="E381" s="230"/>
      <c r="F381" s="230"/>
      <c r="G381" s="230"/>
      <c r="H381" s="230"/>
      <c r="I381" s="228"/>
      <c r="J381" s="228"/>
      <c r="K381" s="230"/>
      <c r="L381" s="230"/>
      <c r="M381" s="246"/>
      <c r="N381" s="230"/>
      <c r="O381" s="230"/>
      <c r="P381" s="230"/>
      <c r="Q381" s="230"/>
      <c r="R381" s="256"/>
      <c r="S381" s="257"/>
      <c r="T381" s="228"/>
      <c r="U381" s="228"/>
      <c r="V381" s="258"/>
      <c r="W381" s="254"/>
      <c r="X381" s="254"/>
      <c r="Y381" s="228"/>
      <c r="Z381" s="255"/>
      <c r="AA381" s="248"/>
      <c r="AB381" s="248"/>
      <c r="AC381" s="248"/>
      <c r="AD381" s="247"/>
      <c r="AE381" s="228"/>
      <c r="AF381" s="228"/>
      <c r="AG381" s="248"/>
      <c r="AH381" s="248"/>
      <c r="AI381" s="194"/>
      <c r="AJ381" s="249"/>
      <c r="AK381" s="250"/>
      <c r="AL381" s="251"/>
      <c r="AM381" s="252"/>
      <c r="AN381" s="241"/>
      <c r="AO381" s="241"/>
      <c r="AP381" s="241"/>
      <c r="AQ381" s="194"/>
      <c r="AR381" s="195"/>
      <c r="AS381" s="195"/>
    </row>
    <row r="382" spans="2:45">
      <c r="B382" s="253"/>
      <c r="C382" s="230"/>
      <c r="D382" s="245"/>
      <c r="E382" s="230"/>
      <c r="F382" s="230"/>
      <c r="G382" s="230"/>
      <c r="H382" s="230"/>
      <c r="I382" s="228"/>
      <c r="J382" s="228"/>
      <c r="K382" s="230"/>
      <c r="L382" s="230"/>
      <c r="M382" s="246"/>
      <c r="N382" s="230"/>
      <c r="O382" s="230"/>
      <c r="P382" s="230"/>
      <c r="Q382" s="230"/>
      <c r="R382" s="256"/>
      <c r="S382" s="257"/>
      <c r="T382" s="228"/>
      <c r="U382" s="228"/>
      <c r="V382" s="258"/>
      <c r="W382" s="254"/>
      <c r="X382" s="254"/>
      <c r="Y382" s="228"/>
      <c r="Z382" s="255"/>
      <c r="AA382" s="248"/>
      <c r="AB382" s="248"/>
      <c r="AC382" s="248"/>
      <c r="AD382" s="247"/>
      <c r="AE382" s="228"/>
      <c r="AF382" s="228"/>
      <c r="AG382" s="248"/>
      <c r="AH382" s="248"/>
      <c r="AI382" s="194"/>
      <c r="AJ382" s="249"/>
      <c r="AK382" s="250"/>
      <c r="AL382" s="251"/>
      <c r="AM382" s="252"/>
      <c r="AN382" s="241"/>
      <c r="AO382" s="241"/>
      <c r="AP382" s="241"/>
      <c r="AQ382" s="194"/>
      <c r="AR382" s="195"/>
      <c r="AS382" s="195"/>
    </row>
    <row r="383" spans="2:45">
      <c r="B383" s="253"/>
      <c r="C383" s="230"/>
      <c r="D383" s="245"/>
      <c r="E383" s="230"/>
      <c r="F383" s="230"/>
      <c r="G383" s="230"/>
      <c r="H383" s="230"/>
      <c r="I383" s="228"/>
      <c r="J383" s="228"/>
      <c r="K383" s="230"/>
      <c r="L383" s="230"/>
      <c r="M383" s="246"/>
      <c r="N383" s="230"/>
      <c r="O383" s="230"/>
      <c r="P383" s="230"/>
      <c r="Q383" s="230"/>
      <c r="R383" s="256"/>
      <c r="S383" s="257"/>
      <c r="T383" s="228"/>
      <c r="U383" s="228"/>
      <c r="V383" s="258"/>
      <c r="W383" s="254"/>
      <c r="X383" s="254"/>
      <c r="Y383" s="228"/>
      <c r="Z383" s="255"/>
      <c r="AA383" s="248"/>
      <c r="AB383" s="248"/>
      <c r="AC383" s="248"/>
      <c r="AD383" s="247"/>
      <c r="AE383" s="228"/>
      <c r="AF383" s="228"/>
      <c r="AG383" s="248"/>
      <c r="AH383" s="248"/>
      <c r="AI383" s="194"/>
      <c r="AJ383" s="249"/>
      <c r="AK383" s="250"/>
      <c r="AL383" s="251"/>
      <c r="AM383" s="252"/>
      <c r="AN383" s="241"/>
      <c r="AO383" s="241"/>
      <c r="AP383" s="241"/>
      <c r="AQ383" s="194"/>
      <c r="AR383" s="195"/>
      <c r="AS383" s="195"/>
    </row>
    <row r="384" spans="2:45">
      <c r="B384" s="253"/>
      <c r="C384" s="230"/>
      <c r="D384" s="245"/>
      <c r="E384" s="230"/>
      <c r="F384" s="230"/>
      <c r="G384" s="230"/>
      <c r="H384" s="230"/>
      <c r="I384" s="228"/>
      <c r="J384" s="228"/>
      <c r="K384" s="230"/>
      <c r="L384" s="230"/>
      <c r="M384" s="246"/>
      <c r="N384" s="230"/>
      <c r="O384" s="230"/>
      <c r="P384" s="230"/>
      <c r="Q384" s="230"/>
      <c r="R384" s="256"/>
      <c r="S384" s="257"/>
      <c r="T384" s="228"/>
      <c r="U384" s="228"/>
      <c r="V384" s="258"/>
      <c r="W384" s="254"/>
      <c r="X384" s="254"/>
      <c r="Y384" s="228"/>
      <c r="Z384" s="255"/>
      <c r="AA384" s="248"/>
      <c r="AB384" s="248"/>
      <c r="AC384" s="248"/>
      <c r="AD384" s="247"/>
      <c r="AE384" s="228"/>
      <c r="AF384" s="228"/>
      <c r="AG384" s="248"/>
      <c r="AH384" s="248"/>
      <c r="AI384" s="194"/>
      <c r="AJ384" s="249"/>
      <c r="AK384" s="250"/>
      <c r="AL384" s="251"/>
      <c r="AM384" s="252"/>
      <c r="AN384" s="241"/>
      <c r="AO384" s="241"/>
      <c r="AP384" s="241"/>
      <c r="AQ384" s="194"/>
      <c r="AR384" s="195"/>
      <c r="AS384" s="195"/>
    </row>
    <row r="385" spans="2:45">
      <c r="B385" s="253"/>
      <c r="C385" s="230"/>
      <c r="D385" s="245"/>
      <c r="E385" s="230"/>
      <c r="F385" s="230"/>
      <c r="G385" s="230"/>
      <c r="H385" s="230"/>
      <c r="I385" s="228"/>
      <c r="J385" s="228"/>
      <c r="K385" s="230"/>
      <c r="L385" s="230"/>
      <c r="M385" s="246"/>
      <c r="N385" s="230"/>
      <c r="O385" s="230"/>
      <c r="P385" s="230"/>
      <c r="Q385" s="230"/>
      <c r="R385" s="256"/>
      <c r="S385" s="257"/>
      <c r="T385" s="228"/>
      <c r="U385" s="228"/>
      <c r="V385" s="258"/>
      <c r="W385" s="254"/>
      <c r="X385" s="254"/>
      <c r="Y385" s="228"/>
      <c r="Z385" s="255"/>
      <c r="AA385" s="248"/>
      <c r="AB385" s="248"/>
      <c r="AC385" s="248"/>
      <c r="AD385" s="247"/>
      <c r="AE385" s="228"/>
      <c r="AF385" s="228"/>
      <c r="AG385" s="248"/>
      <c r="AH385" s="248"/>
      <c r="AI385" s="194"/>
      <c r="AJ385" s="249"/>
      <c r="AK385" s="250"/>
      <c r="AL385" s="251"/>
      <c r="AM385" s="252"/>
      <c r="AN385" s="241"/>
      <c r="AO385" s="241"/>
      <c r="AP385" s="241"/>
      <c r="AQ385" s="194"/>
      <c r="AR385" s="195"/>
      <c r="AS385" s="195"/>
    </row>
    <row r="386" spans="2:45">
      <c r="B386" s="253"/>
      <c r="C386" s="230"/>
      <c r="D386" s="245"/>
      <c r="E386" s="230"/>
      <c r="F386" s="230"/>
      <c r="G386" s="230"/>
      <c r="H386" s="230"/>
      <c r="I386" s="228"/>
      <c r="J386" s="228"/>
      <c r="K386" s="230"/>
      <c r="L386" s="230"/>
      <c r="M386" s="246"/>
      <c r="N386" s="230"/>
      <c r="O386" s="230"/>
      <c r="P386" s="230"/>
      <c r="Q386" s="230"/>
      <c r="R386" s="256"/>
      <c r="S386" s="257"/>
      <c r="T386" s="228"/>
      <c r="U386" s="228"/>
      <c r="V386" s="258"/>
      <c r="W386" s="254"/>
      <c r="X386" s="254"/>
      <c r="Y386" s="228"/>
      <c r="Z386" s="255"/>
      <c r="AA386" s="248"/>
      <c r="AB386" s="248"/>
      <c r="AC386" s="248"/>
      <c r="AD386" s="247"/>
      <c r="AE386" s="228"/>
      <c r="AF386" s="228"/>
      <c r="AG386" s="248"/>
      <c r="AH386" s="248"/>
      <c r="AI386" s="194"/>
      <c r="AJ386" s="249"/>
      <c r="AK386" s="250"/>
      <c r="AL386" s="251"/>
      <c r="AM386" s="252"/>
      <c r="AN386" s="241"/>
      <c r="AO386" s="241"/>
      <c r="AP386" s="241"/>
      <c r="AQ386" s="194"/>
      <c r="AR386" s="195"/>
      <c r="AS386" s="195"/>
    </row>
    <row r="387" spans="2:45">
      <c r="B387" s="253"/>
      <c r="C387" s="230"/>
      <c r="D387" s="245"/>
      <c r="E387" s="230"/>
      <c r="F387" s="230"/>
      <c r="G387" s="230"/>
      <c r="H387" s="230"/>
      <c r="I387" s="228"/>
      <c r="J387" s="228"/>
      <c r="K387" s="230"/>
      <c r="L387" s="230"/>
      <c r="M387" s="246"/>
      <c r="N387" s="230"/>
      <c r="O387" s="230"/>
      <c r="P387" s="230"/>
      <c r="Q387" s="230"/>
      <c r="R387" s="256"/>
      <c r="S387" s="257"/>
      <c r="T387" s="228"/>
      <c r="U387" s="228"/>
      <c r="V387" s="258"/>
      <c r="W387" s="254"/>
      <c r="X387" s="254"/>
      <c r="Y387" s="228"/>
      <c r="Z387" s="255"/>
      <c r="AA387" s="248"/>
      <c r="AB387" s="248"/>
      <c r="AC387" s="248"/>
      <c r="AD387" s="247"/>
      <c r="AE387" s="228"/>
      <c r="AF387" s="228"/>
      <c r="AG387" s="248"/>
      <c r="AH387" s="248"/>
      <c r="AI387" s="194"/>
      <c r="AJ387" s="249"/>
      <c r="AK387" s="250"/>
      <c r="AL387" s="251"/>
      <c r="AM387" s="252"/>
      <c r="AN387" s="241"/>
      <c r="AO387" s="241"/>
      <c r="AP387" s="241"/>
      <c r="AQ387" s="194"/>
      <c r="AR387" s="195"/>
      <c r="AS387" s="195"/>
    </row>
    <row r="388" spans="2:45">
      <c r="B388" s="253"/>
      <c r="C388" s="230"/>
      <c r="D388" s="245"/>
      <c r="E388" s="230"/>
      <c r="F388" s="230"/>
      <c r="G388" s="230"/>
      <c r="H388" s="230"/>
      <c r="I388" s="228"/>
      <c r="J388" s="228"/>
      <c r="K388" s="230"/>
      <c r="L388" s="230"/>
      <c r="M388" s="246"/>
      <c r="N388" s="230"/>
      <c r="O388" s="230"/>
      <c r="P388" s="230"/>
      <c r="Q388" s="230"/>
      <c r="R388" s="256"/>
      <c r="S388" s="257"/>
      <c r="T388" s="228"/>
      <c r="U388" s="228"/>
      <c r="V388" s="258"/>
      <c r="W388" s="254"/>
      <c r="X388" s="254"/>
      <c r="Y388" s="228"/>
      <c r="Z388" s="255"/>
      <c r="AA388" s="248"/>
      <c r="AB388" s="248"/>
      <c r="AC388" s="248"/>
      <c r="AD388" s="247"/>
      <c r="AE388" s="228"/>
      <c r="AF388" s="228"/>
      <c r="AG388" s="248"/>
      <c r="AH388" s="248"/>
      <c r="AI388" s="194"/>
      <c r="AJ388" s="249"/>
      <c r="AK388" s="250"/>
      <c r="AL388" s="251"/>
      <c r="AM388" s="252"/>
      <c r="AN388" s="241"/>
      <c r="AO388" s="241"/>
      <c r="AP388" s="241"/>
      <c r="AQ388" s="194"/>
      <c r="AR388" s="195"/>
      <c r="AS388" s="195"/>
    </row>
    <row r="389" spans="2:45">
      <c r="B389" s="253"/>
      <c r="C389" s="230"/>
      <c r="D389" s="245"/>
      <c r="E389" s="230"/>
      <c r="F389" s="230"/>
      <c r="G389" s="230"/>
      <c r="H389" s="230"/>
      <c r="I389" s="228"/>
      <c r="J389" s="228"/>
      <c r="K389" s="230"/>
      <c r="L389" s="230"/>
      <c r="M389" s="246"/>
      <c r="N389" s="230"/>
      <c r="O389" s="230"/>
      <c r="P389" s="230"/>
      <c r="Q389" s="230"/>
      <c r="R389" s="256"/>
      <c r="S389" s="257"/>
      <c r="T389" s="228"/>
      <c r="U389" s="228"/>
      <c r="V389" s="258"/>
      <c r="W389" s="254"/>
      <c r="X389" s="254"/>
      <c r="Y389" s="228"/>
      <c r="Z389" s="255"/>
      <c r="AA389" s="248"/>
      <c r="AB389" s="248"/>
      <c r="AC389" s="248"/>
      <c r="AD389" s="247"/>
      <c r="AE389" s="228"/>
      <c r="AF389" s="228"/>
      <c r="AG389" s="248"/>
      <c r="AH389" s="248"/>
      <c r="AI389" s="194"/>
      <c r="AJ389" s="249"/>
      <c r="AK389" s="250"/>
      <c r="AL389" s="251"/>
      <c r="AM389" s="252"/>
      <c r="AN389" s="241"/>
      <c r="AO389" s="241"/>
      <c r="AP389" s="241"/>
      <c r="AQ389" s="194"/>
      <c r="AR389" s="195"/>
      <c r="AS389" s="195"/>
    </row>
    <row r="390" spans="2:45">
      <c r="B390" s="253"/>
      <c r="C390" s="230"/>
      <c r="D390" s="245"/>
      <c r="E390" s="230"/>
      <c r="F390" s="230"/>
      <c r="G390" s="230"/>
      <c r="H390" s="230"/>
      <c r="I390" s="228"/>
      <c r="J390" s="228"/>
      <c r="K390" s="230"/>
      <c r="L390" s="230"/>
      <c r="M390" s="246"/>
      <c r="N390" s="230"/>
      <c r="O390" s="230"/>
      <c r="P390" s="230"/>
      <c r="Q390" s="230"/>
      <c r="R390" s="256"/>
      <c r="S390" s="257"/>
      <c r="T390" s="228"/>
      <c r="U390" s="228"/>
      <c r="V390" s="258"/>
      <c r="W390" s="254"/>
      <c r="X390" s="254"/>
      <c r="Y390" s="228"/>
      <c r="Z390" s="255"/>
      <c r="AA390" s="248"/>
      <c r="AB390" s="248"/>
      <c r="AC390" s="248"/>
      <c r="AD390" s="247"/>
      <c r="AE390" s="228"/>
      <c r="AF390" s="228"/>
      <c r="AG390" s="248"/>
      <c r="AH390" s="248"/>
      <c r="AI390" s="194"/>
      <c r="AJ390" s="249"/>
      <c r="AK390" s="250"/>
      <c r="AL390" s="251"/>
      <c r="AM390" s="252"/>
      <c r="AN390" s="241"/>
      <c r="AO390" s="241"/>
      <c r="AP390" s="241"/>
      <c r="AQ390" s="194"/>
      <c r="AR390" s="195"/>
      <c r="AS390" s="195"/>
    </row>
    <row r="391" spans="2:45">
      <c r="B391" s="253"/>
      <c r="C391" s="230"/>
      <c r="D391" s="245"/>
      <c r="E391" s="230"/>
      <c r="F391" s="230"/>
      <c r="G391" s="230"/>
      <c r="H391" s="230"/>
      <c r="I391" s="228"/>
      <c r="J391" s="228"/>
      <c r="K391" s="230"/>
      <c r="L391" s="230"/>
      <c r="M391" s="246"/>
      <c r="N391" s="230"/>
      <c r="O391" s="230"/>
      <c r="P391" s="230"/>
      <c r="Q391" s="230"/>
      <c r="R391" s="256"/>
      <c r="S391" s="257"/>
      <c r="T391" s="228"/>
      <c r="U391" s="228"/>
      <c r="V391" s="258"/>
      <c r="W391" s="254"/>
      <c r="X391" s="254"/>
      <c r="Y391" s="228"/>
      <c r="Z391" s="255"/>
      <c r="AA391" s="248"/>
      <c r="AB391" s="248"/>
      <c r="AC391" s="248"/>
      <c r="AD391" s="247"/>
      <c r="AE391" s="228"/>
      <c r="AF391" s="228"/>
      <c r="AG391" s="248"/>
      <c r="AH391" s="248"/>
      <c r="AI391" s="194"/>
      <c r="AJ391" s="249"/>
      <c r="AK391" s="250"/>
      <c r="AL391" s="251"/>
      <c r="AM391" s="252"/>
      <c r="AN391" s="241"/>
      <c r="AO391" s="241"/>
      <c r="AP391" s="241"/>
      <c r="AQ391" s="194"/>
      <c r="AR391" s="195"/>
      <c r="AS391" s="195"/>
    </row>
    <row r="392" spans="2:45">
      <c r="B392" s="253"/>
      <c r="C392" s="230"/>
      <c r="D392" s="245"/>
      <c r="E392" s="230"/>
      <c r="F392" s="230"/>
      <c r="G392" s="230"/>
      <c r="H392" s="230"/>
      <c r="I392" s="228"/>
      <c r="J392" s="228"/>
      <c r="K392" s="230"/>
      <c r="L392" s="230"/>
      <c r="M392" s="246"/>
      <c r="N392" s="230"/>
      <c r="O392" s="230"/>
      <c r="P392" s="230"/>
      <c r="Q392" s="230"/>
      <c r="R392" s="256"/>
      <c r="S392" s="257"/>
      <c r="T392" s="228"/>
      <c r="U392" s="228"/>
      <c r="V392" s="258"/>
      <c r="W392" s="254"/>
      <c r="X392" s="254"/>
      <c r="Y392" s="228"/>
      <c r="Z392" s="255"/>
      <c r="AA392" s="248"/>
      <c r="AB392" s="248"/>
      <c r="AC392" s="248"/>
      <c r="AD392" s="247"/>
      <c r="AE392" s="228"/>
      <c r="AF392" s="228"/>
      <c r="AG392" s="248"/>
      <c r="AH392" s="248"/>
      <c r="AI392" s="194"/>
      <c r="AJ392" s="249"/>
      <c r="AK392" s="250"/>
      <c r="AL392" s="251"/>
      <c r="AM392" s="252"/>
      <c r="AN392" s="241"/>
      <c r="AO392" s="241"/>
      <c r="AP392" s="241"/>
      <c r="AQ392" s="194"/>
      <c r="AR392" s="195"/>
      <c r="AS392" s="195"/>
    </row>
    <row r="393" spans="2:45">
      <c r="B393" s="253"/>
      <c r="C393" s="230"/>
      <c r="D393" s="245"/>
      <c r="E393" s="230"/>
      <c r="F393" s="230"/>
      <c r="G393" s="230"/>
      <c r="H393" s="230"/>
      <c r="I393" s="228"/>
      <c r="J393" s="228"/>
      <c r="K393" s="230"/>
      <c r="L393" s="230"/>
      <c r="M393" s="246"/>
      <c r="N393" s="230"/>
      <c r="O393" s="230"/>
      <c r="P393" s="230"/>
      <c r="Q393" s="230"/>
      <c r="R393" s="256"/>
      <c r="S393" s="257"/>
      <c r="T393" s="228"/>
      <c r="U393" s="228"/>
      <c r="V393" s="258"/>
      <c r="W393" s="254"/>
      <c r="X393" s="254"/>
      <c r="Y393" s="228"/>
      <c r="Z393" s="255"/>
      <c r="AA393" s="248"/>
      <c r="AB393" s="248"/>
      <c r="AC393" s="248"/>
      <c r="AD393" s="247"/>
      <c r="AE393" s="228"/>
      <c r="AF393" s="228"/>
      <c r="AG393" s="248"/>
      <c r="AH393" s="248"/>
      <c r="AI393" s="194"/>
      <c r="AJ393" s="249"/>
      <c r="AK393" s="250"/>
      <c r="AL393" s="251"/>
      <c r="AM393" s="252"/>
      <c r="AN393" s="241"/>
      <c r="AO393" s="241"/>
      <c r="AP393" s="241"/>
      <c r="AQ393" s="194"/>
      <c r="AR393" s="195"/>
      <c r="AS393" s="195"/>
    </row>
    <row r="394" spans="2:45">
      <c r="B394" s="253"/>
      <c r="C394" s="230"/>
      <c r="D394" s="245"/>
      <c r="E394" s="230"/>
      <c r="F394" s="230"/>
      <c r="G394" s="230"/>
      <c r="H394" s="230"/>
      <c r="I394" s="228"/>
      <c r="J394" s="228"/>
      <c r="K394" s="230"/>
      <c r="L394" s="230"/>
      <c r="M394" s="246"/>
      <c r="N394" s="230"/>
      <c r="O394" s="230"/>
      <c r="P394" s="230"/>
      <c r="Q394" s="230"/>
      <c r="R394" s="256"/>
      <c r="S394" s="257"/>
      <c r="T394" s="228"/>
      <c r="U394" s="228"/>
      <c r="V394" s="258"/>
      <c r="W394" s="254"/>
      <c r="X394" s="254"/>
      <c r="Y394" s="228"/>
      <c r="Z394" s="255"/>
      <c r="AA394" s="248"/>
      <c r="AB394" s="248"/>
      <c r="AC394" s="248"/>
      <c r="AD394" s="247"/>
      <c r="AE394" s="228"/>
      <c r="AF394" s="228"/>
      <c r="AG394" s="248"/>
      <c r="AH394" s="248"/>
      <c r="AI394" s="194"/>
      <c r="AJ394" s="249"/>
      <c r="AK394" s="250"/>
      <c r="AL394" s="251"/>
      <c r="AM394" s="252"/>
      <c r="AN394" s="241"/>
      <c r="AO394" s="241"/>
      <c r="AP394" s="241"/>
      <c r="AQ394" s="194"/>
      <c r="AR394" s="195"/>
      <c r="AS394" s="195"/>
    </row>
    <row r="395" spans="2:45">
      <c r="B395" s="253"/>
      <c r="C395" s="230"/>
      <c r="D395" s="245"/>
      <c r="E395" s="230"/>
      <c r="F395" s="230"/>
      <c r="G395" s="230"/>
      <c r="H395" s="230"/>
      <c r="I395" s="228"/>
      <c r="J395" s="228"/>
      <c r="K395" s="230"/>
      <c r="L395" s="230"/>
      <c r="M395" s="246"/>
      <c r="N395" s="230"/>
      <c r="O395" s="230"/>
      <c r="P395" s="230"/>
      <c r="Q395" s="230"/>
      <c r="R395" s="256"/>
      <c r="S395" s="257"/>
      <c r="T395" s="228"/>
      <c r="U395" s="228"/>
      <c r="V395" s="258"/>
      <c r="W395" s="254"/>
      <c r="X395" s="254"/>
      <c r="Y395" s="228"/>
      <c r="Z395" s="255"/>
      <c r="AA395" s="248"/>
      <c r="AB395" s="248"/>
      <c r="AC395" s="248"/>
      <c r="AD395" s="247"/>
      <c r="AE395" s="228"/>
      <c r="AF395" s="228"/>
      <c r="AG395" s="248"/>
      <c r="AH395" s="248"/>
      <c r="AI395" s="194"/>
      <c r="AJ395" s="249"/>
      <c r="AK395" s="250"/>
      <c r="AL395" s="251"/>
      <c r="AM395" s="252"/>
      <c r="AN395" s="241"/>
      <c r="AO395" s="241"/>
      <c r="AP395" s="241"/>
      <c r="AQ395" s="194"/>
      <c r="AR395" s="195"/>
      <c r="AS395" s="195"/>
    </row>
    <row r="396" spans="2:45">
      <c r="B396" s="253"/>
      <c r="C396" s="230"/>
      <c r="D396" s="245"/>
      <c r="E396" s="230"/>
      <c r="F396" s="230"/>
      <c r="G396" s="230"/>
      <c r="H396" s="230"/>
      <c r="I396" s="228"/>
      <c r="J396" s="228"/>
      <c r="K396" s="230"/>
      <c r="L396" s="230"/>
      <c r="M396" s="246"/>
      <c r="N396" s="230"/>
      <c r="O396" s="230"/>
      <c r="P396" s="230"/>
      <c r="Q396" s="230"/>
      <c r="R396" s="256"/>
      <c r="S396" s="257"/>
      <c r="T396" s="228"/>
      <c r="U396" s="228"/>
      <c r="V396" s="258"/>
      <c r="W396" s="254"/>
      <c r="X396" s="254"/>
      <c r="Y396" s="228"/>
      <c r="Z396" s="255"/>
      <c r="AA396" s="248"/>
      <c r="AB396" s="248"/>
      <c r="AC396" s="248"/>
      <c r="AD396" s="247"/>
      <c r="AE396" s="228"/>
      <c r="AF396" s="228"/>
      <c r="AG396" s="248"/>
      <c r="AH396" s="248"/>
      <c r="AI396" s="194"/>
      <c r="AJ396" s="249"/>
      <c r="AK396" s="250"/>
      <c r="AL396" s="251"/>
      <c r="AM396" s="252"/>
      <c r="AN396" s="241"/>
      <c r="AO396" s="241"/>
      <c r="AP396" s="241"/>
      <c r="AQ396" s="194"/>
      <c r="AR396" s="195"/>
      <c r="AS396" s="195"/>
    </row>
    <row r="397" spans="2:45">
      <c r="B397" s="253"/>
      <c r="C397" s="230"/>
      <c r="D397" s="245"/>
      <c r="E397" s="230"/>
      <c r="F397" s="230"/>
      <c r="G397" s="230"/>
      <c r="H397" s="230"/>
      <c r="I397" s="228"/>
      <c r="J397" s="228"/>
      <c r="K397" s="230"/>
      <c r="L397" s="230"/>
      <c r="M397" s="246"/>
      <c r="N397" s="230"/>
      <c r="O397" s="230"/>
      <c r="P397" s="230"/>
      <c r="Q397" s="230"/>
      <c r="R397" s="256"/>
      <c r="S397" s="257"/>
      <c r="T397" s="228"/>
      <c r="U397" s="228"/>
      <c r="V397" s="258"/>
      <c r="W397" s="254"/>
      <c r="X397" s="254"/>
      <c r="Y397" s="228"/>
      <c r="Z397" s="255"/>
      <c r="AA397" s="248"/>
      <c r="AB397" s="248"/>
      <c r="AC397" s="248"/>
      <c r="AD397" s="247"/>
      <c r="AE397" s="228"/>
      <c r="AF397" s="228"/>
      <c r="AG397" s="248"/>
      <c r="AH397" s="248"/>
      <c r="AI397" s="194"/>
      <c r="AJ397" s="249"/>
      <c r="AK397" s="250"/>
      <c r="AL397" s="251"/>
      <c r="AM397" s="252"/>
      <c r="AN397" s="241"/>
      <c r="AO397" s="241"/>
      <c r="AP397" s="241"/>
      <c r="AQ397" s="194"/>
      <c r="AR397" s="195"/>
      <c r="AS397" s="195"/>
    </row>
    <row r="398" spans="2:45">
      <c r="B398" s="253"/>
      <c r="C398" s="230"/>
      <c r="D398" s="245"/>
      <c r="E398" s="230"/>
      <c r="F398" s="230"/>
      <c r="G398" s="230"/>
      <c r="H398" s="230"/>
      <c r="I398" s="228"/>
      <c r="J398" s="228"/>
      <c r="K398" s="230"/>
      <c r="L398" s="230"/>
      <c r="M398" s="246"/>
      <c r="N398" s="230"/>
      <c r="O398" s="230"/>
      <c r="P398" s="230"/>
      <c r="Q398" s="230"/>
      <c r="R398" s="256"/>
      <c r="S398" s="257"/>
      <c r="T398" s="228"/>
      <c r="U398" s="228"/>
      <c r="V398" s="258"/>
      <c r="W398" s="254"/>
      <c r="X398" s="254"/>
      <c r="Y398" s="228"/>
      <c r="Z398" s="255"/>
      <c r="AA398" s="248"/>
      <c r="AB398" s="248"/>
      <c r="AC398" s="248"/>
      <c r="AD398" s="247"/>
      <c r="AE398" s="228"/>
      <c r="AF398" s="228"/>
      <c r="AG398" s="248"/>
      <c r="AH398" s="248"/>
      <c r="AI398" s="194"/>
      <c r="AJ398" s="249"/>
      <c r="AK398" s="250"/>
      <c r="AL398" s="251"/>
      <c r="AM398" s="252"/>
      <c r="AN398" s="241"/>
      <c r="AO398" s="241"/>
      <c r="AP398" s="241"/>
      <c r="AQ398" s="194"/>
      <c r="AR398" s="195"/>
      <c r="AS398" s="195"/>
    </row>
    <row r="399" spans="2:45">
      <c r="B399" s="253"/>
      <c r="C399" s="230"/>
      <c r="D399" s="245"/>
      <c r="E399" s="230"/>
      <c r="F399" s="230"/>
      <c r="G399" s="230"/>
      <c r="H399" s="230"/>
      <c r="I399" s="228"/>
      <c r="J399" s="228"/>
      <c r="K399" s="230"/>
      <c r="L399" s="230"/>
      <c r="M399" s="246"/>
      <c r="N399" s="230"/>
      <c r="O399" s="230"/>
      <c r="P399" s="230"/>
      <c r="Q399" s="230"/>
      <c r="R399" s="256"/>
      <c r="S399" s="257"/>
      <c r="T399" s="228"/>
      <c r="U399" s="228"/>
      <c r="V399" s="258"/>
      <c r="W399" s="254"/>
      <c r="X399" s="254"/>
      <c r="Y399" s="228"/>
      <c r="Z399" s="255"/>
      <c r="AA399" s="248"/>
      <c r="AB399" s="248"/>
      <c r="AC399" s="248"/>
      <c r="AD399" s="247"/>
      <c r="AE399" s="228"/>
      <c r="AF399" s="228"/>
      <c r="AG399" s="248"/>
      <c r="AH399" s="248"/>
      <c r="AI399" s="194"/>
      <c r="AJ399" s="249"/>
      <c r="AK399" s="250"/>
      <c r="AL399" s="251"/>
      <c r="AM399" s="252"/>
      <c r="AN399" s="241"/>
      <c r="AO399" s="241"/>
      <c r="AP399" s="241"/>
      <c r="AQ399" s="194"/>
      <c r="AR399" s="195"/>
      <c r="AS399" s="195"/>
    </row>
    <row r="400" spans="2:45">
      <c r="B400" s="253"/>
      <c r="C400" s="230"/>
      <c r="D400" s="245"/>
      <c r="E400" s="230"/>
      <c r="F400" s="230"/>
      <c r="G400" s="230"/>
      <c r="H400" s="230"/>
      <c r="I400" s="228"/>
      <c r="J400" s="228"/>
      <c r="K400" s="230"/>
      <c r="L400" s="230"/>
      <c r="M400" s="246"/>
      <c r="N400" s="230"/>
      <c r="O400" s="230"/>
      <c r="P400" s="230"/>
      <c r="Q400" s="230"/>
      <c r="R400" s="256"/>
      <c r="S400" s="257"/>
      <c r="T400" s="228"/>
      <c r="U400" s="228"/>
      <c r="V400" s="258"/>
      <c r="W400" s="254"/>
      <c r="X400" s="254"/>
      <c r="Y400" s="228"/>
      <c r="Z400" s="255"/>
      <c r="AA400" s="248"/>
      <c r="AB400" s="248"/>
      <c r="AC400" s="248"/>
      <c r="AD400" s="247"/>
      <c r="AE400" s="228"/>
      <c r="AF400" s="228"/>
      <c r="AG400" s="248"/>
      <c r="AH400" s="248"/>
      <c r="AI400" s="194"/>
      <c r="AJ400" s="249"/>
      <c r="AK400" s="250"/>
      <c r="AL400" s="251"/>
      <c r="AM400" s="252"/>
      <c r="AN400" s="241"/>
      <c r="AO400" s="241"/>
      <c r="AP400" s="241"/>
      <c r="AQ400" s="194"/>
      <c r="AR400" s="195"/>
      <c r="AS400" s="195"/>
    </row>
    <row r="401" spans="2:45">
      <c r="B401" s="253"/>
      <c r="C401" s="230"/>
      <c r="D401" s="245"/>
      <c r="E401" s="230"/>
      <c r="F401" s="230"/>
      <c r="G401" s="230"/>
      <c r="H401" s="230"/>
      <c r="I401" s="228"/>
      <c r="J401" s="228"/>
      <c r="K401" s="230"/>
      <c r="L401" s="230"/>
      <c r="M401" s="246"/>
      <c r="N401" s="230"/>
      <c r="O401" s="230"/>
      <c r="P401" s="230"/>
      <c r="Q401" s="230"/>
      <c r="R401" s="256"/>
      <c r="S401" s="257"/>
      <c r="T401" s="228"/>
      <c r="U401" s="228"/>
      <c r="V401" s="258"/>
      <c r="W401" s="254"/>
      <c r="X401" s="254"/>
      <c r="Y401" s="228"/>
      <c r="Z401" s="255"/>
      <c r="AA401" s="248"/>
      <c r="AB401" s="248"/>
      <c r="AC401" s="248"/>
      <c r="AD401" s="247"/>
      <c r="AE401" s="228"/>
      <c r="AF401" s="228"/>
      <c r="AG401" s="248"/>
      <c r="AH401" s="248"/>
      <c r="AI401" s="194"/>
      <c r="AJ401" s="249"/>
      <c r="AK401" s="250"/>
      <c r="AL401" s="251"/>
      <c r="AM401" s="252"/>
      <c r="AN401" s="241"/>
      <c r="AO401" s="241"/>
      <c r="AP401" s="241"/>
      <c r="AQ401" s="194"/>
      <c r="AR401" s="195"/>
      <c r="AS401" s="195"/>
    </row>
    <row r="402" spans="2:45">
      <c r="B402" s="253"/>
      <c r="C402" s="230"/>
      <c r="D402" s="245"/>
      <c r="E402" s="230"/>
      <c r="F402" s="230"/>
      <c r="G402" s="230"/>
      <c r="H402" s="230"/>
      <c r="I402" s="228"/>
      <c r="J402" s="228"/>
      <c r="K402" s="230"/>
      <c r="L402" s="230"/>
      <c r="M402" s="246"/>
      <c r="N402" s="230"/>
      <c r="O402" s="230"/>
      <c r="P402" s="230"/>
      <c r="Q402" s="230"/>
      <c r="R402" s="256"/>
      <c r="S402" s="257"/>
      <c r="T402" s="228"/>
      <c r="U402" s="228"/>
      <c r="V402" s="258"/>
      <c r="W402" s="254"/>
      <c r="X402" s="254"/>
      <c r="Y402" s="228"/>
      <c r="Z402" s="255"/>
      <c r="AA402" s="248"/>
      <c r="AB402" s="248"/>
      <c r="AC402" s="248"/>
      <c r="AD402" s="247"/>
      <c r="AE402" s="228"/>
      <c r="AF402" s="228"/>
      <c r="AG402" s="248"/>
      <c r="AH402" s="248"/>
      <c r="AI402" s="194"/>
      <c r="AJ402" s="249"/>
      <c r="AK402" s="250"/>
      <c r="AL402" s="251"/>
      <c r="AM402" s="252"/>
      <c r="AN402" s="241"/>
      <c r="AO402" s="241"/>
      <c r="AP402" s="241"/>
      <c r="AQ402" s="194"/>
      <c r="AR402" s="195"/>
      <c r="AS402" s="195"/>
    </row>
    <row r="403" spans="2:45">
      <c r="B403" s="253"/>
      <c r="C403" s="230"/>
      <c r="D403" s="245"/>
      <c r="E403" s="230"/>
      <c r="F403" s="230"/>
      <c r="G403" s="230"/>
      <c r="H403" s="230"/>
      <c r="I403" s="228"/>
      <c r="J403" s="228"/>
      <c r="K403" s="230"/>
      <c r="L403" s="230"/>
      <c r="M403" s="246"/>
      <c r="N403" s="230"/>
      <c r="O403" s="230"/>
      <c r="P403" s="230"/>
      <c r="Q403" s="230"/>
      <c r="R403" s="256"/>
      <c r="S403" s="257"/>
      <c r="T403" s="228"/>
      <c r="U403" s="228"/>
      <c r="V403" s="258"/>
      <c r="W403" s="254"/>
      <c r="X403" s="254"/>
      <c r="Y403" s="228"/>
      <c r="Z403" s="255"/>
      <c r="AA403" s="248"/>
      <c r="AB403" s="248"/>
      <c r="AC403" s="248"/>
      <c r="AD403" s="247"/>
      <c r="AE403" s="228"/>
      <c r="AF403" s="228"/>
      <c r="AG403" s="248"/>
      <c r="AH403" s="248"/>
      <c r="AI403" s="194"/>
      <c r="AJ403" s="249"/>
      <c r="AK403" s="250"/>
      <c r="AL403" s="251"/>
      <c r="AM403" s="252"/>
      <c r="AN403" s="241"/>
      <c r="AO403" s="241"/>
      <c r="AP403" s="241"/>
      <c r="AQ403" s="194"/>
      <c r="AR403" s="195"/>
      <c r="AS403" s="195"/>
    </row>
    <row r="404" spans="2:45">
      <c r="B404" s="253"/>
      <c r="C404" s="230"/>
      <c r="D404" s="245"/>
      <c r="E404" s="230"/>
      <c r="F404" s="230"/>
      <c r="G404" s="230"/>
      <c r="H404" s="230"/>
      <c r="I404" s="228"/>
      <c r="J404" s="228"/>
      <c r="K404" s="230"/>
      <c r="L404" s="230"/>
      <c r="M404" s="246"/>
      <c r="N404" s="230"/>
      <c r="O404" s="230"/>
      <c r="P404" s="230"/>
      <c r="Q404" s="230"/>
      <c r="R404" s="256"/>
      <c r="S404" s="257"/>
      <c r="T404" s="228"/>
      <c r="U404" s="228"/>
      <c r="V404" s="258"/>
      <c r="W404" s="254"/>
      <c r="X404" s="254"/>
      <c r="Y404" s="228"/>
      <c r="Z404" s="255"/>
      <c r="AA404" s="248"/>
      <c r="AB404" s="248"/>
      <c r="AC404" s="248"/>
      <c r="AD404" s="247"/>
      <c r="AE404" s="228"/>
      <c r="AF404" s="228"/>
      <c r="AG404" s="248"/>
      <c r="AH404" s="248"/>
      <c r="AI404" s="194"/>
      <c r="AJ404" s="249"/>
      <c r="AK404" s="250"/>
      <c r="AL404" s="251"/>
      <c r="AM404" s="252"/>
      <c r="AN404" s="241"/>
      <c r="AO404" s="241"/>
      <c r="AP404" s="241"/>
      <c r="AQ404" s="194"/>
      <c r="AR404" s="195"/>
      <c r="AS404" s="195"/>
    </row>
    <row r="405" spans="2:45">
      <c r="B405" s="253"/>
      <c r="C405" s="230"/>
      <c r="D405" s="245"/>
      <c r="E405" s="230"/>
      <c r="F405" s="230"/>
      <c r="G405" s="230"/>
      <c r="H405" s="230"/>
      <c r="I405" s="228"/>
      <c r="J405" s="228"/>
      <c r="K405" s="230"/>
      <c r="L405" s="230"/>
      <c r="M405" s="246"/>
      <c r="N405" s="230"/>
      <c r="O405" s="230"/>
      <c r="P405" s="230"/>
      <c r="Q405" s="230"/>
      <c r="R405" s="256"/>
      <c r="S405" s="257"/>
      <c r="T405" s="228"/>
      <c r="U405" s="228"/>
      <c r="V405" s="258"/>
      <c r="W405" s="254"/>
      <c r="X405" s="254"/>
      <c r="Y405" s="228"/>
      <c r="Z405" s="255"/>
      <c r="AA405" s="248"/>
      <c r="AB405" s="248"/>
      <c r="AC405" s="248"/>
      <c r="AD405" s="247"/>
      <c r="AE405" s="228"/>
      <c r="AF405" s="228"/>
      <c r="AG405" s="248"/>
      <c r="AH405" s="248"/>
      <c r="AI405" s="194"/>
      <c r="AJ405" s="249"/>
      <c r="AK405" s="250"/>
      <c r="AL405" s="251"/>
      <c r="AM405" s="252"/>
      <c r="AN405" s="241"/>
      <c r="AO405" s="241"/>
      <c r="AP405" s="241"/>
      <c r="AQ405" s="194"/>
      <c r="AR405" s="195"/>
      <c r="AS405" s="195"/>
    </row>
    <row r="406" spans="2:45">
      <c r="B406" s="253"/>
      <c r="C406" s="230"/>
      <c r="D406" s="245"/>
      <c r="E406" s="230"/>
      <c r="F406" s="230"/>
      <c r="G406" s="230"/>
      <c r="H406" s="230"/>
      <c r="I406" s="228"/>
      <c r="J406" s="228"/>
      <c r="K406" s="230"/>
      <c r="L406" s="230"/>
      <c r="M406" s="246"/>
      <c r="N406" s="230"/>
      <c r="O406" s="230"/>
      <c r="P406" s="230"/>
      <c r="Q406" s="230"/>
      <c r="R406" s="256"/>
      <c r="S406" s="257"/>
      <c r="T406" s="228"/>
      <c r="U406" s="228"/>
      <c r="V406" s="258"/>
      <c r="W406" s="254"/>
      <c r="X406" s="254"/>
      <c r="Y406" s="228"/>
      <c r="Z406" s="255"/>
      <c r="AA406" s="248"/>
      <c r="AB406" s="248"/>
      <c r="AC406" s="248"/>
      <c r="AD406" s="247"/>
      <c r="AE406" s="228"/>
      <c r="AF406" s="228"/>
      <c r="AG406" s="248"/>
      <c r="AH406" s="248"/>
      <c r="AI406" s="194"/>
      <c r="AJ406" s="249"/>
      <c r="AK406" s="250"/>
      <c r="AL406" s="251"/>
      <c r="AM406" s="252"/>
      <c r="AN406" s="241"/>
      <c r="AO406" s="241"/>
      <c r="AP406" s="241"/>
      <c r="AQ406" s="194"/>
      <c r="AR406" s="195"/>
      <c r="AS406" s="195"/>
    </row>
    <row r="407" spans="2:45">
      <c r="B407" s="253"/>
      <c r="C407" s="230"/>
      <c r="D407" s="245"/>
      <c r="E407" s="230"/>
      <c r="F407" s="230"/>
      <c r="G407" s="230"/>
      <c r="H407" s="230"/>
      <c r="I407" s="228"/>
      <c r="J407" s="228"/>
      <c r="K407" s="230"/>
      <c r="L407" s="230"/>
      <c r="M407" s="246"/>
      <c r="N407" s="230"/>
      <c r="O407" s="230"/>
      <c r="P407" s="230"/>
      <c r="Q407" s="230"/>
      <c r="R407" s="256"/>
      <c r="S407" s="257"/>
      <c r="T407" s="228"/>
      <c r="U407" s="228"/>
      <c r="V407" s="258"/>
      <c r="W407" s="254"/>
      <c r="X407" s="254"/>
      <c r="Y407" s="228"/>
      <c r="Z407" s="255"/>
      <c r="AA407" s="248"/>
      <c r="AB407" s="248"/>
      <c r="AC407" s="248"/>
      <c r="AD407" s="247"/>
      <c r="AE407" s="228"/>
      <c r="AF407" s="228"/>
      <c r="AG407" s="248"/>
      <c r="AH407" s="248"/>
      <c r="AI407" s="194"/>
      <c r="AJ407" s="249"/>
      <c r="AK407" s="250"/>
      <c r="AL407" s="251"/>
      <c r="AM407" s="252"/>
      <c r="AN407" s="241"/>
      <c r="AO407" s="241"/>
      <c r="AP407" s="241"/>
      <c r="AQ407" s="194"/>
      <c r="AR407" s="195"/>
      <c r="AS407" s="195"/>
    </row>
    <row r="408" spans="2:45">
      <c r="B408" s="253"/>
      <c r="C408" s="230"/>
      <c r="D408" s="245"/>
      <c r="E408" s="230"/>
      <c r="F408" s="230"/>
      <c r="G408" s="230"/>
      <c r="H408" s="230"/>
      <c r="I408" s="228"/>
      <c r="J408" s="228"/>
      <c r="K408" s="230"/>
      <c r="L408" s="230"/>
      <c r="M408" s="246"/>
      <c r="N408" s="230"/>
      <c r="O408" s="230"/>
      <c r="P408" s="230"/>
      <c r="Q408" s="230"/>
      <c r="R408" s="256"/>
      <c r="S408" s="257"/>
      <c r="T408" s="228"/>
      <c r="U408" s="228"/>
      <c r="V408" s="258"/>
      <c r="W408" s="254"/>
      <c r="X408" s="254"/>
      <c r="Y408" s="228"/>
      <c r="Z408" s="255"/>
      <c r="AA408" s="248"/>
      <c r="AB408" s="248"/>
      <c r="AC408" s="248"/>
      <c r="AD408" s="247"/>
      <c r="AE408" s="228"/>
      <c r="AF408" s="228"/>
      <c r="AG408" s="248"/>
      <c r="AH408" s="248"/>
      <c r="AI408" s="194"/>
      <c r="AJ408" s="249"/>
      <c r="AK408" s="250"/>
      <c r="AL408" s="251"/>
      <c r="AM408" s="252"/>
      <c r="AN408" s="241"/>
      <c r="AO408" s="241"/>
      <c r="AP408" s="241"/>
      <c r="AQ408" s="194"/>
      <c r="AR408" s="195"/>
      <c r="AS408" s="195"/>
    </row>
    <row r="409" spans="2:45">
      <c r="B409" s="253"/>
      <c r="C409" s="230"/>
      <c r="D409" s="245"/>
      <c r="E409" s="230"/>
      <c r="F409" s="230"/>
      <c r="G409" s="230"/>
      <c r="H409" s="230"/>
      <c r="I409" s="228"/>
      <c r="J409" s="228"/>
      <c r="K409" s="230"/>
      <c r="L409" s="230"/>
      <c r="M409" s="246"/>
      <c r="N409" s="230"/>
      <c r="O409" s="230"/>
      <c r="P409" s="230"/>
      <c r="Q409" s="230"/>
      <c r="R409" s="256"/>
      <c r="S409" s="257"/>
      <c r="T409" s="228"/>
      <c r="U409" s="228"/>
      <c r="V409" s="258"/>
      <c r="W409" s="254"/>
      <c r="X409" s="254"/>
      <c r="Y409" s="228"/>
      <c r="Z409" s="255"/>
      <c r="AA409" s="248"/>
      <c r="AB409" s="248"/>
      <c r="AC409" s="248"/>
      <c r="AD409" s="247"/>
      <c r="AE409" s="228"/>
      <c r="AF409" s="228"/>
      <c r="AG409" s="248"/>
      <c r="AH409" s="248"/>
      <c r="AI409" s="194"/>
      <c r="AJ409" s="249"/>
      <c r="AK409" s="250"/>
      <c r="AL409" s="251"/>
      <c r="AM409" s="252"/>
      <c r="AN409" s="241"/>
      <c r="AO409" s="241"/>
      <c r="AP409" s="241"/>
      <c r="AQ409" s="194"/>
      <c r="AR409" s="195"/>
      <c r="AS409" s="195"/>
    </row>
    <row r="410" spans="2:45">
      <c r="B410" s="253"/>
      <c r="C410" s="230"/>
      <c r="D410" s="245"/>
      <c r="E410" s="230"/>
      <c r="F410" s="230"/>
      <c r="G410" s="230"/>
      <c r="H410" s="230"/>
      <c r="I410" s="228"/>
      <c r="J410" s="228"/>
      <c r="K410" s="230"/>
      <c r="L410" s="230"/>
      <c r="M410" s="246"/>
      <c r="N410" s="230"/>
      <c r="O410" s="230"/>
      <c r="P410" s="230"/>
      <c r="Q410" s="230"/>
      <c r="R410" s="256"/>
      <c r="S410" s="257"/>
      <c r="T410" s="228"/>
      <c r="U410" s="228"/>
      <c r="V410" s="258"/>
      <c r="W410" s="254"/>
      <c r="X410" s="254"/>
      <c r="Y410" s="228"/>
      <c r="Z410" s="255"/>
      <c r="AA410" s="248"/>
      <c r="AB410" s="248"/>
      <c r="AC410" s="248"/>
      <c r="AD410" s="247"/>
      <c r="AE410" s="228"/>
      <c r="AF410" s="228"/>
      <c r="AG410" s="248"/>
      <c r="AH410" s="248"/>
      <c r="AI410" s="194"/>
      <c r="AJ410" s="249"/>
      <c r="AK410" s="250"/>
      <c r="AL410" s="251"/>
      <c r="AM410" s="252"/>
      <c r="AN410" s="241"/>
      <c r="AO410" s="241"/>
      <c r="AP410" s="241"/>
      <c r="AQ410" s="194"/>
      <c r="AR410" s="195"/>
      <c r="AS410" s="195"/>
    </row>
    <row r="411" spans="2:45">
      <c r="B411" s="253"/>
      <c r="C411" s="230"/>
      <c r="D411" s="245"/>
      <c r="E411" s="230"/>
      <c r="F411" s="230"/>
      <c r="G411" s="230"/>
      <c r="H411" s="230"/>
      <c r="I411" s="228"/>
      <c r="J411" s="228"/>
      <c r="K411" s="230"/>
      <c r="L411" s="230"/>
      <c r="M411" s="246"/>
      <c r="N411" s="230"/>
      <c r="O411" s="230"/>
      <c r="P411" s="230"/>
      <c r="Q411" s="230"/>
      <c r="R411" s="256"/>
      <c r="S411" s="257"/>
      <c r="T411" s="228"/>
      <c r="U411" s="228"/>
      <c r="V411" s="258"/>
      <c r="W411" s="254"/>
      <c r="X411" s="254"/>
      <c r="Y411" s="228"/>
      <c r="Z411" s="255"/>
      <c r="AA411" s="248"/>
      <c r="AB411" s="248"/>
      <c r="AC411" s="248"/>
      <c r="AD411" s="247"/>
      <c r="AE411" s="228"/>
      <c r="AF411" s="228"/>
      <c r="AG411" s="248"/>
      <c r="AH411" s="248"/>
      <c r="AI411" s="194"/>
      <c r="AJ411" s="249"/>
      <c r="AK411" s="250"/>
      <c r="AL411" s="251"/>
      <c r="AM411" s="252"/>
      <c r="AN411" s="241"/>
      <c r="AO411" s="241"/>
      <c r="AP411" s="241"/>
      <c r="AQ411" s="194"/>
      <c r="AR411" s="195"/>
      <c r="AS411" s="195"/>
    </row>
    <row r="412" spans="2:45">
      <c r="B412" s="253"/>
      <c r="C412" s="230"/>
      <c r="D412" s="245"/>
      <c r="E412" s="230"/>
      <c r="F412" s="230"/>
      <c r="G412" s="230"/>
      <c r="H412" s="230"/>
      <c r="I412" s="228"/>
      <c r="J412" s="228"/>
      <c r="K412" s="230"/>
      <c r="L412" s="230"/>
      <c r="M412" s="246"/>
      <c r="N412" s="230"/>
      <c r="O412" s="230"/>
      <c r="P412" s="230"/>
      <c r="Q412" s="230"/>
      <c r="R412" s="256"/>
      <c r="S412" s="257"/>
      <c r="T412" s="228"/>
      <c r="U412" s="228"/>
      <c r="V412" s="258"/>
      <c r="W412" s="254"/>
      <c r="X412" s="254"/>
      <c r="Y412" s="228"/>
      <c r="Z412" s="255"/>
      <c r="AA412" s="248"/>
      <c r="AB412" s="248"/>
      <c r="AC412" s="248"/>
      <c r="AD412" s="247"/>
      <c r="AE412" s="228"/>
      <c r="AF412" s="228"/>
      <c r="AG412" s="248"/>
      <c r="AH412" s="248"/>
      <c r="AI412" s="194"/>
      <c r="AJ412" s="249"/>
      <c r="AK412" s="250"/>
      <c r="AL412" s="251"/>
      <c r="AM412" s="252"/>
      <c r="AN412" s="241"/>
      <c r="AO412" s="241"/>
      <c r="AP412" s="241"/>
      <c r="AQ412" s="194"/>
      <c r="AR412" s="195"/>
      <c r="AS412" s="195"/>
    </row>
    <row r="413" spans="2:45">
      <c r="D413" s="245"/>
      <c r="W413" s="254"/>
      <c r="X413" s="292"/>
    </row>
  </sheetData>
  <mergeCells count="4">
    <mergeCell ref="B1:G1"/>
    <mergeCell ref="A8:I8"/>
    <mergeCell ref="A15:I15"/>
    <mergeCell ref="A35:I35"/>
  </mergeCells>
  <hyperlinks>
    <hyperlink ref="E5" r:id="rId1" display="javascript:void(0)" xr:uid="{217C7531-F85B-4F93-BAF4-80163B463F74}"/>
    <hyperlink ref="E4" r:id="rId2" display="javascript:void(0)" xr:uid="{6FE7B3CB-77FD-4C80-B093-9ED4E7A7F389}"/>
  </hyperlinks>
  <pageMargins left="0.7" right="0.7" top="0.75" bottom="0.75" header="0.3" footer="0.3"/>
  <pageSetup paperSize="9" orientation="portrait"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F3D2B-156D-4128-84A2-CB711FA6B168}">
  <dimension ref="A1:AU412"/>
  <sheetViews>
    <sheetView workbookViewId="0">
      <pane xSplit="15" ySplit="4" topLeftCell="P5" activePane="bottomRight" state="frozen"/>
      <selection activeCell="B1" sqref="B1"/>
      <selection pane="topRight" activeCell="Q1" sqref="Q1"/>
      <selection pane="bottomLeft" activeCell="B5" sqref="B5"/>
      <selection pane="bottomRight" activeCell="I26" sqref="I26"/>
    </sheetView>
  </sheetViews>
  <sheetFormatPr defaultColWidth="9.109375" defaultRowHeight="15.6"/>
  <cols>
    <col min="1" max="1" width="5.33203125" style="259" customWidth="1"/>
    <col min="2" max="2" width="25.88671875" style="261" customWidth="1"/>
    <col min="3" max="3" width="13.5546875" style="262" customWidth="1"/>
    <col min="4" max="4" width="20.6640625" style="261" customWidth="1"/>
    <col min="5" max="5" width="20.6640625" style="261" hidden="1" customWidth="1"/>
    <col min="6" max="6" width="5.5546875" style="261" customWidth="1"/>
    <col min="7" max="7" width="5.5546875" style="263" customWidth="1"/>
    <col min="8" max="9" width="6" style="261" customWidth="1"/>
    <col min="10" max="10" width="16.44140625" style="265" customWidth="1"/>
    <col min="11" max="11" width="20.6640625" style="261" hidden="1" customWidth="1"/>
    <col min="12" max="12" width="15" style="261" hidden="1" customWidth="1"/>
    <col min="13" max="13" width="14.109375" style="261" hidden="1" customWidth="1"/>
    <col min="14" max="14" width="12.33203125" style="261" hidden="1" customWidth="1"/>
    <col min="15" max="15" width="13.5546875" style="261" hidden="1" customWidth="1"/>
    <col min="16" max="16" width="10.6640625" style="264" customWidth="1"/>
    <col min="17" max="17" width="22.44140625" style="265" customWidth="1"/>
    <col min="18" max="18" width="12" style="263" customWidth="1"/>
    <col min="19" max="19" width="21.33203125" style="263" customWidth="1"/>
    <col min="20" max="20" width="16" style="266" hidden="1" customWidth="1"/>
    <col min="21" max="21" width="13.109375" style="263" hidden="1" customWidth="1"/>
    <col min="22" max="22" width="9.5546875" style="263" hidden="1" customWidth="1"/>
    <col min="23" max="23" width="24.44140625" style="263" customWidth="1"/>
    <col min="24" max="24" width="16.88671875" style="267" hidden="1" customWidth="1"/>
    <col min="25" max="25" width="12.5546875" style="268" customWidth="1"/>
    <col min="26" max="26" width="12.6640625" style="268" customWidth="1"/>
    <col min="27" max="27" width="11.88671875" style="263" customWidth="1"/>
    <col min="28" max="28" width="10.33203125" style="263" customWidth="1"/>
    <col min="29" max="29" width="12" style="263" customWidth="1"/>
    <col min="30" max="30" width="10.88671875" style="263" customWidth="1"/>
    <col min="31" max="31" width="13.33203125" style="268" customWidth="1"/>
    <col min="32" max="32" width="15.6640625" style="264" customWidth="1"/>
    <col min="33" max="34" width="10.33203125" style="263" customWidth="1"/>
    <col min="35" max="35" width="14.6640625" style="268" customWidth="1"/>
    <col min="36" max="36" width="19.44140625" style="268" customWidth="1"/>
    <col min="37" max="37" width="15.5546875" style="269" customWidth="1"/>
    <col min="38" max="38" width="35.88671875" style="270" hidden="1" customWidth="1"/>
    <col min="39" max="39" width="18.6640625" style="271" customWidth="1"/>
    <col min="40" max="40" width="16.6640625" style="272" customWidth="1"/>
    <col min="41" max="41" width="15.109375" style="273" customWidth="1"/>
    <col min="42" max="42" width="20.44140625" style="274" hidden="1" customWidth="1"/>
    <col min="43" max="43" width="20.6640625" style="274" hidden="1" customWidth="1"/>
    <col min="44" max="44" width="22" style="274" hidden="1" customWidth="1"/>
    <col min="45" max="45" width="26.109375" style="269" hidden="1" customWidth="1"/>
    <col min="46" max="46" width="34.33203125" style="196" customWidth="1"/>
    <col min="47" max="47" width="18.88671875" style="196" bestFit="1" customWidth="1"/>
    <col min="48" max="16384" width="9.109375" style="196"/>
  </cols>
  <sheetData>
    <row r="1" spans="1:47" ht="15.75" customHeight="1">
      <c r="A1" s="3294" t="s">
        <v>555</v>
      </c>
      <c r="B1" s="3295"/>
      <c r="C1" s="3295"/>
      <c r="D1" s="3295"/>
      <c r="E1" s="3296"/>
      <c r="F1" s="279"/>
      <c r="G1" s="277"/>
      <c r="H1" s="277"/>
      <c r="I1" s="280"/>
      <c r="J1" s="280"/>
      <c r="K1" s="370"/>
      <c r="L1" s="280"/>
      <c r="M1" s="280"/>
      <c r="N1" s="280"/>
      <c r="O1" s="280"/>
      <c r="P1" s="280"/>
      <c r="Q1" s="280"/>
      <c r="R1" s="280"/>
      <c r="S1" s="280"/>
      <c r="T1" s="281"/>
      <c r="U1" s="280"/>
      <c r="V1" s="280"/>
      <c r="W1" s="280"/>
      <c r="X1" s="280"/>
      <c r="Y1" s="277"/>
      <c r="Z1" s="277"/>
      <c r="AA1" s="277"/>
      <c r="AB1" s="277"/>
      <c r="AC1" s="277"/>
      <c r="AD1" s="277"/>
      <c r="AE1" s="277"/>
      <c r="AF1" s="278"/>
      <c r="AG1" s="277"/>
      <c r="AH1" s="277"/>
      <c r="AI1" s="278"/>
      <c r="AJ1" s="278"/>
      <c r="AK1" s="278"/>
      <c r="AL1" s="282"/>
      <c r="AM1" s="278"/>
      <c r="AN1" s="278"/>
      <c r="AO1" s="283"/>
      <c r="AP1" s="284"/>
      <c r="AQ1" s="284"/>
      <c r="AR1" s="284"/>
      <c r="AS1" s="194"/>
      <c r="AT1" s="195"/>
    </row>
    <row r="2" spans="1:47" ht="18">
      <c r="A2" s="197"/>
      <c r="B2" s="2" t="s">
        <v>658</v>
      </c>
      <c r="C2" s="200"/>
      <c r="D2" s="199"/>
      <c r="E2" s="199"/>
      <c r="F2" s="198"/>
      <c r="G2" s="201"/>
      <c r="H2" s="198"/>
      <c r="I2" s="198"/>
      <c r="J2" s="202"/>
      <c r="K2" s="199"/>
      <c r="L2" s="198"/>
      <c r="M2" s="198"/>
      <c r="N2" s="198"/>
      <c r="O2" s="198"/>
      <c r="P2" s="202"/>
      <c r="Q2" s="202"/>
      <c r="R2" s="203"/>
      <c r="S2" s="202"/>
      <c r="T2" s="204"/>
      <c r="U2" s="202"/>
      <c r="V2" s="202"/>
      <c r="W2" s="202"/>
      <c r="X2" s="202"/>
      <c r="Y2" s="198"/>
      <c r="Z2" s="198"/>
      <c r="AA2" s="198"/>
      <c r="AB2" s="198"/>
      <c r="AC2" s="198"/>
      <c r="AD2" s="198"/>
      <c r="AE2" s="198"/>
      <c r="AF2" s="199"/>
      <c r="AG2" s="198"/>
      <c r="AH2" s="198"/>
      <c r="AI2" s="199"/>
      <c r="AJ2" s="199"/>
      <c r="AK2" s="199"/>
      <c r="AL2" s="205"/>
      <c r="AM2" s="199"/>
      <c r="AN2" s="199"/>
      <c r="AO2" s="206"/>
      <c r="AP2" s="207"/>
      <c r="AQ2" s="207"/>
      <c r="AR2" s="207"/>
      <c r="AS2" s="194"/>
      <c r="AT2" s="195"/>
      <c r="AU2" s="195"/>
    </row>
    <row r="3" spans="1:47" s="226" customFormat="1" ht="39.6">
      <c r="A3" s="209" t="s">
        <v>2</v>
      </c>
      <c r="B3" s="211" t="s">
        <v>175</v>
      </c>
      <c r="C3" s="212" t="s">
        <v>176</v>
      </c>
      <c r="D3" s="211" t="s">
        <v>177</v>
      </c>
      <c r="E3" s="210" t="s">
        <v>178</v>
      </c>
      <c r="F3" s="211" t="s">
        <v>179</v>
      </c>
      <c r="G3" s="211" t="s">
        <v>8</v>
      </c>
      <c r="H3" s="211" t="s">
        <v>9</v>
      </c>
      <c r="I3" s="211" t="s">
        <v>102</v>
      </c>
      <c r="J3" s="214" t="s">
        <v>404</v>
      </c>
      <c r="K3" s="212" t="s">
        <v>7</v>
      </c>
      <c r="L3" s="212" t="s">
        <v>11</v>
      </c>
      <c r="M3" s="212" t="s">
        <v>12</v>
      </c>
      <c r="N3" s="212" t="s">
        <v>13</v>
      </c>
      <c r="O3" s="212" t="s">
        <v>182</v>
      </c>
      <c r="P3" s="213" t="s">
        <v>181</v>
      </c>
      <c r="Q3" s="214" t="s">
        <v>183</v>
      </c>
      <c r="R3" s="211" t="s">
        <v>184</v>
      </c>
      <c r="S3" s="211" t="s">
        <v>185</v>
      </c>
      <c r="T3" s="215" t="s">
        <v>186</v>
      </c>
      <c r="U3" s="210" t="s">
        <v>187</v>
      </c>
      <c r="V3" s="210" t="s">
        <v>208</v>
      </c>
      <c r="W3" s="210" t="s">
        <v>188</v>
      </c>
      <c r="X3" s="216" t="s">
        <v>189</v>
      </c>
      <c r="Y3" s="217" t="s">
        <v>190</v>
      </c>
      <c r="Z3" s="217" t="s">
        <v>191</v>
      </c>
      <c r="AA3" s="210" t="s">
        <v>556</v>
      </c>
      <c r="AB3" s="210" t="s">
        <v>650</v>
      </c>
      <c r="AC3" s="210" t="s">
        <v>1277</v>
      </c>
      <c r="AD3" s="210" t="s">
        <v>1278</v>
      </c>
      <c r="AE3" s="218" t="s">
        <v>192</v>
      </c>
      <c r="AF3" s="218" t="s">
        <v>193</v>
      </c>
      <c r="AG3" s="210" t="s">
        <v>395</v>
      </c>
      <c r="AH3" s="210" t="s">
        <v>557</v>
      </c>
      <c r="AI3" s="219" t="s">
        <v>209</v>
      </c>
      <c r="AJ3" s="219" t="s">
        <v>195</v>
      </c>
      <c r="AK3" s="220" t="s">
        <v>196</v>
      </c>
      <c r="AL3" s="221" t="s">
        <v>197</v>
      </c>
      <c r="AM3" s="218" t="s">
        <v>198</v>
      </c>
      <c r="AN3" s="219" t="s">
        <v>199</v>
      </c>
      <c r="AO3" s="222" t="s">
        <v>200</v>
      </c>
      <c r="AP3" s="223" t="s">
        <v>201</v>
      </c>
      <c r="AQ3" s="223" t="s">
        <v>202</v>
      </c>
      <c r="AR3" s="223" t="s">
        <v>203</v>
      </c>
      <c r="AS3" s="224" t="s">
        <v>204</v>
      </c>
      <c r="AT3" s="225" t="s">
        <v>205</v>
      </c>
      <c r="AU3" s="225" t="s">
        <v>1369</v>
      </c>
    </row>
    <row r="4" spans="1:47" s="13" customFormat="1" ht="36" customHeight="1">
      <c r="A4" s="3299" t="s">
        <v>436</v>
      </c>
      <c r="B4" s="3300"/>
      <c r="C4" s="3300"/>
      <c r="D4" s="3300"/>
      <c r="E4" s="3300"/>
      <c r="F4" s="369"/>
      <c r="G4" s="346"/>
      <c r="H4" s="346"/>
      <c r="I4" s="346"/>
      <c r="J4" s="346"/>
      <c r="K4" s="369"/>
      <c r="L4" s="346"/>
      <c r="M4" s="346"/>
      <c r="N4" s="346"/>
      <c r="O4" s="346"/>
      <c r="P4" s="346"/>
      <c r="Q4" s="346"/>
      <c r="R4" s="346"/>
      <c r="S4" s="354"/>
      <c r="T4" s="355"/>
      <c r="U4" s="356"/>
      <c r="V4" s="355"/>
      <c r="W4" s="354"/>
      <c r="X4" s="353"/>
      <c r="Y4" s="346"/>
      <c r="Z4" s="357"/>
      <c r="AA4" s="357"/>
      <c r="AB4" s="357"/>
      <c r="AC4" s="357"/>
      <c r="AD4" s="357"/>
      <c r="AE4" s="357"/>
      <c r="AF4" s="357"/>
      <c r="AG4" s="357"/>
      <c r="AH4" s="357"/>
      <c r="AI4" s="357"/>
      <c r="AJ4" s="358"/>
      <c r="AK4" s="358"/>
      <c r="AL4" s="359"/>
      <c r="AM4" s="358"/>
      <c r="AN4" s="358"/>
      <c r="AO4" s="357"/>
      <c r="AP4" s="357"/>
      <c r="AQ4" s="357"/>
      <c r="AR4" s="357"/>
      <c r="AS4" s="357"/>
      <c r="AT4" s="357"/>
      <c r="AU4" s="357"/>
    </row>
    <row r="5" spans="1:47" ht="17.399999999999999">
      <c r="A5" s="253"/>
      <c r="B5" s="286" t="s">
        <v>664</v>
      </c>
      <c r="C5" s="245">
        <v>44993</v>
      </c>
      <c r="D5" s="47" t="s">
        <v>577</v>
      </c>
      <c r="E5" s="230"/>
      <c r="F5" s="230" t="s">
        <v>210</v>
      </c>
      <c r="G5" s="228"/>
      <c r="H5" s="230">
        <v>1</v>
      </c>
      <c r="I5" s="230"/>
      <c r="J5" s="246" t="s">
        <v>662</v>
      </c>
      <c r="K5" s="381" t="s">
        <v>559</v>
      </c>
      <c r="L5" s="180">
        <v>0</v>
      </c>
      <c r="M5" s="181">
        <f>SUM(G5:I5)*500000</f>
        <v>500000</v>
      </c>
      <c r="N5" s="182">
        <v>300000</v>
      </c>
      <c r="O5" s="183">
        <f>+SUM(L5:N5)</f>
        <v>800000</v>
      </c>
      <c r="P5" s="183"/>
      <c r="Q5" s="257"/>
      <c r="R5" s="228"/>
      <c r="S5" s="228">
        <v>225592668</v>
      </c>
      <c r="T5" s="245"/>
      <c r="U5" s="254"/>
      <c r="V5" s="254"/>
      <c r="W5" s="291" t="s">
        <v>561</v>
      </c>
      <c r="X5" s="255"/>
      <c r="Y5" s="373">
        <v>1350000</v>
      </c>
      <c r="Z5" s="373">
        <v>709500</v>
      </c>
      <c r="AA5" s="324">
        <v>99000</v>
      </c>
      <c r="AB5" s="371">
        <v>500000</v>
      </c>
      <c r="AC5" s="248"/>
      <c r="AD5" s="248"/>
      <c r="AE5" s="248"/>
      <c r="AF5" s="247"/>
      <c r="AG5" s="351">
        <v>4650000</v>
      </c>
      <c r="AH5" s="351">
        <v>600000</v>
      </c>
      <c r="AI5" s="351">
        <v>600000</v>
      </c>
      <c r="AJ5" s="340">
        <f>+Y5+Z5+AA5+AB5+AE5+AC5+AD5</f>
        <v>2658500</v>
      </c>
      <c r="AK5" s="343">
        <f t="shared" ref="AK5:AK19" si="0">+AF5</f>
        <v>0</v>
      </c>
      <c r="AL5" s="249" t="s">
        <v>652</v>
      </c>
      <c r="AM5" s="341">
        <f>(AG5+AH5+AI5)*1.1</f>
        <v>6435000.0000000009</v>
      </c>
      <c r="AN5" s="342">
        <f>+AM5+AK5+AJ5</f>
        <v>9093500</v>
      </c>
      <c r="AO5" s="351">
        <f>+Z5+Y5</f>
        <v>2059500</v>
      </c>
      <c r="AP5" s="241"/>
      <c r="AQ5" s="241"/>
      <c r="AR5" s="241"/>
      <c r="AS5" s="194"/>
      <c r="AT5" s="195"/>
      <c r="AU5" s="195"/>
    </row>
    <row r="6" spans="1:47" ht="17.399999999999999">
      <c r="A6" s="253"/>
      <c r="B6" s="286" t="s">
        <v>665</v>
      </c>
      <c r="C6" s="245" t="s">
        <v>558</v>
      </c>
      <c r="D6" s="47" t="s">
        <v>578</v>
      </c>
      <c r="E6" s="230"/>
      <c r="F6" s="230" t="s">
        <v>210</v>
      </c>
      <c r="G6" s="228"/>
      <c r="H6" s="230">
        <v>1</v>
      </c>
      <c r="I6" s="230"/>
      <c r="J6" s="372" t="s">
        <v>663</v>
      </c>
      <c r="K6" s="381" t="s">
        <v>559</v>
      </c>
      <c r="L6" s="180">
        <v>0</v>
      </c>
      <c r="M6" s="181">
        <f>SUM(G6:I6)*500000</f>
        <v>500000</v>
      </c>
      <c r="N6" s="182">
        <v>300000</v>
      </c>
      <c r="O6" s="183">
        <f>+SUM(L6:N6)</f>
        <v>800000</v>
      </c>
      <c r="P6" s="256"/>
      <c r="Q6" s="257"/>
      <c r="R6" s="228"/>
      <c r="S6" s="228" t="s">
        <v>560</v>
      </c>
      <c r="T6" s="245"/>
      <c r="U6" s="254"/>
      <c r="V6" s="254"/>
      <c r="W6" s="228" t="s">
        <v>562</v>
      </c>
      <c r="X6" s="255"/>
      <c r="Y6" s="373">
        <v>1350000</v>
      </c>
      <c r="Z6" s="373">
        <v>709500</v>
      </c>
      <c r="AA6" s="324">
        <v>99000</v>
      </c>
      <c r="AB6" s="371">
        <v>500000</v>
      </c>
      <c r="AC6" s="248"/>
      <c r="AD6" s="248"/>
      <c r="AE6" s="248"/>
      <c r="AF6" s="247"/>
      <c r="AG6" s="351">
        <v>4650000</v>
      </c>
      <c r="AH6" s="351">
        <v>600000</v>
      </c>
      <c r="AI6" s="351">
        <v>600000</v>
      </c>
      <c r="AJ6" s="340">
        <f>+Y6+Z6+AA6+AB6+AE6+AC6+AD6</f>
        <v>2658500</v>
      </c>
      <c r="AK6" s="343">
        <f t="shared" si="0"/>
        <v>0</v>
      </c>
      <c r="AL6" s="249" t="s">
        <v>651</v>
      </c>
      <c r="AM6" s="341">
        <f>(AG6+AH6+AI6)*1.1</f>
        <v>6435000.0000000009</v>
      </c>
      <c r="AN6" s="342">
        <f t="shared" ref="AN6:AN19" si="1">+AM6+AK6+AJ6</f>
        <v>9093500</v>
      </c>
      <c r="AO6" s="351">
        <f>+Z6+Y6</f>
        <v>2059500</v>
      </c>
      <c r="AP6" s="241"/>
      <c r="AQ6" s="241"/>
      <c r="AR6" s="241"/>
      <c r="AS6" s="194"/>
      <c r="AT6" s="195"/>
      <c r="AU6" s="195"/>
    </row>
    <row r="7" spans="1:47" ht="17.399999999999999">
      <c r="A7" s="253"/>
      <c r="B7" s="286" t="s">
        <v>648</v>
      </c>
      <c r="C7" s="245" t="s">
        <v>559</v>
      </c>
      <c r="D7" s="47" t="s">
        <v>644</v>
      </c>
      <c r="E7" s="230"/>
      <c r="F7" s="230" t="s">
        <v>210</v>
      </c>
      <c r="G7" s="228"/>
      <c r="H7" s="230">
        <v>1</v>
      </c>
      <c r="I7" s="230"/>
      <c r="J7" s="372" t="s">
        <v>663</v>
      </c>
      <c r="K7" s="381" t="s">
        <v>559</v>
      </c>
      <c r="L7" s="180">
        <v>0</v>
      </c>
      <c r="M7" s="181">
        <f>SUM(G7:I7)*500000</f>
        <v>500000</v>
      </c>
      <c r="N7" s="182">
        <v>300000</v>
      </c>
      <c r="O7" s="183">
        <f>+SUM(L7:N7)</f>
        <v>800000</v>
      </c>
      <c r="P7" s="256"/>
      <c r="Q7" s="257"/>
      <c r="R7" s="228"/>
      <c r="S7" s="228">
        <v>226179041</v>
      </c>
      <c r="T7" s="245"/>
      <c r="U7" s="254"/>
      <c r="V7" s="254"/>
      <c r="W7" s="228" t="s">
        <v>649</v>
      </c>
      <c r="X7" s="255"/>
      <c r="Y7" s="373">
        <v>1300000</v>
      </c>
      <c r="Z7" s="373">
        <v>709500</v>
      </c>
      <c r="AA7" s="324">
        <v>99000</v>
      </c>
      <c r="AB7" s="371">
        <v>500000</v>
      </c>
      <c r="AC7" s="248"/>
      <c r="AD7" s="248"/>
      <c r="AE7" s="248"/>
      <c r="AF7" s="247"/>
      <c r="AG7" s="351">
        <v>4650000</v>
      </c>
      <c r="AH7" s="351">
        <v>600000</v>
      </c>
      <c r="AI7" s="351">
        <v>600000</v>
      </c>
      <c r="AJ7" s="340">
        <f>+Y7+Z7+AA7+AB7+AE7+AC7+AD7</f>
        <v>2608500</v>
      </c>
      <c r="AK7" s="343">
        <f t="shared" si="0"/>
        <v>0</v>
      </c>
      <c r="AL7" s="249" t="s">
        <v>653</v>
      </c>
      <c r="AM7" s="341">
        <f>(AG7+AH7+AI7)*1.1</f>
        <v>6435000.0000000009</v>
      </c>
      <c r="AN7" s="342">
        <f t="shared" si="1"/>
        <v>9043500</v>
      </c>
      <c r="AO7" s="351">
        <f>+Z7+Y7</f>
        <v>2009500</v>
      </c>
      <c r="AP7" s="241"/>
      <c r="AQ7" s="241"/>
      <c r="AR7" s="241"/>
      <c r="AS7" s="194"/>
      <c r="AT7" s="195"/>
      <c r="AU7" s="195"/>
    </row>
    <row r="8" spans="1:47" s="13" customFormat="1" ht="36" customHeight="1">
      <c r="A8" s="3299" t="s">
        <v>1239</v>
      </c>
      <c r="B8" s="3300"/>
      <c r="C8" s="3300"/>
      <c r="D8" s="3300"/>
      <c r="E8" s="3300"/>
      <c r="F8" s="369"/>
      <c r="G8" s="346"/>
      <c r="H8" s="346"/>
      <c r="I8" s="346"/>
      <c r="J8" s="346"/>
      <c r="K8" s="369"/>
      <c r="L8" s="346"/>
      <c r="M8" s="346"/>
      <c r="N8" s="346"/>
      <c r="O8" s="346"/>
      <c r="P8" s="346"/>
      <c r="Q8" s="346"/>
      <c r="R8" s="346"/>
      <c r="S8" s="354"/>
      <c r="T8" s="355"/>
      <c r="U8" s="356"/>
      <c r="V8" s="355"/>
      <c r="W8" s="354"/>
      <c r="X8" s="353"/>
      <c r="Y8" s="346"/>
      <c r="Z8" s="357"/>
      <c r="AA8" s="357"/>
      <c r="AB8" s="357"/>
      <c r="AC8" s="357"/>
      <c r="AD8" s="357"/>
      <c r="AE8" s="357"/>
      <c r="AF8" s="357"/>
      <c r="AG8" s="357"/>
      <c r="AH8" s="357"/>
      <c r="AI8" s="357"/>
      <c r="AJ8" s="358"/>
      <c r="AK8" s="358"/>
      <c r="AL8" s="359"/>
      <c r="AM8" s="358"/>
      <c r="AN8" s="358"/>
      <c r="AO8" s="357"/>
      <c r="AP8" s="357"/>
      <c r="AQ8" s="357"/>
      <c r="AR8" s="357"/>
      <c r="AS8" s="357"/>
      <c r="AT8" s="357"/>
      <c r="AU8" s="357"/>
    </row>
    <row r="9" spans="1:47" ht="17.399999999999999">
      <c r="A9" s="253"/>
      <c r="B9" s="364">
        <v>105551969940</v>
      </c>
      <c r="C9" s="245">
        <v>45117</v>
      </c>
      <c r="D9" s="47" t="s">
        <v>1289</v>
      </c>
      <c r="E9" s="230"/>
      <c r="F9" s="230" t="s">
        <v>206</v>
      </c>
      <c r="G9" s="228"/>
      <c r="H9" s="230"/>
      <c r="I9" s="230">
        <v>1</v>
      </c>
      <c r="J9" s="246" t="s">
        <v>662</v>
      </c>
      <c r="K9" s="290"/>
      <c r="L9" s="230"/>
      <c r="M9" s="230"/>
      <c r="N9" s="230"/>
      <c r="O9" s="230"/>
      <c r="P9" s="475">
        <v>2</v>
      </c>
      <c r="Q9" s="475" t="s">
        <v>1381</v>
      </c>
      <c r="R9" s="228"/>
      <c r="S9" s="228" t="s">
        <v>1273</v>
      </c>
      <c r="T9" s="228"/>
      <c r="U9" s="254"/>
      <c r="V9" s="254"/>
      <c r="W9" s="228" t="s">
        <v>1274</v>
      </c>
      <c r="X9" s="255"/>
      <c r="Y9" s="324">
        <f>152928+27805</f>
        <v>180733</v>
      </c>
      <c r="Z9" s="248"/>
      <c r="AA9" s="349"/>
      <c r="AB9" s="351"/>
      <c r="AC9" s="351"/>
      <c r="AD9" s="351"/>
      <c r="AE9" s="248"/>
      <c r="AF9" s="247"/>
      <c r="AG9" s="351">
        <f>1000000+1350000</f>
        <v>2350000</v>
      </c>
      <c r="AH9" s="351"/>
      <c r="AI9" s="351"/>
      <c r="AJ9" s="340">
        <f>+Y9+Z9+AA9+AB9+AE9+AC9+AD9</f>
        <v>180733</v>
      </c>
      <c r="AK9" s="343">
        <f>+AF9</f>
        <v>0</v>
      </c>
      <c r="AL9" s="249"/>
      <c r="AM9" s="341">
        <f>(AG9+AH9+AI9)*1.08</f>
        <v>2538000</v>
      </c>
      <c r="AN9" s="342">
        <f t="shared" si="1"/>
        <v>2718733</v>
      </c>
      <c r="AO9" s="252"/>
      <c r="AP9" s="241"/>
      <c r="AQ9" s="241"/>
      <c r="AR9" s="241"/>
      <c r="AS9" s="194"/>
      <c r="AT9" s="195"/>
      <c r="AU9" s="3301" t="s">
        <v>1370</v>
      </c>
    </row>
    <row r="10" spans="1:47" ht="17.399999999999999">
      <c r="A10" s="253"/>
      <c r="B10" s="364">
        <v>105570983561</v>
      </c>
      <c r="C10" s="245">
        <v>45117</v>
      </c>
      <c r="D10" s="47" t="s">
        <v>1290</v>
      </c>
      <c r="E10" s="230"/>
      <c r="F10" s="230" t="s">
        <v>206</v>
      </c>
      <c r="G10" s="228"/>
      <c r="H10" s="230">
        <v>1</v>
      </c>
      <c r="I10" s="230"/>
      <c r="J10" s="372" t="s">
        <v>663</v>
      </c>
      <c r="K10" s="230"/>
      <c r="L10" s="230"/>
      <c r="M10" s="230"/>
      <c r="N10" s="230"/>
      <c r="O10" s="230"/>
      <c r="P10" s="475"/>
      <c r="Q10" s="257"/>
      <c r="R10" s="228"/>
      <c r="S10" s="228" t="s">
        <v>1275</v>
      </c>
      <c r="T10" s="228"/>
      <c r="U10" s="254"/>
      <c r="V10" s="254"/>
      <c r="W10" s="228" t="s">
        <v>1276</v>
      </c>
      <c r="X10" s="255"/>
      <c r="Y10" s="324">
        <v>1150200</v>
      </c>
      <c r="Z10" s="373">
        <v>1430000</v>
      </c>
      <c r="AA10" s="349"/>
      <c r="AB10" s="371">
        <v>500000</v>
      </c>
      <c r="AC10" s="324">
        <f>213210+106605+106605</f>
        <v>426420</v>
      </c>
      <c r="AD10" s="228"/>
      <c r="AE10" s="248"/>
      <c r="AF10" s="247"/>
      <c r="AG10" s="351">
        <v>4650000</v>
      </c>
      <c r="AH10" s="351"/>
      <c r="AI10" s="351"/>
      <c r="AJ10" s="340">
        <f t="shared" ref="AJ10:AJ19" si="2">+Y10+Z10+AA10+AB10+AE10+AC10+AD10</f>
        <v>3506620</v>
      </c>
      <c r="AK10" s="343">
        <f t="shared" si="0"/>
        <v>0</v>
      </c>
      <c r="AL10" s="249"/>
      <c r="AM10" s="341">
        <f t="shared" ref="AM10:AM19" si="3">(AG10+AH10+AI10)*1.08</f>
        <v>5022000</v>
      </c>
      <c r="AN10" s="342">
        <f t="shared" si="1"/>
        <v>8528620</v>
      </c>
      <c r="AO10" s="252"/>
      <c r="AP10" s="241"/>
      <c r="AQ10" s="241"/>
      <c r="AR10" s="241"/>
      <c r="AS10" s="194"/>
      <c r="AT10" s="195"/>
      <c r="AU10" s="3302"/>
    </row>
    <row r="11" spans="1:47" ht="17.399999999999999">
      <c r="A11" s="253"/>
      <c r="B11" s="366">
        <v>105588821700</v>
      </c>
      <c r="C11" s="245">
        <v>45125</v>
      </c>
      <c r="D11" s="47" t="s">
        <v>1340</v>
      </c>
      <c r="E11" s="230"/>
      <c r="F11" s="230" t="s">
        <v>206</v>
      </c>
      <c r="G11" s="228"/>
      <c r="H11" s="230"/>
      <c r="I11" s="230">
        <v>1</v>
      </c>
      <c r="J11" s="246" t="s">
        <v>662</v>
      </c>
      <c r="K11" s="230"/>
      <c r="L11" s="230"/>
      <c r="M11" s="230"/>
      <c r="N11" s="230"/>
      <c r="O11" s="230"/>
      <c r="P11" s="475">
        <v>130</v>
      </c>
      <c r="Q11" s="257" t="s">
        <v>1382</v>
      </c>
      <c r="R11" s="228"/>
      <c r="S11" s="228" t="s">
        <v>1338</v>
      </c>
      <c r="T11" s="228"/>
      <c r="U11" s="254"/>
      <c r="V11" s="254"/>
      <c r="W11" s="228" t="s">
        <v>1339</v>
      </c>
      <c r="X11" s="255"/>
      <c r="Y11" s="324">
        <v>189098</v>
      </c>
      <c r="Z11" s="248"/>
      <c r="AA11" s="349"/>
      <c r="AB11" s="228"/>
      <c r="AC11" s="228"/>
      <c r="AD11" s="228"/>
      <c r="AE11" s="248"/>
      <c r="AF11" s="247"/>
      <c r="AG11" s="351">
        <f>1000000+2550000</f>
        <v>3550000</v>
      </c>
      <c r="AH11" s="351"/>
      <c r="AI11" s="351"/>
      <c r="AJ11" s="340">
        <f t="shared" si="2"/>
        <v>189098</v>
      </c>
      <c r="AK11" s="343">
        <f t="shared" si="0"/>
        <v>0</v>
      </c>
      <c r="AL11" s="249"/>
      <c r="AM11" s="341">
        <f t="shared" si="3"/>
        <v>3834000.0000000005</v>
      </c>
      <c r="AN11" s="342">
        <f t="shared" si="1"/>
        <v>4023098.0000000005</v>
      </c>
      <c r="AO11" s="252"/>
      <c r="AP11" s="241"/>
      <c r="AQ11" s="241"/>
      <c r="AR11" s="241"/>
      <c r="AS11" s="194"/>
      <c r="AT11" s="195"/>
      <c r="AU11" s="3302"/>
    </row>
    <row r="12" spans="1:47">
      <c r="A12" s="253"/>
      <c r="B12" s="230" t="s">
        <v>1368</v>
      </c>
      <c r="C12" s="245"/>
      <c r="D12" s="47" t="s">
        <v>1380</v>
      </c>
      <c r="E12" s="230"/>
      <c r="F12" s="230"/>
      <c r="G12" s="228"/>
      <c r="H12" s="230"/>
      <c r="I12" s="230"/>
      <c r="J12" s="246"/>
      <c r="K12" s="230"/>
      <c r="L12" s="230"/>
      <c r="M12" s="230"/>
      <c r="N12" s="230"/>
      <c r="O12" s="230"/>
      <c r="P12" s="256"/>
      <c r="Q12" s="257"/>
      <c r="R12" s="228"/>
      <c r="S12" s="228"/>
      <c r="T12" s="245"/>
      <c r="U12" s="254"/>
      <c r="V12" s="254"/>
      <c r="W12" s="228"/>
      <c r="X12" s="255"/>
      <c r="Y12" s="248"/>
      <c r="Z12" s="248"/>
      <c r="AA12" s="228"/>
      <c r="AB12" s="228"/>
      <c r="AC12" s="228"/>
      <c r="AD12" s="228"/>
      <c r="AE12" s="248"/>
      <c r="AF12" s="247"/>
      <c r="AG12" s="228"/>
      <c r="AH12" s="228"/>
      <c r="AI12" s="248">
        <f>400000*11</f>
        <v>4400000</v>
      </c>
      <c r="AJ12" s="340">
        <f t="shared" si="2"/>
        <v>0</v>
      </c>
      <c r="AK12" s="343">
        <f t="shared" si="0"/>
        <v>0</v>
      </c>
      <c r="AL12" s="249"/>
      <c r="AM12" s="341">
        <f t="shared" si="3"/>
        <v>4752000</v>
      </c>
      <c r="AN12" s="342">
        <f t="shared" si="1"/>
        <v>4752000</v>
      </c>
      <c r="AO12" s="252"/>
      <c r="AP12" s="241"/>
      <c r="AQ12" s="241"/>
      <c r="AR12" s="241"/>
      <c r="AS12" s="194"/>
      <c r="AT12" s="195"/>
      <c r="AU12" s="3303"/>
    </row>
    <row r="13" spans="1:47">
      <c r="A13" s="253"/>
      <c r="B13" s="230"/>
      <c r="C13" s="245"/>
      <c r="D13" s="230"/>
      <c r="E13" s="230"/>
      <c r="F13" s="230"/>
      <c r="G13" s="228"/>
      <c r="H13" s="230"/>
      <c r="I13" s="230"/>
      <c r="J13" s="246"/>
      <c r="K13" s="230"/>
      <c r="L13" s="230"/>
      <c r="M13" s="230"/>
      <c r="N13" s="230"/>
      <c r="O13" s="230"/>
      <c r="P13" s="256"/>
      <c r="Q13" s="257"/>
      <c r="R13" s="228"/>
      <c r="S13" s="228"/>
      <c r="T13" s="245"/>
      <c r="U13" s="254"/>
      <c r="V13" s="254"/>
      <c r="W13" s="228"/>
      <c r="X13" s="255"/>
      <c r="Y13" s="248"/>
      <c r="Z13" s="248"/>
      <c r="AA13" s="228"/>
      <c r="AB13" s="228"/>
      <c r="AC13" s="228"/>
      <c r="AD13" s="228"/>
      <c r="AE13" s="248"/>
      <c r="AF13" s="247"/>
      <c r="AG13" s="228"/>
      <c r="AH13" s="228"/>
      <c r="AI13" s="248"/>
      <c r="AJ13" s="340">
        <f t="shared" si="2"/>
        <v>0</v>
      </c>
      <c r="AK13" s="343">
        <f t="shared" si="0"/>
        <v>0</v>
      </c>
      <c r="AL13" s="249"/>
      <c r="AM13" s="341">
        <f t="shared" si="3"/>
        <v>0</v>
      </c>
      <c r="AN13" s="342">
        <f t="shared" si="1"/>
        <v>0</v>
      </c>
      <c r="AO13" s="252"/>
      <c r="AP13" s="241"/>
      <c r="AQ13" s="241"/>
      <c r="AR13" s="241"/>
      <c r="AS13" s="194"/>
      <c r="AT13" s="195"/>
      <c r="AU13" s="195"/>
    </row>
    <row r="14" spans="1:47">
      <c r="A14" s="253"/>
      <c r="B14" s="230"/>
      <c r="C14" s="245"/>
      <c r="D14" s="230"/>
      <c r="E14" s="230"/>
      <c r="F14" s="230"/>
      <c r="G14" s="228"/>
      <c r="H14" s="230"/>
      <c r="I14" s="230"/>
      <c r="J14" s="246"/>
      <c r="K14" s="230"/>
      <c r="L14" s="230"/>
      <c r="M14" s="230"/>
      <c r="N14" s="230"/>
      <c r="O14" s="230"/>
      <c r="P14" s="256"/>
      <c r="Q14" s="257"/>
      <c r="R14" s="228"/>
      <c r="S14" s="228"/>
      <c r="T14" s="245"/>
      <c r="U14" s="254"/>
      <c r="V14" s="254"/>
      <c r="W14" s="228"/>
      <c r="X14" s="255"/>
      <c r="Y14" s="248"/>
      <c r="Z14" s="248"/>
      <c r="AA14" s="228"/>
      <c r="AB14" s="228"/>
      <c r="AC14" s="228"/>
      <c r="AD14" s="228"/>
      <c r="AE14" s="248"/>
      <c r="AF14" s="247"/>
      <c r="AG14" s="228"/>
      <c r="AH14" s="228"/>
      <c r="AI14" s="248"/>
      <c r="AJ14" s="340">
        <f t="shared" si="2"/>
        <v>0</v>
      </c>
      <c r="AK14" s="343">
        <f t="shared" si="0"/>
        <v>0</v>
      </c>
      <c r="AL14" s="249"/>
      <c r="AM14" s="341">
        <f t="shared" si="3"/>
        <v>0</v>
      </c>
      <c r="AN14" s="342">
        <f t="shared" si="1"/>
        <v>0</v>
      </c>
      <c r="AO14" s="252"/>
      <c r="AP14" s="241"/>
      <c r="AQ14" s="241"/>
      <c r="AR14" s="241"/>
      <c r="AS14" s="194"/>
      <c r="AT14" s="195"/>
      <c r="AU14" s="195"/>
    </row>
    <row r="15" spans="1:47">
      <c r="A15" s="253"/>
      <c r="B15" s="230"/>
      <c r="C15" s="245"/>
      <c r="D15" s="230"/>
      <c r="E15" s="230"/>
      <c r="F15" s="230"/>
      <c r="G15" s="228"/>
      <c r="H15" s="230"/>
      <c r="I15" s="230"/>
      <c r="J15" s="246"/>
      <c r="K15" s="230"/>
      <c r="L15" s="230"/>
      <c r="M15" s="230"/>
      <c r="N15" s="230"/>
      <c r="O15" s="230"/>
      <c r="P15" s="256"/>
      <c r="Q15" s="257"/>
      <c r="R15" s="228"/>
      <c r="S15" s="228"/>
      <c r="T15" s="245"/>
      <c r="U15" s="254"/>
      <c r="V15" s="254"/>
      <c r="W15" s="228"/>
      <c r="X15" s="255"/>
      <c r="Y15" s="248"/>
      <c r="Z15" s="248"/>
      <c r="AA15" s="228"/>
      <c r="AB15" s="228"/>
      <c r="AC15" s="228"/>
      <c r="AD15" s="228"/>
      <c r="AE15" s="248"/>
      <c r="AF15" s="247"/>
      <c r="AG15" s="228"/>
      <c r="AH15" s="228"/>
      <c r="AI15" s="248"/>
      <c r="AJ15" s="340">
        <f t="shared" si="2"/>
        <v>0</v>
      </c>
      <c r="AK15" s="343">
        <f t="shared" si="0"/>
        <v>0</v>
      </c>
      <c r="AL15" s="249"/>
      <c r="AM15" s="341">
        <f t="shared" si="3"/>
        <v>0</v>
      </c>
      <c r="AN15" s="342">
        <f t="shared" si="1"/>
        <v>0</v>
      </c>
      <c r="AO15" s="252"/>
      <c r="AP15" s="241"/>
      <c r="AQ15" s="241"/>
      <c r="AR15" s="241"/>
      <c r="AS15" s="194"/>
      <c r="AT15" s="195"/>
      <c r="AU15" s="195"/>
    </row>
    <row r="16" spans="1:47">
      <c r="A16" s="253"/>
      <c r="B16" s="230"/>
      <c r="C16" s="245"/>
      <c r="D16" s="230"/>
      <c r="E16" s="230"/>
      <c r="F16" s="230"/>
      <c r="G16" s="228"/>
      <c r="H16" s="230"/>
      <c r="I16" s="230"/>
      <c r="J16" s="246"/>
      <c r="K16" s="230"/>
      <c r="L16" s="230"/>
      <c r="M16" s="230"/>
      <c r="N16" s="230"/>
      <c r="O16" s="230"/>
      <c r="P16" s="256"/>
      <c r="Q16" s="257"/>
      <c r="R16" s="228"/>
      <c r="S16" s="228"/>
      <c r="T16" s="245"/>
      <c r="U16" s="254"/>
      <c r="V16" s="254"/>
      <c r="W16" s="228"/>
      <c r="X16" s="255"/>
      <c r="Y16" s="248"/>
      <c r="Z16" s="248"/>
      <c r="AA16" s="228"/>
      <c r="AB16" s="228"/>
      <c r="AC16" s="228"/>
      <c r="AD16" s="228"/>
      <c r="AE16" s="248"/>
      <c r="AF16" s="247"/>
      <c r="AG16" s="228"/>
      <c r="AH16" s="228"/>
      <c r="AI16" s="248"/>
      <c r="AJ16" s="340">
        <f t="shared" si="2"/>
        <v>0</v>
      </c>
      <c r="AK16" s="343">
        <f t="shared" si="0"/>
        <v>0</v>
      </c>
      <c r="AL16" s="249"/>
      <c r="AM16" s="341">
        <f t="shared" si="3"/>
        <v>0</v>
      </c>
      <c r="AN16" s="342">
        <f t="shared" si="1"/>
        <v>0</v>
      </c>
      <c r="AO16" s="252"/>
      <c r="AP16" s="241"/>
      <c r="AQ16" s="241"/>
      <c r="AR16" s="241"/>
      <c r="AS16" s="194"/>
      <c r="AT16" s="195"/>
      <c r="AU16" s="195"/>
    </row>
    <row r="17" spans="1:47">
      <c r="A17" s="253"/>
      <c r="B17" s="230"/>
      <c r="C17" s="245"/>
      <c r="D17" s="230"/>
      <c r="E17" s="230"/>
      <c r="F17" s="230"/>
      <c r="G17" s="228"/>
      <c r="H17" s="230"/>
      <c r="I17" s="230"/>
      <c r="J17" s="246"/>
      <c r="K17" s="230"/>
      <c r="L17" s="230"/>
      <c r="M17" s="230"/>
      <c r="N17" s="230"/>
      <c r="O17" s="230"/>
      <c r="P17" s="256"/>
      <c r="Q17" s="257"/>
      <c r="R17" s="228"/>
      <c r="S17" s="228"/>
      <c r="T17" s="245"/>
      <c r="U17" s="254"/>
      <c r="V17" s="254"/>
      <c r="W17" s="228"/>
      <c r="X17" s="255"/>
      <c r="Y17" s="248"/>
      <c r="Z17" s="248"/>
      <c r="AA17" s="228"/>
      <c r="AB17" s="228"/>
      <c r="AC17" s="228"/>
      <c r="AD17" s="228"/>
      <c r="AE17" s="248"/>
      <c r="AF17" s="247"/>
      <c r="AG17" s="228"/>
      <c r="AH17" s="228"/>
      <c r="AI17" s="248"/>
      <c r="AJ17" s="340">
        <f t="shared" si="2"/>
        <v>0</v>
      </c>
      <c r="AK17" s="343">
        <f t="shared" si="0"/>
        <v>0</v>
      </c>
      <c r="AL17" s="249"/>
      <c r="AM17" s="341">
        <f t="shared" si="3"/>
        <v>0</v>
      </c>
      <c r="AN17" s="342">
        <f t="shared" si="1"/>
        <v>0</v>
      </c>
      <c r="AO17" s="252"/>
      <c r="AP17" s="241"/>
      <c r="AQ17" s="241"/>
      <c r="AR17" s="241"/>
      <c r="AS17" s="194"/>
      <c r="AT17" s="195"/>
      <c r="AU17" s="195"/>
    </row>
    <row r="18" spans="1:47">
      <c r="A18" s="253"/>
      <c r="B18" s="230"/>
      <c r="C18" s="245"/>
      <c r="D18" s="230"/>
      <c r="E18" s="230"/>
      <c r="F18" s="230"/>
      <c r="G18" s="228"/>
      <c r="H18" s="230"/>
      <c r="I18" s="230"/>
      <c r="J18" s="246"/>
      <c r="K18" s="230"/>
      <c r="L18" s="230"/>
      <c r="M18" s="230"/>
      <c r="N18" s="230"/>
      <c r="O18" s="230"/>
      <c r="P18" s="256"/>
      <c r="Q18" s="257"/>
      <c r="R18" s="228"/>
      <c r="S18" s="228"/>
      <c r="T18" s="245"/>
      <c r="U18" s="254"/>
      <c r="V18" s="254"/>
      <c r="W18" s="228"/>
      <c r="X18" s="255"/>
      <c r="Y18" s="248"/>
      <c r="Z18" s="248"/>
      <c r="AA18" s="228"/>
      <c r="AB18" s="228"/>
      <c r="AC18" s="228"/>
      <c r="AD18" s="228"/>
      <c r="AE18" s="248"/>
      <c r="AF18" s="247"/>
      <c r="AG18" s="228"/>
      <c r="AH18" s="228"/>
      <c r="AI18" s="248"/>
      <c r="AJ18" s="340">
        <f t="shared" si="2"/>
        <v>0</v>
      </c>
      <c r="AK18" s="343">
        <f t="shared" si="0"/>
        <v>0</v>
      </c>
      <c r="AL18" s="249"/>
      <c r="AM18" s="341">
        <f t="shared" si="3"/>
        <v>0</v>
      </c>
      <c r="AN18" s="342">
        <f t="shared" si="1"/>
        <v>0</v>
      </c>
      <c r="AO18" s="252"/>
      <c r="AP18" s="241"/>
      <c r="AQ18" s="241"/>
      <c r="AR18" s="241"/>
      <c r="AS18" s="194"/>
      <c r="AT18" s="195"/>
      <c r="AU18" s="195"/>
    </row>
    <row r="19" spans="1:47">
      <c r="A19" s="253"/>
      <c r="B19" s="230"/>
      <c r="C19" s="245"/>
      <c r="D19" s="230"/>
      <c r="E19" s="230"/>
      <c r="F19" s="230"/>
      <c r="G19" s="228"/>
      <c r="H19" s="230"/>
      <c r="I19" s="230"/>
      <c r="J19" s="246"/>
      <c r="K19" s="230"/>
      <c r="L19" s="230"/>
      <c r="M19" s="230"/>
      <c r="N19" s="230"/>
      <c r="O19" s="230"/>
      <c r="P19" s="256"/>
      <c r="Q19" s="257"/>
      <c r="R19" s="228"/>
      <c r="S19" s="228"/>
      <c r="T19" s="245"/>
      <c r="U19" s="254"/>
      <c r="V19" s="254"/>
      <c r="W19" s="228"/>
      <c r="X19" s="255"/>
      <c r="Y19" s="248"/>
      <c r="Z19" s="248"/>
      <c r="AA19" s="228"/>
      <c r="AB19" s="228"/>
      <c r="AC19" s="228"/>
      <c r="AD19" s="228"/>
      <c r="AE19" s="248"/>
      <c r="AF19" s="247"/>
      <c r="AG19" s="228"/>
      <c r="AH19" s="228"/>
      <c r="AI19" s="248"/>
      <c r="AJ19" s="340">
        <f t="shared" si="2"/>
        <v>0</v>
      </c>
      <c r="AK19" s="343">
        <f t="shared" si="0"/>
        <v>0</v>
      </c>
      <c r="AL19" s="249"/>
      <c r="AM19" s="341">
        <f t="shared" si="3"/>
        <v>0</v>
      </c>
      <c r="AN19" s="342">
        <f t="shared" si="1"/>
        <v>0</v>
      </c>
      <c r="AO19" s="252"/>
      <c r="AP19" s="241"/>
      <c r="AQ19" s="241"/>
      <c r="AR19" s="241"/>
      <c r="AS19" s="194"/>
      <c r="AT19" s="195"/>
      <c r="AU19" s="195"/>
    </row>
    <row r="20" spans="1:47">
      <c r="A20" s="253"/>
      <c r="B20" s="230"/>
      <c r="C20" s="245"/>
      <c r="D20" s="230"/>
      <c r="E20" s="230"/>
      <c r="F20" s="230"/>
      <c r="G20" s="228"/>
      <c r="H20" s="230"/>
      <c r="I20" s="230"/>
      <c r="J20" s="246"/>
      <c r="K20" s="230"/>
      <c r="L20" s="230"/>
      <c r="M20" s="230"/>
      <c r="N20" s="230"/>
      <c r="O20" s="230"/>
      <c r="P20" s="256"/>
      <c r="Q20" s="257"/>
      <c r="R20" s="228"/>
      <c r="S20" s="228"/>
      <c r="T20" s="245"/>
      <c r="U20" s="254"/>
      <c r="V20" s="254"/>
      <c r="W20" s="228"/>
      <c r="X20" s="255"/>
      <c r="Y20" s="248"/>
      <c r="Z20" s="248"/>
      <c r="AA20" s="228"/>
      <c r="AB20" s="228"/>
      <c r="AC20" s="228"/>
      <c r="AD20" s="228"/>
      <c r="AE20" s="248"/>
      <c r="AF20" s="247"/>
      <c r="AG20" s="228"/>
      <c r="AH20" s="228"/>
      <c r="AI20" s="248"/>
      <c r="AJ20" s="248"/>
      <c r="AK20" s="194"/>
      <c r="AL20" s="249"/>
      <c r="AM20" s="250"/>
      <c r="AN20" s="251"/>
      <c r="AO20" s="252"/>
      <c r="AP20" s="241"/>
      <c r="AQ20" s="241"/>
      <c r="AR20" s="241"/>
      <c r="AS20" s="194"/>
      <c r="AT20" s="195"/>
      <c r="AU20" s="195"/>
    </row>
    <row r="21" spans="1:47">
      <c r="A21" s="253"/>
      <c r="B21" s="230"/>
      <c r="C21" s="245"/>
      <c r="D21" s="230"/>
      <c r="E21" s="230"/>
      <c r="F21" s="230"/>
      <c r="G21" s="228"/>
      <c r="H21" s="230"/>
      <c r="I21" s="230"/>
      <c r="J21" s="246"/>
      <c r="K21" s="230"/>
      <c r="L21" s="230"/>
      <c r="M21" s="230"/>
      <c r="N21" s="230"/>
      <c r="O21" s="230"/>
      <c r="P21" s="256"/>
      <c r="Q21" s="257"/>
      <c r="R21" s="228"/>
      <c r="S21" s="228"/>
      <c r="T21" s="245"/>
      <c r="U21" s="254"/>
      <c r="V21" s="254"/>
      <c r="W21" s="228"/>
      <c r="X21" s="255"/>
      <c r="Y21" s="248"/>
      <c r="Z21" s="248"/>
      <c r="AA21" s="228"/>
      <c r="AB21" s="228"/>
      <c r="AC21" s="228"/>
      <c r="AD21" s="228"/>
      <c r="AE21" s="248"/>
      <c r="AF21" s="247"/>
      <c r="AG21" s="228"/>
      <c r="AH21" s="228"/>
      <c r="AI21" s="248"/>
      <c r="AJ21" s="248"/>
      <c r="AK21" s="194"/>
      <c r="AL21" s="249"/>
      <c r="AM21" s="250"/>
      <c r="AN21" s="251"/>
      <c r="AO21" s="252"/>
      <c r="AP21" s="241"/>
      <c r="AQ21" s="241"/>
      <c r="AR21" s="241"/>
      <c r="AS21" s="194"/>
      <c r="AT21" s="195"/>
      <c r="AU21" s="195"/>
    </row>
    <row r="22" spans="1:47">
      <c r="A22" s="253"/>
      <c r="B22" s="230"/>
      <c r="C22" s="245"/>
      <c r="D22" s="230"/>
      <c r="E22" s="230"/>
      <c r="F22" s="230"/>
      <c r="G22" s="228"/>
      <c r="H22" s="230"/>
      <c r="I22" s="230"/>
      <c r="J22" s="246"/>
      <c r="K22" s="230"/>
      <c r="L22" s="230"/>
      <c r="M22" s="230"/>
      <c r="N22" s="230"/>
      <c r="O22" s="230"/>
      <c r="P22" s="256"/>
      <c r="Q22" s="257"/>
      <c r="R22" s="228"/>
      <c r="S22" s="228"/>
      <c r="T22" s="245"/>
      <c r="U22" s="254"/>
      <c r="V22" s="254"/>
      <c r="W22" s="228"/>
      <c r="X22" s="255"/>
      <c r="Y22" s="248"/>
      <c r="Z22" s="248"/>
      <c r="AA22" s="228"/>
      <c r="AB22" s="228"/>
      <c r="AC22" s="228"/>
      <c r="AD22" s="228"/>
      <c r="AE22" s="248"/>
      <c r="AF22" s="247"/>
      <c r="AG22" s="228"/>
      <c r="AH22" s="228"/>
      <c r="AI22" s="248"/>
      <c r="AJ22" s="248"/>
      <c r="AK22" s="194"/>
      <c r="AL22" s="249"/>
      <c r="AM22" s="250"/>
      <c r="AN22" s="251"/>
      <c r="AO22" s="252"/>
      <c r="AP22" s="241"/>
      <c r="AQ22" s="241"/>
      <c r="AR22" s="241"/>
      <c r="AS22" s="194"/>
      <c r="AT22" s="195"/>
      <c r="AU22" s="195"/>
    </row>
    <row r="23" spans="1:47">
      <c r="A23" s="253"/>
      <c r="B23" s="230"/>
      <c r="C23" s="245"/>
      <c r="D23" s="230"/>
      <c r="E23" s="230"/>
      <c r="F23" s="230"/>
      <c r="G23" s="228"/>
      <c r="H23" s="230"/>
      <c r="I23" s="230"/>
      <c r="J23" s="246"/>
      <c r="K23" s="230"/>
      <c r="L23" s="230"/>
      <c r="M23" s="230"/>
      <c r="N23" s="230"/>
      <c r="O23" s="230"/>
      <c r="P23" s="256"/>
      <c r="Q23" s="257"/>
      <c r="R23" s="228"/>
      <c r="S23" s="228"/>
      <c r="T23" s="245"/>
      <c r="U23" s="254"/>
      <c r="V23" s="254"/>
      <c r="W23" s="228"/>
      <c r="X23" s="255"/>
      <c r="Y23" s="248"/>
      <c r="Z23" s="248"/>
      <c r="AA23" s="228"/>
      <c r="AB23" s="228"/>
      <c r="AC23" s="228"/>
      <c r="AD23" s="228"/>
      <c r="AE23" s="248"/>
      <c r="AF23" s="247"/>
      <c r="AG23" s="228"/>
      <c r="AH23" s="228"/>
      <c r="AI23" s="248"/>
      <c r="AJ23" s="248"/>
      <c r="AK23" s="194"/>
      <c r="AL23" s="249"/>
      <c r="AM23" s="250"/>
      <c r="AN23" s="251"/>
      <c r="AO23" s="252"/>
      <c r="AP23" s="241"/>
      <c r="AQ23" s="241"/>
      <c r="AR23" s="241"/>
      <c r="AS23" s="194"/>
      <c r="AT23" s="195"/>
      <c r="AU23" s="195"/>
    </row>
    <row r="24" spans="1:47">
      <c r="A24" s="253"/>
      <c r="B24" s="230"/>
      <c r="C24" s="245"/>
      <c r="D24" s="230"/>
      <c r="E24" s="230"/>
      <c r="F24" s="230"/>
      <c r="G24" s="228"/>
      <c r="H24" s="230"/>
      <c r="I24" s="230"/>
      <c r="J24" s="246"/>
      <c r="K24" s="230"/>
      <c r="L24" s="230"/>
      <c r="M24" s="230"/>
      <c r="N24" s="230"/>
      <c r="O24" s="230"/>
      <c r="P24" s="256"/>
      <c r="Q24" s="257"/>
      <c r="R24" s="228"/>
      <c r="S24" s="228"/>
      <c r="T24" s="245"/>
      <c r="U24" s="254"/>
      <c r="V24" s="254"/>
      <c r="W24" s="228"/>
      <c r="X24" s="255"/>
      <c r="Y24" s="248"/>
      <c r="Z24" s="248"/>
      <c r="AA24" s="228"/>
      <c r="AB24" s="228"/>
      <c r="AC24" s="228"/>
      <c r="AD24" s="228"/>
      <c r="AE24" s="248"/>
      <c r="AF24" s="247"/>
      <c r="AG24" s="228"/>
      <c r="AH24" s="228"/>
      <c r="AI24" s="248"/>
      <c r="AJ24" s="248"/>
      <c r="AK24" s="194"/>
      <c r="AL24" s="249"/>
      <c r="AM24" s="250"/>
      <c r="AN24" s="251"/>
      <c r="AO24" s="252"/>
      <c r="AP24" s="241"/>
      <c r="AQ24" s="241"/>
      <c r="AR24" s="241"/>
      <c r="AS24" s="194"/>
      <c r="AT24" s="195"/>
      <c r="AU24" s="195"/>
    </row>
    <row r="25" spans="1:47">
      <c r="A25" s="253"/>
      <c r="B25" s="230"/>
      <c r="C25" s="245"/>
      <c r="D25" s="230"/>
      <c r="E25" s="230"/>
      <c r="F25" s="230"/>
      <c r="G25" s="228"/>
      <c r="H25" s="230"/>
      <c r="I25" s="230"/>
      <c r="J25" s="246"/>
      <c r="K25" s="230"/>
      <c r="L25" s="230"/>
      <c r="M25" s="230"/>
      <c r="N25" s="230"/>
      <c r="O25" s="230"/>
      <c r="P25" s="256"/>
      <c r="Q25" s="257"/>
      <c r="R25" s="228"/>
      <c r="S25" s="228"/>
      <c r="T25" s="245"/>
      <c r="U25" s="254"/>
      <c r="V25" s="254"/>
      <c r="W25" s="228"/>
      <c r="X25" s="255"/>
      <c r="Y25" s="248"/>
      <c r="Z25" s="248"/>
      <c r="AA25" s="228"/>
      <c r="AB25" s="228"/>
      <c r="AC25" s="228"/>
      <c r="AD25" s="228"/>
      <c r="AE25" s="248"/>
      <c r="AF25" s="247"/>
      <c r="AG25" s="228"/>
      <c r="AH25" s="228"/>
      <c r="AI25" s="248"/>
      <c r="AJ25" s="248"/>
      <c r="AK25" s="194"/>
      <c r="AL25" s="249"/>
      <c r="AM25" s="250"/>
      <c r="AN25" s="251"/>
      <c r="AO25" s="252"/>
      <c r="AP25" s="241"/>
      <c r="AQ25" s="241"/>
      <c r="AR25" s="241"/>
      <c r="AS25" s="194"/>
      <c r="AT25" s="195"/>
      <c r="AU25" s="195"/>
    </row>
    <row r="26" spans="1:47">
      <c r="A26" s="253"/>
      <c r="B26" s="230"/>
      <c r="C26" s="245"/>
      <c r="D26" s="230"/>
      <c r="E26" s="230"/>
      <c r="F26" s="230"/>
      <c r="G26" s="228"/>
      <c r="H26" s="230"/>
      <c r="I26" s="230"/>
      <c r="J26" s="246"/>
      <c r="K26" s="230"/>
      <c r="L26" s="230"/>
      <c r="M26" s="230"/>
      <c r="N26" s="230"/>
      <c r="O26" s="230"/>
      <c r="P26" s="256"/>
      <c r="Q26" s="257"/>
      <c r="R26" s="228"/>
      <c r="S26" s="228"/>
      <c r="T26" s="245"/>
      <c r="U26" s="254"/>
      <c r="V26" s="254"/>
      <c r="W26" s="228"/>
      <c r="X26" s="255"/>
      <c r="Y26" s="248"/>
      <c r="Z26" s="248"/>
      <c r="AA26" s="228"/>
      <c r="AB26" s="228"/>
      <c r="AC26" s="228"/>
      <c r="AD26" s="228"/>
      <c r="AE26" s="248"/>
      <c r="AF26" s="247"/>
      <c r="AG26" s="228"/>
      <c r="AH26" s="228"/>
      <c r="AI26" s="248"/>
      <c r="AJ26" s="248"/>
      <c r="AK26" s="194"/>
      <c r="AL26" s="249"/>
      <c r="AM26" s="250"/>
      <c r="AN26" s="251"/>
      <c r="AO26" s="252"/>
      <c r="AP26" s="241"/>
      <c r="AQ26" s="241"/>
      <c r="AR26" s="241"/>
      <c r="AS26" s="194"/>
      <c r="AT26" s="195"/>
      <c r="AU26" s="195"/>
    </row>
    <row r="27" spans="1:47">
      <c r="A27" s="253"/>
      <c r="B27" s="230"/>
      <c r="C27" s="245"/>
      <c r="D27" s="230"/>
      <c r="E27" s="230"/>
      <c r="F27" s="230"/>
      <c r="G27" s="228"/>
      <c r="H27" s="230"/>
      <c r="I27" s="230"/>
      <c r="J27" s="246"/>
      <c r="K27" s="230"/>
      <c r="L27" s="230"/>
      <c r="M27" s="230"/>
      <c r="N27" s="230"/>
      <c r="O27" s="230"/>
      <c r="P27" s="256"/>
      <c r="Q27" s="257"/>
      <c r="R27" s="228"/>
      <c r="S27" s="228"/>
      <c r="T27" s="245"/>
      <c r="U27" s="254"/>
      <c r="V27" s="254"/>
      <c r="W27" s="228"/>
      <c r="X27" s="255"/>
      <c r="Y27" s="248"/>
      <c r="Z27" s="248"/>
      <c r="AA27" s="228"/>
      <c r="AB27" s="228"/>
      <c r="AC27" s="228"/>
      <c r="AD27" s="228"/>
      <c r="AE27" s="248"/>
      <c r="AF27" s="247"/>
      <c r="AG27" s="228"/>
      <c r="AH27" s="228"/>
      <c r="AI27" s="248"/>
      <c r="AJ27" s="248"/>
      <c r="AK27" s="194"/>
      <c r="AL27" s="249"/>
      <c r="AM27" s="250"/>
      <c r="AN27" s="251"/>
      <c r="AO27" s="252"/>
      <c r="AP27" s="241"/>
      <c r="AQ27" s="241"/>
      <c r="AR27" s="241"/>
      <c r="AS27" s="194"/>
      <c r="AT27" s="195"/>
      <c r="AU27" s="195"/>
    </row>
    <row r="28" spans="1:47">
      <c r="A28" s="253"/>
      <c r="B28" s="230"/>
      <c r="C28" s="245"/>
      <c r="D28" s="230"/>
      <c r="E28" s="230"/>
      <c r="F28" s="230"/>
      <c r="G28" s="228"/>
      <c r="H28" s="230"/>
      <c r="I28" s="230"/>
      <c r="J28" s="246"/>
      <c r="K28" s="230"/>
      <c r="L28" s="230"/>
      <c r="M28" s="230"/>
      <c r="N28" s="230"/>
      <c r="O28" s="230"/>
      <c r="P28" s="256"/>
      <c r="Q28" s="257"/>
      <c r="R28" s="228"/>
      <c r="S28" s="228"/>
      <c r="T28" s="245"/>
      <c r="U28" s="254"/>
      <c r="V28" s="254"/>
      <c r="W28" s="228"/>
      <c r="X28" s="255"/>
      <c r="Y28" s="248"/>
      <c r="Z28" s="248"/>
      <c r="AA28" s="228"/>
      <c r="AB28" s="228"/>
      <c r="AC28" s="228"/>
      <c r="AD28" s="228"/>
      <c r="AE28" s="248"/>
      <c r="AF28" s="247"/>
      <c r="AG28" s="228"/>
      <c r="AH28" s="228"/>
      <c r="AI28" s="248"/>
      <c r="AJ28" s="248"/>
      <c r="AK28" s="194"/>
      <c r="AL28" s="249"/>
      <c r="AM28" s="250"/>
      <c r="AN28" s="251"/>
      <c r="AO28" s="252"/>
      <c r="AP28" s="241"/>
      <c r="AQ28" s="241"/>
      <c r="AR28" s="241"/>
      <c r="AS28" s="194"/>
      <c r="AT28" s="195"/>
      <c r="AU28" s="195"/>
    </row>
    <row r="29" spans="1:47">
      <c r="A29" s="253"/>
      <c r="B29" s="230"/>
      <c r="C29" s="245"/>
      <c r="D29" s="230"/>
      <c r="E29" s="230"/>
      <c r="F29" s="230"/>
      <c r="G29" s="228"/>
      <c r="H29" s="230"/>
      <c r="I29" s="230"/>
      <c r="J29" s="246"/>
      <c r="K29" s="230"/>
      <c r="L29" s="230"/>
      <c r="M29" s="230"/>
      <c r="N29" s="230"/>
      <c r="O29" s="230"/>
      <c r="P29" s="256"/>
      <c r="Q29" s="257"/>
      <c r="R29" s="228"/>
      <c r="S29" s="228"/>
      <c r="T29" s="245"/>
      <c r="U29" s="254"/>
      <c r="V29" s="254"/>
      <c r="W29" s="228"/>
      <c r="X29" s="255"/>
      <c r="Y29" s="248"/>
      <c r="Z29" s="248"/>
      <c r="AA29" s="228"/>
      <c r="AB29" s="228"/>
      <c r="AC29" s="228"/>
      <c r="AD29" s="228"/>
      <c r="AE29" s="248"/>
      <c r="AF29" s="247"/>
      <c r="AG29" s="228"/>
      <c r="AH29" s="228"/>
      <c r="AI29" s="248"/>
      <c r="AJ29" s="248"/>
      <c r="AK29" s="194"/>
      <c r="AL29" s="249"/>
      <c r="AM29" s="250"/>
      <c r="AN29" s="251"/>
      <c r="AO29" s="252"/>
      <c r="AP29" s="241"/>
      <c r="AQ29" s="241"/>
      <c r="AR29" s="241"/>
      <c r="AS29" s="194"/>
      <c r="AT29" s="195"/>
      <c r="AU29" s="195"/>
    </row>
    <row r="30" spans="1:47">
      <c r="A30" s="253"/>
      <c r="B30" s="230"/>
      <c r="C30" s="245"/>
      <c r="D30" s="230"/>
      <c r="E30" s="230"/>
      <c r="F30" s="230"/>
      <c r="G30" s="228"/>
      <c r="H30" s="230"/>
      <c r="I30" s="230"/>
      <c r="J30" s="246"/>
      <c r="K30" s="230"/>
      <c r="L30" s="230"/>
      <c r="M30" s="230"/>
      <c r="N30" s="230"/>
      <c r="O30" s="230"/>
      <c r="P30" s="256"/>
      <c r="Q30" s="257"/>
      <c r="R30" s="228"/>
      <c r="S30" s="228"/>
      <c r="T30" s="245"/>
      <c r="U30" s="254"/>
      <c r="V30" s="254"/>
      <c r="W30" s="228"/>
      <c r="X30" s="255"/>
      <c r="Y30" s="248"/>
      <c r="Z30" s="248"/>
      <c r="AA30" s="228"/>
      <c r="AB30" s="228"/>
      <c r="AC30" s="228"/>
      <c r="AD30" s="228"/>
      <c r="AE30" s="248"/>
      <c r="AF30" s="247"/>
      <c r="AG30" s="228"/>
      <c r="AH30" s="228"/>
      <c r="AI30" s="248"/>
      <c r="AJ30" s="248"/>
      <c r="AK30" s="194"/>
      <c r="AL30" s="249"/>
      <c r="AM30" s="250"/>
      <c r="AN30" s="251"/>
      <c r="AO30" s="252"/>
      <c r="AP30" s="241"/>
      <c r="AQ30" s="241"/>
      <c r="AR30" s="241"/>
      <c r="AS30" s="194"/>
      <c r="AT30" s="195"/>
      <c r="AU30" s="195"/>
    </row>
    <row r="31" spans="1:47">
      <c r="A31" s="253"/>
      <c r="B31" s="230"/>
      <c r="C31" s="245"/>
      <c r="D31" s="230"/>
      <c r="E31" s="230"/>
      <c r="F31" s="230"/>
      <c r="G31" s="228"/>
      <c r="H31" s="230"/>
      <c r="I31" s="230"/>
      <c r="J31" s="246"/>
      <c r="K31" s="230"/>
      <c r="L31" s="230"/>
      <c r="M31" s="230"/>
      <c r="N31" s="230"/>
      <c r="O31" s="230"/>
      <c r="P31" s="256"/>
      <c r="Q31" s="257"/>
      <c r="R31" s="228"/>
      <c r="S31" s="228"/>
      <c r="T31" s="245"/>
      <c r="U31" s="254"/>
      <c r="V31" s="254"/>
      <c r="W31" s="228"/>
      <c r="X31" s="255"/>
      <c r="Y31" s="248"/>
      <c r="Z31" s="248"/>
      <c r="AA31" s="228"/>
      <c r="AB31" s="228"/>
      <c r="AC31" s="228"/>
      <c r="AD31" s="228"/>
      <c r="AE31" s="248"/>
      <c r="AF31" s="247"/>
      <c r="AG31" s="228"/>
      <c r="AH31" s="228"/>
      <c r="AI31" s="248"/>
      <c r="AJ31" s="248"/>
      <c r="AK31" s="194"/>
      <c r="AL31" s="249"/>
      <c r="AM31" s="250"/>
      <c r="AN31" s="251"/>
      <c r="AO31" s="252"/>
      <c r="AP31" s="241"/>
      <c r="AQ31" s="241"/>
      <c r="AR31" s="241"/>
      <c r="AS31" s="194"/>
      <c r="AT31" s="195"/>
      <c r="AU31" s="195"/>
    </row>
    <row r="32" spans="1:47">
      <c r="A32" s="253"/>
      <c r="B32" s="230"/>
      <c r="C32" s="245"/>
      <c r="D32" s="230"/>
      <c r="E32" s="230"/>
      <c r="F32" s="230"/>
      <c r="G32" s="228"/>
      <c r="H32" s="230"/>
      <c r="I32" s="230"/>
      <c r="J32" s="246"/>
      <c r="K32" s="230"/>
      <c r="L32" s="230"/>
      <c r="M32" s="230"/>
      <c r="N32" s="230"/>
      <c r="O32" s="230"/>
      <c r="P32" s="256"/>
      <c r="Q32" s="257"/>
      <c r="R32" s="228"/>
      <c r="S32" s="228"/>
      <c r="T32" s="245"/>
      <c r="U32" s="254"/>
      <c r="V32" s="254"/>
      <c r="W32" s="228"/>
      <c r="X32" s="255"/>
      <c r="Y32" s="248"/>
      <c r="Z32" s="248"/>
      <c r="AA32" s="228"/>
      <c r="AB32" s="228"/>
      <c r="AC32" s="228"/>
      <c r="AD32" s="228"/>
      <c r="AE32" s="248"/>
      <c r="AF32" s="247"/>
      <c r="AG32" s="228"/>
      <c r="AH32" s="228"/>
      <c r="AI32" s="248"/>
      <c r="AJ32" s="248"/>
      <c r="AK32" s="194"/>
      <c r="AL32" s="249"/>
      <c r="AM32" s="250"/>
      <c r="AN32" s="251"/>
      <c r="AO32" s="252"/>
      <c r="AP32" s="241"/>
      <c r="AQ32" s="241"/>
      <c r="AR32" s="241"/>
      <c r="AS32" s="194"/>
      <c r="AT32" s="195"/>
      <c r="AU32" s="195"/>
    </row>
    <row r="33" spans="1:47">
      <c r="A33" s="253"/>
      <c r="B33" s="230"/>
      <c r="C33" s="245"/>
      <c r="D33" s="230"/>
      <c r="E33" s="230"/>
      <c r="F33" s="230"/>
      <c r="G33" s="228"/>
      <c r="H33" s="230"/>
      <c r="I33" s="230"/>
      <c r="J33" s="246"/>
      <c r="K33" s="230"/>
      <c r="L33" s="230"/>
      <c r="M33" s="230"/>
      <c r="N33" s="230"/>
      <c r="O33" s="230"/>
      <c r="P33" s="256"/>
      <c r="Q33" s="257"/>
      <c r="R33" s="228"/>
      <c r="S33" s="228"/>
      <c r="T33" s="245"/>
      <c r="U33" s="254"/>
      <c r="V33" s="254"/>
      <c r="W33" s="228"/>
      <c r="X33" s="255"/>
      <c r="Y33" s="248"/>
      <c r="Z33" s="248"/>
      <c r="AA33" s="228"/>
      <c r="AB33" s="228"/>
      <c r="AC33" s="228"/>
      <c r="AD33" s="228"/>
      <c r="AE33" s="248"/>
      <c r="AF33" s="247"/>
      <c r="AG33" s="228"/>
      <c r="AH33" s="228"/>
      <c r="AI33" s="248"/>
      <c r="AJ33" s="248"/>
      <c r="AK33" s="194"/>
      <c r="AL33" s="249"/>
      <c r="AM33" s="250"/>
      <c r="AN33" s="251"/>
      <c r="AO33" s="252"/>
      <c r="AP33" s="241"/>
      <c r="AQ33" s="241"/>
      <c r="AR33" s="241"/>
      <c r="AS33" s="194"/>
      <c r="AT33" s="195"/>
      <c r="AU33" s="195"/>
    </row>
    <row r="34" spans="1:47">
      <c r="A34" s="253"/>
      <c r="B34" s="230"/>
      <c r="C34" s="245"/>
      <c r="D34" s="230"/>
      <c r="E34" s="230"/>
      <c r="F34" s="230"/>
      <c r="G34" s="228"/>
      <c r="H34" s="230"/>
      <c r="I34" s="230"/>
      <c r="J34" s="246"/>
      <c r="K34" s="230"/>
      <c r="L34" s="230"/>
      <c r="M34" s="230"/>
      <c r="N34" s="230"/>
      <c r="O34" s="230"/>
      <c r="P34" s="256"/>
      <c r="Q34" s="257"/>
      <c r="R34" s="228"/>
      <c r="S34" s="228"/>
      <c r="T34" s="245"/>
      <c r="U34" s="254"/>
      <c r="V34" s="254"/>
      <c r="W34" s="228"/>
      <c r="X34" s="255"/>
      <c r="Y34" s="248"/>
      <c r="Z34" s="248"/>
      <c r="AA34" s="228"/>
      <c r="AB34" s="228"/>
      <c r="AC34" s="228"/>
      <c r="AD34" s="228"/>
      <c r="AE34" s="248"/>
      <c r="AF34" s="247"/>
      <c r="AG34" s="228"/>
      <c r="AH34" s="228"/>
      <c r="AI34" s="248"/>
      <c r="AJ34" s="248"/>
      <c r="AK34" s="194"/>
      <c r="AL34" s="249"/>
      <c r="AM34" s="250"/>
      <c r="AN34" s="251"/>
      <c r="AO34" s="252"/>
      <c r="AP34" s="241"/>
      <c r="AQ34" s="241"/>
      <c r="AR34" s="241"/>
      <c r="AS34" s="194"/>
      <c r="AT34" s="195"/>
      <c r="AU34" s="195"/>
    </row>
    <row r="35" spans="1:47">
      <c r="A35" s="253"/>
      <c r="B35" s="230"/>
      <c r="C35" s="245"/>
      <c r="D35" s="230"/>
      <c r="E35" s="230"/>
      <c r="F35" s="230"/>
      <c r="G35" s="228"/>
      <c r="H35" s="230"/>
      <c r="I35" s="230"/>
      <c r="J35" s="246"/>
      <c r="K35" s="230"/>
      <c r="L35" s="230"/>
      <c r="M35" s="230"/>
      <c r="N35" s="230"/>
      <c r="O35" s="230"/>
      <c r="P35" s="256"/>
      <c r="Q35" s="257"/>
      <c r="R35" s="228"/>
      <c r="S35" s="228"/>
      <c r="T35" s="245"/>
      <c r="U35" s="254"/>
      <c r="V35" s="254"/>
      <c r="W35" s="228"/>
      <c r="X35" s="255"/>
      <c r="Y35" s="248"/>
      <c r="Z35" s="248"/>
      <c r="AA35" s="228"/>
      <c r="AB35" s="228"/>
      <c r="AC35" s="228"/>
      <c r="AD35" s="228"/>
      <c r="AE35" s="248"/>
      <c r="AF35" s="247"/>
      <c r="AG35" s="228"/>
      <c r="AH35" s="228"/>
      <c r="AI35" s="248"/>
      <c r="AJ35" s="248"/>
      <c r="AK35" s="194"/>
      <c r="AL35" s="249"/>
      <c r="AM35" s="250"/>
      <c r="AN35" s="251"/>
      <c r="AO35" s="252"/>
      <c r="AP35" s="241"/>
      <c r="AQ35" s="241"/>
      <c r="AR35" s="241"/>
      <c r="AS35" s="194"/>
      <c r="AT35" s="195"/>
      <c r="AU35" s="195"/>
    </row>
    <row r="36" spans="1:47">
      <c r="A36" s="253"/>
      <c r="B36" s="230"/>
      <c r="C36" s="245"/>
      <c r="D36" s="230"/>
      <c r="E36" s="230"/>
      <c r="F36" s="230"/>
      <c r="G36" s="228"/>
      <c r="H36" s="230"/>
      <c r="I36" s="230"/>
      <c r="J36" s="246"/>
      <c r="K36" s="230"/>
      <c r="L36" s="230"/>
      <c r="M36" s="230"/>
      <c r="N36" s="230"/>
      <c r="O36" s="230"/>
      <c r="P36" s="256"/>
      <c r="Q36" s="257"/>
      <c r="R36" s="228"/>
      <c r="S36" s="228"/>
      <c r="T36" s="245"/>
      <c r="U36" s="254"/>
      <c r="V36" s="254"/>
      <c r="W36" s="228"/>
      <c r="X36" s="255"/>
      <c r="Y36" s="248"/>
      <c r="Z36" s="248"/>
      <c r="AA36" s="228"/>
      <c r="AB36" s="228"/>
      <c r="AC36" s="228"/>
      <c r="AD36" s="228"/>
      <c r="AE36" s="248"/>
      <c r="AF36" s="247"/>
      <c r="AG36" s="228"/>
      <c r="AH36" s="228"/>
      <c r="AI36" s="248"/>
      <c r="AJ36" s="248"/>
      <c r="AK36" s="194"/>
      <c r="AL36" s="249"/>
      <c r="AM36" s="250"/>
      <c r="AN36" s="251"/>
      <c r="AO36" s="252"/>
      <c r="AP36" s="241"/>
      <c r="AQ36" s="241"/>
      <c r="AR36" s="241"/>
      <c r="AS36" s="194"/>
      <c r="AT36" s="195"/>
      <c r="AU36" s="195"/>
    </row>
    <row r="37" spans="1:47">
      <c r="A37" s="253"/>
      <c r="B37" s="230"/>
      <c r="C37" s="245"/>
      <c r="D37" s="230"/>
      <c r="E37" s="230"/>
      <c r="F37" s="230"/>
      <c r="G37" s="228"/>
      <c r="H37" s="230"/>
      <c r="I37" s="230"/>
      <c r="J37" s="246"/>
      <c r="K37" s="230"/>
      <c r="L37" s="230"/>
      <c r="M37" s="230"/>
      <c r="N37" s="230"/>
      <c r="O37" s="230"/>
      <c r="P37" s="256"/>
      <c r="Q37" s="257"/>
      <c r="R37" s="228"/>
      <c r="S37" s="228"/>
      <c r="T37" s="245"/>
      <c r="U37" s="254"/>
      <c r="V37" s="254"/>
      <c r="W37" s="228"/>
      <c r="X37" s="255"/>
      <c r="Y37" s="248"/>
      <c r="Z37" s="248"/>
      <c r="AA37" s="228"/>
      <c r="AB37" s="228"/>
      <c r="AC37" s="228"/>
      <c r="AD37" s="228"/>
      <c r="AE37" s="248"/>
      <c r="AF37" s="247"/>
      <c r="AG37" s="228"/>
      <c r="AH37" s="228"/>
      <c r="AI37" s="248"/>
      <c r="AJ37" s="248"/>
      <c r="AK37" s="194"/>
      <c r="AL37" s="249"/>
      <c r="AM37" s="250"/>
      <c r="AN37" s="251"/>
      <c r="AO37" s="252"/>
      <c r="AP37" s="241"/>
      <c r="AQ37" s="241"/>
      <c r="AR37" s="241"/>
      <c r="AS37" s="194"/>
      <c r="AT37" s="195"/>
      <c r="AU37" s="195"/>
    </row>
    <row r="38" spans="1:47">
      <c r="A38" s="253"/>
      <c r="B38" s="230"/>
      <c r="C38" s="245"/>
      <c r="D38" s="230"/>
      <c r="E38" s="230"/>
      <c r="F38" s="230"/>
      <c r="G38" s="228"/>
      <c r="H38" s="230"/>
      <c r="I38" s="230"/>
      <c r="J38" s="246"/>
      <c r="K38" s="230"/>
      <c r="L38" s="230"/>
      <c r="M38" s="230"/>
      <c r="N38" s="230"/>
      <c r="O38" s="230"/>
      <c r="P38" s="256"/>
      <c r="Q38" s="257"/>
      <c r="R38" s="228"/>
      <c r="S38" s="228"/>
      <c r="T38" s="245"/>
      <c r="U38" s="254"/>
      <c r="V38" s="254"/>
      <c r="W38" s="228"/>
      <c r="X38" s="255"/>
      <c r="Y38" s="248"/>
      <c r="Z38" s="248"/>
      <c r="AA38" s="228"/>
      <c r="AB38" s="228"/>
      <c r="AC38" s="228"/>
      <c r="AD38" s="228"/>
      <c r="AE38" s="248"/>
      <c r="AF38" s="247"/>
      <c r="AG38" s="228"/>
      <c r="AH38" s="228"/>
      <c r="AI38" s="248"/>
      <c r="AJ38" s="248"/>
      <c r="AK38" s="194"/>
      <c r="AL38" s="249"/>
      <c r="AM38" s="250"/>
      <c r="AN38" s="251"/>
      <c r="AO38" s="252"/>
      <c r="AP38" s="241"/>
      <c r="AQ38" s="241"/>
      <c r="AR38" s="241"/>
      <c r="AS38" s="194"/>
      <c r="AT38" s="195"/>
      <c r="AU38" s="195"/>
    </row>
    <row r="39" spans="1:47">
      <c r="A39" s="253"/>
      <c r="B39" s="230"/>
      <c r="C39" s="245"/>
      <c r="D39" s="230"/>
      <c r="E39" s="230"/>
      <c r="F39" s="230"/>
      <c r="G39" s="228"/>
      <c r="H39" s="230"/>
      <c r="I39" s="230"/>
      <c r="J39" s="246"/>
      <c r="K39" s="230"/>
      <c r="L39" s="230"/>
      <c r="M39" s="230"/>
      <c r="N39" s="230"/>
      <c r="O39" s="230"/>
      <c r="P39" s="256"/>
      <c r="Q39" s="257"/>
      <c r="R39" s="228"/>
      <c r="S39" s="228"/>
      <c r="T39" s="245"/>
      <c r="U39" s="254"/>
      <c r="V39" s="254"/>
      <c r="W39" s="228"/>
      <c r="X39" s="255"/>
      <c r="Y39" s="248"/>
      <c r="Z39" s="248"/>
      <c r="AA39" s="228"/>
      <c r="AB39" s="228"/>
      <c r="AC39" s="228"/>
      <c r="AD39" s="228"/>
      <c r="AE39" s="248"/>
      <c r="AF39" s="247"/>
      <c r="AG39" s="228"/>
      <c r="AH39" s="228"/>
      <c r="AI39" s="248"/>
      <c r="AJ39" s="248"/>
      <c r="AK39" s="194"/>
      <c r="AL39" s="249"/>
      <c r="AM39" s="250"/>
      <c r="AN39" s="251"/>
      <c r="AO39" s="252"/>
      <c r="AP39" s="241"/>
      <c r="AQ39" s="241"/>
      <c r="AR39" s="241"/>
      <c r="AS39" s="194"/>
      <c r="AT39" s="195"/>
      <c r="AU39" s="195"/>
    </row>
    <row r="40" spans="1:47">
      <c r="A40" s="253"/>
      <c r="B40" s="230"/>
      <c r="C40" s="245"/>
      <c r="D40" s="230"/>
      <c r="E40" s="230"/>
      <c r="F40" s="230"/>
      <c r="G40" s="228"/>
      <c r="H40" s="230"/>
      <c r="I40" s="230"/>
      <c r="J40" s="246"/>
      <c r="K40" s="230"/>
      <c r="L40" s="230"/>
      <c r="M40" s="230"/>
      <c r="N40" s="230"/>
      <c r="O40" s="230"/>
      <c r="P40" s="256"/>
      <c r="Q40" s="257"/>
      <c r="R40" s="228"/>
      <c r="S40" s="228"/>
      <c r="T40" s="245"/>
      <c r="U40" s="254"/>
      <c r="V40" s="254"/>
      <c r="W40" s="228"/>
      <c r="X40" s="255"/>
      <c r="Y40" s="248"/>
      <c r="Z40" s="248"/>
      <c r="AA40" s="228"/>
      <c r="AB40" s="228"/>
      <c r="AC40" s="228"/>
      <c r="AD40" s="228"/>
      <c r="AE40" s="248"/>
      <c r="AF40" s="247"/>
      <c r="AG40" s="228"/>
      <c r="AH40" s="228"/>
      <c r="AI40" s="248"/>
      <c r="AJ40" s="248"/>
      <c r="AK40" s="194"/>
      <c r="AL40" s="249"/>
      <c r="AM40" s="250"/>
      <c r="AN40" s="251"/>
      <c r="AO40" s="252"/>
      <c r="AP40" s="241"/>
      <c r="AQ40" s="241"/>
      <c r="AR40" s="241"/>
      <c r="AS40" s="194"/>
      <c r="AT40" s="195"/>
      <c r="AU40" s="195"/>
    </row>
    <row r="41" spans="1:47">
      <c r="A41" s="253"/>
      <c r="B41" s="230"/>
      <c r="C41" s="245"/>
      <c r="D41" s="230"/>
      <c r="E41" s="230"/>
      <c r="F41" s="230"/>
      <c r="G41" s="228"/>
      <c r="H41" s="230"/>
      <c r="I41" s="230"/>
      <c r="J41" s="246"/>
      <c r="K41" s="230"/>
      <c r="L41" s="230"/>
      <c r="M41" s="230"/>
      <c r="N41" s="230"/>
      <c r="O41" s="230"/>
      <c r="P41" s="256"/>
      <c r="Q41" s="257"/>
      <c r="R41" s="228"/>
      <c r="S41" s="228"/>
      <c r="T41" s="245"/>
      <c r="U41" s="254"/>
      <c r="V41" s="254"/>
      <c r="W41" s="228"/>
      <c r="X41" s="255"/>
      <c r="Y41" s="248"/>
      <c r="Z41" s="248"/>
      <c r="AA41" s="228"/>
      <c r="AB41" s="228"/>
      <c r="AC41" s="228"/>
      <c r="AD41" s="228"/>
      <c r="AE41" s="248"/>
      <c r="AF41" s="247"/>
      <c r="AG41" s="228"/>
      <c r="AH41" s="228"/>
      <c r="AI41" s="248"/>
      <c r="AJ41" s="248"/>
      <c r="AK41" s="194"/>
      <c r="AL41" s="249"/>
      <c r="AM41" s="250"/>
      <c r="AN41" s="251"/>
      <c r="AO41" s="252"/>
      <c r="AP41" s="241"/>
      <c r="AQ41" s="241"/>
      <c r="AR41" s="241"/>
      <c r="AS41" s="194"/>
      <c r="AT41" s="195"/>
      <c r="AU41" s="195"/>
    </row>
    <row r="42" spans="1:47">
      <c r="A42" s="253"/>
      <c r="B42" s="230"/>
      <c r="C42" s="245"/>
      <c r="D42" s="230"/>
      <c r="E42" s="230"/>
      <c r="F42" s="230"/>
      <c r="G42" s="228"/>
      <c r="H42" s="230"/>
      <c r="I42" s="230"/>
      <c r="J42" s="246"/>
      <c r="K42" s="230"/>
      <c r="L42" s="230"/>
      <c r="M42" s="230"/>
      <c r="N42" s="230"/>
      <c r="O42" s="230"/>
      <c r="P42" s="256"/>
      <c r="Q42" s="257"/>
      <c r="R42" s="228"/>
      <c r="S42" s="228"/>
      <c r="T42" s="245"/>
      <c r="U42" s="254"/>
      <c r="V42" s="254"/>
      <c r="W42" s="228"/>
      <c r="X42" s="255"/>
      <c r="Y42" s="248"/>
      <c r="Z42" s="248"/>
      <c r="AA42" s="228"/>
      <c r="AB42" s="228"/>
      <c r="AC42" s="228"/>
      <c r="AD42" s="228"/>
      <c r="AE42" s="248"/>
      <c r="AF42" s="247"/>
      <c r="AG42" s="228"/>
      <c r="AH42" s="228"/>
      <c r="AI42" s="248"/>
      <c r="AJ42" s="248"/>
      <c r="AK42" s="194"/>
      <c r="AL42" s="249"/>
      <c r="AM42" s="250"/>
      <c r="AN42" s="251"/>
      <c r="AO42" s="252"/>
      <c r="AP42" s="241"/>
      <c r="AQ42" s="241"/>
      <c r="AR42" s="241"/>
      <c r="AS42" s="194"/>
      <c r="AT42" s="195"/>
      <c r="AU42" s="195"/>
    </row>
    <row r="43" spans="1:47">
      <c r="A43" s="253"/>
      <c r="B43" s="230"/>
      <c r="C43" s="245"/>
      <c r="D43" s="230"/>
      <c r="E43" s="230"/>
      <c r="F43" s="230"/>
      <c r="G43" s="228"/>
      <c r="H43" s="230"/>
      <c r="I43" s="230"/>
      <c r="J43" s="246"/>
      <c r="K43" s="230"/>
      <c r="L43" s="230"/>
      <c r="M43" s="230"/>
      <c r="N43" s="230"/>
      <c r="O43" s="230"/>
      <c r="P43" s="256"/>
      <c r="Q43" s="257"/>
      <c r="R43" s="228"/>
      <c r="S43" s="228"/>
      <c r="T43" s="245"/>
      <c r="U43" s="254"/>
      <c r="V43" s="254"/>
      <c r="W43" s="228"/>
      <c r="X43" s="255"/>
      <c r="Y43" s="248"/>
      <c r="Z43" s="248"/>
      <c r="AA43" s="228"/>
      <c r="AB43" s="228"/>
      <c r="AC43" s="228"/>
      <c r="AD43" s="228"/>
      <c r="AE43" s="248"/>
      <c r="AF43" s="247"/>
      <c r="AG43" s="228"/>
      <c r="AH43" s="228"/>
      <c r="AI43" s="248"/>
      <c r="AJ43" s="248"/>
      <c r="AK43" s="194"/>
      <c r="AL43" s="249"/>
      <c r="AM43" s="250"/>
      <c r="AN43" s="251"/>
      <c r="AO43" s="252"/>
      <c r="AP43" s="241"/>
      <c r="AQ43" s="241"/>
      <c r="AR43" s="241"/>
      <c r="AS43" s="194"/>
      <c r="AT43" s="195"/>
      <c r="AU43" s="195"/>
    </row>
    <row r="44" spans="1:47">
      <c r="A44" s="253"/>
      <c r="B44" s="230"/>
      <c r="C44" s="245"/>
      <c r="D44" s="230"/>
      <c r="E44" s="230"/>
      <c r="F44" s="230"/>
      <c r="G44" s="228"/>
      <c r="H44" s="230"/>
      <c r="I44" s="230"/>
      <c r="J44" s="246"/>
      <c r="K44" s="230"/>
      <c r="L44" s="230"/>
      <c r="M44" s="230"/>
      <c r="N44" s="230"/>
      <c r="O44" s="230"/>
      <c r="P44" s="256"/>
      <c r="Q44" s="257"/>
      <c r="R44" s="228"/>
      <c r="S44" s="228"/>
      <c r="T44" s="245"/>
      <c r="U44" s="254"/>
      <c r="V44" s="254"/>
      <c r="W44" s="228"/>
      <c r="X44" s="255"/>
      <c r="Y44" s="248"/>
      <c r="Z44" s="248"/>
      <c r="AA44" s="228"/>
      <c r="AB44" s="228"/>
      <c r="AC44" s="228"/>
      <c r="AD44" s="228"/>
      <c r="AE44" s="248"/>
      <c r="AF44" s="247"/>
      <c r="AG44" s="228"/>
      <c r="AH44" s="228"/>
      <c r="AI44" s="248"/>
      <c r="AJ44" s="248"/>
      <c r="AK44" s="194"/>
      <c r="AL44" s="249"/>
      <c r="AM44" s="250"/>
      <c r="AN44" s="251"/>
      <c r="AO44" s="252"/>
      <c r="AP44" s="241"/>
      <c r="AQ44" s="241"/>
      <c r="AR44" s="241"/>
      <c r="AS44" s="194"/>
      <c r="AT44" s="195"/>
      <c r="AU44" s="195"/>
    </row>
    <row r="45" spans="1:47">
      <c r="A45" s="253"/>
      <c r="B45" s="230"/>
      <c r="C45" s="245"/>
      <c r="D45" s="230"/>
      <c r="E45" s="230"/>
      <c r="F45" s="230"/>
      <c r="G45" s="228"/>
      <c r="H45" s="230"/>
      <c r="I45" s="230"/>
      <c r="J45" s="246"/>
      <c r="K45" s="230"/>
      <c r="L45" s="230"/>
      <c r="M45" s="230"/>
      <c r="N45" s="230"/>
      <c r="O45" s="230"/>
      <c r="P45" s="256"/>
      <c r="Q45" s="257"/>
      <c r="R45" s="228"/>
      <c r="S45" s="228"/>
      <c r="T45" s="245"/>
      <c r="U45" s="254"/>
      <c r="V45" s="254"/>
      <c r="W45" s="228"/>
      <c r="X45" s="255"/>
      <c r="Y45" s="248"/>
      <c r="Z45" s="248"/>
      <c r="AA45" s="228"/>
      <c r="AB45" s="228"/>
      <c r="AC45" s="228"/>
      <c r="AD45" s="228"/>
      <c r="AE45" s="248"/>
      <c r="AF45" s="247"/>
      <c r="AG45" s="228"/>
      <c r="AH45" s="228"/>
      <c r="AI45" s="248"/>
      <c r="AJ45" s="248"/>
      <c r="AK45" s="194"/>
      <c r="AL45" s="249"/>
      <c r="AM45" s="250"/>
      <c r="AN45" s="251"/>
      <c r="AO45" s="252"/>
      <c r="AP45" s="241"/>
      <c r="AQ45" s="241"/>
      <c r="AR45" s="241"/>
      <c r="AS45" s="194"/>
      <c r="AT45" s="195"/>
      <c r="AU45" s="195"/>
    </row>
    <row r="46" spans="1:47">
      <c r="A46" s="253"/>
      <c r="B46" s="230"/>
      <c r="C46" s="245"/>
      <c r="D46" s="230"/>
      <c r="E46" s="230"/>
      <c r="F46" s="230"/>
      <c r="G46" s="228"/>
      <c r="H46" s="230"/>
      <c r="I46" s="230"/>
      <c r="J46" s="246"/>
      <c r="K46" s="230"/>
      <c r="L46" s="230"/>
      <c r="M46" s="230"/>
      <c r="N46" s="230"/>
      <c r="O46" s="230"/>
      <c r="P46" s="256"/>
      <c r="Q46" s="257"/>
      <c r="R46" s="228"/>
      <c r="S46" s="228"/>
      <c r="T46" s="245"/>
      <c r="U46" s="254"/>
      <c r="V46" s="254"/>
      <c r="W46" s="228"/>
      <c r="X46" s="255"/>
      <c r="Y46" s="248"/>
      <c r="Z46" s="248"/>
      <c r="AA46" s="228"/>
      <c r="AB46" s="228"/>
      <c r="AC46" s="228"/>
      <c r="AD46" s="228"/>
      <c r="AE46" s="248"/>
      <c r="AF46" s="247"/>
      <c r="AG46" s="228"/>
      <c r="AH46" s="228"/>
      <c r="AI46" s="248"/>
      <c r="AJ46" s="248"/>
      <c r="AK46" s="194"/>
      <c r="AL46" s="249"/>
      <c r="AM46" s="250"/>
      <c r="AN46" s="251"/>
      <c r="AO46" s="252"/>
      <c r="AP46" s="241"/>
      <c r="AQ46" s="241"/>
      <c r="AR46" s="241"/>
      <c r="AS46" s="194"/>
      <c r="AT46" s="195"/>
      <c r="AU46" s="195"/>
    </row>
    <row r="47" spans="1:47">
      <c r="A47" s="253"/>
      <c r="B47" s="230"/>
      <c r="C47" s="245"/>
      <c r="D47" s="230"/>
      <c r="E47" s="230"/>
      <c r="F47" s="230"/>
      <c r="G47" s="228"/>
      <c r="H47" s="230"/>
      <c r="I47" s="230"/>
      <c r="J47" s="246"/>
      <c r="K47" s="230"/>
      <c r="L47" s="230"/>
      <c r="M47" s="230"/>
      <c r="N47" s="230"/>
      <c r="O47" s="230"/>
      <c r="P47" s="256"/>
      <c r="Q47" s="257"/>
      <c r="R47" s="228"/>
      <c r="S47" s="228"/>
      <c r="T47" s="245"/>
      <c r="U47" s="254"/>
      <c r="V47" s="254"/>
      <c r="W47" s="228"/>
      <c r="X47" s="255"/>
      <c r="Y47" s="248"/>
      <c r="Z47" s="248"/>
      <c r="AA47" s="228"/>
      <c r="AB47" s="228"/>
      <c r="AC47" s="228"/>
      <c r="AD47" s="228"/>
      <c r="AE47" s="248"/>
      <c r="AF47" s="247"/>
      <c r="AG47" s="228"/>
      <c r="AH47" s="228"/>
      <c r="AI47" s="248"/>
      <c r="AJ47" s="248"/>
      <c r="AK47" s="194"/>
      <c r="AL47" s="249"/>
      <c r="AM47" s="250"/>
      <c r="AN47" s="251"/>
      <c r="AO47" s="252"/>
      <c r="AP47" s="241"/>
      <c r="AQ47" s="241"/>
      <c r="AR47" s="241"/>
      <c r="AS47" s="194"/>
      <c r="AT47" s="195"/>
      <c r="AU47" s="195"/>
    </row>
    <row r="48" spans="1:47">
      <c r="A48" s="253"/>
      <c r="B48" s="230"/>
      <c r="C48" s="245"/>
      <c r="D48" s="230"/>
      <c r="E48" s="230"/>
      <c r="F48" s="230"/>
      <c r="G48" s="228"/>
      <c r="H48" s="230"/>
      <c r="I48" s="230"/>
      <c r="J48" s="246"/>
      <c r="K48" s="230"/>
      <c r="L48" s="230"/>
      <c r="M48" s="230"/>
      <c r="N48" s="230"/>
      <c r="O48" s="230"/>
      <c r="P48" s="256"/>
      <c r="Q48" s="257"/>
      <c r="R48" s="228"/>
      <c r="S48" s="228"/>
      <c r="T48" s="245"/>
      <c r="U48" s="254"/>
      <c r="V48" s="254"/>
      <c r="W48" s="228"/>
      <c r="X48" s="255"/>
      <c r="Y48" s="248"/>
      <c r="Z48" s="248"/>
      <c r="AA48" s="228"/>
      <c r="AB48" s="228"/>
      <c r="AC48" s="228"/>
      <c r="AD48" s="228"/>
      <c r="AE48" s="248"/>
      <c r="AF48" s="247"/>
      <c r="AG48" s="228"/>
      <c r="AH48" s="228"/>
      <c r="AI48" s="248"/>
      <c r="AJ48" s="248"/>
      <c r="AK48" s="194"/>
      <c r="AL48" s="249"/>
      <c r="AM48" s="250"/>
      <c r="AN48" s="251"/>
      <c r="AO48" s="252"/>
      <c r="AP48" s="241"/>
      <c r="AQ48" s="241"/>
      <c r="AR48" s="241"/>
      <c r="AS48" s="194"/>
      <c r="AT48" s="195"/>
      <c r="AU48" s="195"/>
    </row>
    <row r="49" spans="1:47">
      <c r="A49" s="253"/>
      <c r="B49" s="230"/>
      <c r="C49" s="245"/>
      <c r="D49" s="230"/>
      <c r="E49" s="230"/>
      <c r="F49" s="230"/>
      <c r="G49" s="228"/>
      <c r="H49" s="230"/>
      <c r="I49" s="230"/>
      <c r="J49" s="246"/>
      <c r="K49" s="230"/>
      <c r="L49" s="230"/>
      <c r="M49" s="230"/>
      <c r="N49" s="230"/>
      <c r="O49" s="230"/>
      <c r="P49" s="256"/>
      <c r="Q49" s="257"/>
      <c r="R49" s="228"/>
      <c r="S49" s="228"/>
      <c r="T49" s="245"/>
      <c r="U49" s="254"/>
      <c r="V49" s="254"/>
      <c r="W49" s="228"/>
      <c r="X49" s="255"/>
      <c r="Y49" s="248"/>
      <c r="Z49" s="248"/>
      <c r="AA49" s="228"/>
      <c r="AB49" s="228"/>
      <c r="AC49" s="228"/>
      <c r="AD49" s="228"/>
      <c r="AE49" s="248"/>
      <c r="AF49" s="247"/>
      <c r="AG49" s="228"/>
      <c r="AH49" s="228"/>
      <c r="AI49" s="248"/>
      <c r="AJ49" s="248"/>
      <c r="AK49" s="194"/>
      <c r="AL49" s="249"/>
      <c r="AM49" s="250"/>
      <c r="AN49" s="251"/>
      <c r="AO49" s="252"/>
      <c r="AP49" s="241"/>
      <c r="AQ49" s="241"/>
      <c r="AR49" s="241"/>
      <c r="AS49" s="194"/>
      <c r="AT49" s="195"/>
      <c r="AU49" s="195"/>
    </row>
    <row r="50" spans="1:47">
      <c r="A50" s="253"/>
      <c r="B50" s="230"/>
      <c r="C50" s="245"/>
      <c r="D50" s="230"/>
      <c r="E50" s="230"/>
      <c r="F50" s="230"/>
      <c r="G50" s="228"/>
      <c r="H50" s="230"/>
      <c r="I50" s="230"/>
      <c r="J50" s="246"/>
      <c r="K50" s="230"/>
      <c r="L50" s="230"/>
      <c r="M50" s="230"/>
      <c r="N50" s="230"/>
      <c r="O50" s="230"/>
      <c r="P50" s="256"/>
      <c r="Q50" s="257"/>
      <c r="R50" s="228"/>
      <c r="S50" s="228"/>
      <c r="T50" s="245"/>
      <c r="U50" s="254"/>
      <c r="V50" s="254"/>
      <c r="W50" s="228"/>
      <c r="X50" s="255"/>
      <c r="Y50" s="248"/>
      <c r="Z50" s="248"/>
      <c r="AA50" s="228"/>
      <c r="AB50" s="228"/>
      <c r="AC50" s="228"/>
      <c r="AD50" s="228"/>
      <c r="AE50" s="248"/>
      <c r="AF50" s="247"/>
      <c r="AG50" s="228"/>
      <c r="AH50" s="228"/>
      <c r="AI50" s="248"/>
      <c r="AJ50" s="248"/>
      <c r="AK50" s="194"/>
      <c r="AL50" s="249"/>
      <c r="AM50" s="250"/>
      <c r="AN50" s="251"/>
      <c r="AO50" s="252"/>
      <c r="AP50" s="241"/>
      <c r="AQ50" s="241"/>
      <c r="AR50" s="241"/>
      <c r="AS50" s="194"/>
      <c r="AT50" s="195"/>
      <c r="AU50" s="195"/>
    </row>
    <row r="51" spans="1:47">
      <c r="A51" s="253"/>
      <c r="B51" s="230"/>
      <c r="C51" s="245"/>
      <c r="D51" s="230"/>
      <c r="E51" s="230"/>
      <c r="F51" s="230"/>
      <c r="G51" s="228"/>
      <c r="H51" s="230"/>
      <c r="I51" s="230"/>
      <c r="J51" s="246"/>
      <c r="K51" s="230"/>
      <c r="L51" s="230"/>
      <c r="M51" s="230"/>
      <c r="N51" s="230"/>
      <c r="O51" s="230"/>
      <c r="P51" s="256"/>
      <c r="Q51" s="257"/>
      <c r="R51" s="228"/>
      <c r="S51" s="228"/>
      <c r="T51" s="245"/>
      <c r="U51" s="254"/>
      <c r="V51" s="254"/>
      <c r="W51" s="228"/>
      <c r="X51" s="255"/>
      <c r="Y51" s="248"/>
      <c r="Z51" s="248"/>
      <c r="AA51" s="228"/>
      <c r="AB51" s="228"/>
      <c r="AC51" s="228"/>
      <c r="AD51" s="228"/>
      <c r="AE51" s="248"/>
      <c r="AF51" s="247"/>
      <c r="AG51" s="228"/>
      <c r="AH51" s="228"/>
      <c r="AI51" s="248"/>
      <c r="AJ51" s="248"/>
      <c r="AK51" s="194"/>
      <c r="AL51" s="249"/>
      <c r="AM51" s="250"/>
      <c r="AN51" s="251"/>
      <c r="AO51" s="252"/>
      <c r="AP51" s="241"/>
      <c r="AQ51" s="241"/>
      <c r="AR51" s="241"/>
      <c r="AS51" s="194"/>
      <c r="AT51" s="195"/>
      <c r="AU51" s="195"/>
    </row>
    <row r="52" spans="1:47">
      <c r="A52" s="253"/>
      <c r="B52" s="230"/>
      <c r="C52" s="245"/>
      <c r="D52" s="230"/>
      <c r="E52" s="230"/>
      <c r="F52" s="230"/>
      <c r="G52" s="228"/>
      <c r="H52" s="230"/>
      <c r="I52" s="230"/>
      <c r="J52" s="246"/>
      <c r="K52" s="230"/>
      <c r="L52" s="230"/>
      <c r="M52" s="230"/>
      <c r="N52" s="230"/>
      <c r="O52" s="230"/>
      <c r="P52" s="256"/>
      <c r="Q52" s="257"/>
      <c r="R52" s="228"/>
      <c r="S52" s="228"/>
      <c r="T52" s="245"/>
      <c r="U52" s="254"/>
      <c r="V52" s="254"/>
      <c r="W52" s="228"/>
      <c r="X52" s="255"/>
      <c r="Y52" s="248"/>
      <c r="Z52" s="248"/>
      <c r="AA52" s="228"/>
      <c r="AB52" s="228"/>
      <c r="AC52" s="228"/>
      <c r="AD52" s="228"/>
      <c r="AE52" s="248"/>
      <c r="AF52" s="247"/>
      <c r="AG52" s="228"/>
      <c r="AH52" s="228"/>
      <c r="AI52" s="248"/>
      <c r="AJ52" s="248"/>
      <c r="AK52" s="194"/>
      <c r="AL52" s="249"/>
      <c r="AM52" s="250"/>
      <c r="AN52" s="251"/>
      <c r="AO52" s="252"/>
      <c r="AP52" s="241"/>
      <c r="AQ52" s="241"/>
      <c r="AR52" s="241"/>
      <c r="AS52" s="194"/>
      <c r="AT52" s="195"/>
      <c r="AU52" s="195"/>
    </row>
    <row r="53" spans="1:47">
      <c r="A53" s="253"/>
      <c r="B53" s="230"/>
      <c r="C53" s="245"/>
      <c r="D53" s="230"/>
      <c r="E53" s="230"/>
      <c r="F53" s="230"/>
      <c r="G53" s="228"/>
      <c r="H53" s="230"/>
      <c r="I53" s="230"/>
      <c r="J53" s="246"/>
      <c r="K53" s="230"/>
      <c r="L53" s="230"/>
      <c r="M53" s="230"/>
      <c r="N53" s="230"/>
      <c r="O53" s="230"/>
      <c r="P53" s="256"/>
      <c r="Q53" s="257"/>
      <c r="R53" s="228"/>
      <c r="S53" s="228"/>
      <c r="T53" s="245"/>
      <c r="U53" s="254"/>
      <c r="V53" s="254"/>
      <c r="W53" s="228"/>
      <c r="X53" s="255"/>
      <c r="Y53" s="248"/>
      <c r="Z53" s="248"/>
      <c r="AA53" s="228"/>
      <c r="AB53" s="228"/>
      <c r="AC53" s="228"/>
      <c r="AD53" s="228"/>
      <c r="AE53" s="248"/>
      <c r="AF53" s="247"/>
      <c r="AG53" s="228"/>
      <c r="AH53" s="228"/>
      <c r="AI53" s="248"/>
      <c r="AJ53" s="248"/>
      <c r="AK53" s="194"/>
      <c r="AL53" s="249"/>
      <c r="AM53" s="250"/>
      <c r="AN53" s="251"/>
      <c r="AO53" s="252"/>
      <c r="AP53" s="241"/>
      <c r="AQ53" s="241"/>
      <c r="AR53" s="241"/>
      <c r="AS53" s="194"/>
      <c r="AT53" s="195"/>
      <c r="AU53" s="195"/>
    </row>
    <row r="54" spans="1:47">
      <c r="A54" s="253"/>
      <c r="B54" s="230"/>
      <c r="C54" s="245"/>
      <c r="D54" s="230"/>
      <c r="E54" s="230"/>
      <c r="F54" s="230"/>
      <c r="G54" s="228"/>
      <c r="H54" s="230"/>
      <c r="I54" s="230"/>
      <c r="J54" s="246"/>
      <c r="K54" s="230"/>
      <c r="L54" s="230"/>
      <c r="M54" s="230"/>
      <c r="N54" s="230"/>
      <c r="O54" s="230"/>
      <c r="P54" s="256"/>
      <c r="Q54" s="257"/>
      <c r="R54" s="228"/>
      <c r="S54" s="228"/>
      <c r="T54" s="245"/>
      <c r="U54" s="254"/>
      <c r="V54" s="254"/>
      <c r="W54" s="228"/>
      <c r="X54" s="255"/>
      <c r="Y54" s="248"/>
      <c r="Z54" s="248"/>
      <c r="AA54" s="228"/>
      <c r="AB54" s="228"/>
      <c r="AC54" s="228"/>
      <c r="AD54" s="228"/>
      <c r="AE54" s="248"/>
      <c r="AF54" s="247"/>
      <c r="AG54" s="228"/>
      <c r="AH54" s="228"/>
      <c r="AI54" s="248"/>
      <c r="AJ54" s="248"/>
      <c r="AK54" s="194"/>
      <c r="AL54" s="249"/>
      <c r="AM54" s="250"/>
      <c r="AN54" s="251"/>
      <c r="AO54" s="252"/>
      <c r="AP54" s="241"/>
      <c r="AQ54" s="241"/>
      <c r="AR54" s="241"/>
      <c r="AS54" s="194"/>
      <c r="AT54" s="195"/>
      <c r="AU54" s="195"/>
    </row>
    <row r="55" spans="1:47">
      <c r="A55" s="253"/>
      <c r="B55" s="230"/>
      <c r="C55" s="245"/>
      <c r="D55" s="230"/>
      <c r="E55" s="230"/>
      <c r="F55" s="230"/>
      <c r="G55" s="228"/>
      <c r="H55" s="230"/>
      <c r="I55" s="230"/>
      <c r="J55" s="246"/>
      <c r="K55" s="230"/>
      <c r="L55" s="230"/>
      <c r="M55" s="230"/>
      <c r="N55" s="230"/>
      <c r="O55" s="230"/>
      <c r="P55" s="256"/>
      <c r="Q55" s="257"/>
      <c r="R55" s="228"/>
      <c r="S55" s="228"/>
      <c r="T55" s="245"/>
      <c r="U55" s="254"/>
      <c r="V55" s="254"/>
      <c r="W55" s="228"/>
      <c r="X55" s="255"/>
      <c r="Y55" s="248"/>
      <c r="Z55" s="248"/>
      <c r="AA55" s="228"/>
      <c r="AB55" s="228"/>
      <c r="AC55" s="228"/>
      <c r="AD55" s="228"/>
      <c r="AE55" s="248"/>
      <c r="AF55" s="247"/>
      <c r="AG55" s="228"/>
      <c r="AH55" s="228"/>
      <c r="AI55" s="248"/>
      <c r="AJ55" s="248"/>
      <c r="AK55" s="194"/>
      <c r="AL55" s="249"/>
      <c r="AM55" s="250"/>
      <c r="AN55" s="251"/>
      <c r="AO55" s="252"/>
      <c r="AP55" s="241"/>
      <c r="AQ55" s="241"/>
      <c r="AR55" s="241"/>
      <c r="AS55" s="194"/>
      <c r="AT55" s="195"/>
      <c r="AU55" s="195"/>
    </row>
    <row r="56" spans="1:47">
      <c r="A56" s="253"/>
      <c r="B56" s="230"/>
      <c r="C56" s="245"/>
      <c r="D56" s="230"/>
      <c r="E56" s="230"/>
      <c r="F56" s="230"/>
      <c r="G56" s="228"/>
      <c r="H56" s="230"/>
      <c r="I56" s="230"/>
      <c r="J56" s="246"/>
      <c r="K56" s="230"/>
      <c r="L56" s="230"/>
      <c r="M56" s="230"/>
      <c r="N56" s="230"/>
      <c r="O56" s="230"/>
      <c r="P56" s="256"/>
      <c r="Q56" s="257"/>
      <c r="R56" s="228"/>
      <c r="S56" s="228"/>
      <c r="T56" s="245"/>
      <c r="U56" s="254"/>
      <c r="V56" s="254"/>
      <c r="W56" s="228"/>
      <c r="X56" s="255"/>
      <c r="Y56" s="248"/>
      <c r="Z56" s="248"/>
      <c r="AA56" s="228"/>
      <c r="AB56" s="228"/>
      <c r="AC56" s="228"/>
      <c r="AD56" s="228"/>
      <c r="AE56" s="248"/>
      <c r="AF56" s="247"/>
      <c r="AG56" s="228"/>
      <c r="AH56" s="228"/>
      <c r="AI56" s="248"/>
      <c r="AJ56" s="248"/>
      <c r="AK56" s="194"/>
      <c r="AL56" s="249"/>
      <c r="AM56" s="250"/>
      <c r="AN56" s="251"/>
      <c r="AO56" s="252"/>
      <c r="AP56" s="241"/>
      <c r="AQ56" s="241"/>
      <c r="AR56" s="241"/>
      <c r="AS56" s="194"/>
      <c r="AT56" s="195"/>
      <c r="AU56" s="195"/>
    </row>
    <row r="57" spans="1:47">
      <c r="A57" s="253"/>
      <c r="B57" s="230"/>
      <c r="C57" s="245"/>
      <c r="D57" s="230"/>
      <c r="E57" s="230"/>
      <c r="F57" s="230"/>
      <c r="G57" s="228"/>
      <c r="H57" s="230"/>
      <c r="I57" s="230"/>
      <c r="J57" s="246"/>
      <c r="K57" s="230"/>
      <c r="L57" s="230"/>
      <c r="M57" s="230"/>
      <c r="N57" s="230"/>
      <c r="O57" s="230"/>
      <c r="P57" s="256"/>
      <c r="Q57" s="257"/>
      <c r="R57" s="228"/>
      <c r="S57" s="228"/>
      <c r="T57" s="245"/>
      <c r="U57" s="254"/>
      <c r="V57" s="254"/>
      <c r="W57" s="228"/>
      <c r="X57" s="255"/>
      <c r="Y57" s="248"/>
      <c r="Z57" s="248"/>
      <c r="AA57" s="228"/>
      <c r="AB57" s="228"/>
      <c r="AC57" s="228"/>
      <c r="AD57" s="228"/>
      <c r="AE57" s="248"/>
      <c r="AF57" s="247"/>
      <c r="AG57" s="228"/>
      <c r="AH57" s="228"/>
      <c r="AI57" s="248"/>
      <c r="AJ57" s="248"/>
      <c r="AK57" s="194"/>
      <c r="AL57" s="249"/>
      <c r="AM57" s="250"/>
      <c r="AN57" s="251"/>
      <c r="AO57" s="252"/>
      <c r="AP57" s="241"/>
      <c r="AQ57" s="241"/>
      <c r="AR57" s="241"/>
      <c r="AS57" s="194"/>
      <c r="AT57" s="195"/>
      <c r="AU57" s="195"/>
    </row>
    <row r="58" spans="1:47">
      <c r="A58" s="253"/>
      <c r="B58" s="230"/>
      <c r="C58" s="245"/>
      <c r="D58" s="230"/>
      <c r="E58" s="230"/>
      <c r="F58" s="230"/>
      <c r="G58" s="228"/>
      <c r="H58" s="230"/>
      <c r="I58" s="230"/>
      <c r="J58" s="246"/>
      <c r="K58" s="230"/>
      <c r="L58" s="230"/>
      <c r="M58" s="230"/>
      <c r="N58" s="230"/>
      <c r="O58" s="230"/>
      <c r="P58" s="256"/>
      <c r="Q58" s="257"/>
      <c r="R58" s="228"/>
      <c r="S58" s="228"/>
      <c r="T58" s="245"/>
      <c r="U58" s="254"/>
      <c r="V58" s="254"/>
      <c r="W58" s="228"/>
      <c r="X58" s="255"/>
      <c r="Y58" s="248"/>
      <c r="Z58" s="248"/>
      <c r="AA58" s="228"/>
      <c r="AB58" s="228"/>
      <c r="AC58" s="228"/>
      <c r="AD58" s="228"/>
      <c r="AE58" s="248"/>
      <c r="AF58" s="247"/>
      <c r="AG58" s="228"/>
      <c r="AH58" s="228"/>
      <c r="AI58" s="248"/>
      <c r="AJ58" s="248"/>
      <c r="AK58" s="194"/>
      <c r="AL58" s="249"/>
      <c r="AM58" s="250"/>
      <c r="AN58" s="251"/>
      <c r="AO58" s="252"/>
      <c r="AP58" s="241"/>
      <c r="AQ58" s="241"/>
      <c r="AR58" s="241"/>
      <c r="AS58" s="194"/>
      <c r="AT58" s="195"/>
      <c r="AU58" s="195"/>
    </row>
    <row r="59" spans="1:47">
      <c r="A59" s="253"/>
      <c r="B59" s="230"/>
      <c r="C59" s="245"/>
      <c r="D59" s="230"/>
      <c r="E59" s="230"/>
      <c r="F59" s="230"/>
      <c r="G59" s="228"/>
      <c r="H59" s="230"/>
      <c r="I59" s="230"/>
      <c r="J59" s="246"/>
      <c r="K59" s="230"/>
      <c r="L59" s="230"/>
      <c r="M59" s="230"/>
      <c r="N59" s="230"/>
      <c r="O59" s="230"/>
      <c r="P59" s="256"/>
      <c r="Q59" s="257"/>
      <c r="R59" s="228"/>
      <c r="S59" s="228"/>
      <c r="T59" s="245"/>
      <c r="U59" s="254"/>
      <c r="V59" s="254"/>
      <c r="W59" s="228"/>
      <c r="X59" s="255"/>
      <c r="Y59" s="248"/>
      <c r="Z59" s="248"/>
      <c r="AA59" s="228"/>
      <c r="AB59" s="228"/>
      <c r="AC59" s="228"/>
      <c r="AD59" s="228"/>
      <c r="AE59" s="248"/>
      <c r="AF59" s="247"/>
      <c r="AG59" s="228"/>
      <c r="AH59" s="228"/>
      <c r="AI59" s="248"/>
      <c r="AJ59" s="248"/>
      <c r="AK59" s="194"/>
      <c r="AL59" s="249"/>
      <c r="AM59" s="250"/>
      <c r="AN59" s="251"/>
      <c r="AO59" s="252"/>
      <c r="AP59" s="241"/>
      <c r="AQ59" s="241"/>
      <c r="AR59" s="241"/>
      <c r="AS59" s="194"/>
      <c r="AT59" s="195"/>
      <c r="AU59" s="195"/>
    </row>
    <row r="60" spans="1:47">
      <c r="A60" s="253"/>
      <c r="B60" s="230"/>
      <c r="C60" s="245"/>
      <c r="D60" s="230"/>
      <c r="E60" s="230"/>
      <c r="F60" s="230"/>
      <c r="G60" s="228"/>
      <c r="H60" s="230"/>
      <c r="I60" s="230"/>
      <c r="J60" s="246"/>
      <c r="K60" s="230"/>
      <c r="L60" s="230"/>
      <c r="M60" s="230"/>
      <c r="N60" s="230"/>
      <c r="O60" s="230"/>
      <c r="P60" s="256"/>
      <c r="Q60" s="257"/>
      <c r="R60" s="228"/>
      <c r="S60" s="228"/>
      <c r="T60" s="245"/>
      <c r="U60" s="254"/>
      <c r="V60" s="254"/>
      <c r="W60" s="228"/>
      <c r="X60" s="255"/>
      <c r="Y60" s="248"/>
      <c r="Z60" s="248"/>
      <c r="AA60" s="228"/>
      <c r="AB60" s="228"/>
      <c r="AC60" s="228"/>
      <c r="AD60" s="228"/>
      <c r="AE60" s="248"/>
      <c r="AF60" s="247"/>
      <c r="AG60" s="228"/>
      <c r="AH60" s="228"/>
      <c r="AI60" s="248"/>
      <c r="AJ60" s="248"/>
      <c r="AK60" s="194"/>
      <c r="AL60" s="249"/>
      <c r="AM60" s="250"/>
      <c r="AN60" s="251"/>
      <c r="AO60" s="252"/>
      <c r="AP60" s="241"/>
      <c r="AQ60" s="241"/>
      <c r="AR60" s="241"/>
      <c r="AS60" s="194"/>
      <c r="AT60" s="195"/>
      <c r="AU60" s="195"/>
    </row>
    <row r="61" spans="1:47">
      <c r="A61" s="253"/>
      <c r="B61" s="230"/>
      <c r="C61" s="245"/>
      <c r="D61" s="230"/>
      <c r="E61" s="230"/>
      <c r="F61" s="230"/>
      <c r="G61" s="228"/>
      <c r="H61" s="230"/>
      <c r="I61" s="230"/>
      <c r="J61" s="246"/>
      <c r="K61" s="230"/>
      <c r="L61" s="230"/>
      <c r="M61" s="230"/>
      <c r="N61" s="230"/>
      <c r="O61" s="230"/>
      <c r="P61" s="256"/>
      <c r="Q61" s="257"/>
      <c r="R61" s="228"/>
      <c r="S61" s="228"/>
      <c r="T61" s="245"/>
      <c r="U61" s="254"/>
      <c r="V61" s="254"/>
      <c r="W61" s="228"/>
      <c r="X61" s="255"/>
      <c r="Y61" s="248"/>
      <c r="Z61" s="248"/>
      <c r="AA61" s="228"/>
      <c r="AB61" s="228"/>
      <c r="AC61" s="228"/>
      <c r="AD61" s="228"/>
      <c r="AE61" s="248"/>
      <c r="AF61" s="247"/>
      <c r="AG61" s="228"/>
      <c r="AH61" s="228"/>
      <c r="AI61" s="248"/>
      <c r="AJ61" s="248"/>
      <c r="AK61" s="194"/>
      <c r="AL61" s="249"/>
      <c r="AM61" s="250"/>
      <c r="AN61" s="251"/>
      <c r="AO61" s="252"/>
      <c r="AP61" s="241"/>
      <c r="AQ61" s="241"/>
      <c r="AR61" s="241"/>
      <c r="AS61" s="194"/>
      <c r="AT61" s="195"/>
      <c r="AU61" s="195"/>
    </row>
    <row r="62" spans="1:47">
      <c r="A62" s="253"/>
      <c r="B62" s="230"/>
      <c r="C62" s="245"/>
      <c r="D62" s="230"/>
      <c r="E62" s="230"/>
      <c r="F62" s="230"/>
      <c r="G62" s="228"/>
      <c r="H62" s="230"/>
      <c r="I62" s="230"/>
      <c r="J62" s="246"/>
      <c r="K62" s="230"/>
      <c r="L62" s="230"/>
      <c r="M62" s="230"/>
      <c r="N62" s="230"/>
      <c r="O62" s="230"/>
      <c r="P62" s="256"/>
      <c r="Q62" s="257"/>
      <c r="R62" s="228"/>
      <c r="S62" s="228"/>
      <c r="T62" s="245"/>
      <c r="U62" s="254"/>
      <c r="V62" s="254"/>
      <c r="W62" s="228"/>
      <c r="X62" s="255"/>
      <c r="Y62" s="248"/>
      <c r="Z62" s="248"/>
      <c r="AA62" s="228"/>
      <c r="AB62" s="228"/>
      <c r="AC62" s="228"/>
      <c r="AD62" s="228"/>
      <c r="AE62" s="248"/>
      <c r="AF62" s="247"/>
      <c r="AG62" s="228"/>
      <c r="AH62" s="228"/>
      <c r="AI62" s="248"/>
      <c r="AJ62" s="248"/>
      <c r="AK62" s="194"/>
      <c r="AL62" s="249"/>
      <c r="AM62" s="250"/>
      <c r="AN62" s="251"/>
      <c r="AO62" s="252"/>
      <c r="AP62" s="241"/>
      <c r="AQ62" s="241"/>
      <c r="AR62" s="241"/>
      <c r="AS62" s="194"/>
      <c r="AT62" s="195"/>
      <c r="AU62" s="195"/>
    </row>
    <row r="63" spans="1:47">
      <c r="A63" s="253"/>
      <c r="B63" s="230"/>
      <c r="C63" s="245"/>
      <c r="D63" s="230"/>
      <c r="E63" s="230"/>
      <c r="F63" s="230"/>
      <c r="G63" s="228"/>
      <c r="H63" s="230"/>
      <c r="I63" s="230"/>
      <c r="J63" s="246"/>
      <c r="K63" s="230"/>
      <c r="L63" s="230"/>
      <c r="M63" s="230"/>
      <c r="N63" s="230"/>
      <c r="O63" s="230"/>
      <c r="P63" s="256"/>
      <c r="Q63" s="257"/>
      <c r="R63" s="228"/>
      <c r="S63" s="228"/>
      <c r="T63" s="245"/>
      <c r="U63" s="254"/>
      <c r="V63" s="254"/>
      <c r="W63" s="228"/>
      <c r="X63" s="255"/>
      <c r="Y63" s="248"/>
      <c r="Z63" s="248"/>
      <c r="AA63" s="228"/>
      <c r="AB63" s="228"/>
      <c r="AC63" s="228"/>
      <c r="AD63" s="228"/>
      <c r="AE63" s="248"/>
      <c r="AF63" s="247"/>
      <c r="AG63" s="228"/>
      <c r="AH63" s="228"/>
      <c r="AI63" s="248"/>
      <c r="AJ63" s="248"/>
      <c r="AK63" s="194"/>
      <c r="AL63" s="249"/>
      <c r="AM63" s="250"/>
      <c r="AN63" s="251"/>
      <c r="AO63" s="252"/>
      <c r="AP63" s="241"/>
      <c r="AQ63" s="241"/>
      <c r="AR63" s="241"/>
      <c r="AS63" s="194"/>
      <c r="AT63" s="195"/>
      <c r="AU63" s="195"/>
    </row>
    <row r="64" spans="1:47">
      <c r="A64" s="253"/>
      <c r="B64" s="230"/>
      <c r="C64" s="245"/>
      <c r="D64" s="230"/>
      <c r="E64" s="230"/>
      <c r="F64" s="230"/>
      <c r="G64" s="228"/>
      <c r="H64" s="230"/>
      <c r="I64" s="230"/>
      <c r="J64" s="246"/>
      <c r="K64" s="230"/>
      <c r="L64" s="230"/>
      <c r="M64" s="230"/>
      <c r="N64" s="230"/>
      <c r="O64" s="230"/>
      <c r="P64" s="256"/>
      <c r="Q64" s="257"/>
      <c r="R64" s="228"/>
      <c r="S64" s="228"/>
      <c r="T64" s="245"/>
      <c r="U64" s="254"/>
      <c r="V64" s="254"/>
      <c r="W64" s="228"/>
      <c r="X64" s="255"/>
      <c r="Y64" s="248"/>
      <c r="Z64" s="248"/>
      <c r="AA64" s="228"/>
      <c r="AB64" s="228"/>
      <c r="AC64" s="228"/>
      <c r="AD64" s="228"/>
      <c r="AE64" s="248"/>
      <c r="AF64" s="247"/>
      <c r="AG64" s="228"/>
      <c r="AH64" s="228"/>
      <c r="AI64" s="248"/>
      <c r="AJ64" s="248"/>
      <c r="AK64" s="194"/>
      <c r="AL64" s="249"/>
      <c r="AM64" s="250"/>
      <c r="AN64" s="251"/>
      <c r="AO64" s="252"/>
      <c r="AP64" s="241"/>
      <c r="AQ64" s="241"/>
      <c r="AR64" s="241"/>
      <c r="AS64" s="194"/>
      <c r="AT64" s="195"/>
      <c r="AU64" s="195"/>
    </row>
    <row r="65" spans="1:47">
      <c r="A65" s="253"/>
      <c r="B65" s="230"/>
      <c r="C65" s="245"/>
      <c r="D65" s="230"/>
      <c r="E65" s="230"/>
      <c r="F65" s="230"/>
      <c r="G65" s="228"/>
      <c r="H65" s="230"/>
      <c r="I65" s="230"/>
      <c r="J65" s="246"/>
      <c r="K65" s="230"/>
      <c r="L65" s="230"/>
      <c r="M65" s="230"/>
      <c r="N65" s="230"/>
      <c r="O65" s="230"/>
      <c r="P65" s="256"/>
      <c r="Q65" s="257"/>
      <c r="R65" s="228"/>
      <c r="S65" s="228"/>
      <c r="T65" s="245"/>
      <c r="U65" s="254"/>
      <c r="V65" s="254"/>
      <c r="W65" s="228"/>
      <c r="X65" s="255"/>
      <c r="Y65" s="248"/>
      <c r="Z65" s="248"/>
      <c r="AA65" s="228"/>
      <c r="AB65" s="228"/>
      <c r="AC65" s="228"/>
      <c r="AD65" s="228"/>
      <c r="AE65" s="248"/>
      <c r="AF65" s="247"/>
      <c r="AG65" s="228"/>
      <c r="AH65" s="228"/>
      <c r="AI65" s="248"/>
      <c r="AJ65" s="248"/>
      <c r="AK65" s="194"/>
      <c r="AL65" s="249"/>
      <c r="AM65" s="250"/>
      <c r="AN65" s="251"/>
      <c r="AO65" s="252"/>
      <c r="AP65" s="241"/>
      <c r="AQ65" s="241"/>
      <c r="AR65" s="241"/>
      <c r="AS65" s="194"/>
      <c r="AT65" s="195"/>
      <c r="AU65" s="195"/>
    </row>
    <row r="66" spans="1:47">
      <c r="A66" s="253"/>
      <c r="B66" s="230"/>
      <c r="C66" s="245"/>
      <c r="D66" s="230"/>
      <c r="E66" s="230"/>
      <c r="F66" s="230"/>
      <c r="G66" s="228"/>
      <c r="H66" s="230"/>
      <c r="I66" s="230"/>
      <c r="J66" s="246"/>
      <c r="K66" s="230"/>
      <c r="L66" s="230"/>
      <c r="M66" s="230"/>
      <c r="N66" s="230"/>
      <c r="O66" s="230"/>
      <c r="P66" s="256"/>
      <c r="Q66" s="257"/>
      <c r="R66" s="228"/>
      <c r="S66" s="228"/>
      <c r="T66" s="245"/>
      <c r="U66" s="254"/>
      <c r="V66" s="254"/>
      <c r="W66" s="228"/>
      <c r="X66" s="255"/>
      <c r="Y66" s="248"/>
      <c r="Z66" s="248"/>
      <c r="AA66" s="228"/>
      <c r="AB66" s="228"/>
      <c r="AC66" s="228"/>
      <c r="AD66" s="228"/>
      <c r="AE66" s="248"/>
      <c r="AF66" s="247"/>
      <c r="AG66" s="228"/>
      <c r="AH66" s="228"/>
      <c r="AI66" s="248"/>
      <c r="AJ66" s="248"/>
      <c r="AK66" s="194"/>
      <c r="AL66" s="249"/>
      <c r="AM66" s="250"/>
      <c r="AN66" s="251"/>
      <c r="AO66" s="252"/>
      <c r="AP66" s="241"/>
      <c r="AQ66" s="241"/>
      <c r="AR66" s="241"/>
      <c r="AS66" s="194"/>
      <c r="AT66" s="195"/>
      <c r="AU66" s="195"/>
    </row>
    <row r="67" spans="1:47">
      <c r="A67" s="253"/>
      <c r="B67" s="230"/>
      <c r="C67" s="245"/>
      <c r="D67" s="230"/>
      <c r="E67" s="230"/>
      <c r="F67" s="230"/>
      <c r="G67" s="228"/>
      <c r="H67" s="230"/>
      <c r="I67" s="230"/>
      <c r="J67" s="246"/>
      <c r="K67" s="230"/>
      <c r="L67" s="230"/>
      <c r="M67" s="230"/>
      <c r="N67" s="230"/>
      <c r="O67" s="230"/>
      <c r="P67" s="256"/>
      <c r="Q67" s="257"/>
      <c r="R67" s="228"/>
      <c r="S67" s="228"/>
      <c r="T67" s="245"/>
      <c r="U67" s="254"/>
      <c r="V67" s="254"/>
      <c r="W67" s="228"/>
      <c r="X67" s="255"/>
      <c r="Y67" s="248"/>
      <c r="Z67" s="248"/>
      <c r="AA67" s="228"/>
      <c r="AB67" s="228"/>
      <c r="AC67" s="228"/>
      <c r="AD67" s="228"/>
      <c r="AE67" s="248"/>
      <c r="AF67" s="247"/>
      <c r="AG67" s="228"/>
      <c r="AH67" s="228"/>
      <c r="AI67" s="248"/>
      <c r="AJ67" s="248"/>
      <c r="AK67" s="194"/>
      <c r="AL67" s="249"/>
      <c r="AM67" s="250"/>
      <c r="AN67" s="251"/>
      <c r="AO67" s="252"/>
      <c r="AP67" s="241"/>
      <c r="AQ67" s="241"/>
      <c r="AR67" s="241"/>
      <c r="AS67" s="194"/>
      <c r="AT67" s="195"/>
      <c r="AU67" s="195"/>
    </row>
    <row r="68" spans="1:47">
      <c r="A68" s="253"/>
      <c r="B68" s="230"/>
      <c r="C68" s="245"/>
      <c r="D68" s="230"/>
      <c r="E68" s="230"/>
      <c r="F68" s="230"/>
      <c r="G68" s="228"/>
      <c r="H68" s="230"/>
      <c r="I68" s="230"/>
      <c r="J68" s="246"/>
      <c r="K68" s="230"/>
      <c r="L68" s="230"/>
      <c r="M68" s="230"/>
      <c r="N68" s="230"/>
      <c r="O68" s="230"/>
      <c r="P68" s="256"/>
      <c r="Q68" s="257"/>
      <c r="R68" s="228"/>
      <c r="S68" s="228"/>
      <c r="T68" s="245"/>
      <c r="U68" s="254"/>
      <c r="V68" s="254"/>
      <c r="W68" s="228"/>
      <c r="X68" s="255"/>
      <c r="Y68" s="248"/>
      <c r="Z68" s="248"/>
      <c r="AA68" s="228"/>
      <c r="AB68" s="228"/>
      <c r="AC68" s="228"/>
      <c r="AD68" s="228"/>
      <c r="AE68" s="248"/>
      <c r="AF68" s="247"/>
      <c r="AG68" s="228"/>
      <c r="AH68" s="228"/>
      <c r="AI68" s="248"/>
      <c r="AJ68" s="248"/>
      <c r="AK68" s="194"/>
      <c r="AL68" s="249"/>
      <c r="AM68" s="250"/>
      <c r="AN68" s="251"/>
      <c r="AO68" s="252"/>
      <c r="AP68" s="241"/>
      <c r="AQ68" s="241"/>
      <c r="AR68" s="241"/>
      <c r="AS68" s="194"/>
      <c r="AT68" s="195"/>
      <c r="AU68" s="195"/>
    </row>
    <row r="69" spans="1:47">
      <c r="A69" s="253"/>
      <c r="B69" s="230"/>
      <c r="C69" s="245"/>
      <c r="D69" s="230"/>
      <c r="E69" s="230"/>
      <c r="F69" s="230"/>
      <c r="G69" s="228"/>
      <c r="H69" s="230"/>
      <c r="I69" s="230"/>
      <c r="J69" s="246"/>
      <c r="K69" s="230"/>
      <c r="L69" s="230"/>
      <c r="M69" s="230"/>
      <c r="N69" s="230"/>
      <c r="O69" s="230"/>
      <c r="P69" s="256"/>
      <c r="Q69" s="257"/>
      <c r="R69" s="228"/>
      <c r="S69" s="228"/>
      <c r="T69" s="245"/>
      <c r="U69" s="254"/>
      <c r="V69" s="254"/>
      <c r="W69" s="228"/>
      <c r="X69" s="255"/>
      <c r="Y69" s="248"/>
      <c r="Z69" s="248"/>
      <c r="AA69" s="228"/>
      <c r="AB69" s="228"/>
      <c r="AC69" s="228"/>
      <c r="AD69" s="228"/>
      <c r="AE69" s="248"/>
      <c r="AF69" s="247"/>
      <c r="AG69" s="228"/>
      <c r="AH69" s="228"/>
      <c r="AI69" s="248"/>
      <c r="AJ69" s="248"/>
      <c r="AK69" s="194"/>
      <c r="AL69" s="249"/>
      <c r="AM69" s="250"/>
      <c r="AN69" s="251"/>
      <c r="AO69" s="252"/>
      <c r="AP69" s="241"/>
      <c r="AQ69" s="241"/>
      <c r="AR69" s="241"/>
      <c r="AS69" s="194"/>
      <c r="AT69" s="195"/>
      <c r="AU69" s="195"/>
    </row>
    <row r="70" spans="1:47">
      <c r="A70" s="253"/>
      <c r="B70" s="230"/>
      <c r="C70" s="245"/>
      <c r="D70" s="230"/>
      <c r="E70" s="230"/>
      <c r="F70" s="230"/>
      <c r="G70" s="228"/>
      <c r="H70" s="230"/>
      <c r="I70" s="230"/>
      <c r="J70" s="246"/>
      <c r="K70" s="230"/>
      <c r="L70" s="230"/>
      <c r="M70" s="230"/>
      <c r="N70" s="230"/>
      <c r="O70" s="230"/>
      <c r="P70" s="256"/>
      <c r="Q70" s="257"/>
      <c r="R70" s="228"/>
      <c r="S70" s="228"/>
      <c r="T70" s="245"/>
      <c r="U70" s="254"/>
      <c r="V70" s="254"/>
      <c r="W70" s="228"/>
      <c r="X70" s="255"/>
      <c r="Y70" s="248"/>
      <c r="Z70" s="248"/>
      <c r="AA70" s="228"/>
      <c r="AB70" s="228"/>
      <c r="AC70" s="228"/>
      <c r="AD70" s="228"/>
      <c r="AE70" s="248"/>
      <c r="AF70" s="247"/>
      <c r="AG70" s="228"/>
      <c r="AH70" s="228"/>
      <c r="AI70" s="248"/>
      <c r="AJ70" s="248"/>
      <c r="AK70" s="194"/>
      <c r="AL70" s="249"/>
      <c r="AM70" s="250"/>
      <c r="AN70" s="251"/>
      <c r="AO70" s="252"/>
      <c r="AP70" s="241"/>
      <c r="AQ70" s="241"/>
      <c r="AR70" s="241"/>
      <c r="AS70" s="194"/>
      <c r="AT70" s="195"/>
      <c r="AU70" s="195"/>
    </row>
    <row r="71" spans="1:47">
      <c r="A71" s="253"/>
      <c r="B71" s="230"/>
      <c r="C71" s="245"/>
      <c r="D71" s="230"/>
      <c r="E71" s="230"/>
      <c r="F71" s="230"/>
      <c r="G71" s="228"/>
      <c r="H71" s="230"/>
      <c r="I71" s="230"/>
      <c r="J71" s="246"/>
      <c r="K71" s="230"/>
      <c r="L71" s="230"/>
      <c r="M71" s="230"/>
      <c r="N71" s="230"/>
      <c r="O71" s="230"/>
      <c r="P71" s="256"/>
      <c r="Q71" s="257"/>
      <c r="R71" s="228"/>
      <c r="S71" s="228"/>
      <c r="T71" s="245"/>
      <c r="U71" s="254"/>
      <c r="V71" s="254"/>
      <c r="W71" s="228"/>
      <c r="X71" s="255"/>
      <c r="Y71" s="248"/>
      <c r="Z71" s="248"/>
      <c r="AA71" s="228"/>
      <c r="AB71" s="228"/>
      <c r="AC71" s="228"/>
      <c r="AD71" s="228"/>
      <c r="AE71" s="248"/>
      <c r="AF71" s="247"/>
      <c r="AG71" s="228"/>
      <c r="AH71" s="228"/>
      <c r="AI71" s="248"/>
      <c r="AJ71" s="248"/>
      <c r="AK71" s="194"/>
      <c r="AL71" s="249"/>
      <c r="AM71" s="250"/>
      <c r="AN71" s="251"/>
      <c r="AO71" s="252"/>
      <c r="AP71" s="241"/>
      <c r="AQ71" s="241"/>
      <c r="AR71" s="241"/>
      <c r="AS71" s="194"/>
      <c r="AT71" s="195"/>
      <c r="AU71" s="195"/>
    </row>
    <row r="72" spans="1:47">
      <c r="A72" s="253"/>
      <c r="B72" s="230"/>
      <c r="C72" s="245"/>
      <c r="D72" s="230"/>
      <c r="E72" s="230"/>
      <c r="F72" s="230"/>
      <c r="G72" s="228"/>
      <c r="H72" s="230"/>
      <c r="I72" s="230"/>
      <c r="J72" s="246"/>
      <c r="K72" s="230"/>
      <c r="L72" s="230"/>
      <c r="M72" s="230"/>
      <c r="N72" s="230"/>
      <c r="O72" s="230"/>
      <c r="P72" s="256"/>
      <c r="Q72" s="257"/>
      <c r="R72" s="228"/>
      <c r="S72" s="228"/>
      <c r="T72" s="245"/>
      <c r="U72" s="254"/>
      <c r="V72" s="254"/>
      <c r="W72" s="228"/>
      <c r="X72" s="255"/>
      <c r="Y72" s="248"/>
      <c r="Z72" s="248"/>
      <c r="AA72" s="228"/>
      <c r="AB72" s="228"/>
      <c r="AC72" s="228"/>
      <c r="AD72" s="228"/>
      <c r="AE72" s="248"/>
      <c r="AF72" s="247"/>
      <c r="AG72" s="228"/>
      <c r="AH72" s="228"/>
      <c r="AI72" s="248"/>
      <c r="AJ72" s="248"/>
      <c r="AK72" s="194"/>
      <c r="AL72" s="249"/>
      <c r="AM72" s="250"/>
      <c r="AN72" s="251"/>
      <c r="AO72" s="252"/>
      <c r="AP72" s="241"/>
      <c r="AQ72" s="241"/>
      <c r="AR72" s="241"/>
      <c r="AS72" s="194"/>
      <c r="AT72" s="195"/>
      <c r="AU72" s="195"/>
    </row>
    <row r="73" spans="1:47">
      <c r="A73" s="253"/>
      <c r="B73" s="230"/>
      <c r="C73" s="245"/>
      <c r="D73" s="230"/>
      <c r="E73" s="230"/>
      <c r="F73" s="230"/>
      <c r="G73" s="228"/>
      <c r="H73" s="230"/>
      <c r="I73" s="230"/>
      <c r="J73" s="246"/>
      <c r="K73" s="230"/>
      <c r="L73" s="230"/>
      <c r="M73" s="230"/>
      <c r="N73" s="230"/>
      <c r="O73" s="230"/>
      <c r="P73" s="256"/>
      <c r="Q73" s="257"/>
      <c r="R73" s="228"/>
      <c r="S73" s="228"/>
      <c r="T73" s="245"/>
      <c r="U73" s="254"/>
      <c r="V73" s="254"/>
      <c r="W73" s="228"/>
      <c r="X73" s="255"/>
      <c r="Y73" s="248"/>
      <c r="Z73" s="248"/>
      <c r="AA73" s="228"/>
      <c r="AB73" s="228"/>
      <c r="AC73" s="228"/>
      <c r="AD73" s="228"/>
      <c r="AE73" s="248"/>
      <c r="AF73" s="247"/>
      <c r="AG73" s="228"/>
      <c r="AH73" s="228"/>
      <c r="AI73" s="248"/>
      <c r="AJ73" s="248"/>
      <c r="AK73" s="194"/>
      <c r="AL73" s="249"/>
      <c r="AM73" s="250"/>
      <c r="AN73" s="251"/>
      <c r="AO73" s="252"/>
      <c r="AP73" s="241"/>
      <c r="AQ73" s="241"/>
      <c r="AR73" s="241"/>
      <c r="AS73" s="194"/>
      <c r="AT73" s="195"/>
      <c r="AU73" s="195"/>
    </row>
    <row r="74" spans="1:47">
      <c r="A74" s="253"/>
      <c r="B74" s="230"/>
      <c r="C74" s="245"/>
      <c r="D74" s="230"/>
      <c r="E74" s="230"/>
      <c r="F74" s="230"/>
      <c r="G74" s="228"/>
      <c r="H74" s="230"/>
      <c r="I74" s="230"/>
      <c r="J74" s="246"/>
      <c r="K74" s="230"/>
      <c r="L74" s="230"/>
      <c r="M74" s="230"/>
      <c r="N74" s="230"/>
      <c r="O74" s="230"/>
      <c r="P74" s="256"/>
      <c r="Q74" s="257"/>
      <c r="R74" s="228"/>
      <c r="S74" s="228"/>
      <c r="T74" s="245"/>
      <c r="U74" s="254"/>
      <c r="V74" s="254"/>
      <c r="W74" s="228"/>
      <c r="X74" s="255"/>
      <c r="Y74" s="248"/>
      <c r="Z74" s="248"/>
      <c r="AA74" s="228"/>
      <c r="AB74" s="228"/>
      <c r="AC74" s="228"/>
      <c r="AD74" s="228"/>
      <c r="AE74" s="248"/>
      <c r="AF74" s="247"/>
      <c r="AG74" s="228"/>
      <c r="AH74" s="228"/>
      <c r="AI74" s="248"/>
      <c r="AJ74" s="248"/>
      <c r="AK74" s="194"/>
      <c r="AL74" s="249"/>
      <c r="AM74" s="250"/>
      <c r="AN74" s="251"/>
      <c r="AO74" s="252"/>
      <c r="AP74" s="241"/>
      <c r="AQ74" s="241"/>
      <c r="AR74" s="241"/>
      <c r="AS74" s="194"/>
      <c r="AT74" s="195"/>
      <c r="AU74" s="195"/>
    </row>
    <row r="75" spans="1:47">
      <c r="A75" s="253"/>
      <c r="B75" s="230"/>
      <c r="C75" s="245"/>
      <c r="D75" s="230"/>
      <c r="E75" s="230"/>
      <c r="F75" s="230"/>
      <c r="G75" s="228"/>
      <c r="H75" s="230"/>
      <c r="I75" s="230"/>
      <c r="J75" s="246"/>
      <c r="K75" s="230"/>
      <c r="L75" s="230"/>
      <c r="M75" s="230"/>
      <c r="N75" s="230"/>
      <c r="O75" s="230"/>
      <c r="P75" s="256"/>
      <c r="Q75" s="257"/>
      <c r="R75" s="228"/>
      <c r="S75" s="228"/>
      <c r="T75" s="245"/>
      <c r="U75" s="254"/>
      <c r="V75" s="254"/>
      <c r="W75" s="228"/>
      <c r="X75" s="255"/>
      <c r="Y75" s="248"/>
      <c r="Z75" s="248"/>
      <c r="AA75" s="228"/>
      <c r="AB75" s="228"/>
      <c r="AC75" s="228"/>
      <c r="AD75" s="228"/>
      <c r="AE75" s="248"/>
      <c r="AF75" s="247"/>
      <c r="AG75" s="228"/>
      <c r="AH75" s="228"/>
      <c r="AI75" s="248"/>
      <c r="AJ75" s="248"/>
      <c r="AK75" s="194"/>
      <c r="AL75" s="249"/>
      <c r="AM75" s="250"/>
      <c r="AN75" s="251"/>
      <c r="AO75" s="252"/>
      <c r="AP75" s="241"/>
      <c r="AQ75" s="241"/>
      <c r="AR75" s="241"/>
      <c r="AS75" s="194"/>
      <c r="AT75" s="195"/>
      <c r="AU75" s="195"/>
    </row>
    <row r="76" spans="1:47">
      <c r="A76" s="253"/>
      <c r="B76" s="230"/>
      <c r="C76" s="245"/>
      <c r="D76" s="230"/>
      <c r="E76" s="230"/>
      <c r="F76" s="230"/>
      <c r="G76" s="228"/>
      <c r="H76" s="230"/>
      <c r="I76" s="230"/>
      <c r="J76" s="246"/>
      <c r="K76" s="230"/>
      <c r="L76" s="230"/>
      <c r="M76" s="230"/>
      <c r="N76" s="230"/>
      <c r="O76" s="230"/>
      <c r="P76" s="256"/>
      <c r="Q76" s="257"/>
      <c r="R76" s="228"/>
      <c r="S76" s="228"/>
      <c r="T76" s="245"/>
      <c r="U76" s="254"/>
      <c r="V76" s="254"/>
      <c r="W76" s="228"/>
      <c r="X76" s="255"/>
      <c r="Y76" s="248"/>
      <c r="Z76" s="248"/>
      <c r="AA76" s="228"/>
      <c r="AB76" s="228"/>
      <c r="AC76" s="228"/>
      <c r="AD76" s="228"/>
      <c r="AE76" s="248"/>
      <c r="AF76" s="247"/>
      <c r="AG76" s="228"/>
      <c r="AH76" s="228"/>
      <c r="AI76" s="248"/>
      <c r="AJ76" s="248"/>
      <c r="AK76" s="194"/>
      <c r="AL76" s="249"/>
      <c r="AM76" s="250"/>
      <c r="AN76" s="251"/>
      <c r="AO76" s="252"/>
      <c r="AP76" s="241"/>
      <c r="AQ76" s="241"/>
      <c r="AR76" s="241"/>
      <c r="AS76" s="194"/>
      <c r="AT76" s="195"/>
      <c r="AU76" s="195"/>
    </row>
    <row r="77" spans="1:47">
      <c r="A77" s="253"/>
      <c r="B77" s="230"/>
      <c r="C77" s="245"/>
      <c r="D77" s="230"/>
      <c r="E77" s="230"/>
      <c r="F77" s="230"/>
      <c r="G77" s="228"/>
      <c r="H77" s="230"/>
      <c r="I77" s="230"/>
      <c r="J77" s="246"/>
      <c r="K77" s="230"/>
      <c r="L77" s="230"/>
      <c r="M77" s="230"/>
      <c r="N77" s="230"/>
      <c r="O77" s="230"/>
      <c r="P77" s="256"/>
      <c r="Q77" s="257"/>
      <c r="R77" s="228"/>
      <c r="S77" s="228"/>
      <c r="T77" s="245"/>
      <c r="U77" s="254"/>
      <c r="V77" s="254"/>
      <c r="W77" s="228"/>
      <c r="X77" s="255"/>
      <c r="Y77" s="248"/>
      <c r="Z77" s="248"/>
      <c r="AA77" s="228"/>
      <c r="AB77" s="228"/>
      <c r="AC77" s="228"/>
      <c r="AD77" s="228"/>
      <c r="AE77" s="248"/>
      <c r="AF77" s="247"/>
      <c r="AG77" s="228"/>
      <c r="AH77" s="228"/>
      <c r="AI77" s="248"/>
      <c r="AJ77" s="248"/>
      <c r="AK77" s="194"/>
      <c r="AL77" s="249"/>
      <c r="AM77" s="250"/>
      <c r="AN77" s="251"/>
      <c r="AO77" s="252"/>
      <c r="AP77" s="241"/>
      <c r="AQ77" s="241"/>
      <c r="AR77" s="241"/>
      <c r="AS77" s="194"/>
      <c r="AT77" s="195"/>
      <c r="AU77" s="195"/>
    </row>
    <row r="78" spans="1:47">
      <c r="A78" s="253"/>
      <c r="B78" s="230"/>
      <c r="C78" s="245"/>
      <c r="D78" s="230"/>
      <c r="E78" s="230"/>
      <c r="F78" s="230"/>
      <c r="G78" s="228"/>
      <c r="H78" s="230"/>
      <c r="I78" s="230"/>
      <c r="J78" s="246"/>
      <c r="K78" s="230"/>
      <c r="L78" s="230"/>
      <c r="M78" s="230"/>
      <c r="N78" s="230"/>
      <c r="O78" s="230"/>
      <c r="P78" s="256"/>
      <c r="Q78" s="257"/>
      <c r="R78" s="228"/>
      <c r="S78" s="228"/>
      <c r="T78" s="245"/>
      <c r="U78" s="254"/>
      <c r="V78" s="254"/>
      <c r="W78" s="228"/>
      <c r="X78" s="255"/>
      <c r="Y78" s="248"/>
      <c r="Z78" s="248"/>
      <c r="AA78" s="228"/>
      <c r="AB78" s="228"/>
      <c r="AC78" s="228"/>
      <c r="AD78" s="228"/>
      <c r="AE78" s="248"/>
      <c r="AF78" s="247"/>
      <c r="AG78" s="228"/>
      <c r="AH78" s="228"/>
      <c r="AI78" s="248"/>
      <c r="AJ78" s="248"/>
      <c r="AK78" s="194"/>
      <c r="AL78" s="249"/>
      <c r="AM78" s="250"/>
      <c r="AN78" s="251"/>
      <c r="AO78" s="252"/>
      <c r="AP78" s="241"/>
      <c r="AQ78" s="241"/>
      <c r="AR78" s="241"/>
      <c r="AS78" s="194"/>
      <c r="AT78" s="195"/>
      <c r="AU78" s="195"/>
    </row>
    <row r="79" spans="1:47">
      <c r="A79" s="253"/>
      <c r="B79" s="230"/>
      <c r="C79" s="245"/>
      <c r="D79" s="230"/>
      <c r="E79" s="230"/>
      <c r="F79" s="230"/>
      <c r="G79" s="228"/>
      <c r="H79" s="230"/>
      <c r="I79" s="230"/>
      <c r="J79" s="246"/>
      <c r="K79" s="230"/>
      <c r="L79" s="230"/>
      <c r="M79" s="230"/>
      <c r="N79" s="230"/>
      <c r="O79" s="230"/>
      <c r="P79" s="256"/>
      <c r="Q79" s="257"/>
      <c r="R79" s="228"/>
      <c r="S79" s="228"/>
      <c r="T79" s="245"/>
      <c r="U79" s="254"/>
      <c r="V79" s="254"/>
      <c r="W79" s="228"/>
      <c r="X79" s="255"/>
      <c r="Y79" s="248"/>
      <c r="Z79" s="248"/>
      <c r="AA79" s="228"/>
      <c r="AB79" s="228"/>
      <c r="AC79" s="228"/>
      <c r="AD79" s="228"/>
      <c r="AE79" s="248"/>
      <c r="AF79" s="247"/>
      <c r="AG79" s="228"/>
      <c r="AH79" s="228"/>
      <c r="AI79" s="248"/>
      <c r="AJ79" s="248"/>
      <c r="AK79" s="194"/>
      <c r="AL79" s="249"/>
      <c r="AM79" s="250"/>
      <c r="AN79" s="251"/>
      <c r="AO79" s="252"/>
      <c r="AP79" s="241"/>
      <c r="AQ79" s="241"/>
      <c r="AR79" s="241"/>
      <c r="AS79" s="194"/>
      <c r="AT79" s="195"/>
      <c r="AU79" s="195"/>
    </row>
    <row r="80" spans="1:47">
      <c r="A80" s="253"/>
      <c r="B80" s="230"/>
      <c r="C80" s="245"/>
      <c r="D80" s="230"/>
      <c r="E80" s="230"/>
      <c r="F80" s="230"/>
      <c r="G80" s="228"/>
      <c r="H80" s="230"/>
      <c r="I80" s="230"/>
      <c r="J80" s="246"/>
      <c r="K80" s="230"/>
      <c r="L80" s="230"/>
      <c r="M80" s="230"/>
      <c r="N80" s="230"/>
      <c r="O80" s="230"/>
      <c r="P80" s="256"/>
      <c r="Q80" s="257"/>
      <c r="R80" s="228"/>
      <c r="S80" s="228"/>
      <c r="T80" s="245"/>
      <c r="U80" s="254"/>
      <c r="V80" s="254"/>
      <c r="W80" s="228"/>
      <c r="X80" s="255"/>
      <c r="Y80" s="248"/>
      <c r="Z80" s="248"/>
      <c r="AA80" s="228"/>
      <c r="AB80" s="228"/>
      <c r="AC80" s="228"/>
      <c r="AD80" s="228"/>
      <c r="AE80" s="248"/>
      <c r="AF80" s="247"/>
      <c r="AG80" s="228"/>
      <c r="AH80" s="228"/>
      <c r="AI80" s="248"/>
      <c r="AJ80" s="248"/>
      <c r="AK80" s="194"/>
      <c r="AL80" s="249"/>
      <c r="AM80" s="250"/>
      <c r="AN80" s="251"/>
      <c r="AO80" s="252"/>
      <c r="AP80" s="241"/>
      <c r="AQ80" s="241"/>
      <c r="AR80" s="241"/>
      <c r="AS80" s="194"/>
      <c r="AT80" s="195"/>
      <c r="AU80" s="195"/>
    </row>
    <row r="81" spans="1:47">
      <c r="A81" s="253"/>
      <c r="B81" s="230"/>
      <c r="C81" s="245"/>
      <c r="D81" s="230"/>
      <c r="E81" s="230"/>
      <c r="F81" s="230"/>
      <c r="G81" s="228"/>
      <c r="H81" s="230"/>
      <c r="I81" s="230"/>
      <c r="J81" s="246"/>
      <c r="K81" s="230"/>
      <c r="L81" s="230"/>
      <c r="M81" s="230"/>
      <c r="N81" s="230"/>
      <c r="O81" s="230"/>
      <c r="P81" s="256"/>
      <c r="Q81" s="257"/>
      <c r="R81" s="228"/>
      <c r="S81" s="228"/>
      <c r="T81" s="245"/>
      <c r="U81" s="254"/>
      <c r="V81" s="254"/>
      <c r="W81" s="228"/>
      <c r="X81" s="255"/>
      <c r="Y81" s="248"/>
      <c r="Z81" s="248"/>
      <c r="AA81" s="228"/>
      <c r="AB81" s="228"/>
      <c r="AC81" s="228"/>
      <c r="AD81" s="228"/>
      <c r="AE81" s="248"/>
      <c r="AF81" s="247"/>
      <c r="AG81" s="228"/>
      <c r="AH81" s="228"/>
      <c r="AI81" s="248"/>
      <c r="AJ81" s="248"/>
      <c r="AK81" s="194"/>
      <c r="AL81" s="249"/>
      <c r="AM81" s="250"/>
      <c r="AN81" s="251"/>
      <c r="AO81" s="252"/>
      <c r="AP81" s="241"/>
      <c r="AQ81" s="241"/>
      <c r="AR81" s="241"/>
      <c r="AS81" s="194"/>
      <c r="AT81" s="195"/>
      <c r="AU81" s="195"/>
    </row>
    <row r="82" spans="1:47">
      <c r="A82" s="253"/>
      <c r="B82" s="230"/>
      <c r="C82" s="245"/>
      <c r="D82" s="230"/>
      <c r="E82" s="230"/>
      <c r="F82" s="230"/>
      <c r="G82" s="228"/>
      <c r="H82" s="230"/>
      <c r="I82" s="230"/>
      <c r="J82" s="246"/>
      <c r="K82" s="230"/>
      <c r="L82" s="230"/>
      <c r="M82" s="230"/>
      <c r="N82" s="230"/>
      <c r="O82" s="230"/>
      <c r="P82" s="256"/>
      <c r="Q82" s="257"/>
      <c r="R82" s="228"/>
      <c r="S82" s="228"/>
      <c r="T82" s="245"/>
      <c r="U82" s="254"/>
      <c r="V82" s="254"/>
      <c r="W82" s="228"/>
      <c r="X82" s="255"/>
      <c r="Y82" s="248"/>
      <c r="Z82" s="248"/>
      <c r="AA82" s="228"/>
      <c r="AB82" s="228"/>
      <c r="AC82" s="228"/>
      <c r="AD82" s="228"/>
      <c r="AE82" s="248"/>
      <c r="AF82" s="247"/>
      <c r="AG82" s="228"/>
      <c r="AH82" s="228"/>
      <c r="AI82" s="248"/>
      <c r="AJ82" s="248"/>
      <c r="AK82" s="194"/>
      <c r="AL82" s="249"/>
      <c r="AM82" s="250"/>
      <c r="AN82" s="251"/>
      <c r="AO82" s="252"/>
      <c r="AP82" s="241"/>
      <c r="AQ82" s="241"/>
      <c r="AR82" s="241"/>
      <c r="AS82" s="194"/>
      <c r="AT82" s="195"/>
      <c r="AU82" s="195"/>
    </row>
    <row r="83" spans="1:47">
      <c r="A83" s="253"/>
      <c r="B83" s="230"/>
      <c r="C83" s="245"/>
      <c r="D83" s="230"/>
      <c r="E83" s="230"/>
      <c r="F83" s="230"/>
      <c r="G83" s="228"/>
      <c r="H83" s="230"/>
      <c r="I83" s="230"/>
      <c r="J83" s="246"/>
      <c r="K83" s="230"/>
      <c r="L83" s="230"/>
      <c r="M83" s="230"/>
      <c r="N83" s="230"/>
      <c r="O83" s="230"/>
      <c r="P83" s="256"/>
      <c r="Q83" s="257"/>
      <c r="R83" s="228"/>
      <c r="S83" s="228"/>
      <c r="T83" s="245"/>
      <c r="U83" s="254"/>
      <c r="V83" s="254"/>
      <c r="W83" s="228"/>
      <c r="X83" s="255"/>
      <c r="Y83" s="248"/>
      <c r="Z83" s="248"/>
      <c r="AA83" s="228"/>
      <c r="AB83" s="228"/>
      <c r="AC83" s="228"/>
      <c r="AD83" s="228"/>
      <c r="AE83" s="248"/>
      <c r="AF83" s="247"/>
      <c r="AG83" s="228"/>
      <c r="AH83" s="228"/>
      <c r="AI83" s="248"/>
      <c r="AJ83" s="248"/>
      <c r="AK83" s="194"/>
      <c r="AL83" s="249"/>
      <c r="AM83" s="250"/>
      <c r="AN83" s="251"/>
      <c r="AO83" s="252"/>
      <c r="AP83" s="241"/>
      <c r="AQ83" s="241"/>
      <c r="AR83" s="241"/>
      <c r="AS83" s="194"/>
      <c r="AT83" s="195"/>
      <c r="AU83" s="195"/>
    </row>
    <row r="84" spans="1:47">
      <c r="A84" s="253"/>
      <c r="B84" s="230"/>
      <c r="C84" s="245"/>
      <c r="D84" s="230"/>
      <c r="E84" s="230"/>
      <c r="F84" s="230"/>
      <c r="G84" s="228"/>
      <c r="H84" s="230"/>
      <c r="I84" s="230"/>
      <c r="J84" s="246"/>
      <c r="K84" s="230"/>
      <c r="L84" s="230"/>
      <c r="M84" s="230"/>
      <c r="N84" s="230"/>
      <c r="O84" s="230"/>
      <c r="P84" s="256"/>
      <c r="Q84" s="257"/>
      <c r="R84" s="228"/>
      <c r="S84" s="228"/>
      <c r="T84" s="245"/>
      <c r="U84" s="254"/>
      <c r="V84" s="254"/>
      <c r="W84" s="228"/>
      <c r="X84" s="255"/>
      <c r="Y84" s="248"/>
      <c r="Z84" s="248"/>
      <c r="AA84" s="228"/>
      <c r="AB84" s="228"/>
      <c r="AC84" s="228"/>
      <c r="AD84" s="228"/>
      <c r="AE84" s="248"/>
      <c r="AF84" s="247"/>
      <c r="AG84" s="228"/>
      <c r="AH84" s="228"/>
      <c r="AI84" s="248"/>
      <c r="AJ84" s="248"/>
      <c r="AK84" s="194"/>
      <c r="AL84" s="249"/>
      <c r="AM84" s="250"/>
      <c r="AN84" s="251"/>
      <c r="AO84" s="252"/>
      <c r="AP84" s="241"/>
      <c r="AQ84" s="241"/>
      <c r="AR84" s="241"/>
      <c r="AS84" s="194"/>
      <c r="AT84" s="195"/>
      <c r="AU84" s="195"/>
    </row>
    <row r="85" spans="1:47">
      <c r="A85" s="253"/>
      <c r="B85" s="230"/>
      <c r="C85" s="245"/>
      <c r="D85" s="230"/>
      <c r="E85" s="230"/>
      <c r="F85" s="230"/>
      <c r="G85" s="228"/>
      <c r="H85" s="230"/>
      <c r="I85" s="230"/>
      <c r="J85" s="246"/>
      <c r="K85" s="230"/>
      <c r="L85" s="230"/>
      <c r="M85" s="230"/>
      <c r="N85" s="230"/>
      <c r="O85" s="230"/>
      <c r="P85" s="256"/>
      <c r="Q85" s="257"/>
      <c r="R85" s="228"/>
      <c r="S85" s="228"/>
      <c r="T85" s="245"/>
      <c r="U85" s="254"/>
      <c r="V85" s="254"/>
      <c r="W85" s="228"/>
      <c r="X85" s="255"/>
      <c r="Y85" s="248"/>
      <c r="Z85" s="248"/>
      <c r="AA85" s="228"/>
      <c r="AB85" s="228"/>
      <c r="AC85" s="228"/>
      <c r="AD85" s="228"/>
      <c r="AE85" s="248"/>
      <c r="AF85" s="247"/>
      <c r="AG85" s="228"/>
      <c r="AH85" s="228"/>
      <c r="AI85" s="248"/>
      <c r="AJ85" s="248"/>
      <c r="AK85" s="194"/>
      <c r="AL85" s="249"/>
      <c r="AM85" s="250"/>
      <c r="AN85" s="251"/>
      <c r="AO85" s="252"/>
      <c r="AP85" s="241"/>
      <c r="AQ85" s="241"/>
      <c r="AR85" s="241"/>
      <c r="AS85" s="194"/>
      <c r="AT85" s="195"/>
      <c r="AU85" s="195"/>
    </row>
    <row r="86" spans="1:47">
      <c r="A86" s="253"/>
      <c r="B86" s="230"/>
      <c r="C86" s="245"/>
      <c r="D86" s="230"/>
      <c r="E86" s="230"/>
      <c r="F86" s="230"/>
      <c r="G86" s="228"/>
      <c r="H86" s="230"/>
      <c r="I86" s="230"/>
      <c r="J86" s="246"/>
      <c r="K86" s="230"/>
      <c r="L86" s="230"/>
      <c r="M86" s="230"/>
      <c r="N86" s="230"/>
      <c r="O86" s="230"/>
      <c r="P86" s="256"/>
      <c r="Q86" s="257"/>
      <c r="R86" s="228"/>
      <c r="S86" s="228"/>
      <c r="T86" s="245"/>
      <c r="U86" s="254"/>
      <c r="V86" s="254"/>
      <c r="W86" s="228"/>
      <c r="X86" s="255"/>
      <c r="Y86" s="248"/>
      <c r="Z86" s="248"/>
      <c r="AA86" s="228"/>
      <c r="AB86" s="228"/>
      <c r="AC86" s="228"/>
      <c r="AD86" s="228"/>
      <c r="AE86" s="248"/>
      <c r="AF86" s="247"/>
      <c r="AG86" s="228"/>
      <c r="AH86" s="228"/>
      <c r="AI86" s="248"/>
      <c r="AJ86" s="248"/>
      <c r="AK86" s="194"/>
      <c r="AL86" s="249"/>
      <c r="AM86" s="250"/>
      <c r="AN86" s="251"/>
      <c r="AO86" s="252"/>
      <c r="AP86" s="241"/>
      <c r="AQ86" s="241"/>
      <c r="AR86" s="241"/>
      <c r="AS86" s="194"/>
      <c r="AT86" s="195"/>
      <c r="AU86" s="195"/>
    </row>
    <row r="87" spans="1:47">
      <c r="A87" s="253"/>
      <c r="B87" s="230"/>
      <c r="C87" s="245"/>
      <c r="D87" s="230"/>
      <c r="E87" s="230"/>
      <c r="F87" s="230"/>
      <c r="G87" s="228"/>
      <c r="H87" s="230"/>
      <c r="I87" s="230"/>
      <c r="J87" s="246"/>
      <c r="K87" s="230"/>
      <c r="L87" s="230"/>
      <c r="M87" s="230"/>
      <c r="N87" s="230"/>
      <c r="O87" s="230"/>
      <c r="P87" s="256"/>
      <c r="Q87" s="257"/>
      <c r="R87" s="228"/>
      <c r="S87" s="228"/>
      <c r="T87" s="245"/>
      <c r="U87" s="254"/>
      <c r="V87" s="254"/>
      <c r="W87" s="228"/>
      <c r="X87" s="255"/>
      <c r="Y87" s="248"/>
      <c r="Z87" s="248"/>
      <c r="AA87" s="228"/>
      <c r="AB87" s="228"/>
      <c r="AC87" s="228"/>
      <c r="AD87" s="228"/>
      <c r="AE87" s="248"/>
      <c r="AF87" s="247"/>
      <c r="AG87" s="228"/>
      <c r="AH87" s="228"/>
      <c r="AI87" s="248"/>
      <c r="AJ87" s="248"/>
      <c r="AK87" s="194"/>
      <c r="AL87" s="249"/>
      <c r="AM87" s="250"/>
      <c r="AN87" s="251"/>
      <c r="AO87" s="252"/>
      <c r="AP87" s="241"/>
      <c r="AQ87" s="241"/>
      <c r="AR87" s="241"/>
      <c r="AS87" s="194"/>
      <c r="AT87" s="195"/>
      <c r="AU87" s="195"/>
    </row>
    <row r="88" spans="1:47">
      <c r="A88" s="253"/>
      <c r="B88" s="230"/>
      <c r="C88" s="245"/>
      <c r="D88" s="230"/>
      <c r="E88" s="230"/>
      <c r="F88" s="230"/>
      <c r="G88" s="228"/>
      <c r="H88" s="230"/>
      <c r="I88" s="230"/>
      <c r="J88" s="246"/>
      <c r="K88" s="230"/>
      <c r="L88" s="230"/>
      <c r="M88" s="230"/>
      <c r="N88" s="230"/>
      <c r="O88" s="230"/>
      <c r="P88" s="256"/>
      <c r="Q88" s="257"/>
      <c r="R88" s="228"/>
      <c r="S88" s="228"/>
      <c r="T88" s="245"/>
      <c r="U88" s="254"/>
      <c r="V88" s="254"/>
      <c r="W88" s="228"/>
      <c r="X88" s="255"/>
      <c r="Y88" s="248"/>
      <c r="Z88" s="248"/>
      <c r="AA88" s="228"/>
      <c r="AB88" s="228"/>
      <c r="AC88" s="228"/>
      <c r="AD88" s="228"/>
      <c r="AE88" s="248"/>
      <c r="AF88" s="247"/>
      <c r="AG88" s="228"/>
      <c r="AH88" s="228"/>
      <c r="AI88" s="248"/>
      <c r="AJ88" s="248"/>
      <c r="AK88" s="194"/>
      <c r="AL88" s="249"/>
      <c r="AM88" s="250"/>
      <c r="AN88" s="251"/>
      <c r="AO88" s="252"/>
      <c r="AP88" s="241"/>
      <c r="AQ88" s="241"/>
      <c r="AR88" s="241"/>
      <c r="AS88" s="194"/>
      <c r="AT88" s="195"/>
      <c r="AU88" s="195"/>
    </row>
    <row r="89" spans="1:47">
      <c r="A89" s="253"/>
      <c r="B89" s="230"/>
      <c r="C89" s="245"/>
      <c r="D89" s="230"/>
      <c r="E89" s="230"/>
      <c r="F89" s="230"/>
      <c r="G89" s="228"/>
      <c r="H89" s="230"/>
      <c r="I89" s="230"/>
      <c r="J89" s="246"/>
      <c r="K89" s="230"/>
      <c r="L89" s="230"/>
      <c r="M89" s="230"/>
      <c r="N89" s="230"/>
      <c r="O89" s="230"/>
      <c r="P89" s="256"/>
      <c r="Q89" s="257"/>
      <c r="R89" s="228"/>
      <c r="S89" s="228"/>
      <c r="T89" s="245"/>
      <c r="U89" s="254"/>
      <c r="V89" s="254"/>
      <c r="W89" s="228"/>
      <c r="X89" s="255"/>
      <c r="Y89" s="248"/>
      <c r="Z89" s="248"/>
      <c r="AA89" s="228"/>
      <c r="AB89" s="228"/>
      <c r="AC89" s="228"/>
      <c r="AD89" s="228"/>
      <c r="AE89" s="248"/>
      <c r="AF89" s="247"/>
      <c r="AG89" s="228"/>
      <c r="AH89" s="228"/>
      <c r="AI89" s="248"/>
      <c r="AJ89" s="248"/>
      <c r="AK89" s="194"/>
      <c r="AL89" s="249"/>
      <c r="AM89" s="250"/>
      <c r="AN89" s="251"/>
      <c r="AO89" s="252"/>
      <c r="AP89" s="241"/>
      <c r="AQ89" s="241"/>
      <c r="AR89" s="241"/>
      <c r="AS89" s="194"/>
      <c r="AT89" s="195"/>
      <c r="AU89" s="195"/>
    </row>
    <row r="90" spans="1:47">
      <c r="A90" s="253"/>
      <c r="B90" s="230"/>
      <c r="C90" s="245"/>
      <c r="D90" s="230"/>
      <c r="E90" s="230"/>
      <c r="F90" s="230"/>
      <c r="G90" s="228"/>
      <c r="H90" s="230"/>
      <c r="I90" s="230"/>
      <c r="J90" s="246"/>
      <c r="K90" s="230"/>
      <c r="L90" s="230"/>
      <c r="M90" s="230"/>
      <c r="N90" s="230"/>
      <c r="O90" s="230"/>
      <c r="P90" s="256"/>
      <c r="Q90" s="257"/>
      <c r="R90" s="228"/>
      <c r="S90" s="228"/>
      <c r="T90" s="245"/>
      <c r="U90" s="254"/>
      <c r="V90" s="254"/>
      <c r="W90" s="228"/>
      <c r="X90" s="255"/>
      <c r="Y90" s="248"/>
      <c r="Z90" s="248"/>
      <c r="AA90" s="228"/>
      <c r="AB90" s="228"/>
      <c r="AC90" s="228"/>
      <c r="AD90" s="228"/>
      <c r="AE90" s="248"/>
      <c r="AF90" s="247"/>
      <c r="AG90" s="228"/>
      <c r="AH90" s="228"/>
      <c r="AI90" s="248"/>
      <c r="AJ90" s="248"/>
      <c r="AK90" s="194"/>
      <c r="AL90" s="249"/>
      <c r="AM90" s="250"/>
      <c r="AN90" s="251"/>
      <c r="AO90" s="252"/>
      <c r="AP90" s="241"/>
      <c r="AQ90" s="241"/>
      <c r="AR90" s="241"/>
      <c r="AS90" s="194"/>
      <c r="AT90" s="195"/>
      <c r="AU90" s="195"/>
    </row>
    <row r="91" spans="1:47">
      <c r="A91" s="253"/>
      <c r="B91" s="230"/>
      <c r="C91" s="245"/>
      <c r="D91" s="230"/>
      <c r="E91" s="230"/>
      <c r="F91" s="230"/>
      <c r="G91" s="228"/>
      <c r="H91" s="230"/>
      <c r="I91" s="230"/>
      <c r="J91" s="246"/>
      <c r="K91" s="230"/>
      <c r="L91" s="230"/>
      <c r="M91" s="230"/>
      <c r="N91" s="230"/>
      <c r="O91" s="230"/>
      <c r="P91" s="256"/>
      <c r="Q91" s="257"/>
      <c r="R91" s="228"/>
      <c r="S91" s="228"/>
      <c r="T91" s="245"/>
      <c r="U91" s="254"/>
      <c r="V91" s="254"/>
      <c r="W91" s="228"/>
      <c r="X91" s="255"/>
      <c r="Y91" s="248"/>
      <c r="Z91" s="248"/>
      <c r="AA91" s="228"/>
      <c r="AB91" s="228"/>
      <c r="AC91" s="228"/>
      <c r="AD91" s="228"/>
      <c r="AE91" s="248"/>
      <c r="AF91" s="247"/>
      <c r="AG91" s="228"/>
      <c r="AH91" s="228"/>
      <c r="AI91" s="248"/>
      <c r="AJ91" s="248"/>
      <c r="AK91" s="194"/>
      <c r="AL91" s="249"/>
      <c r="AM91" s="250"/>
      <c r="AN91" s="251"/>
      <c r="AO91" s="252"/>
      <c r="AP91" s="241"/>
      <c r="AQ91" s="241"/>
      <c r="AR91" s="241"/>
      <c r="AS91" s="194"/>
      <c r="AT91" s="195"/>
      <c r="AU91" s="195"/>
    </row>
    <row r="92" spans="1:47">
      <c r="A92" s="253"/>
      <c r="B92" s="230"/>
      <c r="C92" s="245"/>
      <c r="D92" s="230"/>
      <c r="E92" s="230"/>
      <c r="F92" s="230"/>
      <c r="G92" s="228"/>
      <c r="H92" s="230"/>
      <c r="I92" s="230"/>
      <c r="J92" s="246"/>
      <c r="K92" s="230"/>
      <c r="L92" s="230"/>
      <c r="M92" s="230"/>
      <c r="N92" s="230"/>
      <c r="O92" s="230"/>
      <c r="P92" s="256"/>
      <c r="Q92" s="257"/>
      <c r="R92" s="228"/>
      <c r="S92" s="228"/>
      <c r="T92" s="245"/>
      <c r="U92" s="254"/>
      <c r="V92" s="254"/>
      <c r="W92" s="228"/>
      <c r="X92" s="255"/>
      <c r="Y92" s="248"/>
      <c r="Z92" s="248"/>
      <c r="AA92" s="228"/>
      <c r="AB92" s="228"/>
      <c r="AC92" s="228"/>
      <c r="AD92" s="228"/>
      <c r="AE92" s="248"/>
      <c r="AF92" s="247"/>
      <c r="AG92" s="228"/>
      <c r="AH92" s="228"/>
      <c r="AI92" s="248"/>
      <c r="AJ92" s="248"/>
      <c r="AK92" s="194"/>
      <c r="AL92" s="249"/>
      <c r="AM92" s="250"/>
      <c r="AN92" s="251"/>
      <c r="AO92" s="252"/>
      <c r="AP92" s="241"/>
      <c r="AQ92" s="241"/>
      <c r="AR92" s="241"/>
      <c r="AS92" s="194"/>
      <c r="AT92" s="195"/>
      <c r="AU92" s="195"/>
    </row>
    <row r="93" spans="1:47">
      <c r="A93" s="253"/>
      <c r="B93" s="230"/>
      <c r="C93" s="245"/>
      <c r="D93" s="230"/>
      <c r="E93" s="230"/>
      <c r="F93" s="230"/>
      <c r="G93" s="228"/>
      <c r="H93" s="230"/>
      <c r="I93" s="230"/>
      <c r="J93" s="246"/>
      <c r="K93" s="230"/>
      <c r="L93" s="230"/>
      <c r="M93" s="230"/>
      <c r="N93" s="230"/>
      <c r="O93" s="230"/>
      <c r="P93" s="256"/>
      <c r="Q93" s="257"/>
      <c r="R93" s="228"/>
      <c r="S93" s="228"/>
      <c r="T93" s="245"/>
      <c r="U93" s="254"/>
      <c r="V93" s="254"/>
      <c r="W93" s="228"/>
      <c r="X93" s="255"/>
      <c r="Y93" s="248"/>
      <c r="Z93" s="248"/>
      <c r="AA93" s="228"/>
      <c r="AB93" s="228"/>
      <c r="AC93" s="228"/>
      <c r="AD93" s="228"/>
      <c r="AE93" s="248"/>
      <c r="AF93" s="247"/>
      <c r="AG93" s="228"/>
      <c r="AH93" s="228"/>
      <c r="AI93" s="248"/>
      <c r="AJ93" s="248"/>
      <c r="AK93" s="194"/>
      <c r="AL93" s="249"/>
      <c r="AM93" s="250"/>
      <c r="AN93" s="251"/>
      <c r="AO93" s="252"/>
      <c r="AP93" s="241"/>
      <c r="AQ93" s="241"/>
      <c r="AR93" s="241"/>
      <c r="AS93" s="194"/>
      <c r="AT93" s="195"/>
      <c r="AU93" s="195"/>
    </row>
    <row r="94" spans="1:47">
      <c r="A94" s="253"/>
      <c r="B94" s="230"/>
      <c r="C94" s="245"/>
      <c r="D94" s="230"/>
      <c r="E94" s="230"/>
      <c r="F94" s="230"/>
      <c r="G94" s="228"/>
      <c r="H94" s="230"/>
      <c r="I94" s="230"/>
      <c r="J94" s="246"/>
      <c r="K94" s="230"/>
      <c r="L94" s="230"/>
      <c r="M94" s="230"/>
      <c r="N94" s="230"/>
      <c r="O94" s="230"/>
      <c r="P94" s="256"/>
      <c r="Q94" s="257"/>
      <c r="R94" s="228"/>
      <c r="S94" s="228"/>
      <c r="T94" s="245"/>
      <c r="U94" s="254"/>
      <c r="V94" s="254"/>
      <c r="W94" s="228"/>
      <c r="X94" s="255"/>
      <c r="Y94" s="248"/>
      <c r="Z94" s="248"/>
      <c r="AA94" s="228"/>
      <c r="AB94" s="228"/>
      <c r="AC94" s="228"/>
      <c r="AD94" s="228"/>
      <c r="AE94" s="248"/>
      <c r="AF94" s="247"/>
      <c r="AG94" s="228"/>
      <c r="AH94" s="228"/>
      <c r="AI94" s="248"/>
      <c r="AJ94" s="248"/>
      <c r="AK94" s="194"/>
      <c r="AL94" s="249"/>
      <c r="AM94" s="250"/>
      <c r="AN94" s="251"/>
      <c r="AO94" s="252"/>
      <c r="AP94" s="241"/>
      <c r="AQ94" s="241"/>
      <c r="AR94" s="241"/>
      <c r="AS94" s="194"/>
      <c r="AT94" s="195"/>
      <c r="AU94" s="195"/>
    </row>
    <row r="95" spans="1:47">
      <c r="A95" s="253"/>
      <c r="B95" s="230"/>
      <c r="C95" s="245"/>
      <c r="D95" s="230"/>
      <c r="E95" s="230"/>
      <c r="F95" s="230"/>
      <c r="G95" s="228"/>
      <c r="H95" s="230"/>
      <c r="I95" s="230"/>
      <c r="J95" s="246"/>
      <c r="K95" s="230"/>
      <c r="L95" s="230"/>
      <c r="M95" s="230"/>
      <c r="N95" s="230"/>
      <c r="O95" s="230"/>
      <c r="P95" s="256"/>
      <c r="Q95" s="257"/>
      <c r="R95" s="228"/>
      <c r="S95" s="228"/>
      <c r="T95" s="245"/>
      <c r="U95" s="254"/>
      <c r="V95" s="254"/>
      <c r="W95" s="228"/>
      <c r="X95" s="255"/>
      <c r="Y95" s="248"/>
      <c r="Z95" s="248"/>
      <c r="AA95" s="228"/>
      <c r="AB95" s="228"/>
      <c r="AC95" s="228"/>
      <c r="AD95" s="228"/>
      <c r="AE95" s="248"/>
      <c r="AF95" s="247"/>
      <c r="AG95" s="228"/>
      <c r="AH95" s="228"/>
      <c r="AI95" s="248"/>
      <c r="AJ95" s="248"/>
      <c r="AK95" s="194"/>
      <c r="AL95" s="249"/>
      <c r="AM95" s="250"/>
      <c r="AN95" s="251"/>
      <c r="AO95" s="252"/>
      <c r="AP95" s="241"/>
      <c r="AQ95" s="241"/>
      <c r="AR95" s="241"/>
      <c r="AS95" s="194"/>
      <c r="AT95" s="195"/>
      <c r="AU95" s="195"/>
    </row>
    <row r="96" spans="1:47">
      <c r="A96" s="253"/>
      <c r="B96" s="230"/>
      <c r="C96" s="245"/>
      <c r="D96" s="230"/>
      <c r="E96" s="230"/>
      <c r="F96" s="230"/>
      <c r="G96" s="228"/>
      <c r="H96" s="230"/>
      <c r="I96" s="230"/>
      <c r="J96" s="246"/>
      <c r="K96" s="230"/>
      <c r="L96" s="230"/>
      <c r="M96" s="230"/>
      <c r="N96" s="230"/>
      <c r="O96" s="230"/>
      <c r="P96" s="256"/>
      <c r="Q96" s="257"/>
      <c r="R96" s="228"/>
      <c r="S96" s="228"/>
      <c r="T96" s="245"/>
      <c r="U96" s="254"/>
      <c r="V96" s="254"/>
      <c r="W96" s="228"/>
      <c r="X96" s="255"/>
      <c r="Y96" s="248"/>
      <c r="Z96" s="248"/>
      <c r="AA96" s="228"/>
      <c r="AB96" s="228"/>
      <c r="AC96" s="228"/>
      <c r="AD96" s="228"/>
      <c r="AE96" s="248"/>
      <c r="AF96" s="247"/>
      <c r="AG96" s="228"/>
      <c r="AH96" s="228"/>
      <c r="AI96" s="248"/>
      <c r="AJ96" s="248"/>
      <c r="AK96" s="194"/>
      <c r="AL96" s="249"/>
      <c r="AM96" s="250"/>
      <c r="AN96" s="251"/>
      <c r="AO96" s="252"/>
      <c r="AP96" s="241"/>
      <c r="AQ96" s="241"/>
      <c r="AR96" s="241"/>
      <c r="AS96" s="194"/>
      <c r="AT96" s="195"/>
      <c r="AU96" s="195"/>
    </row>
    <row r="97" spans="1:47">
      <c r="A97" s="253"/>
      <c r="B97" s="230"/>
      <c r="C97" s="245"/>
      <c r="D97" s="230"/>
      <c r="E97" s="230"/>
      <c r="F97" s="230"/>
      <c r="G97" s="228"/>
      <c r="H97" s="230"/>
      <c r="I97" s="230"/>
      <c r="J97" s="246"/>
      <c r="K97" s="230"/>
      <c r="L97" s="230"/>
      <c r="M97" s="230"/>
      <c r="N97" s="230"/>
      <c r="O97" s="230"/>
      <c r="P97" s="256"/>
      <c r="Q97" s="257"/>
      <c r="R97" s="228"/>
      <c r="S97" s="228"/>
      <c r="T97" s="245"/>
      <c r="U97" s="254"/>
      <c r="V97" s="254"/>
      <c r="W97" s="228"/>
      <c r="X97" s="255"/>
      <c r="Y97" s="248"/>
      <c r="Z97" s="248"/>
      <c r="AA97" s="228"/>
      <c r="AB97" s="228"/>
      <c r="AC97" s="228"/>
      <c r="AD97" s="228"/>
      <c r="AE97" s="248"/>
      <c r="AF97" s="247"/>
      <c r="AG97" s="228"/>
      <c r="AH97" s="228"/>
      <c r="AI97" s="248"/>
      <c r="AJ97" s="248"/>
      <c r="AK97" s="194"/>
      <c r="AL97" s="249"/>
      <c r="AM97" s="250"/>
      <c r="AN97" s="251"/>
      <c r="AO97" s="252"/>
      <c r="AP97" s="241"/>
      <c r="AQ97" s="241"/>
      <c r="AR97" s="241"/>
      <c r="AS97" s="194"/>
      <c r="AT97" s="195"/>
      <c r="AU97" s="195"/>
    </row>
    <row r="98" spans="1:47">
      <c r="A98" s="253"/>
      <c r="B98" s="230"/>
      <c r="C98" s="245"/>
      <c r="D98" s="230"/>
      <c r="E98" s="230"/>
      <c r="F98" s="230"/>
      <c r="G98" s="228"/>
      <c r="H98" s="230"/>
      <c r="I98" s="230"/>
      <c r="J98" s="246"/>
      <c r="K98" s="230"/>
      <c r="L98" s="230"/>
      <c r="M98" s="230"/>
      <c r="N98" s="230"/>
      <c r="O98" s="230"/>
      <c r="P98" s="256"/>
      <c r="Q98" s="257"/>
      <c r="R98" s="228"/>
      <c r="S98" s="228"/>
      <c r="T98" s="245"/>
      <c r="U98" s="254"/>
      <c r="V98" s="254"/>
      <c r="W98" s="228"/>
      <c r="X98" s="255"/>
      <c r="Y98" s="248"/>
      <c r="Z98" s="248"/>
      <c r="AA98" s="228"/>
      <c r="AB98" s="228"/>
      <c r="AC98" s="228"/>
      <c r="AD98" s="228"/>
      <c r="AE98" s="248"/>
      <c r="AF98" s="247"/>
      <c r="AG98" s="228"/>
      <c r="AH98" s="228"/>
      <c r="AI98" s="248"/>
      <c r="AJ98" s="248"/>
      <c r="AK98" s="194"/>
      <c r="AL98" s="249"/>
      <c r="AM98" s="250"/>
      <c r="AN98" s="251"/>
      <c r="AO98" s="252"/>
      <c r="AP98" s="241"/>
      <c r="AQ98" s="241"/>
      <c r="AR98" s="241"/>
      <c r="AS98" s="194"/>
      <c r="AT98" s="195"/>
      <c r="AU98" s="195"/>
    </row>
    <row r="99" spans="1:47">
      <c r="A99" s="253"/>
      <c r="B99" s="230"/>
      <c r="C99" s="245"/>
      <c r="D99" s="230"/>
      <c r="E99" s="230"/>
      <c r="F99" s="230"/>
      <c r="G99" s="228"/>
      <c r="H99" s="230"/>
      <c r="I99" s="230"/>
      <c r="J99" s="246"/>
      <c r="K99" s="230"/>
      <c r="L99" s="230"/>
      <c r="M99" s="230"/>
      <c r="N99" s="230"/>
      <c r="O99" s="230"/>
      <c r="P99" s="256"/>
      <c r="Q99" s="257"/>
      <c r="R99" s="228"/>
      <c r="S99" s="228"/>
      <c r="T99" s="245"/>
      <c r="U99" s="254"/>
      <c r="V99" s="254"/>
      <c r="W99" s="228"/>
      <c r="X99" s="255"/>
      <c r="Y99" s="248"/>
      <c r="Z99" s="248"/>
      <c r="AA99" s="228"/>
      <c r="AB99" s="228"/>
      <c r="AC99" s="228"/>
      <c r="AD99" s="228"/>
      <c r="AE99" s="248"/>
      <c r="AF99" s="247"/>
      <c r="AG99" s="228"/>
      <c r="AH99" s="228"/>
      <c r="AI99" s="248"/>
      <c r="AJ99" s="248"/>
      <c r="AK99" s="194"/>
      <c r="AL99" s="249"/>
      <c r="AM99" s="250"/>
      <c r="AN99" s="251"/>
      <c r="AO99" s="252"/>
      <c r="AP99" s="241"/>
      <c r="AQ99" s="241"/>
      <c r="AR99" s="241"/>
      <c r="AS99" s="194"/>
      <c r="AT99" s="195"/>
      <c r="AU99" s="195"/>
    </row>
    <row r="100" spans="1:47">
      <c r="A100" s="253"/>
      <c r="B100" s="230"/>
      <c r="C100" s="245"/>
      <c r="D100" s="230"/>
      <c r="E100" s="230"/>
      <c r="F100" s="230"/>
      <c r="G100" s="228"/>
      <c r="H100" s="230"/>
      <c r="I100" s="230"/>
      <c r="J100" s="246"/>
      <c r="K100" s="230"/>
      <c r="L100" s="230"/>
      <c r="M100" s="230"/>
      <c r="N100" s="230"/>
      <c r="O100" s="230"/>
      <c r="P100" s="256"/>
      <c r="Q100" s="257"/>
      <c r="R100" s="228"/>
      <c r="S100" s="228"/>
      <c r="T100" s="245"/>
      <c r="U100" s="254"/>
      <c r="V100" s="254"/>
      <c r="W100" s="228"/>
      <c r="X100" s="255"/>
      <c r="Y100" s="248"/>
      <c r="Z100" s="248"/>
      <c r="AA100" s="228"/>
      <c r="AB100" s="228"/>
      <c r="AC100" s="228"/>
      <c r="AD100" s="228"/>
      <c r="AE100" s="248"/>
      <c r="AF100" s="247"/>
      <c r="AG100" s="228"/>
      <c r="AH100" s="228"/>
      <c r="AI100" s="248"/>
      <c r="AJ100" s="248"/>
      <c r="AK100" s="194"/>
      <c r="AL100" s="249"/>
      <c r="AM100" s="250"/>
      <c r="AN100" s="251"/>
      <c r="AO100" s="252"/>
      <c r="AP100" s="241"/>
      <c r="AQ100" s="241"/>
      <c r="AR100" s="241"/>
      <c r="AS100" s="194"/>
      <c r="AT100" s="195"/>
      <c r="AU100" s="195"/>
    </row>
    <row r="101" spans="1:47">
      <c r="A101" s="253"/>
      <c r="B101" s="230"/>
      <c r="C101" s="245"/>
      <c r="D101" s="230"/>
      <c r="E101" s="230"/>
      <c r="F101" s="230"/>
      <c r="G101" s="228"/>
      <c r="H101" s="230"/>
      <c r="I101" s="230"/>
      <c r="J101" s="246"/>
      <c r="K101" s="230"/>
      <c r="L101" s="230"/>
      <c r="M101" s="230"/>
      <c r="N101" s="230"/>
      <c r="O101" s="230"/>
      <c r="P101" s="256"/>
      <c r="Q101" s="257"/>
      <c r="R101" s="228"/>
      <c r="S101" s="228"/>
      <c r="T101" s="245"/>
      <c r="U101" s="254"/>
      <c r="V101" s="254"/>
      <c r="W101" s="228"/>
      <c r="X101" s="255"/>
      <c r="Y101" s="248"/>
      <c r="Z101" s="248"/>
      <c r="AA101" s="228"/>
      <c r="AB101" s="228"/>
      <c r="AC101" s="228"/>
      <c r="AD101" s="228"/>
      <c r="AE101" s="248"/>
      <c r="AF101" s="247"/>
      <c r="AG101" s="228"/>
      <c r="AH101" s="228"/>
      <c r="AI101" s="248"/>
      <c r="AJ101" s="248"/>
      <c r="AK101" s="194"/>
      <c r="AL101" s="249"/>
      <c r="AM101" s="250"/>
      <c r="AN101" s="251"/>
      <c r="AO101" s="252"/>
      <c r="AP101" s="241"/>
      <c r="AQ101" s="241"/>
      <c r="AR101" s="241"/>
      <c r="AS101" s="194"/>
      <c r="AT101" s="195"/>
      <c r="AU101" s="195"/>
    </row>
    <row r="102" spans="1:47">
      <c r="A102" s="253"/>
      <c r="B102" s="230"/>
      <c r="C102" s="245"/>
      <c r="D102" s="230"/>
      <c r="E102" s="230"/>
      <c r="F102" s="230"/>
      <c r="G102" s="228"/>
      <c r="H102" s="230"/>
      <c r="I102" s="230"/>
      <c r="J102" s="246"/>
      <c r="K102" s="230"/>
      <c r="L102" s="230"/>
      <c r="M102" s="230"/>
      <c r="N102" s="230"/>
      <c r="O102" s="230"/>
      <c r="P102" s="256"/>
      <c r="Q102" s="257"/>
      <c r="R102" s="228"/>
      <c r="S102" s="228"/>
      <c r="T102" s="245"/>
      <c r="U102" s="254"/>
      <c r="V102" s="254"/>
      <c r="W102" s="228"/>
      <c r="X102" s="255"/>
      <c r="Y102" s="248"/>
      <c r="Z102" s="248"/>
      <c r="AA102" s="228"/>
      <c r="AB102" s="228"/>
      <c r="AC102" s="228"/>
      <c r="AD102" s="228"/>
      <c r="AE102" s="248"/>
      <c r="AF102" s="247"/>
      <c r="AG102" s="228"/>
      <c r="AH102" s="228"/>
      <c r="AI102" s="248"/>
      <c r="AJ102" s="248"/>
      <c r="AK102" s="194"/>
      <c r="AL102" s="249"/>
      <c r="AM102" s="250"/>
      <c r="AN102" s="251"/>
      <c r="AO102" s="252"/>
      <c r="AP102" s="241"/>
      <c r="AQ102" s="241"/>
      <c r="AR102" s="241"/>
      <c r="AS102" s="194"/>
      <c r="AT102" s="195"/>
      <c r="AU102" s="195"/>
    </row>
    <row r="103" spans="1:47">
      <c r="A103" s="253"/>
      <c r="B103" s="230"/>
      <c r="C103" s="245"/>
      <c r="D103" s="230"/>
      <c r="E103" s="230"/>
      <c r="F103" s="230"/>
      <c r="G103" s="228"/>
      <c r="H103" s="230"/>
      <c r="I103" s="230"/>
      <c r="J103" s="246"/>
      <c r="K103" s="230"/>
      <c r="L103" s="230"/>
      <c r="M103" s="230"/>
      <c r="N103" s="230"/>
      <c r="O103" s="230"/>
      <c r="P103" s="256"/>
      <c r="Q103" s="257"/>
      <c r="R103" s="228"/>
      <c r="S103" s="228"/>
      <c r="T103" s="245"/>
      <c r="U103" s="254"/>
      <c r="V103" s="254"/>
      <c r="W103" s="228"/>
      <c r="X103" s="255"/>
      <c r="Y103" s="248"/>
      <c r="Z103" s="248"/>
      <c r="AA103" s="228"/>
      <c r="AB103" s="228"/>
      <c r="AC103" s="228"/>
      <c r="AD103" s="228"/>
      <c r="AE103" s="248"/>
      <c r="AF103" s="247"/>
      <c r="AG103" s="228"/>
      <c r="AH103" s="228"/>
      <c r="AI103" s="248"/>
      <c r="AJ103" s="248"/>
      <c r="AK103" s="194"/>
      <c r="AL103" s="249"/>
      <c r="AM103" s="250"/>
      <c r="AN103" s="251"/>
      <c r="AO103" s="252"/>
      <c r="AP103" s="241"/>
      <c r="AQ103" s="241"/>
      <c r="AR103" s="241"/>
      <c r="AS103" s="194"/>
      <c r="AT103" s="195"/>
      <c r="AU103" s="195"/>
    </row>
    <row r="104" spans="1:47">
      <c r="A104" s="253"/>
      <c r="B104" s="230"/>
      <c r="C104" s="245"/>
      <c r="D104" s="230"/>
      <c r="E104" s="230"/>
      <c r="F104" s="230"/>
      <c r="G104" s="228"/>
      <c r="H104" s="230"/>
      <c r="I104" s="230"/>
      <c r="J104" s="246"/>
      <c r="K104" s="230"/>
      <c r="L104" s="230"/>
      <c r="M104" s="230"/>
      <c r="N104" s="230"/>
      <c r="O104" s="230"/>
      <c r="P104" s="256"/>
      <c r="Q104" s="257"/>
      <c r="R104" s="228"/>
      <c r="S104" s="228"/>
      <c r="T104" s="245"/>
      <c r="U104" s="254"/>
      <c r="V104" s="254"/>
      <c r="W104" s="228"/>
      <c r="X104" s="255"/>
      <c r="Y104" s="248"/>
      <c r="Z104" s="248"/>
      <c r="AA104" s="228"/>
      <c r="AB104" s="228"/>
      <c r="AC104" s="228"/>
      <c r="AD104" s="228"/>
      <c r="AE104" s="248"/>
      <c r="AF104" s="247"/>
      <c r="AG104" s="228"/>
      <c r="AH104" s="228"/>
      <c r="AI104" s="248"/>
      <c r="AJ104" s="248"/>
      <c r="AK104" s="194"/>
      <c r="AL104" s="249"/>
      <c r="AM104" s="250"/>
      <c r="AN104" s="251"/>
      <c r="AO104" s="252"/>
      <c r="AP104" s="241"/>
      <c r="AQ104" s="241"/>
      <c r="AR104" s="241"/>
      <c r="AS104" s="194"/>
      <c r="AT104" s="195"/>
      <c r="AU104" s="195"/>
    </row>
    <row r="105" spans="1:47">
      <c r="A105" s="253"/>
      <c r="B105" s="230"/>
      <c r="C105" s="245"/>
      <c r="D105" s="230"/>
      <c r="E105" s="230"/>
      <c r="F105" s="230"/>
      <c r="G105" s="228"/>
      <c r="H105" s="230"/>
      <c r="I105" s="230"/>
      <c r="J105" s="246"/>
      <c r="K105" s="230"/>
      <c r="L105" s="230"/>
      <c r="M105" s="230"/>
      <c r="N105" s="230"/>
      <c r="O105" s="230"/>
      <c r="P105" s="256"/>
      <c r="Q105" s="257"/>
      <c r="R105" s="228"/>
      <c r="S105" s="228"/>
      <c r="T105" s="245"/>
      <c r="U105" s="254"/>
      <c r="V105" s="254"/>
      <c r="W105" s="228"/>
      <c r="X105" s="255"/>
      <c r="Y105" s="248"/>
      <c r="Z105" s="248"/>
      <c r="AA105" s="228"/>
      <c r="AB105" s="228"/>
      <c r="AC105" s="228"/>
      <c r="AD105" s="228"/>
      <c r="AE105" s="248"/>
      <c r="AF105" s="247"/>
      <c r="AG105" s="228"/>
      <c r="AH105" s="228"/>
      <c r="AI105" s="248"/>
      <c r="AJ105" s="248"/>
      <c r="AK105" s="194"/>
      <c r="AL105" s="249"/>
      <c r="AM105" s="250"/>
      <c r="AN105" s="251"/>
      <c r="AO105" s="252"/>
      <c r="AP105" s="241"/>
      <c r="AQ105" s="241"/>
      <c r="AR105" s="241"/>
      <c r="AS105" s="194"/>
      <c r="AT105" s="195"/>
      <c r="AU105" s="195"/>
    </row>
    <row r="106" spans="1:47">
      <c r="A106" s="253"/>
      <c r="B106" s="230"/>
      <c r="C106" s="245"/>
      <c r="D106" s="230"/>
      <c r="E106" s="230"/>
      <c r="F106" s="230"/>
      <c r="G106" s="228"/>
      <c r="H106" s="230"/>
      <c r="I106" s="230"/>
      <c r="J106" s="246"/>
      <c r="K106" s="230"/>
      <c r="L106" s="230"/>
      <c r="M106" s="230"/>
      <c r="N106" s="230"/>
      <c r="O106" s="230"/>
      <c r="P106" s="256"/>
      <c r="Q106" s="257"/>
      <c r="R106" s="228"/>
      <c r="S106" s="228"/>
      <c r="T106" s="245"/>
      <c r="U106" s="254"/>
      <c r="V106" s="254"/>
      <c r="W106" s="228"/>
      <c r="X106" s="255"/>
      <c r="Y106" s="248"/>
      <c r="Z106" s="248"/>
      <c r="AA106" s="228"/>
      <c r="AB106" s="228"/>
      <c r="AC106" s="228"/>
      <c r="AD106" s="228"/>
      <c r="AE106" s="248"/>
      <c r="AF106" s="247"/>
      <c r="AG106" s="228"/>
      <c r="AH106" s="228"/>
      <c r="AI106" s="248"/>
      <c r="AJ106" s="248"/>
      <c r="AK106" s="194"/>
      <c r="AL106" s="249"/>
      <c r="AM106" s="250"/>
      <c r="AN106" s="251"/>
      <c r="AO106" s="252"/>
      <c r="AP106" s="241"/>
      <c r="AQ106" s="241"/>
      <c r="AR106" s="241"/>
      <c r="AS106" s="194"/>
      <c r="AT106" s="195"/>
      <c r="AU106" s="195"/>
    </row>
    <row r="107" spans="1:47">
      <c r="A107" s="253"/>
      <c r="B107" s="230"/>
      <c r="C107" s="245"/>
      <c r="D107" s="230"/>
      <c r="E107" s="230"/>
      <c r="F107" s="230"/>
      <c r="G107" s="228"/>
      <c r="H107" s="230"/>
      <c r="I107" s="230"/>
      <c r="J107" s="246"/>
      <c r="K107" s="230"/>
      <c r="L107" s="230"/>
      <c r="M107" s="230"/>
      <c r="N107" s="230"/>
      <c r="O107" s="230"/>
      <c r="P107" s="256"/>
      <c r="Q107" s="257"/>
      <c r="R107" s="228"/>
      <c r="S107" s="228"/>
      <c r="T107" s="245"/>
      <c r="U107" s="254"/>
      <c r="V107" s="254"/>
      <c r="W107" s="228"/>
      <c r="X107" s="255"/>
      <c r="Y107" s="248"/>
      <c r="Z107" s="248"/>
      <c r="AA107" s="228"/>
      <c r="AB107" s="228"/>
      <c r="AC107" s="228"/>
      <c r="AD107" s="228"/>
      <c r="AE107" s="248"/>
      <c r="AF107" s="247"/>
      <c r="AG107" s="228"/>
      <c r="AH107" s="228"/>
      <c r="AI107" s="248"/>
      <c r="AJ107" s="248"/>
      <c r="AK107" s="194"/>
      <c r="AL107" s="249"/>
      <c r="AM107" s="250"/>
      <c r="AN107" s="251"/>
      <c r="AO107" s="252"/>
      <c r="AP107" s="241"/>
      <c r="AQ107" s="241"/>
      <c r="AR107" s="241"/>
      <c r="AS107" s="194"/>
      <c r="AT107" s="195"/>
      <c r="AU107" s="195"/>
    </row>
    <row r="108" spans="1:47">
      <c r="A108" s="253"/>
      <c r="B108" s="230"/>
      <c r="C108" s="245"/>
      <c r="D108" s="230"/>
      <c r="E108" s="230"/>
      <c r="F108" s="230"/>
      <c r="G108" s="228"/>
      <c r="H108" s="230"/>
      <c r="I108" s="230"/>
      <c r="J108" s="246"/>
      <c r="K108" s="230"/>
      <c r="L108" s="230"/>
      <c r="M108" s="230"/>
      <c r="N108" s="230"/>
      <c r="O108" s="230"/>
      <c r="P108" s="256"/>
      <c r="Q108" s="257"/>
      <c r="R108" s="228"/>
      <c r="S108" s="228"/>
      <c r="T108" s="245"/>
      <c r="U108" s="254"/>
      <c r="V108" s="254"/>
      <c r="W108" s="228"/>
      <c r="X108" s="255"/>
      <c r="Y108" s="248"/>
      <c r="Z108" s="248"/>
      <c r="AA108" s="228"/>
      <c r="AB108" s="228"/>
      <c r="AC108" s="228"/>
      <c r="AD108" s="228"/>
      <c r="AE108" s="248"/>
      <c r="AF108" s="247"/>
      <c r="AG108" s="228"/>
      <c r="AH108" s="228"/>
      <c r="AI108" s="248"/>
      <c r="AJ108" s="248"/>
      <c r="AK108" s="194"/>
      <c r="AL108" s="249"/>
      <c r="AM108" s="250"/>
      <c r="AN108" s="251"/>
      <c r="AO108" s="252"/>
      <c r="AP108" s="241"/>
      <c r="AQ108" s="241"/>
      <c r="AR108" s="241"/>
      <c r="AS108" s="194"/>
      <c r="AT108" s="195"/>
      <c r="AU108" s="195"/>
    </row>
    <row r="109" spans="1:47">
      <c r="A109" s="253"/>
      <c r="B109" s="230"/>
      <c r="C109" s="245"/>
      <c r="D109" s="230"/>
      <c r="E109" s="230"/>
      <c r="F109" s="230"/>
      <c r="G109" s="228"/>
      <c r="H109" s="230"/>
      <c r="I109" s="230"/>
      <c r="J109" s="246"/>
      <c r="K109" s="230"/>
      <c r="L109" s="230"/>
      <c r="M109" s="230"/>
      <c r="N109" s="230"/>
      <c r="O109" s="230"/>
      <c r="P109" s="256"/>
      <c r="Q109" s="257"/>
      <c r="R109" s="228"/>
      <c r="S109" s="228"/>
      <c r="T109" s="245"/>
      <c r="U109" s="254"/>
      <c r="V109" s="254"/>
      <c r="W109" s="228"/>
      <c r="X109" s="255"/>
      <c r="Y109" s="248"/>
      <c r="Z109" s="248"/>
      <c r="AA109" s="228"/>
      <c r="AB109" s="228"/>
      <c r="AC109" s="228"/>
      <c r="AD109" s="228"/>
      <c r="AE109" s="248"/>
      <c r="AF109" s="247"/>
      <c r="AG109" s="228"/>
      <c r="AH109" s="228"/>
      <c r="AI109" s="248"/>
      <c r="AJ109" s="248"/>
      <c r="AK109" s="194"/>
      <c r="AL109" s="249"/>
      <c r="AM109" s="250"/>
      <c r="AN109" s="251"/>
      <c r="AO109" s="252"/>
      <c r="AP109" s="241"/>
      <c r="AQ109" s="241"/>
      <c r="AR109" s="241"/>
      <c r="AS109" s="194"/>
      <c r="AT109" s="195"/>
      <c r="AU109" s="195"/>
    </row>
    <row r="110" spans="1:47">
      <c r="A110" s="253"/>
      <c r="B110" s="230"/>
      <c r="C110" s="245"/>
      <c r="D110" s="230"/>
      <c r="E110" s="230"/>
      <c r="F110" s="230"/>
      <c r="G110" s="228"/>
      <c r="H110" s="230"/>
      <c r="I110" s="230"/>
      <c r="J110" s="246"/>
      <c r="K110" s="230"/>
      <c r="L110" s="230"/>
      <c r="M110" s="230"/>
      <c r="N110" s="230"/>
      <c r="O110" s="230"/>
      <c r="P110" s="256"/>
      <c r="Q110" s="257"/>
      <c r="R110" s="228"/>
      <c r="S110" s="228"/>
      <c r="T110" s="245"/>
      <c r="U110" s="254"/>
      <c r="V110" s="254"/>
      <c r="W110" s="228"/>
      <c r="X110" s="255"/>
      <c r="Y110" s="248"/>
      <c r="Z110" s="248"/>
      <c r="AA110" s="228"/>
      <c r="AB110" s="228"/>
      <c r="AC110" s="228"/>
      <c r="AD110" s="228"/>
      <c r="AE110" s="248"/>
      <c r="AF110" s="247"/>
      <c r="AG110" s="228"/>
      <c r="AH110" s="228"/>
      <c r="AI110" s="248"/>
      <c r="AJ110" s="248"/>
      <c r="AK110" s="194"/>
      <c r="AL110" s="249"/>
      <c r="AM110" s="250"/>
      <c r="AN110" s="251"/>
      <c r="AO110" s="252"/>
      <c r="AP110" s="241"/>
      <c r="AQ110" s="241"/>
      <c r="AR110" s="241"/>
      <c r="AS110" s="194"/>
      <c r="AT110" s="195"/>
      <c r="AU110" s="195"/>
    </row>
    <row r="111" spans="1:47">
      <c r="A111" s="253"/>
      <c r="B111" s="230"/>
      <c r="C111" s="245"/>
      <c r="D111" s="230"/>
      <c r="E111" s="230"/>
      <c r="F111" s="230"/>
      <c r="G111" s="228"/>
      <c r="H111" s="230"/>
      <c r="I111" s="230"/>
      <c r="J111" s="246"/>
      <c r="K111" s="230"/>
      <c r="L111" s="230"/>
      <c r="M111" s="230"/>
      <c r="N111" s="230"/>
      <c r="O111" s="230"/>
      <c r="P111" s="256"/>
      <c r="Q111" s="257"/>
      <c r="R111" s="228"/>
      <c r="S111" s="228"/>
      <c r="T111" s="245"/>
      <c r="U111" s="254"/>
      <c r="V111" s="254"/>
      <c r="W111" s="228"/>
      <c r="X111" s="255"/>
      <c r="Y111" s="248"/>
      <c r="Z111" s="248"/>
      <c r="AA111" s="228"/>
      <c r="AB111" s="228"/>
      <c r="AC111" s="228"/>
      <c r="AD111" s="228"/>
      <c r="AE111" s="248"/>
      <c r="AF111" s="247"/>
      <c r="AG111" s="228"/>
      <c r="AH111" s="228"/>
      <c r="AI111" s="248"/>
      <c r="AJ111" s="248"/>
      <c r="AK111" s="194"/>
      <c r="AL111" s="249"/>
      <c r="AM111" s="250"/>
      <c r="AN111" s="251"/>
      <c r="AO111" s="252"/>
      <c r="AP111" s="241"/>
      <c r="AQ111" s="241"/>
      <c r="AR111" s="241"/>
      <c r="AS111" s="194"/>
      <c r="AT111" s="195"/>
      <c r="AU111" s="195"/>
    </row>
    <row r="112" spans="1:47">
      <c r="A112" s="253"/>
      <c r="B112" s="230"/>
      <c r="C112" s="245"/>
      <c r="D112" s="230"/>
      <c r="E112" s="230"/>
      <c r="F112" s="230"/>
      <c r="G112" s="228"/>
      <c r="H112" s="230"/>
      <c r="I112" s="230"/>
      <c r="J112" s="246"/>
      <c r="K112" s="230"/>
      <c r="L112" s="230"/>
      <c r="M112" s="230"/>
      <c r="N112" s="230"/>
      <c r="O112" s="230"/>
      <c r="P112" s="256"/>
      <c r="Q112" s="257"/>
      <c r="R112" s="228"/>
      <c r="S112" s="228"/>
      <c r="T112" s="245"/>
      <c r="U112" s="254"/>
      <c r="V112" s="254"/>
      <c r="W112" s="228"/>
      <c r="X112" s="255"/>
      <c r="Y112" s="248"/>
      <c r="Z112" s="248"/>
      <c r="AA112" s="228"/>
      <c r="AB112" s="228"/>
      <c r="AC112" s="228"/>
      <c r="AD112" s="228"/>
      <c r="AE112" s="248"/>
      <c r="AF112" s="247"/>
      <c r="AG112" s="228"/>
      <c r="AH112" s="228"/>
      <c r="AI112" s="248"/>
      <c r="AJ112" s="248"/>
      <c r="AK112" s="194"/>
      <c r="AL112" s="249"/>
      <c r="AM112" s="250"/>
      <c r="AN112" s="251"/>
      <c r="AO112" s="252"/>
      <c r="AP112" s="241"/>
      <c r="AQ112" s="241"/>
      <c r="AR112" s="241"/>
      <c r="AS112" s="194"/>
      <c r="AT112" s="195"/>
      <c r="AU112" s="195"/>
    </row>
    <row r="113" spans="1:47">
      <c r="A113" s="253"/>
      <c r="B113" s="230"/>
      <c r="C113" s="245"/>
      <c r="D113" s="230"/>
      <c r="E113" s="230"/>
      <c r="F113" s="230"/>
      <c r="G113" s="228"/>
      <c r="H113" s="230"/>
      <c r="I113" s="230"/>
      <c r="J113" s="246"/>
      <c r="K113" s="230"/>
      <c r="L113" s="230"/>
      <c r="M113" s="230"/>
      <c r="N113" s="230"/>
      <c r="O113" s="230"/>
      <c r="P113" s="256"/>
      <c r="Q113" s="257"/>
      <c r="R113" s="228"/>
      <c r="S113" s="228"/>
      <c r="T113" s="245"/>
      <c r="U113" s="254"/>
      <c r="V113" s="254"/>
      <c r="W113" s="228"/>
      <c r="X113" s="255"/>
      <c r="Y113" s="248"/>
      <c r="Z113" s="248"/>
      <c r="AA113" s="228"/>
      <c r="AB113" s="228"/>
      <c r="AC113" s="228"/>
      <c r="AD113" s="228"/>
      <c r="AE113" s="248"/>
      <c r="AF113" s="247"/>
      <c r="AG113" s="228"/>
      <c r="AH113" s="228"/>
      <c r="AI113" s="248"/>
      <c r="AJ113" s="248"/>
      <c r="AK113" s="194"/>
      <c r="AL113" s="249"/>
      <c r="AM113" s="250"/>
      <c r="AN113" s="251"/>
      <c r="AO113" s="252"/>
      <c r="AP113" s="241"/>
      <c r="AQ113" s="241"/>
      <c r="AR113" s="241"/>
      <c r="AS113" s="194"/>
      <c r="AT113" s="195"/>
      <c r="AU113" s="195"/>
    </row>
    <row r="114" spans="1:47">
      <c r="A114" s="253"/>
      <c r="B114" s="230"/>
      <c r="C114" s="245"/>
      <c r="D114" s="230"/>
      <c r="E114" s="230"/>
      <c r="F114" s="230"/>
      <c r="G114" s="228"/>
      <c r="H114" s="230"/>
      <c r="I114" s="230"/>
      <c r="J114" s="246"/>
      <c r="K114" s="230"/>
      <c r="L114" s="230"/>
      <c r="M114" s="230"/>
      <c r="N114" s="230"/>
      <c r="O114" s="230"/>
      <c r="P114" s="256"/>
      <c r="Q114" s="257"/>
      <c r="R114" s="228"/>
      <c r="S114" s="228"/>
      <c r="T114" s="245"/>
      <c r="U114" s="254"/>
      <c r="V114" s="254"/>
      <c r="W114" s="228"/>
      <c r="X114" s="255"/>
      <c r="Y114" s="248"/>
      <c r="Z114" s="248"/>
      <c r="AA114" s="228"/>
      <c r="AB114" s="228"/>
      <c r="AC114" s="228"/>
      <c r="AD114" s="228"/>
      <c r="AE114" s="248"/>
      <c r="AF114" s="247"/>
      <c r="AG114" s="228"/>
      <c r="AH114" s="228"/>
      <c r="AI114" s="248"/>
      <c r="AJ114" s="248"/>
      <c r="AK114" s="194"/>
      <c r="AL114" s="249"/>
      <c r="AM114" s="250"/>
      <c r="AN114" s="251"/>
      <c r="AO114" s="252"/>
      <c r="AP114" s="241"/>
      <c r="AQ114" s="241"/>
      <c r="AR114" s="241"/>
      <c r="AS114" s="194"/>
      <c r="AT114" s="195"/>
      <c r="AU114" s="195"/>
    </row>
    <row r="115" spans="1:47">
      <c r="A115" s="253"/>
      <c r="B115" s="230"/>
      <c r="C115" s="245"/>
      <c r="D115" s="230"/>
      <c r="E115" s="230"/>
      <c r="F115" s="230"/>
      <c r="G115" s="228"/>
      <c r="H115" s="230"/>
      <c r="I115" s="230"/>
      <c r="J115" s="246"/>
      <c r="K115" s="230"/>
      <c r="L115" s="230"/>
      <c r="M115" s="230"/>
      <c r="N115" s="230"/>
      <c r="O115" s="230"/>
      <c r="P115" s="256"/>
      <c r="Q115" s="257"/>
      <c r="R115" s="228"/>
      <c r="S115" s="228"/>
      <c r="T115" s="245"/>
      <c r="U115" s="254"/>
      <c r="V115" s="254"/>
      <c r="W115" s="228"/>
      <c r="X115" s="255"/>
      <c r="Y115" s="248"/>
      <c r="Z115" s="248"/>
      <c r="AA115" s="228"/>
      <c r="AB115" s="228"/>
      <c r="AC115" s="228"/>
      <c r="AD115" s="228"/>
      <c r="AE115" s="248"/>
      <c r="AF115" s="247"/>
      <c r="AG115" s="228"/>
      <c r="AH115" s="228"/>
      <c r="AI115" s="248"/>
      <c r="AJ115" s="248"/>
      <c r="AK115" s="194"/>
      <c r="AL115" s="249"/>
      <c r="AM115" s="250"/>
      <c r="AN115" s="251"/>
      <c r="AO115" s="252"/>
      <c r="AP115" s="241"/>
      <c r="AQ115" s="241"/>
      <c r="AR115" s="241"/>
      <c r="AS115" s="194"/>
      <c r="AT115" s="195"/>
      <c r="AU115" s="195"/>
    </row>
    <row r="116" spans="1:47">
      <c r="A116" s="253"/>
      <c r="B116" s="230"/>
      <c r="C116" s="245"/>
      <c r="D116" s="230"/>
      <c r="E116" s="230"/>
      <c r="F116" s="230"/>
      <c r="G116" s="228"/>
      <c r="H116" s="230"/>
      <c r="I116" s="230"/>
      <c r="J116" s="246"/>
      <c r="K116" s="230"/>
      <c r="L116" s="230"/>
      <c r="M116" s="230"/>
      <c r="N116" s="230"/>
      <c r="O116" s="230"/>
      <c r="P116" s="256"/>
      <c r="Q116" s="257"/>
      <c r="R116" s="228"/>
      <c r="S116" s="228"/>
      <c r="T116" s="245"/>
      <c r="U116" s="254"/>
      <c r="V116" s="254"/>
      <c r="W116" s="228"/>
      <c r="X116" s="255"/>
      <c r="Y116" s="248"/>
      <c r="Z116" s="248"/>
      <c r="AA116" s="228"/>
      <c r="AB116" s="228"/>
      <c r="AC116" s="228"/>
      <c r="AD116" s="228"/>
      <c r="AE116" s="248"/>
      <c r="AF116" s="247"/>
      <c r="AG116" s="228"/>
      <c r="AH116" s="228"/>
      <c r="AI116" s="248"/>
      <c r="AJ116" s="248"/>
      <c r="AK116" s="194"/>
      <c r="AL116" s="249"/>
      <c r="AM116" s="250"/>
      <c r="AN116" s="251"/>
      <c r="AO116" s="252"/>
      <c r="AP116" s="241"/>
      <c r="AQ116" s="241"/>
      <c r="AR116" s="241"/>
      <c r="AS116" s="194"/>
      <c r="AT116" s="195"/>
      <c r="AU116" s="195"/>
    </row>
    <row r="117" spans="1:47">
      <c r="A117" s="253"/>
      <c r="B117" s="230"/>
      <c r="C117" s="245"/>
      <c r="D117" s="230"/>
      <c r="E117" s="230"/>
      <c r="F117" s="230"/>
      <c r="G117" s="228"/>
      <c r="H117" s="230"/>
      <c r="I117" s="230"/>
      <c r="J117" s="246"/>
      <c r="K117" s="230"/>
      <c r="L117" s="230"/>
      <c r="M117" s="230"/>
      <c r="N117" s="230"/>
      <c r="O117" s="230"/>
      <c r="P117" s="256"/>
      <c r="Q117" s="257"/>
      <c r="R117" s="228"/>
      <c r="S117" s="228"/>
      <c r="T117" s="245"/>
      <c r="U117" s="254"/>
      <c r="V117" s="254"/>
      <c r="W117" s="228"/>
      <c r="X117" s="255"/>
      <c r="Y117" s="248"/>
      <c r="Z117" s="248"/>
      <c r="AA117" s="228"/>
      <c r="AB117" s="228"/>
      <c r="AC117" s="228"/>
      <c r="AD117" s="228"/>
      <c r="AE117" s="248"/>
      <c r="AF117" s="247"/>
      <c r="AG117" s="228"/>
      <c r="AH117" s="228"/>
      <c r="AI117" s="248"/>
      <c r="AJ117" s="248"/>
      <c r="AK117" s="194"/>
      <c r="AL117" s="249"/>
      <c r="AM117" s="250"/>
      <c r="AN117" s="251"/>
      <c r="AO117" s="252"/>
      <c r="AP117" s="241"/>
      <c r="AQ117" s="241"/>
      <c r="AR117" s="241"/>
      <c r="AS117" s="194"/>
      <c r="AT117" s="195"/>
      <c r="AU117" s="195"/>
    </row>
    <row r="118" spans="1:47">
      <c r="A118" s="253"/>
      <c r="B118" s="230"/>
      <c r="C118" s="245"/>
      <c r="D118" s="230"/>
      <c r="E118" s="230"/>
      <c r="F118" s="230"/>
      <c r="G118" s="228"/>
      <c r="H118" s="230"/>
      <c r="I118" s="230"/>
      <c r="J118" s="246"/>
      <c r="K118" s="230"/>
      <c r="L118" s="230"/>
      <c r="M118" s="230"/>
      <c r="N118" s="230"/>
      <c r="O118" s="230"/>
      <c r="P118" s="256"/>
      <c r="Q118" s="257"/>
      <c r="R118" s="228"/>
      <c r="S118" s="228"/>
      <c r="T118" s="245"/>
      <c r="U118" s="254"/>
      <c r="V118" s="254"/>
      <c r="W118" s="228"/>
      <c r="X118" s="255"/>
      <c r="Y118" s="248"/>
      <c r="Z118" s="248"/>
      <c r="AA118" s="228"/>
      <c r="AB118" s="228"/>
      <c r="AC118" s="228"/>
      <c r="AD118" s="228"/>
      <c r="AE118" s="248"/>
      <c r="AF118" s="247"/>
      <c r="AG118" s="228"/>
      <c r="AH118" s="228"/>
      <c r="AI118" s="248"/>
      <c r="AJ118" s="248"/>
      <c r="AK118" s="194"/>
      <c r="AL118" s="249"/>
      <c r="AM118" s="250"/>
      <c r="AN118" s="251"/>
      <c r="AO118" s="252"/>
      <c r="AP118" s="241"/>
      <c r="AQ118" s="241"/>
      <c r="AR118" s="241"/>
      <c r="AS118" s="194"/>
      <c r="AT118" s="195"/>
      <c r="AU118" s="195"/>
    </row>
    <row r="119" spans="1:47">
      <c r="A119" s="253"/>
      <c r="B119" s="230"/>
      <c r="C119" s="245"/>
      <c r="D119" s="230"/>
      <c r="E119" s="230"/>
      <c r="F119" s="230"/>
      <c r="G119" s="228"/>
      <c r="H119" s="230"/>
      <c r="I119" s="230"/>
      <c r="J119" s="246"/>
      <c r="K119" s="230"/>
      <c r="L119" s="230"/>
      <c r="M119" s="230"/>
      <c r="N119" s="230"/>
      <c r="O119" s="230"/>
      <c r="P119" s="256"/>
      <c r="Q119" s="257"/>
      <c r="R119" s="228"/>
      <c r="S119" s="228"/>
      <c r="T119" s="245"/>
      <c r="U119" s="254"/>
      <c r="V119" s="254"/>
      <c r="W119" s="228"/>
      <c r="X119" s="255"/>
      <c r="Y119" s="248"/>
      <c r="Z119" s="248"/>
      <c r="AA119" s="228"/>
      <c r="AB119" s="228"/>
      <c r="AC119" s="228"/>
      <c r="AD119" s="228"/>
      <c r="AE119" s="248"/>
      <c r="AF119" s="247"/>
      <c r="AG119" s="228"/>
      <c r="AH119" s="228"/>
      <c r="AI119" s="248"/>
      <c r="AJ119" s="248"/>
      <c r="AK119" s="194"/>
      <c r="AL119" s="249"/>
      <c r="AM119" s="250"/>
      <c r="AN119" s="251"/>
      <c r="AO119" s="252"/>
      <c r="AP119" s="241"/>
      <c r="AQ119" s="241"/>
      <c r="AR119" s="241"/>
      <c r="AS119" s="194"/>
      <c r="AT119" s="195"/>
      <c r="AU119" s="195"/>
    </row>
    <row r="120" spans="1:47">
      <c r="A120" s="253"/>
      <c r="B120" s="230"/>
      <c r="C120" s="245"/>
      <c r="D120" s="230"/>
      <c r="E120" s="230"/>
      <c r="F120" s="230"/>
      <c r="G120" s="228"/>
      <c r="H120" s="230"/>
      <c r="I120" s="230"/>
      <c r="J120" s="246"/>
      <c r="K120" s="230"/>
      <c r="L120" s="230"/>
      <c r="M120" s="230"/>
      <c r="N120" s="230"/>
      <c r="O120" s="230"/>
      <c r="P120" s="256"/>
      <c r="Q120" s="257"/>
      <c r="R120" s="228"/>
      <c r="S120" s="228"/>
      <c r="T120" s="245"/>
      <c r="U120" s="254"/>
      <c r="V120" s="254"/>
      <c r="W120" s="228"/>
      <c r="X120" s="255"/>
      <c r="Y120" s="248"/>
      <c r="Z120" s="248"/>
      <c r="AA120" s="228"/>
      <c r="AB120" s="228"/>
      <c r="AC120" s="228"/>
      <c r="AD120" s="228"/>
      <c r="AE120" s="248"/>
      <c r="AF120" s="247"/>
      <c r="AG120" s="228"/>
      <c r="AH120" s="228"/>
      <c r="AI120" s="248"/>
      <c r="AJ120" s="248"/>
      <c r="AK120" s="194"/>
      <c r="AL120" s="249"/>
      <c r="AM120" s="250"/>
      <c r="AN120" s="251"/>
      <c r="AO120" s="252"/>
      <c r="AP120" s="241"/>
      <c r="AQ120" s="241"/>
      <c r="AR120" s="241"/>
      <c r="AS120" s="194"/>
      <c r="AT120" s="195"/>
      <c r="AU120" s="195"/>
    </row>
    <row r="121" spans="1:47">
      <c r="A121" s="253"/>
      <c r="B121" s="230"/>
      <c r="C121" s="245"/>
      <c r="D121" s="230"/>
      <c r="E121" s="230"/>
      <c r="F121" s="230"/>
      <c r="G121" s="228"/>
      <c r="H121" s="230"/>
      <c r="I121" s="230"/>
      <c r="J121" s="246"/>
      <c r="K121" s="230"/>
      <c r="L121" s="230"/>
      <c r="M121" s="230"/>
      <c r="N121" s="230"/>
      <c r="O121" s="230"/>
      <c r="P121" s="256"/>
      <c r="Q121" s="257"/>
      <c r="R121" s="228"/>
      <c r="S121" s="228"/>
      <c r="T121" s="245"/>
      <c r="U121" s="254"/>
      <c r="V121" s="254"/>
      <c r="W121" s="228"/>
      <c r="X121" s="255"/>
      <c r="Y121" s="248"/>
      <c r="Z121" s="248"/>
      <c r="AA121" s="228"/>
      <c r="AB121" s="228"/>
      <c r="AC121" s="228"/>
      <c r="AD121" s="228"/>
      <c r="AE121" s="248"/>
      <c r="AF121" s="247"/>
      <c r="AG121" s="228"/>
      <c r="AH121" s="228"/>
      <c r="AI121" s="248"/>
      <c r="AJ121" s="248"/>
      <c r="AK121" s="194"/>
      <c r="AL121" s="249"/>
      <c r="AM121" s="250"/>
      <c r="AN121" s="251"/>
      <c r="AO121" s="252"/>
      <c r="AP121" s="241"/>
      <c r="AQ121" s="241"/>
      <c r="AR121" s="241"/>
      <c r="AS121" s="194"/>
      <c r="AT121" s="195"/>
      <c r="AU121" s="195"/>
    </row>
    <row r="122" spans="1:47">
      <c r="A122" s="253"/>
      <c r="B122" s="230"/>
      <c r="C122" s="245"/>
      <c r="D122" s="230"/>
      <c r="E122" s="230"/>
      <c r="F122" s="230"/>
      <c r="G122" s="228"/>
      <c r="H122" s="230"/>
      <c r="I122" s="230"/>
      <c r="J122" s="246"/>
      <c r="K122" s="230"/>
      <c r="L122" s="230"/>
      <c r="M122" s="230"/>
      <c r="N122" s="230"/>
      <c r="O122" s="230"/>
      <c r="P122" s="256"/>
      <c r="Q122" s="257"/>
      <c r="R122" s="228"/>
      <c r="S122" s="228"/>
      <c r="T122" s="245"/>
      <c r="U122" s="254"/>
      <c r="V122" s="254"/>
      <c r="W122" s="228"/>
      <c r="X122" s="255"/>
      <c r="Y122" s="248"/>
      <c r="Z122" s="248"/>
      <c r="AA122" s="228"/>
      <c r="AB122" s="228"/>
      <c r="AC122" s="228"/>
      <c r="AD122" s="228"/>
      <c r="AE122" s="248"/>
      <c r="AF122" s="247"/>
      <c r="AG122" s="228"/>
      <c r="AH122" s="228"/>
      <c r="AI122" s="248"/>
      <c r="AJ122" s="248"/>
      <c r="AK122" s="194"/>
      <c r="AL122" s="249"/>
      <c r="AM122" s="250"/>
      <c r="AN122" s="251"/>
      <c r="AO122" s="252"/>
      <c r="AP122" s="241"/>
      <c r="AQ122" s="241"/>
      <c r="AR122" s="241"/>
      <c r="AS122" s="194"/>
      <c r="AT122" s="195"/>
      <c r="AU122" s="195"/>
    </row>
    <row r="123" spans="1:47">
      <c r="A123" s="253"/>
      <c r="B123" s="230"/>
      <c r="C123" s="245"/>
      <c r="D123" s="230"/>
      <c r="E123" s="230"/>
      <c r="F123" s="230"/>
      <c r="G123" s="228"/>
      <c r="H123" s="230"/>
      <c r="I123" s="230"/>
      <c r="J123" s="246"/>
      <c r="K123" s="230"/>
      <c r="L123" s="230"/>
      <c r="M123" s="230"/>
      <c r="N123" s="230"/>
      <c r="O123" s="230"/>
      <c r="P123" s="256"/>
      <c r="Q123" s="257"/>
      <c r="R123" s="228"/>
      <c r="S123" s="228"/>
      <c r="T123" s="245"/>
      <c r="U123" s="254"/>
      <c r="V123" s="254"/>
      <c r="W123" s="228"/>
      <c r="X123" s="255"/>
      <c r="Y123" s="248"/>
      <c r="Z123" s="248"/>
      <c r="AA123" s="228"/>
      <c r="AB123" s="228"/>
      <c r="AC123" s="228"/>
      <c r="AD123" s="228"/>
      <c r="AE123" s="248"/>
      <c r="AF123" s="247"/>
      <c r="AG123" s="228"/>
      <c r="AH123" s="228"/>
      <c r="AI123" s="248"/>
      <c r="AJ123" s="248"/>
      <c r="AK123" s="194"/>
      <c r="AL123" s="249"/>
      <c r="AM123" s="250"/>
      <c r="AN123" s="251"/>
      <c r="AO123" s="252"/>
      <c r="AP123" s="241"/>
      <c r="AQ123" s="241"/>
      <c r="AR123" s="241"/>
      <c r="AS123" s="194"/>
      <c r="AT123" s="195"/>
      <c r="AU123" s="195"/>
    </row>
    <row r="124" spans="1:47">
      <c r="A124" s="253"/>
      <c r="B124" s="230"/>
      <c r="C124" s="245"/>
      <c r="D124" s="230"/>
      <c r="E124" s="230"/>
      <c r="F124" s="230"/>
      <c r="G124" s="228"/>
      <c r="H124" s="230"/>
      <c r="I124" s="230"/>
      <c r="J124" s="246"/>
      <c r="K124" s="230"/>
      <c r="L124" s="230"/>
      <c r="M124" s="230"/>
      <c r="N124" s="230"/>
      <c r="O124" s="230"/>
      <c r="P124" s="256"/>
      <c r="Q124" s="257"/>
      <c r="R124" s="228"/>
      <c r="S124" s="228"/>
      <c r="T124" s="245"/>
      <c r="U124" s="254"/>
      <c r="V124" s="254"/>
      <c r="W124" s="228"/>
      <c r="X124" s="255"/>
      <c r="Y124" s="248"/>
      <c r="Z124" s="248"/>
      <c r="AA124" s="228"/>
      <c r="AB124" s="228"/>
      <c r="AC124" s="228"/>
      <c r="AD124" s="228"/>
      <c r="AE124" s="248"/>
      <c r="AF124" s="247"/>
      <c r="AG124" s="228"/>
      <c r="AH124" s="228"/>
      <c r="AI124" s="248"/>
      <c r="AJ124" s="248"/>
      <c r="AK124" s="194"/>
      <c r="AL124" s="249"/>
      <c r="AM124" s="250"/>
      <c r="AN124" s="251"/>
      <c r="AO124" s="252"/>
      <c r="AP124" s="241"/>
      <c r="AQ124" s="241"/>
      <c r="AR124" s="241"/>
      <c r="AS124" s="194"/>
      <c r="AT124" s="195"/>
      <c r="AU124" s="195"/>
    </row>
    <row r="125" spans="1:47">
      <c r="A125" s="253"/>
      <c r="B125" s="230"/>
      <c r="C125" s="245"/>
      <c r="D125" s="230"/>
      <c r="E125" s="230"/>
      <c r="F125" s="230"/>
      <c r="G125" s="228"/>
      <c r="H125" s="230"/>
      <c r="I125" s="230"/>
      <c r="J125" s="246"/>
      <c r="K125" s="230"/>
      <c r="L125" s="230"/>
      <c r="M125" s="230"/>
      <c r="N125" s="230"/>
      <c r="O125" s="230"/>
      <c r="P125" s="256"/>
      <c r="Q125" s="257"/>
      <c r="R125" s="228"/>
      <c r="S125" s="228"/>
      <c r="T125" s="245"/>
      <c r="U125" s="254"/>
      <c r="V125" s="254"/>
      <c r="W125" s="228"/>
      <c r="X125" s="255"/>
      <c r="Y125" s="248"/>
      <c r="Z125" s="248"/>
      <c r="AA125" s="228"/>
      <c r="AB125" s="228"/>
      <c r="AC125" s="228"/>
      <c r="AD125" s="228"/>
      <c r="AE125" s="248"/>
      <c r="AF125" s="247"/>
      <c r="AG125" s="228"/>
      <c r="AH125" s="228"/>
      <c r="AI125" s="248"/>
      <c r="AJ125" s="248"/>
      <c r="AK125" s="194"/>
      <c r="AL125" s="249"/>
      <c r="AM125" s="250"/>
      <c r="AN125" s="251"/>
      <c r="AO125" s="252"/>
      <c r="AP125" s="241"/>
      <c r="AQ125" s="241"/>
      <c r="AR125" s="241"/>
      <c r="AS125" s="194"/>
      <c r="AT125" s="195"/>
      <c r="AU125" s="195"/>
    </row>
    <row r="126" spans="1:47">
      <c r="A126" s="253"/>
      <c r="B126" s="230"/>
      <c r="C126" s="245"/>
      <c r="D126" s="230"/>
      <c r="E126" s="230"/>
      <c r="F126" s="230"/>
      <c r="G126" s="228"/>
      <c r="H126" s="230"/>
      <c r="I126" s="230"/>
      <c r="J126" s="246"/>
      <c r="K126" s="230"/>
      <c r="L126" s="230"/>
      <c r="M126" s="230"/>
      <c r="N126" s="230"/>
      <c r="O126" s="230"/>
      <c r="P126" s="256"/>
      <c r="Q126" s="257"/>
      <c r="R126" s="228"/>
      <c r="S126" s="228"/>
      <c r="T126" s="245"/>
      <c r="U126" s="254"/>
      <c r="V126" s="254"/>
      <c r="W126" s="228"/>
      <c r="X126" s="255"/>
      <c r="Y126" s="248"/>
      <c r="Z126" s="248"/>
      <c r="AA126" s="228"/>
      <c r="AB126" s="228"/>
      <c r="AC126" s="228"/>
      <c r="AD126" s="228"/>
      <c r="AE126" s="248"/>
      <c r="AF126" s="247"/>
      <c r="AG126" s="228"/>
      <c r="AH126" s="228"/>
      <c r="AI126" s="248"/>
      <c r="AJ126" s="248"/>
      <c r="AK126" s="194"/>
      <c r="AL126" s="249"/>
      <c r="AM126" s="250"/>
      <c r="AN126" s="251"/>
      <c r="AO126" s="252"/>
      <c r="AP126" s="241"/>
      <c r="AQ126" s="241"/>
      <c r="AR126" s="241"/>
      <c r="AS126" s="194"/>
      <c r="AT126" s="195"/>
      <c r="AU126" s="195"/>
    </row>
    <row r="127" spans="1:47">
      <c r="A127" s="253"/>
      <c r="B127" s="230"/>
      <c r="C127" s="245"/>
      <c r="D127" s="230"/>
      <c r="E127" s="230"/>
      <c r="F127" s="230"/>
      <c r="G127" s="228"/>
      <c r="H127" s="230"/>
      <c r="I127" s="230"/>
      <c r="J127" s="246"/>
      <c r="K127" s="230"/>
      <c r="L127" s="230"/>
      <c r="M127" s="230"/>
      <c r="N127" s="230"/>
      <c r="O127" s="230"/>
      <c r="P127" s="256"/>
      <c r="Q127" s="257"/>
      <c r="R127" s="228"/>
      <c r="S127" s="228"/>
      <c r="T127" s="245"/>
      <c r="U127" s="254"/>
      <c r="V127" s="254"/>
      <c r="W127" s="228"/>
      <c r="X127" s="255"/>
      <c r="Y127" s="248"/>
      <c r="Z127" s="248"/>
      <c r="AA127" s="228"/>
      <c r="AB127" s="228"/>
      <c r="AC127" s="228"/>
      <c r="AD127" s="228"/>
      <c r="AE127" s="248"/>
      <c r="AF127" s="247"/>
      <c r="AG127" s="228"/>
      <c r="AH127" s="228"/>
      <c r="AI127" s="248"/>
      <c r="AJ127" s="248"/>
      <c r="AK127" s="194"/>
      <c r="AL127" s="249"/>
      <c r="AM127" s="250"/>
      <c r="AN127" s="251"/>
      <c r="AO127" s="252"/>
      <c r="AP127" s="241"/>
      <c r="AQ127" s="241"/>
      <c r="AR127" s="241"/>
      <c r="AS127" s="194"/>
      <c r="AT127" s="195"/>
      <c r="AU127" s="195"/>
    </row>
    <row r="128" spans="1:47">
      <c r="A128" s="253"/>
      <c r="B128" s="230"/>
      <c r="C128" s="245"/>
      <c r="D128" s="230"/>
      <c r="E128" s="230"/>
      <c r="F128" s="230"/>
      <c r="G128" s="228"/>
      <c r="H128" s="230"/>
      <c r="I128" s="230"/>
      <c r="J128" s="246"/>
      <c r="K128" s="230"/>
      <c r="L128" s="230"/>
      <c r="M128" s="230"/>
      <c r="N128" s="230"/>
      <c r="O128" s="230"/>
      <c r="P128" s="256"/>
      <c r="Q128" s="257"/>
      <c r="R128" s="228"/>
      <c r="S128" s="228"/>
      <c r="T128" s="245"/>
      <c r="U128" s="254"/>
      <c r="V128" s="254"/>
      <c r="W128" s="228"/>
      <c r="X128" s="255"/>
      <c r="Y128" s="248"/>
      <c r="Z128" s="248"/>
      <c r="AA128" s="228"/>
      <c r="AB128" s="228"/>
      <c r="AC128" s="228"/>
      <c r="AD128" s="228"/>
      <c r="AE128" s="248"/>
      <c r="AF128" s="247"/>
      <c r="AG128" s="228"/>
      <c r="AH128" s="228"/>
      <c r="AI128" s="248"/>
      <c r="AJ128" s="248"/>
      <c r="AK128" s="194"/>
      <c r="AL128" s="249"/>
      <c r="AM128" s="250"/>
      <c r="AN128" s="251"/>
      <c r="AO128" s="252"/>
      <c r="AP128" s="241"/>
      <c r="AQ128" s="241"/>
      <c r="AR128" s="241"/>
      <c r="AS128" s="194"/>
      <c r="AT128" s="195"/>
      <c r="AU128" s="195"/>
    </row>
    <row r="129" spans="1:47">
      <c r="A129" s="253"/>
      <c r="B129" s="230"/>
      <c r="C129" s="245"/>
      <c r="D129" s="230"/>
      <c r="E129" s="230"/>
      <c r="F129" s="230"/>
      <c r="G129" s="228"/>
      <c r="H129" s="230"/>
      <c r="I129" s="230"/>
      <c r="J129" s="246"/>
      <c r="K129" s="230"/>
      <c r="L129" s="230"/>
      <c r="M129" s="230"/>
      <c r="N129" s="230"/>
      <c r="O129" s="230"/>
      <c r="P129" s="256"/>
      <c r="Q129" s="257"/>
      <c r="R129" s="228"/>
      <c r="S129" s="228"/>
      <c r="T129" s="245"/>
      <c r="U129" s="254"/>
      <c r="V129" s="254"/>
      <c r="W129" s="228"/>
      <c r="X129" s="255"/>
      <c r="Y129" s="248"/>
      <c r="Z129" s="248"/>
      <c r="AA129" s="228"/>
      <c r="AB129" s="228"/>
      <c r="AC129" s="228"/>
      <c r="AD129" s="228"/>
      <c r="AE129" s="248"/>
      <c r="AF129" s="247"/>
      <c r="AG129" s="228"/>
      <c r="AH129" s="228"/>
      <c r="AI129" s="248"/>
      <c r="AJ129" s="248"/>
      <c r="AK129" s="194"/>
      <c r="AL129" s="249"/>
      <c r="AM129" s="250"/>
      <c r="AN129" s="251"/>
      <c r="AO129" s="252"/>
      <c r="AP129" s="241"/>
      <c r="AQ129" s="241"/>
      <c r="AR129" s="241"/>
      <c r="AS129" s="194"/>
      <c r="AT129" s="195"/>
      <c r="AU129" s="195"/>
    </row>
    <row r="130" spans="1:47">
      <c r="A130" s="253"/>
      <c r="B130" s="230"/>
      <c r="C130" s="245"/>
      <c r="D130" s="230"/>
      <c r="E130" s="230"/>
      <c r="F130" s="230"/>
      <c r="G130" s="228"/>
      <c r="H130" s="230"/>
      <c r="I130" s="230"/>
      <c r="J130" s="246"/>
      <c r="K130" s="230"/>
      <c r="L130" s="230"/>
      <c r="M130" s="230"/>
      <c r="N130" s="230"/>
      <c r="O130" s="230"/>
      <c r="P130" s="256"/>
      <c r="Q130" s="257"/>
      <c r="R130" s="228"/>
      <c r="S130" s="228"/>
      <c r="T130" s="245"/>
      <c r="U130" s="254"/>
      <c r="V130" s="254"/>
      <c r="W130" s="228"/>
      <c r="X130" s="255"/>
      <c r="Y130" s="248"/>
      <c r="Z130" s="248"/>
      <c r="AA130" s="228"/>
      <c r="AB130" s="228"/>
      <c r="AC130" s="228"/>
      <c r="AD130" s="228"/>
      <c r="AE130" s="248"/>
      <c r="AF130" s="247"/>
      <c r="AG130" s="228"/>
      <c r="AH130" s="228"/>
      <c r="AI130" s="248"/>
      <c r="AJ130" s="248"/>
      <c r="AK130" s="194"/>
      <c r="AL130" s="249"/>
      <c r="AM130" s="250"/>
      <c r="AN130" s="251"/>
      <c r="AO130" s="252"/>
      <c r="AP130" s="241"/>
      <c r="AQ130" s="241"/>
      <c r="AR130" s="241"/>
      <c r="AS130" s="194"/>
      <c r="AT130" s="195"/>
      <c r="AU130" s="195"/>
    </row>
    <row r="131" spans="1:47">
      <c r="A131" s="253"/>
      <c r="B131" s="230"/>
      <c r="C131" s="245"/>
      <c r="D131" s="230"/>
      <c r="E131" s="230"/>
      <c r="F131" s="230"/>
      <c r="G131" s="228"/>
      <c r="H131" s="230"/>
      <c r="I131" s="230"/>
      <c r="J131" s="246"/>
      <c r="K131" s="230"/>
      <c r="L131" s="230"/>
      <c r="M131" s="230"/>
      <c r="N131" s="230"/>
      <c r="O131" s="230"/>
      <c r="P131" s="256"/>
      <c r="Q131" s="257"/>
      <c r="R131" s="228"/>
      <c r="S131" s="228"/>
      <c r="T131" s="245"/>
      <c r="U131" s="254"/>
      <c r="V131" s="254"/>
      <c r="W131" s="228"/>
      <c r="X131" s="255"/>
      <c r="Y131" s="248"/>
      <c r="Z131" s="248"/>
      <c r="AA131" s="228"/>
      <c r="AB131" s="228"/>
      <c r="AC131" s="228"/>
      <c r="AD131" s="228"/>
      <c r="AE131" s="248"/>
      <c r="AF131" s="247"/>
      <c r="AG131" s="228"/>
      <c r="AH131" s="228"/>
      <c r="AI131" s="248"/>
      <c r="AJ131" s="248"/>
      <c r="AK131" s="194"/>
      <c r="AL131" s="249"/>
      <c r="AM131" s="250"/>
      <c r="AN131" s="251"/>
      <c r="AO131" s="252"/>
      <c r="AP131" s="241"/>
      <c r="AQ131" s="241"/>
      <c r="AR131" s="241"/>
      <c r="AS131" s="194"/>
      <c r="AT131" s="195"/>
      <c r="AU131" s="195"/>
    </row>
    <row r="132" spans="1:47">
      <c r="A132" s="253"/>
      <c r="B132" s="230"/>
      <c r="C132" s="245"/>
      <c r="D132" s="230"/>
      <c r="E132" s="230"/>
      <c r="F132" s="230"/>
      <c r="G132" s="228"/>
      <c r="H132" s="230"/>
      <c r="I132" s="230"/>
      <c r="J132" s="246"/>
      <c r="K132" s="230"/>
      <c r="L132" s="230"/>
      <c r="M132" s="230"/>
      <c r="N132" s="230"/>
      <c r="O132" s="230"/>
      <c r="P132" s="256"/>
      <c r="Q132" s="257"/>
      <c r="R132" s="228"/>
      <c r="S132" s="228"/>
      <c r="T132" s="245"/>
      <c r="U132" s="254"/>
      <c r="V132" s="254"/>
      <c r="W132" s="228"/>
      <c r="X132" s="255"/>
      <c r="Y132" s="248"/>
      <c r="Z132" s="248"/>
      <c r="AA132" s="228"/>
      <c r="AB132" s="228"/>
      <c r="AC132" s="228"/>
      <c r="AD132" s="228"/>
      <c r="AE132" s="248"/>
      <c r="AF132" s="247"/>
      <c r="AG132" s="228"/>
      <c r="AH132" s="228"/>
      <c r="AI132" s="248"/>
      <c r="AJ132" s="248"/>
      <c r="AK132" s="194"/>
      <c r="AL132" s="249"/>
      <c r="AM132" s="250"/>
      <c r="AN132" s="251"/>
      <c r="AO132" s="252"/>
      <c r="AP132" s="241"/>
      <c r="AQ132" s="241"/>
      <c r="AR132" s="241"/>
      <c r="AS132" s="194"/>
      <c r="AT132" s="195"/>
      <c r="AU132" s="195"/>
    </row>
    <row r="133" spans="1:47">
      <c r="A133" s="253"/>
      <c r="B133" s="230"/>
      <c r="C133" s="245"/>
      <c r="D133" s="230"/>
      <c r="E133" s="230"/>
      <c r="F133" s="230"/>
      <c r="G133" s="228"/>
      <c r="H133" s="230"/>
      <c r="I133" s="230"/>
      <c r="J133" s="246"/>
      <c r="K133" s="230"/>
      <c r="L133" s="230"/>
      <c r="M133" s="230"/>
      <c r="N133" s="230"/>
      <c r="O133" s="230"/>
      <c r="P133" s="256"/>
      <c r="Q133" s="257"/>
      <c r="R133" s="228"/>
      <c r="S133" s="228"/>
      <c r="T133" s="245"/>
      <c r="U133" s="254"/>
      <c r="V133" s="254"/>
      <c r="W133" s="228"/>
      <c r="X133" s="255"/>
      <c r="Y133" s="248"/>
      <c r="Z133" s="248"/>
      <c r="AA133" s="228"/>
      <c r="AB133" s="228"/>
      <c r="AC133" s="228"/>
      <c r="AD133" s="228"/>
      <c r="AE133" s="248"/>
      <c r="AF133" s="247"/>
      <c r="AG133" s="228"/>
      <c r="AH133" s="228"/>
      <c r="AI133" s="248"/>
      <c r="AJ133" s="248"/>
      <c r="AK133" s="194"/>
      <c r="AL133" s="249"/>
      <c r="AM133" s="250"/>
      <c r="AN133" s="251"/>
      <c r="AO133" s="252"/>
      <c r="AP133" s="241"/>
      <c r="AQ133" s="241"/>
      <c r="AR133" s="241"/>
      <c r="AS133" s="194"/>
      <c r="AT133" s="195"/>
      <c r="AU133" s="195"/>
    </row>
    <row r="134" spans="1:47">
      <c r="A134" s="253"/>
      <c r="B134" s="230"/>
      <c r="C134" s="245"/>
      <c r="D134" s="230"/>
      <c r="E134" s="230"/>
      <c r="F134" s="230"/>
      <c r="G134" s="228"/>
      <c r="H134" s="230"/>
      <c r="I134" s="230"/>
      <c r="J134" s="246"/>
      <c r="K134" s="230"/>
      <c r="L134" s="230"/>
      <c r="M134" s="230"/>
      <c r="N134" s="230"/>
      <c r="O134" s="230"/>
      <c r="P134" s="256"/>
      <c r="Q134" s="257"/>
      <c r="R134" s="228"/>
      <c r="S134" s="228"/>
      <c r="T134" s="245"/>
      <c r="U134" s="254"/>
      <c r="V134" s="254"/>
      <c r="W134" s="228"/>
      <c r="X134" s="255"/>
      <c r="Y134" s="248"/>
      <c r="Z134" s="248"/>
      <c r="AA134" s="228"/>
      <c r="AB134" s="228"/>
      <c r="AC134" s="228"/>
      <c r="AD134" s="228"/>
      <c r="AE134" s="248"/>
      <c r="AF134" s="247"/>
      <c r="AG134" s="228"/>
      <c r="AH134" s="228"/>
      <c r="AI134" s="248"/>
      <c r="AJ134" s="248"/>
      <c r="AK134" s="194"/>
      <c r="AL134" s="249"/>
      <c r="AM134" s="250"/>
      <c r="AN134" s="251"/>
      <c r="AO134" s="252"/>
      <c r="AP134" s="241"/>
      <c r="AQ134" s="241"/>
      <c r="AR134" s="241"/>
      <c r="AS134" s="194"/>
      <c r="AT134" s="195"/>
      <c r="AU134" s="195"/>
    </row>
    <row r="135" spans="1:47">
      <c r="A135" s="253"/>
      <c r="B135" s="230"/>
      <c r="C135" s="245"/>
      <c r="D135" s="230"/>
      <c r="E135" s="230"/>
      <c r="F135" s="230"/>
      <c r="G135" s="228"/>
      <c r="H135" s="230"/>
      <c r="I135" s="230"/>
      <c r="J135" s="246"/>
      <c r="K135" s="230"/>
      <c r="L135" s="230"/>
      <c r="M135" s="230"/>
      <c r="N135" s="230"/>
      <c r="O135" s="230"/>
      <c r="P135" s="256"/>
      <c r="Q135" s="257"/>
      <c r="R135" s="228"/>
      <c r="S135" s="228"/>
      <c r="T135" s="245"/>
      <c r="U135" s="254"/>
      <c r="V135" s="254"/>
      <c r="W135" s="228"/>
      <c r="X135" s="255"/>
      <c r="Y135" s="248"/>
      <c r="Z135" s="248"/>
      <c r="AA135" s="228"/>
      <c r="AB135" s="228"/>
      <c r="AC135" s="228"/>
      <c r="AD135" s="228"/>
      <c r="AE135" s="248"/>
      <c r="AF135" s="247"/>
      <c r="AG135" s="228"/>
      <c r="AH135" s="228"/>
      <c r="AI135" s="248"/>
      <c r="AJ135" s="248"/>
      <c r="AK135" s="194"/>
      <c r="AL135" s="249"/>
      <c r="AM135" s="250"/>
      <c r="AN135" s="251"/>
      <c r="AO135" s="252"/>
      <c r="AP135" s="241"/>
      <c r="AQ135" s="241"/>
      <c r="AR135" s="241"/>
      <c r="AS135" s="194"/>
      <c r="AT135" s="195"/>
      <c r="AU135" s="195"/>
    </row>
    <row r="136" spans="1:47">
      <c r="A136" s="253"/>
      <c r="B136" s="230"/>
      <c r="C136" s="245"/>
      <c r="D136" s="230"/>
      <c r="E136" s="230"/>
      <c r="F136" s="230"/>
      <c r="G136" s="228"/>
      <c r="H136" s="230"/>
      <c r="I136" s="230"/>
      <c r="J136" s="246"/>
      <c r="K136" s="230"/>
      <c r="L136" s="230"/>
      <c r="M136" s="230"/>
      <c r="N136" s="230"/>
      <c r="O136" s="230"/>
      <c r="P136" s="256"/>
      <c r="Q136" s="257"/>
      <c r="R136" s="228"/>
      <c r="S136" s="228"/>
      <c r="T136" s="245"/>
      <c r="U136" s="254"/>
      <c r="V136" s="254"/>
      <c r="W136" s="228"/>
      <c r="X136" s="255"/>
      <c r="Y136" s="248"/>
      <c r="Z136" s="248"/>
      <c r="AA136" s="228"/>
      <c r="AB136" s="228"/>
      <c r="AC136" s="228"/>
      <c r="AD136" s="228"/>
      <c r="AE136" s="248"/>
      <c r="AF136" s="247"/>
      <c r="AG136" s="228"/>
      <c r="AH136" s="228"/>
      <c r="AI136" s="248"/>
      <c r="AJ136" s="248"/>
      <c r="AK136" s="194"/>
      <c r="AL136" s="249"/>
      <c r="AM136" s="250"/>
      <c r="AN136" s="251"/>
      <c r="AO136" s="252"/>
      <c r="AP136" s="241"/>
      <c r="AQ136" s="241"/>
      <c r="AR136" s="241"/>
      <c r="AS136" s="194"/>
      <c r="AT136" s="195"/>
      <c r="AU136" s="195"/>
    </row>
    <row r="137" spans="1:47">
      <c r="A137" s="253"/>
      <c r="B137" s="230"/>
      <c r="C137" s="245"/>
      <c r="D137" s="230"/>
      <c r="E137" s="230"/>
      <c r="F137" s="230"/>
      <c r="G137" s="228"/>
      <c r="H137" s="230"/>
      <c r="I137" s="230"/>
      <c r="J137" s="246"/>
      <c r="K137" s="230"/>
      <c r="L137" s="230"/>
      <c r="M137" s="230"/>
      <c r="N137" s="230"/>
      <c r="O137" s="230"/>
      <c r="P137" s="256"/>
      <c r="Q137" s="257"/>
      <c r="R137" s="228"/>
      <c r="S137" s="228"/>
      <c r="T137" s="245"/>
      <c r="U137" s="254"/>
      <c r="V137" s="254"/>
      <c r="W137" s="228"/>
      <c r="X137" s="255"/>
      <c r="Y137" s="248"/>
      <c r="Z137" s="248"/>
      <c r="AA137" s="228"/>
      <c r="AB137" s="228"/>
      <c r="AC137" s="228"/>
      <c r="AD137" s="228"/>
      <c r="AE137" s="248"/>
      <c r="AF137" s="247"/>
      <c r="AG137" s="228"/>
      <c r="AH137" s="228"/>
      <c r="AI137" s="248"/>
      <c r="AJ137" s="248"/>
      <c r="AK137" s="194"/>
      <c r="AL137" s="249"/>
      <c r="AM137" s="250"/>
      <c r="AN137" s="251"/>
      <c r="AO137" s="252"/>
      <c r="AP137" s="241"/>
      <c r="AQ137" s="241"/>
      <c r="AR137" s="241"/>
      <c r="AS137" s="194"/>
      <c r="AT137" s="195"/>
      <c r="AU137" s="195"/>
    </row>
    <row r="138" spans="1:47">
      <c r="A138" s="253"/>
      <c r="B138" s="230"/>
      <c r="C138" s="245"/>
      <c r="D138" s="230"/>
      <c r="E138" s="230"/>
      <c r="F138" s="230"/>
      <c r="G138" s="228"/>
      <c r="H138" s="230"/>
      <c r="I138" s="230"/>
      <c r="J138" s="246"/>
      <c r="K138" s="230"/>
      <c r="L138" s="230"/>
      <c r="M138" s="230"/>
      <c r="N138" s="230"/>
      <c r="O138" s="230"/>
      <c r="P138" s="256"/>
      <c r="Q138" s="257"/>
      <c r="R138" s="228"/>
      <c r="S138" s="228"/>
      <c r="T138" s="245"/>
      <c r="U138" s="254"/>
      <c r="V138" s="254"/>
      <c r="W138" s="228"/>
      <c r="X138" s="255"/>
      <c r="Y138" s="248"/>
      <c r="Z138" s="248"/>
      <c r="AA138" s="228"/>
      <c r="AB138" s="228"/>
      <c r="AC138" s="228"/>
      <c r="AD138" s="228"/>
      <c r="AE138" s="248"/>
      <c r="AF138" s="247"/>
      <c r="AG138" s="228"/>
      <c r="AH138" s="228"/>
      <c r="AI138" s="248"/>
      <c r="AJ138" s="248"/>
      <c r="AK138" s="194"/>
      <c r="AL138" s="249"/>
      <c r="AM138" s="250"/>
      <c r="AN138" s="251"/>
      <c r="AO138" s="252"/>
      <c r="AP138" s="241"/>
      <c r="AQ138" s="241"/>
      <c r="AR138" s="241"/>
      <c r="AS138" s="194"/>
      <c r="AT138" s="195"/>
      <c r="AU138" s="195"/>
    </row>
    <row r="139" spans="1:47">
      <c r="A139" s="253"/>
      <c r="B139" s="230"/>
      <c r="C139" s="245"/>
      <c r="D139" s="230"/>
      <c r="E139" s="230"/>
      <c r="F139" s="230"/>
      <c r="G139" s="228"/>
      <c r="H139" s="230"/>
      <c r="I139" s="230"/>
      <c r="J139" s="246"/>
      <c r="K139" s="230"/>
      <c r="L139" s="230"/>
      <c r="M139" s="230"/>
      <c r="N139" s="230"/>
      <c r="O139" s="230"/>
      <c r="P139" s="256"/>
      <c r="Q139" s="257"/>
      <c r="R139" s="228"/>
      <c r="S139" s="228"/>
      <c r="T139" s="245"/>
      <c r="U139" s="254"/>
      <c r="V139" s="254"/>
      <c r="W139" s="228"/>
      <c r="X139" s="255"/>
      <c r="Y139" s="248"/>
      <c r="Z139" s="248"/>
      <c r="AA139" s="228"/>
      <c r="AB139" s="228"/>
      <c r="AC139" s="228"/>
      <c r="AD139" s="228"/>
      <c r="AE139" s="248"/>
      <c r="AF139" s="247"/>
      <c r="AG139" s="228"/>
      <c r="AH139" s="228"/>
      <c r="AI139" s="248"/>
      <c r="AJ139" s="248"/>
      <c r="AK139" s="194"/>
      <c r="AL139" s="249"/>
      <c r="AM139" s="250"/>
      <c r="AN139" s="251"/>
      <c r="AO139" s="252"/>
      <c r="AP139" s="241"/>
      <c r="AQ139" s="241"/>
      <c r="AR139" s="241"/>
      <c r="AS139" s="194"/>
      <c r="AT139" s="195"/>
      <c r="AU139" s="195"/>
    </row>
    <row r="140" spans="1:47">
      <c r="A140" s="253"/>
      <c r="B140" s="230"/>
      <c r="C140" s="245"/>
      <c r="D140" s="230"/>
      <c r="E140" s="230"/>
      <c r="F140" s="230"/>
      <c r="G140" s="228"/>
      <c r="H140" s="230"/>
      <c r="I140" s="230"/>
      <c r="J140" s="246"/>
      <c r="K140" s="230"/>
      <c r="L140" s="230"/>
      <c r="M140" s="230"/>
      <c r="N140" s="230"/>
      <c r="O140" s="230"/>
      <c r="P140" s="256"/>
      <c r="Q140" s="257"/>
      <c r="R140" s="228"/>
      <c r="S140" s="228"/>
      <c r="T140" s="245"/>
      <c r="U140" s="254"/>
      <c r="V140" s="254"/>
      <c r="W140" s="228"/>
      <c r="X140" s="255"/>
      <c r="Y140" s="248"/>
      <c r="Z140" s="248"/>
      <c r="AA140" s="228"/>
      <c r="AB140" s="228"/>
      <c r="AC140" s="228"/>
      <c r="AD140" s="228"/>
      <c r="AE140" s="248"/>
      <c r="AF140" s="247"/>
      <c r="AG140" s="228"/>
      <c r="AH140" s="228"/>
      <c r="AI140" s="248"/>
      <c r="AJ140" s="248"/>
      <c r="AK140" s="194"/>
      <c r="AL140" s="249"/>
      <c r="AM140" s="250"/>
      <c r="AN140" s="251"/>
      <c r="AO140" s="252"/>
      <c r="AP140" s="241"/>
      <c r="AQ140" s="241"/>
      <c r="AR140" s="241"/>
      <c r="AS140" s="194"/>
      <c r="AT140" s="195"/>
      <c r="AU140" s="195"/>
    </row>
    <row r="141" spans="1:47">
      <c r="A141" s="253"/>
      <c r="B141" s="230"/>
      <c r="C141" s="245"/>
      <c r="D141" s="230"/>
      <c r="E141" s="230"/>
      <c r="F141" s="230"/>
      <c r="G141" s="228"/>
      <c r="H141" s="230"/>
      <c r="I141" s="230"/>
      <c r="J141" s="246"/>
      <c r="K141" s="230"/>
      <c r="L141" s="230"/>
      <c r="M141" s="230"/>
      <c r="N141" s="230"/>
      <c r="O141" s="230"/>
      <c r="P141" s="256"/>
      <c r="Q141" s="257"/>
      <c r="R141" s="228"/>
      <c r="S141" s="228"/>
      <c r="T141" s="245"/>
      <c r="U141" s="254"/>
      <c r="V141" s="254"/>
      <c r="W141" s="228"/>
      <c r="X141" s="255"/>
      <c r="Y141" s="248"/>
      <c r="Z141" s="248"/>
      <c r="AA141" s="228"/>
      <c r="AB141" s="228"/>
      <c r="AC141" s="228"/>
      <c r="AD141" s="228"/>
      <c r="AE141" s="248"/>
      <c r="AF141" s="247"/>
      <c r="AG141" s="228"/>
      <c r="AH141" s="228"/>
      <c r="AI141" s="248"/>
      <c r="AJ141" s="248"/>
      <c r="AK141" s="194"/>
      <c r="AL141" s="249"/>
      <c r="AM141" s="250"/>
      <c r="AN141" s="251"/>
      <c r="AO141" s="252"/>
      <c r="AP141" s="241"/>
      <c r="AQ141" s="241"/>
      <c r="AR141" s="241"/>
      <c r="AS141" s="194"/>
      <c r="AT141" s="195"/>
      <c r="AU141" s="195"/>
    </row>
    <row r="142" spans="1:47">
      <c r="A142" s="253"/>
      <c r="B142" s="230"/>
      <c r="C142" s="245"/>
      <c r="D142" s="230"/>
      <c r="E142" s="230"/>
      <c r="F142" s="230"/>
      <c r="G142" s="228"/>
      <c r="H142" s="230"/>
      <c r="I142" s="230"/>
      <c r="J142" s="246"/>
      <c r="K142" s="230"/>
      <c r="L142" s="230"/>
      <c r="M142" s="230"/>
      <c r="N142" s="230"/>
      <c r="O142" s="230"/>
      <c r="P142" s="256"/>
      <c r="Q142" s="257"/>
      <c r="R142" s="228"/>
      <c r="S142" s="228"/>
      <c r="T142" s="245"/>
      <c r="U142" s="254"/>
      <c r="V142" s="254"/>
      <c r="W142" s="228"/>
      <c r="X142" s="255"/>
      <c r="Y142" s="248"/>
      <c r="Z142" s="248"/>
      <c r="AA142" s="228"/>
      <c r="AB142" s="228"/>
      <c r="AC142" s="228"/>
      <c r="AD142" s="228"/>
      <c r="AE142" s="248"/>
      <c r="AF142" s="247"/>
      <c r="AG142" s="228"/>
      <c r="AH142" s="228"/>
      <c r="AI142" s="248"/>
      <c r="AJ142" s="248"/>
      <c r="AK142" s="194"/>
      <c r="AL142" s="249"/>
      <c r="AM142" s="250"/>
      <c r="AN142" s="251"/>
      <c r="AO142" s="252"/>
      <c r="AP142" s="241"/>
      <c r="AQ142" s="241"/>
      <c r="AR142" s="241"/>
      <c r="AS142" s="194"/>
      <c r="AT142" s="195"/>
      <c r="AU142" s="195"/>
    </row>
    <row r="143" spans="1:47">
      <c r="A143" s="253"/>
      <c r="B143" s="230"/>
      <c r="C143" s="245"/>
      <c r="D143" s="230"/>
      <c r="E143" s="230"/>
      <c r="F143" s="230"/>
      <c r="G143" s="228"/>
      <c r="H143" s="230"/>
      <c r="I143" s="230"/>
      <c r="J143" s="246"/>
      <c r="K143" s="230"/>
      <c r="L143" s="230"/>
      <c r="M143" s="230"/>
      <c r="N143" s="230"/>
      <c r="O143" s="230"/>
      <c r="P143" s="256"/>
      <c r="Q143" s="257"/>
      <c r="R143" s="228"/>
      <c r="S143" s="228"/>
      <c r="T143" s="245"/>
      <c r="U143" s="254"/>
      <c r="V143" s="254"/>
      <c r="W143" s="228"/>
      <c r="X143" s="255"/>
      <c r="Y143" s="248"/>
      <c r="Z143" s="248"/>
      <c r="AA143" s="228"/>
      <c r="AB143" s="228"/>
      <c r="AC143" s="228"/>
      <c r="AD143" s="228"/>
      <c r="AE143" s="248"/>
      <c r="AF143" s="247"/>
      <c r="AG143" s="228"/>
      <c r="AH143" s="228"/>
      <c r="AI143" s="248"/>
      <c r="AJ143" s="248"/>
      <c r="AK143" s="194"/>
      <c r="AL143" s="249"/>
      <c r="AM143" s="250"/>
      <c r="AN143" s="251"/>
      <c r="AO143" s="252"/>
      <c r="AP143" s="241"/>
      <c r="AQ143" s="241"/>
      <c r="AR143" s="241"/>
      <c r="AS143" s="194"/>
      <c r="AT143" s="195"/>
      <c r="AU143" s="195"/>
    </row>
    <row r="144" spans="1:47">
      <c r="A144" s="253"/>
      <c r="B144" s="230"/>
      <c r="C144" s="245"/>
      <c r="D144" s="230"/>
      <c r="E144" s="230"/>
      <c r="F144" s="230"/>
      <c r="G144" s="228"/>
      <c r="H144" s="230"/>
      <c r="I144" s="230"/>
      <c r="J144" s="246"/>
      <c r="K144" s="230"/>
      <c r="L144" s="230"/>
      <c r="M144" s="230"/>
      <c r="N144" s="230"/>
      <c r="O144" s="230"/>
      <c r="P144" s="256"/>
      <c r="Q144" s="257"/>
      <c r="R144" s="228"/>
      <c r="S144" s="228"/>
      <c r="T144" s="245"/>
      <c r="U144" s="254"/>
      <c r="V144" s="254"/>
      <c r="W144" s="228"/>
      <c r="X144" s="255"/>
      <c r="Y144" s="248"/>
      <c r="Z144" s="248"/>
      <c r="AA144" s="228"/>
      <c r="AB144" s="228"/>
      <c r="AC144" s="228"/>
      <c r="AD144" s="228"/>
      <c r="AE144" s="248"/>
      <c r="AF144" s="247"/>
      <c r="AG144" s="228"/>
      <c r="AH144" s="228"/>
      <c r="AI144" s="248"/>
      <c r="AJ144" s="248"/>
      <c r="AK144" s="194"/>
      <c r="AL144" s="249"/>
      <c r="AM144" s="250"/>
      <c r="AN144" s="251"/>
      <c r="AO144" s="252"/>
      <c r="AP144" s="241"/>
      <c r="AQ144" s="241"/>
      <c r="AR144" s="241"/>
      <c r="AS144" s="194"/>
      <c r="AT144" s="195"/>
      <c r="AU144" s="195"/>
    </row>
    <row r="145" spans="1:47">
      <c r="A145" s="253"/>
      <c r="B145" s="230"/>
      <c r="C145" s="245"/>
      <c r="D145" s="230"/>
      <c r="E145" s="230"/>
      <c r="F145" s="230"/>
      <c r="G145" s="228"/>
      <c r="H145" s="230"/>
      <c r="I145" s="230"/>
      <c r="J145" s="246"/>
      <c r="K145" s="230"/>
      <c r="L145" s="230"/>
      <c r="M145" s="230"/>
      <c r="N145" s="230"/>
      <c r="O145" s="230"/>
      <c r="P145" s="256"/>
      <c r="Q145" s="257"/>
      <c r="R145" s="228"/>
      <c r="S145" s="228"/>
      <c r="T145" s="245"/>
      <c r="U145" s="254"/>
      <c r="V145" s="254"/>
      <c r="W145" s="228"/>
      <c r="X145" s="255"/>
      <c r="Y145" s="248"/>
      <c r="Z145" s="248"/>
      <c r="AA145" s="228"/>
      <c r="AB145" s="228"/>
      <c r="AC145" s="228"/>
      <c r="AD145" s="228"/>
      <c r="AE145" s="248"/>
      <c r="AF145" s="247"/>
      <c r="AG145" s="228"/>
      <c r="AH145" s="228"/>
      <c r="AI145" s="248"/>
      <c r="AJ145" s="248"/>
      <c r="AK145" s="194"/>
      <c r="AL145" s="249"/>
      <c r="AM145" s="250"/>
      <c r="AN145" s="251"/>
      <c r="AO145" s="252"/>
      <c r="AP145" s="241"/>
      <c r="AQ145" s="241"/>
      <c r="AR145" s="241"/>
      <c r="AS145" s="194"/>
      <c r="AT145" s="195"/>
      <c r="AU145" s="195"/>
    </row>
    <row r="146" spans="1:47">
      <c r="A146" s="253"/>
      <c r="B146" s="230"/>
      <c r="C146" s="245"/>
      <c r="D146" s="230"/>
      <c r="E146" s="230"/>
      <c r="F146" s="230"/>
      <c r="G146" s="228"/>
      <c r="H146" s="230"/>
      <c r="I146" s="230"/>
      <c r="J146" s="246"/>
      <c r="K146" s="230"/>
      <c r="L146" s="230"/>
      <c r="M146" s="230"/>
      <c r="N146" s="230"/>
      <c r="O146" s="230"/>
      <c r="P146" s="256"/>
      <c r="Q146" s="257"/>
      <c r="R146" s="228"/>
      <c r="S146" s="228"/>
      <c r="T146" s="245"/>
      <c r="U146" s="254"/>
      <c r="V146" s="254"/>
      <c r="W146" s="228"/>
      <c r="X146" s="255"/>
      <c r="Y146" s="248"/>
      <c r="Z146" s="248"/>
      <c r="AA146" s="228"/>
      <c r="AB146" s="228"/>
      <c r="AC146" s="228"/>
      <c r="AD146" s="228"/>
      <c r="AE146" s="248"/>
      <c r="AF146" s="247"/>
      <c r="AG146" s="228"/>
      <c r="AH146" s="228"/>
      <c r="AI146" s="248"/>
      <c r="AJ146" s="248"/>
      <c r="AK146" s="194"/>
      <c r="AL146" s="249"/>
      <c r="AM146" s="250"/>
      <c r="AN146" s="251"/>
      <c r="AO146" s="252"/>
      <c r="AP146" s="241"/>
      <c r="AQ146" s="241"/>
      <c r="AR146" s="241"/>
      <c r="AS146" s="194"/>
      <c r="AT146" s="195"/>
      <c r="AU146" s="195"/>
    </row>
    <row r="147" spans="1:47">
      <c r="A147" s="253"/>
      <c r="B147" s="230"/>
      <c r="C147" s="245"/>
      <c r="D147" s="230"/>
      <c r="E147" s="230"/>
      <c r="F147" s="230"/>
      <c r="G147" s="228"/>
      <c r="H147" s="230"/>
      <c r="I147" s="230"/>
      <c r="J147" s="246"/>
      <c r="K147" s="230"/>
      <c r="L147" s="230"/>
      <c r="M147" s="230"/>
      <c r="N147" s="230"/>
      <c r="O147" s="230"/>
      <c r="P147" s="256"/>
      <c r="Q147" s="257"/>
      <c r="R147" s="228"/>
      <c r="S147" s="228"/>
      <c r="T147" s="245"/>
      <c r="U147" s="254"/>
      <c r="V147" s="254"/>
      <c r="W147" s="228"/>
      <c r="X147" s="255"/>
      <c r="Y147" s="248"/>
      <c r="Z147" s="248"/>
      <c r="AA147" s="228"/>
      <c r="AB147" s="228"/>
      <c r="AC147" s="228"/>
      <c r="AD147" s="228"/>
      <c r="AE147" s="248"/>
      <c r="AF147" s="247"/>
      <c r="AG147" s="228"/>
      <c r="AH147" s="228"/>
      <c r="AI147" s="248"/>
      <c r="AJ147" s="248"/>
      <c r="AK147" s="194"/>
      <c r="AL147" s="249"/>
      <c r="AM147" s="250"/>
      <c r="AN147" s="251"/>
      <c r="AO147" s="252"/>
      <c r="AP147" s="241"/>
      <c r="AQ147" s="241"/>
      <c r="AR147" s="241"/>
      <c r="AS147" s="194"/>
      <c r="AT147" s="195"/>
      <c r="AU147" s="195"/>
    </row>
    <row r="148" spans="1:47">
      <c r="A148" s="253"/>
      <c r="B148" s="230"/>
      <c r="C148" s="245"/>
      <c r="D148" s="230"/>
      <c r="E148" s="230"/>
      <c r="F148" s="230"/>
      <c r="G148" s="228"/>
      <c r="H148" s="230"/>
      <c r="I148" s="230"/>
      <c r="J148" s="246"/>
      <c r="K148" s="230"/>
      <c r="L148" s="230"/>
      <c r="M148" s="230"/>
      <c r="N148" s="230"/>
      <c r="O148" s="230"/>
      <c r="P148" s="256"/>
      <c r="Q148" s="257"/>
      <c r="R148" s="228"/>
      <c r="S148" s="228"/>
      <c r="T148" s="245"/>
      <c r="U148" s="254"/>
      <c r="V148" s="254"/>
      <c r="W148" s="228"/>
      <c r="X148" s="255"/>
      <c r="Y148" s="248"/>
      <c r="Z148" s="248"/>
      <c r="AA148" s="228"/>
      <c r="AB148" s="228"/>
      <c r="AC148" s="228"/>
      <c r="AD148" s="228"/>
      <c r="AE148" s="248"/>
      <c r="AF148" s="247"/>
      <c r="AG148" s="228"/>
      <c r="AH148" s="228"/>
      <c r="AI148" s="248"/>
      <c r="AJ148" s="248"/>
      <c r="AK148" s="194"/>
      <c r="AL148" s="249"/>
      <c r="AM148" s="250"/>
      <c r="AN148" s="251"/>
      <c r="AO148" s="252"/>
      <c r="AP148" s="241"/>
      <c r="AQ148" s="241"/>
      <c r="AR148" s="241"/>
      <c r="AS148" s="194"/>
      <c r="AT148" s="195"/>
      <c r="AU148" s="195"/>
    </row>
    <row r="149" spans="1:47">
      <c r="A149" s="253"/>
      <c r="B149" s="230"/>
      <c r="C149" s="245"/>
      <c r="D149" s="230"/>
      <c r="E149" s="230"/>
      <c r="F149" s="230"/>
      <c r="G149" s="228"/>
      <c r="H149" s="230"/>
      <c r="I149" s="230"/>
      <c r="J149" s="246"/>
      <c r="K149" s="230"/>
      <c r="L149" s="230"/>
      <c r="M149" s="230"/>
      <c r="N149" s="230"/>
      <c r="O149" s="230"/>
      <c r="P149" s="256"/>
      <c r="Q149" s="257"/>
      <c r="R149" s="228"/>
      <c r="S149" s="228"/>
      <c r="T149" s="245"/>
      <c r="U149" s="254"/>
      <c r="V149" s="254"/>
      <c r="W149" s="228"/>
      <c r="X149" s="255"/>
      <c r="Y149" s="248"/>
      <c r="Z149" s="248"/>
      <c r="AA149" s="228"/>
      <c r="AB149" s="228"/>
      <c r="AC149" s="228"/>
      <c r="AD149" s="228"/>
      <c r="AE149" s="248"/>
      <c r="AF149" s="247"/>
      <c r="AG149" s="228"/>
      <c r="AH149" s="228"/>
      <c r="AI149" s="248"/>
      <c r="AJ149" s="248"/>
      <c r="AK149" s="194"/>
      <c r="AL149" s="249"/>
      <c r="AM149" s="250"/>
      <c r="AN149" s="251"/>
      <c r="AO149" s="252"/>
      <c r="AP149" s="241"/>
      <c r="AQ149" s="241"/>
      <c r="AR149" s="241"/>
      <c r="AS149" s="194"/>
      <c r="AT149" s="195"/>
      <c r="AU149" s="195"/>
    </row>
    <row r="150" spans="1:47">
      <c r="A150" s="253"/>
      <c r="B150" s="230"/>
      <c r="C150" s="245"/>
      <c r="D150" s="230"/>
      <c r="E150" s="230"/>
      <c r="F150" s="230"/>
      <c r="G150" s="228"/>
      <c r="H150" s="230"/>
      <c r="I150" s="230"/>
      <c r="J150" s="246"/>
      <c r="K150" s="230"/>
      <c r="L150" s="230"/>
      <c r="M150" s="230"/>
      <c r="N150" s="230"/>
      <c r="O150" s="230"/>
      <c r="P150" s="256"/>
      <c r="Q150" s="257"/>
      <c r="R150" s="228"/>
      <c r="S150" s="228"/>
      <c r="T150" s="245"/>
      <c r="U150" s="254"/>
      <c r="V150" s="254"/>
      <c r="W150" s="228"/>
      <c r="X150" s="255"/>
      <c r="Y150" s="248"/>
      <c r="Z150" s="248"/>
      <c r="AA150" s="228"/>
      <c r="AB150" s="228"/>
      <c r="AC150" s="228"/>
      <c r="AD150" s="228"/>
      <c r="AE150" s="248"/>
      <c r="AF150" s="247"/>
      <c r="AG150" s="228"/>
      <c r="AH150" s="228"/>
      <c r="AI150" s="248"/>
      <c r="AJ150" s="248"/>
      <c r="AK150" s="194"/>
      <c r="AL150" s="249"/>
      <c r="AM150" s="250"/>
      <c r="AN150" s="251"/>
      <c r="AO150" s="252"/>
      <c r="AP150" s="241"/>
      <c r="AQ150" s="241"/>
      <c r="AR150" s="241"/>
      <c r="AS150" s="194"/>
      <c r="AT150" s="195"/>
      <c r="AU150" s="195"/>
    </row>
    <row r="151" spans="1:47">
      <c r="A151" s="253"/>
      <c r="B151" s="230"/>
      <c r="C151" s="245"/>
      <c r="D151" s="230"/>
      <c r="E151" s="230"/>
      <c r="F151" s="230"/>
      <c r="G151" s="228"/>
      <c r="H151" s="230"/>
      <c r="I151" s="230"/>
      <c r="J151" s="246"/>
      <c r="K151" s="230"/>
      <c r="L151" s="230"/>
      <c r="M151" s="230"/>
      <c r="N151" s="230"/>
      <c r="O151" s="230"/>
      <c r="P151" s="256"/>
      <c r="Q151" s="257"/>
      <c r="R151" s="228"/>
      <c r="S151" s="228"/>
      <c r="T151" s="245"/>
      <c r="U151" s="254"/>
      <c r="V151" s="254"/>
      <c r="W151" s="228"/>
      <c r="X151" s="255"/>
      <c r="Y151" s="248"/>
      <c r="Z151" s="248"/>
      <c r="AA151" s="228"/>
      <c r="AB151" s="228"/>
      <c r="AC151" s="228"/>
      <c r="AD151" s="228"/>
      <c r="AE151" s="248"/>
      <c r="AF151" s="247"/>
      <c r="AG151" s="228"/>
      <c r="AH151" s="228"/>
      <c r="AI151" s="248"/>
      <c r="AJ151" s="248"/>
      <c r="AK151" s="194"/>
      <c r="AL151" s="249"/>
      <c r="AM151" s="250"/>
      <c r="AN151" s="251"/>
      <c r="AO151" s="252"/>
      <c r="AP151" s="241"/>
      <c r="AQ151" s="241"/>
      <c r="AR151" s="241"/>
      <c r="AS151" s="194"/>
      <c r="AT151" s="195"/>
      <c r="AU151" s="195"/>
    </row>
    <row r="152" spans="1:47">
      <c r="A152" s="253"/>
      <c r="B152" s="230"/>
      <c r="C152" s="245"/>
      <c r="D152" s="230"/>
      <c r="E152" s="230"/>
      <c r="F152" s="230"/>
      <c r="G152" s="228"/>
      <c r="H152" s="230"/>
      <c r="I152" s="230"/>
      <c r="J152" s="246"/>
      <c r="K152" s="230"/>
      <c r="L152" s="230"/>
      <c r="M152" s="230"/>
      <c r="N152" s="230"/>
      <c r="O152" s="230"/>
      <c r="P152" s="256"/>
      <c r="Q152" s="257"/>
      <c r="R152" s="228"/>
      <c r="S152" s="228"/>
      <c r="T152" s="245"/>
      <c r="U152" s="254"/>
      <c r="V152" s="254"/>
      <c r="W152" s="228"/>
      <c r="X152" s="255"/>
      <c r="Y152" s="248"/>
      <c r="Z152" s="248"/>
      <c r="AA152" s="228"/>
      <c r="AB152" s="228"/>
      <c r="AC152" s="228"/>
      <c r="AD152" s="228"/>
      <c r="AE152" s="248"/>
      <c r="AF152" s="247"/>
      <c r="AG152" s="228"/>
      <c r="AH152" s="228"/>
      <c r="AI152" s="248"/>
      <c r="AJ152" s="248"/>
      <c r="AK152" s="194"/>
      <c r="AL152" s="249"/>
      <c r="AM152" s="250"/>
      <c r="AN152" s="251"/>
      <c r="AO152" s="252"/>
      <c r="AP152" s="241"/>
      <c r="AQ152" s="241"/>
      <c r="AR152" s="241"/>
      <c r="AS152" s="194"/>
      <c r="AT152" s="195"/>
      <c r="AU152" s="195"/>
    </row>
    <row r="153" spans="1:47">
      <c r="A153" s="253"/>
      <c r="B153" s="230"/>
      <c r="C153" s="245"/>
      <c r="D153" s="230"/>
      <c r="E153" s="230"/>
      <c r="F153" s="230"/>
      <c r="G153" s="228"/>
      <c r="H153" s="230"/>
      <c r="I153" s="230"/>
      <c r="J153" s="246"/>
      <c r="K153" s="230"/>
      <c r="L153" s="230"/>
      <c r="M153" s="230"/>
      <c r="N153" s="230"/>
      <c r="O153" s="230"/>
      <c r="P153" s="256"/>
      <c r="Q153" s="257"/>
      <c r="R153" s="228"/>
      <c r="S153" s="228"/>
      <c r="T153" s="245"/>
      <c r="U153" s="254"/>
      <c r="V153" s="254"/>
      <c r="W153" s="228"/>
      <c r="X153" s="255"/>
      <c r="Y153" s="248"/>
      <c r="Z153" s="248"/>
      <c r="AA153" s="228"/>
      <c r="AB153" s="228"/>
      <c r="AC153" s="228"/>
      <c r="AD153" s="228"/>
      <c r="AE153" s="248"/>
      <c r="AF153" s="247"/>
      <c r="AG153" s="228"/>
      <c r="AH153" s="228"/>
      <c r="AI153" s="248"/>
      <c r="AJ153" s="248"/>
      <c r="AK153" s="194"/>
      <c r="AL153" s="249"/>
      <c r="AM153" s="250"/>
      <c r="AN153" s="251"/>
      <c r="AO153" s="252"/>
      <c r="AP153" s="241"/>
      <c r="AQ153" s="241"/>
      <c r="AR153" s="241"/>
      <c r="AS153" s="194"/>
      <c r="AT153" s="195"/>
      <c r="AU153" s="195"/>
    </row>
    <row r="154" spans="1:47">
      <c r="A154" s="253"/>
      <c r="B154" s="230"/>
      <c r="C154" s="245"/>
      <c r="D154" s="230"/>
      <c r="E154" s="230"/>
      <c r="F154" s="230"/>
      <c r="G154" s="228"/>
      <c r="H154" s="230"/>
      <c r="I154" s="230"/>
      <c r="J154" s="246"/>
      <c r="K154" s="230"/>
      <c r="L154" s="230"/>
      <c r="M154" s="230"/>
      <c r="N154" s="230"/>
      <c r="O154" s="230"/>
      <c r="P154" s="256"/>
      <c r="Q154" s="257"/>
      <c r="R154" s="228"/>
      <c r="S154" s="228"/>
      <c r="T154" s="245"/>
      <c r="U154" s="254"/>
      <c r="V154" s="254"/>
      <c r="W154" s="228"/>
      <c r="X154" s="255"/>
      <c r="Y154" s="248"/>
      <c r="Z154" s="248"/>
      <c r="AA154" s="228"/>
      <c r="AB154" s="228"/>
      <c r="AC154" s="228"/>
      <c r="AD154" s="228"/>
      <c r="AE154" s="248"/>
      <c r="AF154" s="247"/>
      <c r="AG154" s="228"/>
      <c r="AH154" s="228"/>
      <c r="AI154" s="248"/>
      <c r="AJ154" s="248"/>
      <c r="AK154" s="194"/>
      <c r="AL154" s="249"/>
      <c r="AM154" s="250"/>
      <c r="AN154" s="251"/>
      <c r="AO154" s="252"/>
      <c r="AP154" s="241"/>
      <c r="AQ154" s="241"/>
      <c r="AR154" s="241"/>
      <c r="AS154" s="194"/>
      <c r="AT154" s="195"/>
      <c r="AU154" s="195"/>
    </row>
    <row r="155" spans="1:47">
      <c r="A155" s="253"/>
      <c r="B155" s="230"/>
      <c r="C155" s="245"/>
      <c r="D155" s="230"/>
      <c r="E155" s="230"/>
      <c r="F155" s="230"/>
      <c r="G155" s="228"/>
      <c r="H155" s="230"/>
      <c r="I155" s="230"/>
      <c r="J155" s="246"/>
      <c r="K155" s="230"/>
      <c r="L155" s="230"/>
      <c r="M155" s="230"/>
      <c r="N155" s="230"/>
      <c r="O155" s="230"/>
      <c r="P155" s="256"/>
      <c r="Q155" s="257"/>
      <c r="R155" s="228"/>
      <c r="S155" s="228"/>
      <c r="T155" s="245"/>
      <c r="U155" s="254"/>
      <c r="V155" s="254"/>
      <c r="W155" s="228"/>
      <c r="X155" s="255"/>
      <c r="Y155" s="248"/>
      <c r="Z155" s="248"/>
      <c r="AA155" s="228"/>
      <c r="AB155" s="228"/>
      <c r="AC155" s="228"/>
      <c r="AD155" s="228"/>
      <c r="AE155" s="248"/>
      <c r="AF155" s="247"/>
      <c r="AG155" s="228"/>
      <c r="AH155" s="228"/>
      <c r="AI155" s="248"/>
      <c r="AJ155" s="248"/>
      <c r="AK155" s="194"/>
      <c r="AL155" s="249"/>
      <c r="AM155" s="250"/>
      <c r="AN155" s="251"/>
      <c r="AO155" s="252"/>
      <c r="AP155" s="241"/>
      <c r="AQ155" s="241"/>
      <c r="AR155" s="241"/>
      <c r="AS155" s="194"/>
      <c r="AT155" s="195"/>
      <c r="AU155" s="195"/>
    </row>
    <row r="156" spans="1:47">
      <c r="A156" s="253"/>
      <c r="B156" s="230"/>
      <c r="C156" s="245"/>
      <c r="D156" s="230"/>
      <c r="E156" s="230"/>
      <c r="F156" s="230"/>
      <c r="G156" s="228"/>
      <c r="H156" s="230"/>
      <c r="I156" s="230"/>
      <c r="J156" s="246"/>
      <c r="K156" s="230"/>
      <c r="L156" s="230"/>
      <c r="M156" s="230"/>
      <c r="N156" s="230"/>
      <c r="O156" s="230"/>
      <c r="P156" s="256"/>
      <c r="Q156" s="257"/>
      <c r="R156" s="228"/>
      <c r="S156" s="228"/>
      <c r="T156" s="245"/>
      <c r="U156" s="254"/>
      <c r="V156" s="254"/>
      <c r="W156" s="228"/>
      <c r="X156" s="255"/>
      <c r="Y156" s="248"/>
      <c r="Z156" s="248"/>
      <c r="AA156" s="228"/>
      <c r="AB156" s="228"/>
      <c r="AC156" s="228"/>
      <c r="AD156" s="228"/>
      <c r="AE156" s="248"/>
      <c r="AF156" s="247"/>
      <c r="AG156" s="228"/>
      <c r="AH156" s="228"/>
      <c r="AI156" s="248"/>
      <c r="AJ156" s="248"/>
      <c r="AK156" s="194"/>
      <c r="AL156" s="249"/>
      <c r="AM156" s="250"/>
      <c r="AN156" s="251"/>
      <c r="AO156" s="252"/>
      <c r="AP156" s="241"/>
      <c r="AQ156" s="241"/>
      <c r="AR156" s="241"/>
      <c r="AS156" s="194"/>
      <c r="AT156" s="195"/>
      <c r="AU156" s="195"/>
    </row>
    <row r="157" spans="1:47">
      <c r="A157" s="253"/>
      <c r="B157" s="230"/>
      <c r="C157" s="245"/>
      <c r="D157" s="230"/>
      <c r="E157" s="230"/>
      <c r="F157" s="230"/>
      <c r="G157" s="228"/>
      <c r="H157" s="230"/>
      <c r="I157" s="230"/>
      <c r="J157" s="246"/>
      <c r="K157" s="230"/>
      <c r="L157" s="230"/>
      <c r="M157" s="230"/>
      <c r="N157" s="230"/>
      <c r="O157" s="230"/>
      <c r="P157" s="256"/>
      <c r="Q157" s="257"/>
      <c r="R157" s="228"/>
      <c r="S157" s="228"/>
      <c r="T157" s="245"/>
      <c r="U157" s="254"/>
      <c r="V157" s="254"/>
      <c r="W157" s="228"/>
      <c r="X157" s="255"/>
      <c r="Y157" s="248"/>
      <c r="Z157" s="248"/>
      <c r="AA157" s="228"/>
      <c r="AB157" s="228"/>
      <c r="AC157" s="228"/>
      <c r="AD157" s="228"/>
      <c r="AE157" s="248"/>
      <c r="AF157" s="247"/>
      <c r="AG157" s="228"/>
      <c r="AH157" s="228"/>
      <c r="AI157" s="248"/>
      <c r="AJ157" s="248"/>
      <c r="AK157" s="194"/>
      <c r="AL157" s="249"/>
      <c r="AM157" s="250"/>
      <c r="AN157" s="251"/>
      <c r="AO157" s="252"/>
      <c r="AP157" s="241"/>
      <c r="AQ157" s="241"/>
      <c r="AR157" s="241"/>
      <c r="AS157" s="194"/>
      <c r="AT157" s="195"/>
      <c r="AU157" s="195"/>
    </row>
    <row r="158" spans="1:47">
      <c r="A158" s="253"/>
      <c r="B158" s="230"/>
      <c r="C158" s="245"/>
      <c r="D158" s="230"/>
      <c r="E158" s="230"/>
      <c r="F158" s="230"/>
      <c r="G158" s="228"/>
      <c r="H158" s="230"/>
      <c r="I158" s="230"/>
      <c r="J158" s="246"/>
      <c r="K158" s="230"/>
      <c r="L158" s="230"/>
      <c r="M158" s="230"/>
      <c r="N158" s="230"/>
      <c r="O158" s="230"/>
      <c r="P158" s="256"/>
      <c r="Q158" s="257"/>
      <c r="R158" s="228"/>
      <c r="S158" s="228"/>
      <c r="T158" s="245"/>
      <c r="U158" s="254"/>
      <c r="V158" s="254"/>
      <c r="W158" s="228"/>
      <c r="X158" s="255"/>
      <c r="Y158" s="248"/>
      <c r="Z158" s="248"/>
      <c r="AA158" s="228"/>
      <c r="AB158" s="228"/>
      <c r="AC158" s="228"/>
      <c r="AD158" s="228"/>
      <c r="AE158" s="248"/>
      <c r="AF158" s="247"/>
      <c r="AG158" s="228"/>
      <c r="AH158" s="228"/>
      <c r="AI158" s="248"/>
      <c r="AJ158" s="248"/>
      <c r="AK158" s="194"/>
      <c r="AL158" s="249"/>
      <c r="AM158" s="250"/>
      <c r="AN158" s="251"/>
      <c r="AO158" s="252"/>
      <c r="AP158" s="241"/>
      <c r="AQ158" s="241"/>
      <c r="AR158" s="241"/>
      <c r="AS158" s="194"/>
      <c r="AT158" s="195"/>
      <c r="AU158" s="195"/>
    </row>
    <row r="159" spans="1:47">
      <c r="A159" s="253"/>
      <c r="B159" s="230"/>
      <c r="C159" s="245"/>
      <c r="D159" s="230"/>
      <c r="E159" s="230"/>
      <c r="F159" s="230"/>
      <c r="G159" s="228"/>
      <c r="H159" s="230"/>
      <c r="I159" s="230"/>
      <c r="J159" s="246"/>
      <c r="K159" s="230"/>
      <c r="L159" s="230"/>
      <c r="M159" s="230"/>
      <c r="N159" s="230"/>
      <c r="O159" s="230"/>
      <c r="P159" s="256"/>
      <c r="Q159" s="257"/>
      <c r="R159" s="228"/>
      <c r="S159" s="228"/>
      <c r="T159" s="245"/>
      <c r="U159" s="254"/>
      <c r="V159" s="254"/>
      <c r="W159" s="228"/>
      <c r="X159" s="255"/>
      <c r="Y159" s="248"/>
      <c r="Z159" s="248"/>
      <c r="AA159" s="228"/>
      <c r="AB159" s="228"/>
      <c r="AC159" s="228"/>
      <c r="AD159" s="228"/>
      <c r="AE159" s="248"/>
      <c r="AF159" s="247"/>
      <c r="AG159" s="228"/>
      <c r="AH159" s="228"/>
      <c r="AI159" s="248"/>
      <c r="AJ159" s="248"/>
      <c r="AK159" s="194"/>
      <c r="AL159" s="249"/>
      <c r="AM159" s="250"/>
      <c r="AN159" s="251"/>
      <c r="AO159" s="252"/>
      <c r="AP159" s="241"/>
      <c r="AQ159" s="241"/>
      <c r="AR159" s="241"/>
      <c r="AS159" s="194"/>
      <c r="AT159" s="195"/>
      <c r="AU159" s="195"/>
    </row>
    <row r="160" spans="1:47">
      <c r="A160" s="253"/>
      <c r="B160" s="230"/>
      <c r="C160" s="245"/>
      <c r="D160" s="230"/>
      <c r="E160" s="230"/>
      <c r="F160" s="230"/>
      <c r="G160" s="228"/>
      <c r="H160" s="230"/>
      <c r="I160" s="230"/>
      <c r="J160" s="246"/>
      <c r="K160" s="230"/>
      <c r="L160" s="230"/>
      <c r="M160" s="230"/>
      <c r="N160" s="230"/>
      <c r="O160" s="230"/>
      <c r="P160" s="256"/>
      <c r="Q160" s="257"/>
      <c r="R160" s="228"/>
      <c r="S160" s="228"/>
      <c r="T160" s="245"/>
      <c r="U160" s="254"/>
      <c r="V160" s="254"/>
      <c r="W160" s="228"/>
      <c r="X160" s="255"/>
      <c r="Y160" s="248"/>
      <c r="Z160" s="248"/>
      <c r="AA160" s="228"/>
      <c r="AB160" s="228"/>
      <c r="AC160" s="228"/>
      <c r="AD160" s="228"/>
      <c r="AE160" s="248"/>
      <c r="AF160" s="247"/>
      <c r="AG160" s="228"/>
      <c r="AH160" s="228"/>
      <c r="AI160" s="248"/>
      <c r="AJ160" s="248"/>
      <c r="AK160" s="194"/>
      <c r="AL160" s="249"/>
      <c r="AM160" s="250"/>
      <c r="AN160" s="251"/>
      <c r="AO160" s="252"/>
      <c r="AP160" s="241"/>
      <c r="AQ160" s="241"/>
      <c r="AR160" s="241"/>
      <c r="AS160" s="194"/>
      <c r="AT160" s="195"/>
      <c r="AU160" s="195"/>
    </row>
    <row r="161" spans="1:47">
      <c r="A161" s="253"/>
      <c r="B161" s="230"/>
      <c r="C161" s="245"/>
      <c r="D161" s="230"/>
      <c r="E161" s="230"/>
      <c r="F161" s="230"/>
      <c r="G161" s="228"/>
      <c r="H161" s="230"/>
      <c r="I161" s="230"/>
      <c r="J161" s="246"/>
      <c r="K161" s="230"/>
      <c r="L161" s="230"/>
      <c r="M161" s="230"/>
      <c r="N161" s="230"/>
      <c r="O161" s="230"/>
      <c r="P161" s="256"/>
      <c r="Q161" s="257"/>
      <c r="R161" s="228"/>
      <c r="S161" s="228"/>
      <c r="T161" s="245"/>
      <c r="U161" s="254"/>
      <c r="V161" s="254"/>
      <c r="W161" s="228"/>
      <c r="X161" s="255"/>
      <c r="Y161" s="248"/>
      <c r="Z161" s="248"/>
      <c r="AA161" s="228"/>
      <c r="AB161" s="228"/>
      <c r="AC161" s="228"/>
      <c r="AD161" s="228"/>
      <c r="AE161" s="248"/>
      <c r="AF161" s="247"/>
      <c r="AG161" s="228"/>
      <c r="AH161" s="228"/>
      <c r="AI161" s="248"/>
      <c r="AJ161" s="248"/>
      <c r="AK161" s="194"/>
      <c r="AL161" s="249"/>
      <c r="AM161" s="250"/>
      <c r="AN161" s="251"/>
      <c r="AO161" s="252"/>
      <c r="AP161" s="241"/>
      <c r="AQ161" s="241"/>
      <c r="AR161" s="241"/>
      <c r="AS161" s="194"/>
      <c r="AT161" s="195"/>
      <c r="AU161" s="195"/>
    </row>
    <row r="162" spans="1:47">
      <c r="A162" s="253"/>
      <c r="B162" s="230"/>
      <c r="C162" s="245"/>
      <c r="D162" s="230"/>
      <c r="E162" s="230"/>
      <c r="F162" s="230"/>
      <c r="G162" s="228"/>
      <c r="H162" s="230"/>
      <c r="I162" s="230"/>
      <c r="J162" s="246"/>
      <c r="K162" s="230"/>
      <c r="L162" s="230"/>
      <c r="M162" s="230"/>
      <c r="N162" s="230"/>
      <c r="O162" s="230"/>
      <c r="P162" s="256"/>
      <c r="Q162" s="257"/>
      <c r="R162" s="228"/>
      <c r="S162" s="228"/>
      <c r="T162" s="245"/>
      <c r="U162" s="254"/>
      <c r="V162" s="254"/>
      <c r="W162" s="228"/>
      <c r="X162" s="255"/>
      <c r="Y162" s="248"/>
      <c r="Z162" s="248"/>
      <c r="AA162" s="228"/>
      <c r="AB162" s="228"/>
      <c r="AC162" s="228"/>
      <c r="AD162" s="228"/>
      <c r="AE162" s="248"/>
      <c r="AF162" s="247"/>
      <c r="AG162" s="228"/>
      <c r="AH162" s="228"/>
      <c r="AI162" s="248"/>
      <c r="AJ162" s="248"/>
      <c r="AK162" s="194"/>
      <c r="AL162" s="249"/>
      <c r="AM162" s="250"/>
      <c r="AN162" s="251"/>
      <c r="AO162" s="252"/>
      <c r="AP162" s="241"/>
      <c r="AQ162" s="241"/>
      <c r="AR162" s="241"/>
      <c r="AS162" s="194"/>
      <c r="AT162" s="195"/>
      <c r="AU162" s="195"/>
    </row>
    <row r="163" spans="1:47">
      <c r="A163" s="253"/>
      <c r="B163" s="230"/>
      <c r="C163" s="245"/>
      <c r="D163" s="230"/>
      <c r="E163" s="230"/>
      <c r="F163" s="230"/>
      <c r="G163" s="228"/>
      <c r="H163" s="230"/>
      <c r="I163" s="230"/>
      <c r="J163" s="246"/>
      <c r="K163" s="230"/>
      <c r="L163" s="230"/>
      <c r="M163" s="230"/>
      <c r="N163" s="230"/>
      <c r="O163" s="230"/>
      <c r="P163" s="256"/>
      <c r="Q163" s="257"/>
      <c r="R163" s="228"/>
      <c r="S163" s="228"/>
      <c r="T163" s="245"/>
      <c r="U163" s="254"/>
      <c r="V163" s="254"/>
      <c r="W163" s="228"/>
      <c r="X163" s="255"/>
      <c r="Y163" s="248"/>
      <c r="Z163" s="248"/>
      <c r="AA163" s="228"/>
      <c r="AB163" s="228"/>
      <c r="AC163" s="228"/>
      <c r="AD163" s="228"/>
      <c r="AE163" s="248"/>
      <c r="AF163" s="247"/>
      <c r="AG163" s="228"/>
      <c r="AH163" s="228"/>
      <c r="AI163" s="248"/>
      <c r="AJ163" s="248"/>
      <c r="AK163" s="194"/>
      <c r="AL163" s="249"/>
      <c r="AM163" s="250"/>
      <c r="AN163" s="251"/>
      <c r="AO163" s="252"/>
      <c r="AP163" s="241"/>
      <c r="AQ163" s="241"/>
      <c r="AR163" s="241"/>
      <c r="AS163" s="194"/>
      <c r="AT163" s="195"/>
      <c r="AU163" s="195"/>
    </row>
    <row r="164" spans="1:47">
      <c r="A164" s="253"/>
      <c r="B164" s="230"/>
      <c r="C164" s="245"/>
      <c r="D164" s="230"/>
      <c r="E164" s="230"/>
      <c r="F164" s="230"/>
      <c r="G164" s="228"/>
      <c r="H164" s="230"/>
      <c r="I164" s="230"/>
      <c r="J164" s="246"/>
      <c r="K164" s="230"/>
      <c r="L164" s="230"/>
      <c r="M164" s="230"/>
      <c r="N164" s="230"/>
      <c r="O164" s="230"/>
      <c r="P164" s="256"/>
      <c r="Q164" s="257"/>
      <c r="R164" s="228"/>
      <c r="S164" s="228"/>
      <c r="T164" s="245"/>
      <c r="U164" s="254"/>
      <c r="V164" s="254"/>
      <c r="W164" s="228"/>
      <c r="X164" s="255"/>
      <c r="Y164" s="248"/>
      <c r="Z164" s="248"/>
      <c r="AA164" s="228"/>
      <c r="AB164" s="228"/>
      <c r="AC164" s="228"/>
      <c r="AD164" s="228"/>
      <c r="AE164" s="248"/>
      <c r="AF164" s="247"/>
      <c r="AG164" s="228"/>
      <c r="AH164" s="228"/>
      <c r="AI164" s="248"/>
      <c r="AJ164" s="248"/>
      <c r="AK164" s="194"/>
      <c r="AL164" s="249"/>
      <c r="AM164" s="250"/>
      <c r="AN164" s="251"/>
      <c r="AO164" s="252"/>
      <c r="AP164" s="241"/>
      <c r="AQ164" s="241"/>
      <c r="AR164" s="241"/>
      <c r="AS164" s="194"/>
      <c r="AT164" s="195"/>
      <c r="AU164" s="195"/>
    </row>
    <row r="165" spans="1:47">
      <c r="A165" s="253"/>
      <c r="B165" s="230"/>
      <c r="C165" s="245"/>
      <c r="D165" s="230"/>
      <c r="E165" s="230"/>
      <c r="F165" s="230"/>
      <c r="G165" s="228"/>
      <c r="H165" s="230"/>
      <c r="I165" s="230"/>
      <c r="J165" s="246"/>
      <c r="K165" s="230"/>
      <c r="L165" s="230"/>
      <c r="M165" s="230"/>
      <c r="N165" s="230"/>
      <c r="O165" s="230"/>
      <c r="P165" s="256"/>
      <c r="Q165" s="257"/>
      <c r="R165" s="228"/>
      <c r="S165" s="228"/>
      <c r="T165" s="245"/>
      <c r="U165" s="254"/>
      <c r="V165" s="254"/>
      <c r="W165" s="228"/>
      <c r="X165" s="255"/>
      <c r="Y165" s="248"/>
      <c r="Z165" s="248"/>
      <c r="AA165" s="228"/>
      <c r="AB165" s="228"/>
      <c r="AC165" s="228"/>
      <c r="AD165" s="228"/>
      <c r="AE165" s="248"/>
      <c r="AF165" s="247"/>
      <c r="AG165" s="228"/>
      <c r="AH165" s="228"/>
      <c r="AI165" s="248"/>
      <c r="AJ165" s="248"/>
      <c r="AK165" s="194"/>
      <c r="AL165" s="249"/>
      <c r="AM165" s="250"/>
      <c r="AN165" s="251"/>
      <c r="AO165" s="252"/>
      <c r="AP165" s="241"/>
      <c r="AQ165" s="241"/>
      <c r="AR165" s="241"/>
      <c r="AS165" s="194"/>
      <c r="AT165" s="195"/>
      <c r="AU165" s="195"/>
    </row>
    <row r="166" spans="1:47">
      <c r="A166" s="253"/>
      <c r="B166" s="230"/>
      <c r="C166" s="245"/>
      <c r="D166" s="230"/>
      <c r="E166" s="230"/>
      <c r="F166" s="230"/>
      <c r="G166" s="228"/>
      <c r="H166" s="230"/>
      <c r="I166" s="230"/>
      <c r="J166" s="246"/>
      <c r="K166" s="230"/>
      <c r="L166" s="230"/>
      <c r="M166" s="230"/>
      <c r="N166" s="230"/>
      <c r="O166" s="230"/>
      <c r="P166" s="256"/>
      <c r="Q166" s="257"/>
      <c r="R166" s="228"/>
      <c r="S166" s="228"/>
      <c r="T166" s="245"/>
      <c r="U166" s="254"/>
      <c r="V166" s="254"/>
      <c r="W166" s="228"/>
      <c r="X166" s="255"/>
      <c r="Y166" s="248"/>
      <c r="Z166" s="248"/>
      <c r="AA166" s="228"/>
      <c r="AB166" s="228"/>
      <c r="AC166" s="228"/>
      <c r="AD166" s="228"/>
      <c r="AE166" s="248"/>
      <c r="AF166" s="247"/>
      <c r="AG166" s="228"/>
      <c r="AH166" s="228"/>
      <c r="AI166" s="248"/>
      <c r="AJ166" s="248"/>
      <c r="AK166" s="194"/>
      <c r="AL166" s="249"/>
      <c r="AM166" s="250"/>
      <c r="AN166" s="251"/>
      <c r="AO166" s="252"/>
      <c r="AP166" s="241"/>
      <c r="AQ166" s="241"/>
      <c r="AR166" s="241"/>
      <c r="AS166" s="194"/>
      <c r="AT166" s="195"/>
      <c r="AU166" s="195"/>
    </row>
    <row r="167" spans="1:47">
      <c r="A167" s="253"/>
      <c r="B167" s="230"/>
      <c r="C167" s="245"/>
      <c r="D167" s="230"/>
      <c r="E167" s="230"/>
      <c r="F167" s="230"/>
      <c r="G167" s="228"/>
      <c r="H167" s="230"/>
      <c r="I167" s="230"/>
      <c r="J167" s="246"/>
      <c r="K167" s="230"/>
      <c r="L167" s="230"/>
      <c r="M167" s="230"/>
      <c r="N167" s="230"/>
      <c r="O167" s="230"/>
      <c r="P167" s="256"/>
      <c r="Q167" s="257"/>
      <c r="R167" s="228"/>
      <c r="S167" s="228"/>
      <c r="T167" s="245"/>
      <c r="U167" s="254"/>
      <c r="V167" s="254"/>
      <c r="W167" s="228"/>
      <c r="X167" s="255"/>
      <c r="Y167" s="248"/>
      <c r="Z167" s="248"/>
      <c r="AA167" s="228"/>
      <c r="AB167" s="228"/>
      <c r="AC167" s="228"/>
      <c r="AD167" s="228"/>
      <c r="AE167" s="248"/>
      <c r="AF167" s="247"/>
      <c r="AG167" s="228"/>
      <c r="AH167" s="228"/>
      <c r="AI167" s="248"/>
      <c r="AJ167" s="248"/>
      <c r="AK167" s="194"/>
      <c r="AL167" s="249"/>
      <c r="AM167" s="250"/>
      <c r="AN167" s="251"/>
      <c r="AO167" s="252"/>
      <c r="AP167" s="241"/>
      <c r="AQ167" s="241"/>
      <c r="AR167" s="241"/>
      <c r="AS167" s="194"/>
      <c r="AT167" s="195"/>
      <c r="AU167" s="195"/>
    </row>
    <row r="168" spans="1:47">
      <c r="A168" s="253"/>
      <c r="B168" s="230"/>
      <c r="C168" s="245"/>
      <c r="D168" s="230"/>
      <c r="E168" s="230"/>
      <c r="F168" s="230"/>
      <c r="G168" s="228"/>
      <c r="H168" s="230"/>
      <c r="I168" s="230"/>
      <c r="J168" s="246"/>
      <c r="K168" s="230"/>
      <c r="L168" s="230"/>
      <c r="M168" s="230"/>
      <c r="N168" s="230"/>
      <c r="O168" s="230"/>
      <c r="P168" s="256"/>
      <c r="Q168" s="257"/>
      <c r="R168" s="228"/>
      <c r="S168" s="228"/>
      <c r="T168" s="245"/>
      <c r="U168" s="254"/>
      <c r="V168" s="254"/>
      <c r="W168" s="228"/>
      <c r="X168" s="255"/>
      <c r="Y168" s="248"/>
      <c r="Z168" s="248"/>
      <c r="AA168" s="228"/>
      <c r="AB168" s="228"/>
      <c r="AC168" s="228"/>
      <c r="AD168" s="228"/>
      <c r="AE168" s="248"/>
      <c r="AF168" s="247"/>
      <c r="AG168" s="228"/>
      <c r="AH168" s="228"/>
      <c r="AI168" s="248"/>
      <c r="AJ168" s="248"/>
      <c r="AK168" s="194"/>
      <c r="AL168" s="249"/>
      <c r="AM168" s="250"/>
      <c r="AN168" s="251"/>
      <c r="AO168" s="252"/>
      <c r="AP168" s="241"/>
      <c r="AQ168" s="241"/>
      <c r="AR168" s="241"/>
      <c r="AS168" s="194"/>
      <c r="AT168" s="195"/>
      <c r="AU168" s="195"/>
    </row>
    <row r="169" spans="1:47">
      <c r="A169" s="253"/>
      <c r="B169" s="230"/>
      <c r="C169" s="245"/>
      <c r="D169" s="230"/>
      <c r="E169" s="230"/>
      <c r="F169" s="230"/>
      <c r="G169" s="228"/>
      <c r="H169" s="230"/>
      <c r="I169" s="230"/>
      <c r="J169" s="246"/>
      <c r="K169" s="230"/>
      <c r="L169" s="230"/>
      <c r="M169" s="230"/>
      <c r="N169" s="230"/>
      <c r="O169" s="230"/>
      <c r="P169" s="256"/>
      <c r="Q169" s="257"/>
      <c r="R169" s="228"/>
      <c r="S169" s="228"/>
      <c r="T169" s="245"/>
      <c r="U169" s="254"/>
      <c r="V169" s="254"/>
      <c r="W169" s="228"/>
      <c r="X169" s="255"/>
      <c r="Y169" s="248"/>
      <c r="Z169" s="248"/>
      <c r="AA169" s="228"/>
      <c r="AB169" s="228"/>
      <c r="AC169" s="228"/>
      <c r="AD169" s="228"/>
      <c r="AE169" s="248"/>
      <c r="AF169" s="247"/>
      <c r="AG169" s="228"/>
      <c r="AH169" s="228"/>
      <c r="AI169" s="248"/>
      <c r="AJ169" s="248"/>
      <c r="AK169" s="194"/>
      <c r="AL169" s="249"/>
      <c r="AM169" s="250"/>
      <c r="AN169" s="251"/>
      <c r="AO169" s="252"/>
      <c r="AP169" s="241"/>
      <c r="AQ169" s="241"/>
      <c r="AR169" s="241"/>
      <c r="AS169" s="194"/>
      <c r="AT169" s="195"/>
      <c r="AU169" s="195"/>
    </row>
    <row r="170" spans="1:47">
      <c r="A170" s="253"/>
      <c r="B170" s="230"/>
      <c r="C170" s="245"/>
      <c r="D170" s="230"/>
      <c r="E170" s="230"/>
      <c r="F170" s="230"/>
      <c r="G170" s="228"/>
      <c r="H170" s="230"/>
      <c r="I170" s="230"/>
      <c r="J170" s="246"/>
      <c r="K170" s="230"/>
      <c r="L170" s="230"/>
      <c r="M170" s="230"/>
      <c r="N170" s="230"/>
      <c r="O170" s="230"/>
      <c r="P170" s="256"/>
      <c r="Q170" s="257"/>
      <c r="R170" s="228"/>
      <c r="S170" s="228"/>
      <c r="T170" s="245"/>
      <c r="U170" s="254"/>
      <c r="V170" s="254"/>
      <c r="W170" s="228"/>
      <c r="X170" s="255"/>
      <c r="Y170" s="248"/>
      <c r="Z170" s="248"/>
      <c r="AA170" s="228"/>
      <c r="AB170" s="228"/>
      <c r="AC170" s="228"/>
      <c r="AD170" s="228"/>
      <c r="AE170" s="248"/>
      <c r="AF170" s="247"/>
      <c r="AG170" s="228"/>
      <c r="AH170" s="228"/>
      <c r="AI170" s="248"/>
      <c r="AJ170" s="248"/>
      <c r="AK170" s="194"/>
      <c r="AL170" s="249"/>
      <c r="AM170" s="250"/>
      <c r="AN170" s="251"/>
      <c r="AO170" s="252"/>
      <c r="AP170" s="241"/>
      <c r="AQ170" s="241"/>
      <c r="AR170" s="241"/>
      <c r="AS170" s="194"/>
      <c r="AT170" s="195"/>
      <c r="AU170" s="195"/>
    </row>
    <row r="171" spans="1:47">
      <c r="A171" s="253"/>
      <c r="B171" s="230"/>
      <c r="C171" s="245"/>
      <c r="D171" s="230"/>
      <c r="E171" s="230"/>
      <c r="F171" s="230"/>
      <c r="G171" s="228"/>
      <c r="H171" s="230"/>
      <c r="I171" s="230"/>
      <c r="J171" s="246"/>
      <c r="K171" s="230"/>
      <c r="L171" s="230"/>
      <c r="M171" s="230"/>
      <c r="N171" s="230"/>
      <c r="O171" s="230"/>
      <c r="P171" s="256"/>
      <c r="Q171" s="257"/>
      <c r="R171" s="228"/>
      <c r="S171" s="228"/>
      <c r="T171" s="245"/>
      <c r="U171" s="254"/>
      <c r="V171" s="254"/>
      <c r="W171" s="228"/>
      <c r="X171" s="255"/>
      <c r="Y171" s="248"/>
      <c r="Z171" s="248"/>
      <c r="AA171" s="228"/>
      <c r="AB171" s="228"/>
      <c r="AC171" s="228"/>
      <c r="AD171" s="228"/>
      <c r="AE171" s="248"/>
      <c r="AF171" s="247"/>
      <c r="AG171" s="228"/>
      <c r="AH171" s="228"/>
      <c r="AI171" s="248"/>
      <c r="AJ171" s="248"/>
      <c r="AK171" s="194"/>
      <c r="AL171" s="249"/>
      <c r="AM171" s="250"/>
      <c r="AN171" s="251"/>
      <c r="AO171" s="252"/>
      <c r="AP171" s="241"/>
      <c r="AQ171" s="241"/>
      <c r="AR171" s="241"/>
      <c r="AS171" s="194"/>
      <c r="AT171" s="195"/>
      <c r="AU171" s="195"/>
    </row>
    <row r="172" spans="1:47">
      <c r="A172" s="253"/>
      <c r="B172" s="230"/>
      <c r="C172" s="245"/>
      <c r="D172" s="230"/>
      <c r="E172" s="230"/>
      <c r="F172" s="230"/>
      <c r="G172" s="228"/>
      <c r="H172" s="230"/>
      <c r="I172" s="230"/>
      <c r="J172" s="246"/>
      <c r="K172" s="230"/>
      <c r="L172" s="230"/>
      <c r="M172" s="230"/>
      <c r="N172" s="230"/>
      <c r="O172" s="230"/>
      <c r="P172" s="256"/>
      <c r="Q172" s="257"/>
      <c r="R172" s="228"/>
      <c r="S172" s="228"/>
      <c r="T172" s="245"/>
      <c r="U172" s="254"/>
      <c r="V172" s="254"/>
      <c r="W172" s="228"/>
      <c r="X172" s="255"/>
      <c r="Y172" s="248"/>
      <c r="Z172" s="248"/>
      <c r="AA172" s="228"/>
      <c r="AB172" s="228"/>
      <c r="AC172" s="228"/>
      <c r="AD172" s="228"/>
      <c r="AE172" s="248"/>
      <c r="AF172" s="247"/>
      <c r="AG172" s="228"/>
      <c r="AH172" s="228"/>
      <c r="AI172" s="248"/>
      <c r="AJ172" s="248"/>
      <c r="AK172" s="194"/>
      <c r="AL172" s="249"/>
      <c r="AM172" s="250"/>
      <c r="AN172" s="251"/>
      <c r="AO172" s="252"/>
      <c r="AP172" s="241"/>
      <c r="AQ172" s="241"/>
      <c r="AR172" s="241"/>
      <c r="AS172" s="194"/>
      <c r="AT172" s="195"/>
      <c r="AU172" s="195"/>
    </row>
    <row r="173" spans="1:47">
      <c r="A173" s="253"/>
      <c r="B173" s="230"/>
      <c r="C173" s="245"/>
      <c r="D173" s="230"/>
      <c r="E173" s="230"/>
      <c r="F173" s="230"/>
      <c r="G173" s="228"/>
      <c r="H173" s="230"/>
      <c r="I173" s="230"/>
      <c r="J173" s="246"/>
      <c r="K173" s="230"/>
      <c r="L173" s="230"/>
      <c r="M173" s="230"/>
      <c r="N173" s="230"/>
      <c r="O173" s="230"/>
      <c r="P173" s="256"/>
      <c r="Q173" s="257"/>
      <c r="R173" s="228"/>
      <c r="S173" s="228"/>
      <c r="T173" s="245"/>
      <c r="U173" s="254"/>
      <c r="V173" s="254"/>
      <c r="W173" s="228"/>
      <c r="X173" s="255"/>
      <c r="Y173" s="248"/>
      <c r="Z173" s="248"/>
      <c r="AA173" s="228"/>
      <c r="AB173" s="228"/>
      <c r="AC173" s="228"/>
      <c r="AD173" s="228"/>
      <c r="AE173" s="248"/>
      <c r="AF173" s="247"/>
      <c r="AG173" s="228"/>
      <c r="AH173" s="228"/>
      <c r="AI173" s="248"/>
      <c r="AJ173" s="248"/>
      <c r="AK173" s="194"/>
      <c r="AL173" s="249"/>
      <c r="AM173" s="250"/>
      <c r="AN173" s="251"/>
      <c r="AO173" s="252"/>
      <c r="AP173" s="241"/>
      <c r="AQ173" s="241"/>
      <c r="AR173" s="241"/>
      <c r="AS173" s="194"/>
      <c r="AT173" s="195"/>
      <c r="AU173" s="195"/>
    </row>
    <row r="174" spans="1:47">
      <c r="A174" s="253"/>
      <c r="B174" s="230"/>
      <c r="C174" s="245"/>
      <c r="D174" s="230"/>
      <c r="E174" s="230"/>
      <c r="F174" s="230"/>
      <c r="G174" s="228"/>
      <c r="H174" s="230"/>
      <c r="I174" s="230"/>
      <c r="J174" s="246"/>
      <c r="K174" s="230"/>
      <c r="L174" s="230"/>
      <c r="M174" s="230"/>
      <c r="N174" s="230"/>
      <c r="O174" s="230"/>
      <c r="P174" s="256"/>
      <c r="Q174" s="257"/>
      <c r="R174" s="228"/>
      <c r="S174" s="228"/>
      <c r="T174" s="245"/>
      <c r="U174" s="254"/>
      <c r="V174" s="254"/>
      <c r="W174" s="228"/>
      <c r="X174" s="255"/>
      <c r="Y174" s="248"/>
      <c r="Z174" s="248"/>
      <c r="AA174" s="228"/>
      <c r="AB174" s="228"/>
      <c r="AC174" s="228"/>
      <c r="AD174" s="228"/>
      <c r="AE174" s="248"/>
      <c r="AF174" s="247"/>
      <c r="AG174" s="228"/>
      <c r="AH174" s="228"/>
      <c r="AI174" s="248"/>
      <c r="AJ174" s="248"/>
      <c r="AK174" s="194"/>
      <c r="AL174" s="249"/>
      <c r="AM174" s="250"/>
      <c r="AN174" s="251"/>
      <c r="AO174" s="252"/>
      <c r="AP174" s="241"/>
      <c r="AQ174" s="241"/>
      <c r="AR174" s="241"/>
      <c r="AS174" s="194"/>
      <c r="AT174" s="195"/>
      <c r="AU174" s="195"/>
    </row>
    <row r="175" spans="1:47">
      <c r="A175" s="253"/>
      <c r="B175" s="230"/>
      <c r="C175" s="245"/>
      <c r="D175" s="230"/>
      <c r="E175" s="230"/>
      <c r="F175" s="230"/>
      <c r="G175" s="228"/>
      <c r="H175" s="230"/>
      <c r="I175" s="230"/>
      <c r="J175" s="246"/>
      <c r="K175" s="230"/>
      <c r="L175" s="230"/>
      <c r="M175" s="230"/>
      <c r="N175" s="230"/>
      <c r="O175" s="230"/>
      <c r="P175" s="256"/>
      <c r="Q175" s="257"/>
      <c r="R175" s="228"/>
      <c r="S175" s="228"/>
      <c r="T175" s="245"/>
      <c r="U175" s="254"/>
      <c r="V175" s="254"/>
      <c r="W175" s="228"/>
      <c r="X175" s="255"/>
      <c r="Y175" s="248"/>
      <c r="Z175" s="248"/>
      <c r="AA175" s="228"/>
      <c r="AB175" s="228"/>
      <c r="AC175" s="228"/>
      <c r="AD175" s="228"/>
      <c r="AE175" s="248"/>
      <c r="AF175" s="247"/>
      <c r="AG175" s="228"/>
      <c r="AH175" s="228"/>
      <c r="AI175" s="248"/>
      <c r="AJ175" s="248"/>
      <c r="AK175" s="194"/>
      <c r="AL175" s="249"/>
      <c r="AM175" s="250"/>
      <c r="AN175" s="251"/>
      <c r="AO175" s="252"/>
      <c r="AP175" s="241"/>
      <c r="AQ175" s="241"/>
      <c r="AR175" s="241"/>
      <c r="AS175" s="194"/>
      <c r="AT175" s="195"/>
      <c r="AU175" s="195"/>
    </row>
    <row r="176" spans="1:47">
      <c r="A176" s="253"/>
      <c r="B176" s="230"/>
      <c r="C176" s="245"/>
      <c r="D176" s="230"/>
      <c r="E176" s="230"/>
      <c r="F176" s="230"/>
      <c r="G176" s="228"/>
      <c r="H176" s="230"/>
      <c r="I176" s="230"/>
      <c r="J176" s="246"/>
      <c r="K176" s="230"/>
      <c r="L176" s="230"/>
      <c r="M176" s="230"/>
      <c r="N176" s="230"/>
      <c r="O176" s="230"/>
      <c r="P176" s="256"/>
      <c r="Q176" s="257"/>
      <c r="R176" s="228"/>
      <c r="S176" s="228"/>
      <c r="T176" s="245"/>
      <c r="U176" s="254"/>
      <c r="V176" s="254"/>
      <c r="W176" s="228"/>
      <c r="X176" s="255"/>
      <c r="Y176" s="248"/>
      <c r="Z176" s="248"/>
      <c r="AA176" s="228"/>
      <c r="AB176" s="228"/>
      <c r="AC176" s="228"/>
      <c r="AD176" s="228"/>
      <c r="AE176" s="248"/>
      <c r="AF176" s="247"/>
      <c r="AG176" s="228"/>
      <c r="AH176" s="228"/>
      <c r="AI176" s="248"/>
      <c r="AJ176" s="248"/>
      <c r="AK176" s="194"/>
      <c r="AL176" s="249"/>
      <c r="AM176" s="250"/>
      <c r="AN176" s="251"/>
      <c r="AO176" s="252"/>
      <c r="AP176" s="241"/>
      <c r="AQ176" s="241"/>
      <c r="AR176" s="241"/>
      <c r="AS176" s="194"/>
      <c r="AT176" s="195"/>
      <c r="AU176" s="195"/>
    </row>
    <row r="177" spans="1:47">
      <c r="A177" s="253"/>
      <c r="B177" s="230"/>
      <c r="C177" s="245"/>
      <c r="D177" s="230"/>
      <c r="E177" s="230"/>
      <c r="F177" s="230"/>
      <c r="G177" s="228"/>
      <c r="H177" s="230"/>
      <c r="I177" s="230"/>
      <c r="J177" s="246"/>
      <c r="K177" s="230"/>
      <c r="L177" s="230"/>
      <c r="M177" s="230"/>
      <c r="N177" s="230"/>
      <c r="O177" s="230"/>
      <c r="P177" s="256"/>
      <c r="Q177" s="257"/>
      <c r="R177" s="228"/>
      <c r="S177" s="228"/>
      <c r="T177" s="245"/>
      <c r="U177" s="254"/>
      <c r="V177" s="254"/>
      <c r="W177" s="228"/>
      <c r="X177" s="255"/>
      <c r="Y177" s="248"/>
      <c r="Z177" s="248"/>
      <c r="AA177" s="228"/>
      <c r="AB177" s="228"/>
      <c r="AC177" s="228"/>
      <c r="AD177" s="228"/>
      <c r="AE177" s="248"/>
      <c r="AF177" s="247"/>
      <c r="AG177" s="228"/>
      <c r="AH177" s="228"/>
      <c r="AI177" s="248"/>
      <c r="AJ177" s="248"/>
      <c r="AK177" s="194"/>
      <c r="AL177" s="249"/>
      <c r="AM177" s="250"/>
      <c r="AN177" s="251"/>
      <c r="AO177" s="252"/>
      <c r="AP177" s="241"/>
      <c r="AQ177" s="241"/>
      <c r="AR177" s="241"/>
      <c r="AS177" s="194"/>
      <c r="AT177" s="195"/>
      <c r="AU177" s="195"/>
    </row>
    <row r="178" spans="1:47">
      <c r="A178" s="253"/>
      <c r="B178" s="230"/>
      <c r="C178" s="245"/>
      <c r="D178" s="230"/>
      <c r="E178" s="230"/>
      <c r="F178" s="230"/>
      <c r="G178" s="228"/>
      <c r="H178" s="230"/>
      <c r="I178" s="230"/>
      <c r="J178" s="246"/>
      <c r="K178" s="230"/>
      <c r="L178" s="230"/>
      <c r="M178" s="230"/>
      <c r="N178" s="230"/>
      <c r="O178" s="230"/>
      <c r="P178" s="256"/>
      <c r="Q178" s="257"/>
      <c r="R178" s="228"/>
      <c r="S178" s="228"/>
      <c r="T178" s="245"/>
      <c r="U178" s="254"/>
      <c r="V178" s="254"/>
      <c r="W178" s="228"/>
      <c r="X178" s="255"/>
      <c r="Y178" s="248"/>
      <c r="Z178" s="248"/>
      <c r="AA178" s="228"/>
      <c r="AB178" s="228"/>
      <c r="AC178" s="228"/>
      <c r="AD178" s="228"/>
      <c r="AE178" s="248"/>
      <c r="AF178" s="247"/>
      <c r="AG178" s="228"/>
      <c r="AH178" s="228"/>
      <c r="AI178" s="248"/>
      <c r="AJ178" s="248"/>
      <c r="AK178" s="194"/>
      <c r="AL178" s="249"/>
      <c r="AM178" s="250"/>
      <c r="AN178" s="251"/>
      <c r="AO178" s="252"/>
      <c r="AP178" s="241"/>
      <c r="AQ178" s="241"/>
      <c r="AR178" s="241"/>
      <c r="AS178" s="194"/>
      <c r="AT178" s="195"/>
      <c r="AU178" s="195"/>
    </row>
    <row r="179" spans="1:47">
      <c r="A179" s="253"/>
      <c r="B179" s="230"/>
      <c r="C179" s="245"/>
      <c r="D179" s="230"/>
      <c r="E179" s="230"/>
      <c r="F179" s="230"/>
      <c r="G179" s="228"/>
      <c r="H179" s="230"/>
      <c r="I179" s="230"/>
      <c r="J179" s="246"/>
      <c r="K179" s="230"/>
      <c r="L179" s="230"/>
      <c r="M179" s="230"/>
      <c r="N179" s="230"/>
      <c r="O179" s="230"/>
      <c r="P179" s="256"/>
      <c r="Q179" s="257"/>
      <c r="R179" s="228"/>
      <c r="S179" s="228"/>
      <c r="T179" s="245"/>
      <c r="U179" s="254"/>
      <c r="V179" s="254"/>
      <c r="W179" s="228"/>
      <c r="X179" s="255"/>
      <c r="Y179" s="248"/>
      <c r="Z179" s="248"/>
      <c r="AA179" s="228"/>
      <c r="AB179" s="228"/>
      <c r="AC179" s="228"/>
      <c r="AD179" s="228"/>
      <c r="AE179" s="248"/>
      <c r="AF179" s="247"/>
      <c r="AG179" s="228"/>
      <c r="AH179" s="228"/>
      <c r="AI179" s="248"/>
      <c r="AJ179" s="248"/>
      <c r="AK179" s="194"/>
      <c r="AL179" s="249"/>
      <c r="AM179" s="250"/>
      <c r="AN179" s="251"/>
      <c r="AO179" s="252"/>
      <c r="AP179" s="241"/>
      <c r="AQ179" s="241"/>
      <c r="AR179" s="241"/>
      <c r="AS179" s="194"/>
      <c r="AT179" s="195"/>
      <c r="AU179" s="195"/>
    </row>
    <row r="180" spans="1:47">
      <c r="A180" s="253"/>
      <c r="B180" s="230"/>
      <c r="C180" s="245"/>
      <c r="D180" s="230"/>
      <c r="E180" s="230"/>
      <c r="F180" s="230"/>
      <c r="G180" s="228"/>
      <c r="H180" s="230"/>
      <c r="I180" s="230"/>
      <c r="J180" s="246"/>
      <c r="K180" s="230"/>
      <c r="L180" s="230"/>
      <c r="M180" s="230"/>
      <c r="N180" s="230"/>
      <c r="O180" s="230"/>
      <c r="P180" s="256"/>
      <c r="Q180" s="257"/>
      <c r="R180" s="228"/>
      <c r="S180" s="228"/>
      <c r="T180" s="245"/>
      <c r="U180" s="254"/>
      <c r="V180" s="254"/>
      <c r="W180" s="228"/>
      <c r="X180" s="255"/>
      <c r="Y180" s="248"/>
      <c r="Z180" s="248"/>
      <c r="AA180" s="228"/>
      <c r="AB180" s="228"/>
      <c r="AC180" s="228"/>
      <c r="AD180" s="228"/>
      <c r="AE180" s="248"/>
      <c r="AF180" s="247"/>
      <c r="AG180" s="228"/>
      <c r="AH180" s="228"/>
      <c r="AI180" s="248"/>
      <c r="AJ180" s="248"/>
      <c r="AK180" s="194"/>
      <c r="AL180" s="249"/>
      <c r="AM180" s="250"/>
      <c r="AN180" s="251"/>
      <c r="AO180" s="252"/>
      <c r="AP180" s="241"/>
      <c r="AQ180" s="241"/>
      <c r="AR180" s="241"/>
      <c r="AS180" s="194"/>
      <c r="AT180" s="195"/>
      <c r="AU180" s="195"/>
    </row>
    <row r="181" spans="1:47">
      <c r="A181" s="253"/>
      <c r="B181" s="230"/>
      <c r="C181" s="245"/>
      <c r="D181" s="230"/>
      <c r="E181" s="230"/>
      <c r="F181" s="230"/>
      <c r="G181" s="228"/>
      <c r="H181" s="230"/>
      <c r="I181" s="230"/>
      <c r="J181" s="246"/>
      <c r="K181" s="230"/>
      <c r="L181" s="230"/>
      <c r="M181" s="230"/>
      <c r="N181" s="230"/>
      <c r="O181" s="230"/>
      <c r="P181" s="256"/>
      <c r="Q181" s="257"/>
      <c r="R181" s="228"/>
      <c r="S181" s="228"/>
      <c r="T181" s="245"/>
      <c r="U181" s="254"/>
      <c r="V181" s="254"/>
      <c r="W181" s="228"/>
      <c r="X181" s="255"/>
      <c r="Y181" s="248"/>
      <c r="Z181" s="248"/>
      <c r="AA181" s="228"/>
      <c r="AB181" s="228"/>
      <c r="AC181" s="228"/>
      <c r="AD181" s="228"/>
      <c r="AE181" s="248"/>
      <c r="AF181" s="247"/>
      <c r="AG181" s="228"/>
      <c r="AH181" s="228"/>
      <c r="AI181" s="248"/>
      <c r="AJ181" s="248"/>
      <c r="AK181" s="194"/>
      <c r="AL181" s="249"/>
      <c r="AM181" s="250"/>
      <c r="AN181" s="251"/>
      <c r="AO181" s="252"/>
      <c r="AP181" s="241"/>
      <c r="AQ181" s="241"/>
      <c r="AR181" s="241"/>
      <c r="AS181" s="194"/>
      <c r="AT181" s="195"/>
      <c r="AU181" s="195"/>
    </row>
    <row r="182" spans="1:47">
      <c r="A182" s="253"/>
      <c r="B182" s="230"/>
      <c r="C182" s="245"/>
      <c r="D182" s="230"/>
      <c r="E182" s="230"/>
      <c r="F182" s="230"/>
      <c r="G182" s="228"/>
      <c r="H182" s="230"/>
      <c r="I182" s="230"/>
      <c r="J182" s="246"/>
      <c r="K182" s="230"/>
      <c r="L182" s="230"/>
      <c r="M182" s="230"/>
      <c r="N182" s="230"/>
      <c r="O182" s="230"/>
      <c r="P182" s="256"/>
      <c r="Q182" s="257"/>
      <c r="R182" s="228"/>
      <c r="S182" s="228"/>
      <c r="T182" s="245"/>
      <c r="U182" s="254"/>
      <c r="V182" s="254"/>
      <c r="W182" s="228"/>
      <c r="X182" s="255"/>
      <c r="Y182" s="248"/>
      <c r="Z182" s="248"/>
      <c r="AA182" s="228"/>
      <c r="AB182" s="228"/>
      <c r="AC182" s="228"/>
      <c r="AD182" s="228"/>
      <c r="AE182" s="248"/>
      <c r="AF182" s="247"/>
      <c r="AG182" s="228"/>
      <c r="AH182" s="228"/>
      <c r="AI182" s="248"/>
      <c r="AJ182" s="248"/>
      <c r="AK182" s="194"/>
      <c r="AL182" s="249"/>
      <c r="AM182" s="250"/>
      <c r="AN182" s="251"/>
      <c r="AO182" s="252"/>
      <c r="AP182" s="241"/>
      <c r="AQ182" s="241"/>
      <c r="AR182" s="241"/>
      <c r="AS182" s="194"/>
      <c r="AT182" s="195"/>
      <c r="AU182" s="195"/>
    </row>
    <row r="183" spans="1:47">
      <c r="A183" s="253"/>
      <c r="B183" s="230"/>
      <c r="C183" s="245"/>
      <c r="D183" s="230"/>
      <c r="E183" s="230"/>
      <c r="F183" s="230"/>
      <c r="G183" s="228"/>
      <c r="H183" s="230"/>
      <c r="I183" s="230"/>
      <c r="J183" s="246"/>
      <c r="K183" s="230"/>
      <c r="L183" s="230"/>
      <c r="M183" s="230"/>
      <c r="N183" s="230"/>
      <c r="O183" s="230"/>
      <c r="P183" s="256"/>
      <c r="Q183" s="257"/>
      <c r="R183" s="228"/>
      <c r="S183" s="228"/>
      <c r="T183" s="245"/>
      <c r="U183" s="254"/>
      <c r="V183" s="254"/>
      <c r="W183" s="228"/>
      <c r="X183" s="255"/>
      <c r="Y183" s="248"/>
      <c r="Z183" s="248"/>
      <c r="AA183" s="228"/>
      <c r="AB183" s="228"/>
      <c r="AC183" s="228"/>
      <c r="AD183" s="228"/>
      <c r="AE183" s="248"/>
      <c r="AF183" s="247"/>
      <c r="AG183" s="228"/>
      <c r="AH183" s="228"/>
      <c r="AI183" s="248"/>
      <c r="AJ183" s="248"/>
      <c r="AK183" s="194"/>
      <c r="AL183" s="249"/>
      <c r="AM183" s="250"/>
      <c r="AN183" s="251"/>
      <c r="AO183" s="252"/>
      <c r="AP183" s="241"/>
      <c r="AQ183" s="241"/>
      <c r="AR183" s="241"/>
      <c r="AS183" s="194"/>
      <c r="AT183" s="195"/>
      <c r="AU183" s="195"/>
    </row>
    <row r="184" spans="1:47">
      <c r="A184" s="253"/>
      <c r="B184" s="230"/>
      <c r="C184" s="245"/>
      <c r="D184" s="230"/>
      <c r="E184" s="230"/>
      <c r="F184" s="230"/>
      <c r="G184" s="228"/>
      <c r="H184" s="230"/>
      <c r="I184" s="230"/>
      <c r="J184" s="246"/>
      <c r="K184" s="230"/>
      <c r="L184" s="230"/>
      <c r="M184" s="230"/>
      <c r="N184" s="230"/>
      <c r="O184" s="230"/>
      <c r="P184" s="256"/>
      <c r="Q184" s="257"/>
      <c r="R184" s="228"/>
      <c r="S184" s="228"/>
      <c r="T184" s="245"/>
      <c r="U184" s="254"/>
      <c r="V184" s="254"/>
      <c r="W184" s="228"/>
      <c r="X184" s="255"/>
      <c r="Y184" s="248"/>
      <c r="Z184" s="248"/>
      <c r="AA184" s="228"/>
      <c r="AB184" s="228"/>
      <c r="AC184" s="228"/>
      <c r="AD184" s="228"/>
      <c r="AE184" s="248"/>
      <c r="AF184" s="247"/>
      <c r="AG184" s="228"/>
      <c r="AH184" s="228"/>
      <c r="AI184" s="248"/>
      <c r="AJ184" s="248"/>
      <c r="AK184" s="194"/>
      <c r="AL184" s="249"/>
      <c r="AM184" s="250"/>
      <c r="AN184" s="251"/>
      <c r="AO184" s="252"/>
      <c r="AP184" s="241"/>
      <c r="AQ184" s="241"/>
      <c r="AR184" s="241"/>
      <c r="AS184" s="194"/>
      <c r="AT184" s="195"/>
      <c r="AU184" s="195"/>
    </row>
    <row r="185" spans="1:47">
      <c r="A185" s="253"/>
      <c r="B185" s="230"/>
      <c r="C185" s="245"/>
      <c r="D185" s="230"/>
      <c r="E185" s="230"/>
      <c r="F185" s="230"/>
      <c r="G185" s="228"/>
      <c r="H185" s="230"/>
      <c r="I185" s="230"/>
      <c r="J185" s="246"/>
      <c r="K185" s="230"/>
      <c r="L185" s="230"/>
      <c r="M185" s="230"/>
      <c r="N185" s="230"/>
      <c r="O185" s="230"/>
      <c r="P185" s="256"/>
      <c r="Q185" s="257"/>
      <c r="R185" s="228"/>
      <c r="S185" s="228"/>
      <c r="T185" s="245"/>
      <c r="U185" s="254"/>
      <c r="V185" s="254"/>
      <c r="W185" s="228"/>
      <c r="X185" s="255"/>
      <c r="Y185" s="248"/>
      <c r="Z185" s="248"/>
      <c r="AA185" s="228"/>
      <c r="AB185" s="228"/>
      <c r="AC185" s="228"/>
      <c r="AD185" s="228"/>
      <c r="AE185" s="248"/>
      <c r="AF185" s="247"/>
      <c r="AG185" s="228"/>
      <c r="AH185" s="228"/>
      <c r="AI185" s="248"/>
      <c r="AJ185" s="248"/>
      <c r="AK185" s="194"/>
      <c r="AL185" s="249"/>
      <c r="AM185" s="250"/>
      <c r="AN185" s="251"/>
      <c r="AO185" s="252"/>
      <c r="AP185" s="241"/>
      <c r="AQ185" s="241"/>
      <c r="AR185" s="241"/>
      <c r="AS185" s="194"/>
      <c r="AT185" s="195"/>
      <c r="AU185" s="195"/>
    </row>
    <row r="186" spans="1:47">
      <c r="A186" s="253"/>
      <c r="B186" s="230"/>
      <c r="C186" s="245"/>
      <c r="D186" s="230"/>
      <c r="E186" s="230"/>
      <c r="F186" s="230"/>
      <c r="G186" s="228"/>
      <c r="H186" s="230"/>
      <c r="I186" s="230"/>
      <c r="J186" s="246"/>
      <c r="K186" s="230"/>
      <c r="L186" s="230"/>
      <c r="M186" s="230"/>
      <c r="N186" s="230"/>
      <c r="O186" s="230"/>
      <c r="P186" s="256"/>
      <c r="Q186" s="257"/>
      <c r="R186" s="228"/>
      <c r="S186" s="228"/>
      <c r="T186" s="245"/>
      <c r="U186" s="254"/>
      <c r="V186" s="254"/>
      <c r="W186" s="228"/>
      <c r="X186" s="255"/>
      <c r="Y186" s="248"/>
      <c r="Z186" s="248"/>
      <c r="AA186" s="228"/>
      <c r="AB186" s="228"/>
      <c r="AC186" s="228"/>
      <c r="AD186" s="228"/>
      <c r="AE186" s="248"/>
      <c r="AF186" s="247"/>
      <c r="AG186" s="228"/>
      <c r="AH186" s="228"/>
      <c r="AI186" s="248"/>
      <c r="AJ186" s="248"/>
      <c r="AK186" s="194"/>
      <c r="AL186" s="249"/>
      <c r="AM186" s="250"/>
      <c r="AN186" s="251"/>
      <c r="AO186" s="252"/>
      <c r="AP186" s="241"/>
      <c r="AQ186" s="241"/>
      <c r="AR186" s="241"/>
      <c r="AS186" s="194"/>
      <c r="AT186" s="195"/>
      <c r="AU186" s="195"/>
    </row>
    <row r="187" spans="1:47">
      <c r="A187" s="253"/>
      <c r="B187" s="230"/>
      <c r="C187" s="245"/>
      <c r="D187" s="230"/>
      <c r="E187" s="230"/>
      <c r="F187" s="230"/>
      <c r="G187" s="228"/>
      <c r="H187" s="230"/>
      <c r="I187" s="230"/>
      <c r="J187" s="246"/>
      <c r="K187" s="230"/>
      <c r="L187" s="230"/>
      <c r="M187" s="230"/>
      <c r="N187" s="230"/>
      <c r="O187" s="230"/>
      <c r="P187" s="256"/>
      <c r="Q187" s="257"/>
      <c r="R187" s="228"/>
      <c r="S187" s="228"/>
      <c r="T187" s="245"/>
      <c r="U187" s="254"/>
      <c r="V187" s="254"/>
      <c r="W187" s="228"/>
      <c r="X187" s="255"/>
      <c r="Y187" s="248"/>
      <c r="Z187" s="248"/>
      <c r="AA187" s="228"/>
      <c r="AB187" s="228"/>
      <c r="AC187" s="228"/>
      <c r="AD187" s="228"/>
      <c r="AE187" s="248"/>
      <c r="AF187" s="247"/>
      <c r="AG187" s="228"/>
      <c r="AH187" s="228"/>
      <c r="AI187" s="248"/>
      <c r="AJ187" s="248"/>
      <c r="AK187" s="194"/>
      <c r="AL187" s="249"/>
      <c r="AM187" s="250"/>
      <c r="AN187" s="251"/>
      <c r="AO187" s="252"/>
      <c r="AP187" s="241"/>
      <c r="AQ187" s="241"/>
      <c r="AR187" s="241"/>
      <c r="AS187" s="194"/>
      <c r="AT187" s="195"/>
      <c r="AU187" s="195"/>
    </row>
    <row r="188" spans="1:47">
      <c r="A188" s="253"/>
      <c r="B188" s="230"/>
      <c r="C188" s="245"/>
      <c r="D188" s="230"/>
      <c r="E188" s="230"/>
      <c r="F188" s="230"/>
      <c r="G188" s="228"/>
      <c r="H188" s="230"/>
      <c r="I188" s="230"/>
      <c r="J188" s="246"/>
      <c r="K188" s="230"/>
      <c r="L188" s="230"/>
      <c r="M188" s="230"/>
      <c r="N188" s="230"/>
      <c r="O188" s="230"/>
      <c r="P188" s="256"/>
      <c r="Q188" s="257"/>
      <c r="R188" s="228"/>
      <c r="S188" s="228"/>
      <c r="T188" s="245"/>
      <c r="U188" s="254"/>
      <c r="V188" s="254"/>
      <c r="W188" s="228"/>
      <c r="X188" s="255"/>
      <c r="Y188" s="248"/>
      <c r="Z188" s="248"/>
      <c r="AA188" s="228"/>
      <c r="AB188" s="228"/>
      <c r="AC188" s="228"/>
      <c r="AD188" s="228"/>
      <c r="AE188" s="248"/>
      <c r="AF188" s="247"/>
      <c r="AG188" s="228"/>
      <c r="AH188" s="228"/>
      <c r="AI188" s="248"/>
      <c r="AJ188" s="248"/>
      <c r="AK188" s="194"/>
      <c r="AL188" s="249"/>
      <c r="AM188" s="250"/>
      <c r="AN188" s="251"/>
      <c r="AO188" s="252"/>
      <c r="AP188" s="241"/>
      <c r="AQ188" s="241"/>
      <c r="AR188" s="241"/>
      <c r="AS188" s="194"/>
      <c r="AT188" s="195"/>
      <c r="AU188" s="195"/>
    </row>
    <row r="189" spans="1:47">
      <c r="A189" s="253"/>
      <c r="B189" s="230"/>
      <c r="C189" s="245"/>
      <c r="D189" s="230"/>
      <c r="E189" s="230"/>
      <c r="F189" s="230"/>
      <c r="G189" s="228"/>
      <c r="H189" s="230"/>
      <c r="I189" s="230"/>
      <c r="J189" s="246"/>
      <c r="K189" s="230"/>
      <c r="L189" s="230"/>
      <c r="M189" s="230"/>
      <c r="N189" s="230"/>
      <c r="O189" s="230"/>
      <c r="P189" s="256"/>
      <c r="Q189" s="257"/>
      <c r="R189" s="228"/>
      <c r="S189" s="228"/>
      <c r="T189" s="245"/>
      <c r="U189" s="254"/>
      <c r="V189" s="254"/>
      <c r="W189" s="228"/>
      <c r="X189" s="255"/>
      <c r="Y189" s="248"/>
      <c r="Z189" s="248"/>
      <c r="AA189" s="228"/>
      <c r="AB189" s="228"/>
      <c r="AC189" s="228"/>
      <c r="AD189" s="228"/>
      <c r="AE189" s="248"/>
      <c r="AF189" s="247"/>
      <c r="AG189" s="228"/>
      <c r="AH189" s="228"/>
      <c r="AI189" s="248"/>
      <c r="AJ189" s="248"/>
      <c r="AK189" s="194"/>
      <c r="AL189" s="249"/>
      <c r="AM189" s="250"/>
      <c r="AN189" s="251"/>
      <c r="AO189" s="252"/>
      <c r="AP189" s="241"/>
      <c r="AQ189" s="241"/>
      <c r="AR189" s="241"/>
      <c r="AS189" s="194"/>
      <c r="AT189" s="195"/>
      <c r="AU189" s="195"/>
    </row>
    <row r="190" spans="1:47">
      <c r="A190" s="253"/>
      <c r="B190" s="230"/>
      <c r="C190" s="245"/>
      <c r="D190" s="230"/>
      <c r="E190" s="230"/>
      <c r="F190" s="230"/>
      <c r="G190" s="228"/>
      <c r="H190" s="230"/>
      <c r="I190" s="230"/>
      <c r="J190" s="246"/>
      <c r="K190" s="230"/>
      <c r="L190" s="230"/>
      <c r="M190" s="230"/>
      <c r="N190" s="230"/>
      <c r="O190" s="230"/>
      <c r="P190" s="256"/>
      <c r="Q190" s="257"/>
      <c r="R190" s="228"/>
      <c r="S190" s="228"/>
      <c r="T190" s="245"/>
      <c r="U190" s="254"/>
      <c r="V190" s="254"/>
      <c r="W190" s="228"/>
      <c r="X190" s="255"/>
      <c r="Y190" s="248"/>
      <c r="Z190" s="248"/>
      <c r="AA190" s="228"/>
      <c r="AB190" s="228"/>
      <c r="AC190" s="228"/>
      <c r="AD190" s="228"/>
      <c r="AE190" s="248"/>
      <c r="AF190" s="247"/>
      <c r="AG190" s="228"/>
      <c r="AH190" s="228"/>
      <c r="AI190" s="248"/>
      <c r="AJ190" s="248"/>
      <c r="AK190" s="194"/>
      <c r="AL190" s="249"/>
      <c r="AM190" s="250"/>
      <c r="AN190" s="251"/>
      <c r="AO190" s="252"/>
      <c r="AP190" s="241"/>
      <c r="AQ190" s="241"/>
      <c r="AR190" s="241"/>
      <c r="AS190" s="194"/>
      <c r="AT190" s="195"/>
      <c r="AU190" s="195"/>
    </row>
    <row r="191" spans="1:47">
      <c r="A191" s="253"/>
      <c r="B191" s="230"/>
      <c r="C191" s="245"/>
      <c r="D191" s="230"/>
      <c r="E191" s="230"/>
      <c r="F191" s="230"/>
      <c r="G191" s="228"/>
      <c r="H191" s="230"/>
      <c r="I191" s="230"/>
      <c r="J191" s="246"/>
      <c r="K191" s="230"/>
      <c r="L191" s="230"/>
      <c r="M191" s="230"/>
      <c r="N191" s="230"/>
      <c r="O191" s="230"/>
      <c r="P191" s="256"/>
      <c r="Q191" s="257"/>
      <c r="R191" s="228"/>
      <c r="S191" s="228"/>
      <c r="T191" s="245"/>
      <c r="U191" s="254"/>
      <c r="V191" s="254"/>
      <c r="W191" s="228"/>
      <c r="X191" s="255"/>
      <c r="Y191" s="248"/>
      <c r="Z191" s="248"/>
      <c r="AA191" s="228"/>
      <c r="AB191" s="228"/>
      <c r="AC191" s="228"/>
      <c r="AD191" s="228"/>
      <c r="AE191" s="248"/>
      <c r="AF191" s="247"/>
      <c r="AG191" s="228"/>
      <c r="AH191" s="228"/>
      <c r="AI191" s="248"/>
      <c r="AJ191" s="248"/>
      <c r="AK191" s="194"/>
      <c r="AL191" s="249"/>
      <c r="AM191" s="250"/>
      <c r="AN191" s="251"/>
      <c r="AO191" s="252"/>
      <c r="AP191" s="241"/>
      <c r="AQ191" s="241"/>
      <c r="AR191" s="241"/>
      <c r="AS191" s="194"/>
      <c r="AT191" s="195"/>
      <c r="AU191" s="195"/>
    </row>
    <row r="192" spans="1:47">
      <c r="A192" s="253"/>
      <c r="B192" s="230"/>
      <c r="C192" s="245"/>
      <c r="D192" s="230"/>
      <c r="E192" s="230"/>
      <c r="F192" s="230"/>
      <c r="G192" s="228"/>
      <c r="H192" s="230"/>
      <c r="I192" s="230"/>
      <c r="J192" s="246"/>
      <c r="K192" s="230"/>
      <c r="L192" s="230"/>
      <c r="M192" s="230"/>
      <c r="N192" s="230"/>
      <c r="O192" s="230"/>
      <c r="P192" s="256"/>
      <c r="Q192" s="257"/>
      <c r="R192" s="228"/>
      <c r="S192" s="228"/>
      <c r="T192" s="245"/>
      <c r="U192" s="254"/>
      <c r="V192" s="254"/>
      <c r="W192" s="228"/>
      <c r="X192" s="255"/>
      <c r="Y192" s="248"/>
      <c r="Z192" s="248"/>
      <c r="AA192" s="228"/>
      <c r="AB192" s="228"/>
      <c r="AC192" s="228"/>
      <c r="AD192" s="228"/>
      <c r="AE192" s="248"/>
      <c r="AF192" s="247"/>
      <c r="AG192" s="228"/>
      <c r="AH192" s="228"/>
      <c r="AI192" s="248"/>
      <c r="AJ192" s="248"/>
      <c r="AK192" s="194"/>
      <c r="AL192" s="249"/>
      <c r="AM192" s="250"/>
      <c r="AN192" s="251"/>
      <c r="AO192" s="252"/>
      <c r="AP192" s="241"/>
      <c r="AQ192" s="241"/>
      <c r="AR192" s="241"/>
      <c r="AS192" s="194"/>
      <c r="AT192" s="195"/>
      <c r="AU192" s="195"/>
    </row>
    <row r="193" spans="1:47">
      <c r="A193" s="253"/>
      <c r="B193" s="230"/>
      <c r="C193" s="245"/>
      <c r="D193" s="230"/>
      <c r="E193" s="230"/>
      <c r="F193" s="230"/>
      <c r="G193" s="228"/>
      <c r="H193" s="230"/>
      <c r="I193" s="230"/>
      <c r="J193" s="246"/>
      <c r="K193" s="230"/>
      <c r="L193" s="230"/>
      <c r="M193" s="230"/>
      <c r="N193" s="230"/>
      <c r="O193" s="230"/>
      <c r="P193" s="256"/>
      <c r="Q193" s="257"/>
      <c r="R193" s="228"/>
      <c r="S193" s="228"/>
      <c r="T193" s="245"/>
      <c r="U193" s="254"/>
      <c r="V193" s="254"/>
      <c r="W193" s="228"/>
      <c r="X193" s="255"/>
      <c r="Y193" s="248"/>
      <c r="Z193" s="248"/>
      <c r="AA193" s="228"/>
      <c r="AB193" s="228"/>
      <c r="AC193" s="228"/>
      <c r="AD193" s="228"/>
      <c r="AE193" s="248"/>
      <c r="AF193" s="247"/>
      <c r="AG193" s="228"/>
      <c r="AH193" s="228"/>
      <c r="AI193" s="248"/>
      <c r="AJ193" s="248"/>
      <c r="AK193" s="194"/>
      <c r="AL193" s="249"/>
      <c r="AM193" s="250"/>
      <c r="AN193" s="251"/>
      <c r="AO193" s="252"/>
      <c r="AP193" s="241"/>
      <c r="AQ193" s="241"/>
      <c r="AR193" s="241"/>
      <c r="AS193" s="194"/>
      <c r="AT193" s="195"/>
      <c r="AU193" s="195"/>
    </row>
    <row r="194" spans="1:47">
      <c r="A194" s="253"/>
      <c r="B194" s="230"/>
      <c r="C194" s="245"/>
      <c r="D194" s="230"/>
      <c r="E194" s="230"/>
      <c r="F194" s="230"/>
      <c r="G194" s="228"/>
      <c r="H194" s="230"/>
      <c r="I194" s="230"/>
      <c r="J194" s="246"/>
      <c r="K194" s="230"/>
      <c r="L194" s="230"/>
      <c r="M194" s="230"/>
      <c r="N194" s="230"/>
      <c r="O194" s="230"/>
      <c r="P194" s="256"/>
      <c r="Q194" s="257"/>
      <c r="R194" s="228"/>
      <c r="S194" s="228"/>
      <c r="T194" s="245"/>
      <c r="U194" s="254"/>
      <c r="V194" s="254"/>
      <c r="W194" s="228"/>
      <c r="X194" s="255"/>
      <c r="Y194" s="248"/>
      <c r="Z194" s="248"/>
      <c r="AA194" s="228"/>
      <c r="AB194" s="228"/>
      <c r="AC194" s="228"/>
      <c r="AD194" s="228"/>
      <c r="AE194" s="248"/>
      <c r="AF194" s="247"/>
      <c r="AG194" s="228"/>
      <c r="AH194" s="228"/>
      <c r="AI194" s="248"/>
      <c r="AJ194" s="248"/>
      <c r="AK194" s="194"/>
      <c r="AL194" s="249"/>
      <c r="AM194" s="250"/>
      <c r="AN194" s="251"/>
      <c r="AO194" s="252"/>
      <c r="AP194" s="241"/>
      <c r="AQ194" s="241"/>
      <c r="AR194" s="241"/>
      <c r="AS194" s="194"/>
      <c r="AT194" s="195"/>
      <c r="AU194" s="195"/>
    </row>
    <row r="195" spans="1:47">
      <c r="A195" s="253"/>
      <c r="B195" s="230"/>
      <c r="C195" s="245"/>
      <c r="D195" s="230"/>
      <c r="E195" s="230"/>
      <c r="F195" s="230"/>
      <c r="G195" s="228"/>
      <c r="H195" s="230"/>
      <c r="I195" s="230"/>
      <c r="J195" s="246"/>
      <c r="K195" s="230"/>
      <c r="L195" s="230"/>
      <c r="M195" s="230"/>
      <c r="N195" s="230"/>
      <c r="O195" s="230"/>
      <c r="P195" s="256"/>
      <c r="Q195" s="257"/>
      <c r="R195" s="228"/>
      <c r="S195" s="228"/>
      <c r="T195" s="245"/>
      <c r="U195" s="254"/>
      <c r="V195" s="254"/>
      <c r="W195" s="228"/>
      <c r="X195" s="255"/>
      <c r="Y195" s="248"/>
      <c r="Z195" s="248"/>
      <c r="AA195" s="228"/>
      <c r="AB195" s="228"/>
      <c r="AC195" s="228"/>
      <c r="AD195" s="228"/>
      <c r="AE195" s="248"/>
      <c r="AF195" s="247"/>
      <c r="AG195" s="228"/>
      <c r="AH195" s="228"/>
      <c r="AI195" s="248"/>
      <c r="AJ195" s="248"/>
      <c r="AK195" s="194"/>
      <c r="AL195" s="249"/>
      <c r="AM195" s="250"/>
      <c r="AN195" s="251"/>
      <c r="AO195" s="252"/>
      <c r="AP195" s="241"/>
      <c r="AQ195" s="241"/>
      <c r="AR195" s="241"/>
      <c r="AS195" s="194"/>
      <c r="AT195" s="195"/>
      <c r="AU195" s="195"/>
    </row>
    <row r="196" spans="1:47">
      <c r="A196" s="253"/>
      <c r="B196" s="230"/>
      <c r="C196" s="245"/>
      <c r="D196" s="230"/>
      <c r="E196" s="230"/>
      <c r="F196" s="230"/>
      <c r="G196" s="228"/>
      <c r="H196" s="230"/>
      <c r="I196" s="230"/>
      <c r="J196" s="246"/>
      <c r="K196" s="230"/>
      <c r="L196" s="230"/>
      <c r="M196" s="230"/>
      <c r="N196" s="230"/>
      <c r="O196" s="230"/>
      <c r="P196" s="256"/>
      <c r="Q196" s="257"/>
      <c r="R196" s="228"/>
      <c r="S196" s="228"/>
      <c r="T196" s="245"/>
      <c r="U196" s="254"/>
      <c r="V196" s="254"/>
      <c r="W196" s="228"/>
      <c r="X196" s="255"/>
      <c r="Y196" s="248"/>
      <c r="Z196" s="248"/>
      <c r="AA196" s="228"/>
      <c r="AB196" s="228"/>
      <c r="AC196" s="228"/>
      <c r="AD196" s="228"/>
      <c r="AE196" s="248"/>
      <c r="AF196" s="247"/>
      <c r="AG196" s="228"/>
      <c r="AH196" s="228"/>
      <c r="AI196" s="248"/>
      <c r="AJ196" s="248"/>
      <c r="AK196" s="194"/>
      <c r="AL196" s="249"/>
      <c r="AM196" s="250"/>
      <c r="AN196" s="251"/>
      <c r="AO196" s="252"/>
      <c r="AP196" s="241"/>
      <c r="AQ196" s="241"/>
      <c r="AR196" s="241"/>
      <c r="AS196" s="194"/>
      <c r="AT196" s="195"/>
      <c r="AU196" s="195"/>
    </row>
    <row r="197" spans="1:47">
      <c r="A197" s="253"/>
      <c r="B197" s="230"/>
      <c r="C197" s="245"/>
      <c r="D197" s="230"/>
      <c r="E197" s="230"/>
      <c r="F197" s="230"/>
      <c r="G197" s="228"/>
      <c r="H197" s="230"/>
      <c r="I197" s="230"/>
      <c r="J197" s="246"/>
      <c r="K197" s="230"/>
      <c r="L197" s="230"/>
      <c r="M197" s="230"/>
      <c r="N197" s="230"/>
      <c r="O197" s="230"/>
      <c r="P197" s="256"/>
      <c r="Q197" s="257"/>
      <c r="R197" s="228"/>
      <c r="S197" s="228"/>
      <c r="T197" s="245"/>
      <c r="U197" s="254"/>
      <c r="V197" s="254"/>
      <c r="W197" s="228"/>
      <c r="X197" s="255"/>
      <c r="Y197" s="248"/>
      <c r="Z197" s="248"/>
      <c r="AA197" s="228"/>
      <c r="AB197" s="228"/>
      <c r="AC197" s="228"/>
      <c r="AD197" s="228"/>
      <c r="AE197" s="248"/>
      <c r="AF197" s="247"/>
      <c r="AG197" s="228"/>
      <c r="AH197" s="228"/>
      <c r="AI197" s="248"/>
      <c r="AJ197" s="248"/>
      <c r="AK197" s="194"/>
      <c r="AL197" s="249"/>
      <c r="AM197" s="250"/>
      <c r="AN197" s="251"/>
      <c r="AO197" s="252"/>
      <c r="AP197" s="241"/>
      <c r="AQ197" s="241"/>
      <c r="AR197" s="241"/>
      <c r="AS197" s="194"/>
      <c r="AT197" s="195"/>
      <c r="AU197" s="195"/>
    </row>
    <row r="198" spans="1:47">
      <c r="A198" s="253"/>
      <c r="B198" s="230"/>
      <c r="C198" s="245"/>
      <c r="D198" s="230"/>
      <c r="E198" s="230"/>
      <c r="F198" s="230"/>
      <c r="G198" s="228"/>
      <c r="H198" s="230"/>
      <c r="I198" s="230"/>
      <c r="J198" s="246"/>
      <c r="K198" s="230"/>
      <c r="L198" s="230"/>
      <c r="M198" s="230"/>
      <c r="N198" s="230"/>
      <c r="O198" s="230"/>
      <c r="P198" s="256"/>
      <c r="Q198" s="257"/>
      <c r="R198" s="228"/>
      <c r="S198" s="228"/>
      <c r="T198" s="245"/>
      <c r="U198" s="254"/>
      <c r="V198" s="254"/>
      <c r="W198" s="228"/>
      <c r="X198" s="255"/>
      <c r="Y198" s="248"/>
      <c r="Z198" s="248"/>
      <c r="AA198" s="228"/>
      <c r="AB198" s="228"/>
      <c r="AC198" s="228"/>
      <c r="AD198" s="228"/>
      <c r="AE198" s="248"/>
      <c r="AF198" s="247"/>
      <c r="AG198" s="228"/>
      <c r="AH198" s="228"/>
      <c r="AI198" s="248"/>
      <c r="AJ198" s="248"/>
      <c r="AK198" s="194"/>
      <c r="AL198" s="249"/>
      <c r="AM198" s="250"/>
      <c r="AN198" s="251"/>
      <c r="AO198" s="252"/>
      <c r="AP198" s="241"/>
      <c r="AQ198" s="241"/>
      <c r="AR198" s="241"/>
      <c r="AS198" s="194"/>
      <c r="AT198" s="195"/>
      <c r="AU198" s="195"/>
    </row>
    <row r="199" spans="1:47">
      <c r="A199" s="253"/>
      <c r="B199" s="230"/>
      <c r="C199" s="245"/>
      <c r="D199" s="230"/>
      <c r="E199" s="230"/>
      <c r="F199" s="230"/>
      <c r="G199" s="228"/>
      <c r="H199" s="230"/>
      <c r="I199" s="230"/>
      <c r="J199" s="246"/>
      <c r="K199" s="230"/>
      <c r="L199" s="230"/>
      <c r="M199" s="230"/>
      <c r="N199" s="230"/>
      <c r="O199" s="230"/>
      <c r="P199" s="256"/>
      <c r="Q199" s="257"/>
      <c r="R199" s="228"/>
      <c r="S199" s="228"/>
      <c r="T199" s="245"/>
      <c r="U199" s="254"/>
      <c r="V199" s="254"/>
      <c r="W199" s="228"/>
      <c r="X199" s="255"/>
      <c r="Y199" s="248"/>
      <c r="Z199" s="248"/>
      <c r="AA199" s="228"/>
      <c r="AB199" s="228"/>
      <c r="AC199" s="228"/>
      <c r="AD199" s="228"/>
      <c r="AE199" s="248"/>
      <c r="AF199" s="247"/>
      <c r="AG199" s="228"/>
      <c r="AH199" s="228"/>
      <c r="AI199" s="248"/>
      <c r="AJ199" s="248"/>
      <c r="AK199" s="194"/>
      <c r="AL199" s="249"/>
      <c r="AM199" s="250"/>
      <c r="AN199" s="251"/>
      <c r="AO199" s="252"/>
      <c r="AP199" s="241"/>
      <c r="AQ199" s="241"/>
      <c r="AR199" s="241"/>
      <c r="AS199" s="194"/>
      <c r="AT199" s="195"/>
      <c r="AU199" s="195"/>
    </row>
    <row r="200" spans="1:47">
      <c r="A200" s="253"/>
      <c r="B200" s="230"/>
      <c r="C200" s="245"/>
      <c r="D200" s="230"/>
      <c r="E200" s="230"/>
      <c r="F200" s="230"/>
      <c r="G200" s="228"/>
      <c r="H200" s="230"/>
      <c r="I200" s="230"/>
      <c r="J200" s="246"/>
      <c r="K200" s="230"/>
      <c r="L200" s="230"/>
      <c r="M200" s="230"/>
      <c r="N200" s="230"/>
      <c r="O200" s="230"/>
      <c r="P200" s="256"/>
      <c r="Q200" s="257"/>
      <c r="R200" s="228"/>
      <c r="S200" s="228"/>
      <c r="T200" s="245"/>
      <c r="U200" s="254"/>
      <c r="V200" s="254"/>
      <c r="W200" s="228"/>
      <c r="X200" s="255"/>
      <c r="Y200" s="248"/>
      <c r="Z200" s="248"/>
      <c r="AA200" s="228"/>
      <c r="AB200" s="228"/>
      <c r="AC200" s="228"/>
      <c r="AD200" s="228"/>
      <c r="AE200" s="248"/>
      <c r="AF200" s="247"/>
      <c r="AG200" s="228"/>
      <c r="AH200" s="228"/>
      <c r="AI200" s="248"/>
      <c r="AJ200" s="248"/>
      <c r="AK200" s="194"/>
      <c r="AL200" s="249"/>
      <c r="AM200" s="250"/>
      <c r="AN200" s="251"/>
      <c r="AO200" s="252"/>
      <c r="AP200" s="241"/>
      <c r="AQ200" s="241"/>
      <c r="AR200" s="241"/>
      <c r="AS200" s="194"/>
      <c r="AT200" s="195"/>
      <c r="AU200" s="195"/>
    </row>
    <row r="201" spans="1:47">
      <c r="A201" s="253"/>
      <c r="B201" s="230"/>
      <c r="C201" s="245"/>
      <c r="D201" s="230"/>
      <c r="E201" s="230"/>
      <c r="F201" s="230"/>
      <c r="G201" s="228"/>
      <c r="H201" s="230"/>
      <c r="I201" s="230"/>
      <c r="J201" s="246"/>
      <c r="K201" s="230"/>
      <c r="L201" s="230"/>
      <c r="M201" s="230"/>
      <c r="N201" s="230"/>
      <c r="O201" s="230"/>
      <c r="P201" s="256"/>
      <c r="Q201" s="257"/>
      <c r="R201" s="228"/>
      <c r="S201" s="228"/>
      <c r="T201" s="245"/>
      <c r="U201" s="254"/>
      <c r="V201" s="254"/>
      <c r="W201" s="228"/>
      <c r="X201" s="255"/>
      <c r="Y201" s="248"/>
      <c r="Z201" s="248"/>
      <c r="AA201" s="228"/>
      <c r="AB201" s="228"/>
      <c r="AC201" s="228"/>
      <c r="AD201" s="228"/>
      <c r="AE201" s="248"/>
      <c r="AF201" s="247"/>
      <c r="AG201" s="228"/>
      <c r="AH201" s="228"/>
      <c r="AI201" s="248"/>
      <c r="AJ201" s="248"/>
      <c r="AK201" s="194"/>
      <c r="AL201" s="249"/>
      <c r="AM201" s="250"/>
      <c r="AN201" s="251"/>
      <c r="AO201" s="252"/>
      <c r="AP201" s="241"/>
      <c r="AQ201" s="241"/>
      <c r="AR201" s="241"/>
      <c r="AS201" s="194"/>
      <c r="AT201" s="195"/>
      <c r="AU201" s="195"/>
    </row>
    <row r="202" spans="1:47">
      <c r="A202" s="253"/>
      <c r="B202" s="230"/>
      <c r="C202" s="245"/>
      <c r="D202" s="230"/>
      <c r="E202" s="230"/>
      <c r="F202" s="230"/>
      <c r="G202" s="228"/>
      <c r="H202" s="230"/>
      <c r="I202" s="230"/>
      <c r="J202" s="246"/>
      <c r="K202" s="230"/>
      <c r="L202" s="230"/>
      <c r="M202" s="230"/>
      <c r="N202" s="230"/>
      <c r="O202" s="230"/>
      <c r="P202" s="256"/>
      <c r="Q202" s="257"/>
      <c r="R202" s="228"/>
      <c r="S202" s="228"/>
      <c r="T202" s="245"/>
      <c r="U202" s="254"/>
      <c r="V202" s="254"/>
      <c r="W202" s="228"/>
      <c r="X202" s="255"/>
      <c r="Y202" s="248"/>
      <c r="Z202" s="248"/>
      <c r="AA202" s="228"/>
      <c r="AB202" s="228"/>
      <c r="AC202" s="228"/>
      <c r="AD202" s="228"/>
      <c r="AE202" s="248"/>
      <c r="AF202" s="247"/>
      <c r="AG202" s="228"/>
      <c r="AH202" s="228"/>
      <c r="AI202" s="248"/>
      <c r="AJ202" s="248"/>
      <c r="AK202" s="194"/>
      <c r="AL202" s="249"/>
      <c r="AM202" s="250"/>
      <c r="AN202" s="251"/>
      <c r="AO202" s="252"/>
      <c r="AP202" s="241"/>
      <c r="AQ202" s="241"/>
      <c r="AR202" s="241"/>
      <c r="AS202" s="194"/>
      <c r="AT202" s="195"/>
      <c r="AU202" s="195"/>
    </row>
    <row r="203" spans="1:47">
      <c r="A203" s="253"/>
      <c r="B203" s="230"/>
      <c r="C203" s="245"/>
      <c r="D203" s="230"/>
      <c r="E203" s="230"/>
      <c r="F203" s="230"/>
      <c r="G203" s="228"/>
      <c r="H203" s="230"/>
      <c r="I203" s="230"/>
      <c r="J203" s="246"/>
      <c r="K203" s="230"/>
      <c r="L203" s="230"/>
      <c r="M203" s="230"/>
      <c r="N203" s="230"/>
      <c r="O203" s="230"/>
      <c r="P203" s="256"/>
      <c r="Q203" s="257"/>
      <c r="R203" s="228"/>
      <c r="S203" s="228"/>
      <c r="T203" s="245"/>
      <c r="U203" s="254"/>
      <c r="V203" s="254"/>
      <c r="W203" s="228"/>
      <c r="X203" s="255"/>
      <c r="Y203" s="248"/>
      <c r="Z203" s="248"/>
      <c r="AA203" s="228"/>
      <c r="AB203" s="228"/>
      <c r="AC203" s="228"/>
      <c r="AD203" s="228"/>
      <c r="AE203" s="248"/>
      <c r="AF203" s="247"/>
      <c r="AG203" s="228"/>
      <c r="AH203" s="228"/>
      <c r="AI203" s="248"/>
      <c r="AJ203" s="248"/>
      <c r="AK203" s="194"/>
      <c r="AL203" s="249"/>
      <c r="AM203" s="250"/>
      <c r="AN203" s="251"/>
      <c r="AO203" s="252"/>
      <c r="AP203" s="241"/>
      <c r="AQ203" s="241"/>
      <c r="AR203" s="241"/>
      <c r="AS203" s="194"/>
      <c r="AT203" s="195"/>
      <c r="AU203" s="195"/>
    </row>
    <row r="204" spans="1:47">
      <c r="A204" s="253"/>
      <c r="B204" s="230"/>
      <c r="C204" s="245"/>
      <c r="D204" s="230"/>
      <c r="E204" s="230"/>
      <c r="F204" s="230"/>
      <c r="G204" s="228"/>
      <c r="H204" s="230"/>
      <c r="I204" s="230"/>
      <c r="J204" s="246"/>
      <c r="K204" s="230"/>
      <c r="L204" s="230"/>
      <c r="M204" s="230"/>
      <c r="N204" s="230"/>
      <c r="O204" s="230"/>
      <c r="P204" s="256"/>
      <c r="Q204" s="257"/>
      <c r="R204" s="228"/>
      <c r="S204" s="228"/>
      <c r="T204" s="245"/>
      <c r="U204" s="254"/>
      <c r="V204" s="254"/>
      <c r="W204" s="228"/>
      <c r="X204" s="255"/>
      <c r="Y204" s="248"/>
      <c r="Z204" s="248"/>
      <c r="AA204" s="228"/>
      <c r="AB204" s="228"/>
      <c r="AC204" s="228"/>
      <c r="AD204" s="228"/>
      <c r="AE204" s="248"/>
      <c r="AF204" s="247"/>
      <c r="AG204" s="228"/>
      <c r="AH204" s="228"/>
      <c r="AI204" s="248"/>
      <c r="AJ204" s="248"/>
      <c r="AK204" s="194"/>
      <c r="AL204" s="249"/>
      <c r="AM204" s="250"/>
      <c r="AN204" s="251"/>
      <c r="AO204" s="252"/>
      <c r="AP204" s="241"/>
      <c r="AQ204" s="241"/>
      <c r="AR204" s="241"/>
      <c r="AS204" s="194"/>
      <c r="AT204" s="195"/>
      <c r="AU204" s="195"/>
    </row>
    <row r="205" spans="1:47">
      <c r="A205" s="253"/>
      <c r="B205" s="230"/>
      <c r="C205" s="245"/>
      <c r="D205" s="230"/>
      <c r="E205" s="230"/>
      <c r="F205" s="230"/>
      <c r="G205" s="228"/>
      <c r="H205" s="230"/>
      <c r="I205" s="230"/>
      <c r="J205" s="246"/>
      <c r="K205" s="230"/>
      <c r="L205" s="230"/>
      <c r="M205" s="230"/>
      <c r="N205" s="230"/>
      <c r="O205" s="230"/>
      <c r="P205" s="256"/>
      <c r="Q205" s="257"/>
      <c r="R205" s="228"/>
      <c r="S205" s="228"/>
      <c r="T205" s="245"/>
      <c r="U205" s="254"/>
      <c r="V205" s="254"/>
      <c r="W205" s="228"/>
      <c r="X205" s="255"/>
      <c r="Y205" s="248"/>
      <c r="Z205" s="248"/>
      <c r="AA205" s="228"/>
      <c r="AB205" s="228"/>
      <c r="AC205" s="228"/>
      <c r="AD205" s="228"/>
      <c r="AE205" s="248"/>
      <c r="AF205" s="247"/>
      <c r="AG205" s="228"/>
      <c r="AH205" s="228"/>
      <c r="AI205" s="248"/>
      <c r="AJ205" s="248"/>
      <c r="AK205" s="194"/>
      <c r="AL205" s="249"/>
      <c r="AM205" s="250"/>
      <c r="AN205" s="251"/>
      <c r="AO205" s="252"/>
      <c r="AP205" s="241"/>
      <c r="AQ205" s="241"/>
      <c r="AR205" s="241"/>
      <c r="AS205" s="194"/>
      <c r="AT205" s="195"/>
      <c r="AU205" s="195"/>
    </row>
    <row r="206" spans="1:47">
      <c r="A206" s="253"/>
      <c r="B206" s="230"/>
      <c r="C206" s="245"/>
      <c r="D206" s="230"/>
      <c r="E206" s="230"/>
      <c r="F206" s="230"/>
      <c r="G206" s="228"/>
      <c r="H206" s="230"/>
      <c r="I206" s="230"/>
      <c r="J206" s="246"/>
      <c r="K206" s="230"/>
      <c r="L206" s="230"/>
      <c r="M206" s="230"/>
      <c r="N206" s="230"/>
      <c r="O206" s="230"/>
      <c r="P206" s="256"/>
      <c r="Q206" s="257"/>
      <c r="R206" s="228"/>
      <c r="S206" s="228"/>
      <c r="T206" s="245"/>
      <c r="U206" s="254"/>
      <c r="V206" s="254"/>
      <c r="W206" s="228"/>
      <c r="X206" s="255"/>
      <c r="Y206" s="248"/>
      <c r="Z206" s="248"/>
      <c r="AA206" s="228"/>
      <c r="AB206" s="228"/>
      <c r="AC206" s="228"/>
      <c r="AD206" s="228"/>
      <c r="AE206" s="248"/>
      <c r="AF206" s="247"/>
      <c r="AG206" s="228"/>
      <c r="AH206" s="228"/>
      <c r="AI206" s="248"/>
      <c r="AJ206" s="248"/>
      <c r="AK206" s="194"/>
      <c r="AL206" s="249"/>
      <c r="AM206" s="250"/>
      <c r="AN206" s="251"/>
      <c r="AO206" s="252"/>
      <c r="AP206" s="241"/>
      <c r="AQ206" s="241"/>
      <c r="AR206" s="241"/>
      <c r="AS206" s="194"/>
      <c r="AT206" s="195"/>
      <c r="AU206" s="195"/>
    </row>
    <row r="207" spans="1:47">
      <c r="A207" s="253"/>
      <c r="B207" s="230"/>
      <c r="C207" s="245"/>
      <c r="D207" s="230"/>
      <c r="E207" s="230"/>
      <c r="F207" s="230"/>
      <c r="G207" s="228"/>
      <c r="H207" s="230"/>
      <c r="I207" s="230"/>
      <c r="J207" s="246"/>
      <c r="K207" s="230"/>
      <c r="L207" s="230"/>
      <c r="M207" s="230"/>
      <c r="N207" s="230"/>
      <c r="O207" s="230"/>
      <c r="P207" s="256"/>
      <c r="Q207" s="257"/>
      <c r="R207" s="228"/>
      <c r="S207" s="228"/>
      <c r="T207" s="245"/>
      <c r="U207" s="254"/>
      <c r="V207" s="254"/>
      <c r="W207" s="228"/>
      <c r="X207" s="255"/>
      <c r="Y207" s="248"/>
      <c r="Z207" s="248"/>
      <c r="AA207" s="228"/>
      <c r="AB207" s="228"/>
      <c r="AC207" s="228"/>
      <c r="AD207" s="228"/>
      <c r="AE207" s="248"/>
      <c r="AF207" s="247"/>
      <c r="AG207" s="228"/>
      <c r="AH207" s="228"/>
      <c r="AI207" s="248"/>
      <c r="AJ207" s="248"/>
      <c r="AK207" s="194"/>
      <c r="AL207" s="249"/>
      <c r="AM207" s="250"/>
      <c r="AN207" s="251"/>
      <c r="AO207" s="252"/>
      <c r="AP207" s="241"/>
      <c r="AQ207" s="241"/>
      <c r="AR207" s="241"/>
      <c r="AS207" s="194"/>
      <c r="AT207" s="195"/>
      <c r="AU207" s="195"/>
    </row>
    <row r="208" spans="1:47">
      <c r="A208" s="253"/>
      <c r="B208" s="230"/>
      <c r="C208" s="245"/>
      <c r="D208" s="230"/>
      <c r="E208" s="230"/>
      <c r="F208" s="230"/>
      <c r="G208" s="228"/>
      <c r="H208" s="230"/>
      <c r="I208" s="230"/>
      <c r="J208" s="246"/>
      <c r="K208" s="230"/>
      <c r="L208" s="230"/>
      <c r="M208" s="230"/>
      <c r="N208" s="230"/>
      <c r="O208" s="230"/>
      <c r="P208" s="256"/>
      <c r="Q208" s="257"/>
      <c r="R208" s="228"/>
      <c r="S208" s="228"/>
      <c r="T208" s="245"/>
      <c r="U208" s="254"/>
      <c r="V208" s="254"/>
      <c r="W208" s="228"/>
      <c r="X208" s="255"/>
      <c r="Y208" s="248"/>
      <c r="Z208" s="248"/>
      <c r="AA208" s="228"/>
      <c r="AB208" s="228"/>
      <c r="AC208" s="228"/>
      <c r="AD208" s="228"/>
      <c r="AE208" s="248"/>
      <c r="AF208" s="247"/>
      <c r="AG208" s="228"/>
      <c r="AH208" s="228"/>
      <c r="AI208" s="248"/>
      <c r="AJ208" s="248"/>
      <c r="AK208" s="194"/>
      <c r="AL208" s="249"/>
      <c r="AM208" s="250"/>
      <c r="AN208" s="251"/>
      <c r="AO208" s="252"/>
      <c r="AP208" s="241"/>
      <c r="AQ208" s="241"/>
      <c r="AR208" s="241"/>
      <c r="AS208" s="194"/>
      <c r="AT208" s="195"/>
      <c r="AU208" s="195"/>
    </row>
    <row r="209" spans="1:47">
      <c r="A209" s="253"/>
      <c r="B209" s="230"/>
      <c r="C209" s="245"/>
      <c r="D209" s="230"/>
      <c r="E209" s="230"/>
      <c r="F209" s="230"/>
      <c r="G209" s="228"/>
      <c r="H209" s="230"/>
      <c r="I209" s="230"/>
      <c r="J209" s="246"/>
      <c r="K209" s="230"/>
      <c r="L209" s="230"/>
      <c r="M209" s="230"/>
      <c r="N209" s="230"/>
      <c r="O209" s="230"/>
      <c r="P209" s="256"/>
      <c r="Q209" s="257"/>
      <c r="R209" s="228"/>
      <c r="S209" s="228"/>
      <c r="T209" s="245"/>
      <c r="U209" s="254"/>
      <c r="V209" s="254"/>
      <c r="W209" s="228"/>
      <c r="X209" s="255"/>
      <c r="Y209" s="248"/>
      <c r="Z209" s="248"/>
      <c r="AA209" s="228"/>
      <c r="AB209" s="228"/>
      <c r="AC209" s="228"/>
      <c r="AD209" s="228"/>
      <c r="AE209" s="248"/>
      <c r="AF209" s="247"/>
      <c r="AG209" s="228"/>
      <c r="AH209" s="228"/>
      <c r="AI209" s="248"/>
      <c r="AJ209" s="248"/>
      <c r="AK209" s="194"/>
      <c r="AL209" s="249"/>
      <c r="AM209" s="250"/>
      <c r="AN209" s="251"/>
      <c r="AO209" s="252"/>
      <c r="AP209" s="241"/>
      <c r="AQ209" s="241"/>
      <c r="AR209" s="241"/>
      <c r="AS209" s="194"/>
      <c r="AT209" s="195"/>
      <c r="AU209" s="195"/>
    </row>
    <row r="210" spans="1:47">
      <c r="A210" s="253"/>
      <c r="B210" s="230"/>
      <c r="C210" s="245"/>
      <c r="D210" s="230"/>
      <c r="E210" s="230"/>
      <c r="F210" s="230"/>
      <c r="G210" s="228"/>
      <c r="H210" s="230"/>
      <c r="I210" s="230"/>
      <c r="J210" s="246"/>
      <c r="K210" s="230"/>
      <c r="L210" s="230"/>
      <c r="M210" s="230"/>
      <c r="N210" s="230"/>
      <c r="O210" s="230"/>
      <c r="P210" s="256"/>
      <c r="Q210" s="257"/>
      <c r="R210" s="228"/>
      <c r="S210" s="228"/>
      <c r="T210" s="245"/>
      <c r="U210" s="254"/>
      <c r="V210" s="254"/>
      <c r="W210" s="228"/>
      <c r="X210" s="255"/>
      <c r="Y210" s="248"/>
      <c r="Z210" s="248"/>
      <c r="AA210" s="228"/>
      <c r="AB210" s="228"/>
      <c r="AC210" s="228"/>
      <c r="AD210" s="228"/>
      <c r="AE210" s="248"/>
      <c r="AF210" s="247"/>
      <c r="AG210" s="228"/>
      <c r="AH210" s="228"/>
      <c r="AI210" s="248"/>
      <c r="AJ210" s="248"/>
      <c r="AK210" s="194"/>
      <c r="AL210" s="249"/>
      <c r="AM210" s="250"/>
      <c r="AN210" s="251"/>
      <c r="AO210" s="252"/>
      <c r="AP210" s="241"/>
      <c r="AQ210" s="241"/>
      <c r="AR210" s="241"/>
      <c r="AS210" s="194"/>
      <c r="AT210" s="195"/>
      <c r="AU210" s="195"/>
    </row>
    <row r="211" spans="1:47">
      <c r="A211" s="253"/>
      <c r="B211" s="230"/>
      <c r="C211" s="245"/>
      <c r="D211" s="230"/>
      <c r="E211" s="230"/>
      <c r="F211" s="230"/>
      <c r="G211" s="228"/>
      <c r="H211" s="230"/>
      <c r="I211" s="230"/>
      <c r="J211" s="246"/>
      <c r="K211" s="230"/>
      <c r="L211" s="230"/>
      <c r="M211" s="230"/>
      <c r="N211" s="230"/>
      <c r="O211" s="230"/>
      <c r="P211" s="256"/>
      <c r="Q211" s="257"/>
      <c r="R211" s="228"/>
      <c r="S211" s="228"/>
      <c r="T211" s="245"/>
      <c r="U211" s="254"/>
      <c r="V211" s="254"/>
      <c r="W211" s="228"/>
      <c r="X211" s="255"/>
      <c r="Y211" s="248"/>
      <c r="Z211" s="248"/>
      <c r="AA211" s="228"/>
      <c r="AB211" s="228"/>
      <c r="AC211" s="228"/>
      <c r="AD211" s="228"/>
      <c r="AE211" s="248"/>
      <c r="AF211" s="247"/>
      <c r="AG211" s="228"/>
      <c r="AH211" s="228"/>
      <c r="AI211" s="248"/>
      <c r="AJ211" s="248"/>
      <c r="AK211" s="194"/>
      <c r="AL211" s="249"/>
      <c r="AM211" s="250"/>
      <c r="AN211" s="251"/>
      <c r="AO211" s="252"/>
      <c r="AP211" s="241"/>
      <c r="AQ211" s="241"/>
      <c r="AR211" s="241"/>
      <c r="AS211" s="194"/>
      <c r="AT211" s="195"/>
      <c r="AU211" s="195"/>
    </row>
    <row r="212" spans="1:47">
      <c r="A212" s="253"/>
      <c r="B212" s="230"/>
      <c r="C212" s="245"/>
      <c r="D212" s="230"/>
      <c r="E212" s="230"/>
      <c r="F212" s="230"/>
      <c r="G212" s="228"/>
      <c r="H212" s="230"/>
      <c r="I212" s="230"/>
      <c r="J212" s="246"/>
      <c r="K212" s="230"/>
      <c r="L212" s="230"/>
      <c r="M212" s="230"/>
      <c r="N212" s="230"/>
      <c r="O212" s="230"/>
      <c r="P212" s="256"/>
      <c r="Q212" s="257"/>
      <c r="R212" s="228"/>
      <c r="S212" s="228"/>
      <c r="T212" s="245"/>
      <c r="U212" s="254"/>
      <c r="V212" s="254"/>
      <c r="W212" s="228"/>
      <c r="X212" s="255"/>
      <c r="Y212" s="248"/>
      <c r="Z212" s="248"/>
      <c r="AA212" s="228"/>
      <c r="AB212" s="228"/>
      <c r="AC212" s="228"/>
      <c r="AD212" s="228"/>
      <c r="AE212" s="248"/>
      <c r="AF212" s="247"/>
      <c r="AG212" s="228"/>
      <c r="AH212" s="228"/>
      <c r="AI212" s="248"/>
      <c r="AJ212" s="248"/>
      <c r="AK212" s="194"/>
      <c r="AL212" s="249"/>
      <c r="AM212" s="250"/>
      <c r="AN212" s="251"/>
      <c r="AO212" s="252"/>
      <c r="AP212" s="241"/>
      <c r="AQ212" s="241"/>
      <c r="AR212" s="241"/>
      <c r="AS212" s="194"/>
      <c r="AT212" s="195"/>
      <c r="AU212" s="195"/>
    </row>
    <row r="213" spans="1:47">
      <c r="A213" s="253"/>
      <c r="B213" s="230"/>
      <c r="C213" s="245"/>
      <c r="D213" s="230"/>
      <c r="E213" s="230"/>
      <c r="F213" s="230"/>
      <c r="G213" s="228"/>
      <c r="H213" s="230"/>
      <c r="I213" s="230"/>
      <c r="J213" s="246"/>
      <c r="K213" s="230"/>
      <c r="L213" s="230"/>
      <c r="M213" s="230"/>
      <c r="N213" s="230"/>
      <c r="O213" s="230"/>
      <c r="P213" s="256"/>
      <c r="Q213" s="257"/>
      <c r="R213" s="228"/>
      <c r="S213" s="228"/>
      <c r="T213" s="245"/>
      <c r="U213" s="254"/>
      <c r="V213" s="254"/>
      <c r="W213" s="228"/>
      <c r="X213" s="255"/>
      <c r="Y213" s="248"/>
      <c r="Z213" s="248"/>
      <c r="AA213" s="228"/>
      <c r="AB213" s="228"/>
      <c r="AC213" s="228"/>
      <c r="AD213" s="228"/>
      <c r="AE213" s="248"/>
      <c r="AF213" s="247"/>
      <c r="AG213" s="228"/>
      <c r="AH213" s="228"/>
      <c r="AI213" s="248"/>
      <c r="AJ213" s="248"/>
      <c r="AK213" s="194"/>
      <c r="AL213" s="249"/>
      <c r="AM213" s="250"/>
      <c r="AN213" s="251"/>
      <c r="AO213" s="252"/>
      <c r="AP213" s="241"/>
      <c r="AQ213" s="241"/>
      <c r="AR213" s="241"/>
      <c r="AS213" s="194"/>
      <c r="AT213" s="195"/>
      <c r="AU213" s="195"/>
    </row>
    <row r="214" spans="1:47">
      <c r="A214" s="253"/>
      <c r="B214" s="230"/>
      <c r="C214" s="245"/>
      <c r="D214" s="230"/>
      <c r="E214" s="230"/>
      <c r="F214" s="230"/>
      <c r="G214" s="228"/>
      <c r="H214" s="230"/>
      <c r="I214" s="230"/>
      <c r="J214" s="246"/>
      <c r="K214" s="230"/>
      <c r="L214" s="230"/>
      <c r="M214" s="230"/>
      <c r="N214" s="230"/>
      <c r="O214" s="230"/>
      <c r="P214" s="256"/>
      <c r="Q214" s="257"/>
      <c r="R214" s="228"/>
      <c r="S214" s="228"/>
      <c r="T214" s="245"/>
      <c r="U214" s="254"/>
      <c r="V214" s="254"/>
      <c r="W214" s="228"/>
      <c r="X214" s="255"/>
      <c r="Y214" s="248"/>
      <c r="Z214" s="248"/>
      <c r="AA214" s="228"/>
      <c r="AB214" s="228"/>
      <c r="AC214" s="228"/>
      <c r="AD214" s="228"/>
      <c r="AE214" s="248"/>
      <c r="AF214" s="247"/>
      <c r="AG214" s="228"/>
      <c r="AH214" s="228"/>
      <c r="AI214" s="248"/>
      <c r="AJ214" s="248"/>
      <c r="AK214" s="194"/>
      <c r="AL214" s="249"/>
      <c r="AM214" s="250"/>
      <c r="AN214" s="251"/>
      <c r="AO214" s="252"/>
      <c r="AP214" s="241"/>
      <c r="AQ214" s="241"/>
      <c r="AR214" s="241"/>
      <c r="AS214" s="194"/>
      <c r="AT214" s="195"/>
      <c r="AU214" s="195"/>
    </row>
    <row r="215" spans="1:47">
      <c r="A215" s="253"/>
      <c r="B215" s="230"/>
      <c r="C215" s="245"/>
      <c r="D215" s="230"/>
      <c r="E215" s="230"/>
      <c r="F215" s="230"/>
      <c r="G215" s="228"/>
      <c r="H215" s="230"/>
      <c r="I215" s="230"/>
      <c r="J215" s="246"/>
      <c r="K215" s="230"/>
      <c r="L215" s="230"/>
      <c r="M215" s="230"/>
      <c r="N215" s="230"/>
      <c r="O215" s="230"/>
      <c r="P215" s="256"/>
      <c r="Q215" s="257"/>
      <c r="R215" s="228"/>
      <c r="S215" s="228"/>
      <c r="T215" s="245"/>
      <c r="U215" s="254"/>
      <c r="V215" s="254"/>
      <c r="W215" s="228"/>
      <c r="X215" s="255"/>
      <c r="Y215" s="248"/>
      <c r="Z215" s="248"/>
      <c r="AA215" s="228"/>
      <c r="AB215" s="228"/>
      <c r="AC215" s="228"/>
      <c r="AD215" s="228"/>
      <c r="AE215" s="248"/>
      <c r="AF215" s="247"/>
      <c r="AG215" s="228"/>
      <c r="AH215" s="228"/>
      <c r="AI215" s="248"/>
      <c r="AJ215" s="248"/>
      <c r="AK215" s="194"/>
      <c r="AL215" s="249"/>
      <c r="AM215" s="250"/>
      <c r="AN215" s="251"/>
      <c r="AO215" s="252"/>
      <c r="AP215" s="241"/>
      <c r="AQ215" s="241"/>
      <c r="AR215" s="241"/>
      <c r="AS215" s="194"/>
      <c r="AT215" s="195"/>
      <c r="AU215" s="195"/>
    </row>
    <row r="216" spans="1:47">
      <c r="A216" s="253"/>
      <c r="B216" s="230"/>
      <c r="C216" s="245"/>
      <c r="D216" s="230"/>
      <c r="E216" s="230"/>
      <c r="F216" s="230"/>
      <c r="G216" s="228"/>
      <c r="H216" s="230"/>
      <c r="I216" s="230"/>
      <c r="J216" s="246"/>
      <c r="K216" s="230"/>
      <c r="L216" s="230"/>
      <c r="M216" s="230"/>
      <c r="N216" s="230"/>
      <c r="O216" s="230"/>
      <c r="P216" s="256"/>
      <c r="Q216" s="257"/>
      <c r="R216" s="228"/>
      <c r="S216" s="228"/>
      <c r="T216" s="245"/>
      <c r="U216" s="254"/>
      <c r="V216" s="254"/>
      <c r="W216" s="228"/>
      <c r="X216" s="255"/>
      <c r="Y216" s="248"/>
      <c r="Z216" s="248"/>
      <c r="AA216" s="228"/>
      <c r="AB216" s="228"/>
      <c r="AC216" s="228"/>
      <c r="AD216" s="228"/>
      <c r="AE216" s="248"/>
      <c r="AF216" s="247"/>
      <c r="AG216" s="228"/>
      <c r="AH216" s="228"/>
      <c r="AI216" s="248"/>
      <c r="AJ216" s="248"/>
      <c r="AK216" s="194"/>
      <c r="AL216" s="249"/>
      <c r="AM216" s="250"/>
      <c r="AN216" s="251"/>
      <c r="AO216" s="252"/>
      <c r="AP216" s="241"/>
      <c r="AQ216" s="241"/>
      <c r="AR216" s="241"/>
      <c r="AS216" s="194"/>
      <c r="AT216" s="195"/>
      <c r="AU216" s="195"/>
    </row>
    <row r="217" spans="1:47">
      <c r="A217" s="253"/>
      <c r="B217" s="230"/>
      <c r="C217" s="245"/>
      <c r="D217" s="230"/>
      <c r="E217" s="230"/>
      <c r="F217" s="230"/>
      <c r="G217" s="228"/>
      <c r="H217" s="230"/>
      <c r="I217" s="230"/>
      <c r="J217" s="246"/>
      <c r="K217" s="230"/>
      <c r="L217" s="230"/>
      <c r="M217" s="230"/>
      <c r="N217" s="230"/>
      <c r="O217" s="230"/>
      <c r="P217" s="256"/>
      <c r="Q217" s="257"/>
      <c r="R217" s="228"/>
      <c r="S217" s="228"/>
      <c r="T217" s="245"/>
      <c r="U217" s="254"/>
      <c r="V217" s="254"/>
      <c r="W217" s="228"/>
      <c r="X217" s="255"/>
      <c r="Y217" s="248"/>
      <c r="Z217" s="248"/>
      <c r="AA217" s="228"/>
      <c r="AB217" s="228"/>
      <c r="AC217" s="228"/>
      <c r="AD217" s="228"/>
      <c r="AE217" s="248"/>
      <c r="AF217" s="247"/>
      <c r="AG217" s="228"/>
      <c r="AH217" s="228"/>
      <c r="AI217" s="248"/>
      <c r="AJ217" s="248"/>
      <c r="AK217" s="194"/>
      <c r="AL217" s="249"/>
      <c r="AM217" s="250"/>
      <c r="AN217" s="251"/>
      <c r="AO217" s="252"/>
      <c r="AP217" s="241"/>
      <c r="AQ217" s="241"/>
      <c r="AR217" s="241"/>
      <c r="AS217" s="194"/>
      <c r="AT217" s="195"/>
      <c r="AU217" s="195"/>
    </row>
    <row r="218" spans="1:47">
      <c r="A218" s="253"/>
      <c r="B218" s="230"/>
      <c r="C218" s="245"/>
      <c r="D218" s="230"/>
      <c r="E218" s="230"/>
      <c r="F218" s="230"/>
      <c r="G218" s="228"/>
      <c r="H218" s="230"/>
      <c r="I218" s="230"/>
      <c r="J218" s="246"/>
      <c r="K218" s="230"/>
      <c r="L218" s="230"/>
      <c r="M218" s="230"/>
      <c r="N218" s="230"/>
      <c r="O218" s="230"/>
      <c r="P218" s="256"/>
      <c r="Q218" s="257"/>
      <c r="R218" s="228"/>
      <c r="S218" s="228"/>
      <c r="T218" s="245"/>
      <c r="U218" s="254"/>
      <c r="V218" s="254"/>
      <c r="W218" s="228"/>
      <c r="X218" s="255"/>
      <c r="Y218" s="248"/>
      <c r="Z218" s="248"/>
      <c r="AA218" s="228"/>
      <c r="AB218" s="228"/>
      <c r="AC218" s="228"/>
      <c r="AD218" s="228"/>
      <c r="AE218" s="248"/>
      <c r="AF218" s="247"/>
      <c r="AG218" s="228"/>
      <c r="AH218" s="228"/>
      <c r="AI218" s="248"/>
      <c r="AJ218" s="248"/>
      <c r="AK218" s="194"/>
      <c r="AL218" s="249"/>
      <c r="AM218" s="250"/>
      <c r="AN218" s="251"/>
      <c r="AO218" s="252"/>
      <c r="AP218" s="241"/>
      <c r="AQ218" s="241"/>
      <c r="AR218" s="241"/>
      <c r="AS218" s="194"/>
      <c r="AT218" s="195"/>
      <c r="AU218" s="195"/>
    </row>
    <row r="219" spans="1:47">
      <c r="A219" s="253"/>
      <c r="B219" s="230"/>
      <c r="C219" s="245"/>
      <c r="D219" s="230"/>
      <c r="E219" s="230"/>
      <c r="F219" s="230"/>
      <c r="G219" s="228"/>
      <c r="H219" s="230"/>
      <c r="I219" s="230"/>
      <c r="J219" s="246"/>
      <c r="K219" s="230"/>
      <c r="L219" s="230"/>
      <c r="M219" s="230"/>
      <c r="N219" s="230"/>
      <c r="O219" s="230"/>
      <c r="P219" s="256"/>
      <c r="Q219" s="257"/>
      <c r="R219" s="228"/>
      <c r="S219" s="228"/>
      <c r="T219" s="245"/>
      <c r="U219" s="254"/>
      <c r="V219" s="254"/>
      <c r="W219" s="228"/>
      <c r="X219" s="255"/>
      <c r="Y219" s="248"/>
      <c r="Z219" s="248"/>
      <c r="AA219" s="228"/>
      <c r="AB219" s="228"/>
      <c r="AC219" s="228"/>
      <c r="AD219" s="228"/>
      <c r="AE219" s="248"/>
      <c r="AF219" s="247"/>
      <c r="AG219" s="228"/>
      <c r="AH219" s="228"/>
      <c r="AI219" s="248"/>
      <c r="AJ219" s="248"/>
      <c r="AK219" s="194"/>
      <c r="AL219" s="249"/>
      <c r="AM219" s="250"/>
      <c r="AN219" s="251"/>
      <c r="AO219" s="252"/>
      <c r="AP219" s="241"/>
      <c r="AQ219" s="241"/>
      <c r="AR219" s="241"/>
      <c r="AS219" s="194"/>
      <c r="AT219" s="195"/>
      <c r="AU219" s="195"/>
    </row>
    <row r="220" spans="1:47">
      <c r="A220" s="253"/>
      <c r="B220" s="230"/>
      <c r="C220" s="245"/>
      <c r="D220" s="230"/>
      <c r="E220" s="230"/>
      <c r="F220" s="230"/>
      <c r="G220" s="228"/>
      <c r="H220" s="230"/>
      <c r="I220" s="230"/>
      <c r="J220" s="246"/>
      <c r="K220" s="230"/>
      <c r="L220" s="230"/>
      <c r="M220" s="230"/>
      <c r="N220" s="230"/>
      <c r="O220" s="230"/>
      <c r="P220" s="256"/>
      <c r="Q220" s="257"/>
      <c r="R220" s="228"/>
      <c r="S220" s="228"/>
      <c r="T220" s="245"/>
      <c r="U220" s="254"/>
      <c r="V220" s="254"/>
      <c r="W220" s="228"/>
      <c r="X220" s="255"/>
      <c r="Y220" s="248"/>
      <c r="Z220" s="248"/>
      <c r="AA220" s="228"/>
      <c r="AB220" s="228"/>
      <c r="AC220" s="228"/>
      <c r="AD220" s="228"/>
      <c r="AE220" s="248"/>
      <c r="AF220" s="247"/>
      <c r="AG220" s="228"/>
      <c r="AH220" s="228"/>
      <c r="AI220" s="248"/>
      <c r="AJ220" s="248"/>
      <c r="AK220" s="194"/>
      <c r="AL220" s="249"/>
      <c r="AM220" s="250"/>
      <c r="AN220" s="251"/>
      <c r="AO220" s="252"/>
      <c r="AP220" s="241"/>
      <c r="AQ220" s="241"/>
      <c r="AR220" s="241"/>
      <c r="AS220" s="194"/>
      <c r="AT220" s="195"/>
      <c r="AU220" s="195"/>
    </row>
    <row r="221" spans="1:47">
      <c r="A221" s="253"/>
      <c r="B221" s="230"/>
      <c r="C221" s="245"/>
      <c r="D221" s="230"/>
      <c r="E221" s="230"/>
      <c r="F221" s="230"/>
      <c r="G221" s="228"/>
      <c r="H221" s="230"/>
      <c r="I221" s="230"/>
      <c r="J221" s="246"/>
      <c r="K221" s="230"/>
      <c r="L221" s="230"/>
      <c r="M221" s="230"/>
      <c r="N221" s="230"/>
      <c r="O221" s="230"/>
      <c r="P221" s="256"/>
      <c r="Q221" s="257"/>
      <c r="R221" s="228"/>
      <c r="S221" s="228"/>
      <c r="T221" s="245"/>
      <c r="U221" s="254"/>
      <c r="V221" s="254"/>
      <c r="W221" s="228"/>
      <c r="X221" s="255"/>
      <c r="Y221" s="248"/>
      <c r="Z221" s="248"/>
      <c r="AA221" s="228"/>
      <c r="AB221" s="228"/>
      <c r="AC221" s="228"/>
      <c r="AD221" s="228"/>
      <c r="AE221" s="248"/>
      <c r="AF221" s="247"/>
      <c r="AG221" s="228"/>
      <c r="AH221" s="228"/>
      <c r="AI221" s="248"/>
      <c r="AJ221" s="248"/>
      <c r="AK221" s="194"/>
      <c r="AL221" s="249"/>
      <c r="AM221" s="250"/>
      <c r="AN221" s="251"/>
      <c r="AO221" s="252"/>
      <c r="AP221" s="241"/>
      <c r="AQ221" s="241"/>
      <c r="AR221" s="241"/>
      <c r="AS221" s="194"/>
      <c r="AT221" s="195"/>
      <c r="AU221" s="195"/>
    </row>
    <row r="222" spans="1:47">
      <c r="A222" s="253"/>
      <c r="B222" s="230"/>
      <c r="C222" s="245"/>
      <c r="D222" s="230"/>
      <c r="E222" s="230"/>
      <c r="F222" s="230"/>
      <c r="G222" s="228"/>
      <c r="H222" s="230"/>
      <c r="I222" s="230"/>
      <c r="J222" s="246"/>
      <c r="K222" s="230"/>
      <c r="L222" s="230"/>
      <c r="M222" s="230"/>
      <c r="N222" s="230"/>
      <c r="O222" s="230"/>
      <c r="P222" s="256"/>
      <c r="Q222" s="257"/>
      <c r="R222" s="228"/>
      <c r="S222" s="228"/>
      <c r="T222" s="245"/>
      <c r="U222" s="254"/>
      <c r="V222" s="254"/>
      <c r="W222" s="228"/>
      <c r="X222" s="255"/>
      <c r="Y222" s="248"/>
      <c r="Z222" s="248"/>
      <c r="AA222" s="228"/>
      <c r="AB222" s="228"/>
      <c r="AC222" s="228"/>
      <c r="AD222" s="228"/>
      <c r="AE222" s="248"/>
      <c r="AF222" s="247"/>
      <c r="AG222" s="228"/>
      <c r="AH222" s="228"/>
      <c r="AI222" s="248"/>
      <c r="AJ222" s="248"/>
      <c r="AK222" s="194"/>
      <c r="AL222" s="249"/>
      <c r="AM222" s="250"/>
      <c r="AN222" s="251"/>
      <c r="AO222" s="252"/>
      <c r="AP222" s="241"/>
      <c r="AQ222" s="241"/>
      <c r="AR222" s="241"/>
      <c r="AS222" s="194"/>
      <c r="AT222" s="195"/>
      <c r="AU222" s="195"/>
    </row>
    <row r="223" spans="1:47">
      <c r="A223" s="253"/>
      <c r="B223" s="230"/>
      <c r="C223" s="245"/>
      <c r="D223" s="230"/>
      <c r="E223" s="230"/>
      <c r="F223" s="230"/>
      <c r="G223" s="228"/>
      <c r="H223" s="230"/>
      <c r="I223" s="230"/>
      <c r="J223" s="246"/>
      <c r="K223" s="230"/>
      <c r="L223" s="230"/>
      <c r="M223" s="230"/>
      <c r="N223" s="230"/>
      <c r="O223" s="230"/>
      <c r="P223" s="256"/>
      <c r="Q223" s="257"/>
      <c r="R223" s="228"/>
      <c r="S223" s="228"/>
      <c r="T223" s="245"/>
      <c r="U223" s="254"/>
      <c r="V223" s="254"/>
      <c r="W223" s="228"/>
      <c r="X223" s="255"/>
      <c r="Y223" s="248"/>
      <c r="Z223" s="248"/>
      <c r="AA223" s="228"/>
      <c r="AB223" s="228"/>
      <c r="AC223" s="228"/>
      <c r="AD223" s="228"/>
      <c r="AE223" s="248"/>
      <c r="AF223" s="247"/>
      <c r="AG223" s="228"/>
      <c r="AH223" s="228"/>
      <c r="AI223" s="248"/>
      <c r="AJ223" s="248"/>
      <c r="AK223" s="194"/>
      <c r="AL223" s="249"/>
      <c r="AM223" s="250"/>
      <c r="AN223" s="251"/>
      <c r="AO223" s="252"/>
      <c r="AP223" s="241"/>
      <c r="AQ223" s="241"/>
      <c r="AR223" s="241"/>
      <c r="AS223" s="194"/>
      <c r="AT223" s="195"/>
      <c r="AU223" s="195"/>
    </row>
    <row r="224" spans="1:47">
      <c r="A224" s="253"/>
      <c r="B224" s="230"/>
      <c r="C224" s="245"/>
      <c r="D224" s="230"/>
      <c r="E224" s="230"/>
      <c r="F224" s="230"/>
      <c r="G224" s="228"/>
      <c r="H224" s="230"/>
      <c r="I224" s="230"/>
      <c r="J224" s="246"/>
      <c r="K224" s="230"/>
      <c r="L224" s="230"/>
      <c r="M224" s="230"/>
      <c r="N224" s="230"/>
      <c r="O224" s="230"/>
      <c r="P224" s="256"/>
      <c r="Q224" s="257"/>
      <c r="R224" s="228"/>
      <c r="S224" s="228"/>
      <c r="T224" s="245"/>
      <c r="U224" s="254"/>
      <c r="V224" s="254"/>
      <c r="W224" s="228"/>
      <c r="X224" s="255"/>
      <c r="Y224" s="248"/>
      <c r="Z224" s="248"/>
      <c r="AA224" s="228"/>
      <c r="AB224" s="228"/>
      <c r="AC224" s="228"/>
      <c r="AD224" s="228"/>
      <c r="AE224" s="248"/>
      <c r="AF224" s="247"/>
      <c r="AG224" s="228"/>
      <c r="AH224" s="228"/>
      <c r="AI224" s="248"/>
      <c r="AJ224" s="248"/>
      <c r="AK224" s="194"/>
      <c r="AL224" s="249"/>
      <c r="AM224" s="250"/>
      <c r="AN224" s="251"/>
      <c r="AO224" s="252"/>
      <c r="AP224" s="241"/>
      <c r="AQ224" s="241"/>
      <c r="AR224" s="241"/>
      <c r="AS224" s="194"/>
      <c r="AT224" s="195"/>
      <c r="AU224" s="195"/>
    </row>
    <row r="225" spans="1:47">
      <c r="A225" s="253"/>
      <c r="B225" s="230"/>
      <c r="C225" s="245"/>
      <c r="D225" s="230"/>
      <c r="E225" s="230"/>
      <c r="F225" s="230"/>
      <c r="G225" s="228"/>
      <c r="H225" s="230"/>
      <c r="I225" s="230"/>
      <c r="J225" s="246"/>
      <c r="K225" s="230"/>
      <c r="L225" s="230"/>
      <c r="M225" s="230"/>
      <c r="N225" s="230"/>
      <c r="O225" s="230"/>
      <c r="P225" s="256"/>
      <c r="Q225" s="257"/>
      <c r="R225" s="228"/>
      <c r="S225" s="228"/>
      <c r="T225" s="245"/>
      <c r="U225" s="254"/>
      <c r="V225" s="254"/>
      <c r="W225" s="228"/>
      <c r="X225" s="255"/>
      <c r="Y225" s="248"/>
      <c r="Z225" s="248"/>
      <c r="AA225" s="228"/>
      <c r="AB225" s="228"/>
      <c r="AC225" s="228"/>
      <c r="AD225" s="228"/>
      <c r="AE225" s="248"/>
      <c r="AF225" s="247"/>
      <c r="AG225" s="228"/>
      <c r="AH225" s="228"/>
      <c r="AI225" s="248"/>
      <c r="AJ225" s="248"/>
      <c r="AK225" s="194"/>
      <c r="AL225" s="249"/>
      <c r="AM225" s="250"/>
      <c r="AN225" s="251"/>
      <c r="AO225" s="252"/>
      <c r="AP225" s="241"/>
      <c r="AQ225" s="241"/>
      <c r="AR225" s="241"/>
      <c r="AS225" s="194"/>
      <c r="AT225" s="195"/>
      <c r="AU225" s="195"/>
    </row>
    <row r="226" spans="1:47">
      <c r="A226" s="253"/>
      <c r="B226" s="230"/>
      <c r="C226" s="245"/>
      <c r="D226" s="230"/>
      <c r="E226" s="230"/>
      <c r="F226" s="230"/>
      <c r="G226" s="228"/>
      <c r="H226" s="230"/>
      <c r="I226" s="230"/>
      <c r="J226" s="246"/>
      <c r="K226" s="230"/>
      <c r="L226" s="230"/>
      <c r="M226" s="230"/>
      <c r="N226" s="230"/>
      <c r="O226" s="230"/>
      <c r="P226" s="256"/>
      <c r="Q226" s="257"/>
      <c r="R226" s="228"/>
      <c r="S226" s="228"/>
      <c r="T226" s="245"/>
      <c r="U226" s="254"/>
      <c r="V226" s="254"/>
      <c r="W226" s="228"/>
      <c r="X226" s="255"/>
      <c r="Y226" s="248"/>
      <c r="Z226" s="248"/>
      <c r="AA226" s="228"/>
      <c r="AB226" s="228"/>
      <c r="AC226" s="228"/>
      <c r="AD226" s="228"/>
      <c r="AE226" s="248"/>
      <c r="AF226" s="247"/>
      <c r="AG226" s="228"/>
      <c r="AH226" s="228"/>
      <c r="AI226" s="248"/>
      <c r="AJ226" s="248"/>
      <c r="AK226" s="194"/>
      <c r="AL226" s="249"/>
      <c r="AM226" s="250"/>
      <c r="AN226" s="251"/>
      <c r="AO226" s="252"/>
      <c r="AP226" s="241"/>
      <c r="AQ226" s="241"/>
      <c r="AR226" s="241"/>
      <c r="AS226" s="194"/>
      <c r="AT226" s="195"/>
      <c r="AU226" s="195"/>
    </row>
    <row r="227" spans="1:47">
      <c r="A227" s="253"/>
      <c r="B227" s="230"/>
      <c r="C227" s="245"/>
      <c r="D227" s="230"/>
      <c r="E227" s="230"/>
      <c r="F227" s="230"/>
      <c r="G227" s="228"/>
      <c r="H227" s="230"/>
      <c r="I227" s="230"/>
      <c r="J227" s="246"/>
      <c r="K227" s="230"/>
      <c r="L227" s="230"/>
      <c r="M227" s="230"/>
      <c r="N227" s="230"/>
      <c r="O227" s="230"/>
      <c r="P227" s="256"/>
      <c r="Q227" s="257"/>
      <c r="R227" s="228"/>
      <c r="S227" s="228"/>
      <c r="T227" s="245"/>
      <c r="U227" s="254"/>
      <c r="V227" s="254"/>
      <c r="W227" s="228"/>
      <c r="X227" s="255"/>
      <c r="Y227" s="248"/>
      <c r="Z227" s="248"/>
      <c r="AA227" s="228"/>
      <c r="AB227" s="228"/>
      <c r="AC227" s="228"/>
      <c r="AD227" s="228"/>
      <c r="AE227" s="248"/>
      <c r="AF227" s="247"/>
      <c r="AG227" s="228"/>
      <c r="AH227" s="228"/>
      <c r="AI227" s="248"/>
      <c r="AJ227" s="248"/>
      <c r="AK227" s="194"/>
      <c r="AL227" s="249"/>
      <c r="AM227" s="250"/>
      <c r="AN227" s="251"/>
      <c r="AO227" s="252"/>
      <c r="AP227" s="241"/>
      <c r="AQ227" s="241"/>
      <c r="AR227" s="241"/>
      <c r="AS227" s="194"/>
      <c r="AT227" s="195"/>
      <c r="AU227" s="195"/>
    </row>
    <row r="228" spans="1:47">
      <c r="A228" s="253"/>
      <c r="B228" s="230"/>
      <c r="C228" s="245"/>
      <c r="D228" s="230"/>
      <c r="E228" s="230"/>
      <c r="F228" s="230"/>
      <c r="G228" s="228"/>
      <c r="H228" s="230"/>
      <c r="I228" s="230"/>
      <c r="J228" s="246"/>
      <c r="K228" s="230"/>
      <c r="L228" s="230"/>
      <c r="M228" s="230"/>
      <c r="N228" s="230"/>
      <c r="O228" s="230"/>
      <c r="P228" s="256"/>
      <c r="Q228" s="257"/>
      <c r="R228" s="228"/>
      <c r="S228" s="228"/>
      <c r="T228" s="245"/>
      <c r="U228" s="254"/>
      <c r="V228" s="254"/>
      <c r="W228" s="228"/>
      <c r="X228" s="255"/>
      <c r="Y228" s="248"/>
      <c r="Z228" s="248"/>
      <c r="AA228" s="228"/>
      <c r="AB228" s="228"/>
      <c r="AC228" s="228"/>
      <c r="AD228" s="228"/>
      <c r="AE228" s="248"/>
      <c r="AF228" s="247"/>
      <c r="AG228" s="228"/>
      <c r="AH228" s="228"/>
      <c r="AI228" s="248"/>
      <c r="AJ228" s="248"/>
      <c r="AK228" s="194"/>
      <c r="AL228" s="249"/>
      <c r="AM228" s="250"/>
      <c r="AN228" s="251"/>
      <c r="AO228" s="252"/>
      <c r="AP228" s="241"/>
      <c r="AQ228" s="241"/>
      <c r="AR228" s="241"/>
      <c r="AS228" s="194"/>
      <c r="AT228" s="195"/>
      <c r="AU228" s="195"/>
    </row>
    <row r="229" spans="1:47">
      <c r="A229" s="253"/>
      <c r="B229" s="230"/>
      <c r="C229" s="245"/>
      <c r="D229" s="230"/>
      <c r="E229" s="230"/>
      <c r="F229" s="230"/>
      <c r="G229" s="228"/>
      <c r="H229" s="230"/>
      <c r="I229" s="230"/>
      <c r="J229" s="246"/>
      <c r="K229" s="230"/>
      <c r="L229" s="230"/>
      <c r="M229" s="230"/>
      <c r="N229" s="230"/>
      <c r="O229" s="230"/>
      <c r="P229" s="256"/>
      <c r="Q229" s="257"/>
      <c r="R229" s="228"/>
      <c r="S229" s="228"/>
      <c r="T229" s="245"/>
      <c r="U229" s="254"/>
      <c r="V229" s="254"/>
      <c r="W229" s="228"/>
      <c r="X229" s="255"/>
      <c r="Y229" s="248"/>
      <c r="Z229" s="248"/>
      <c r="AA229" s="228"/>
      <c r="AB229" s="228"/>
      <c r="AC229" s="228"/>
      <c r="AD229" s="228"/>
      <c r="AE229" s="248"/>
      <c r="AF229" s="247"/>
      <c r="AG229" s="228"/>
      <c r="AH229" s="228"/>
      <c r="AI229" s="248"/>
      <c r="AJ229" s="248"/>
      <c r="AK229" s="194"/>
      <c r="AL229" s="249"/>
      <c r="AM229" s="250"/>
      <c r="AN229" s="251"/>
      <c r="AO229" s="252"/>
      <c r="AP229" s="241"/>
      <c r="AQ229" s="241"/>
      <c r="AR229" s="241"/>
      <c r="AS229" s="194"/>
      <c r="AT229" s="195"/>
      <c r="AU229" s="195"/>
    </row>
    <row r="230" spans="1:47">
      <c r="A230" s="253"/>
      <c r="B230" s="230"/>
      <c r="C230" s="245"/>
      <c r="D230" s="230"/>
      <c r="E230" s="230"/>
      <c r="F230" s="230"/>
      <c r="G230" s="228"/>
      <c r="H230" s="230"/>
      <c r="I230" s="230"/>
      <c r="J230" s="246"/>
      <c r="K230" s="230"/>
      <c r="L230" s="230"/>
      <c r="M230" s="230"/>
      <c r="N230" s="230"/>
      <c r="O230" s="230"/>
      <c r="P230" s="256"/>
      <c r="Q230" s="257"/>
      <c r="R230" s="228"/>
      <c r="S230" s="228"/>
      <c r="T230" s="245"/>
      <c r="U230" s="254"/>
      <c r="V230" s="254"/>
      <c r="W230" s="228"/>
      <c r="X230" s="255"/>
      <c r="Y230" s="248"/>
      <c r="Z230" s="248"/>
      <c r="AA230" s="228"/>
      <c r="AB230" s="228"/>
      <c r="AC230" s="228"/>
      <c r="AD230" s="228"/>
      <c r="AE230" s="248"/>
      <c r="AF230" s="247"/>
      <c r="AG230" s="228"/>
      <c r="AH230" s="228"/>
      <c r="AI230" s="248"/>
      <c r="AJ230" s="248"/>
      <c r="AK230" s="194"/>
      <c r="AL230" s="249"/>
      <c r="AM230" s="250"/>
      <c r="AN230" s="251"/>
      <c r="AO230" s="252"/>
      <c r="AP230" s="241"/>
      <c r="AQ230" s="241"/>
      <c r="AR230" s="241"/>
      <c r="AS230" s="194"/>
      <c r="AT230" s="195"/>
      <c r="AU230" s="195"/>
    </row>
    <row r="231" spans="1:47">
      <c r="A231" s="253"/>
      <c r="B231" s="230"/>
      <c r="C231" s="245"/>
      <c r="D231" s="230"/>
      <c r="E231" s="230"/>
      <c r="F231" s="230"/>
      <c r="G231" s="228"/>
      <c r="H231" s="230"/>
      <c r="I231" s="230"/>
      <c r="J231" s="246"/>
      <c r="K231" s="230"/>
      <c r="L231" s="230"/>
      <c r="M231" s="230"/>
      <c r="N231" s="230"/>
      <c r="O231" s="230"/>
      <c r="P231" s="256"/>
      <c r="Q231" s="257"/>
      <c r="R231" s="228"/>
      <c r="S231" s="228"/>
      <c r="T231" s="245"/>
      <c r="U231" s="254"/>
      <c r="V231" s="254"/>
      <c r="W231" s="228"/>
      <c r="X231" s="255"/>
      <c r="Y231" s="248"/>
      <c r="Z231" s="248"/>
      <c r="AA231" s="228"/>
      <c r="AB231" s="228"/>
      <c r="AC231" s="228"/>
      <c r="AD231" s="228"/>
      <c r="AE231" s="248"/>
      <c r="AF231" s="247"/>
      <c r="AG231" s="228"/>
      <c r="AH231" s="228"/>
      <c r="AI231" s="248"/>
      <c r="AJ231" s="248"/>
      <c r="AK231" s="194"/>
      <c r="AL231" s="249"/>
      <c r="AM231" s="250"/>
      <c r="AN231" s="251"/>
      <c r="AO231" s="252"/>
      <c r="AP231" s="241"/>
      <c r="AQ231" s="241"/>
      <c r="AR231" s="241"/>
      <c r="AS231" s="194"/>
      <c r="AT231" s="195"/>
      <c r="AU231" s="195"/>
    </row>
    <row r="232" spans="1:47">
      <c r="A232" s="253"/>
      <c r="B232" s="230"/>
      <c r="C232" s="245"/>
      <c r="D232" s="230"/>
      <c r="E232" s="230"/>
      <c r="F232" s="230"/>
      <c r="G232" s="228"/>
      <c r="H232" s="230"/>
      <c r="I232" s="230"/>
      <c r="J232" s="246"/>
      <c r="K232" s="230"/>
      <c r="L232" s="230"/>
      <c r="M232" s="230"/>
      <c r="N232" s="230"/>
      <c r="O232" s="230"/>
      <c r="P232" s="256"/>
      <c r="Q232" s="257"/>
      <c r="R232" s="228"/>
      <c r="S232" s="228"/>
      <c r="T232" s="245"/>
      <c r="U232" s="254"/>
      <c r="V232" s="254"/>
      <c r="W232" s="228"/>
      <c r="X232" s="255"/>
      <c r="Y232" s="248"/>
      <c r="Z232" s="248"/>
      <c r="AA232" s="228"/>
      <c r="AB232" s="228"/>
      <c r="AC232" s="228"/>
      <c r="AD232" s="228"/>
      <c r="AE232" s="248"/>
      <c r="AF232" s="247"/>
      <c r="AG232" s="228"/>
      <c r="AH232" s="228"/>
      <c r="AI232" s="248"/>
      <c r="AJ232" s="248"/>
      <c r="AK232" s="194"/>
      <c r="AL232" s="249"/>
      <c r="AM232" s="250"/>
      <c r="AN232" s="251"/>
      <c r="AO232" s="252"/>
      <c r="AP232" s="241"/>
      <c r="AQ232" s="241"/>
      <c r="AR232" s="241"/>
      <c r="AS232" s="194"/>
      <c r="AT232" s="195"/>
      <c r="AU232" s="195"/>
    </row>
    <row r="233" spans="1:47">
      <c r="A233" s="253"/>
      <c r="B233" s="230"/>
      <c r="C233" s="245"/>
      <c r="D233" s="230"/>
      <c r="E233" s="230"/>
      <c r="F233" s="230"/>
      <c r="G233" s="228"/>
      <c r="H233" s="230"/>
      <c r="I233" s="230"/>
      <c r="J233" s="246"/>
      <c r="K233" s="230"/>
      <c r="L233" s="230"/>
      <c r="M233" s="230"/>
      <c r="N233" s="230"/>
      <c r="O233" s="230"/>
      <c r="P233" s="256"/>
      <c r="Q233" s="257"/>
      <c r="R233" s="228"/>
      <c r="S233" s="228"/>
      <c r="T233" s="245"/>
      <c r="U233" s="254"/>
      <c r="V233" s="254"/>
      <c r="W233" s="228"/>
      <c r="X233" s="255"/>
      <c r="Y233" s="248"/>
      <c r="Z233" s="248"/>
      <c r="AA233" s="228"/>
      <c r="AB233" s="228"/>
      <c r="AC233" s="228"/>
      <c r="AD233" s="228"/>
      <c r="AE233" s="248"/>
      <c r="AF233" s="247"/>
      <c r="AG233" s="228"/>
      <c r="AH233" s="228"/>
      <c r="AI233" s="248"/>
      <c r="AJ233" s="248"/>
      <c r="AK233" s="194"/>
      <c r="AL233" s="249"/>
      <c r="AM233" s="250"/>
      <c r="AN233" s="251"/>
      <c r="AO233" s="252"/>
      <c r="AP233" s="241"/>
      <c r="AQ233" s="241"/>
      <c r="AR233" s="241"/>
      <c r="AS233" s="194"/>
      <c r="AT233" s="195"/>
      <c r="AU233" s="195"/>
    </row>
    <row r="234" spans="1:47">
      <c r="A234" s="253"/>
      <c r="B234" s="230"/>
      <c r="C234" s="245"/>
      <c r="D234" s="230"/>
      <c r="E234" s="230"/>
      <c r="F234" s="230"/>
      <c r="G234" s="228"/>
      <c r="H234" s="230"/>
      <c r="I234" s="230"/>
      <c r="J234" s="246"/>
      <c r="K234" s="230"/>
      <c r="L234" s="230"/>
      <c r="M234" s="230"/>
      <c r="N234" s="230"/>
      <c r="O234" s="230"/>
      <c r="P234" s="256"/>
      <c r="Q234" s="257"/>
      <c r="R234" s="228"/>
      <c r="S234" s="228"/>
      <c r="T234" s="245"/>
      <c r="U234" s="254"/>
      <c r="V234" s="254"/>
      <c r="W234" s="228"/>
      <c r="X234" s="255"/>
      <c r="Y234" s="248"/>
      <c r="Z234" s="248"/>
      <c r="AA234" s="228"/>
      <c r="AB234" s="228"/>
      <c r="AC234" s="228"/>
      <c r="AD234" s="228"/>
      <c r="AE234" s="248"/>
      <c r="AF234" s="247"/>
      <c r="AG234" s="228"/>
      <c r="AH234" s="228"/>
      <c r="AI234" s="248"/>
      <c r="AJ234" s="248"/>
      <c r="AK234" s="194"/>
      <c r="AL234" s="249"/>
      <c r="AM234" s="250"/>
      <c r="AN234" s="251"/>
      <c r="AO234" s="252"/>
      <c r="AP234" s="241"/>
      <c r="AQ234" s="241"/>
      <c r="AR234" s="241"/>
      <c r="AS234" s="194"/>
      <c r="AT234" s="195"/>
      <c r="AU234" s="195"/>
    </row>
    <row r="235" spans="1:47">
      <c r="A235" s="253"/>
      <c r="B235" s="230"/>
      <c r="C235" s="245"/>
      <c r="D235" s="230"/>
      <c r="E235" s="230"/>
      <c r="F235" s="230"/>
      <c r="G235" s="228"/>
      <c r="H235" s="230"/>
      <c r="I235" s="230"/>
      <c r="J235" s="246"/>
      <c r="K235" s="230"/>
      <c r="L235" s="230"/>
      <c r="M235" s="230"/>
      <c r="N235" s="230"/>
      <c r="O235" s="230"/>
      <c r="P235" s="256"/>
      <c r="Q235" s="257"/>
      <c r="R235" s="228"/>
      <c r="S235" s="228"/>
      <c r="T235" s="245"/>
      <c r="U235" s="254"/>
      <c r="V235" s="254"/>
      <c r="W235" s="228"/>
      <c r="X235" s="255"/>
      <c r="Y235" s="248"/>
      <c r="Z235" s="248"/>
      <c r="AA235" s="228"/>
      <c r="AB235" s="228"/>
      <c r="AC235" s="228"/>
      <c r="AD235" s="228"/>
      <c r="AE235" s="248"/>
      <c r="AF235" s="247"/>
      <c r="AG235" s="228"/>
      <c r="AH235" s="228"/>
      <c r="AI235" s="248"/>
      <c r="AJ235" s="248"/>
      <c r="AK235" s="194"/>
      <c r="AL235" s="249"/>
      <c r="AM235" s="250"/>
      <c r="AN235" s="251"/>
      <c r="AO235" s="252"/>
      <c r="AP235" s="241"/>
      <c r="AQ235" s="241"/>
      <c r="AR235" s="241"/>
      <c r="AS235" s="194"/>
      <c r="AT235" s="195"/>
      <c r="AU235" s="195"/>
    </row>
    <row r="236" spans="1:47">
      <c r="A236" s="253"/>
      <c r="B236" s="230"/>
      <c r="C236" s="245"/>
      <c r="D236" s="230"/>
      <c r="E236" s="230"/>
      <c r="F236" s="230"/>
      <c r="G236" s="228"/>
      <c r="H236" s="230"/>
      <c r="I236" s="230"/>
      <c r="J236" s="246"/>
      <c r="K236" s="230"/>
      <c r="L236" s="230"/>
      <c r="M236" s="230"/>
      <c r="N236" s="230"/>
      <c r="O236" s="230"/>
      <c r="P236" s="256"/>
      <c r="Q236" s="257"/>
      <c r="R236" s="228"/>
      <c r="S236" s="228"/>
      <c r="T236" s="245"/>
      <c r="U236" s="254"/>
      <c r="V236" s="254"/>
      <c r="W236" s="228"/>
      <c r="X236" s="255"/>
      <c r="Y236" s="248"/>
      <c r="Z236" s="248"/>
      <c r="AA236" s="228"/>
      <c r="AB236" s="228"/>
      <c r="AC236" s="228"/>
      <c r="AD236" s="228"/>
      <c r="AE236" s="248"/>
      <c r="AF236" s="247"/>
      <c r="AG236" s="228"/>
      <c r="AH236" s="228"/>
      <c r="AI236" s="248"/>
      <c r="AJ236" s="248"/>
      <c r="AK236" s="194"/>
      <c r="AL236" s="249"/>
      <c r="AM236" s="250"/>
      <c r="AN236" s="251"/>
      <c r="AO236" s="252"/>
      <c r="AP236" s="241"/>
      <c r="AQ236" s="241"/>
      <c r="AR236" s="241"/>
      <c r="AS236" s="194"/>
      <c r="AT236" s="195"/>
      <c r="AU236" s="195"/>
    </row>
    <row r="237" spans="1:47">
      <c r="A237" s="253"/>
      <c r="B237" s="230"/>
      <c r="C237" s="245"/>
      <c r="D237" s="230"/>
      <c r="E237" s="230"/>
      <c r="F237" s="230"/>
      <c r="G237" s="228"/>
      <c r="H237" s="230"/>
      <c r="I237" s="230"/>
      <c r="J237" s="246"/>
      <c r="K237" s="230"/>
      <c r="L237" s="230"/>
      <c r="M237" s="230"/>
      <c r="N237" s="230"/>
      <c r="O237" s="230"/>
      <c r="P237" s="256"/>
      <c r="Q237" s="257"/>
      <c r="R237" s="228"/>
      <c r="S237" s="228"/>
      <c r="T237" s="245"/>
      <c r="U237" s="254"/>
      <c r="V237" s="254"/>
      <c r="W237" s="228"/>
      <c r="X237" s="255"/>
      <c r="Y237" s="248"/>
      <c r="Z237" s="248"/>
      <c r="AA237" s="228"/>
      <c r="AB237" s="228"/>
      <c r="AC237" s="228"/>
      <c r="AD237" s="228"/>
      <c r="AE237" s="248"/>
      <c r="AF237" s="247"/>
      <c r="AG237" s="228"/>
      <c r="AH237" s="228"/>
      <c r="AI237" s="248"/>
      <c r="AJ237" s="248"/>
      <c r="AK237" s="194"/>
      <c r="AL237" s="249"/>
      <c r="AM237" s="250"/>
      <c r="AN237" s="251"/>
      <c r="AO237" s="252"/>
      <c r="AP237" s="241"/>
      <c r="AQ237" s="241"/>
      <c r="AR237" s="241"/>
      <c r="AS237" s="194"/>
      <c r="AT237" s="195"/>
      <c r="AU237" s="195"/>
    </row>
    <row r="238" spans="1:47">
      <c r="A238" s="253"/>
      <c r="B238" s="230"/>
      <c r="C238" s="245"/>
      <c r="D238" s="230"/>
      <c r="E238" s="230"/>
      <c r="F238" s="230"/>
      <c r="G238" s="228"/>
      <c r="H238" s="230"/>
      <c r="I238" s="230"/>
      <c r="J238" s="246"/>
      <c r="K238" s="230"/>
      <c r="L238" s="230"/>
      <c r="M238" s="230"/>
      <c r="N238" s="230"/>
      <c r="O238" s="230"/>
      <c r="P238" s="256"/>
      <c r="Q238" s="257"/>
      <c r="R238" s="228"/>
      <c r="S238" s="228"/>
      <c r="T238" s="245"/>
      <c r="U238" s="254"/>
      <c r="V238" s="254"/>
      <c r="W238" s="228"/>
      <c r="X238" s="255"/>
      <c r="Y238" s="248"/>
      <c r="Z238" s="248"/>
      <c r="AA238" s="228"/>
      <c r="AB238" s="228"/>
      <c r="AC238" s="228"/>
      <c r="AD238" s="228"/>
      <c r="AE238" s="248"/>
      <c r="AF238" s="247"/>
      <c r="AG238" s="228"/>
      <c r="AH238" s="228"/>
      <c r="AI238" s="248"/>
      <c r="AJ238" s="248"/>
      <c r="AK238" s="194"/>
      <c r="AL238" s="249"/>
      <c r="AM238" s="250"/>
      <c r="AN238" s="251"/>
      <c r="AO238" s="252"/>
      <c r="AP238" s="241"/>
      <c r="AQ238" s="241"/>
      <c r="AR238" s="241"/>
      <c r="AS238" s="194"/>
      <c r="AT238" s="195"/>
      <c r="AU238" s="195"/>
    </row>
    <row r="239" spans="1:47">
      <c r="A239" s="253"/>
      <c r="B239" s="230"/>
      <c r="C239" s="245"/>
      <c r="D239" s="230"/>
      <c r="E239" s="230"/>
      <c r="F239" s="230"/>
      <c r="G239" s="228"/>
      <c r="H239" s="230"/>
      <c r="I239" s="230"/>
      <c r="J239" s="246"/>
      <c r="K239" s="230"/>
      <c r="L239" s="230"/>
      <c r="M239" s="230"/>
      <c r="N239" s="230"/>
      <c r="O239" s="230"/>
      <c r="P239" s="256"/>
      <c r="Q239" s="257"/>
      <c r="R239" s="228"/>
      <c r="S239" s="228"/>
      <c r="T239" s="245"/>
      <c r="U239" s="254"/>
      <c r="V239" s="254"/>
      <c r="W239" s="228"/>
      <c r="X239" s="255"/>
      <c r="Y239" s="248"/>
      <c r="Z239" s="248"/>
      <c r="AA239" s="228"/>
      <c r="AB239" s="228"/>
      <c r="AC239" s="228"/>
      <c r="AD239" s="228"/>
      <c r="AE239" s="248"/>
      <c r="AF239" s="247"/>
      <c r="AG239" s="228"/>
      <c r="AH239" s="228"/>
      <c r="AI239" s="248"/>
      <c r="AJ239" s="248"/>
      <c r="AK239" s="194"/>
      <c r="AL239" s="249"/>
      <c r="AM239" s="250"/>
      <c r="AN239" s="251"/>
      <c r="AO239" s="252"/>
      <c r="AP239" s="241"/>
      <c r="AQ239" s="241"/>
      <c r="AR239" s="241"/>
      <c r="AS239" s="194"/>
      <c r="AT239" s="195"/>
      <c r="AU239" s="195"/>
    </row>
    <row r="240" spans="1:47">
      <c r="A240" s="253"/>
      <c r="B240" s="230"/>
      <c r="C240" s="245"/>
      <c r="D240" s="230"/>
      <c r="E240" s="230"/>
      <c r="F240" s="230"/>
      <c r="G240" s="228"/>
      <c r="H240" s="230"/>
      <c r="I240" s="230"/>
      <c r="J240" s="246"/>
      <c r="K240" s="230"/>
      <c r="L240" s="230"/>
      <c r="M240" s="230"/>
      <c r="N240" s="230"/>
      <c r="O240" s="230"/>
      <c r="P240" s="256"/>
      <c r="Q240" s="257"/>
      <c r="R240" s="228"/>
      <c r="S240" s="228"/>
      <c r="T240" s="245"/>
      <c r="U240" s="254"/>
      <c r="V240" s="254"/>
      <c r="W240" s="228"/>
      <c r="X240" s="255"/>
      <c r="Y240" s="248"/>
      <c r="Z240" s="248"/>
      <c r="AA240" s="228"/>
      <c r="AB240" s="228"/>
      <c r="AC240" s="228"/>
      <c r="AD240" s="228"/>
      <c r="AE240" s="248"/>
      <c r="AF240" s="247"/>
      <c r="AG240" s="228"/>
      <c r="AH240" s="228"/>
      <c r="AI240" s="248"/>
      <c r="AJ240" s="248"/>
      <c r="AK240" s="194"/>
      <c r="AL240" s="249"/>
      <c r="AM240" s="250"/>
      <c r="AN240" s="251"/>
      <c r="AO240" s="252"/>
      <c r="AP240" s="241"/>
      <c r="AQ240" s="241"/>
      <c r="AR240" s="241"/>
      <c r="AS240" s="194"/>
      <c r="AT240" s="195"/>
      <c r="AU240" s="195"/>
    </row>
    <row r="241" spans="1:47">
      <c r="A241" s="253"/>
      <c r="B241" s="230"/>
      <c r="C241" s="245"/>
      <c r="D241" s="230"/>
      <c r="E241" s="230"/>
      <c r="F241" s="230"/>
      <c r="G241" s="228"/>
      <c r="H241" s="230"/>
      <c r="I241" s="230"/>
      <c r="J241" s="246"/>
      <c r="K241" s="230"/>
      <c r="L241" s="230"/>
      <c r="M241" s="230"/>
      <c r="N241" s="230"/>
      <c r="O241" s="230"/>
      <c r="P241" s="256"/>
      <c r="Q241" s="257"/>
      <c r="R241" s="228"/>
      <c r="S241" s="228"/>
      <c r="T241" s="245"/>
      <c r="U241" s="254"/>
      <c r="V241" s="254"/>
      <c r="W241" s="228"/>
      <c r="X241" s="255"/>
      <c r="Y241" s="248"/>
      <c r="Z241" s="248"/>
      <c r="AA241" s="228"/>
      <c r="AB241" s="228"/>
      <c r="AC241" s="228"/>
      <c r="AD241" s="228"/>
      <c r="AE241" s="248"/>
      <c r="AF241" s="247"/>
      <c r="AG241" s="228"/>
      <c r="AH241" s="228"/>
      <c r="AI241" s="248"/>
      <c r="AJ241" s="248"/>
      <c r="AK241" s="194"/>
      <c r="AL241" s="249"/>
      <c r="AM241" s="250"/>
      <c r="AN241" s="251"/>
      <c r="AO241" s="252"/>
      <c r="AP241" s="241"/>
      <c r="AQ241" s="241"/>
      <c r="AR241" s="241"/>
      <c r="AS241" s="194"/>
      <c r="AT241" s="195"/>
      <c r="AU241" s="195"/>
    </row>
    <row r="242" spans="1:47">
      <c r="A242" s="253"/>
      <c r="B242" s="230"/>
      <c r="C242" s="245"/>
      <c r="D242" s="230"/>
      <c r="E242" s="230"/>
      <c r="F242" s="230"/>
      <c r="G242" s="228"/>
      <c r="H242" s="230"/>
      <c r="I242" s="230"/>
      <c r="J242" s="246"/>
      <c r="K242" s="230"/>
      <c r="L242" s="230"/>
      <c r="M242" s="230"/>
      <c r="N242" s="230"/>
      <c r="O242" s="230"/>
      <c r="P242" s="256"/>
      <c r="Q242" s="257"/>
      <c r="R242" s="228"/>
      <c r="S242" s="228"/>
      <c r="T242" s="245"/>
      <c r="U242" s="254"/>
      <c r="V242" s="254"/>
      <c r="W242" s="228"/>
      <c r="X242" s="255"/>
      <c r="Y242" s="248"/>
      <c r="Z242" s="248"/>
      <c r="AA242" s="228"/>
      <c r="AB242" s="228"/>
      <c r="AC242" s="228"/>
      <c r="AD242" s="228"/>
      <c r="AE242" s="248"/>
      <c r="AF242" s="247"/>
      <c r="AG242" s="228"/>
      <c r="AH242" s="228"/>
      <c r="AI242" s="248"/>
      <c r="AJ242" s="248"/>
      <c r="AK242" s="194"/>
      <c r="AL242" s="249"/>
      <c r="AM242" s="250"/>
      <c r="AN242" s="251"/>
      <c r="AO242" s="252"/>
      <c r="AP242" s="241"/>
      <c r="AQ242" s="241"/>
      <c r="AR242" s="241"/>
      <c r="AS242" s="194"/>
      <c r="AT242" s="195"/>
      <c r="AU242" s="195"/>
    </row>
    <row r="243" spans="1:47">
      <c r="A243" s="253"/>
      <c r="B243" s="230"/>
      <c r="C243" s="245"/>
      <c r="D243" s="230"/>
      <c r="E243" s="230"/>
      <c r="F243" s="230"/>
      <c r="G243" s="228"/>
      <c r="H243" s="230"/>
      <c r="I243" s="230"/>
      <c r="J243" s="246"/>
      <c r="K243" s="230"/>
      <c r="L243" s="230"/>
      <c r="M243" s="230"/>
      <c r="N243" s="230"/>
      <c r="O243" s="230"/>
      <c r="P243" s="256"/>
      <c r="Q243" s="257"/>
      <c r="R243" s="228"/>
      <c r="S243" s="228"/>
      <c r="T243" s="245"/>
      <c r="U243" s="254"/>
      <c r="V243" s="254"/>
      <c r="W243" s="228"/>
      <c r="X243" s="255"/>
      <c r="Y243" s="248"/>
      <c r="Z243" s="248"/>
      <c r="AA243" s="228"/>
      <c r="AB243" s="228"/>
      <c r="AC243" s="228"/>
      <c r="AD243" s="228"/>
      <c r="AE243" s="248"/>
      <c r="AF243" s="247"/>
      <c r="AG243" s="228"/>
      <c r="AH243" s="228"/>
      <c r="AI243" s="248"/>
      <c r="AJ243" s="248"/>
      <c r="AK243" s="194"/>
      <c r="AL243" s="249"/>
      <c r="AM243" s="250"/>
      <c r="AN243" s="251"/>
      <c r="AO243" s="252"/>
      <c r="AP243" s="241"/>
      <c r="AQ243" s="241"/>
      <c r="AR243" s="241"/>
      <c r="AS243" s="194"/>
      <c r="AT243" s="195"/>
      <c r="AU243" s="195"/>
    </row>
    <row r="244" spans="1:47">
      <c r="A244" s="253"/>
      <c r="B244" s="230"/>
      <c r="C244" s="245"/>
      <c r="D244" s="230"/>
      <c r="E244" s="230"/>
      <c r="F244" s="230"/>
      <c r="G244" s="228"/>
      <c r="H244" s="230"/>
      <c r="I244" s="230"/>
      <c r="J244" s="246"/>
      <c r="K244" s="230"/>
      <c r="L244" s="230"/>
      <c r="M244" s="230"/>
      <c r="N244" s="230"/>
      <c r="O244" s="230"/>
      <c r="P244" s="256"/>
      <c r="Q244" s="257"/>
      <c r="R244" s="228"/>
      <c r="S244" s="228"/>
      <c r="T244" s="245"/>
      <c r="U244" s="254"/>
      <c r="V244" s="254"/>
      <c r="W244" s="228"/>
      <c r="X244" s="255"/>
      <c r="Y244" s="248"/>
      <c r="Z244" s="248"/>
      <c r="AA244" s="228"/>
      <c r="AB244" s="228"/>
      <c r="AC244" s="228"/>
      <c r="AD244" s="228"/>
      <c r="AE244" s="248"/>
      <c r="AF244" s="247"/>
      <c r="AG244" s="228"/>
      <c r="AH244" s="228"/>
      <c r="AI244" s="248"/>
      <c r="AJ244" s="248"/>
      <c r="AK244" s="194"/>
      <c r="AL244" s="249"/>
      <c r="AM244" s="250"/>
      <c r="AN244" s="251"/>
      <c r="AO244" s="252"/>
      <c r="AP244" s="241"/>
      <c r="AQ244" s="241"/>
      <c r="AR244" s="241"/>
      <c r="AS244" s="194"/>
      <c r="AT244" s="195"/>
      <c r="AU244" s="195"/>
    </row>
    <row r="245" spans="1:47">
      <c r="A245" s="253"/>
      <c r="B245" s="230"/>
      <c r="C245" s="245"/>
      <c r="D245" s="230"/>
      <c r="E245" s="230"/>
      <c r="F245" s="230"/>
      <c r="G245" s="228"/>
      <c r="H245" s="230"/>
      <c r="I245" s="230"/>
      <c r="J245" s="246"/>
      <c r="K245" s="230"/>
      <c r="L245" s="230"/>
      <c r="M245" s="230"/>
      <c r="N245" s="230"/>
      <c r="O245" s="230"/>
      <c r="P245" s="256"/>
      <c r="Q245" s="257"/>
      <c r="R245" s="228"/>
      <c r="S245" s="228"/>
      <c r="T245" s="245"/>
      <c r="U245" s="254"/>
      <c r="V245" s="254"/>
      <c r="W245" s="228"/>
      <c r="X245" s="255"/>
      <c r="Y245" s="248"/>
      <c r="Z245" s="248"/>
      <c r="AA245" s="228"/>
      <c r="AB245" s="228"/>
      <c r="AC245" s="228"/>
      <c r="AD245" s="228"/>
      <c r="AE245" s="248"/>
      <c r="AF245" s="247"/>
      <c r="AG245" s="228"/>
      <c r="AH245" s="228"/>
      <c r="AI245" s="248"/>
      <c r="AJ245" s="248"/>
      <c r="AK245" s="194"/>
      <c r="AL245" s="249"/>
      <c r="AM245" s="250"/>
      <c r="AN245" s="251"/>
      <c r="AO245" s="252"/>
      <c r="AP245" s="241"/>
      <c r="AQ245" s="241"/>
      <c r="AR245" s="241"/>
      <c r="AS245" s="194"/>
      <c r="AT245" s="195"/>
      <c r="AU245" s="195"/>
    </row>
    <row r="246" spans="1:47">
      <c r="A246" s="253"/>
      <c r="B246" s="230"/>
      <c r="C246" s="245"/>
      <c r="D246" s="230"/>
      <c r="E246" s="230"/>
      <c r="F246" s="230"/>
      <c r="G246" s="228"/>
      <c r="H246" s="230"/>
      <c r="I246" s="230"/>
      <c r="J246" s="246"/>
      <c r="K246" s="230"/>
      <c r="L246" s="230"/>
      <c r="M246" s="230"/>
      <c r="N246" s="230"/>
      <c r="O246" s="230"/>
      <c r="P246" s="256"/>
      <c r="Q246" s="257"/>
      <c r="R246" s="228"/>
      <c r="S246" s="228"/>
      <c r="T246" s="245"/>
      <c r="U246" s="254"/>
      <c r="V246" s="254"/>
      <c r="W246" s="228"/>
      <c r="X246" s="255"/>
      <c r="Y246" s="248"/>
      <c r="Z246" s="248"/>
      <c r="AA246" s="228"/>
      <c r="AB246" s="228"/>
      <c r="AC246" s="228"/>
      <c r="AD246" s="228"/>
      <c r="AE246" s="248"/>
      <c r="AF246" s="247"/>
      <c r="AG246" s="228"/>
      <c r="AH246" s="228"/>
      <c r="AI246" s="248"/>
      <c r="AJ246" s="248"/>
      <c r="AK246" s="194"/>
      <c r="AL246" s="249"/>
      <c r="AM246" s="250"/>
      <c r="AN246" s="251"/>
      <c r="AO246" s="252"/>
      <c r="AP246" s="241"/>
      <c r="AQ246" s="241"/>
      <c r="AR246" s="241"/>
      <c r="AS246" s="194"/>
      <c r="AT246" s="195"/>
      <c r="AU246" s="195"/>
    </row>
    <row r="247" spans="1:47">
      <c r="A247" s="253"/>
      <c r="B247" s="230"/>
      <c r="C247" s="245"/>
      <c r="D247" s="230"/>
      <c r="E247" s="230"/>
      <c r="F247" s="230"/>
      <c r="G247" s="228"/>
      <c r="H247" s="230"/>
      <c r="I247" s="230"/>
      <c r="J247" s="246"/>
      <c r="K247" s="230"/>
      <c r="L247" s="230"/>
      <c r="M247" s="230"/>
      <c r="N247" s="230"/>
      <c r="O247" s="230"/>
      <c r="P247" s="256"/>
      <c r="Q247" s="257"/>
      <c r="R247" s="228"/>
      <c r="S247" s="228"/>
      <c r="T247" s="245"/>
      <c r="U247" s="254"/>
      <c r="V247" s="254"/>
      <c r="W247" s="228"/>
      <c r="X247" s="255"/>
      <c r="Y247" s="248"/>
      <c r="Z247" s="248"/>
      <c r="AA247" s="228"/>
      <c r="AB247" s="228"/>
      <c r="AC247" s="228"/>
      <c r="AD247" s="228"/>
      <c r="AE247" s="248"/>
      <c r="AF247" s="247"/>
      <c r="AG247" s="228"/>
      <c r="AH247" s="228"/>
      <c r="AI247" s="248"/>
      <c r="AJ247" s="248"/>
      <c r="AK247" s="194"/>
      <c r="AL247" s="249"/>
      <c r="AM247" s="250"/>
      <c r="AN247" s="251"/>
      <c r="AO247" s="252"/>
      <c r="AP247" s="241"/>
      <c r="AQ247" s="241"/>
      <c r="AR247" s="241"/>
      <c r="AS247" s="194"/>
      <c r="AT247" s="195"/>
      <c r="AU247" s="195"/>
    </row>
    <row r="248" spans="1:47">
      <c r="A248" s="253"/>
      <c r="B248" s="230"/>
      <c r="C248" s="245"/>
      <c r="D248" s="230"/>
      <c r="E248" s="230"/>
      <c r="F248" s="230"/>
      <c r="G248" s="228"/>
      <c r="H248" s="230"/>
      <c r="I248" s="230"/>
      <c r="J248" s="246"/>
      <c r="K248" s="230"/>
      <c r="L248" s="230"/>
      <c r="M248" s="230"/>
      <c r="N248" s="230"/>
      <c r="O248" s="230"/>
      <c r="P248" s="256"/>
      <c r="Q248" s="257"/>
      <c r="R248" s="228"/>
      <c r="S248" s="228"/>
      <c r="T248" s="245"/>
      <c r="U248" s="254"/>
      <c r="V248" s="254"/>
      <c r="W248" s="228"/>
      <c r="X248" s="255"/>
      <c r="Y248" s="248"/>
      <c r="Z248" s="248"/>
      <c r="AA248" s="228"/>
      <c r="AB248" s="228"/>
      <c r="AC248" s="228"/>
      <c r="AD248" s="228"/>
      <c r="AE248" s="248"/>
      <c r="AF248" s="247"/>
      <c r="AG248" s="228"/>
      <c r="AH248" s="228"/>
      <c r="AI248" s="248"/>
      <c r="AJ248" s="248"/>
      <c r="AK248" s="194"/>
      <c r="AL248" s="249"/>
      <c r="AM248" s="250"/>
      <c r="AN248" s="251"/>
      <c r="AO248" s="252"/>
      <c r="AP248" s="241"/>
      <c r="AQ248" s="241"/>
      <c r="AR248" s="241"/>
      <c r="AS248" s="194"/>
      <c r="AT248" s="195"/>
      <c r="AU248" s="195"/>
    </row>
    <row r="249" spans="1:47">
      <c r="A249" s="253"/>
      <c r="B249" s="230"/>
      <c r="C249" s="245"/>
      <c r="D249" s="230"/>
      <c r="E249" s="230"/>
      <c r="F249" s="230"/>
      <c r="G249" s="228"/>
      <c r="H249" s="230"/>
      <c r="I249" s="230"/>
      <c r="J249" s="246"/>
      <c r="K249" s="230"/>
      <c r="L249" s="230"/>
      <c r="M249" s="230"/>
      <c r="N249" s="230"/>
      <c r="O249" s="230"/>
      <c r="P249" s="256"/>
      <c r="Q249" s="257"/>
      <c r="R249" s="228"/>
      <c r="S249" s="228"/>
      <c r="T249" s="245"/>
      <c r="U249" s="254"/>
      <c r="V249" s="254"/>
      <c r="W249" s="228"/>
      <c r="X249" s="255"/>
      <c r="Y249" s="248"/>
      <c r="Z249" s="248"/>
      <c r="AA249" s="228"/>
      <c r="AB249" s="228"/>
      <c r="AC249" s="228"/>
      <c r="AD249" s="228"/>
      <c r="AE249" s="248"/>
      <c r="AF249" s="247"/>
      <c r="AG249" s="228"/>
      <c r="AH249" s="228"/>
      <c r="AI249" s="248"/>
      <c r="AJ249" s="248"/>
      <c r="AK249" s="194"/>
      <c r="AL249" s="249"/>
      <c r="AM249" s="250"/>
      <c r="AN249" s="251"/>
      <c r="AO249" s="252"/>
      <c r="AP249" s="241"/>
      <c r="AQ249" s="241"/>
      <c r="AR249" s="241"/>
      <c r="AS249" s="194"/>
      <c r="AT249" s="195"/>
      <c r="AU249" s="195"/>
    </row>
    <row r="250" spans="1:47">
      <c r="A250" s="253"/>
      <c r="B250" s="230"/>
      <c r="C250" s="245"/>
      <c r="D250" s="230"/>
      <c r="E250" s="230"/>
      <c r="F250" s="230"/>
      <c r="G250" s="228"/>
      <c r="H250" s="230"/>
      <c r="I250" s="230"/>
      <c r="J250" s="246"/>
      <c r="K250" s="230"/>
      <c r="L250" s="230"/>
      <c r="M250" s="230"/>
      <c r="N250" s="230"/>
      <c r="O250" s="230"/>
      <c r="P250" s="256"/>
      <c r="Q250" s="257"/>
      <c r="R250" s="228"/>
      <c r="S250" s="228"/>
      <c r="T250" s="245"/>
      <c r="U250" s="254"/>
      <c r="V250" s="254"/>
      <c r="W250" s="228"/>
      <c r="X250" s="255"/>
      <c r="Y250" s="248"/>
      <c r="Z250" s="248"/>
      <c r="AA250" s="228"/>
      <c r="AB250" s="228"/>
      <c r="AC250" s="228"/>
      <c r="AD250" s="228"/>
      <c r="AE250" s="248"/>
      <c r="AF250" s="247"/>
      <c r="AG250" s="228"/>
      <c r="AH250" s="228"/>
      <c r="AI250" s="248"/>
      <c r="AJ250" s="248"/>
      <c r="AK250" s="194"/>
      <c r="AL250" s="249"/>
      <c r="AM250" s="250"/>
      <c r="AN250" s="251"/>
      <c r="AO250" s="252"/>
      <c r="AP250" s="241"/>
      <c r="AQ250" s="241"/>
      <c r="AR250" s="241"/>
      <c r="AS250" s="194"/>
      <c r="AT250" s="195"/>
      <c r="AU250" s="195"/>
    </row>
    <row r="251" spans="1:47">
      <c r="A251" s="253"/>
      <c r="B251" s="230"/>
      <c r="C251" s="245"/>
      <c r="D251" s="230"/>
      <c r="E251" s="230"/>
      <c r="F251" s="230"/>
      <c r="G251" s="228"/>
      <c r="H251" s="230"/>
      <c r="I251" s="230"/>
      <c r="J251" s="246"/>
      <c r="K251" s="230"/>
      <c r="L251" s="230"/>
      <c r="M251" s="230"/>
      <c r="N251" s="230"/>
      <c r="O251" s="230"/>
      <c r="P251" s="256"/>
      <c r="Q251" s="257"/>
      <c r="R251" s="228"/>
      <c r="S251" s="228"/>
      <c r="T251" s="245"/>
      <c r="U251" s="254"/>
      <c r="V251" s="254"/>
      <c r="W251" s="228"/>
      <c r="X251" s="255"/>
      <c r="Y251" s="248"/>
      <c r="Z251" s="248"/>
      <c r="AA251" s="228"/>
      <c r="AB251" s="228"/>
      <c r="AC251" s="228"/>
      <c r="AD251" s="228"/>
      <c r="AE251" s="248"/>
      <c r="AF251" s="247"/>
      <c r="AG251" s="228"/>
      <c r="AH251" s="228"/>
      <c r="AI251" s="248"/>
      <c r="AJ251" s="248"/>
      <c r="AK251" s="194"/>
      <c r="AL251" s="249"/>
      <c r="AM251" s="250"/>
      <c r="AN251" s="251"/>
      <c r="AO251" s="252"/>
      <c r="AP251" s="241"/>
      <c r="AQ251" s="241"/>
      <c r="AR251" s="241"/>
      <c r="AS251" s="194"/>
      <c r="AT251" s="195"/>
      <c r="AU251" s="195"/>
    </row>
    <row r="252" spans="1:47">
      <c r="A252" s="253"/>
      <c r="B252" s="230"/>
      <c r="C252" s="245"/>
      <c r="D252" s="230"/>
      <c r="E252" s="230"/>
      <c r="F252" s="230"/>
      <c r="G252" s="228"/>
      <c r="H252" s="230"/>
      <c r="I252" s="230"/>
      <c r="J252" s="246"/>
      <c r="K252" s="230"/>
      <c r="L252" s="230"/>
      <c r="M252" s="230"/>
      <c r="N252" s="230"/>
      <c r="O252" s="230"/>
      <c r="P252" s="256"/>
      <c r="Q252" s="257"/>
      <c r="R252" s="228"/>
      <c r="S252" s="228"/>
      <c r="T252" s="245"/>
      <c r="U252" s="254"/>
      <c r="V252" s="254"/>
      <c r="W252" s="228"/>
      <c r="X252" s="255"/>
      <c r="Y252" s="248"/>
      <c r="Z252" s="248"/>
      <c r="AA252" s="228"/>
      <c r="AB252" s="228"/>
      <c r="AC252" s="228"/>
      <c r="AD252" s="228"/>
      <c r="AE252" s="248"/>
      <c r="AF252" s="247"/>
      <c r="AG252" s="228"/>
      <c r="AH252" s="228"/>
      <c r="AI252" s="248"/>
      <c r="AJ252" s="248"/>
      <c r="AK252" s="194"/>
      <c r="AL252" s="249"/>
      <c r="AM252" s="250"/>
      <c r="AN252" s="251"/>
      <c r="AO252" s="252"/>
      <c r="AP252" s="241"/>
      <c r="AQ252" s="241"/>
      <c r="AR252" s="241"/>
      <c r="AS252" s="194"/>
      <c r="AT252" s="195"/>
      <c r="AU252" s="195"/>
    </row>
    <row r="253" spans="1:47">
      <c r="A253" s="253"/>
      <c r="B253" s="230"/>
      <c r="C253" s="245"/>
      <c r="D253" s="230"/>
      <c r="E253" s="230"/>
      <c r="F253" s="230"/>
      <c r="G253" s="228"/>
      <c r="H253" s="230"/>
      <c r="I253" s="230"/>
      <c r="J253" s="246"/>
      <c r="K253" s="230"/>
      <c r="L253" s="230"/>
      <c r="M253" s="230"/>
      <c r="N253" s="230"/>
      <c r="O253" s="230"/>
      <c r="P253" s="256"/>
      <c r="Q253" s="257"/>
      <c r="R253" s="228"/>
      <c r="S253" s="228"/>
      <c r="T253" s="245"/>
      <c r="U253" s="254"/>
      <c r="V253" s="254"/>
      <c r="W253" s="228"/>
      <c r="X253" s="255"/>
      <c r="Y253" s="248"/>
      <c r="Z253" s="248"/>
      <c r="AA253" s="228"/>
      <c r="AB253" s="228"/>
      <c r="AC253" s="228"/>
      <c r="AD253" s="228"/>
      <c r="AE253" s="248"/>
      <c r="AF253" s="247"/>
      <c r="AG253" s="228"/>
      <c r="AH253" s="228"/>
      <c r="AI253" s="248"/>
      <c r="AJ253" s="248"/>
      <c r="AK253" s="194"/>
      <c r="AL253" s="249"/>
      <c r="AM253" s="250"/>
      <c r="AN253" s="251"/>
      <c r="AO253" s="252"/>
      <c r="AP253" s="241"/>
      <c r="AQ253" s="241"/>
      <c r="AR253" s="241"/>
      <c r="AS253" s="194"/>
      <c r="AT253" s="195"/>
      <c r="AU253" s="195"/>
    </row>
    <row r="254" spans="1:47">
      <c r="A254" s="253"/>
      <c r="B254" s="230"/>
      <c r="C254" s="245"/>
      <c r="D254" s="230"/>
      <c r="E254" s="230"/>
      <c r="F254" s="230"/>
      <c r="G254" s="228"/>
      <c r="H254" s="230"/>
      <c r="I254" s="230"/>
      <c r="J254" s="246"/>
      <c r="K254" s="230"/>
      <c r="L254" s="230"/>
      <c r="M254" s="230"/>
      <c r="N254" s="230"/>
      <c r="O254" s="230"/>
      <c r="P254" s="256"/>
      <c r="Q254" s="257"/>
      <c r="R254" s="228"/>
      <c r="S254" s="228"/>
      <c r="T254" s="245"/>
      <c r="U254" s="254"/>
      <c r="V254" s="254"/>
      <c r="W254" s="228"/>
      <c r="X254" s="255"/>
      <c r="Y254" s="248"/>
      <c r="Z254" s="248"/>
      <c r="AA254" s="228"/>
      <c r="AB254" s="228"/>
      <c r="AC254" s="228"/>
      <c r="AD254" s="228"/>
      <c r="AE254" s="248"/>
      <c r="AF254" s="247"/>
      <c r="AG254" s="228"/>
      <c r="AH254" s="228"/>
      <c r="AI254" s="248"/>
      <c r="AJ254" s="248"/>
      <c r="AK254" s="194"/>
      <c r="AL254" s="249"/>
      <c r="AM254" s="250"/>
      <c r="AN254" s="251"/>
      <c r="AO254" s="252"/>
      <c r="AP254" s="241"/>
      <c r="AQ254" s="241"/>
      <c r="AR254" s="241"/>
      <c r="AS254" s="194"/>
      <c r="AT254" s="195"/>
      <c r="AU254" s="195"/>
    </row>
    <row r="255" spans="1:47">
      <c r="A255" s="253"/>
      <c r="B255" s="230"/>
      <c r="C255" s="245"/>
      <c r="D255" s="230"/>
      <c r="E255" s="230"/>
      <c r="F255" s="230"/>
      <c r="G255" s="228"/>
      <c r="H255" s="230"/>
      <c r="I255" s="230"/>
      <c r="J255" s="246"/>
      <c r="K255" s="230"/>
      <c r="L255" s="230"/>
      <c r="M255" s="230"/>
      <c r="N255" s="230"/>
      <c r="O255" s="230"/>
      <c r="P255" s="256"/>
      <c r="Q255" s="257"/>
      <c r="R255" s="228"/>
      <c r="S255" s="228"/>
      <c r="T255" s="245"/>
      <c r="U255" s="254"/>
      <c r="V255" s="254"/>
      <c r="W255" s="228"/>
      <c r="X255" s="255"/>
      <c r="Y255" s="248"/>
      <c r="Z255" s="248"/>
      <c r="AA255" s="228"/>
      <c r="AB255" s="228"/>
      <c r="AC255" s="228"/>
      <c r="AD255" s="228"/>
      <c r="AE255" s="248"/>
      <c r="AF255" s="247"/>
      <c r="AG255" s="228"/>
      <c r="AH255" s="228"/>
      <c r="AI255" s="248"/>
      <c r="AJ255" s="248"/>
      <c r="AK255" s="194"/>
      <c r="AL255" s="249"/>
      <c r="AM255" s="250"/>
      <c r="AN255" s="251"/>
      <c r="AO255" s="252"/>
      <c r="AP255" s="241"/>
      <c r="AQ255" s="241"/>
      <c r="AR255" s="241"/>
      <c r="AS255" s="194"/>
      <c r="AT255" s="195"/>
      <c r="AU255" s="195"/>
    </row>
    <row r="256" spans="1:47">
      <c r="A256" s="253"/>
      <c r="B256" s="230"/>
      <c r="C256" s="245"/>
      <c r="D256" s="230"/>
      <c r="E256" s="230"/>
      <c r="F256" s="230"/>
      <c r="G256" s="228"/>
      <c r="H256" s="230"/>
      <c r="I256" s="230"/>
      <c r="J256" s="246"/>
      <c r="K256" s="230"/>
      <c r="L256" s="230"/>
      <c r="M256" s="230"/>
      <c r="N256" s="230"/>
      <c r="O256" s="230"/>
      <c r="P256" s="256"/>
      <c r="Q256" s="257"/>
      <c r="R256" s="228"/>
      <c r="S256" s="228"/>
      <c r="T256" s="245"/>
      <c r="U256" s="254"/>
      <c r="V256" s="254"/>
      <c r="W256" s="228"/>
      <c r="X256" s="255"/>
      <c r="Y256" s="248"/>
      <c r="Z256" s="248"/>
      <c r="AA256" s="228"/>
      <c r="AB256" s="228"/>
      <c r="AC256" s="228"/>
      <c r="AD256" s="228"/>
      <c r="AE256" s="248"/>
      <c r="AF256" s="247"/>
      <c r="AG256" s="228"/>
      <c r="AH256" s="228"/>
      <c r="AI256" s="248"/>
      <c r="AJ256" s="248"/>
      <c r="AK256" s="194"/>
      <c r="AL256" s="249"/>
      <c r="AM256" s="250"/>
      <c r="AN256" s="251"/>
      <c r="AO256" s="252"/>
      <c r="AP256" s="241"/>
      <c r="AQ256" s="241"/>
      <c r="AR256" s="241"/>
      <c r="AS256" s="194"/>
      <c r="AT256" s="195"/>
      <c r="AU256" s="195"/>
    </row>
    <row r="257" spans="1:47">
      <c r="A257" s="253"/>
      <c r="B257" s="230"/>
      <c r="C257" s="245"/>
      <c r="D257" s="230"/>
      <c r="E257" s="230"/>
      <c r="F257" s="230"/>
      <c r="G257" s="228"/>
      <c r="H257" s="230"/>
      <c r="I257" s="230"/>
      <c r="J257" s="246"/>
      <c r="K257" s="230"/>
      <c r="L257" s="230"/>
      <c r="M257" s="230"/>
      <c r="N257" s="230"/>
      <c r="O257" s="230"/>
      <c r="P257" s="256"/>
      <c r="Q257" s="257"/>
      <c r="R257" s="228"/>
      <c r="S257" s="228"/>
      <c r="T257" s="245"/>
      <c r="U257" s="254"/>
      <c r="V257" s="254"/>
      <c r="W257" s="228"/>
      <c r="X257" s="255"/>
      <c r="Y257" s="248"/>
      <c r="Z257" s="248"/>
      <c r="AA257" s="228"/>
      <c r="AB257" s="228"/>
      <c r="AC257" s="228"/>
      <c r="AD257" s="228"/>
      <c r="AE257" s="248"/>
      <c r="AF257" s="247"/>
      <c r="AG257" s="228"/>
      <c r="AH257" s="228"/>
      <c r="AI257" s="248"/>
      <c r="AJ257" s="248"/>
      <c r="AK257" s="194"/>
      <c r="AL257" s="249"/>
      <c r="AM257" s="250"/>
      <c r="AN257" s="251"/>
      <c r="AO257" s="252"/>
      <c r="AP257" s="241"/>
      <c r="AQ257" s="241"/>
      <c r="AR257" s="241"/>
      <c r="AS257" s="194"/>
      <c r="AT257" s="195"/>
      <c r="AU257" s="195"/>
    </row>
    <row r="258" spans="1:47">
      <c r="A258" s="253"/>
      <c r="B258" s="230"/>
      <c r="C258" s="245"/>
      <c r="D258" s="230"/>
      <c r="E258" s="230"/>
      <c r="F258" s="230"/>
      <c r="G258" s="228"/>
      <c r="H258" s="230"/>
      <c r="I258" s="230"/>
      <c r="J258" s="246"/>
      <c r="K258" s="230"/>
      <c r="L258" s="230"/>
      <c r="M258" s="230"/>
      <c r="N258" s="230"/>
      <c r="O258" s="230"/>
      <c r="P258" s="256"/>
      <c r="Q258" s="257"/>
      <c r="R258" s="228"/>
      <c r="S258" s="228"/>
      <c r="T258" s="245"/>
      <c r="U258" s="254"/>
      <c r="V258" s="254"/>
      <c r="W258" s="228"/>
      <c r="X258" s="255"/>
      <c r="Y258" s="248"/>
      <c r="Z258" s="248"/>
      <c r="AA258" s="228"/>
      <c r="AB258" s="228"/>
      <c r="AC258" s="228"/>
      <c r="AD258" s="228"/>
      <c r="AE258" s="248"/>
      <c r="AF258" s="247"/>
      <c r="AG258" s="228"/>
      <c r="AH258" s="228"/>
      <c r="AI258" s="248"/>
      <c r="AJ258" s="248"/>
      <c r="AK258" s="194"/>
      <c r="AL258" s="249"/>
      <c r="AM258" s="250"/>
      <c r="AN258" s="251"/>
      <c r="AO258" s="252"/>
      <c r="AP258" s="241"/>
      <c r="AQ258" s="241"/>
      <c r="AR258" s="241"/>
      <c r="AS258" s="194"/>
      <c r="AT258" s="195"/>
      <c r="AU258" s="195"/>
    </row>
    <row r="259" spans="1:47">
      <c r="A259" s="253"/>
      <c r="B259" s="230"/>
      <c r="C259" s="245"/>
      <c r="D259" s="230"/>
      <c r="E259" s="230"/>
      <c r="F259" s="230"/>
      <c r="G259" s="228"/>
      <c r="H259" s="230"/>
      <c r="I259" s="230"/>
      <c r="J259" s="246"/>
      <c r="K259" s="230"/>
      <c r="L259" s="230"/>
      <c r="M259" s="230"/>
      <c r="N259" s="230"/>
      <c r="O259" s="230"/>
      <c r="P259" s="256"/>
      <c r="Q259" s="257"/>
      <c r="R259" s="228"/>
      <c r="S259" s="228"/>
      <c r="T259" s="245"/>
      <c r="U259" s="254"/>
      <c r="V259" s="254"/>
      <c r="W259" s="228"/>
      <c r="X259" s="255"/>
      <c r="Y259" s="248"/>
      <c r="Z259" s="248"/>
      <c r="AA259" s="228"/>
      <c r="AB259" s="228"/>
      <c r="AC259" s="228"/>
      <c r="AD259" s="228"/>
      <c r="AE259" s="248"/>
      <c r="AF259" s="247"/>
      <c r="AG259" s="228"/>
      <c r="AH259" s="228"/>
      <c r="AI259" s="248"/>
      <c r="AJ259" s="248"/>
      <c r="AK259" s="194"/>
      <c r="AL259" s="249"/>
      <c r="AM259" s="250"/>
      <c r="AN259" s="251"/>
      <c r="AO259" s="252"/>
      <c r="AP259" s="241"/>
      <c r="AQ259" s="241"/>
      <c r="AR259" s="241"/>
      <c r="AS259" s="194"/>
      <c r="AT259" s="195"/>
      <c r="AU259" s="195"/>
    </row>
    <row r="260" spans="1:47">
      <c r="A260" s="253"/>
      <c r="B260" s="230"/>
      <c r="C260" s="245"/>
      <c r="D260" s="230"/>
      <c r="E260" s="230"/>
      <c r="F260" s="230"/>
      <c r="G260" s="228"/>
      <c r="H260" s="230"/>
      <c r="I260" s="230"/>
      <c r="J260" s="246"/>
      <c r="K260" s="230"/>
      <c r="L260" s="230"/>
      <c r="M260" s="230"/>
      <c r="N260" s="230"/>
      <c r="O260" s="230"/>
      <c r="P260" s="256"/>
      <c r="Q260" s="257"/>
      <c r="R260" s="228"/>
      <c r="S260" s="228"/>
      <c r="T260" s="245"/>
      <c r="U260" s="254"/>
      <c r="V260" s="254"/>
      <c r="W260" s="228"/>
      <c r="X260" s="255"/>
      <c r="Y260" s="248"/>
      <c r="Z260" s="248"/>
      <c r="AA260" s="228"/>
      <c r="AB260" s="228"/>
      <c r="AC260" s="228"/>
      <c r="AD260" s="228"/>
      <c r="AE260" s="248"/>
      <c r="AF260" s="247"/>
      <c r="AG260" s="228"/>
      <c r="AH260" s="228"/>
      <c r="AI260" s="248"/>
      <c r="AJ260" s="248"/>
      <c r="AK260" s="194"/>
      <c r="AL260" s="249"/>
      <c r="AM260" s="250"/>
      <c r="AN260" s="251"/>
      <c r="AO260" s="252"/>
      <c r="AP260" s="241"/>
      <c r="AQ260" s="241"/>
      <c r="AR260" s="241"/>
      <c r="AS260" s="194"/>
      <c r="AT260" s="195"/>
      <c r="AU260" s="195"/>
    </row>
    <row r="261" spans="1:47">
      <c r="A261" s="253"/>
      <c r="B261" s="230"/>
      <c r="C261" s="245"/>
      <c r="D261" s="230"/>
      <c r="E261" s="230"/>
      <c r="F261" s="230"/>
      <c r="G261" s="228"/>
      <c r="H261" s="230"/>
      <c r="I261" s="230"/>
      <c r="J261" s="246"/>
      <c r="K261" s="230"/>
      <c r="L261" s="230"/>
      <c r="M261" s="230"/>
      <c r="N261" s="230"/>
      <c r="O261" s="230"/>
      <c r="P261" s="256"/>
      <c r="Q261" s="257"/>
      <c r="R261" s="228"/>
      <c r="S261" s="228"/>
      <c r="T261" s="245"/>
      <c r="U261" s="254"/>
      <c r="V261" s="254"/>
      <c r="W261" s="228"/>
      <c r="X261" s="255"/>
      <c r="Y261" s="248"/>
      <c r="Z261" s="248"/>
      <c r="AA261" s="228"/>
      <c r="AB261" s="228"/>
      <c r="AC261" s="228"/>
      <c r="AD261" s="228"/>
      <c r="AE261" s="248"/>
      <c r="AF261" s="247"/>
      <c r="AG261" s="228"/>
      <c r="AH261" s="228"/>
      <c r="AI261" s="248"/>
      <c r="AJ261" s="248"/>
      <c r="AK261" s="194"/>
      <c r="AL261" s="249"/>
      <c r="AM261" s="250"/>
      <c r="AN261" s="251"/>
      <c r="AO261" s="252"/>
      <c r="AP261" s="241"/>
      <c r="AQ261" s="241"/>
      <c r="AR261" s="241"/>
      <c r="AS261" s="194"/>
      <c r="AT261" s="195"/>
      <c r="AU261" s="195"/>
    </row>
    <row r="262" spans="1:47">
      <c r="A262" s="253"/>
      <c r="B262" s="230"/>
      <c r="C262" s="245"/>
      <c r="D262" s="230"/>
      <c r="E262" s="230"/>
      <c r="F262" s="230"/>
      <c r="G262" s="228"/>
      <c r="H262" s="230"/>
      <c r="I262" s="230"/>
      <c r="J262" s="246"/>
      <c r="K262" s="230"/>
      <c r="L262" s="230"/>
      <c r="M262" s="230"/>
      <c r="N262" s="230"/>
      <c r="O262" s="230"/>
      <c r="P262" s="256"/>
      <c r="Q262" s="257"/>
      <c r="R262" s="228"/>
      <c r="S262" s="228"/>
      <c r="T262" s="245"/>
      <c r="U262" s="254"/>
      <c r="V262" s="254"/>
      <c r="W262" s="228"/>
      <c r="X262" s="255"/>
      <c r="Y262" s="248"/>
      <c r="Z262" s="248"/>
      <c r="AA262" s="228"/>
      <c r="AB262" s="228"/>
      <c r="AC262" s="228"/>
      <c r="AD262" s="228"/>
      <c r="AE262" s="248"/>
      <c r="AF262" s="247"/>
      <c r="AG262" s="228"/>
      <c r="AH262" s="228"/>
      <c r="AI262" s="248"/>
      <c r="AJ262" s="248"/>
      <c r="AK262" s="194"/>
      <c r="AL262" s="249"/>
      <c r="AM262" s="250"/>
      <c r="AN262" s="251"/>
      <c r="AO262" s="252"/>
      <c r="AP262" s="241"/>
      <c r="AQ262" s="241"/>
      <c r="AR262" s="241"/>
      <c r="AS262" s="194"/>
      <c r="AT262" s="195"/>
      <c r="AU262" s="195"/>
    </row>
    <row r="263" spans="1:47">
      <c r="A263" s="253"/>
      <c r="B263" s="230"/>
      <c r="C263" s="245"/>
      <c r="D263" s="230"/>
      <c r="E263" s="230"/>
      <c r="F263" s="230"/>
      <c r="G263" s="228"/>
      <c r="H263" s="230"/>
      <c r="I263" s="230"/>
      <c r="J263" s="246"/>
      <c r="K263" s="230"/>
      <c r="L263" s="230"/>
      <c r="M263" s="230"/>
      <c r="N263" s="230"/>
      <c r="O263" s="230"/>
      <c r="P263" s="256"/>
      <c r="Q263" s="257"/>
      <c r="R263" s="228"/>
      <c r="S263" s="228"/>
      <c r="T263" s="245"/>
      <c r="U263" s="254"/>
      <c r="V263" s="254"/>
      <c r="W263" s="228"/>
      <c r="X263" s="255"/>
      <c r="Y263" s="248"/>
      <c r="Z263" s="248"/>
      <c r="AA263" s="228"/>
      <c r="AB263" s="228"/>
      <c r="AC263" s="228"/>
      <c r="AD263" s="228"/>
      <c r="AE263" s="248"/>
      <c r="AF263" s="247"/>
      <c r="AG263" s="228"/>
      <c r="AH263" s="228"/>
      <c r="AI263" s="248"/>
      <c r="AJ263" s="248"/>
      <c r="AK263" s="194"/>
      <c r="AL263" s="249"/>
      <c r="AM263" s="250"/>
      <c r="AN263" s="251"/>
      <c r="AO263" s="252"/>
      <c r="AP263" s="241"/>
      <c r="AQ263" s="241"/>
      <c r="AR263" s="241"/>
      <c r="AS263" s="194"/>
      <c r="AT263" s="195"/>
      <c r="AU263" s="195"/>
    </row>
    <row r="264" spans="1:47">
      <c r="A264" s="253"/>
      <c r="B264" s="230"/>
      <c r="C264" s="245"/>
      <c r="D264" s="230"/>
      <c r="E264" s="230"/>
      <c r="F264" s="230"/>
      <c r="G264" s="228"/>
      <c r="H264" s="230"/>
      <c r="I264" s="230"/>
      <c r="J264" s="246"/>
      <c r="K264" s="230"/>
      <c r="L264" s="230"/>
      <c r="M264" s="230"/>
      <c r="N264" s="230"/>
      <c r="O264" s="230"/>
      <c r="P264" s="256"/>
      <c r="Q264" s="257"/>
      <c r="R264" s="228"/>
      <c r="S264" s="228"/>
      <c r="T264" s="245"/>
      <c r="U264" s="254"/>
      <c r="V264" s="254"/>
      <c r="W264" s="228"/>
      <c r="X264" s="255"/>
      <c r="Y264" s="248"/>
      <c r="Z264" s="248"/>
      <c r="AA264" s="228"/>
      <c r="AB264" s="228"/>
      <c r="AC264" s="228"/>
      <c r="AD264" s="228"/>
      <c r="AE264" s="248"/>
      <c r="AF264" s="247"/>
      <c r="AG264" s="228"/>
      <c r="AH264" s="228"/>
      <c r="AI264" s="248"/>
      <c r="AJ264" s="248"/>
      <c r="AK264" s="194"/>
      <c r="AL264" s="249"/>
      <c r="AM264" s="250"/>
      <c r="AN264" s="251"/>
      <c r="AO264" s="252"/>
      <c r="AP264" s="241"/>
      <c r="AQ264" s="241"/>
      <c r="AR264" s="241"/>
      <c r="AS264" s="194"/>
      <c r="AT264" s="195"/>
      <c r="AU264" s="195"/>
    </row>
    <row r="265" spans="1:47">
      <c r="A265" s="253"/>
      <c r="B265" s="230"/>
      <c r="C265" s="245"/>
      <c r="D265" s="230"/>
      <c r="E265" s="230"/>
      <c r="F265" s="230"/>
      <c r="G265" s="228"/>
      <c r="H265" s="230"/>
      <c r="I265" s="230"/>
      <c r="J265" s="246"/>
      <c r="K265" s="230"/>
      <c r="L265" s="230"/>
      <c r="M265" s="230"/>
      <c r="N265" s="230"/>
      <c r="O265" s="230"/>
      <c r="P265" s="256"/>
      <c r="Q265" s="257"/>
      <c r="R265" s="228"/>
      <c r="S265" s="228"/>
      <c r="T265" s="245"/>
      <c r="U265" s="254"/>
      <c r="V265" s="254"/>
      <c r="W265" s="228"/>
      <c r="X265" s="255"/>
      <c r="Y265" s="248"/>
      <c r="Z265" s="248"/>
      <c r="AA265" s="228"/>
      <c r="AB265" s="228"/>
      <c r="AC265" s="228"/>
      <c r="AD265" s="228"/>
      <c r="AE265" s="248"/>
      <c r="AF265" s="247"/>
      <c r="AG265" s="228"/>
      <c r="AH265" s="228"/>
      <c r="AI265" s="248"/>
      <c r="AJ265" s="248"/>
      <c r="AK265" s="194"/>
      <c r="AL265" s="249"/>
      <c r="AM265" s="250"/>
      <c r="AN265" s="251"/>
      <c r="AO265" s="252"/>
      <c r="AP265" s="241"/>
      <c r="AQ265" s="241"/>
      <c r="AR265" s="241"/>
      <c r="AS265" s="194"/>
      <c r="AT265" s="195"/>
      <c r="AU265" s="195"/>
    </row>
    <row r="266" spans="1:47">
      <c r="A266" s="253"/>
      <c r="B266" s="230"/>
      <c r="C266" s="245"/>
      <c r="D266" s="230"/>
      <c r="E266" s="230"/>
      <c r="F266" s="230"/>
      <c r="G266" s="228"/>
      <c r="H266" s="230"/>
      <c r="I266" s="230"/>
      <c r="J266" s="246"/>
      <c r="K266" s="230"/>
      <c r="L266" s="230"/>
      <c r="M266" s="230"/>
      <c r="N266" s="230"/>
      <c r="O266" s="230"/>
      <c r="P266" s="256"/>
      <c r="Q266" s="257"/>
      <c r="R266" s="228"/>
      <c r="S266" s="228"/>
      <c r="T266" s="245"/>
      <c r="U266" s="254"/>
      <c r="V266" s="254"/>
      <c r="W266" s="228"/>
      <c r="X266" s="255"/>
      <c r="Y266" s="248"/>
      <c r="Z266" s="248"/>
      <c r="AA266" s="228"/>
      <c r="AB266" s="228"/>
      <c r="AC266" s="228"/>
      <c r="AD266" s="228"/>
      <c r="AE266" s="248"/>
      <c r="AF266" s="247"/>
      <c r="AG266" s="228"/>
      <c r="AH266" s="228"/>
      <c r="AI266" s="248"/>
      <c r="AJ266" s="248"/>
      <c r="AK266" s="194"/>
      <c r="AL266" s="249"/>
      <c r="AM266" s="250"/>
      <c r="AN266" s="251"/>
      <c r="AO266" s="252"/>
      <c r="AP266" s="241"/>
      <c r="AQ266" s="241"/>
      <c r="AR266" s="241"/>
      <c r="AS266" s="194"/>
      <c r="AT266" s="195"/>
      <c r="AU266" s="195"/>
    </row>
    <row r="267" spans="1:47">
      <c r="A267" s="253"/>
      <c r="B267" s="230"/>
      <c r="C267" s="245"/>
      <c r="D267" s="230"/>
      <c r="E267" s="230"/>
      <c r="F267" s="230"/>
      <c r="G267" s="228"/>
      <c r="H267" s="230"/>
      <c r="I267" s="230"/>
      <c r="J267" s="246"/>
      <c r="K267" s="230"/>
      <c r="L267" s="230"/>
      <c r="M267" s="230"/>
      <c r="N267" s="230"/>
      <c r="O267" s="230"/>
      <c r="P267" s="256"/>
      <c r="Q267" s="257"/>
      <c r="R267" s="228"/>
      <c r="S267" s="228"/>
      <c r="T267" s="245"/>
      <c r="U267" s="254"/>
      <c r="V267" s="254"/>
      <c r="W267" s="228"/>
      <c r="X267" s="255"/>
      <c r="Y267" s="248"/>
      <c r="Z267" s="248"/>
      <c r="AA267" s="228"/>
      <c r="AB267" s="228"/>
      <c r="AC267" s="228"/>
      <c r="AD267" s="228"/>
      <c r="AE267" s="248"/>
      <c r="AF267" s="247"/>
      <c r="AG267" s="228"/>
      <c r="AH267" s="228"/>
      <c r="AI267" s="248"/>
      <c r="AJ267" s="248"/>
      <c r="AK267" s="194"/>
      <c r="AL267" s="249"/>
      <c r="AM267" s="250"/>
      <c r="AN267" s="251"/>
      <c r="AO267" s="252"/>
      <c r="AP267" s="241"/>
      <c r="AQ267" s="241"/>
      <c r="AR267" s="241"/>
      <c r="AS267" s="194"/>
      <c r="AT267" s="195"/>
      <c r="AU267" s="195"/>
    </row>
    <row r="268" spans="1:47">
      <c r="A268" s="253"/>
      <c r="B268" s="230"/>
      <c r="C268" s="245"/>
      <c r="D268" s="230"/>
      <c r="E268" s="230"/>
      <c r="F268" s="230"/>
      <c r="G268" s="228"/>
      <c r="H268" s="230"/>
      <c r="I268" s="230"/>
      <c r="J268" s="246"/>
      <c r="K268" s="230"/>
      <c r="L268" s="230"/>
      <c r="M268" s="230"/>
      <c r="N268" s="230"/>
      <c r="O268" s="230"/>
      <c r="P268" s="256"/>
      <c r="Q268" s="257"/>
      <c r="R268" s="228"/>
      <c r="S268" s="228"/>
      <c r="T268" s="245"/>
      <c r="U268" s="254"/>
      <c r="V268" s="254"/>
      <c r="W268" s="228"/>
      <c r="X268" s="255"/>
      <c r="Y268" s="248"/>
      <c r="Z268" s="248"/>
      <c r="AA268" s="228"/>
      <c r="AB268" s="228"/>
      <c r="AC268" s="228"/>
      <c r="AD268" s="228"/>
      <c r="AE268" s="248"/>
      <c r="AF268" s="247"/>
      <c r="AG268" s="228"/>
      <c r="AH268" s="228"/>
      <c r="AI268" s="248"/>
      <c r="AJ268" s="248"/>
      <c r="AK268" s="194"/>
      <c r="AL268" s="249"/>
      <c r="AM268" s="250"/>
      <c r="AN268" s="251"/>
      <c r="AO268" s="252"/>
      <c r="AP268" s="241"/>
      <c r="AQ268" s="241"/>
      <c r="AR268" s="241"/>
      <c r="AS268" s="194"/>
      <c r="AT268" s="195"/>
      <c r="AU268" s="195"/>
    </row>
    <row r="269" spans="1:47">
      <c r="A269" s="253"/>
      <c r="B269" s="230"/>
      <c r="C269" s="245"/>
      <c r="D269" s="230"/>
      <c r="E269" s="230"/>
      <c r="F269" s="230"/>
      <c r="G269" s="228"/>
      <c r="H269" s="230"/>
      <c r="I269" s="230"/>
      <c r="J269" s="246"/>
      <c r="K269" s="230"/>
      <c r="L269" s="230"/>
      <c r="M269" s="230"/>
      <c r="N269" s="230"/>
      <c r="O269" s="230"/>
      <c r="P269" s="256"/>
      <c r="Q269" s="257"/>
      <c r="R269" s="228"/>
      <c r="S269" s="228"/>
      <c r="T269" s="245"/>
      <c r="U269" s="254"/>
      <c r="V269" s="254"/>
      <c r="W269" s="228"/>
      <c r="X269" s="255"/>
      <c r="Y269" s="248"/>
      <c r="Z269" s="248"/>
      <c r="AA269" s="228"/>
      <c r="AB269" s="228"/>
      <c r="AC269" s="228"/>
      <c r="AD269" s="228"/>
      <c r="AE269" s="248"/>
      <c r="AF269" s="247"/>
      <c r="AG269" s="228"/>
      <c r="AH269" s="228"/>
      <c r="AI269" s="248"/>
      <c r="AJ269" s="248"/>
      <c r="AK269" s="194"/>
      <c r="AL269" s="249"/>
      <c r="AM269" s="250"/>
      <c r="AN269" s="251"/>
      <c r="AO269" s="252"/>
      <c r="AP269" s="241"/>
      <c r="AQ269" s="241"/>
      <c r="AR269" s="241"/>
      <c r="AS269" s="194"/>
      <c r="AT269" s="195"/>
      <c r="AU269" s="195"/>
    </row>
    <row r="270" spans="1:47">
      <c r="A270" s="253"/>
      <c r="B270" s="230"/>
      <c r="C270" s="245"/>
      <c r="D270" s="230"/>
      <c r="E270" s="230"/>
      <c r="F270" s="230"/>
      <c r="G270" s="228"/>
      <c r="H270" s="230"/>
      <c r="I270" s="230"/>
      <c r="J270" s="246"/>
      <c r="K270" s="230"/>
      <c r="L270" s="230"/>
      <c r="M270" s="230"/>
      <c r="N270" s="230"/>
      <c r="O270" s="230"/>
      <c r="P270" s="256"/>
      <c r="Q270" s="257"/>
      <c r="R270" s="228"/>
      <c r="S270" s="228"/>
      <c r="T270" s="245"/>
      <c r="U270" s="254"/>
      <c r="V270" s="254"/>
      <c r="W270" s="228"/>
      <c r="X270" s="255"/>
      <c r="Y270" s="248"/>
      <c r="Z270" s="248"/>
      <c r="AA270" s="228"/>
      <c r="AB270" s="228"/>
      <c r="AC270" s="228"/>
      <c r="AD270" s="228"/>
      <c r="AE270" s="248"/>
      <c r="AF270" s="247"/>
      <c r="AG270" s="228"/>
      <c r="AH270" s="228"/>
      <c r="AI270" s="248"/>
      <c r="AJ270" s="248"/>
      <c r="AK270" s="194"/>
      <c r="AL270" s="249"/>
      <c r="AM270" s="250"/>
      <c r="AN270" s="251"/>
      <c r="AO270" s="252"/>
      <c r="AP270" s="241"/>
      <c r="AQ270" s="241"/>
      <c r="AR270" s="241"/>
      <c r="AS270" s="194"/>
      <c r="AT270" s="195"/>
      <c r="AU270" s="195"/>
    </row>
    <row r="271" spans="1:47">
      <c r="A271" s="253"/>
      <c r="B271" s="230"/>
      <c r="C271" s="245"/>
      <c r="D271" s="230"/>
      <c r="E271" s="230"/>
      <c r="F271" s="230"/>
      <c r="G271" s="228"/>
      <c r="H271" s="230"/>
      <c r="I271" s="230"/>
      <c r="J271" s="246"/>
      <c r="K271" s="230"/>
      <c r="L271" s="230"/>
      <c r="M271" s="230"/>
      <c r="N271" s="230"/>
      <c r="O271" s="230"/>
      <c r="P271" s="256"/>
      <c r="Q271" s="257"/>
      <c r="R271" s="228"/>
      <c r="S271" s="228"/>
      <c r="T271" s="245"/>
      <c r="U271" s="254"/>
      <c r="V271" s="254"/>
      <c r="W271" s="228"/>
      <c r="X271" s="255"/>
      <c r="Y271" s="248"/>
      <c r="Z271" s="248"/>
      <c r="AA271" s="228"/>
      <c r="AB271" s="228"/>
      <c r="AC271" s="228"/>
      <c r="AD271" s="228"/>
      <c r="AE271" s="248"/>
      <c r="AF271" s="247"/>
      <c r="AG271" s="228"/>
      <c r="AH271" s="228"/>
      <c r="AI271" s="248"/>
      <c r="AJ271" s="248"/>
      <c r="AK271" s="194"/>
      <c r="AL271" s="249"/>
      <c r="AM271" s="250"/>
      <c r="AN271" s="251"/>
      <c r="AO271" s="252"/>
      <c r="AP271" s="241"/>
      <c r="AQ271" s="241"/>
      <c r="AR271" s="241"/>
      <c r="AS271" s="194"/>
      <c r="AT271" s="195"/>
      <c r="AU271" s="195"/>
    </row>
    <row r="272" spans="1:47">
      <c r="A272" s="253"/>
      <c r="B272" s="230"/>
      <c r="C272" s="245"/>
      <c r="D272" s="230"/>
      <c r="E272" s="230"/>
      <c r="F272" s="230"/>
      <c r="G272" s="228"/>
      <c r="H272" s="230"/>
      <c r="I272" s="230"/>
      <c r="J272" s="246"/>
      <c r="K272" s="230"/>
      <c r="L272" s="230"/>
      <c r="M272" s="230"/>
      <c r="N272" s="230"/>
      <c r="O272" s="230"/>
      <c r="P272" s="256"/>
      <c r="Q272" s="257"/>
      <c r="R272" s="228"/>
      <c r="S272" s="228"/>
      <c r="T272" s="245"/>
      <c r="U272" s="254"/>
      <c r="V272" s="254"/>
      <c r="W272" s="228"/>
      <c r="X272" s="255"/>
      <c r="Y272" s="248"/>
      <c r="Z272" s="248"/>
      <c r="AA272" s="228"/>
      <c r="AB272" s="228"/>
      <c r="AC272" s="228"/>
      <c r="AD272" s="228"/>
      <c r="AE272" s="248"/>
      <c r="AF272" s="247"/>
      <c r="AG272" s="228"/>
      <c r="AH272" s="228"/>
      <c r="AI272" s="248"/>
      <c r="AJ272" s="248"/>
      <c r="AK272" s="194"/>
      <c r="AL272" s="249"/>
      <c r="AM272" s="250"/>
      <c r="AN272" s="251"/>
      <c r="AO272" s="252"/>
      <c r="AP272" s="241"/>
      <c r="AQ272" s="241"/>
      <c r="AR272" s="241"/>
      <c r="AS272" s="194"/>
      <c r="AT272" s="195"/>
      <c r="AU272" s="195"/>
    </row>
    <row r="273" spans="1:47">
      <c r="A273" s="253"/>
      <c r="B273" s="230"/>
      <c r="C273" s="245"/>
      <c r="D273" s="230"/>
      <c r="E273" s="230"/>
      <c r="F273" s="230"/>
      <c r="G273" s="228"/>
      <c r="H273" s="230"/>
      <c r="I273" s="230"/>
      <c r="J273" s="246"/>
      <c r="K273" s="230"/>
      <c r="L273" s="230"/>
      <c r="M273" s="230"/>
      <c r="N273" s="230"/>
      <c r="O273" s="230"/>
      <c r="P273" s="256"/>
      <c r="Q273" s="257"/>
      <c r="R273" s="228"/>
      <c r="S273" s="228"/>
      <c r="T273" s="245"/>
      <c r="U273" s="254"/>
      <c r="V273" s="254"/>
      <c r="W273" s="228"/>
      <c r="X273" s="255"/>
      <c r="Y273" s="248"/>
      <c r="Z273" s="248"/>
      <c r="AA273" s="228"/>
      <c r="AB273" s="228"/>
      <c r="AC273" s="228"/>
      <c r="AD273" s="228"/>
      <c r="AE273" s="248"/>
      <c r="AF273" s="247"/>
      <c r="AG273" s="228"/>
      <c r="AH273" s="228"/>
      <c r="AI273" s="248"/>
      <c r="AJ273" s="248"/>
      <c r="AK273" s="194"/>
      <c r="AL273" s="249"/>
      <c r="AM273" s="250"/>
      <c r="AN273" s="251"/>
      <c r="AO273" s="252"/>
      <c r="AP273" s="241"/>
      <c r="AQ273" s="241"/>
      <c r="AR273" s="241"/>
      <c r="AS273" s="194"/>
      <c r="AT273" s="195"/>
      <c r="AU273" s="195"/>
    </row>
    <row r="274" spans="1:47">
      <c r="A274" s="253"/>
      <c r="B274" s="230"/>
      <c r="C274" s="245"/>
      <c r="D274" s="230"/>
      <c r="E274" s="230"/>
      <c r="F274" s="230"/>
      <c r="G274" s="228"/>
      <c r="H274" s="230"/>
      <c r="I274" s="230"/>
      <c r="J274" s="246"/>
      <c r="K274" s="230"/>
      <c r="L274" s="230"/>
      <c r="M274" s="230"/>
      <c r="N274" s="230"/>
      <c r="O274" s="230"/>
      <c r="P274" s="256"/>
      <c r="Q274" s="257"/>
      <c r="R274" s="228"/>
      <c r="S274" s="228"/>
      <c r="T274" s="245"/>
      <c r="U274" s="254"/>
      <c r="V274" s="254"/>
      <c r="W274" s="228"/>
      <c r="X274" s="255"/>
      <c r="Y274" s="248"/>
      <c r="Z274" s="248"/>
      <c r="AA274" s="228"/>
      <c r="AB274" s="228"/>
      <c r="AC274" s="228"/>
      <c r="AD274" s="228"/>
      <c r="AE274" s="248"/>
      <c r="AF274" s="247"/>
      <c r="AG274" s="228"/>
      <c r="AH274" s="228"/>
      <c r="AI274" s="248"/>
      <c r="AJ274" s="248"/>
      <c r="AK274" s="194"/>
      <c r="AL274" s="249"/>
      <c r="AM274" s="250"/>
      <c r="AN274" s="251"/>
      <c r="AO274" s="252"/>
      <c r="AP274" s="241"/>
      <c r="AQ274" s="241"/>
      <c r="AR274" s="241"/>
      <c r="AS274" s="194"/>
      <c r="AT274" s="195"/>
      <c r="AU274" s="195"/>
    </row>
    <row r="275" spans="1:47">
      <c r="A275" s="253"/>
      <c r="B275" s="230"/>
      <c r="C275" s="245"/>
      <c r="D275" s="230"/>
      <c r="E275" s="230"/>
      <c r="F275" s="230"/>
      <c r="G275" s="228"/>
      <c r="H275" s="230"/>
      <c r="I275" s="230"/>
      <c r="J275" s="246"/>
      <c r="K275" s="230"/>
      <c r="L275" s="230"/>
      <c r="M275" s="230"/>
      <c r="N275" s="230"/>
      <c r="O275" s="230"/>
      <c r="P275" s="256"/>
      <c r="Q275" s="257"/>
      <c r="R275" s="228"/>
      <c r="S275" s="228"/>
      <c r="T275" s="245"/>
      <c r="U275" s="254"/>
      <c r="V275" s="254"/>
      <c r="W275" s="228"/>
      <c r="X275" s="255"/>
      <c r="Y275" s="248"/>
      <c r="Z275" s="248"/>
      <c r="AA275" s="228"/>
      <c r="AB275" s="228"/>
      <c r="AC275" s="228"/>
      <c r="AD275" s="228"/>
      <c r="AE275" s="248"/>
      <c r="AF275" s="247"/>
      <c r="AG275" s="228"/>
      <c r="AH275" s="228"/>
      <c r="AI275" s="248"/>
      <c r="AJ275" s="248"/>
      <c r="AK275" s="194"/>
      <c r="AL275" s="249"/>
      <c r="AM275" s="250"/>
      <c r="AN275" s="251"/>
      <c r="AO275" s="252"/>
      <c r="AP275" s="241"/>
      <c r="AQ275" s="241"/>
      <c r="AR275" s="241"/>
      <c r="AS275" s="194"/>
      <c r="AT275" s="195"/>
      <c r="AU275" s="195"/>
    </row>
    <row r="276" spans="1:47">
      <c r="A276" s="253"/>
      <c r="B276" s="230"/>
      <c r="C276" s="245"/>
      <c r="D276" s="230"/>
      <c r="E276" s="230"/>
      <c r="F276" s="230"/>
      <c r="G276" s="228"/>
      <c r="H276" s="230"/>
      <c r="I276" s="230"/>
      <c r="J276" s="246"/>
      <c r="K276" s="230"/>
      <c r="L276" s="230"/>
      <c r="M276" s="230"/>
      <c r="N276" s="230"/>
      <c r="O276" s="230"/>
      <c r="P276" s="256"/>
      <c r="Q276" s="257"/>
      <c r="R276" s="228"/>
      <c r="S276" s="228"/>
      <c r="T276" s="245"/>
      <c r="U276" s="254"/>
      <c r="V276" s="254"/>
      <c r="W276" s="228"/>
      <c r="X276" s="255"/>
      <c r="Y276" s="248"/>
      <c r="Z276" s="248"/>
      <c r="AA276" s="228"/>
      <c r="AB276" s="228"/>
      <c r="AC276" s="228"/>
      <c r="AD276" s="228"/>
      <c r="AE276" s="248"/>
      <c r="AF276" s="247"/>
      <c r="AG276" s="228"/>
      <c r="AH276" s="228"/>
      <c r="AI276" s="248"/>
      <c r="AJ276" s="248"/>
      <c r="AK276" s="194"/>
      <c r="AL276" s="249"/>
      <c r="AM276" s="250"/>
      <c r="AN276" s="251"/>
      <c r="AO276" s="252"/>
      <c r="AP276" s="241"/>
      <c r="AQ276" s="241"/>
      <c r="AR276" s="241"/>
      <c r="AS276" s="194"/>
      <c r="AT276" s="195"/>
      <c r="AU276" s="195"/>
    </row>
    <row r="277" spans="1:47">
      <c r="A277" s="253"/>
      <c r="B277" s="230"/>
      <c r="C277" s="245"/>
      <c r="D277" s="230"/>
      <c r="E277" s="230"/>
      <c r="F277" s="230"/>
      <c r="G277" s="228"/>
      <c r="H277" s="230"/>
      <c r="I277" s="230"/>
      <c r="J277" s="246"/>
      <c r="K277" s="230"/>
      <c r="L277" s="230"/>
      <c r="M277" s="230"/>
      <c r="N277" s="230"/>
      <c r="O277" s="230"/>
      <c r="P277" s="256"/>
      <c r="Q277" s="257"/>
      <c r="R277" s="228"/>
      <c r="S277" s="228"/>
      <c r="T277" s="245"/>
      <c r="U277" s="254"/>
      <c r="V277" s="254"/>
      <c r="W277" s="228"/>
      <c r="X277" s="255"/>
      <c r="Y277" s="248"/>
      <c r="Z277" s="248"/>
      <c r="AA277" s="228"/>
      <c r="AB277" s="228"/>
      <c r="AC277" s="228"/>
      <c r="AD277" s="228"/>
      <c r="AE277" s="248"/>
      <c r="AF277" s="247"/>
      <c r="AG277" s="228"/>
      <c r="AH277" s="228"/>
      <c r="AI277" s="248"/>
      <c r="AJ277" s="248"/>
      <c r="AK277" s="194"/>
      <c r="AL277" s="249"/>
      <c r="AM277" s="250"/>
      <c r="AN277" s="251"/>
      <c r="AO277" s="252"/>
      <c r="AP277" s="241"/>
      <c r="AQ277" s="241"/>
      <c r="AR277" s="241"/>
      <c r="AS277" s="194"/>
      <c r="AT277" s="195"/>
      <c r="AU277" s="195"/>
    </row>
    <row r="278" spans="1:47">
      <c r="A278" s="253"/>
      <c r="B278" s="230"/>
      <c r="C278" s="245"/>
      <c r="D278" s="230"/>
      <c r="E278" s="230"/>
      <c r="F278" s="230"/>
      <c r="G278" s="228"/>
      <c r="H278" s="230"/>
      <c r="I278" s="230"/>
      <c r="J278" s="246"/>
      <c r="K278" s="230"/>
      <c r="L278" s="230"/>
      <c r="M278" s="230"/>
      <c r="N278" s="230"/>
      <c r="O278" s="230"/>
      <c r="P278" s="256"/>
      <c r="Q278" s="257"/>
      <c r="R278" s="228"/>
      <c r="S278" s="228"/>
      <c r="T278" s="245"/>
      <c r="U278" s="254"/>
      <c r="V278" s="254"/>
      <c r="W278" s="228"/>
      <c r="X278" s="255"/>
      <c r="Y278" s="248"/>
      <c r="Z278" s="248"/>
      <c r="AA278" s="228"/>
      <c r="AB278" s="228"/>
      <c r="AC278" s="228"/>
      <c r="AD278" s="228"/>
      <c r="AE278" s="248"/>
      <c r="AF278" s="247"/>
      <c r="AG278" s="228"/>
      <c r="AH278" s="228"/>
      <c r="AI278" s="248"/>
      <c r="AJ278" s="248"/>
      <c r="AK278" s="194"/>
      <c r="AL278" s="249"/>
      <c r="AM278" s="250"/>
      <c r="AN278" s="251"/>
      <c r="AO278" s="252"/>
      <c r="AP278" s="241"/>
      <c r="AQ278" s="241"/>
      <c r="AR278" s="241"/>
      <c r="AS278" s="194"/>
      <c r="AT278" s="195"/>
      <c r="AU278" s="195"/>
    </row>
    <row r="279" spans="1:47">
      <c r="A279" s="253"/>
      <c r="B279" s="230"/>
      <c r="C279" s="245"/>
      <c r="D279" s="230"/>
      <c r="E279" s="230"/>
      <c r="F279" s="230"/>
      <c r="G279" s="228"/>
      <c r="H279" s="230"/>
      <c r="I279" s="230"/>
      <c r="J279" s="246"/>
      <c r="K279" s="230"/>
      <c r="L279" s="230"/>
      <c r="M279" s="230"/>
      <c r="N279" s="230"/>
      <c r="O279" s="230"/>
      <c r="P279" s="256"/>
      <c r="Q279" s="257"/>
      <c r="R279" s="228"/>
      <c r="S279" s="228"/>
      <c r="T279" s="245"/>
      <c r="U279" s="254"/>
      <c r="V279" s="254"/>
      <c r="W279" s="228"/>
      <c r="X279" s="255"/>
      <c r="Y279" s="248"/>
      <c r="Z279" s="248"/>
      <c r="AA279" s="228"/>
      <c r="AB279" s="228"/>
      <c r="AC279" s="228"/>
      <c r="AD279" s="228"/>
      <c r="AE279" s="248"/>
      <c r="AF279" s="247"/>
      <c r="AG279" s="228"/>
      <c r="AH279" s="228"/>
      <c r="AI279" s="248"/>
      <c r="AJ279" s="248"/>
      <c r="AK279" s="194"/>
      <c r="AL279" s="249"/>
      <c r="AM279" s="250"/>
      <c r="AN279" s="251"/>
      <c r="AO279" s="252"/>
      <c r="AP279" s="241"/>
      <c r="AQ279" s="241"/>
      <c r="AR279" s="241"/>
      <c r="AS279" s="194"/>
      <c r="AT279" s="195"/>
      <c r="AU279" s="195"/>
    </row>
    <row r="280" spans="1:47">
      <c r="A280" s="253"/>
      <c r="B280" s="230"/>
      <c r="C280" s="245"/>
      <c r="D280" s="230"/>
      <c r="E280" s="230"/>
      <c r="F280" s="230"/>
      <c r="G280" s="228"/>
      <c r="H280" s="230"/>
      <c r="I280" s="230"/>
      <c r="J280" s="246"/>
      <c r="K280" s="230"/>
      <c r="L280" s="230"/>
      <c r="M280" s="230"/>
      <c r="N280" s="230"/>
      <c r="O280" s="230"/>
      <c r="P280" s="256"/>
      <c r="Q280" s="257"/>
      <c r="R280" s="228"/>
      <c r="S280" s="228"/>
      <c r="T280" s="245"/>
      <c r="U280" s="254"/>
      <c r="V280" s="254"/>
      <c r="W280" s="228"/>
      <c r="X280" s="255"/>
      <c r="Y280" s="248"/>
      <c r="Z280" s="248"/>
      <c r="AA280" s="228"/>
      <c r="AB280" s="228"/>
      <c r="AC280" s="228"/>
      <c r="AD280" s="228"/>
      <c r="AE280" s="248"/>
      <c r="AF280" s="247"/>
      <c r="AG280" s="228"/>
      <c r="AH280" s="228"/>
      <c r="AI280" s="248"/>
      <c r="AJ280" s="248"/>
      <c r="AK280" s="194"/>
      <c r="AL280" s="249"/>
      <c r="AM280" s="250"/>
      <c r="AN280" s="251"/>
      <c r="AO280" s="252"/>
      <c r="AP280" s="241"/>
      <c r="AQ280" s="241"/>
      <c r="AR280" s="241"/>
      <c r="AS280" s="194"/>
      <c r="AT280" s="195"/>
      <c r="AU280" s="195"/>
    </row>
    <row r="281" spans="1:47">
      <c r="A281" s="253"/>
      <c r="B281" s="230"/>
      <c r="C281" s="245"/>
      <c r="D281" s="230"/>
      <c r="E281" s="230"/>
      <c r="F281" s="230"/>
      <c r="G281" s="228"/>
      <c r="H281" s="230"/>
      <c r="I281" s="230"/>
      <c r="J281" s="246"/>
      <c r="K281" s="230"/>
      <c r="L281" s="230"/>
      <c r="M281" s="230"/>
      <c r="N281" s="230"/>
      <c r="O281" s="230"/>
      <c r="P281" s="256"/>
      <c r="Q281" s="257"/>
      <c r="R281" s="228"/>
      <c r="S281" s="228"/>
      <c r="T281" s="245"/>
      <c r="U281" s="254"/>
      <c r="V281" s="254"/>
      <c r="W281" s="228"/>
      <c r="X281" s="255"/>
      <c r="Y281" s="248"/>
      <c r="Z281" s="248"/>
      <c r="AA281" s="228"/>
      <c r="AB281" s="228"/>
      <c r="AC281" s="228"/>
      <c r="AD281" s="228"/>
      <c r="AE281" s="248"/>
      <c r="AF281" s="247"/>
      <c r="AG281" s="228"/>
      <c r="AH281" s="228"/>
      <c r="AI281" s="248"/>
      <c r="AJ281" s="248"/>
      <c r="AK281" s="194"/>
      <c r="AL281" s="249"/>
      <c r="AM281" s="250"/>
      <c r="AN281" s="251"/>
      <c r="AO281" s="252"/>
      <c r="AP281" s="241"/>
      <c r="AQ281" s="241"/>
      <c r="AR281" s="241"/>
      <c r="AS281" s="194"/>
      <c r="AT281" s="195"/>
      <c r="AU281" s="195"/>
    </row>
    <row r="282" spans="1:47">
      <c r="A282" s="253"/>
      <c r="B282" s="230"/>
      <c r="C282" s="245"/>
      <c r="D282" s="230"/>
      <c r="E282" s="230"/>
      <c r="F282" s="230"/>
      <c r="G282" s="228"/>
      <c r="H282" s="230"/>
      <c r="I282" s="230"/>
      <c r="J282" s="246"/>
      <c r="K282" s="230"/>
      <c r="L282" s="230"/>
      <c r="M282" s="230"/>
      <c r="N282" s="230"/>
      <c r="O282" s="230"/>
      <c r="P282" s="256"/>
      <c r="Q282" s="257"/>
      <c r="R282" s="228"/>
      <c r="S282" s="228"/>
      <c r="T282" s="245"/>
      <c r="U282" s="254"/>
      <c r="V282" s="254"/>
      <c r="W282" s="228"/>
      <c r="X282" s="255"/>
      <c r="Y282" s="248"/>
      <c r="Z282" s="248"/>
      <c r="AA282" s="228"/>
      <c r="AB282" s="228"/>
      <c r="AC282" s="228"/>
      <c r="AD282" s="228"/>
      <c r="AE282" s="248"/>
      <c r="AF282" s="247"/>
      <c r="AG282" s="228"/>
      <c r="AH282" s="228"/>
      <c r="AI282" s="248"/>
      <c r="AJ282" s="248"/>
      <c r="AK282" s="194"/>
      <c r="AL282" s="249"/>
      <c r="AM282" s="250"/>
      <c r="AN282" s="251"/>
      <c r="AO282" s="252"/>
      <c r="AP282" s="241"/>
      <c r="AQ282" s="241"/>
      <c r="AR282" s="241"/>
      <c r="AS282" s="194"/>
      <c r="AT282" s="195"/>
      <c r="AU282" s="195"/>
    </row>
    <row r="283" spans="1:47">
      <c r="A283" s="253"/>
      <c r="B283" s="230"/>
      <c r="C283" s="245"/>
      <c r="D283" s="230"/>
      <c r="E283" s="230"/>
      <c r="F283" s="230"/>
      <c r="G283" s="228"/>
      <c r="H283" s="230"/>
      <c r="I283" s="230"/>
      <c r="J283" s="246"/>
      <c r="K283" s="230"/>
      <c r="L283" s="230"/>
      <c r="M283" s="230"/>
      <c r="N283" s="230"/>
      <c r="O283" s="230"/>
      <c r="P283" s="256"/>
      <c r="Q283" s="257"/>
      <c r="R283" s="228"/>
      <c r="S283" s="228"/>
      <c r="T283" s="245"/>
      <c r="U283" s="254"/>
      <c r="V283" s="254"/>
      <c r="W283" s="228"/>
      <c r="X283" s="255"/>
      <c r="Y283" s="248"/>
      <c r="Z283" s="248"/>
      <c r="AA283" s="228"/>
      <c r="AB283" s="228"/>
      <c r="AC283" s="228"/>
      <c r="AD283" s="228"/>
      <c r="AE283" s="248"/>
      <c r="AF283" s="247"/>
      <c r="AG283" s="228"/>
      <c r="AH283" s="228"/>
      <c r="AI283" s="248"/>
      <c r="AJ283" s="248"/>
      <c r="AK283" s="194"/>
      <c r="AL283" s="249"/>
      <c r="AM283" s="250"/>
      <c r="AN283" s="251"/>
      <c r="AO283" s="252"/>
      <c r="AP283" s="241"/>
      <c r="AQ283" s="241"/>
      <c r="AR283" s="241"/>
      <c r="AS283" s="194"/>
      <c r="AT283" s="195"/>
      <c r="AU283" s="195"/>
    </row>
    <row r="284" spans="1:47">
      <c r="A284" s="253"/>
      <c r="B284" s="230"/>
      <c r="C284" s="245"/>
      <c r="D284" s="230"/>
      <c r="E284" s="230"/>
      <c r="F284" s="230"/>
      <c r="G284" s="228"/>
      <c r="H284" s="230"/>
      <c r="I284" s="230"/>
      <c r="J284" s="246"/>
      <c r="K284" s="230"/>
      <c r="L284" s="230"/>
      <c r="M284" s="230"/>
      <c r="N284" s="230"/>
      <c r="O284" s="230"/>
      <c r="P284" s="256"/>
      <c r="Q284" s="257"/>
      <c r="R284" s="228"/>
      <c r="S284" s="228"/>
      <c r="T284" s="245"/>
      <c r="U284" s="254"/>
      <c r="V284" s="254"/>
      <c r="W284" s="228"/>
      <c r="X284" s="255"/>
      <c r="Y284" s="248"/>
      <c r="Z284" s="248"/>
      <c r="AA284" s="228"/>
      <c r="AB284" s="228"/>
      <c r="AC284" s="228"/>
      <c r="AD284" s="228"/>
      <c r="AE284" s="248"/>
      <c r="AF284" s="247"/>
      <c r="AG284" s="228"/>
      <c r="AH284" s="228"/>
      <c r="AI284" s="248"/>
      <c r="AJ284" s="248"/>
      <c r="AK284" s="194"/>
      <c r="AL284" s="249"/>
      <c r="AM284" s="250"/>
      <c r="AN284" s="251"/>
      <c r="AO284" s="252"/>
      <c r="AP284" s="241"/>
      <c r="AQ284" s="241"/>
      <c r="AR284" s="241"/>
      <c r="AS284" s="194"/>
      <c r="AT284" s="195"/>
      <c r="AU284" s="195"/>
    </row>
    <row r="285" spans="1:47">
      <c r="A285" s="253"/>
      <c r="B285" s="230"/>
      <c r="C285" s="245"/>
      <c r="D285" s="230"/>
      <c r="E285" s="230"/>
      <c r="F285" s="230"/>
      <c r="G285" s="228"/>
      <c r="H285" s="230"/>
      <c r="I285" s="230"/>
      <c r="J285" s="246"/>
      <c r="K285" s="230"/>
      <c r="L285" s="230"/>
      <c r="M285" s="230"/>
      <c r="N285" s="230"/>
      <c r="O285" s="230"/>
      <c r="P285" s="256"/>
      <c r="Q285" s="257"/>
      <c r="R285" s="228"/>
      <c r="S285" s="228"/>
      <c r="T285" s="245"/>
      <c r="U285" s="254"/>
      <c r="V285" s="254"/>
      <c r="W285" s="228"/>
      <c r="X285" s="255"/>
      <c r="Y285" s="248"/>
      <c r="Z285" s="248"/>
      <c r="AA285" s="228"/>
      <c r="AB285" s="228"/>
      <c r="AC285" s="228"/>
      <c r="AD285" s="228"/>
      <c r="AE285" s="248"/>
      <c r="AF285" s="247"/>
      <c r="AG285" s="228"/>
      <c r="AH285" s="228"/>
      <c r="AI285" s="248"/>
      <c r="AJ285" s="248"/>
      <c r="AK285" s="194"/>
      <c r="AL285" s="249"/>
      <c r="AM285" s="250"/>
      <c r="AN285" s="251"/>
      <c r="AO285" s="252"/>
      <c r="AP285" s="241"/>
      <c r="AQ285" s="241"/>
      <c r="AR285" s="241"/>
      <c r="AS285" s="194"/>
      <c r="AT285" s="195"/>
      <c r="AU285" s="195"/>
    </row>
    <row r="286" spans="1:47">
      <c r="A286" s="253"/>
      <c r="B286" s="230"/>
      <c r="C286" s="245"/>
      <c r="D286" s="230"/>
      <c r="E286" s="230"/>
      <c r="F286" s="230"/>
      <c r="G286" s="228"/>
      <c r="H286" s="230"/>
      <c r="I286" s="230"/>
      <c r="J286" s="246"/>
      <c r="K286" s="230"/>
      <c r="L286" s="230"/>
      <c r="M286" s="230"/>
      <c r="N286" s="230"/>
      <c r="O286" s="230"/>
      <c r="P286" s="256"/>
      <c r="Q286" s="257"/>
      <c r="R286" s="228"/>
      <c r="S286" s="228"/>
      <c r="T286" s="245"/>
      <c r="U286" s="254"/>
      <c r="V286" s="254"/>
      <c r="W286" s="228"/>
      <c r="X286" s="255"/>
      <c r="Y286" s="248"/>
      <c r="Z286" s="248"/>
      <c r="AA286" s="228"/>
      <c r="AB286" s="228"/>
      <c r="AC286" s="228"/>
      <c r="AD286" s="228"/>
      <c r="AE286" s="248"/>
      <c r="AF286" s="247"/>
      <c r="AG286" s="228"/>
      <c r="AH286" s="228"/>
      <c r="AI286" s="248"/>
      <c r="AJ286" s="248"/>
      <c r="AK286" s="194"/>
      <c r="AL286" s="249"/>
      <c r="AM286" s="250"/>
      <c r="AN286" s="251"/>
      <c r="AO286" s="252"/>
      <c r="AP286" s="241"/>
      <c r="AQ286" s="241"/>
      <c r="AR286" s="241"/>
      <c r="AS286" s="194"/>
      <c r="AT286" s="195"/>
      <c r="AU286" s="195"/>
    </row>
    <row r="287" spans="1:47">
      <c r="A287" s="253"/>
      <c r="B287" s="230"/>
      <c r="C287" s="245"/>
      <c r="D287" s="230"/>
      <c r="E287" s="230"/>
      <c r="F287" s="230"/>
      <c r="G287" s="228"/>
      <c r="H287" s="230"/>
      <c r="I287" s="230"/>
      <c r="J287" s="246"/>
      <c r="K287" s="230"/>
      <c r="L287" s="230"/>
      <c r="M287" s="230"/>
      <c r="N287" s="230"/>
      <c r="O287" s="230"/>
      <c r="P287" s="256"/>
      <c r="Q287" s="257"/>
      <c r="R287" s="228"/>
      <c r="S287" s="228"/>
      <c r="T287" s="245"/>
      <c r="U287" s="254"/>
      <c r="V287" s="254"/>
      <c r="W287" s="228"/>
      <c r="X287" s="255"/>
      <c r="Y287" s="248"/>
      <c r="Z287" s="248"/>
      <c r="AA287" s="228"/>
      <c r="AB287" s="228"/>
      <c r="AC287" s="228"/>
      <c r="AD287" s="228"/>
      <c r="AE287" s="248"/>
      <c r="AF287" s="247"/>
      <c r="AG287" s="228"/>
      <c r="AH287" s="228"/>
      <c r="AI287" s="248"/>
      <c r="AJ287" s="248"/>
      <c r="AK287" s="194"/>
      <c r="AL287" s="249"/>
      <c r="AM287" s="250"/>
      <c r="AN287" s="251"/>
      <c r="AO287" s="252"/>
      <c r="AP287" s="241"/>
      <c r="AQ287" s="241"/>
      <c r="AR287" s="241"/>
      <c r="AS287" s="194"/>
      <c r="AT287" s="195"/>
      <c r="AU287" s="195"/>
    </row>
    <row r="288" spans="1:47">
      <c r="A288" s="253"/>
      <c r="B288" s="230"/>
      <c r="C288" s="245"/>
      <c r="D288" s="230"/>
      <c r="E288" s="230"/>
      <c r="F288" s="230"/>
      <c r="G288" s="228"/>
      <c r="H288" s="230"/>
      <c r="I288" s="230"/>
      <c r="J288" s="246"/>
      <c r="K288" s="230"/>
      <c r="L288" s="230"/>
      <c r="M288" s="230"/>
      <c r="N288" s="230"/>
      <c r="O288" s="230"/>
      <c r="P288" s="256"/>
      <c r="Q288" s="257"/>
      <c r="R288" s="228"/>
      <c r="S288" s="228"/>
      <c r="T288" s="245"/>
      <c r="U288" s="254"/>
      <c r="V288" s="254"/>
      <c r="W288" s="228"/>
      <c r="X288" s="255"/>
      <c r="Y288" s="248"/>
      <c r="Z288" s="248"/>
      <c r="AA288" s="228"/>
      <c r="AB288" s="228"/>
      <c r="AC288" s="228"/>
      <c r="AD288" s="228"/>
      <c r="AE288" s="248"/>
      <c r="AF288" s="247"/>
      <c r="AG288" s="228"/>
      <c r="AH288" s="228"/>
      <c r="AI288" s="248"/>
      <c r="AJ288" s="248"/>
      <c r="AK288" s="194"/>
      <c r="AL288" s="249"/>
      <c r="AM288" s="250"/>
      <c r="AN288" s="251"/>
      <c r="AO288" s="252"/>
      <c r="AP288" s="241"/>
      <c r="AQ288" s="241"/>
      <c r="AR288" s="241"/>
      <c r="AS288" s="194"/>
      <c r="AT288" s="195"/>
      <c r="AU288" s="195"/>
    </row>
    <row r="289" spans="1:47">
      <c r="A289" s="253"/>
      <c r="B289" s="230"/>
      <c r="C289" s="245"/>
      <c r="D289" s="230"/>
      <c r="E289" s="230"/>
      <c r="F289" s="230"/>
      <c r="G289" s="228"/>
      <c r="H289" s="230"/>
      <c r="I289" s="230"/>
      <c r="J289" s="246"/>
      <c r="K289" s="230"/>
      <c r="L289" s="230"/>
      <c r="M289" s="230"/>
      <c r="N289" s="230"/>
      <c r="O289" s="230"/>
      <c r="P289" s="256"/>
      <c r="Q289" s="257"/>
      <c r="R289" s="228"/>
      <c r="S289" s="228"/>
      <c r="T289" s="245"/>
      <c r="U289" s="254"/>
      <c r="V289" s="254"/>
      <c r="W289" s="228"/>
      <c r="X289" s="255"/>
      <c r="Y289" s="248"/>
      <c r="Z289" s="248"/>
      <c r="AA289" s="228"/>
      <c r="AB289" s="228"/>
      <c r="AC289" s="228"/>
      <c r="AD289" s="228"/>
      <c r="AE289" s="248"/>
      <c r="AF289" s="247"/>
      <c r="AG289" s="228"/>
      <c r="AH289" s="228"/>
      <c r="AI289" s="248"/>
      <c r="AJ289" s="248"/>
      <c r="AK289" s="194"/>
      <c r="AL289" s="249"/>
      <c r="AM289" s="250"/>
      <c r="AN289" s="251"/>
      <c r="AO289" s="252"/>
      <c r="AP289" s="241"/>
      <c r="AQ289" s="241"/>
      <c r="AR289" s="241"/>
      <c r="AS289" s="194"/>
      <c r="AT289" s="195"/>
      <c r="AU289" s="195"/>
    </row>
    <row r="290" spans="1:47">
      <c r="A290" s="253"/>
      <c r="B290" s="230"/>
      <c r="C290" s="245"/>
      <c r="D290" s="230"/>
      <c r="E290" s="230"/>
      <c r="F290" s="230"/>
      <c r="G290" s="228"/>
      <c r="H290" s="230"/>
      <c r="I290" s="230"/>
      <c r="J290" s="246"/>
      <c r="K290" s="230"/>
      <c r="L290" s="230"/>
      <c r="M290" s="230"/>
      <c r="N290" s="230"/>
      <c r="O290" s="230"/>
      <c r="P290" s="256"/>
      <c r="Q290" s="257"/>
      <c r="R290" s="228"/>
      <c r="S290" s="228"/>
      <c r="T290" s="245"/>
      <c r="U290" s="254"/>
      <c r="V290" s="254"/>
      <c r="W290" s="228"/>
      <c r="X290" s="255"/>
      <c r="Y290" s="248"/>
      <c r="Z290" s="248"/>
      <c r="AA290" s="228"/>
      <c r="AB290" s="228"/>
      <c r="AC290" s="228"/>
      <c r="AD290" s="228"/>
      <c r="AE290" s="248"/>
      <c r="AF290" s="247"/>
      <c r="AG290" s="228"/>
      <c r="AH290" s="228"/>
      <c r="AI290" s="248"/>
      <c r="AJ290" s="248"/>
      <c r="AK290" s="194"/>
      <c r="AL290" s="249"/>
      <c r="AM290" s="250"/>
      <c r="AN290" s="251"/>
      <c r="AO290" s="252"/>
      <c r="AP290" s="241"/>
      <c r="AQ290" s="241"/>
      <c r="AR290" s="241"/>
      <c r="AS290" s="194"/>
      <c r="AT290" s="195"/>
      <c r="AU290" s="195"/>
    </row>
    <row r="291" spans="1:47">
      <c r="A291" s="253"/>
      <c r="B291" s="230"/>
      <c r="C291" s="245"/>
      <c r="D291" s="230"/>
      <c r="E291" s="230"/>
      <c r="F291" s="230"/>
      <c r="G291" s="228"/>
      <c r="H291" s="230"/>
      <c r="I291" s="230"/>
      <c r="J291" s="246"/>
      <c r="K291" s="230"/>
      <c r="L291" s="230"/>
      <c r="M291" s="230"/>
      <c r="N291" s="230"/>
      <c r="O291" s="230"/>
      <c r="P291" s="256"/>
      <c r="Q291" s="257"/>
      <c r="R291" s="228"/>
      <c r="S291" s="228"/>
      <c r="T291" s="245"/>
      <c r="U291" s="254"/>
      <c r="V291" s="254"/>
      <c r="W291" s="228"/>
      <c r="X291" s="255"/>
      <c r="Y291" s="248"/>
      <c r="Z291" s="248"/>
      <c r="AA291" s="228"/>
      <c r="AB291" s="228"/>
      <c r="AC291" s="228"/>
      <c r="AD291" s="228"/>
      <c r="AE291" s="248"/>
      <c r="AF291" s="247"/>
      <c r="AG291" s="228"/>
      <c r="AH291" s="228"/>
      <c r="AI291" s="248"/>
      <c r="AJ291" s="248"/>
      <c r="AK291" s="194"/>
      <c r="AL291" s="249"/>
      <c r="AM291" s="250"/>
      <c r="AN291" s="251"/>
      <c r="AO291" s="252"/>
      <c r="AP291" s="241"/>
      <c r="AQ291" s="241"/>
      <c r="AR291" s="241"/>
      <c r="AS291" s="194"/>
      <c r="AT291" s="195"/>
      <c r="AU291" s="195"/>
    </row>
    <row r="292" spans="1:47">
      <c r="A292" s="253"/>
      <c r="B292" s="230"/>
      <c r="C292" s="245"/>
      <c r="D292" s="230"/>
      <c r="E292" s="230"/>
      <c r="F292" s="230"/>
      <c r="G292" s="228"/>
      <c r="H292" s="230"/>
      <c r="I292" s="230"/>
      <c r="J292" s="246"/>
      <c r="K292" s="230"/>
      <c r="L292" s="230"/>
      <c r="M292" s="230"/>
      <c r="N292" s="230"/>
      <c r="O292" s="230"/>
      <c r="P292" s="256"/>
      <c r="Q292" s="257"/>
      <c r="R292" s="228"/>
      <c r="S292" s="228"/>
      <c r="T292" s="245"/>
      <c r="U292" s="254"/>
      <c r="V292" s="254"/>
      <c r="W292" s="228"/>
      <c r="X292" s="255"/>
      <c r="Y292" s="248"/>
      <c r="Z292" s="248"/>
      <c r="AA292" s="228"/>
      <c r="AB292" s="228"/>
      <c r="AC292" s="228"/>
      <c r="AD292" s="228"/>
      <c r="AE292" s="248"/>
      <c r="AF292" s="247"/>
      <c r="AG292" s="228"/>
      <c r="AH292" s="228"/>
      <c r="AI292" s="248"/>
      <c r="AJ292" s="248"/>
      <c r="AK292" s="194"/>
      <c r="AL292" s="249"/>
      <c r="AM292" s="250"/>
      <c r="AN292" s="251"/>
      <c r="AO292" s="252"/>
      <c r="AP292" s="241"/>
      <c r="AQ292" s="241"/>
      <c r="AR292" s="241"/>
      <c r="AS292" s="194"/>
      <c r="AT292" s="195"/>
      <c r="AU292" s="195"/>
    </row>
    <row r="293" spans="1:47">
      <c r="A293" s="253"/>
      <c r="B293" s="230"/>
      <c r="C293" s="245"/>
      <c r="D293" s="230"/>
      <c r="E293" s="230"/>
      <c r="F293" s="230"/>
      <c r="G293" s="228"/>
      <c r="H293" s="230"/>
      <c r="I293" s="230"/>
      <c r="J293" s="246"/>
      <c r="K293" s="230"/>
      <c r="L293" s="230"/>
      <c r="M293" s="230"/>
      <c r="N293" s="230"/>
      <c r="O293" s="230"/>
      <c r="P293" s="256"/>
      <c r="Q293" s="257"/>
      <c r="R293" s="228"/>
      <c r="S293" s="228"/>
      <c r="T293" s="245"/>
      <c r="U293" s="254"/>
      <c r="V293" s="254"/>
      <c r="W293" s="228"/>
      <c r="X293" s="255"/>
      <c r="Y293" s="248"/>
      <c r="Z293" s="248"/>
      <c r="AA293" s="228"/>
      <c r="AB293" s="228"/>
      <c r="AC293" s="228"/>
      <c r="AD293" s="228"/>
      <c r="AE293" s="248"/>
      <c r="AF293" s="247"/>
      <c r="AG293" s="228"/>
      <c r="AH293" s="228"/>
      <c r="AI293" s="248"/>
      <c r="AJ293" s="248"/>
      <c r="AK293" s="194"/>
      <c r="AL293" s="249"/>
      <c r="AM293" s="250"/>
      <c r="AN293" s="251"/>
      <c r="AO293" s="252"/>
      <c r="AP293" s="241"/>
      <c r="AQ293" s="241"/>
      <c r="AR293" s="241"/>
      <c r="AS293" s="194"/>
      <c r="AT293" s="195"/>
      <c r="AU293" s="195"/>
    </row>
    <row r="294" spans="1:47">
      <c r="A294" s="253"/>
      <c r="B294" s="230"/>
      <c r="C294" s="245"/>
      <c r="D294" s="230"/>
      <c r="E294" s="230"/>
      <c r="F294" s="230"/>
      <c r="G294" s="228"/>
      <c r="H294" s="230"/>
      <c r="I294" s="230"/>
      <c r="J294" s="246"/>
      <c r="K294" s="230"/>
      <c r="L294" s="230"/>
      <c r="M294" s="230"/>
      <c r="N294" s="230"/>
      <c r="O294" s="230"/>
      <c r="P294" s="256"/>
      <c r="Q294" s="257"/>
      <c r="R294" s="228"/>
      <c r="S294" s="228"/>
      <c r="T294" s="245"/>
      <c r="U294" s="254"/>
      <c r="V294" s="254"/>
      <c r="W294" s="228"/>
      <c r="X294" s="255"/>
      <c r="Y294" s="248"/>
      <c r="Z294" s="248"/>
      <c r="AA294" s="228"/>
      <c r="AB294" s="228"/>
      <c r="AC294" s="228"/>
      <c r="AD294" s="228"/>
      <c r="AE294" s="248"/>
      <c r="AF294" s="247"/>
      <c r="AG294" s="228"/>
      <c r="AH294" s="228"/>
      <c r="AI294" s="248"/>
      <c r="AJ294" s="248"/>
      <c r="AK294" s="194"/>
      <c r="AL294" s="249"/>
      <c r="AM294" s="250"/>
      <c r="AN294" s="251"/>
      <c r="AO294" s="252"/>
      <c r="AP294" s="241"/>
      <c r="AQ294" s="241"/>
      <c r="AR294" s="241"/>
      <c r="AS294" s="194"/>
      <c r="AT294" s="195"/>
      <c r="AU294" s="195"/>
    </row>
    <row r="295" spans="1:47">
      <c r="A295" s="253"/>
      <c r="B295" s="230"/>
      <c r="C295" s="245"/>
      <c r="D295" s="230"/>
      <c r="E295" s="230"/>
      <c r="F295" s="230"/>
      <c r="G295" s="228"/>
      <c r="H295" s="230"/>
      <c r="I295" s="230"/>
      <c r="J295" s="246"/>
      <c r="K295" s="230"/>
      <c r="L295" s="230"/>
      <c r="M295" s="230"/>
      <c r="N295" s="230"/>
      <c r="O295" s="230"/>
      <c r="P295" s="256"/>
      <c r="Q295" s="257"/>
      <c r="R295" s="228"/>
      <c r="S295" s="228"/>
      <c r="T295" s="245"/>
      <c r="U295" s="254"/>
      <c r="V295" s="254"/>
      <c r="W295" s="228"/>
      <c r="X295" s="255"/>
      <c r="Y295" s="248"/>
      <c r="Z295" s="248"/>
      <c r="AA295" s="228"/>
      <c r="AB295" s="228"/>
      <c r="AC295" s="228"/>
      <c r="AD295" s="228"/>
      <c r="AE295" s="248"/>
      <c r="AF295" s="247"/>
      <c r="AG295" s="228"/>
      <c r="AH295" s="228"/>
      <c r="AI295" s="248"/>
      <c r="AJ295" s="248"/>
      <c r="AK295" s="194"/>
      <c r="AL295" s="249"/>
      <c r="AM295" s="250"/>
      <c r="AN295" s="251"/>
      <c r="AO295" s="252"/>
      <c r="AP295" s="241"/>
      <c r="AQ295" s="241"/>
      <c r="AR295" s="241"/>
      <c r="AS295" s="194"/>
      <c r="AT295" s="195"/>
      <c r="AU295" s="195"/>
    </row>
    <row r="296" spans="1:47">
      <c r="A296" s="253"/>
      <c r="B296" s="230"/>
      <c r="C296" s="245"/>
      <c r="D296" s="230"/>
      <c r="E296" s="230"/>
      <c r="F296" s="230"/>
      <c r="G296" s="228"/>
      <c r="H296" s="230"/>
      <c r="I296" s="230"/>
      <c r="J296" s="246"/>
      <c r="K296" s="230"/>
      <c r="L296" s="230"/>
      <c r="M296" s="230"/>
      <c r="N296" s="230"/>
      <c r="O296" s="230"/>
      <c r="P296" s="256"/>
      <c r="Q296" s="257"/>
      <c r="R296" s="228"/>
      <c r="S296" s="228"/>
      <c r="T296" s="245"/>
      <c r="U296" s="254"/>
      <c r="V296" s="254"/>
      <c r="W296" s="228"/>
      <c r="X296" s="255"/>
      <c r="Y296" s="248"/>
      <c r="Z296" s="248"/>
      <c r="AA296" s="228"/>
      <c r="AB296" s="228"/>
      <c r="AC296" s="228"/>
      <c r="AD296" s="228"/>
      <c r="AE296" s="248"/>
      <c r="AF296" s="247"/>
      <c r="AG296" s="228"/>
      <c r="AH296" s="228"/>
      <c r="AI296" s="248"/>
      <c r="AJ296" s="248"/>
      <c r="AK296" s="194"/>
      <c r="AL296" s="249"/>
      <c r="AM296" s="250"/>
      <c r="AN296" s="251"/>
      <c r="AO296" s="252"/>
      <c r="AP296" s="241"/>
      <c r="AQ296" s="241"/>
      <c r="AR296" s="241"/>
      <c r="AS296" s="194"/>
      <c r="AT296" s="195"/>
      <c r="AU296" s="195"/>
    </row>
    <row r="297" spans="1:47">
      <c r="A297" s="253"/>
      <c r="B297" s="230"/>
      <c r="C297" s="245"/>
      <c r="D297" s="230"/>
      <c r="E297" s="230"/>
      <c r="F297" s="230"/>
      <c r="G297" s="228"/>
      <c r="H297" s="230"/>
      <c r="I297" s="230"/>
      <c r="J297" s="246"/>
      <c r="K297" s="230"/>
      <c r="L297" s="230"/>
      <c r="M297" s="230"/>
      <c r="N297" s="230"/>
      <c r="O297" s="230"/>
      <c r="P297" s="256"/>
      <c r="Q297" s="257"/>
      <c r="R297" s="228"/>
      <c r="S297" s="228"/>
      <c r="T297" s="245"/>
      <c r="U297" s="254"/>
      <c r="V297" s="254"/>
      <c r="W297" s="228"/>
      <c r="X297" s="255"/>
      <c r="Y297" s="248"/>
      <c r="Z297" s="248"/>
      <c r="AA297" s="228"/>
      <c r="AB297" s="228"/>
      <c r="AC297" s="228"/>
      <c r="AD297" s="228"/>
      <c r="AE297" s="248"/>
      <c r="AF297" s="247"/>
      <c r="AG297" s="228"/>
      <c r="AH297" s="228"/>
      <c r="AI297" s="248"/>
      <c r="AJ297" s="248"/>
      <c r="AK297" s="194"/>
      <c r="AL297" s="249"/>
      <c r="AM297" s="250"/>
      <c r="AN297" s="251"/>
      <c r="AO297" s="252"/>
      <c r="AP297" s="241"/>
      <c r="AQ297" s="241"/>
      <c r="AR297" s="241"/>
      <c r="AS297" s="194"/>
      <c r="AT297" s="195"/>
      <c r="AU297" s="195"/>
    </row>
    <row r="298" spans="1:47">
      <c r="A298" s="253"/>
      <c r="B298" s="230"/>
      <c r="C298" s="245"/>
      <c r="D298" s="230"/>
      <c r="E298" s="230"/>
      <c r="F298" s="230"/>
      <c r="G298" s="228"/>
      <c r="H298" s="230"/>
      <c r="I298" s="230"/>
      <c r="J298" s="246"/>
      <c r="K298" s="230"/>
      <c r="L298" s="230"/>
      <c r="M298" s="230"/>
      <c r="N298" s="230"/>
      <c r="O298" s="230"/>
      <c r="P298" s="256"/>
      <c r="Q298" s="257"/>
      <c r="R298" s="228"/>
      <c r="S298" s="228"/>
      <c r="T298" s="245"/>
      <c r="U298" s="254"/>
      <c r="V298" s="254"/>
      <c r="W298" s="228"/>
      <c r="X298" s="255"/>
      <c r="Y298" s="248"/>
      <c r="Z298" s="248"/>
      <c r="AA298" s="228"/>
      <c r="AB298" s="228"/>
      <c r="AC298" s="228"/>
      <c r="AD298" s="228"/>
      <c r="AE298" s="248"/>
      <c r="AF298" s="247"/>
      <c r="AG298" s="228"/>
      <c r="AH298" s="228"/>
      <c r="AI298" s="248"/>
      <c r="AJ298" s="248"/>
      <c r="AK298" s="194"/>
      <c r="AL298" s="249"/>
      <c r="AM298" s="250"/>
      <c r="AN298" s="251"/>
      <c r="AO298" s="252"/>
      <c r="AP298" s="241"/>
      <c r="AQ298" s="241"/>
      <c r="AR298" s="241"/>
      <c r="AS298" s="194"/>
      <c r="AT298" s="195"/>
      <c r="AU298" s="195"/>
    </row>
    <row r="299" spans="1:47">
      <c r="A299" s="253"/>
      <c r="B299" s="230"/>
      <c r="C299" s="245"/>
      <c r="D299" s="230"/>
      <c r="E299" s="230"/>
      <c r="F299" s="230"/>
      <c r="G299" s="228"/>
      <c r="H299" s="230"/>
      <c r="I299" s="230"/>
      <c r="J299" s="246"/>
      <c r="K299" s="230"/>
      <c r="L299" s="230"/>
      <c r="M299" s="230"/>
      <c r="N299" s="230"/>
      <c r="O299" s="230"/>
      <c r="P299" s="256"/>
      <c r="Q299" s="257"/>
      <c r="R299" s="228"/>
      <c r="S299" s="228"/>
      <c r="T299" s="245"/>
      <c r="U299" s="254"/>
      <c r="V299" s="254"/>
      <c r="W299" s="228"/>
      <c r="X299" s="255"/>
      <c r="Y299" s="248"/>
      <c r="Z299" s="248"/>
      <c r="AA299" s="228"/>
      <c r="AB299" s="228"/>
      <c r="AC299" s="228"/>
      <c r="AD299" s="228"/>
      <c r="AE299" s="248"/>
      <c r="AF299" s="247"/>
      <c r="AG299" s="228"/>
      <c r="AH299" s="228"/>
      <c r="AI299" s="248"/>
      <c r="AJ299" s="248"/>
      <c r="AK299" s="194"/>
      <c r="AL299" s="249"/>
      <c r="AM299" s="250"/>
      <c r="AN299" s="251"/>
      <c r="AO299" s="252"/>
      <c r="AP299" s="241"/>
      <c r="AQ299" s="241"/>
      <c r="AR299" s="241"/>
      <c r="AS299" s="194"/>
      <c r="AT299" s="195"/>
      <c r="AU299" s="195"/>
    </row>
    <row r="300" spans="1:47">
      <c r="A300" s="253"/>
      <c r="B300" s="230"/>
      <c r="C300" s="245"/>
      <c r="D300" s="230"/>
      <c r="E300" s="230"/>
      <c r="F300" s="230"/>
      <c r="G300" s="228"/>
      <c r="H300" s="230"/>
      <c r="I300" s="230"/>
      <c r="J300" s="246"/>
      <c r="K300" s="230"/>
      <c r="L300" s="230"/>
      <c r="M300" s="230"/>
      <c r="N300" s="230"/>
      <c r="O300" s="230"/>
      <c r="P300" s="256"/>
      <c r="Q300" s="257"/>
      <c r="R300" s="228"/>
      <c r="S300" s="228"/>
      <c r="T300" s="245"/>
      <c r="U300" s="254"/>
      <c r="V300" s="254"/>
      <c r="W300" s="228"/>
      <c r="X300" s="255"/>
      <c r="Y300" s="248"/>
      <c r="Z300" s="248"/>
      <c r="AA300" s="228"/>
      <c r="AB300" s="228"/>
      <c r="AC300" s="228"/>
      <c r="AD300" s="228"/>
      <c r="AE300" s="248"/>
      <c r="AF300" s="247"/>
      <c r="AG300" s="228"/>
      <c r="AH300" s="228"/>
      <c r="AI300" s="248"/>
      <c r="AJ300" s="248"/>
      <c r="AK300" s="194"/>
      <c r="AL300" s="249"/>
      <c r="AM300" s="250"/>
      <c r="AN300" s="251"/>
      <c r="AO300" s="252"/>
      <c r="AP300" s="241"/>
      <c r="AQ300" s="241"/>
      <c r="AR300" s="241"/>
      <c r="AS300" s="194"/>
      <c r="AT300" s="195"/>
      <c r="AU300" s="195"/>
    </row>
    <row r="301" spans="1:47">
      <c r="A301" s="253"/>
      <c r="B301" s="230"/>
      <c r="C301" s="245"/>
      <c r="D301" s="230"/>
      <c r="E301" s="230"/>
      <c r="F301" s="230"/>
      <c r="G301" s="228"/>
      <c r="H301" s="230"/>
      <c r="I301" s="230"/>
      <c r="J301" s="246"/>
      <c r="K301" s="230"/>
      <c r="L301" s="230"/>
      <c r="M301" s="230"/>
      <c r="N301" s="230"/>
      <c r="O301" s="230"/>
      <c r="P301" s="256"/>
      <c r="Q301" s="257"/>
      <c r="R301" s="228"/>
      <c r="S301" s="228"/>
      <c r="T301" s="245"/>
      <c r="U301" s="254"/>
      <c r="V301" s="254"/>
      <c r="W301" s="228"/>
      <c r="X301" s="255"/>
      <c r="Y301" s="248"/>
      <c r="Z301" s="248"/>
      <c r="AA301" s="228"/>
      <c r="AB301" s="228"/>
      <c r="AC301" s="228"/>
      <c r="AD301" s="228"/>
      <c r="AE301" s="248"/>
      <c r="AF301" s="247"/>
      <c r="AG301" s="228"/>
      <c r="AH301" s="228"/>
      <c r="AI301" s="248"/>
      <c r="AJ301" s="248"/>
      <c r="AK301" s="194"/>
      <c r="AL301" s="249"/>
      <c r="AM301" s="250"/>
      <c r="AN301" s="251"/>
      <c r="AO301" s="252"/>
      <c r="AP301" s="241"/>
      <c r="AQ301" s="241"/>
      <c r="AR301" s="241"/>
      <c r="AS301" s="194"/>
      <c r="AT301" s="195"/>
      <c r="AU301" s="195"/>
    </row>
    <row r="302" spans="1:47">
      <c r="A302" s="253"/>
      <c r="B302" s="230"/>
      <c r="C302" s="245"/>
      <c r="D302" s="230"/>
      <c r="E302" s="230"/>
      <c r="F302" s="230"/>
      <c r="G302" s="228"/>
      <c r="H302" s="230"/>
      <c r="I302" s="230"/>
      <c r="J302" s="246"/>
      <c r="K302" s="230"/>
      <c r="L302" s="230"/>
      <c r="M302" s="230"/>
      <c r="N302" s="230"/>
      <c r="O302" s="230"/>
      <c r="P302" s="256"/>
      <c r="Q302" s="257"/>
      <c r="R302" s="228"/>
      <c r="S302" s="228"/>
      <c r="T302" s="245"/>
      <c r="U302" s="254"/>
      <c r="V302" s="254"/>
      <c r="W302" s="228"/>
      <c r="X302" s="255"/>
      <c r="Y302" s="248"/>
      <c r="Z302" s="248"/>
      <c r="AA302" s="228"/>
      <c r="AB302" s="228"/>
      <c r="AC302" s="228"/>
      <c r="AD302" s="228"/>
      <c r="AE302" s="248"/>
      <c r="AF302" s="247"/>
      <c r="AG302" s="228"/>
      <c r="AH302" s="228"/>
      <c r="AI302" s="248"/>
      <c r="AJ302" s="248"/>
      <c r="AK302" s="194"/>
      <c r="AL302" s="249"/>
      <c r="AM302" s="250"/>
      <c r="AN302" s="251"/>
      <c r="AO302" s="252"/>
      <c r="AP302" s="241"/>
      <c r="AQ302" s="241"/>
      <c r="AR302" s="241"/>
      <c r="AS302" s="194"/>
      <c r="AT302" s="195"/>
      <c r="AU302" s="195"/>
    </row>
    <row r="303" spans="1:47">
      <c r="A303" s="253"/>
      <c r="B303" s="230"/>
      <c r="C303" s="245"/>
      <c r="D303" s="230"/>
      <c r="E303" s="230"/>
      <c r="F303" s="230"/>
      <c r="G303" s="228"/>
      <c r="H303" s="230"/>
      <c r="I303" s="230"/>
      <c r="J303" s="246"/>
      <c r="K303" s="230"/>
      <c r="L303" s="230"/>
      <c r="M303" s="230"/>
      <c r="N303" s="230"/>
      <c r="O303" s="230"/>
      <c r="P303" s="256"/>
      <c r="Q303" s="257"/>
      <c r="R303" s="228"/>
      <c r="S303" s="228"/>
      <c r="T303" s="245"/>
      <c r="U303" s="254"/>
      <c r="V303" s="254"/>
      <c r="W303" s="228"/>
      <c r="X303" s="255"/>
      <c r="Y303" s="248"/>
      <c r="Z303" s="248"/>
      <c r="AA303" s="228"/>
      <c r="AB303" s="228"/>
      <c r="AC303" s="228"/>
      <c r="AD303" s="228"/>
      <c r="AE303" s="248"/>
      <c r="AF303" s="247"/>
      <c r="AG303" s="228"/>
      <c r="AH303" s="228"/>
      <c r="AI303" s="248"/>
      <c r="AJ303" s="248"/>
      <c r="AK303" s="194"/>
      <c r="AL303" s="249"/>
      <c r="AM303" s="250"/>
      <c r="AN303" s="251"/>
      <c r="AO303" s="252"/>
      <c r="AP303" s="241"/>
      <c r="AQ303" s="241"/>
      <c r="AR303" s="241"/>
      <c r="AS303" s="194"/>
      <c r="AT303" s="195"/>
      <c r="AU303" s="195"/>
    </row>
    <row r="304" spans="1:47">
      <c r="A304" s="253"/>
      <c r="B304" s="230"/>
      <c r="C304" s="245"/>
      <c r="D304" s="230"/>
      <c r="E304" s="230"/>
      <c r="F304" s="230"/>
      <c r="G304" s="228"/>
      <c r="H304" s="230"/>
      <c r="I304" s="230"/>
      <c r="J304" s="246"/>
      <c r="K304" s="230"/>
      <c r="L304" s="230"/>
      <c r="M304" s="230"/>
      <c r="N304" s="230"/>
      <c r="O304" s="230"/>
      <c r="P304" s="256"/>
      <c r="Q304" s="257"/>
      <c r="R304" s="228"/>
      <c r="S304" s="228"/>
      <c r="T304" s="245"/>
      <c r="U304" s="254"/>
      <c r="V304" s="254"/>
      <c r="W304" s="228"/>
      <c r="X304" s="255"/>
      <c r="Y304" s="248"/>
      <c r="Z304" s="248"/>
      <c r="AA304" s="228"/>
      <c r="AB304" s="228"/>
      <c r="AC304" s="228"/>
      <c r="AD304" s="228"/>
      <c r="AE304" s="248"/>
      <c r="AF304" s="247"/>
      <c r="AG304" s="228"/>
      <c r="AH304" s="228"/>
      <c r="AI304" s="248"/>
      <c r="AJ304" s="248"/>
      <c r="AK304" s="194"/>
      <c r="AL304" s="249"/>
      <c r="AM304" s="250"/>
      <c r="AN304" s="251"/>
      <c r="AO304" s="252"/>
      <c r="AP304" s="241"/>
      <c r="AQ304" s="241"/>
      <c r="AR304" s="241"/>
      <c r="AS304" s="194"/>
      <c r="AT304" s="195"/>
      <c r="AU304" s="195"/>
    </row>
    <row r="305" spans="1:47">
      <c r="A305" s="253"/>
      <c r="B305" s="230"/>
      <c r="C305" s="245"/>
      <c r="D305" s="230"/>
      <c r="E305" s="230"/>
      <c r="F305" s="230"/>
      <c r="G305" s="228"/>
      <c r="H305" s="230"/>
      <c r="I305" s="230"/>
      <c r="J305" s="246"/>
      <c r="K305" s="230"/>
      <c r="L305" s="230"/>
      <c r="M305" s="230"/>
      <c r="N305" s="230"/>
      <c r="O305" s="230"/>
      <c r="P305" s="256"/>
      <c r="Q305" s="257"/>
      <c r="R305" s="228"/>
      <c r="S305" s="228"/>
      <c r="T305" s="245"/>
      <c r="U305" s="254"/>
      <c r="V305" s="254"/>
      <c r="W305" s="228"/>
      <c r="X305" s="255"/>
      <c r="Y305" s="248"/>
      <c r="Z305" s="248"/>
      <c r="AA305" s="228"/>
      <c r="AB305" s="228"/>
      <c r="AC305" s="228"/>
      <c r="AD305" s="228"/>
      <c r="AE305" s="248"/>
      <c r="AF305" s="247"/>
      <c r="AG305" s="228"/>
      <c r="AH305" s="228"/>
      <c r="AI305" s="248"/>
      <c r="AJ305" s="248"/>
      <c r="AK305" s="194"/>
      <c r="AL305" s="249"/>
      <c r="AM305" s="250"/>
      <c r="AN305" s="251"/>
      <c r="AO305" s="252"/>
      <c r="AP305" s="241"/>
      <c r="AQ305" s="241"/>
      <c r="AR305" s="241"/>
      <c r="AS305" s="194"/>
      <c r="AT305" s="195"/>
      <c r="AU305" s="195"/>
    </row>
    <row r="306" spans="1:47">
      <c r="A306" s="253"/>
      <c r="B306" s="230"/>
      <c r="C306" s="245"/>
      <c r="D306" s="230"/>
      <c r="E306" s="230"/>
      <c r="F306" s="230"/>
      <c r="G306" s="228"/>
      <c r="H306" s="230"/>
      <c r="I306" s="230"/>
      <c r="J306" s="246"/>
      <c r="K306" s="230"/>
      <c r="L306" s="230"/>
      <c r="M306" s="230"/>
      <c r="N306" s="230"/>
      <c r="O306" s="230"/>
      <c r="P306" s="256"/>
      <c r="Q306" s="257"/>
      <c r="R306" s="228"/>
      <c r="S306" s="228"/>
      <c r="T306" s="245"/>
      <c r="U306" s="254"/>
      <c r="V306" s="254"/>
      <c r="W306" s="228"/>
      <c r="X306" s="255"/>
      <c r="Y306" s="248"/>
      <c r="Z306" s="248"/>
      <c r="AA306" s="228"/>
      <c r="AB306" s="228"/>
      <c r="AC306" s="228"/>
      <c r="AD306" s="228"/>
      <c r="AE306" s="248"/>
      <c r="AF306" s="247"/>
      <c r="AG306" s="228"/>
      <c r="AH306" s="228"/>
      <c r="AI306" s="248"/>
      <c r="AJ306" s="248"/>
      <c r="AK306" s="194"/>
      <c r="AL306" s="249"/>
      <c r="AM306" s="250"/>
      <c r="AN306" s="251"/>
      <c r="AO306" s="252"/>
      <c r="AP306" s="241"/>
      <c r="AQ306" s="241"/>
      <c r="AR306" s="241"/>
      <c r="AS306" s="194"/>
      <c r="AT306" s="195"/>
      <c r="AU306" s="195"/>
    </row>
    <row r="307" spans="1:47">
      <c r="A307" s="253"/>
      <c r="B307" s="230"/>
      <c r="C307" s="245"/>
      <c r="D307" s="230"/>
      <c r="E307" s="230"/>
      <c r="F307" s="230"/>
      <c r="G307" s="228"/>
      <c r="H307" s="230"/>
      <c r="I307" s="230"/>
      <c r="J307" s="246"/>
      <c r="K307" s="230"/>
      <c r="L307" s="230"/>
      <c r="M307" s="230"/>
      <c r="N307" s="230"/>
      <c r="O307" s="230"/>
      <c r="P307" s="256"/>
      <c r="Q307" s="257"/>
      <c r="R307" s="228"/>
      <c r="S307" s="228"/>
      <c r="T307" s="245"/>
      <c r="U307" s="254"/>
      <c r="V307" s="254"/>
      <c r="W307" s="228"/>
      <c r="X307" s="255"/>
      <c r="Y307" s="248"/>
      <c r="Z307" s="248"/>
      <c r="AA307" s="228"/>
      <c r="AB307" s="228"/>
      <c r="AC307" s="228"/>
      <c r="AD307" s="228"/>
      <c r="AE307" s="248"/>
      <c r="AF307" s="247"/>
      <c r="AG307" s="228"/>
      <c r="AH307" s="228"/>
      <c r="AI307" s="248"/>
      <c r="AJ307" s="248"/>
      <c r="AK307" s="194"/>
      <c r="AL307" s="249"/>
      <c r="AM307" s="250"/>
      <c r="AN307" s="251"/>
      <c r="AO307" s="252"/>
      <c r="AP307" s="241"/>
      <c r="AQ307" s="241"/>
      <c r="AR307" s="241"/>
      <c r="AS307" s="194"/>
      <c r="AT307" s="195"/>
      <c r="AU307" s="195"/>
    </row>
    <row r="308" spans="1:47">
      <c r="A308" s="253"/>
      <c r="B308" s="230"/>
      <c r="C308" s="245"/>
      <c r="D308" s="230"/>
      <c r="E308" s="230"/>
      <c r="F308" s="230"/>
      <c r="G308" s="228"/>
      <c r="H308" s="230"/>
      <c r="I308" s="230"/>
      <c r="J308" s="246"/>
      <c r="K308" s="230"/>
      <c r="L308" s="230"/>
      <c r="M308" s="230"/>
      <c r="N308" s="230"/>
      <c r="O308" s="230"/>
      <c r="P308" s="256"/>
      <c r="Q308" s="257"/>
      <c r="R308" s="228"/>
      <c r="S308" s="228"/>
      <c r="T308" s="245"/>
      <c r="U308" s="254"/>
      <c r="V308" s="254"/>
      <c r="W308" s="228"/>
      <c r="X308" s="255"/>
      <c r="Y308" s="248"/>
      <c r="Z308" s="248"/>
      <c r="AA308" s="228"/>
      <c r="AB308" s="228"/>
      <c r="AC308" s="228"/>
      <c r="AD308" s="228"/>
      <c r="AE308" s="248"/>
      <c r="AF308" s="247"/>
      <c r="AG308" s="228"/>
      <c r="AH308" s="228"/>
      <c r="AI308" s="248"/>
      <c r="AJ308" s="248"/>
      <c r="AK308" s="194"/>
      <c r="AL308" s="249"/>
      <c r="AM308" s="250"/>
      <c r="AN308" s="251"/>
      <c r="AO308" s="252"/>
      <c r="AP308" s="241"/>
      <c r="AQ308" s="241"/>
      <c r="AR308" s="241"/>
      <c r="AS308" s="194"/>
      <c r="AT308" s="195"/>
      <c r="AU308" s="195"/>
    </row>
    <row r="309" spans="1:47">
      <c r="A309" s="253"/>
      <c r="B309" s="230"/>
      <c r="C309" s="245"/>
      <c r="D309" s="230"/>
      <c r="E309" s="230"/>
      <c r="F309" s="230"/>
      <c r="G309" s="228"/>
      <c r="H309" s="230"/>
      <c r="I309" s="230"/>
      <c r="J309" s="246"/>
      <c r="K309" s="230"/>
      <c r="L309" s="230"/>
      <c r="M309" s="230"/>
      <c r="N309" s="230"/>
      <c r="O309" s="230"/>
      <c r="P309" s="256"/>
      <c r="Q309" s="257"/>
      <c r="R309" s="228"/>
      <c r="S309" s="228"/>
      <c r="T309" s="245"/>
      <c r="U309" s="254"/>
      <c r="V309" s="254"/>
      <c r="W309" s="228"/>
      <c r="X309" s="255"/>
      <c r="Y309" s="248"/>
      <c r="Z309" s="248"/>
      <c r="AA309" s="228"/>
      <c r="AB309" s="228"/>
      <c r="AC309" s="228"/>
      <c r="AD309" s="228"/>
      <c r="AE309" s="248"/>
      <c r="AF309" s="247"/>
      <c r="AG309" s="228"/>
      <c r="AH309" s="228"/>
      <c r="AI309" s="248"/>
      <c r="AJ309" s="248"/>
      <c r="AK309" s="194"/>
      <c r="AL309" s="249"/>
      <c r="AM309" s="250"/>
      <c r="AN309" s="251"/>
      <c r="AO309" s="252"/>
      <c r="AP309" s="241"/>
      <c r="AQ309" s="241"/>
      <c r="AR309" s="241"/>
      <c r="AS309" s="194"/>
      <c r="AT309" s="195"/>
      <c r="AU309" s="195"/>
    </row>
    <row r="310" spans="1:47">
      <c r="A310" s="253"/>
      <c r="B310" s="230"/>
      <c r="C310" s="245"/>
      <c r="D310" s="230"/>
      <c r="E310" s="230"/>
      <c r="F310" s="230"/>
      <c r="G310" s="228"/>
      <c r="H310" s="230"/>
      <c r="I310" s="230"/>
      <c r="J310" s="246"/>
      <c r="K310" s="230"/>
      <c r="L310" s="230"/>
      <c r="M310" s="230"/>
      <c r="N310" s="230"/>
      <c r="O310" s="230"/>
      <c r="P310" s="256"/>
      <c r="Q310" s="257"/>
      <c r="R310" s="228"/>
      <c r="S310" s="228"/>
      <c r="T310" s="245"/>
      <c r="U310" s="254"/>
      <c r="V310" s="254"/>
      <c r="W310" s="228"/>
      <c r="X310" s="255"/>
      <c r="Y310" s="248"/>
      <c r="Z310" s="248"/>
      <c r="AA310" s="228"/>
      <c r="AB310" s="228"/>
      <c r="AC310" s="228"/>
      <c r="AD310" s="228"/>
      <c r="AE310" s="248"/>
      <c r="AF310" s="247"/>
      <c r="AG310" s="228"/>
      <c r="AH310" s="228"/>
      <c r="AI310" s="248"/>
      <c r="AJ310" s="248"/>
      <c r="AK310" s="194"/>
      <c r="AL310" s="249"/>
      <c r="AM310" s="250"/>
      <c r="AN310" s="251"/>
      <c r="AO310" s="252"/>
      <c r="AP310" s="241"/>
      <c r="AQ310" s="241"/>
      <c r="AR310" s="241"/>
      <c r="AS310" s="194"/>
      <c r="AT310" s="195"/>
      <c r="AU310" s="195"/>
    </row>
    <row r="311" spans="1:47">
      <c r="A311" s="253"/>
      <c r="B311" s="230"/>
      <c r="C311" s="245"/>
      <c r="D311" s="230"/>
      <c r="E311" s="230"/>
      <c r="F311" s="230"/>
      <c r="G311" s="228"/>
      <c r="H311" s="230"/>
      <c r="I311" s="230"/>
      <c r="J311" s="246"/>
      <c r="K311" s="230"/>
      <c r="L311" s="230"/>
      <c r="M311" s="230"/>
      <c r="N311" s="230"/>
      <c r="O311" s="230"/>
      <c r="P311" s="256"/>
      <c r="Q311" s="257"/>
      <c r="R311" s="228"/>
      <c r="S311" s="228"/>
      <c r="T311" s="245"/>
      <c r="U311" s="254"/>
      <c r="V311" s="254"/>
      <c r="W311" s="228"/>
      <c r="X311" s="255"/>
      <c r="Y311" s="248"/>
      <c r="Z311" s="248"/>
      <c r="AA311" s="228"/>
      <c r="AB311" s="228"/>
      <c r="AC311" s="228"/>
      <c r="AD311" s="228"/>
      <c r="AE311" s="248"/>
      <c r="AF311" s="247"/>
      <c r="AG311" s="228"/>
      <c r="AH311" s="228"/>
      <c r="AI311" s="248"/>
      <c r="AJ311" s="248"/>
      <c r="AK311" s="194"/>
      <c r="AL311" s="249"/>
      <c r="AM311" s="250"/>
      <c r="AN311" s="251"/>
      <c r="AO311" s="252"/>
      <c r="AP311" s="241"/>
      <c r="AQ311" s="241"/>
      <c r="AR311" s="241"/>
      <c r="AS311" s="194"/>
      <c r="AT311" s="195"/>
      <c r="AU311" s="195"/>
    </row>
    <row r="312" spans="1:47">
      <c r="A312" s="253"/>
      <c r="B312" s="230"/>
      <c r="C312" s="245"/>
      <c r="D312" s="230"/>
      <c r="E312" s="230"/>
      <c r="F312" s="230"/>
      <c r="G312" s="228"/>
      <c r="H312" s="230"/>
      <c r="I312" s="230"/>
      <c r="J312" s="246"/>
      <c r="K312" s="230"/>
      <c r="L312" s="230"/>
      <c r="M312" s="230"/>
      <c r="N312" s="230"/>
      <c r="O312" s="230"/>
      <c r="P312" s="256"/>
      <c r="Q312" s="257"/>
      <c r="R312" s="228"/>
      <c r="S312" s="228"/>
      <c r="T312" s="245"/>
      <c r="U312" s="254"/>
      <c r="V312" s="254"/>
      <c r="W312" s="228"/>
      <c r="X312" s="255"/>
      <c r="Y312" s="248"/>
      <c r="Z312" s="248"/>
      <c r="AA312" s="228"/>
      <c r="AB312" s="228"/>
      <c r="AC312" s="228"/>
      <c r="AD312" s="228"/>
      <c r="AE312" s="248"/>
      <c r="AF312" s="247"/>
      <c r="AG312" s="228"/>
      <c r="AH312" s="228"/>
      <c r="AI312" s="248"/>
      <c r="AJ312" s="248"/>
      <c r="AK312" s="194"/>
      <c r="AL312" s="249"/>
      <c r="AM312" s="250"/>
      <c r="AN312" s="251"/>
      <c r="AO312" s="252"/>
      <c r="AP312" s="241"/>
      <c r="AQ312" s="241"/>
      <c r="AR312" s="241"/>
      <c r="AS312" s="194"/>
      <c r="AT312" s="195"/>
      <c r="AU312" s="195"/>
    </row>
    <row r="313" spans="1:47">
      <c r="A313" s="253"/>
      <c r="B313" s="230"/>
      <c r="C313" s="245"/>
      <c r="D313" s="230"/>
      <c r="E313" s="230"/>
      <c r="F313" s="230"/>
      <c r="G313" s="228"/>
      <c r="H313" s="230"/>
      <c r="I313" s="230"/>
      <c r="J313" s="246"/>
      <c r="K313" s="230"/>
      <c r="L313" s="230"/>
      <c r="M313" s="230"/>
      <c r="N313" s="230"/>
      <c r="O313" s="230"/>
      <c r="P313" s="256"/>
      <c r="Q313" s="257"/>
      <c r="R313" s="228"/>
      <c r="S313" s="228"/>
      <c r="T313" s="245"/>
      <c r="U313" s="254"/>
      <c r="V313" s="254"/>
      <c r="W313" s="228"/>
      <c r="X313" s="255"/>
      <c r="Y313" s="248"/>
      <c r="Z313" s="248"/>
      <c r="AA313" s="228"/>
      <c r="AB313" s="228"/>
      <c r="AC313" s="228"/>
      <c r="AD313" s="228"/>
      <c r="AE313" s="248"/>
      <c r="AF313" s="247"/>
      <c r="AG313" s="228"/>
      <c r="AH313" s="228"/>
      <c r="AI313" s="248"/>
      <c r="AJ313" s="248"/>
      <c r="AK313" s="194"/>
      <c r="AL313" s="249"/>
      <c r="AM313" s="250"/>
      <c r="AN313" s="251"/>
      <c r="AO313" s="252"/>
      <c r="AP313" s="241"/>
      <c r="AQ313" s="241"/>
      <c r="AR313" s="241"/>
      <c r="AS313" s="194"/>
      <c r="AT313" s="195"/>
      <c r="AU313" s="195"/>
    </row>
    <row r="314" spans="1:47">
      <c r="A314" s="253"/>
      <c r="B314" s="230"/>
      <c r="C314" s="245"/>
      <c r="D314" s="230"/>
      <c r="E314" s="230"/>
      <c r="F314" s="230"/>
      <c r="G314" s="228"/>
      <c r="H314" s="230"/>
      <c r="I314" s="230"/>
      <c r="J314" s="246"/>
      <c r="K314" s="230"/>
      <c r="L314" s="230"/>
      <c r="M314" s="230"/>
      <c r="N314" s="230"/>
      <c r="O314" s="230"/>
      <c r="P314" s="256"/>
      <c r="Q314" s="257"/>
      <c r="R314" s="228"/>
      <c r="S314" s="228"/>
      <c r="T314" s="245"/>
      <c r="U314" s="254"/>
      <c r="V314" s="254"/>
      <c r="W314" s="228"/>
      <c r="X314" s="255"/>
      <c r="Y314" s="248"/>
      <c r="Z314" s="248"/>
      <c r="AA314" s="228"/>
      <c r="AB314" s="228"/>
      <c r="AC314" s="228"/>
      <c r="AD314" s="228"/>
      <c r="AE314" s="248"/>
      <c r="AF314" s="247"/>
      <c r="AG314" s="228"/>
      <c r="AH314" s="228"/>
      <c r="AI314" s="248"/>
      <c r="AJ314" s="248"/>
      <c r="AK314" s="194"/>
      <c r="AL314" s="249"/>
      <c r="AM314" s="250"/>
      <c r="AN314" s="251"/>
      <c r="AO314" s="252"/>
      <c r="AP314" s="241"/>
      <c r="AQ314" s="241"/>
      <c r="AR314" s="241"/>
      <c r="AS314" s="194"/>
      <c r="AT314" s="195"/>
      <c r="AU314" s="195"/>
    </row>
    <row r="315" spans="1:47">
      <c r="A315" s="253"/>
      <c r="B315" s="230"/>
      <c r="C315" s="245"/>
      <c r="D315" s="230"/>
      <c r="E315" s="230"/>
      <c r="F315" s="230"/>
      <c r="G315" s="228"/>
      <c r="H315" s="230"/>
      <c r="I315" s="230"/>
      <c r="J315" s="246"/>
      <c r="K315" s="230"/>
      <c r="L315" s="230"/>
      <c r="M315" s="230"/>
      <c r="N315" s="230"/>
      <c r="O315" s="230"/>
      <c r="P315" s="256"/>
      <c r="Q315" s="257"/>
      <c r="R315" s="228"/>
      <c r="S315" s="228"/>
      <c r="T315" s="245"/>
      <c r="U315" s="254"/>
      <c r="V315" s="254"/>
      <c r="W315" s="228"/>
      <c r="X315" s="255"/>
      <c r="Y315" s="248"/>
      <c r="Z315" s="248"/>
      <c r="AA315" s="228"/>
      <c r="AB315" s="228"/>
      <c r="AC315" s="228"/>
      <c r="AD315" s="228"/>
      <c r="AE315" s="248"/>
      <c r="AF315" s="247"/>
      <c r="AG315" s="228"/>
      <c r="AH315" s="228"/>
      <c r="AI315" s="248"/>
      <c r="AJ315" s="248"/>
      <c r="AK315" s="194"/>
      <c r="AL315" s="249"/>
      <c r="AM315" s="250"/>
      <c r="AN315" s="251"/>
      <c r="AO315" s="252"/>
      <c r="AP315" s="241"/>
      <c r="AQ315" s="241"/>
      <c r="AR315" s="241"/>
      <c r="AS315" s="194"/>
      <c r="AT315" s="195"/>
      <c r="AU315" s="195"/>
    </row>
    <row r="316" spans="1:47">
      <c r="A316" s="253"/>
      <c r="B316" s="230"/>
      <c r="C316" s="245"/>
      <c r="D316" s="230"/>
      <c r="E316" s="230"/>
      <c r="F316" s="230"/>
      <c r="G316" s="228"/>
      <c r="H316" s="230"/>
      <c r="I316" s="230"/>
      <c r="J316" s="246"/>
      <c r="K316" s="230"/>
      <c r="L316" s="230"/>
      <c r="M316" s="230"/>
      <c r="N316" s="230"/>
      <c r="O316" s="230"/>
      <c r="P316" s="256"/>
      <c r="Q316" s="257"/>
      <c r="R316" s="228"/>
      <c r="S316" s="228"/>
      <c r="T316" s="245"/>
      <c r="U316" s="254"/>
      <c r="V316" s="254"/>
      <c r="W316" s="228"/>
      <c r="X316" s="255"/>
      <c r="Y316" s="248"/>
      <c r="Z316" s="248"/>
      <c r="AA316" s="228"/>
      <c r="AB316" s="228"/>
      <c r="AC316" s="228"/>
      <c r="AD316" s="228"/>
      <c r="AE316" s="248"/>
      <c r="AF316" s="247"/>
      <c r="AG316" s="228"/>
      <c r="AH316" s="228"/>
      <c r="AI316" s="248"/>
      <c r="AJ316" s="248"/>
      <c r="AK316" s="194"/>
      <c r="AL316" s="249"/>
      <c r="AM316" s="250"/>
      <c r="AN316" s="251"/>
      <c r="AO316" s="252"/>
      <c r="AP316" s="241"/>
      <c r="AQ316" s="241"/>
      <c r="AR316" s="241"/>
      <c r="AS316" s="194"/>
      <c r="AT316" s="195"/>
      <c r="AU316" s="195"/>
    </row>
    <row r="317" spans="1:47">
      <c r="A317" s="253"/>
      <c r="B317" s="230"/>
      <c r="C317" s="245"/>
      <c r="D317" s="230"/>
      <c r="E317" s="230"/>
      <c r="F317" s="230"/>
      <c r="G317" s="228"/>
      <c r="H317" s="230"/>
      <c r="I317" s="230"/>
      <c r="J317" s="246"/>
      <c r="K317" s="230"/>
      <c r="L317" s="230"/>
      <c r="M317" s="230"/>
      <c r="N317" s="230"/>
      <c r="O317" s="230"/>
      <c r="P317" s="256"/>
      <c r="Q317" s="257"/>
      <c r="R317" s="228"/>
      <c r="S317" s="228"/>
      <c r="T317" s="245"/>
      <c r="U317" s="254"/>
      <c r="V317" s="254"/>
      <c r="W317" s="228"/>
      <c r="X317" s="255"/>
      <c r="Y317" s="248"/>
      <c r="Z317" s="248"/>
      <c r="AA317" s="228"/>
      <c r="AB317" s="228"/>
      <c r="AC317" s="228"/>
      <c r="AD317" s="228"/>
      <c r="AE317" s="248"/>
      <c r="AF317" s="247"/>
      <c r="AG317" s="228"/>
      <c r="AH317" s="228"/>
      <c r="AI317" s="248"/>
      <c r="AJ317" s="248"/>
      <c r="AK317" s="194"/>
      <c r="AL317" s="249"/>
      <c r="AM317" s="250"/>
      <c r="AN317" s="251"/>
      <c r="AO317" s="252"/>
      <c r="AP317" s="241"/>
      <c r="AQ317" s="241"/>
      <c r="AR317" s="241"/>
      <c r="AS317" s="194"/>
      <c r="AT317" s="195"/>
      <c r="AU317" s="195"/>
    </row>
    <row r="318" spans="1:47">
      <c r="A318" s="253"/>
      <c r="B318" s="230"/>
      <c r="C318" s="245"/>
      <c r="D318" s="230"/>
      <c r="E318" s="230"/>
      <c r="F318" s="230"/>
      <c r="G318" s="228"/>
      <c r="H318" s="230"/>
      <c r="I318" s="230"/>
      <c r="J318" s="246"/>
      <c r="K318" s="230"/>
      <c r="L318" s="230"/>
      <c r="M318" s="230"/>
      <c r="N318" s="230"/>
      <c r="O318" s="230"/>
      <c r="P318" s="256"/>
      <c r="Q318" s="257"/>
      <c r="R318" s="228"/>
      <c r="S318" s="228"/>
      <c r="T318" s="245"/>
      <c r="U318" s="254"/>
      <c r="V318" s="254"/>
      <c r="W318" s="228"/>
      <c r="X318" s="255"/>
      <c r="Y318" s="248"/>
      <c r="Z318" s="248"/>
      <c r="AA318" s="228"/>
      <c r="AB318" s="228"/>
      <c r="AC318" s="228"/>
      <c r="AD318" s="228"/>
      <c r="AE318" s="248"/>
      <c r="AF318" s="247"/>
      <c r="AG318" s="228"/>
      <c r="AH318" s="228"/>
      <c r="AI318" s="248"/>
      <c r="AJ318" s="248"/>
      <c r="AK318" s="194"/>
      <c r="AL318" s="249"/>
      <c r="AM318" s="250"/>
      <c r="AN318" s="251"/>
      <c r="AO318" s="252"/>
      <c r="AP318" s="241"/>
      <c r="AQ318" s="241"/>
      <c r="AR318" s="241"/>
      <c r="AS318" s="194"/>
      <c r="AT318" s="195"/>
      <c r="AU318" s="195"/>
    </row>
    <row r="319" spans="1:47">
      <c r="A319" s="253"/>
      <c r="B319" s="230"/>
      <c r="C319" s="245"/>
      <c r="D319" s="230"/>
      <c r="E319" s="230"/>
      <c r="F319" s="230"/>
      <c r="G319" s="228"/>
      <c r="H319" s="230"/>
      <c r="I319" s="230"/>
      <c r="J319" s="246"/>
      <c r="K319" s="230"/>
      <c r="L319" s="230"/>
      <c r="M319" s="230"/>
      <c r="N319" s="230"/>
      <c r="O319" s="230"/>
      <c r="P319" s="256"/>
      <c r="Q319" s="257"/>
      <c r="R319" s="228"/>
      <c r="S319" s="228"/>
      <c r="T319" s="245"/>
      <c r="U319" s="254"/>
      <c r="V319" s="254"/>
      <c r="W319" s="228"/>
      <c r="X319" s="255"/>
      <c r="Y319" s="248"/>
      <c r="Z319" s="248"/>
      <c r="AA319" s="228"/>
      <c r="AB319" s="228"/>
      <c r="AC319" s="228"/>
      <c r="AD319" s="228"/>
      <c r="AE319" s="248"/>
      <c r="AF319" s="247"/>
      <c r="AG319" s="228"/>
      <c r="AH319" s="228"/>
      <c r="AI319" s="248"/>
      <c r="AJ319" s="248"/>
      <c r="AK319" s="194"/>
      <c r="AL319" s="249"/>
      <c r="AM319" s="250"/>
      <c r="AN319" s="251"/>
      <c r="AO319" s="252"/>
      <c r="AP319" s="241"/>
      <c r="AQ319" s="241"/>
      <c r="AR319" s="241"/>
      <c r="AS319" s="194"/>
      <c r="AT319" s="195"/>
      <c r="AU319" s="195"/>
    </row>
    <row r="320" spans="1:47">
      <c r="A320" s="253"/>
      <c r="B320" s="230"/>
      <c r="C320" s="245"/>
      <c r="D320" s="230"/>
      <c r="E320" s="230"/>
      <c r="F320" s="230"/>
      <c r="G320" s="228"/>
      <c r="H320" s="230"/>
      <c r="I320" s="230"/>
      <c r="J320" s="246"/>
      <c r="K320" s="230"/>
      <c r="L320" s="230"/>
      <c r="M320" s="230"/>
      <c r="N320" s="230"/>
      <c r="O320" s="230"/>
      <c r="P320" s="256"/>
      <c r="Q320" s="257"/>
      <c r="R320" s="228"/>
      <c r="S320" s="228"/>
      <c r="T320" s="245"/>
      <c r="U320" s="254"/>
      <c r="V320" s="254"/>
      <c r="W320" s="228"/>
      <c r="X320" s="255"/>
      <c r="Y320" s="248"/>
      <c r="Z320" s="248"/>
      <c r="AA320" s="228"/>
      <c r="AB320" s="228"/>
      <c r="AC320" s="228"/>
      <c r="AD320" s="228"/>
      <c r="AE320" s="248"/>
      <c r="AF320" s="247"/>
      <c r="AG320" s="228"/>
      <c r="AH320" s="228"/>
      <c r="AI320" s="248"/>
      <c r="AJ320" s="248"/>
      <c r="AK320" s="194"/>
      <c r="AL320" s="249"/>
      <c r="AM320" s="250"/>
      <c r="AN320" s="251"/>
      <c r="AO320" s="252"/>
      <c r="AP320" s="241"/>
      <c r="AQ320" s="241"/>
      <c r="AR320" s="241"/>
      <c r="AS320" s="194"/>
      <c r="AT320" s="195"/>
      <c r="AU320" s="195"/>
    </row>
    <row r="321" spans="1:47">
      <c r="A321" s="253"/>
      <c r="B321" s="230"/>
      <c r="C321" s="245"/>
      <c r="D321" s="230"/>
      <c r="E321" s="230"/>
      <c r="F321" s="230"/>
      <c r="G321" s="228"/>
      <c r="H321" s="230"/>
      <c r="I321" s="230"/>
      <c r="J321" s="246"/>
      <c r="K321" s="230"/>
      <c r="L321" s="230"/>
      <c r="M321" s="230"/>
      <c r="N321" s="230"/>
      <c r="O321" s="230"/>
      <c r="P321" s="256"/>
      <c r="Q321" s="257"/>
      <c r="R321" s="228"/>
      <c r="S321" s="228"/>
      <c r="T321" s="245"/>
      <c r="U321" s="254"/>
      <c r="V321" s="254"/>
      <c r="W321" s="228"/>
      <c r="X321" s="255"/>
      <c r="Y321" s="248"/>
      <c r="Z321" s="248"/>
      <c r="AA321" s="228"/>
      <c r="AB321" s="228"/>
      <c r="AC321" s="228"/>
      <c r="AD321" s="228"/>
      <c r="AE321" s="248"/>
      <c r="AF321" s="247"/>
      <c r="AG321" s="228"/>
      <c r="AH321" s="228"/>
      <c r="AI321" s="248"/>
      <c r="AJ321" s="248"/>
      <c r="AK321" s="194"/>
      <c r="AL321" s="249"/>
      <c r="AM321" s="250"/>
      <c r="AN321" s="251"/>
      <c r="AO321" s="252"/>
      <c r="AP321" s="241"/>
      <c r="AQ321" s="241"/>
      <c r="AR321" s="241"/>
      <c r="AS321" s="194"/>
      <c r="AT321" s="195"/>
      <c r="AU321" s="195"/>
    </row>
    <row r="322" spans="1:47">
      <c r="A322" s="253"/>
      <c r="B322" s="230"/>
      <c r="C322" s="245"/>
      <c r="D322" s="230"/>
      <c r="E322" s="230"/>
      <c r="F322" s="230"/>
      <c r="G322" s="228"/>
      <c r="H322" s="230"/>
      <c r="I322" s="230"/>
      <c r="J322" s="246"/>
      <c r="K322" s="230"/>
      <c r="L322" s="230"/>
      <c r="M322" s="230"/>
      <c r="N322" s="230"/>
      <c r="O322" s="230"/>
      <c r="P322" s="256"/>
      <c r="Q322" s="257"/>
      <c r="R322" s="228"/>
      <c r="S322" s="228"/>
      <c r="T322" s="245"/>
      <c r="U322" s="254"/>
      <c r="V322" s="254"/>
      <c r="W322" s="228"/>
      <c r="X322" s="255"/>
      <c r="Y322" s="248"/>
      <c r="Z322" s="248"/>
      <c r="AA322" s="228"/>
      <c r="AB322" s="228"/>
      <c r="AC322" s="228"/>
      <c r="AD322" s="228"/>
      <c r="AE322" s="248"/>
      <c r="AF322" s="247"/>
      <c r="AG322" s="228"/>
      <c r="AH322" s="228"/>
      <c r="AI322" s="248"/>
      <c r="AJ322" s="248"/>
      <c r="AK322" s="194"/>
      <c r="AL322" s="249"/>
      <c r="AM322" s="250"/>
      <c r="AN322" s="251"/>
      <c r="AO322" s="252"/>
      <c r="AP322" s="241"/>
      <c r="AQ322" s="241"/>
      <c r="AR322" s="241"/>
      <c r="AS322" s="194"/>
      <c r="AT322" s="195"/>
      <c r="AU322" s="195"/>
    </row>
    <row r="323" spans="1:47">
      <c r="A323" s="253"/>
      <c r="B323" s="230"/>
      <c r="C323" s="245"/>
      <c r="D323" s="230"/>
      <c r="E323" s="230"/>
      <c r="F323" s="230"/>
      <c r="G323" s="228"/>
      <c r="H323" s="230"/>
      <c r="I323" s="230"/>
      <c r="J323" s="246"/>
      <c r="K323" s="230"/>
      <c r="L323" s="230"/>
      <c r="M323" s="230"/>
      <c r="N323" s="230"/>
      <c r="O323" s="230"/>
      <c r="P323" s="256"/>
      <c r="Q323" s="257"/>
      <c r="R323" s="228"/>
      <c r="S323" s="228"/>
      <c r="T323" s="245"/>
      <c r="U323" s="254"/>
      <c r="V323" s="254"/>
      <c r="W323" s="228"/>
      <c r="X323" s="255"/>
      <c r="Y323" s="248"/>
      <c r="Z323" s="248"/>
      <c r="AA323" s="228"/>
      <c r="AB323" s="228"/>
      <c r="AC323" s="228"/>
      <c r="AD323" s="228"/>
      <c r="AE323" s="248"/>
      <c r="AF323" s="247"/>
      <c r="AG323" s="228"/>
      <c r="AH323" s="228"/>
      <c r="AI323" s="248"/>
      <c r="AJ323" s="248"/>
      <c r="AK323" s="194"/>
      <c r="AL323" s="249"/>
      <c r="AM323" s="250"/>
      <c r="AN323" s="251"/>
      <c r="AO323" s="252"/>
      <c r="AP323" s="241"/>
      <c r="AQ323" s="241"/>
      <c r="AR323" s="241"/>
      <c r="AS323" s="194"/>
      <c r="AT323" s="195"/>
      <c r="AU323" s="195"/>
    </row>
    <row r="324" spans="1:47">
      <c r="A324" s="253"/>
      <c r="B324" s="230"/>
      <c r="C324" s="245"/>
      <c r="D324" s="230"/>
      <c r="E324" s="230"/>
      <c r="F324" s="230"/>
      <c r="G324" s="228"/>
      <c r="H324" s="230"/>
      <c r="I324" s="230"/>
      <c r="J324" s="246"/>
      <c r="K324" s="230"/>
      <c r="L324" s="230"/>
      <c r="M324" s="230"/>
      <c r="N324" s="230"/>
      <c r="O324" s="230"/>
      <c r="P324" s="256"/>
      <c r="Q324" s="257"/>
      <c r="R324" s="228"/>
      <c r="S324" s="228"/>
      <c r="T324" s="245"/>
      <c r="U324" s="254"/>
      <c r="V324" s="254"/>
      <c r="W324" s="228"/>
      <c r="X324" s="255"/>
      <c r="Y324" s="248"/>
      <c r="Z324" s="248"/>
      <c r="AA324" s="228"/>
      <c r="AB324" s="228"/>
      <c r="AC324" s="228"/>
      <c r="AD324" s="228"/>
      <c r="AE324" s="248"/>
      <c r="AF324" s="247"/>
      <c r="AG324" s="228"/>
      <c r="AH324" s="228"/>
      <c r="AI324" s="248"/>
      <c r="AJ324" s="248"/>
      <c r="AK324" s="194"/>
      <c r="AL324" s="249"/>
      <c r="AM324" s="250"/>
      <c r="AN324" s="251"/>
      <c r="AO324" s="252"/>
      <c r="AP324" s="241"/>
      <c r="AQ324" s="241"/>
      <c r="AR324" s="241"/>
      <c r="AS324" s="194"/>
      <c r="AT324" s="195"/>
      <c r="AU324" s="195"/>
    </row>
    <row r="325" spans="1:47">
      <c r="A325" s="253"/>
      <c r="B325" s="230"/>
      <c r="C325" s="245"/>
      <c r="D325" s="230"/>
      <c r="E325" s="230"/>
      <c r="F325" s="230"/>
      <c r="G325" s="228"/>
      <c r="H325" s="230"/>
      <c r="I325" s="230"/>
      <c r="J325" s="246"/>
      <c r="K325" s="230"/>
      <c r="L325" s="230"/>
      <c r="M325" s="230"/>
      <c r="N325" s="230"/>
      <c r="O325" s="230"/>
      <c r="P325" s="256"/>
      <c r="Q325" s="257"/>
      <c r="R325" s="228"/>
      <c r="S325" s="228"/>
      <c r="T325" s="245"/>
      <c r="U325" s="254"/>
      <c r="V325" s="254"/>
      <c r="W325" s="228"/>
      <c r="X325" s="255"/>
      <c r="Y325" s="248"/>
      <c r="Z325" s="248"/>
      <c r="AA325" s="228"/>
      <c r="AB325" s="228"/>
      <c r="AC325" s="228"/>
      <c r="AD325" s="228"/>
      <c r="AE325" s="248"/>
      <c r="AF325" s="247"/>
      <c r="AG325" s="228"/>
      <c r="AH325" s="228"/>
      <c r="AI325" s="248"/>
      <c r="AJ325" s="248"/>
      <c r="AK325" s="194"/>
      <c r="AL325" s="249"/>
      <c r="AM325" s="250"/>
      <c r="AN325" s="251"/>
      <c r="AO325" s="252"/>
      <c r="AP325" s="241"/>
      <c r="AQ325" s="241"/>
      <c r="AR325" s="241"/>
      <c r="AS325" s="194"/>
      <c r="AT325" s="195"/>
      <c r="AU325" s="195"/>
    </row>
    <row r="326" spans="1:47">
      <c r="A326" s="253"/>
      <c r="B326" s="230"/>
      <c r="C326" s="245"/>
      <c r="D326" s="230"/>
      <c r="E326" s="230"/>
      <c r="F326" s="230"/>
      <c r="G326" s="228"/>
      <c r="H326" s="230"/>
      <c r="I326" s="230"/>
      <c r="J326" s="246"/>
      <c r="K326" s="230"/>
      <c r="L326" s="230"/>
      <c r="M326" s="230"/>
      <c r="N326" s="230"/>
      <c r="O326" s="230"/>
      <c r="P326" s="256"/>
      <c r="Q326" s="257"/>
      <c r="R326" s="228"/>
      <c r="S326" s="228"/>
      <c r="T326" s="245"/>
      <c r="U326" s="254"/>
      <c r="V326" s="254"/>
      <c r="W326" s="228"/>
      <c r="X326" s="255"/>
      <c r="Y326" s="248"/>
      <c r="Z326" s="248"/>
      <c r="AA326" s="228"/>
      <c r="AB326" s="228"/>
      <c r="AC326" s="228"/>
      <c r="AD326" s="228"/>
      <c r="AE326" s="248"/>
      <c r="AF326" s="247"/>
      <c r="AG326" s="228"/>
      <c r="AH326" s="228"/>
      <c r="AI326" s="248"/>
      <c r="AJ326" s="248"/>
      <c r="AK326" s="194"/>
      <c r="AL326" s="249"/>
      <c r="AM326" s="250"/>
      <c r="AN326" s="251"/>
      <c r="AO326" s="252"/>
      <c r="AP326" s="241"/>
      <c r="AQ326" s="241"/>
      <c r="AR326" s="241"/>
      <c r="AS326" s="194"/>
      <c r="AT326" s="195"/>
      <c r="AU326" s="195"/>
    </row>
    <row r="327" spans="1:47">
      <c r="A327" s="253"/>
      <c r="B327" s="230"/>
      <c r="C327" s="245"/>
      <c r="D327" s="230"/>
      <c r="E327" s="230"/>
      <c r="F327" s="230"/>
      <c r="G327" s="228"/>
      <c r="H327" s="230"/>
      <c r="I327" s="230"/>
      <c r="J327" s="246"/>
      <c r="K327" s="230"/>
      <c r="L327" s="230"/>
      <c r="M327" s="230"/>
      <c r="N327" s="230"/>
      <c r="O327" s="230"/>
      <c r="P327" s="256"/>
      <c r="Q327" s="257"/>
      <c r="R327" s="228"/>
      <c r="S327" s="228"/>
      <c r="T327" s="245"/>
      <c r="U327" s="254"/>
      <c r="V327" s="254"/>
      <c r="W327" s="228"/>
      <c r="X327" s="255"/>
      <c r="Y327" s="248"/>
      <c r="Z327" s="248"/>
      <c r="AA327" s="228"/>
      <c r="AB327" s="228"/>
      <c r="AC327" s="228"/>
      <c r="AD327" s="228"/>
      <c r="AE327" s="248"/>
      <c r="AF327" s="247"/>
      <c r="AG327" s="228"/>
      <c r="AH327" s="228"/>
      <c r="AI327" s="248"/>
      <c r="AJ327" s="248"/>
      <c r="AK327" s="194"/>
      <c r="AL327" s="249"/>
      <c r="AM327" s="250"/>
      <c r="AN327" s="251"/>
      <c r="AO327" s="252"/>
      <c r="AP327" s="241"/>
      <c r="AQ327" s="241"/>
      <c r="AR327" s="241"/>
      <c r="AS327" s="194"/>
      <c r="AT327" s="195"/>
      <c r="AU327" s="195"/>
    </row>
    <row r="328" spans="1:47">
      <c r="A328" s="253"/>
      <c r="B328" s="230"/>
      <c r="C328" s="245"/>
      <c r="D328" s="230"/>
      <c r="E328" s="230"/>
      <c r="F328" s="230"/>
      <c r="G328" s="228"/>
      <c r="H328" s="230"/>
      <c r="I328" s="230"/>
      <c r="J328" s="246"/>
      <c r="K328" s="230"/>
      <c r="L328" s="230"/>
      <c r="M328" s="230"/>
      <c r="N328" s="230"/>
      <c r="O328" s="230"/>
      <c r="P328" s="256"/>
      <c r="Q328" s="257"/>
      <c r="R328" s="228"/>
      <c r="S328" s="228"/>
      <c r="T328" s="245"/>
      <c r="U328" s="254"/>
      <c r="V328" s="254"/>
      <c r="W328" s="228"/>
      <c r="X328" s="255"/>
      <c r="Y328" s="248"/>
      <c r="Z328" s="248"/>
      <c r="AA328" s="228"/>
      <c r="AB328" s="228"/>
      <c r="AC328" s="228"/>
      <c r="AD328" s="228"/>
      <c r="AE328" s="248"/>
      <c r="AF328" s="247"/>
      <c r="AG328" s="228"/>
      <c r="AH328" s="228"/>
      <c r="AI328" s="248"/>
      <c r="AJ328" s="248"/>
      <c r="AK328" s="194"/>
      <c r="AL328" s="249"/>
      <c r="AM328" s="250"/>
      <c r="AN328" s="251"/>
      <c r="AO328" s="252"/>
      <c r="AP328" s="241"/>
      <c r="AQ328" s="241"/>
      <c r="AR328" s="241"/>
      <c r="AS328" s="194"/>
      <c r="AT328" s="195"/>
      <c r="AU328" s="195"/>
    </row>
    <row r="329" spans="1:47">
      <c r="A329" s="253"/>
      <c r="B329" s="230"/>
      <c r="C329" s="245"/>
      <c r="D329" s="230"/>
      <c r="E329" s="230"/>
      <c r="F329" s="230"/>
      <c r="G329" s="228"/>
      <c r="H329" s="230"/>
      <c r="I329" s="230"/>
      <c r="J329" s="246"/>
      <c r="K329" s="230"/>
      <c r="L329" s="230"/>
      <c r="M329" s="230"/>
      <c r="N329" s="230"/>
      <c r="O329" s="230"/>
      <c r="P329" s="256"/>
      <c r="Q329" s="257"/>
      <c r="R329" s="228"/>
      <c r="S329" s="228"/>
      <c r="T329" s="245"/>
      <c r="U329" s="254"/>
      <c r="V329" s="254"/>
      <c r="W329" s="228"/>
      <c r="X329" s="255"/>
      <c r="Y329" s="248"/>
      <c r="Z329" s="248"/>
      <c r="AA329" s="228"/>
      <c r="AB329" s="228"/>
      <c r="AC329" s="228"/>
      <c r="AD329" s="228"/>
      <c r="AE329" s="248"/>
      <c r="AF329" s="247"/>
      <c r="AG329" s="228"/>
      <c r="AH329" s="228"/>
      <c r="AI329" s="248"/>
      <c r="AJ329" s="248"/>
      <c r="AK329" s="194"/>
      <c r="AL329" s="249"/>
      <c r="AM329" s="250"/>
      <c r="AN329" s="251"/>
      <c r="AO329" s="252"/>
      <c r="AP329" s="241"/>
      <c r="AQ329" s="241"/>
      <c r="AR329" s="241"/>
      <c r="AS329" s="194"/>
      <c r="AT329" s="195"/>
      <c r="AU329" s="195"/>
    </row>
    <row r="330" spans="1:47">
      <c r="A330" s="253"/>
      <c r="B330" s="230"/>
      <c r="C330" s="245"/>
      <c r="D330" s="230"/>
      <c r="E330" s="230"/>
      <c r="F330" s="230"/>
      <c r="G330" s="228"/>
      <c r="H330" s="230"/>
      <c r="I330" s="230"/>
      <c r="J330" s="246"/>
      <c r="K330" s="230"/>
      <c r="L330" s="230"/>
      <c r="M330" s="230"/>
      <c r="N330" s="230"/>
      <c r="O330" s="230"/>
      <c r="P330" s="256"/>
      <c r="Q330" s="257"/>
      <c r="R330" s="228"/>
      <c r="S330" s="228"/>
      <c r="T330" s="245"/>
      <c r="U330" s="254"/>
      <c r="V330" s="254"/>
      <c r="W330" s="228"/>
      <c r="X330" s="255"/>
      <c r="Y330" s="248"/>
      <c r="Z330" s="248"/>
      <c r="AA330" s="228"/>
      <c r="AB330" s="228"/>
      <c r="AC330" s="228"/>
      <c r="AD330" s="228"/>
      <c r="AE330" s="248"/>
      <c r="AF330" s="247"/>
      <c r="AG330" s="228"/>
      <c r="AH330" s="228"/>
      <c r="AI330" s="248"/>
      <c r="AJ330" s="248"/>
      <c r="AK330" s="194"/>
      <c r="AL330" s="249"/>
      <c r="AM330" s="250"/>
      <c r="AN330" s="251"/>
      <c r="AO330" s="252"/>
      <c r="AP330" s="241"/>
      <c r="AQ330" s="241"/>
      <c r="AR330" s="241"/>
      <c r="AS330" s="194"/>
      <c r="AT330" s="195"/>
      <c r="AU330" s="195"/>
    </row>
    <row r="331" spans="1:47">
      <c r="A331" s="253"/>
      <c r="B331" s="230"/>
      <c r="C331" s="245"/>
      <c r="D331" s="230"/>
      <c r="E331" s="230"/>
      <c r="F331" s="230"/>
      <c r="G331" s="228"/>
      <c r="H331" s="230"/>
      <c r="I331" s="230"/>
      <c r="J331" s="246"/>
      <c r="K331" s="230"/>
      <c r="L331" s="230"/>
      <c r="M331" s="230"/>
      <c r="N331" s="230"/>
      <c r="O331" s="230"/>
      <c r="P331" s="256"/>
      <c r="Q331" s="257"/>
      <c r="R331" s="228"/>
      <c r="S331" s="228"/>
      <c r="T331" s="245"/>
      <c r="U331" s="254"/>
      <c r="V331" s="254"/>
      <c r="W331" s="228"/>
      <c r="X331" s="255"/>
      <c r="Y331" s="248"/>
      <c r="Z331" s="248"/>
      <c r="AA331" s="228"/>
      <c r="AB331" s="228"/>
      <c r="AC331" s="228"/>
      <c r="AD331" s="228"/>
      <c r="AE331" s="248"/>
      <c r="AF331" s="247"/>
      <c r="AG331" s="228"/>
      <c r="AH331" s="228"/>
      <c r="AI331" s="248"/>
      <c r="AJ331" s="248"/>
      <c r="AK331" s="194"/>
      <c r="AL331" s="249"/>
      <c r="AM331" s="250"/>
      <c r="AN331" s="251"/>
      <c r="AO331" s="252"/>
      <c r="AP331" s="241"/>
      <c r="AQ331" s="241"/>
      <c r="AR331" s="241"/>
      <c r="AS331" s="194"/>
      <c r="AT331" s="195"/>
      <c r="AU331" s="195"/>
    </row>
    <row r="332" spans="1:47">
      <c r="A332" s="253"/>
      <c r="B332" s="230"/>
      <c r="C332" s="245"/>
      <c r="D332" s="230"/>
      <c r="E332" s="230"/>
      <c r="F332" s="230"/>
      <c r="G332" s="228"/>
      <c r="H332" s="230"/>
      <c r="I332" s="230"/>
      <c r="J332" s="246"/>
      <c r="K332" s="230"/>
      <c r="L332" s="230"/>
      <c r="M332" s="230"/>
      <c r="N332" s="230"/>
      <c r="O332" s="230"/>
      <c r="P332" s="256"/>
      <c r="Q332" s="257"/>
      <c r="R332" s="228"/>
      <c r="S332" s="228"/>
      <c r="T332" s="245"/>
      <c r="U332" s="254"/>
      <c r="V332" s="254"/>
      <c r="W332" s="228"/>
      <c r="X332" s="255"/>
      <c r="Y332" s="248"/>
      <c r="Z332" s="248"/>
      <c r="AA332" s="228"/>
      <c r="AB332" s="228"/>
      <c r="AC332" s="228"/>
      <c r="AD332" s="228"/>
      <c r="AE332" s="248"/>
      <c r="AF332" s="247"/>
      <c r="AG332" s="228"/>
      <c r="AH332" s="228"/>
      <c r="AI332" s="248"/>
      <c r="AJ332" s="248"/>
      <c r="AK332" s="194"/>
      <c r="AL332" s="249"/>
      <c r="AM332" s="250"/>
      <c r="AN332" s="251"/>
      <c r="AO332" s="252"/>
      <c r="AP332" s="241"/>
      <c r="AQ332" s="241"/>
      <c r="AR332" s="241"/>
      <c r="AS332" s="194"/>
      <c r="AT332" s="195"/>
      <c r="AU332" s="195"/>
    </row>
    <row r="333" spans="1:47">
      <c r="A333" s="253"/>
      <c r="B333" s="230"/>
      <c r="C333" s="245"/>
      <c r="D333" s="230"/>
      <c r="E333" s="230"/>
      <c r="F333" s="230"/>
      <c r="G333" s="228"/>
      <c r="H333" s="230"/>
      <c r="I333" s="230"/>
      <c r="J333" s="246"/>
      <c r="K333" s="230"/>
      <c r="L333" s="230"/>
      <c r="M333" s="230"/>
      <c r="N333" s="230"/>
      <c r="O333" s="230"/>
      <c r="P333" s="256"/>
      <c r="Q333" s="257"/>
      <c r="R333" s="228"/>
      <c r="S333" s="228"/>
      <c r="T333" s="245"/>
      <c r="U333" s="254"/>
      <c r="V333" s="254"/>
      <c r="W333" s="228"/>
      <c r="X333" s="255"/>
      <c r="Y333" s="248"/>
      <c r="Z333" s="248"/>
      <c r="AA333" s="228"/>
      <c r="AB333" s="228"/>
      <c r="AC333" s="228"/>
      <c r="AD333" s="228"/>
      <c r="AE333" s="248"/>
      <c r="AF333" s="247"/>
      <c r="AG333" s="228"/>
      <c r="AH333" s="228"/>
      <c r="AI333" s="248"/>
      <c r="AJ333" s="248"/>
      <c r="AK333" s="194"/>
      <c r="AL333" s="249"/>
      <c r="AM333" s="250"/>
      <c r="AN333" s="251"/>
      <c r="AO333" s="252"/>
      <c r="AP333" s="241"/>
      <c r="AQ333" s="241"/>
      <c r="AR333" s="241"/>
      <c r="AS333" s="194"/>
      <c r="AT333" s="195"/>
      <c r="AU333" s="195"/>
    </row>
    <row r="334" spans="1:47">
      <c r="A334" s="253"/>
      <c r="B334" s="230"/>
      <c r="C334" s="245"/>
      <c r="D334" s="230"/>
      <c r="E334" s="230"/>
      <c r="F334" s="230"/>
      <c r="G334" s="228"/>
      <c r="H334" s="230"/>
      <c r="I334" s="230"/>
      <c r="J334" s="246"/>
      <c r="K334" s="230"/>
      <c r="L334" s="230"/>
      <c r="M334" s="230"/>
      <c r="N334" s="230"/>
      <c r="O334" s="230"/>
      <c r="P334" s="256"/>
      <c r="Q334" s="257"/>
      <c r="R334" s="228"/>
      <c r="S334" s="228"/>
      <c r="T334" s="245"/>
      <c r="U334" s="254"/>
      <c r="V334" s="254"/>
      <c r="W334" s="228"/>
      <c r="X334" s="255"/>
      <c r="Y334" s="248"/>
      <c r="Z334" s="248"/>
      <c r="AA334" s="228"/>
      <c r="AB334" s="228"/>
      <c r="AC334" s="228"/>
      <c r="AD334" s="228"/>
      <c r="AE334" s="248"/>
      <c r="AF334" s="247"/>
      <c r="AG334" s="228"/>
      <c r="AH334" s="228"/>
      <c r="AI334" s="248"/>
      <c r="AJ334" s="248"/>
      <c r="AK334" s="194"/>
      <c r="AL334" s="249"/>
      <c r="AM334" s="250"/>
      <c r="AN334" s="251"/>
      <c r="AO334" s="252"/>
      <c r="AP334" s="241"/>
      <c r="AQ334" s="241"/>
      <c r="AR334" s="241"/>
      <c r="AS334" s="194"/>
      <c r="AT334" s="195"/>
      <c r="AU334" s="195"/>
    </row>
    <row r="335" spans="1:47">
      <c r="A335" s="253"/>
      <c r="B335" s="230"/>
      <c r="C335" s="245"/>
      <c r="D335" s="230"/>
      <c r="E335" s="230"/>
      <c r="F335" s="230"/>
      <c r="G335" s="228"/>
      <c r="H335" s="230"/>
      <c r="I335" s="230"/>
      <c r="J335" s="246"/>
      <c r="K335" s="230"/>
      <c r="L335" s="230"/>
      <c r="M335" s="230"/>
      <c r="N335" s="230"/>
      <c r="O335" s="230"/>
      <c r="P335" s="256"/>
      <c r="Q335" s="257"/>
      <c r="R335" s="228"/>
      <c r="S335" s="228"/>
      <c r="T335" s="245"/>
      <c r="U335" s="254"/>
      <c r="V335" s="254"/>
      <c r="W335" s="228"/>
      <c r="X335" s="255"/>
      <c r="Y335" s="248"/>
      <c r="Z335" s="248"/>
      <c r="AA335" s="228"/>
      <c r="AB335" s="228"/>
      <c r="AC335" s="228"/>
      <c r="AD335" s="228"/>
      <c r="AE335" s="248"/>
      <c r="AF335" s="247"/>
      <c r="AG335" s="228"/>
      <c r="AH335" s="228"/>
      <c r="AI335" s="248"/>
      <c r="AJ335" s="248"/>
      <c r="AK335" s="194"/>
      <c r="AL335" s="249"/>
      <c r="AM335" s="250"/>
      <c r="AN335" s="251"/>
      <c r="AO335" s="252"/>
      <c r="AP335" s="241"/>
      <c r="AQ335" s="241"/>
      <c r="AR335" s="241"/>
      <c r="AS335" s="194"/>
      <c r="AT335" s="195"/>
      <c r="AU335" s="195"/>
    </row>
    <row r="336" spans="1:47">
      <c r="A336" s="253"/>
      <c r="B336" s="230"/>
      <c r="C336" s="245"/>
      <c r="D336" s="230"/>
      <c r="E336" s="230"/>
      <c r="F336" s="230"/>
      <c r="G336" s="228"/>
      <c r="H336" s="230"/>
      <c r="I336" s="230"/>
      <c r="J336" s="246"/>
      <c r="K336" s="230"/>
      <c r="L336" s="230"/>
      <c r="M336" s="230"/>
      <c r="N336" s="230"/>
      <c r="O336" s="230"/>
      <c r="P336" s="256"/>
      <c r="Q336" s="257"/>
      <c r="R336" s="228"/>
      <c r="S336" s="228"/>
      <c r="T336" s="245"/>
      <c r="U336" s="254"/>
      <c r="V336" s="254"/>
      <c r="W336" s="228"/>
      <c r="X336" s="255"/>
      <c r="Y336" s="248"/>
      <c r="Z336" s="248"/>
      <c r="AA336" s="228"/>
      <c r="AB336" s="228"/>
      <c r="AC336" s="228"/>
      <c r="AD336" s="228"/>
      <c r="AE336" s="248"/>
      <c r="AF336" s="247"/>
      <c r="AG336" s="228"/>
      <c r="AH336" s="228"/>
      <c r="AI336" s="248"/>
      <c r="AJ336" s="248"/>
      <c r="AK336" s="194"/>
      <c r="AL336" s="249"/>
      <c r="AM336" s="250"/>
      <c r="AN336" s="251"/>
      <c r="AO336" s="252"/>
      <c r="AP336" s="241"/>
      <c r="AQ336" s="241"/>
      <c r="AR336" s="241"/>
      <c r="AS336" s="194"/>
      <c r="AT336" s="195"/>
      <c r="AU336" s="195"/>
    </row>
    <row r="337" spans="1:47">
      <c r="A337" s="253"/>
      <c r="B337" s="230"/>
      <c r="C337" s="245"/>
      <c r="D337" s="230"/>
      <c r="E337" s="230"/>
      <c r="F337" s="230"/>
      <c r="G337" s="228"/>
      <c r="H337" s="230"/>
      <c r="I337" s="230"/>
      <c r="J337" s="246"/>
      <c r="K337" s="230"/>
      <c r="L337" s="230"/>
      <c r="M337" s="230"/>
      <c r="N337" s="230"/>
      <c r="O337" s="230"/>
      <c r="P337" s="256"/>
      <c r="Q337" s="257"/>
      <c r="R337" s="228"/>
      <c r="S337" s="228"/>
      <c r="T337" s="245"/>
      <c r="U337" s="254"/>
      <c r="V337" s="254"/>
      <c r="W337" s="228"/>
      <c r="X337" s="255"/>
      <c r="Y337" s="248"/>
      <c r="Z337" s="248"/>
      <c r="AA337" s="228"/>
      <c r="AB337" s="228"/>
      <c r="AC337" s="228"/>
      <c r="AD337" s="228"/>
      <c r="AE337" s="248"/>
      <c r="AF337" s="247"/>
      <c r="AG337" s="228"/>
      <c r="AH337" s="228"/>
      <c r="AI337" s="248"/>
      <c r="AJ337" s="248"/>
      <c r="AK337" s="194"/>
      <c r="AL337" s="249"/>
      <c r="AM337" s="250"/>
      <c r="AN337" s="251"/>
      <c r="AO337" s="252"/>
      <c r="AP337" s="241"/>
      <c r="AQ337" s="241"/>
      <c r="AR337" s="241"/>
      <c r="AS337" s="194"/>
      <c r="AT337" s="195"/>
      <c r="AU337" s="195"/>
    </row>
    <row r="338" spans="1:47">
      <c r="A338" s="253"/>
      <c r="B338" s="230"/>
      <c r="C338" s="245"/>
      <c r="D338" s="230"/>
      <c r="E338" s="230"/>
      <c r="F338" s="230"/>
      <c r="G338" s="228"/>
      <c r="H338" s="230"/>
      <c r="I338" s="230"/>
      <c r="J338" s="246"/>
      <c r="K338" s="230"/>
      <c r="L338" s="230"/>
      <c r="M338" s="230"/>
      <c r="N338" s="230"/>
      <c r="O338" s="230"/>
      <c r="P338" s="256"/>
      <c r="Q338" s="257"/>
      <c r="R338" s="228"/>
      <c r="S338" s="228"/>
      <c r="T338" s="245"/>
      <c r="U338" s="254"/>
      <c r="V338" s="254"/>
      <c r="W338" s="228"/>
      <c r="X338" s="255"/>
      <c r="Y338" s="248"/>
      <c r="Z338" s="248"/>
      <c r="AA338" s="228"/>
      <c r="AB338" s="228"/>
      <c r="AC338" s="228"/>
      <c r="AD338" s="228"/>
      <c r="AE338" s="248"/>
      <c r="AF338" s="247"/>
      <c r="AG338" s="228"/>
      <c r="AH338" s="228"/>
      <c r="AI338" s="248"/>
      <c r="AJ338" s="248"/>
      <c r="AK338" s="194"/>
      <c r="AL338" s="249"/>
      <c r="AM338" s="250"/>
      <c r="AN338" s="251"/>
      <c r="AO338" s="252"/>
      <c r="AP338" s="241"/>
      <c r="AQ338" s="241"/>
      <c r="AR338" s="241"/>
      <c r="AS338" s="194"/>
      <c r="AT338" s="195"/>
      <c r="AU338" s="195"/>
    </row>
    <row r="339" spans="1:47">
      <c r="A339" s="253"/>
      <c r="B339" s="230"/>
      <c r="C339" s="245"/>
      <c r="D339" s="230"/>
      <c r="E339" s="230"/>
      <c r="F339" s="230"/>
      <c r="G339" s="228"/>
      <c r="H339" s="230"/>
      <c r="I339" s="230"/>
      <c r="J339" s="246"/>
      <c r="K339" s="230"/>
      <c r="L339" s="230"/>
      <c r="M339" s="230"/>
      <c r="N339" s="230"/>
      <c r="O339" s="230"/>
      <c r="P339" s="256"/>
      <c r="Q339" s="257"/>
      <c r="R339" s="228"/>
      <c r="S339" s="228"/>
      <c r="T339" s="245"/>
      <c r="U339" s="254"/>
      <c r="V339" s="254"/>
      <c r="W339" s="228"/>
      <c r="X339" s="255"/>
      <c r="Y339" s="248"/>
      <c r="Z339" s="248"/>
      <c r="AA339" s="228"/>
      <c r="AB339" s="228"/>
      <c r="AC339" s="228"/>
      <c r="AD339" s="228"/>
      <c r="AE339" s="248"/>
      <c r="AF339" s="247"/>
      <c r="AG339" s="228"/>
      <c r="AH339" s="228"/>
      <c r="AI339" s="248"/>
      <c r="AJ339" s="248"/>
      <c r="AK339" s="194"/>
      <c r="AL339" s="249"/>
      <c r="AM339" s="250"/>
      <c r="AN339" s="251"/>
      <c r="AO339" s="252"/>
      <c r="AP339" s="241"/>
      <c r="AQ339" s="241"/>
      <c r="AR339" s="241"/>
      <c r="AS339" s="194"/>
      <c r="AT339" s="195"/>
      <c r="AU339" s="195"/>
    </row>
    <row r="340" spans="1:47">
      <c r="A340" s="253"/>
      <c r="B340" s="230"/>
      <c r="C340" s="245"/>
      <c r="D340" s="230"/>
      <c r="E340" s="230"/>
      <c r="F340" s="230"/>
      <c r="G340" s="228"/>
      <c r="H340" s="230"/>
      <c r="I340" s="230"/>
      <c r="J340" s="246"/>
      <c r="K340" s="230"/>
      <c r="L340" s="230"/>
      <c r="M340" s="230"/>
      <c r="N340" s="230"/>
      <c r="O340" s="230"/>
      <c r="P340" s="256"/>
      <c r="Q340" s="257"/>
      <c r="R340" s="228"/>
      <c r="S340" s="228"/>
      <c r="T340" s="245"/>
      <c r="U340" s="254"/>
      <c r="V340" s="254"/>
      <c r="W340" s="228"/>
      <c r="X340" s="255"/>
      <c r="Y340" s="248"/>
      <c r="Z340" s="248"/>
      <c r="AA340" s="228"/>
      <c r="AB340" s="228"/>
      <c r="AC340" s="228"/>
      <c r="AD340" s="228"/>
      <c r="AE340" s="248"/>
      <c r="AF340" s="247"/>
      <c r="AG340" s="228"/>
      <c r="AH340" s="228"/>
      <c r="AI340" s="248"/>
      <c r="AJ340" s="248"/>
      <c r="AK340" s="194"/>
      <c r="AL340" s="249"/>
      <c r="AM340" s="250"/>
      <c r="AN340" s="251"/>
      <c r="AO340" s="252"/>
      <c r="AP340" s="241"/>
      <c r="AQ340" s="241"/>
      <c r="AR340" s="241"/>
      <c r="AS340" s="194"/>
      <c r="AT340" s="195"/>
      <c r="AU340" s="195"/>
    </row>
    <row r="341" spans="1:47">
      <c r="A341" s="253"/>
      <c r="B341" s="230"/>
      <c r="C341" s="245"/>
      <c r="D341" s="230"/>
      <c r="E341" s="230"/>
      <c r="F341" s="230"/>
      <c r="G341" s="228"/>
      <c r="H341" s="230"/>
      <c r="I341" s="230"/>
      <c r="J341" s="246"/>
      <c r="K341" s="230"/>
      <c r="L341" s="230"/>
      <c r="M341" s="230"/>
      <c r="N341" s="230"/>
      <c r="O341" s="230"/>
      <c r="P341" s="256"/>
      <c r="Q341" s="257"/>
      <c r="R341" s="228"/>
      <c r="S341" s="228"/>
      <c r="T341" s="245"/>
      <c r="U341" s="254"/>
      <c r="V341" s="254"/>
      <c r="W341" s="228"/>
      <c r="X341" s="255"/>
      <c r="Y341" s="248"/>
      <c r="Z341" s="248"/>
      <c r="AA341" s="228"/>
      <c r="AB341" s="228"/>
      <c r="AC341" s="228"/>
      <c r="AD341" s="228"/>
      <c r="AE341" s="248"/>
      <c r="AF341" s="247"/>
      <c r="AG341" s="228"/>
      <c r="AH341" s="228"/>
      <c r="AI341" s="248"/>
      <c r="AJ341" s="248"/>
      <c r="AK341" s="194"/>
      <c r="AL341" s="249"/>
      <c r="AM341" s="250"/>
      <c r="AN341" s="251"/>
      <c r="AO341" s="252"/>
      <c r="AP341" s="241"/>
      <c r="AQ341" s="241"/>
      <c r="AR341" s="241"/>
      <c r="AS341" s="194"/>
      <c r="AT341" s="195"/>
      <c r="AU341" s="195"/>
    </row>
    <row r="342" spans="1:47">
      <c r="A342" s="253"/>
      <c r="B342" s="230"/>
      <c r="C342" s="245"/>
      <c r="D342" s="230"/>
      <c r="E342" s="230"/>
      <c r="F342" s="230"/>
      <c r="G342" s="228"/>
      <c r="H342" s="230"/>
      <c r="I342" s="230"/>
      <c r="J342" s="246"/>
      <c r="K342" s="230"/>
      <c r="L342" s="230"/>
      <c r="M342" s="230"/>
      <c r="N342" s="230"/>
      <c r="O342" s="230"/>
      <c r="P342" s="256"/>
      <c r="Q342" s="257"/>
      <c r="R342" s="228"/>
      <c r="S342" s="228"/>
      <c r="T342" s="245"/>
      <c r="U342" s="254"/>
      <c r="V342" s="254"/>
      <c r="W342" s="228"/>
      <c r="X342" s="255"/>
      <c r="Y342" s="248"/>
      <c r="Z342" s="248"/>
      <c r="AA342" s="228"/>
      <c r="AB342" s="228"/>
      <c r="AC342" s="228"/>
      <c r="AD342" s="228"/>
      <c r="AE342" s="248"/>
      <c r="AF342" s="247"/>
      <c r="AG342" s="228"/>
      <c r="AH342" s="228"/>
      <c r="AI342" s="248"/>
      <c r="AJ342" s="248"/>
      <c r="AK342" s="194"/>
      <c r="AL342" s="249"/>
      <c r="AM342" s="250"/>
      <c r="AN342" s="251"/>
      <c r="AO342" s="252"/>
      <c r="AP342" s="241"/>
      <c r="AQ342" s="241"/>
      <c r="AR342" s="241"/>
      <c r="AS342" s="194"/>
      <c r="AT342" s="195"/>
      <c r="AU342" s="195"/>
    </row>
    <row r="343" spans="1:47">
      <c r="A343" s="253"/>
      <c r="B343" s="230"/>
      <c r="C343" s="245"/>
      <c r="D343" s="230"/>
      <c r="E343" s="230"/>
      <c r="F343" s="230"/>
      <c r="G343" s="228"/>
      <c r="H343" s="230"/>
      <c r="I343" s="230"/>
      <c r="J343" s="246"/>
      <c r="K343" s="230"/>
      <c r="L343" s="230"/>
      <c r="M343" s="230"/>
      <c r="N343" s="230"/>
      <c r="O343" s="230"/>
      <c r="P343" s="256"/>
      <c r="Q343" s="257"/>
      <c r="R343" s="228"/>
      <c r="S343" s="228"/>
      <c r="T343" s="245"/>
      <c r="U343" s="254"/>
      <c r="V343" s="254"/>
      <c r="W343" s="228"/>
      <c r="X343" s="255"/>
      <c r="Y343" s="248"/>
      <c r="Z343" s="248"/>
      <c r="AA343" s="228"/>
      <c r="AB343" s="228"/>
      <c r="AC343" s="228"/>
      <c r="AD343" s="228"/>
      <c r="AE343" s="248"/>
      <c r="AF343" s="247"/>
      <c r="AG343" s="228"/>
      <c r="AH343" s="228"/>
      <c r="AI343" s="248"/>
      <c r="AJ343" s="248"/>
      <c r="AK343" s="194"/>
      <c r="AL343" s="249"/>
      <c r="AM343" s="250"/>
      <c r="AN343" s="251"/>
      <c r="AO343" s="252"/>
      <c r="AP343" s="241"/>
      <c r="AQ343" s="241"/>
      <c r="AR343" s="241"/>
      <c r="AS343" s="194"/>
      <c r="AT343" s="195"/>
      <c r="AU343" s="195"/>
    </row>
    <row r="344" spans="1:47">
      <c r="A344" s="253"/>
      <c r="B344" s="230"/>
      <c r="C344" s="245"/>
      <c r="D344" s="230"/>
      <c r="E344" s="230"/>
      <c r="F344" s="230"/>
      <c r="G344" s="228"/>
      <c r="H344" s="230"/>
      <c r="I344" s="230"/>
      <c r="J344" s="246"/>
      <c r="K344" s="230"/>
      <c r="L344" s="230"/>
      <c r="M344" s="230"/>
      <c r="N344" s="230"/>
      <c r="O344" s="230"/>
      <c r="P344" s="256"/>
      <c r="Q344" s="257"/>
      <c r="R344" s="228"/>
      <c r="S344" s="228"/>
      <c r="T344" s="245"/>
      <c r="U344" s="254"/>
      <c r="V344" s="254"/>
      <c r="W344" s="228"/>
      <c r="X344" s="255"/>
      <c r="Y344" s="248"/>
      <c r="Z344" s="248"/>
      <c r="AA344" s="228"/>
      <c r="AB344" s="228"/>
      <c r="AC344" s="228"/>
      <c r="AD344" s="228"/>
      <c r="AE344" s="248"/>
      <c r="AF344" s="247"/>
      <c r="AG344" s="228"/>
      <c r="AH344" s="228"/>
      <c r="AI344" s="248"/>
      <c r="AJ344" s="248"/>
      <c r="AK344" s="194"/>
      <c r="AL344" s="249"/>
      <c r="AM344" s="250"/>
      <c r="AN344" s="251"/>
      <c r="AO344" s="252"/>
      <c r="AP344" s="241"/>
      <c r="AQ344" s="241"/>
      <c r="AR344" s="241"/>
      <c r="AS344" s="194"/>
      <c r="AT344" s="195"/>
      <c r="AU344" s="195"/>
    </row>
    <row r="345" spans="1:47">
      <c r="A345" s="253"/>
      <c r="B345" s="230"/>
      <c r="C345" s="245"/>
      <c r="D345" s="230"/>
      <c r="E345" s="230"/>
      <c r="F345" s="230"/>
      <c r="G345" s="228"/>
      <c r="H345" s="230"/>
      <c r="I345" s="230"/>
      <c r="J345" s="246"/>
      <c r="K345" s="230"/>
      <c r="L345" s="230"/>
      <c r="M345" s="230"/>
      <c r="N345" s="230"/>
      <c r="O345" s="230"/>
      <c r="P345" s="256"/>
      <c r="Q345" s="257"/>
      <c r="R345" s="228"/>
      <c r="S345" s="228"/>
      <c r="T345" s="245"/>
      <c r="U345" s="254"/>
      <c r="V345" s="254"/>
      <c r="W345" s="228"/>
      <c r="X345" s="255"/>
      <c r="Y345" s="248"/>
      <c r="Z345" s="248"/>
      <c r="AA345" s="228"/>
      <c r="AB345" s="228"/>
      <c r="AC345" s="228"/>
      <c r="AD345" s="228"/>
      <c r="AE345" s="248"/>
      <c r="AF345" s="247"/>
      <c r="AG345" s="228"/>
      <c r="AH345" s="228"/>
      <c r="AI345" s="248"/>
      <c r="AJ345" s="248"/>
      <c r="AK345" s="194"/>
      <c r="AL345" s="249"/>
      <c r="AM345" s="250"/>
      <c r="AN345" s="251"/>
      <c r="AO345" s="252"/>
      <c r="AP345" s="241"/>
      <c r="AQ345" s="241"/>
      <c r="AR345" s="241"/>
      <c r="AS345" s="194"/>
      <c r="AT345" s="195"/>
      <c r="AU345" s="195"/>
    </row>
    <row r="346" spans="1:47">
      <c r="A346" s="253"/>
      <c r="B346" s="230"/>
      <c r="C346" s="245"/>
      <c r="D346" s="230"/>
      <c r="E346" s="230"/>
      <c r="F346" s="230"/>
      <c r="G346" s="228"/>
      <c r="H346" s="230"/>
      <c r="I346" s="230"/>
      <c r="J346" s="246"/>
      <c r="K346" s="230"/>
      <c r="L346" s="230"/>
      <c r="M346" s="230"/>
      <c r="N346" s="230"/>
      <c r="O346" s="230"/>
      <c r="P346" s="256"/>
      <c r="Q346" s="257"/>
      <c r="R346" s="228"/>
      <c r="S346" s="228"/>
      <c r="T346" s="245"/>
      <c r="U346" s="254"/>
      <c r="V346" s="254"/>
      <c r="W346" s="228"/>
      <c r="X346" s="255"/>
      <c r="Y346" s="248"/>
      <c r="Z346" s="248"/>
      <c r="AA346" s="228"/>
      <c r="AB346" s="228"/>
      <c r="AC346" s="228"/>
      <c r="AD346" s="228"/>
      <c r="AE346" s="248"/>
      <c r="AF346" s="247"/>
      <c r="AG346" s="228"/>
      <c r="AH346" s="228"/>
      <c r="AI346" s="248"/>
      <c r="AJ346" s="248"/>
      <c r="AK346" s="194"/>
      <c r="AL346" s="249"/>
      <c r="AM346" s="250"/>
      <c r="AN346" s="251"/>
      <c r="AO346" s="252"/>
      <c r="AP346" s="241"/>
      <c r="AQ346" s="241"/>
      <c r="AR346" s="241"/>
      <c r="AS346" s="194"/>
      <c r="AT346" s="195"/>
      <c r="AU346" s="195"/>
    </row>
    <row r="347" spans="1:47">
      <c r="A347" s="253"/>
      <c r="B347" s="230"/>
      <c r="C347" s="245"/>
      <c r="D347" s="230"/>
      <c r="E347" s="230"/>
      <c r="F347" s="230"/>
      <c r="G347" s="228"/>
      <c r="H347" s="230"/>
      <c r="I347" s="230"/>
      <c r="J347" s="246"/>
      <c r="K347" s="230"/>
      <c r="L347" s="230"/>
      <c r="M347" s="230"/>
      <c r="N347" s="230"/>
      <c r="O347" s="230"/>
      <c r="P347" s="256"/>
      <c r="Q347" s="257"/>
      <c r="R347" s="228"/>
      <c r="S347" s="228"/>
      <c r="T347" s="245"/>
      <c r="U347" s="254"/>
      <c r="V347" s="254"/>
      <c r="W347" s="228"/>
      <c r="X347" s="255"/>
      <c r="Y347" s="248"/>
      <c r="Z347" s="248"/>
      <c r="AA347" s="228"/>
      <c r="AB347" s="228"/>
      <c r="AC347" s="228"/>
      <c r="AD347" s="228"/>
      <c r="AE347" s="248"/>
      <c r="AF347" s="247"/>
      <c r="AG347" s="228"/>
      <c r="AH347" s="228"/>
      <c r="AI347" s="248"/>
      <c r="AJ347" s="248"/>
      <c r="AK347" s="194"/>
      <c r="AL347" s="249"/>
      <c r="AM347" s="250"/>
      <c r="AN347" s="251"/>
      <c r="AO347" s="252"/>
      <c r="AP347" s="241"/>
      <c r="AQ347" s="241"/>
      <c r="AR347" s="241"/>
      <c r="AS347" s="194"/>
      <c r="AT347" s="195"/>
      <c r="AU347" s="195"/>
    </row>
    <row r="348" spans="1:47">
      <c r="A348" s="253"/>
      <c r="B348" s="230"/>
      <c r="C348" s="245"/>
      <c r="D348" s="230"/>
      <c r="E348" s="230"/>
      <c r="F348" s="230"/>
      <c r="G348" s="228"/>
      <c r="H348" s="230"/>
      <c r="I348" s="230"/>
      <c r="J348" s="246"/>
      <c r="K348" s="230"/>
      <c r="L348" s="230"/>
      <c r="M348" s="230"/>
      <c r="N348" s="230"/>
      <c r="O348" s="230"/>
      <c r="P348" s="256"/>
      <c r="Q348" s="257"/>
      <c r="R348" s="228"/>
      <c r="S348" s="228"/>
      <c r="T348" s="245"/>
      <c r="U348" s="254"/>
      <c r="V348" s="254"/>
      <c r="W348" s="228"/>
      <c r="X348" s="255"/>
      <c r="Y348" s="248"/>
      <c r="Z348" s="248"/>
      <c r="AA348" s="228"/>
      <c r="AB348" s="228"/>
      <c r="AC348" s="228"/>
      <c r="AD348" s="228"/>
      <c r="AE348" s="248"/>
      <c r="AF348" s="247"/>
      <c r="AG348" s="228"/>
      <c r="AH348" s="228"/>
      <c r="AI348" s="248"/>
      <c r="AJ348" s="248"/>
      <c r="AK348" s="194"/>
      <c r="AL348" s="249"/>
      <c r="AM348" s="250"/>
      <c r="AN348" s="251"/>
      <c r="AO348" s="252"/>
      <c r="AP348" s="241"/>
      <c r="AQ348" s="241"/>
      <c r="AR348" s="241"/>
      <c r="AS348" s="194"/>
      <c r="AT348" s="195"/>
      <c r="AU348" s="195"/>
    </row>
    <row r="349" spans="1:47">
      <c r="A349" s="253"/>
      <c r="B349" s="230"/>
      <c r="C349" s="245"/>
      <c r="D349" s="230"/>
      <c r="E349" s="230"/>
      <c r="F349" s="230"/>
      <c r="G349" s="228"/>
      <c r="H349" s="230"/>
      <c r="I349" s="230"/>
      <c r="J349" s="246"/>
      <c r="K349" s="230"/>
      <c r="L349" s="230"/>
      <c r="M349" s="230"/>
      <c r="N349" s="230"/>
      <c r="O349" s="230"/>
      <c r="P349" s="256"/>
      <c r="Q349" s="257"/>
      <c r="R349" s="228"/>
      <c r="S349" s="228"/>
      <c r="T349" s="245"/>
      <c r="U349" s="254"/>
      <c r="V349" s="254"/>
      <c r="W349" s="228"/>
      <c r="X349" s="255"/>
      <c r="Y349" s="248"/>
      <c r="Z349" s="248"/>
      <c r="AA349" s="228"/>
      <c r="AB349" s="228"/>
      <c r="AC349" s="228"/>
      <c r="AD349" s="228"/>
      <c r="AE349" s="248"/>
      <c r="AF349" s="247"/>
      <c r="AG349" s="228"/>
      <c r="AH349" s="228"/>
      <c r="AI349" s="248"/>
      <c r="AJ349" s="248"/>
      <c r="AK349" s="194"/>
      <c r="AL349" s="249"/>
      <c r="AM349" s="250"/>
      <c r="AN349" s="251"/>
      <c r="AO349" s="252"/>
      <c r="AP349" s="241"/>
      <c r="AQ349" s="241"/>
      <c r="AR349" s="241"/>
      <c r="AS349" s="194"/>
      <c r="AT349" s="195"/>
      <c r="AU349" s="195"/>
    </row>
    <row r="350" spans="1:47">
      <c r="A350" s="253"/>
      <c r="B350" s="230"/>
      <c r="C350" s="245"/>
      <c r="D350" s="230"/>
      <c r="E350" s="230"/>
      <c r="F350" s="230"/>
      <c r="G350" s="228"/>
      <c r="H350" s="230"/>
      <c r="I350" s="230"/>
      <c r="J350" s="246"/>
      <c r="K350" s="230"/>
      <c r="L350" s="230"/>
      <c r="M350" s="230"/>
      <c r="N350" s="230"/>
      <c r="O350" s="230"/>
      <c r="P350" s="256"/>
      <c r="Q350" s="257"/>
      <c r="R350" s="228"/>
      <c r="S350" s="228"/>
      <c r="T350" s="245"/>
      <c r="U350" s="254"/>
      <c r="V350" s="254"/>
      <c r="W350" s="228"/>
      <c r="X350" s="255"/>
      <c r="Y350" s="248"/>
      <c r="Z350" s="248"/>
      <c r="AA350" s="228"/>
      <c r="AB350" s="228"/>
      <c r="AC350" s="228"/>
      <c r="AD350" s="228"/>
      <c r="AE350" s="248"/>
      <c r="AF350" s="247"/>
      <c r="AG350" s="228"/>
      <c r="AH350" s="228"/>
      <c r="AI350" s="248"/>
      <c r="AJ350" s="248"/>
      <c r="AK350" s="194"/>
      <c r="AL350" s="249"/>
      <c r="AM350" s="250"/>
      <c r="AN350" s="251"/>
      <c r="AO350" s="252"/>
      <c r="AP350" s="241"/>
      <c r="AQ350" s="241"/>
      <c r="AR350" s="241"/>
      <c r="AS350" s="194"/>
      <c r="AT350" s="195"/>
      <c r="AU350" s="195"/>
    </row>
    <row r="351" spans="1:47">
      <c r="A351" s="253"/>
      <c r="B351" s="230"/>
      <c r="C351" s="245"/>
      <c r="D351" s="230"/>
      <c r="E351" s="230"/>
      <c r="F351" s="230"/>
      <c r="G351" s="228"/>
      <c r="H351" s="230"/>
      <c r="I351" s="230"/>
      <c r="J351" s="246"/>
      <c r="K351" s="230"/>
      <c r="L351" s="230"/>
      <c r="M351" s="230"/>
      <c r="N351" s="230"/>
      <c r="O351" s="230"/>
      <c r="P351" s="256"/>
      <c r="Q351" s="257"/>
      <c r="R351" s="228"/>
      <c r="S351" s="228"/>
      <c r="T351" s="245"/>
      <c r="U351" s="254"/>
      <c r="V351" s="254"/>
      <c r="W351" s="228"/>
      <c r="X351" s="255"/>
      <c r="Y351" s="248"/>
      <c r="Z351" s="248"/>
      <c r="AA351" s="228"/>
      <c r="AB351" s="228"/>
      <c r="AC351" s="228"/>
      <c r="AD351" s="228"/>
      <c r="AE351" s="248"/>
      <c r="AF351" s="247"/>
      <c r="AG351" s="228"/>
      <c r="AH351" s="228"/>
      <c r="AI351" s="248"/>
      <c r="AJ351" s="248"/>
      <c r="AK351" s="194"/>
      <c r="AL351" s="249"/>
      <c r="AM351" s="250"/>
      <c r="AN351" s="251"/>
      <c r="AO351" s="252"/>
      <c r="AP351" s="241"/>
      <c r="AQ351" s="241"/>
      <c r="AR351" s="241"/>
      <c r="AS351" s="194"/>
      <c r="AT351" s="195"/>
      <c r="AU351" s="195"/>
    </row>
    <row r="352" spans="1:47">
      <c r="A352" s="253"/>
      <c r="B352" s="230"/>
      <c r="C352" s="245"/>
      <c r="D352" s="230"/>
      <c r="E352" s="230"/>
      <c r="F352" s="230"/>
      <c r="G352" s="228"/>
      <c r="H352" s="230"/>
      <c r="I352" s="230"/>
      <c r="J352" s="246"/>
      <c r="K352" s="230"/>
      <c r="L352" s="230"/>
      <c r="M352" s="230"/>
      <c r="N352" s="230"/>
      <c r="O352" s="230"/>
      <c r="P352" s="256"/>
      <c r="Q352" s="257"/>
      <c r="R352" s="228"/>
      <c r="S352" s="228"/>
      <c r="T352" s="245"/>
      <c r="U352" s="254"/>
      <c r="V352" s="254"/>
      <c r="W352" s="228"/>
      <c r="X352" s="255"/>
      <c r="Y352" s="248"/>
      <c r="Z352" s="248"/>
      <c r="AA352" s="228"/>
      <c r="AB352" s="228"/>
      <c r="AC352" s="228"/>
      <c r="AD352" s="228"/>
      <c r="AE352" s="248"/>
      <c r="AF352" s="247"/>
      <c r="AG352" s="228"/>
      <c r="AH352" s="228"/>
      <c r="AI352" s="248"/>
      <c r="AJ352" s="248"/>
      <c r="AK352" s="194"/>
      <c r="AL352" s="249"/>
      <c r="AM352" s="250"/>
      <c r="AN352" s="251"/>
      <c r="AO352" s="252"/>
      <c r="AP352" s="241"/>
      <c r="AQ352" s="241"/>
      <c r="AR352" s="241"/>
      <c r="AS352" s="194"/>
      <c r="AT352" s="195"/>
      <c r="AU352" s="195"/>
    </row>
    <row r="353" spans="1:47">
      <c r="A353" s="253"/>
      <c r="B353" s="230"/>
      <c r="C353" s="245"/>
      <c r="D353" s="230"/>
      <c r="E353" s="230"/>
      <c r="F353" s="230"/>
      <c r="G353" s="228"/>
      <c r="H353" s="230"/>
      <c r="I353" s="230"/>
      <c r="J353" s="246"/>
      <c r="K353" s="230"/>
      <c r="L353" s="230"/>
      <c r="M353" s="230"/>
      <c r="N353" s="230"/>
      <c r="O353" s="230"/>
      <c r="P353" s="256"/>
      <c r="Q353" s="257"/>
      <c r="R353" s="228"/>
      <c r="S353" s="228"/>
      <c r="T353" s="245"/>
      <c r="U353" s="254"/>
      <c r="V353" s="254"/>
      <c r="W353" s="228"/>
      <c r="X353" s="255"/>
      <c r="Y353" s="248"/>
      <c r="Z353" s="248"/>
      <c r="AA353" s="228"/>
      <c r="AB353" s="228"/>
      <c r="AC353" s="228"/>
      <c r="AD353" s="228"/>
      <c r="AE353" s="248"/>
      <c r="AF353" s="247"/>
      <c r="AG353" s="228"/>
      <c r="AH353" s="228"/>
      <c r="AI353" s="248"/>
      <c r="AJ353" s="248"/>
      <c r="AK353" s="194"/>
      <c r="AL353" s="249"/>
      <c r="AM353" s="250"/>
      <c r="AN353" s="251"/>
      <c r="AO353" s="252"/>
      <c r="AP353" s="241"/>
      <c r="AQ353" s="241"/>
      <c r="AR353" s="241"/>
      <c r="AS353" s="194"/>
      <c r="AT353" s="195"/>
      <c r="AU353" s="195"/>
    </row>
    <row r="354" spans="1:47">
      <c r="A354" s="253"/>
      <c r="B354" s="230"/>
      <c r="C354" s="245"/>
      <c r="D354" s="230"/>
      <c r="E354" s="230"/>
      <c r="F354" s="230"/>
      <c r="G354" s="228"/>
      <c r="H354" s="230"/>
      <c r="I354" s="230"/>
      <c r="J354" s="246"/>
      <c r="K354" s="230"/>
      <c r="L354" s="230"/>
      <c r="M354" s="230"/>
      <c r="N354" s="230"/>
      <c r="O354" s="230"/>
      <c r="P354" s="256"/>
      <c r="Q354" s="257"/>
      <c r="R354" s="228"/>
      <c r="S354" s="228"/>
      <c r="T354" s="245"/>
      <c r="U354" s="254"/>
      <c r="V354" s="254"/>
      <c r="W354" s="228"/>
      <c r="X354" s="255"/>
      <c r="Y354" s="248"/>
      <c r="Z354" s="248"/>
      <c r="AA354" s="228"/>
      <c r="AB354" s="228"/>
      <c r="AC354" s="228"/>
      <c r="AD354" s="228"/>
      <c r="AE354" s="248"/>
      <c r="AF354" s="247"/>
      <c r="AG354" s="228"/>
      <c r="AH354" s="228"/>
      <c r="AI354" s="248"/>
      <c r="AJ354" s="248"/>
      <c r="AK354" s="194"/>
      <c r="AL354" s="249"/>
      <c r="AM354" s="250"/>
      <c r="AN354" s="251"/>
      <c r="AO354" s="252"/>
      <c r="AP354" s="241"/>
      <c r="AQ354" s="241"/>
      <c r="AR354" s="241"/>
      <c r="AS354" s="194"/>
      <c r="AT354" s="195"/>
      <c r="AU354" s="195"/>
    </row>
    <row r="355" spans="1:47">
      <c r="A355" s="253"/>
      <c r="B355" s="230"/>
      <c r="C355" s="245"/>
      <c r="D355" s="230"/>
      <c r="E355" s="230"/>
      <c r="F355" s="230"/>
      <c r="G355" s="228"/>
      <c r="H355" s="230"/>
      <c r="I355" s="230"/>
      <c r="J355" s="246"/>
      <c r="K355" s="230"/>
      <c r="L355" s="230"/>
      <c r="M355" s="230"/>
      <c r="N355" s="230"/>
      <c r="O355" s="230"/>
      <c r="P355" s="256"/>
      <c r="Q355" s="257"/>
      <c r="R355" s="228"/>
      <c r="S355" s="228"/>
      <c r="T355" s="245"/>
      <c r="U355" s="254"/>
      <c r="V355" s="254"/>
      <c r="W355" s="228"/>
      <c r="X355" s="255"/>
      <c r="Y355" s="248"/>
      <c r="Z355" s="248"/>
      <c r="AA355" s="228"/>
      <c r="AB355" s="228"/>
      <c r="AC355" s="228"/>
      <c r="AD355" s="228"/>
      <c r="AE355" s="248"/>
      <c r="AF355" s="247"/>
      <c r="AG355" s="228"/>
      <c r="AH355" s="228"/>
      <c r="AI355" s="248"/>
      <c r="AJ355" s="248"/>
      <c r="AK355" s="194"/>
      <c r="AL355" s="249"/>
      <c r="AM355" s="250"/>
      <c r="AN355" s="251"/>
      <c r="AO355" s="252"/>
      <c r="AP355" s="241"/>
      <c r="AQ355" s="241"/>
      <c r="AR355" s="241"/>
      <c r="AS355" s="194"/>
      <c r="AT355" s="195"/>
      <c r="AU355" s="195"/>
    </row>
    <row r="356" spans="1:47">
      <c r="A356" s="253"/>
      <c r="B356" s="230"/>
      <c r="C356" s="245"/>
      <c r="D356" s="230"/>
      <c r="E356" s="230"/>
      <c r="F356" s="230"/>
      <c r="G356" s="228"/>
      <c r="H356" s="230"/>
      <c r="I356" s="230"/>
      <c r="J356" s="246"/>
      <c r="K356" s="230"/>
      <c r="L356" s="230"/>
      <c r="M356" s="230"/>
      <c r="N356" s="230"/>
      <c r="O356" s="230"/>
      <c r="P356" s="256"/>
      <c r="Q356" s="257"/>
      <c r="R356" s="228"/>
      <c r="S356" s="228"/>
      <c r="T356" s="245"/>
      <c r="U356" s="254"/>
      <c r="V356" s="254"/>
      <c r="W356" s="228"/>
      <c r="X356" s="255"/>
      <c r="Y356" s="248"/>
      <c r="Z356" s="248"/>
      <c r="AA356" s="228"/>
      <c r="AB356" s="228"/>
      <c r="AC356" s="228"/>
      <c r="AD356" s="228"/>
      <c r="AE356" s="248"/>
      <c r="AF356" s="247"/>
      <c r="AG356" s="228"/>
      <c r="AH356" s="228"/>
      <c r="AI356" s="248"/>
      <c r="AJ356" s="248"/>
      <c r="AK356" s="194"/>
      <c r="AL356" s="249"/>
      <c r="AM356" s="250"/>
      <c r="AN356" s="251"/>
      <c r="AO356" s="252"/>
      <c r="AP356" s="241"/>
      <c r="AQ356" s="241"/>
      <c r="AR356" s="241"/>
      <c r="AS356" s="194"/>
      <c r="AT356" s="195"/>
      <c r="AU356" s="195"/>
    </row>
    <row r="357" spans="1:47">
      <c r="A357" s="253"/>
      <c r="B357" s="230"/>
      <c r="C357" s="245"/>
      <c r="D357" s="230"/>
      <c r="E357" s="230"/>
      <c r="F357" s="230"/>
      <c r="G357" s="228"/>
      <c r="H357" s="230"/>
      <c r="I357" s="230"/>
      <c r="J357" s="246"/>
      <c r="K357" s="230"/>
      <c r="L357" s="230"/>
      <c r="M357" s="230"/>
      <c r="N357" s="230"/>
      <c r="O357" s="230"/>
      <c r="P357" s="256"/>
      <c r="Q357" s="257"/>
      <c r="R357" s="228"/>
      <c r="S357" s="228"/>
      <c r="T357" s="245"/>
      <c r="U357" s="254"/>
      <c r="V357" s="254"/>
      <c r="W357" s="228"/>
      <c r="X357" s="255"/>
      <c r="Y357" s="248"/>
      <c r="Z357" s="248"/>
      <c r="AA357" s="228"/>
      <c r="AB357" s="228"/>
      <c r="AC357" s="228"/>
      <c r="AD357" s="228"/>
      <c r="AE357" s="248"/>
      <c r="AF357" s="247"/>
      <c r="AG357" s="228"/>
      <c r="AH357" s="228"/>
      <c r="AI357" s="248"/>
      <c r="AJ357" s="248"/>
      <c r="AK357" s="194"/>
      <c r="AL357" s="249"/>
      <c r="AM357" s="250"/>
      <c r="AN357" s="251"/>
      <c r="AO357" s="252"/>
      <c r="AP357" s="241"/>
      <c r="AQ357" s="241"/>
      <c r="AR357" s="241"/>
      <c r="AS357" s="194"/>
      <c r="AT357" s="195"/>
      <c r="AU357" s="195"/>
    </row>
    <row r="358" spans="1:47">
      <c r="A358" s="253"/>
      <c r="B358" s="230"/>
      <c r="C358" s="245"/>
      <c r="D358" s="230"/>
      <c r="E358" s="230"/>
      <c r="F358" s="230"/>
      <c r="G358" s="228"/>
      <c r="H358" s="230"/>
      <c r="I358" s="230"/>
      <c r="J358" s="246"/>
      <c r="K358" s="230"/>
      <c r="L358" s="230"/>
      <c r="M358" s="230"/>
      <c r="N358" s="230"/>
      <c r="O358" s="230"/>
      <c r="P358" s="256"/>
      <c r="Q358" s="257"/>
      <c r="R358" s="228"/>
      <c r="S358" s="228"/>
      <c r="T358" s="245"/>
      <c r="U358" s="254"/>
      <c r="V358" s="254"/>
      <c r="W358" s="228"/>
      <c r="X358" s="255"/>
      <c r="Y358" s="248"/>
      <c r="Z358" s="248"/>
      <c r="AA358" s="228"/>
      <c r="AB358" s="228"/>
      <c r="AC358" s="228"/>
      <c r="AD358" s="228"/>
      <c r="AE358" s="248"/>
      <c r="AF358" s="247"/>
      <c r="AG358" s="228"/>
      <c r="AH358" s="228"/>
      <c r="AI358" s="248"/>
      <c r="AJ358" s="248"/>
      <c r="AK358" s="194"/>
      <c r="AL358" s="249"/>
      <c r="AM358" s="250"/>
      <c r="AN358" s="251"/>
      <c r="AO358" s="252"/>
      <c r="AP358" s="241"/>
      <c r="AQ358" s="241"/>
      <c r="AR358" s="241"/>
      <c r="AS358" s="194"/>
      <c r="AT358" s="195"/>
      <c r="AU358" s="195"/>
    </row>
    <row r="359" spans="1:47">
      <c r="A359" s="253"/>
      <c r="B359" s="230"/>
      <c r="C359" s="245"/>
      <c r="D359" s="230"/>
      <c r="E359" s="230"/>
      <c r="F359" s="230"/>
      <c r="G359" s="228"/>
      <c r="H359" s="230"/>
      <c r="I359" s="230"/>
      <c r="J359" s="246"/>
      <c r="K359" s="230"/>
      <c r="L359" s="230"/>
      <c r="M359" s="230"/>
      <c r="N359" s="230"/>
      <c r="O359" s="230"/>
      <c r="P359" s="256"/>
      <c r="Q359" s="257"/>
      <c r="R359" s="228"/>
      <c r="S359" s="228"/>
      <c r="T359" s="245"/>
      <c r="U359" s="254"/>
      <c r="V359" s="254"/>
      <c r="W359" s="228"/>
      <c r="X359" s="255"/>
      <c r="Y359" s="248"/>
      <c r="Z359" s="248"/>
      <c r="AA359" s="228"/>
      <c r="AB359" s="228"/>
      <c r="AC359" s="228"/>
      <c r="AD359" s="228"/>
      <c r="AE359" s="248"/>
      <c r="AF359" s="247"/>
      <c r="AG359" s="228"/>
      <c r="AH359" s="228"/>
      <c r="AI359" s="248"/>
      <c r="AJ359" s="248"/>
      <c r="AK359" s="194"/>
      <c r="AL359" s="249"/>
      <c r="AM359" s="250"/>
      <c r="AN359" s="251"/>
      <c r="AO359" s="252"/>
      <c r="AP359" s="241"/>
      <c r="AQ359" s="241"/>
      <c r="AR359" s="241"/>
      <c r="AS359" s="194"/>
      <c r="AT359" s="195"/>
      <c r="AU359" s="195"/>
    </row>
    <row r="360" spans="1:47">
      <c r="A360" s="253"/>
      <c r="B360" s="230"/>
      <c r="C360" s="245"/>
      <c r="D360" s="230"/>
      <c r="E360" s="230"/>
      <c r="F360" s="230"/>
      <c r="G360" s="228"/>
      <c r="H360" s="230"/>
      <c r="I360" s="230"/>
      <c r="J360" s="246"/>
      <c r="K360" s="230"/>
      <c r="L360" s="230"/>
      <c r="M360" s="230"/>
      <c r="N360" s="230"/>
      <c r="O360" s="230"/>
      <c r="P360" s="256"/>
      <c r="Q360" s="257"/>
      <c r="R360" s="228"/>
      <c r="S360" s="228"/>
      <c r="T360" s="245"/>
      <c r="U360" s="254"/>
      <c r="V360" s="254"/>
      <c r="W360" s="228"/>
      <c r="X360" s="255"/>
      <c r="Y360" s="248"/>
      <c r="Z360" s="248"/>
      <c r="AA360" s="228"/>
      <c r="AB360" s="228"/>
      <c r="AC360" s="228"/>
      <c r="AD360" s="228"/>
      <c r="AE360" s="248"/>
      <c r="AF360" s="247"/>
      <c r="AG360" s="228"/>
      <c r="AH360" s="228"/>
      <c r="AI360" s="248"/>
      <c r="AJ360" s="248"/>
      <c r="AK360" s="194"/>
      <c r="AL360" s="249"/>
      <c r="AM360" s="250"/>
      <c r="AN360" s="251"/>
      <c r="AO360" s="252"/>
      <c r="AP360" s="241"/>
      <c r="AQ360" s="241"/>
      <c r="AR360" s="241"/>
      <c r="AS360" s="194"/>
      <c r="AT360" s="195"/>
      <c r="AU360" s="195"/>
    </row>
    <row r="361" spans="1:47">
      <c r="A361" s="253"/>
      <c r="B361" s="230"/>
      <c r="C361" s="245"/>
      <c r="D361" s="230"/>
      <c r="E361" s="230"/>
      <c r="F361" s="230"/>
      <c r="G361" s="228"/>
      <c r="H361" s="230"/>
      <c r="I361" s="230"/>
      <c r="J361" s="246"/>
      <c r="K361" s="230"/>
      <c r="L361" s="230"/>
      <c r="M361" s="230"/>
      <c r="N361" s="230"/>
      <c r="O361" s="230"/>
      <c r="P361" s="256"/>
      <c r="Q361" s="257"/>
      <c r="R361" s="228"/>
      <c r="S361" s="228"/>
      <c r="T361" s="245"/>
      <c r="U361" s="254"/>
      <c r="V361" s="254"/>
      <c r="W361" s="228"/>
      <c r="X361" s="255"/>
      <c r="Y361" s="248"/>
      <c r="Z361" s="248"/>
      <c r="AA361" s="228"/>
      <c r="AB361" s="228"/>
      <c r="AC361" s="228"/>
      <c r="AD361" s="228"/>
      <c r="AE361" s="248"/>
      <c r="AF361" s="247"/>
      <c r="AG361" s="228"/>
      <c r="AH361" s="228"/>
      <c r="AI361" s="248"/>
      <c r="AJ361" s="248"/>
      <c r="AK361" s="194"/>
      <c r="AL361" s="249"/>
      <c r="AM361" s="250"/>
      <c r="AN361" s="251"/>
      <c r="AO361" s="252"/>
      <c r="AP361" s="241"/>
      <c r="AQ361" s="241"/>
      <c r="AR361" s="241"/>
      <c r="AS361" s="194"/>
      <c r="AT361" s="195"/>
      <c r="AU361" s="195"/>
    </row>
    <row r="362" spans="1:47">
      <c r="A362" s="253"/>
      <c r="B362" s="230"/>
      <c r="C362" s="245"/>
      <c r="D362" s="230"/>
      <c r="E362" s="230"/>
      <c r="F362" s="230"/>
      <c r="G362" s="228"/>
      <c r="H362" s="230"/>
      <c r="I362" s="230"/>
      <c r="J362" s="246"/>
      <c r="K362" s="230"/>
      <c r="L362" s="230"/>
      <c r="M362" s="230"/>
      <c r="N362" s="230"/>
      <c r="O362" s="230"/>
      <c r="P362" s="256"/>
      <c r="Q362" s="257"/>
      <c r="R362" s="228"/>
      <c r="S362" s="228"/>
      <c r="T362" s="245"/>
      <c r="U362" s="254"/>
      <c r="V362" s="254"/>
      <c r="W362" s="228"/>
      <c r="X362" s="255"/>
      <c r="Y362" s="248"/>
      <c r="Z362" s="248"/>
      <c r="AA362" s="228"/>
      <c r="AB362" s="228"/>
      <c r="AC362" s="228"/>
      <c r="AD362" s="228"/>
      <c r="AE362" s="248"/>
      <c r="AF362" s="247"/>
      <c r="AG362" s="228"/>
      <c r="AH362" s="228"/>
      <c r="AI362" s="248"/>
      <c r="AJ362" s="248"/>
      <c r="AK362" s="194"/>
      <c r="AL362" s="249"/>
      <c r="AM362" s="250"/>
      <c r="AN362" s="251"/>
      <c r="AO362" s="252"/>
      <c r="AP362" s="241"/>
      <c r="AQ362" s="241"/>
      <c r="AR362" s="241"/>
      <c r="AS362" s="194"/>
      <c r="AT362" s="195"/>
      <c r="AU362" s="195"/>
    </row>
    <row r="363" spans="1:47">
      <c r="A363" s="253"/>
      <c r="B363" s="230"/>
      <c r="C363" s="245"/>
      <c r="D363" s="230"/>
      <c r="E363" s="230"/>
      <c r="F363" s="230"/>
      <c r="G363" s="228"/>
      <c r="H363" s="230"/>
      <c r="I363" s="230"/>
      <c r="J363" s="246"/>
      <c r="K363" s="230"/>
      <c r="L363" s="230"/>
      <c r="M363" s="230"/>
      <c r="N363" s="230"/>
      <c r="O363" s="230"/>
      <c r="P363" s="256"/>
      <c r="Q363" s="257"/>
      <c r="R363" s="228"/>
      <c r="S363" s="228"/>
      <c r="T363" s="245"/>
      <c r="U363" s="254"/>
      <c r="V363" s="254"/>
      <c r="W363" s="228"/>
      <c r="X363" s="255"/>
      <c r="Y363" s="248"/>
      <c r="Z363" s="248"/>
      <c r="AA363" s="228"/>
      <c r="AB363" s="228"/>
      <c r="AC363" s="228"/>
      <c r="AD363" s="228"/>
      <c r="AE363" s="248"/>
      <c r="AF363" s="247"/>
      <c r="AG363" s="228"/>
      <c r="AH363" s="228"/>
      <c r="AI363" s="248"/>
      <c r="AJ363" s="248"/>
      <c r="AK363" s="194"/>
      <c r="AL363" s="249"/>
      <c r="AM363" s="250"/>
      <c r="AN363" s="251"/>
      <c r="AO363" s="252"/>
      <c r="AP363" s="241"/>
      <c r="AQ363" s="241"/>
      <c r="AR363" s="241"/>
      <c r="AS363" s="194"/>
      <c r="AT363" s="195"/>
      <c r="AU363" s="195"/>
    </row>
    <row r="364" spans="1:47">
      <c r="A364" s="253"/>
      <c r="B364" s="230"/>
      <c r="C364" s="245"/>
      <c r="D364" s="230"/>
      <c r="E364" s="230"/>
      <c r="F364" s="230"/>
      <c r="G364" s="228"/>
      <c r="H364" s="230"/>
      <c r="I364" s="230"/>
      <c r="J364" s="246"/>
      <c r="K364" s="230"/>
      <c r="L364" s="230"/>
      <c r="M364" s="230"/>
      <c r="N364" s="230"/>
      <c r="O364" s="230"/>
      <c r="P364" s="256"/>
      <c r="Q364" s="257"/>
      <c r="R364" s="228"/>
      <c r="S364" s="228"/>
      <c r="T364" s="245"/>
      <c r="U364" s="254"/>
      <c r="V364" s="254"/>
      <c r="W364" s="228"/>
      <c r="X364" s="255"/>
      <c r="Y364" s="248"/>
      <c r="Z364" s="248"/>
      <c r="AA364" s="228"/>
      <c r="AB364" s="228"/>
      <c r="AC364" s="228"/>
      <c r="AD364" s="228"/>
      <c r="AE364" s="248"/>
      <c r="AF364" s="247"/>
      <c r="AG364" s="228"/>
      <c r="AH364" s="228"/>
      <c r="AI364" s="248"/>
      <c r="AJ364" s="248"/>
      <c r="AK364" s="194"/>
      <c r="AL364" s="249"/>
      <c r="AM364" s="250"/>
      <c r="AN364" s="251"/>
      <c r="AO364" s="252"/>
      <c r="AP364" s="241"/>
      <c r="AQ364" s="241"/>
      <c r="AR364" s="241"/>
      <c r="AS364" s="194"/>
      <c r="AT364" s="195"/>
      <c r="AU364" s="195"/>
    </row>
    <row r="365" spans="1:47">
      <c r="A365" s="253"/>
      <c r="B365" s="230"/>
      <c r="C365" s="245"/>
      <c r="D365" s="230"/>
      <c r="E365" s="230"/>
      <c r="F365" s="230"/>
      <c r="G365" s="228"/>
      <c r="H365" s="230"/>
      <c r="I365" s="230"/>
      <c r="J365" s="246"/>
      <c r="K365" s="230"/>
      <c r="L365" s="230"/>
      <c r="M365" s="230"/>
      <c r="N365" s="230"/>
      <c r="O365" s="230"/>
      <c r="P365" s="256"/>
      <c r="Q365" s="257"/>
      <c r="R365" s="228"/>
      <c r="S365" s="228"/>
      <c r="T365" s="258"/>
      <c r="U365" s="254"/>
      <c r="V365" s="254"/>
      <c r="W365" s="228"/>
      <c r="X365" s="255"/>
      <c r="Y365" s="248"/>
      <c r="Z365" s="248"/>
      <c r="AA365" s="228"/>
      <c r="AB365" s="228"/>
      <c r="AC365" s="228"/>
      <c r="AD365" s="228"/>
      <c r="AE365" s="248"/>
      <c r="AF365" s="247"/>
      <c r="AG365" s="228"/>
      <c r="AH365" s="228"/>
      <c r="AI365" s="248"/>
      <c r="AJ365" s="248"/>
      <c r="AK365" s="194"/>
      <c r="AL365" s="249"/>
      <c r="AM365" s="250"/>
      <c r="AN365" s="251"/>
      <c r="AO365" s="252"/>
      <c r="AP365" s="241"/>
      <c r="AQ365" s="241"/>
      <c r="AR365" s="241"/>
      <c r="AS365" s="194"/>
      <c r="AT365" s="195"/>
      <c r="AU365" s="195"/>
    </row>
    <row r="366" spans="1:47">
      <c r="A366" s="253"/>
      <c r="B366" s="230"/>
      <c r="C366" s="245"/>
      <c r="D366" s="230"/>
      <c r="E366" s="230"/>
      <c r="F366" s="230"/>
      <c r="G366" s="228"/>
      <c r="H366" s="230"/>
      <c r="I366" s="230"/>
      <c r="J366" s="246"/>
      <c r="K366" s="230"/>
      <c r="L366" s="230"/>
      <c r="M366" s="230"/>
      <c r="N366" s="230"/>
      <c r="O366" s="230"/>
      <c r="P366" s="256"/>
      <c r="Q366" s="257"/>
      <c r="R366" s="228"/>
      <c r="S366" s="228"/>
      <c r="T366" s="258"/>
      <c r="U366" s="254"/>
      <c r="V366" s="254"/>
      <c r="W366" s="228"/>
      <c r="X366" s="255"/>
      <c r="Y366" s="248"/>
      <c r="Z366" s="248"/>
      <c r="AA366" s="228"/>
      <c r="AB366" s="228"/>
      <c r="AC366" s="228"/>
      <c r="AD366" s="228"/>
      <c r="AE366" s="248"/>
      <c r="AF366" s="247"/>
      <c r="AG366" s="228"/>
      <c r="AH366" s="228"/>
      <c r="AI366" s="248"/>
      <c r="AJ366" s="248"/>
      <c r="AK366" s="194"/>
      <c r="AL366" s="249"/>
      <c r="AM366" s="250"/>
      <c r="AN366" s="251"/>
      <c r="AO366" s="252"/>
      <c r="AP366" s="241"/>
      <c r="AQ366" s="241"/>
      <c r="AR366" s="241"/>
      <c r="AS366" s="194"/>
      <c r="AT366" s="195"/>
      <c r="AU366" s="195"/>
    </row>
    <row r="367" spans="1:47">
      <c r="A367" s="253"/>
      <c r="B367" s="230"/>
      <c r="C367" s="245"/>
      <c r="D367" s="230"/>
      <c r="E367" s="230"/>
      <c r="F367" s="230"/>
      <c r="G367" s="228"/>
      <c r="H367" s="230"/>
      <c r="I367" s="230"/>
      <c r="J367" s="246"/>
      <c r="K367" s="230"/>
      <c r="L367" s="230"/>
      <c r="M367" s="230"/>
      <c r="N367" s="230"/>
      <c r="O367" s="230"/>
      <c r="P367" s="256"/>
      <c r="Q367" s="257"/>
      <c r="R367" s="228"/>
      <c r="S367" s="228"/>
      <c r="T367" s="258"/>
      <c r="U367" s="254"/>
      <c r="V367" s="254"/>
      <c r="W367" s="228"/>
      <c r="X367" s="255"/>
      <c r="Y367" s="248"/>
      <c r="Z367" s="248"/>
      <c r="AA367" s="228"/>
      <c r="AB367" s="228"/>
      <c r="AC367" s="228"/>
      <c r="AD367" s="228"/>
      <c r="AE367" s="248"/>
      <c r="AF367" s="247"/>
      <c r="AG367" s="228"/>
      <c r="AH367" s="228"/>
      <c r="AI367" s="248"/>
      <c r="AJ367" s="248"/>
      <c r="AK367" s="194"/>
      <c r="AL367" s="249"/>
      <c r="AM367" s="250"/>
      <c r="AN367" s="251"/>
      <c r="AO367" s="252"/>
      <c r="AP367" s="241"/>
      <c r="AQ367" s="241"/>
      <c r="AR367" s="241"/>
      <c r="AS367" s="194"/>
      <c r="AT367" s="195"/>
      <c r="AU367" s="195"/>
    </row>
    <row r="368" spans="1:47">
      <c r="A368" s="253"/>
      <c r="B368" s="230"/>
      <c r="C368" s="245"/>
      <c r="D368" s="230"/>
      <c r="E368" s="230"/>
      <c r="F368" s="230"/>
      <c r="G368" s="228"/>
      <c r="H368" s="230"/>
      <c r="I368" s="230"/>
      <c r="J368" s="246"/>
      <c r="K368" s="230"/>
      <c r="L368" s="230"/>
      <c r="M368" s="230"/>
      <c r="N368" s="230"/>
      <c r="O368" s="230"/>
      <c r="P368" s="256"/>
      <c r="Q368" s="257"/>
      <c r="R368" s="228"/>
      <c r="S368" s="228"/>
      <c r="T368" s="258"/>
      <c r="U368" s="254"/>
      <c r="V368" s="254"/>
      <c r="W368" s="228"/>
      <c r="X368" s="255"/>
      <c r="Y368" s="248"/>
      <c r="Z368" s="248"/>
      <c r="AA368" s="228"/>
      <c r="AB368" s="228"/>
      <c r="AC368" s="228"/>
      <c r="AD368" s="228"/>
      <c r="AE368" s="248"/>
      <c r="AF368" s="247"/>
      <c r="AG368" s="228"/>
      <c r="AH368" s="228"/>
      <c r="AI368" s="248"/>
      <c r="AJ368" s="248"/>
      <c r="AK368" s="194"/>
      <c r="AL368" s="249"/>
      <c r="AM368" s="250"/>
      <c r="AN368" s="251"/>
      <c r="AO368" s="252"/>
      <c r="AP368" s="241"/>
      <c r="AQ368" s="241"/>
      <c r="AR368" s="241"/>
      <c r="AS368" s="194"/>
      <c r="AT368" s="195"/>
      <c r="AU368" s="195"/>
    </row>
    <row r="369" spans="1:47">
      <c r="A369" s="253"/>
      <c r="B369" s="230"/>
      <c r="C369" s="245"/>
      <c r="D369" s="230"/>
      <c r="E369" s="230"/>
      <c r="F369" s="230"/>
      <c r="G369" s="228"/>
      <c r="H369" s="230"/>
      <c r="I369" s="230"/>
      <c r="J369" s="246"/>
      <c r="K369" s="230"/>
      <c r="L369" s="230"/>
      <c r="M369" s="230"/>
      <c r="N369" s="230"/>
      <c r="O369" s="230"/>
      <c r="P369" s="256"/>
      <c r="Q369" s="257"/>
      <c r="R369" s="228"/>
      <c r="S369" s="228"/>
      <c r="T369" s="258"/>
      <c r="U369" s="254"/>
      <c r="V369" s="254"/>
      <c r="W369" s="228"/>
      <c r="X369" s="255"/>
      <c r="Y369" s="248"/>
      <c r="Z369" s="248"/>
      <c r="AA369" s="228"/>
      <c r="AB369" s="228"/>
      <c r="AC369" s="228"/>
      <c r="AD369" s="228"/>
      <c r="AE369" s="248"/>
      <c r="AF369" s="247"/>
      <c r="AG369" s="228"/>
      <c r="AH369" s="228"/>
      <c r="AI369" s="248"/>
      <c r="AJ369" s="248"/>
      <c r="AK369" s="194"/>
      <c r="AL369" s="249"/>
      <c r="AM369" s="250"/>
      <c r="AN369" s="251"/>
      <c r="AO369" s="252"/>
      <c r="AP369" s="241"/>
      <c r="AQ369" s="241"/>
      <c r="AR369" s="241"/>
      <c r="AS369" s="194"/>
      <c r="AT369" s="195"/>
      <c r="AU369" s="195"/>
    </row>
    <row r="370" spans="1:47">
      <c r="A370" s="253"/>
      <c r="B370" s="230"/>
      <c r="C370" s="245"/>
      <c r="D370" s="230"/>
      <c r="E370" s="230"/>
      <c r="F370" s="230"/>
      <c r="G370" s="228"/>
      <c r="H370" s="230"/>
      <c r="I370" s="230"/>
      <c r="J370" s="246"/>
      <c r="K370" s="230"/>
      <c r="L370" s="230"/>
      <c r="M370" s="230"/>
      <c r="N370" s="230"/>
      <c r="O370" s="230"/>
      <c r="P370" s="256"/>
      <c r="Q370" s="257"/>
      <c r="R370" s="228"/>
      <c r="S370" s="228"/>
      <c r="T370" s="258"/>
      <c r="U370" s="254"/>
      <c r="V370" s="254"/>
      <c r="W370" s="228"/>
      <c r="X370" s="255"/>
      <c r="Y370" s="248"/>
      <c r="Z370" s="248"/>
      <c r="AA370" s="228"/>
      <c r="AB370" s="228"/>
      <c r="AC370" s="228"/>
      <c r="AD370" s="228"/>
      <c r="AE370" s="248"/>
      <c r="AF370" s="247"/>
      <c r="AG370" s="228"/>
      <c r="AH370" s="228"/>
      <c r="AI370" s="248"/>
      <c r="AJ370" s="248"/>
      <c r="AK370" s="194"/>
      <c r="AL370" s="249"/>
      <c r="AM370" s="250"/>
      <c r="AN370" s="251"/>
      <c r="AO370" s="252"/>
      <c r="AP370" s="241"/>
      <c r="AQ370" s="241"/>
      <c r="AR370" s="241"/>
      <c r="AS370" s="194"/>
      <c r="AT370" s="195"/>
      <c r="AU370" s="195"/>
    </row>
    <row r="371" spans="1:47">
      <c r="A371" s="253"/>
      <c r="B371" s="230"/>
      <c r="C371" s="245"/>
      <c r="D371" s="230"/>
      <c r="E371" s="230"/>
      <c r="F371" s="230"/>
      <c r="G371" s="228"/>
      <c r="H371" s="230"/>
      <c r="I371" s="230"/>
      <c r="J371" s="246"/>
      <c r="K371" s="230"/>
      <c r="L371" s="230"/>
      <c r="M371" s="230"/>
      <c r="N371" s="230"/>
      <c r="O371" s="230"/>
      <c r="P371" s="256"/>
      <c r="Q371" s="257"/>
      <c r="R371" s="228"/>
      <c r="S371" s="228"/>
      <c r="T371" s="258"/>
      <c r="U371" s="254"/>
      <c r="V371" s="254"/>
      <c r="W371" s="228"/>
      <c r="X371" s="255"/>
      <c r="Y371" s="248"/>
      <c r="Z371" s="248"/>
      <c r="AA371" s="228"/>
      <c r="AB371" s="228"/>
      <c r="AC371" s="228"/>
      <c r="AD371" s="228"/>
      <c r="AE371" s="248"/>
      <c r="AF371" s="247"/>
      <c r="AG371" s="228"/>
      <c r="AH371" s="228"/>
      <c r="AI371" s="248"/>
      <c r="AJ371" s="248"/>
      <c r="AK371" s="194"/>
      <c r="AL371" s="249"/>
      <c r="AM371" s="250"/>
      <c r="AN371" s="251"/>
      <c r="AO371" s="252"/>
      <c r="AP371" s="241"/>
      <c r="AQ371" s="241"/>
      <c r="AR371" s="241"/>
      <c r="AS371" s="194"/>
      <c r="AT371" s="195"/>
      <c r="AU371" s="195"/>
    </row>
    <row r="372" spans="1:47">
      <c r="A372" s="253"/>
      <c r="B372" s="230"/>
      <c r="C372" s="245"/>
      <c r="D372" s="230"/>
      <c r="E372" s="230"/>
      <c r="F372" s="230"/>
      <c r="G372" s="228"/>
      <c r="H372" s="230"/>
      <c r="I372" s="230"/>
      <c r="J372" s="246"/>
      <c r="K372" s="230"/>
      <c r="L372" s="230"/>
      <c r="M372" s="230"/>
      <c r="N372" s="230"/>
      <c r="O372" s="230"/>
      <c r="P372" s="256"/>
      <c r="Q372" s="257"/>
      <c r="R372" s="228"/>
      <c r="S372" s="228"/>
      <c r="T372" s="258"/>
      <c r="U372" s="254"/>
      <c r="V372" s="254"/>
      <c r="W372" s="228"/>
      <c r="X372" s="255"/>
      <c r="Y372" s="248"/>
      <c r="Z372" s="248"/>
      <c r="AA372" s="228"/>
      <c r="AB372" s="228"/>
      <c r="AC372" s="228"/>
      <c r="AD372" s="228"/>
      <c r="AE372" s="248"/>
      <c r="AF372" s="247"/>
      <c r="AG372" s="228"/>
      <c r="AH372" s="228"/>
      <c r="AI372" s="248"/>
      <c r="AJ372" s="248"/>
      <c r="AK372" s="194"/>
      <c r="AL372" s="249"/>
      <c r="AM372" s="250"/>
      <c r="AN372" s="251"/>
      <c r="AO372" s="252"/>
      <c r="AP372" s="241"/>
      <c r="AQ372" s="241"/>
      <c r="AR372" s="241"/>
      <c r="AS372" s="194"/>
      <c r="AT372" s="195"/>
      <c r="AU372" s="195"/>
    </row>
    <row r="373" spans="1:47">
      <c r="A373" s="253"/>
      <c r="B373" s="230"/>
      <c r="C373" s="245"/>
      <c r="D373" s="230"/>
      <c r="E373" s="230"/>
      <c r="F373" s="230"/>
      <c r="G373" s="228"/>
      <c r="H373" s="230"/>
      <c r="I373" s="230"/>
      <c r="J373" s="246"/>
      <c r="K373" s="230"/>
      <c r="L373" s="230"/>
      <c r="M373" s="230"/>
      <c r="N373" s="230"/>
      <c r="O373" s="230"/>
      <c r="P373" s="256"/>
      <c r="Q373" s="257"/>
      <c r="R373" s="228"/>
      <c r="S373" s="228"/>
      <c r="T373" s="258"/>
      <c r="U373" s="254"/>
      <c r="V373" s="254"/>
      <c r="W373" s="228"/>
      <c r="X373" s="255"/>
      <c r="Y373" s="248"/>
      <c r="Z373" s="248"/>
      <c r="AA373" s="228"/>
      <c r="AB373" s="228"/>
      <c r="AC373" s="228"/>
      <c r="AD373" s="228"/>
      <c r="AE373" s="248"/>
      <c r="AF373" s="247"/>
      <c r="AG373" s="228"/>
      <c r="AH373" s="228"/>
      <c r="AI373" s="248"/>
      <c r="AJ373" s="248"/>
      <c r="AK373" s="194"/>
      <c r="AL373" s="249"/>
      <c r="AM373" s="250"/>
      <c r="AN373" s="251"/>
      <c r="AO373" s="252"/>
      <c r="AP373" s="241"/>
      <c r="AQ373" s="241"/>
      <c r="AR373" s="241"/>
      <c r="AS373" s="194"/>
      <c r="AT373" s="195"/>
      <c r="AU373" s="195"/>
    </row>
    <row r="374" spans="1:47">
      <c r="A374" s="253"/>
      <c r="B374" s="230"/>
      <c r="C374" s="245"/>
      <c r="D374" s="230"/>
      <c r="E374" s="230"/>
      <c r="F374" s="230"/>
      <c r="G374" s="228"/>
      <c r="H374" s="230"/>
      <c r="I374" s="230"/>
      <c r="J374" s="246"/>
      <c r="K374" s="230"/>
      <c r="L374" s="230"/>
      <c r="M374" s="230"/>
      <c r="N374" s="230"/>
      <c r="O374" s="230"/>
      <c r="P374" s="256"/>
      <c r="Q374" s="257"/>
      <c r="R374" s="228"/>
      <c r="S374" s="228"/>
      <c r="T374" s="258"/>
      <c r="U374" s="254"/>
      <c r="V374" s="254"/>
      <c r="W374" s="228"/>
      <c r="X374" s="255"/>
      <c r="Y374" s="248"/>
      <c r="Z374" s="248"/>
      <c r="AA374" s="228"/>
      <c r="AB374" s="228"/>
      <c r="AC374" s="228"/>
      <c r="AD374" s="228"/>
      <c r="AE374" s="248"/>
      <c r="AF374" s="247"/>
      <c r="AG374" s="228"/>
      <c r="AH374" s="228"/>
      <c r="AI374" s="248"/>
      <c r="AJ374" s="248"/>
      <c r="AK374" s="194"/>
      <c r="AL374" s="249"/>
      <c r="AM374" s="250"/>
      <c r="AN374" s="251"/>
      <c r="AO374" s="252"/>
      <c r="AP374" s="241"/>
      <c r="AQ374" s="241"/>
      <c r="AR374" s="241"/>
      <c r="AS374" s="194"/>
      <c r="AT374" s="195"/>
      <c r="AU374" s="195"/>
    </row>
    <row r="375" spans="1:47">
      <c r="A375" s="253"/>
      <c r="B375" s="230"/>
      <c r="C375" s="245"/>
      <c r="D375" s="230"/>
      <c r="E375" s="230"/>
      <c r="F375" s="230"/>
      <c r="G375" s="228"/>
      <c r="H375" s="230"/>
      <c r="I375" s="230"/>
      <c r="J375" s="246"/>
      <c r="K375" s="230"/>
      <c r="L375" s="230"/>
      <c r="M375" s="230"/>
      <c r="N375" s="230"/>
      <c r="O375" s="230"/>
      <c r="P375" s="256"/>
      <c r="Q375" s="257"/>
      <c r="R375" s="228"/>
      <c r="S375" s="228"/>
      <c r="T375" s="258"/>
      <c r="U375" s="254"/>
      <c r="V375" s="254"/>
      <c r="W375" s="228"/>
      <c r="X375" s="255"/>
      <c r="Y375" s="248"/>
      <c r="Z375" s="248"/>
      <c r="AA375" s="228"/>
      <c r="AB375" s="228"/>
      <c r="AC375" s="228"/>
      <c r="AD375" s="228"/>
      <c r="AE375" s="248"/>
      <c r="AF375" s="247"/>
      <c r="AG375" s="228"/>
      <c r="AH375" s="228"/>
      <c r="AI375" s="248"/>
      <c r="AJ375" s="248"/>
      <c r="AK375" s="194"/>
      <c r="AL375" s="249"/>
      <c r="AM375" s="250"/>
      <c r="AN375" s="251"/>
      <c r="AO375" s="252"/>
      <c r="AP375" s="241"/>
      <c r="AQ375" s="241"/>
      <c r="AR375" s="241"/>
      <c r="AS375" s="194"/>
      <c r="AT375" s="195"/>
      <c r="AU375" s="195"/>
    </row>
    <row r="376" spans="1:47">
      <c r="A376" s="253"/>
      <c r="B376" s="230"/>
      <c r="C376" s="245"/>
      <c r="D376" s="230"/>
      <c r="E376" s="230"/>
      <c r="F376" s="230"/>
      <c r="G376" s="228"/>
      <c r="H376" s="230"/>
      <c r="I376" s="230"/>
      <c r="J376" s="246"/>
      <c r="K376" s="230"/>
      <c r="L376" s="230"/>
      <c r="M376" s="230"/>
      <c r="N376" s="230"/>
      <c r="O376" s="230"/>
      <c r="P376" s="256"/>
      <c r="Q376" s="257"/>
      <c r="R376" s="228"/>
      <c r="S376" s="228"/>
      <c r="T376" s="258"/>
      <c r="U376" s="254"/>
      <c r="V376" s="254"/>
      <c r="W376" s="228"/>
      <c r="X376" s="255"/>
      <c r="Y376" s="248"/>
      <c r="Z376" s="248"/>
      <c r="AA376" s="228"/>
      <c r="AB376" s="228"/>
      <c r="AC376" s="228"/>
      <c r="AD376" s="228"/>
      <c r="AE376" s="248"/>
      <c r="AF376" s="247"/>
      <c r="AG376" s="228"/>
      <c r="AH376" s="228"/>
      <c r="AI376" s="248"/>
      <c r="AJ376" s="248"/>
      <c r="AK376" s="194"/>
      <c r="AL376" s="249"/>
      <c r="AM376" s="250"/>
      <c r="AN376" s="251"/>
      <c r="AO376" s="252"/>
      <c r="AP376" s="241"/>
      <c r="AQ376" s="241"/>
      <c r="AR376" s="241"/>
      <c r="AS376" s="194"/>
      <c r="AT376" s="195"/>
      <c r="AU376" s="195"/>
    </row>
    <row r="377" spans="1:47">
      <c r="A377" s="253"/>
      <c r="B377" s="230"/>
      <c r="C377" s="245"/>
      <c r="D377" s="230"/>
      <c r="E377" s="230"/>
      <c r="F377" s="230"/>
      <c r="G377" s="228"/>
      <c r="H377" s="230"/>
      <c r="I377" s="230"/>
      <c r="J377" s="246"/>
      <c r="K377" s="230"/>
      <c r="L377" s="230"/>
      <c r="M377" s="230"/>
      <c r="N377" s="230"/>
      <c r="O377" s="230"/>
      <c r="P377" s="256"/>
      <c r="Q377" s="257"/>
      <c r="R377" s="228"/>
      <c r="S377" s="228"/>
      <c r="T377" s="258"/>
      <c r="U377" s="254"/>
      <c r="V377" s="254"/>
      <c r="W377" s="228"/>
      <c r="X377" s="255"/>
      <c r="Y377" s="248"/>
      <c r="Z377" s="248"/>
      <c r="AA377" s="228"/>
      <c r="AB377" s="228"/>
      <c r="AC377" s="228"/>
      <c r="AD377" s="228"/>
      <c r="AE377" s="248"/>
      <c r="AF377" s="247"/>
      <c r="AG377" s="228"/>
      <c r="AH377" s="228"/>
      <c r="AI377" s="248"/>
      <c r="AJ377" s="248"/>
      <c r="AK377" s="194"/>
      <c r="AL377" s="249"/>
      <c r="AM377" s="250"/>
      <c r="AN377" s="251"/>
      <c r="AO377" s="252"/>
      <c r="AP377" s="241"/>
      <c r="AQ377" s="241"/>
      <c r="AR377" s="241"/>
      <c r="AS377" s="194"/>
      <c r="AT377" s="195"/>
      <c r="AU377" s="195"/>
    </row>
    <row r="378" spans="1:47">
      <c r="A378" s="253"/>
      <c r="B378" s="230"/>
      <c r="C378" s="245"/>
      <c r="D378" s="230"/>
      <c r="E378" s="230"/>
      <c r="F378" s="230"/>
      <c r="G378" s="228"/>
      <c r="H378" s="230"/>
      <c r="I378" s="230"/>
      <c r="J378" s="246"/>
      <c r="K378" s="230"/>
      <c r="L378" s="230"/>
      <c r="M378" s="230"/>
      <c r="N378" s="230"/>
      <c r="O378" s="230"/>
      <c r="P378" s="256"/>
      <c r="Q378" s="257"/>
      <c r="R378" s="228"/>
      <c r="S378" s="228"/>
      <c r="T378" s="258"/>
      <c r="U378" s="254"/>
      <c r="V378" s="254"/>
      <c r="W378" s="228"/>
      <c r="X378" s="255"/>
      <c r="Y378" s="248"/>
      <c r="Z378" s="248"/>
      <c r="AA378" s="228"/>
      <c r="AB378" s="228"/>
      <c r="AC378" s="228"/>
      <c r="AD378" s="228"/>
      <c r="AE378" s="248"/>
      <c r="AF378" s="247"/>
      <c r="AG378" s="228"/>
      <c r="AH378" s="228"/>
      <c r="AI378" s="248"/>
      <c r="AJ378" s="248"/>
      <c r="AK378" s="194"/>
      <c r="AL378" s="249"/>
      <c r="AM378" s="250"/>
      <c r="AN378" s="251"/>
      <c r="AO378" s="252"/>
      <c r="AP378" s="241"/>
      <c r="AQ378" s="241"/>
      <c r="AR378" s="241"/>
      <c r="AS378" s="194"/>
      <c r="AT378" s="195"/>
      <c r="AU378" s="195"/>
    </row>
    <row r="379" spans="1:47">
      <c r="A379" s="253"/>
      <c r="B379" s="230"/>
      <c r="C379" s="245"/>
      <c r="D379" s="230"/>
      <c r="E379" s="230"/>
      <c r="F379" s="230"/>
      <c r="G379" s="228"/>
      <c r="H379" s="230"/>
      <c r="I379" s="230"/>
      <c r="J379" s="246"/>
      <c r="K379" s="230"/>
      <c r="L379" s="230"/>
      <c r="M379" s="230"/>
      <c r="N379" s="230"/>
      <c r="O379" s="230"/>
      <c r="P379" s="256"/>
      <c r="Q379" s="257"/>
      <c r="R379" s="228"/>
      <c r="S379" s="228"/>
      <c r="T379" s="258"/>
      <c r="U379" s="254"/>
      <c r="V379" s="254"/>
      <c r="W379" s="228"/>
      <c r="X379" s="255"/>
      <c r="Y379" s="248"/>
      <c r="Z379" s="248"/>
      <c r="AA379" s="228"/>
      <c r="AB379" s="228"/>
      <c r="AC379" s="228"/>
      <c r="AD379" s="228"/>
      <c r="AE379" s="248"/>
      <c r="AF379" s="247"/>
      <c r="AG379" s="228"/>
      <c r="AH379" s="228"/>
      <c r="AI379" s="248"/>
      <c r="AJ379" s="248"/>
      <c r="AK379" s="194"/>
      <c r="AL379" s="249"/>
      <c r="AM379" s="250"/>
      <c r="AN379" s="251"/>
      <c r="AO379" s="252"/>
      <c r="AP379" s="241"/>
      <c r="AQ379" s="241"/>
      <c r="AR379" s="241"/>
      <c r="AS379" s="194"/>
      <c r="AT379" s="195"/>
      <c r="AU379" s="195"/>
    </row>
    <row r="380" spans="1:47">
      <c r="A380" s="253"/>
      <c r="B380" s="230"/>
      <c r="C380" s="245"/>
      <c r="D380" s="230"/>
      <c r="E380" s="230"/>
      <c r="F380" s="230"/>
      <c r="G380" s="228"/>
      <c r="H380" s="230"/>
      <c r="I380" s="230"/>
      <c r="J380" s="246"/>
      <c r="K380" s="230"/>
      <c r="L380" s="230"/>
      <c r="M380" s="230"/>
      <c r="N380" s="230"/>
      <c r="O380" s="230"/>
      <c r="P380" s="256"/>
      <c r="Q380" s="257"/>
      <c r="R380" s="228"/>
      <c r="S380" s="228"/>
      <c r="T380" s="258"/>
      <c r="U380" s="254"/>
      <c r="V380" s="254"/>
      <c r="W380" s="228"/>
      <c r="X380" s="255"/>
      <c r="Y380" s="248"/>
      <c r="Z380" s="248"/>
      <c r="AA380" s="228"/>
      <c r="AB380" s="228"/>
      <c r="AC380" s="228"/>
      <c r="AD380" s="228"/>
      <c r="AE380" s="248"/>
      <c r="AF380" s="247"/>
      <c r="AG380" s="228"/>
      <c r="AH380" s="228"/>
      <c r="AI380" s="248"/>
      <c r="AJ380" s="248"/>
      <c r="AK380" s="194"/>
      <c r="AL380" s="249"/>
      <c r="AM380" s="250"/>
      <c r="AN380" s="251"/>
      <c r="AO380" s="252"/>
      <c r="AP380" s="241"/>
      <c r="AQ380" s="241"/>
      <c r="AR380" s="241"/>
      <c r="AS380" s="194"/>
      <c r="AT380" s="195"/>
      <c r="AU380" s="195"/>
    </row>
    <row r="381" spans="1:47">
      <c r="A381" s="253"/>
      <c r="B381" s="230"/>
      <c r="C381" s="245"/>
      <c r="D381" s="230"/>
      <c r="E381" s="230"/>
      <c r="F381" s="230"/>
      <c r="G381" s="228"/>
      <c r="H381" s="230"/>
      <c r="I381" s="230"/>
      <c r="J381" s="246"/>
      <c r="K381" s="230"/>
      <c r="L381" s="230"/>
      <c r="M381" s="230"/>
      <c r="N381" s="230"/>
      <c r="O381" s="230"/>
      <c r="P381" s="256"/>
      <c r="Q381" s="257"/>
      <c r="R381" s="228"/>
      <c r="S381" s="228"/>
      <c r="T381" s="258"/>
      <c r="U381" s="254"/>
      <c r="V381" s="254"/>
      <c r="W381" s="228"/>
      <c r="X381" s="255"/>
      <c r="Y381" s="248"/>
      <c r="Z381" s="248"/>
      <c r="AA381" s="228"/>
      <c r="AB381" s="228"/>
      <c r="AC381" s="228"/>
      <c r="AD381" s="228"/>
      <c r="AE381" s="248"/>
      <c r="AF381" s="247"/>
      <c r="AG381" s="228"/>
      <c r="AH381" s="228"/>
      <c r="AI381" s="248"/>
      <c r="AJ381" s="248"/>
      <c r="AK381" s="194"/>
      <c r="AL381" s="249"/>
      <c r="AM381" s="250"/>
      <c r="AN381" s="251"/>
      <c r="AO381" s="252"/>
      <c r="AP381" s="241"/>
      <c r="AQ381" s="241"/>
      <c r="AR381" s="241"/>
      <c r="AS381" s="194"/>
      <c r="AT381" s="195"/>
      <c r="AU381" s="195"/>
    </row>
    <row r="382" spans="1:47">
      <c r="A382" s="253"/>
      <c r="B382" s="230"/>
      <c r="C382" s="245"/>
      <c r="D382" s="230"/>
      <c r="E382" s="230"/>
      <c r="F382" s="230"/>
      <c r="G382" s="228"/>
      <c r="H382" s="230"/>
      <c r="I382" s="230"/>
      <c r="J382" s="246"/>
      <c r="K382" s="230"/>
      <c r="L382" s="230"/>
      <c r="M382" s="230"/>
      <c r="N382" s="230"/>
      <c r="O382" s="230"/>
      <c r="P382" s="256"/>
      <c r="Q382" s="257"/>
      <c r="R382" s="228"/>
      <c r="S382" s="228"/>
      <c r="T382" s="258"/>
      <c r="U382" s="254"/>
      <c r="V382" s="254"/>
      <c r="W382" s="228"/>
      <c r="X382" s="255"/>
      <c r="Y382" s="248"/>
      <c r="Z382" s="248"/>
      <c r="AA382" s="228"/>
      <c r="AB382" s="228"/>
      <c r="AC382" s="228"/>
      <c r="AD382" s="228"/>
      <c r="AE382" s="248"/>
      <c r="AF382" s="247"/>
      <c r="AG382" s="228"/>
      <c r="AH382" s="228"/>
      <c r="AI382" s="248"/>
      <c r="AJ382" s="248"/>
      <c r="AK382" s="194"/>
      <c r="AL382" s="249"/>
      <c r="AM382" s="250"/>
      <c r="AN382" s="251"/>
      <c r="AO382" s="252"/>
      <c r="AP382" s="241"/>
      <c r="AQ382" s="241"/>
      <c r="AR382" s="241"/>
      <c r="AS382" s="194"/>
      <c r="AT382" s="195"/>
      <c r="AU382" s="195"/>
    </row>
    <row r="383" spans="1:47">
      <c r="A383" s="253"/>
      <c r="B383" s="230"/>
      <c r="C383" s="245"/>
      <c r="D383" s="230"/>
      <c r="E383" s="230"/>
      <c r="F383" s="230"/>
      <c r="G383" s="228"/>
      <c r="H383" s="230"/>
      <c r="I383" s="230"/>
      <c r="J383" s="246"/>
      <c r="K383" s="230"/>
      <c r="L383" s="230"/>
      <c r="M383" s="230"/>
      <c r="N383" s="230"/>
      <c r="O383" s="230"/>
      <c r="P383" s="256"/>
      <c r="Q383" s="257"/>
      <c r="R383" s="228"/>
      <c r="S383" s="228"/>
      <c r="T383" s="258"/>
      <c r="U383" s="254"/>
      <c r="V383" s="254"/>
      <c r="W383" s="228"/>
      <c r="X383" s="255"/>
      <c r="Y383" s="248"/>
      <c r="Z383" s="248"/>
      <c r="AA383" s="228"/>
      <c r="AB383" s="228"/>
      <c r="AC383" s="228"/>
      <c r="AD383" s="228"/>
      <c r="AE383" s="248"/>
      <c r="AF383" s="247"/>
      <c r="AG383" s="228"/>
      <c r="AH383" s="228"/>
      <c r="AI383" s="248"/>
      <c r="AJ383" s="248"/>
      <c r="AK383" s="194"/>
      <c r="AL383" s="249"/>
      <c r="AM383" s="250"/>
      <c r="AN383" s="251"/>
      <c r="AO383" s="252"/>
      <c r="AP383" s="241"/>
      <c r="AQ383" s="241"/>
      <c r="AR383" s="241"/>
      <c r="AS383" s="194"/>
      <c r="AT383" s="195"/>
      <c r="AU383" s="195"/>
    </row>
    <row r="384" spans="1:47">
      <c r="A384" s="253"/>
      <c r="B384" s="230"/>
      <c r="C384" s="245"/>
      <c r="D384" s="230"/>
      <c r="E384" s="230"/>
      <c r="F384" s="230"/>
      <c r="G384" s="228"/>
      <c r="H384" s="230"/>
      <c r="I384" s="230"/>
      <c r="J384" s="246"/>
      <c r="K384" s="230"/>
      <c r="L384" s="230"/>
      <c r="M384" s="230"/>
      <c r="N384" s="230"/>
      <c r="O384" s="230"/>
      <c r="P384" s="256"/>
      <c r="Q384" s="257"/>
      <c r="R384" s="228"/>
      <c r="S384" s="228"/>
      <c r="T384" s="258"/>
      <c r="U384" s="254"/>
      <c r="V384" s="254"/>
      <c r="W384" s="228"/>
      <c r="X384" s="255"/>
      <c r="Y384" s="248"/>
      <c r="Z384" s="248"/>
      <c r="AA384" s="228"/>
      <c r="AB384" s="228"/>
      <c r="AC384" s="228"/>
      <c r="AD384" s="228"/>
      <c r="AE384" s="248"/>
      <c r="AF384" s="247"/>
      <c r="AG384" s="228"/>
      <c r="AH384" s="228"/>
      <c r="AI384" s="248"/>
      <c r="AJ384" s="248"/>
      <c r="AK384" s="194"/>
      <c r="AL384" s="249"/>
      <c r="AM384" s="250"/>
      <c r="AN384" s="251"/>
      <c r="AO384" s="252"/>
      <c r="AP384" s="241"/>
      <c r="AQ384" s="241"/>
      <c r="AR384" s="241"/>
      <c r="AS384" s="194"/>
      <c r="AT384" s="195"/>
      <c r="AU384" s="195"/>
    </row>
    <row r="385" spans="1:47">
      <c r="A385" s="253"/>
      <c r="B385" s="230"/>
      <c r="C385" s="245"/>
      <c r="D385" s="230"/>
      <c r="E385" s="230"/>
      <c r="F385" s="230"/>
      <c r="G385" s="228"/>
      <c r="H385" s="230"/>
      <c r="I385" s="230"/>
      <c r="J385" s="246"/>
      <c r="K385" s="230"/>
      <c r="L385" s="230"/>
      <c r="M385" s="230"/>
      <c r="N385" s="230"/>
      <c r="O385" s="230"/>
      <c r="P385" s="256"/>
      <c r="Q385" s="257"/>
      <c r="R385" s="228"/>
      <c r="S385" s="228"/>
      <c r="T385" s="258"/>
      <c r="U385" s="254"/>
      <c r="V385" s="254"/>
      <c r="W385" s="228"/>
      <c r="X385" s="255"/>
      <c r="Y385" s="248"/>
      <c r="Z385" s="248"/>
      <c r="AA385" s="228"/>
      <c r="AB385" s="228"/>
      <c r="AC385" s="228"/>
      <c r="AD385" s="228"/>
      <c r="AE385" s="248"/>
      <c r="AF385" s="247"/>
      <c r="AG385" s="228"/>
      <c r="AH385" s="228"/>
      <c r="AI385" s="248"/>
      <c r="AJ385" s="248"/>
      <c r="AK385" s="194"/>
      <c r="AL385" s="249"/>
      <c r="AM385" s="250"/>
      <c r="AN385" s="251"/>
      <c r="AO385" s="252"/>
      <c r="AP385" s="241"/>
      <c r="AQ385" s="241"/>
      <c r="AR385" s="241"/>
      <c r="AS385" s="194"/>
      <c r="AT385" s="195"/>
      <c r="AU385" s="195"/>
    </row>
    <row r="386" spans="1:47">
      <c r="A386" s="253"/>
      <c r="B386" s="230"/>
      <c r="C386" s="245"/>
      <c r="D386" s="230"/>
      <c r="E386" s="230"/>
      <c r="F386" s="230"/>
      <c r="G386" s="228"/>
      <c r="H386" s="230"/>
      <c r="I386" s="230"/>
      <c r="J386" s="246"/>
      <c r="K386" s="230"/>
      <c r="L386" s="230"/>
      <c r="M386" s="230"/>
      <c r="N386" s="230"/>
      <c r="O386" s="230"/>
      <c r="P386" s="256"/>
      <c r="Q386" s="257"/>
      <c r="R386" s="228"/>
      <c r="S386" s="228"/>
      <c r="T386" s="258"/>
      <c r="U386" s="254"/>
      <c r="V386" s="254"/>
      <c r="W386" s="228"/>
      <c r="X386" s="255"/>
      <c r="Y386" s="248"/>
      <c r="Z386" s="248"/>
      <c r="AA386" s="228"/>
      <c r="AB386" s="228"/>
      <c r="AC386" s="228"/>
      <c r="AD386" s="228"/>
      <c r="AE386" s="248"/>
      <c r="AF386" s="247"/>
      <c r="AG386" s="228"/>
      <c r="AH386" s="228"/>
      <c r="AI386" s="248"/>
      <c r="AJ386" s="248"/>
      <c r="AK386" s="194"/>
      <c r="AL386" s="249"/>
      <c r="AM386" s="250"/>
      <c r="AN386" s="251"/>
      <c r="AO386" s="252"/>
      <c r="AP386" s="241"/>
      <c r="AQ386" s="241"/>
      <c r="AR386" s="241"/>
      <c r="AS386" s="194"/>
      <c r="AT386" s="195"/>
      <c r="AU386" s="195"/>
    </row>
    <row r="387" spans="1:47">
      <c r="A387" s="253"/>
      <c r="B387" s="230"/>
      <c r="C387" s="245"/>
      <c r="D387" s="230"/>
      <c r="E387" s="230"/>
      <c r="F387" s="230"/>
      <c r="G387" s="228"/>
      <c r="H387" s="230"/>
      <c r="I387" s="230"/>
      <c r="J387" s="246"/>
      <c r="K387" s="230"/>
      <c r="L387" s="230"/>
      <c r="M387" s="230"/>
      <c r="N387" s="230"/>
      <c r="O387" s="230"/>
      <c r="P387" s="256"/>
      <c r="Q387" s="257"/>
      <c r="R387" s="228"/>
      <c r="S387" s="228"/>
      <c r="T387" s="258"/>
      <c r="U387" s="254"/>
      <c r="V387" s="254"/>
      <c r="W387" s="228"/>
      <c r="X387" s="255"/>
      <c r="Y387" s="248"/>
      <c r="Z387" s="248"/>
      <c r="AA387" s="228"/>
      <c r="AB387" s="228"/>
      <c r="AC387" s="228"/>
      <c r="AD387" s="228"/>
      <c r="AE387" s="248"/>
      <c r="AF387" s="247"/>
      <c r="AG387" s="228"/>
      <c r="AH387" s="228"/>
      <c r="AI387" s="248"/>
      <c r="AJ387" s="248"/>
      <c r="AK387" s="194"/>
      <c r="AL387" s="249"/>
      <c r="AM387" s="250"/>
      <c r="AN387" s="251"/>
      <c r="AO387" s="252"/>
      <c r="AP387" s="241"/>
      <c r="AQ387" s="241"/>
      <c r="AR387" s="241"/>
      <c r="AS387" s="194"/>
      <c r="AT387" s="195"/>
      <c r="AU387" s="195"/>
    </row>
    <row r="388" spans="1:47">
      <c r="A388" s="253"/>
      <c r="B388" s="230"/>
      <c r="C388" s="245"/>
      <c r="D388" s="230"/>
      <c r="E388" s="230"/>
      <c r="F388" s="230"/>
      <c r="G388" s="228"/>
      <c r="H388" s="230"/>
      <c r="I388" s="230"/>
      <c r="J388" s="246"/>
      <c r="K388" s="230"/>
      <c r="L388" s="230"/>
      <c r="M388" s="230"/>
      <c r="N388" s="230"/>
      <c r="O388" s="230"/>
      <c r="P388" s="256"/>
      <c r="Q388" s="257"/>
      <c r="R388" s="228"/>
      <c r="S388" s="228"/>
      <c r="T388" s="258"/>
      <c r="U388" s="254"/>
      <c r="V388" s="254"/>
      <c r="W388" s="228"/>
      <c r="X388" s="255"/>
      <c r="Y388" s="248"/>
      <c r="Z388" s="248"/>
      <c r="AA388" s="228"/>
      <c r="AB388" s="228"/>
      <c r="AC388" s="228"/>
      <c r="AD388" s="228"/>
      <c r="AE388" s="248"/>
      <c r="AF388" s="247"/>
      <c r="AG388" s="228"/>
      <c r="AH388" s="228"/>
      <c r="AI388" s="248"/>
      <c r="AJ388" s="248"/>
      <c r="AK388" s="194"/>
      <c r="AL388" s="249"/>
      <c r="AM388" s="250"/>
      <c r="AN388" s="251"/>
      <c r="AO388" s="252"/>
      <c r="AP388" s="241"/>
      <c r="AQ388" s="241"/>
      <c r="AR388" s="241"/>
      <c r="AS388" s="194"/>
      <c r="AT388" s="195"/>
      <c r="AU388" s="195"/>
    </row>
    <row r="389" spans="1:47">
      <c r="A389" s="253"/>
      <c r="B389" s="230"/>
      <c r="C389" s="245"/>
      <c r="D389" s="230"/>
      <c r="E389" s="230"/>
      <c r="F389" s="230"/>
      <c r="G389" s="228"/>
      <c r="H389" s="230"/>
      <c r="I389" s="230"/>
      <c r="J389" s="246"/>
      <c r="K389" s="230"/>
      <c r="L389" s="230"/>
      <c r="M389" s="230"/>
      <c r="N389" s="230"/>
      <c r="O389" s="230"/>
      <c r="P389" s="256"/>
      <c r="Q389" s="257"/>
      <c r="R389" s="228"/>
      <c r="S389" s="228"/>
      <c r="T389" s="258"/>
      <c r="U389" s="254"/>
      <c r="V389" s="254"/>
      <c r="W389" s="228"/>
      <c r="X389" s="255"/>
      <c r="Y389" s="248"/>
      <c r="Z389" s="248"/>
      <c r="AA389" s="228"/>
      <c r="AB389" s="228"/>
      <c r="AC389" s="228"/>
      <c r="AD389" s="228"/>
      <c r="AE389" s="248"/>
      <c r="AF389" s="247"/>
      <c r="AG389" s="228"/>
      <c r="AH389" s="228"/>
      <c r="AI389" s="248"/>
      <c r="AJ389" s="248"/>
      <c r="AK389" s="194"/>
      <c r="AL389" s="249"/>
      <c r="AM389" s="250"/>
      <c r="AN389" s="251"/>
      <c r="AO389" s="252"/>
      <c r="AP389" s="241"/>
      <c r="AQ389" s="241"/>
      <c r="AR389" s="241"/>
      <c r="AS389" s="194"/>
      <c r="AT389" s="195"/>
      <c r="AU389" s="195"/>
    </row>
    <row r="390" spans="1:47">
      <c r="A390" s="253"/>
      <c r="B390" s="230"/>
      <c r="C390" s="245"/>
      <c r="D390" s="230"/>
      <c r="E390" s="230"/>
      <c r="F390" s="230"/>
      <c r="G390" s="228"/>
      <c r="H390" s="230"/>
      <c r="I390" s="230"/>
      <c r="J390" s="246"/>
      <c r="K390" s="230"/>
      <c r="L390" s="230"/>
      <c r="M390" s="230"/>
      <c r="N390" s="230"/>
      <c r="O390" s="230"/>
      <c r="P390" s="256"/>
      <c r="Q390" s="257"/>
      <c r="R390" s="228"/>
      <c r="S390" s="228"/>
      <c r="T390" s="258"/>
      <c r="U390" s="254"/>
      <c r="V390" s="254"/>
      <c r="W390" s="228"/>
      <c r="X390" s="255"/>
      <c r="Y390" s="248"/>
      <c r="Z390" s="248"/>
      <c r="AA390" s="228"/>
      <c r="AB390" s="228"/>
      <c r="AC390" s="228"/>
      <c r="AD390" s="228"/>
      <c r="AE390" s="248"/>
      <c r="AF390" s="247"/>
      <c r="AG390" s="228"/>
      <c r="AH390" s="228"/>
      <c r="AI390" s="248"/>
      <c r="AJ390" s="248"/>
      <c r="AK390" s="194"/>
      <c r="AL390" s="249"/>
      <c r="AM390" s="250"/>
      <c r="AN390" s="251"/>
      <c r="AO390" s="252"/>
      <c r="AP390" s="241"/>
      <c r="AQ390" s="241"/>
      <c r="AR390" s="241"/>
      <c r="AS390" s="194"/>
      <c r="AT390" s="195"/>
      <c r="AU390" s="195"/>
    </row>
    <row r="391" spans="1:47">
      <c r="A391" s="253"/>
      <c r="B391" s="230"/>
      <c r="C391" s="245"/>
      <c r="D391" s="230"/>
      <c r="E391" s="230"/>
      <c r="F391" s="230"/>
      <c r="G391" s="228"/>
      <c r="H391" s="230"/>
      <c r="I391" s="230"/>
      <c r="J391" s="246"/>
      <c r="K391" s="230"/>
      <c r="L391" s="230"/>
      <c r="M391" s="230"/>
      <c r="N391" s="230"/>
      <c r="O391" s="230"/>
      <c r="P391" s="256"/>
      <c r="Q391" s="257"/>
      <c r="R391" s="228"/>
      <c r="S391" s="228"/>
      <c r="T391" s="258"/>
      <c r="U391" s="254"/>
      <c r="V391" s="254"/>
      <c r="W391" s="228"/>
      <c r="X391" s="255"/>
      <c r="Y391" s="248"/>
      <c r="Z391" s="248"/>
      <c r="AA391" s="228"/>
      <c r="AB391" s="228"/>
      <c r="AC391" s="228"/>
      <c r="AD391" s="228"/>
      <c r="AE391" s="248"/>
      <c r="AF391" s="247"/>
      <c r="AG391" s="228"/>
      <c r="AH391" s="228"/>
      <c r="AI391" s="248"/>
      <c r="AJ391" s="248"/>
      <c r="AK391" s="194"/>
      <c r="AL391" s="249"/>
      <c r="AM391" s="250"/>
      <c r="AN391" s="251"/>
      <c r="AO391" s="252"/>
      <c r="AP391" s="241"/>
      <c r="AQ391" s="241"/>
      <c r="AR391" s="241"/>
      <c r="AS391" s="194"/>
      <c r="AT391" s="195"/>
      <c r="AU391" s="195"/>
    </row>
    <row r="392" spans="1:47">
      <c r="A392" s="253"/>
      <c r="B392" s="230"/>
      <c r="C392" s="245"/>
      <c r="D392" s="230"/>
      <c r="E392" s="230"/>
      <c r="F392" s="230"/>
      <c r="G392" s="228"/>
      <c r="H392" s="230"/>
      <c r="I392" s="230"/>
      <c r="J392" s="246"/>
      <c r="K392" s="230"/>
      <c r="L392" s="230"/>
      <c r="M392" s="230"/>
      <c r="N392" s="230"/>
      <c r="O392" s="230"/>
      <c r="P392" s="256"/>
      <c r="Q392" s="257"/>
      <c r="R392" s="228"/>
      <c r="S392" s="228"/>
      <c r="T392" s="258"/>
      <c r="U392" s="254"/>
      <c r="V392" s="254"/>
      <c r="W392" s="228"/>
      <c r="X392" s="255"/>
      <c r="Y392" s="248"/>
      <c r="Z392" s="248"/>
      <c r="AA392" s="228"/>
      <c r="AB392" s="228"/>
      <c r="AC392" s="228"/>
      <c r="AD392" s="228"/>
      <c r="AE392" s="248"/>
      <c r="AF392" s="247"/>
      <c r="AG392" s="228"/>
      <c r="AH392" s="228"/>
      <c r="AI392" s="248"/>
      <c r="AJ392" s="248"/>
      <c r="AK392" s="194"/>
      <c r="AL392" s="249"/>
      <c r="AM392" s="250"/>
      <c r="AN392" s="251"/>
      <c r="AO392" s="252"/>
      <c r="AP392" s="241"/>
      <c r="AQ392" s="241"/>
      <c r="AR392" s="241"/>
      <c r="AS392" s="194"/>
      <c r="AT392" s="195"/>
      <c r="AU392" s="195"/>
    </row>
    <row r="393" spans="1:47">
      <c r="A393" s="253"/>
      <c r="B393" s="230"/>
      <c r="C393" s="245"/>
      <c r="D393" s="230"/>
      <c r="E393" s="230"/>
      <c r="F393" s="230"/>
      <c r="G393" s="228"/>
      <c r="H393" s="230"/>
      <c r="I393" s="230"/>
      <c r="J393" s="246"/>
      <c r="K393" s="230"/>
      <c r="L393" s="230"/>
      <c r="M393" s="230"/>
      <c r="N393" s="230"/>
      <c r="O393" s="230"/>
      <c r="P393" s="256"/>
      <c r="Q393" s="257"/>
      <c r="R393" s="228"/>
      <c r="S393" s="228"/>
      <c r="T393" s="258"/>
      <c r="U393" s="254"/>
      <c r="V393" s="254"/>
      <c r="W393" s="228"/>
      <c r="X393" s="255"/>
      <c r="Y393" s="248"/>
      <c r="Z393" s="248"/>
      <c r="AA393" s="228"/>
      <c r="AB393" s="228"/>
      <c r="AC393" s="228"/>
      <c r="AD393" s="228"/>
      <c r="AE393" s="248"/>
      <c r="AF393" s="247"/>
      <c r="AG393" s="228"/>
      <c r="AH393" s="228"/>
      <c r="AI393" s="248"/>
      <c r="AJ393" s="248"/>
      <c r="AK393" s="194"/>
      <c r="AL393" s="249"/>
      <c r="AM393" s="250"/>
      <c r="AN393" s="251"/>
      <c r="AO393" s="252"/>
      <c r="AP393" s="241"/>
      <c r="AQ393" s="241"/>
      <c r="AR393" s="241"/>
      <c r="AS393" s="194"/>
      <c r="AT393" s="195"/>
      <c r="AU393" s="195"/>
    </row>
    <row r="394" spans="1:47">
      <c r="A394" s="253"/>
      <c r="B394" s="230"/>
      <c r="C394" s="245"/>
      <c r="D394" s="230"/>
      <c r="E394" s="230"/>
      <c r="F394" s="230"/>
      <c r="G394" s="228"/>
      <c r="H394" s="230"/>
      <c r="I394" s="230"/>
      <c r="J394" s="246"/>
      <c r="K394" s="230"/>
      <c r="L394" s="230"/>
      <c r="M394" s="230"/>
      <c r="N394" s="230"/>
      <c r="O394" s="230"/>
      <c r="P394" s="256"/>
      <c r="Q394" s="257"/>
      <c r="R394" s="228"/>
      <c r="S394" s="228"/>
      <c r="T394" s="258"/>
      <c r="U394" s="254"/>
      <c r="V394" s="254"/>
      <c r="W394" s="228"/>
      <c r="X394" s="255"/>
      <c r="Y394" s="248"/>
      <c r="Z394" s="248"/>
      <c r="AA394" s="228"/>
      <c r="AB394" s="228"/>
      <c r="AC394" s="228"/>
      <c r="AD394" s="228"/>
      <c r="AE394" s="248"/>
      <c r="AF394" s="247"/>
      <c r="AG394" s="228"/>
      <c r="AH394" s="228"/>
      <c r="AI394" s="248"/>
      <c r="AJ394" s="248"/>
      <c r="AK394" s="194"/>
      <c r="AL394" s="249"/>
      <c r="AM394" s="250"/>
      <c r="AN394" s="251"/>
      <c r="AO394" s="252"/>
      <c r="AP394" s="241"/>
      <c r="AQ394" s="241"/>
      <c r="AR394" s="241"/>
      <c r="AS394" s="194"/>
      <c r="AT394" s="195"/>
      <c r="AU394" s="195"/>
    </row>
    <row r="395" spans="1:47">
      <c r="A395" s="253"/>
      <c r="B395" s="230"/>
      <c r="C395" s="245"/>
      <c r="D395" s="230"/>
      <c r="E395" s="230"/>
      <c r="F395" s="230"/>
      <c r="G395" s="228"/>
      <c r="H395" s="230"/>
      <c r="I395" s="230"/>
      <c r="J395" s="246"/>
      <c r="K395" s="230"/>
      <c r="L395" s="230"/>
      <c r="M395" s="230"/>
      <c r="N395" s="230"/>
      <c r="O395" s="230"/>
      <c r="P395" s="256"/>
      <c r="Q395" s="257"/>
      <c r="R395" s="228"/>
      <c r="S395" s="228"/>
      <c r="T395" s="258"/>
      <c r="U395" s="254"/>
      <c r="V395" s="254"/>
      <c r="W395" s="228"/>
      <c r="X395" s="255"/>
      <c r="Y395" s="248"/>
      <c r="Z395" s="248"/>
      <c r="AA395" s="228"/>
      <c r="AB395" s="228"/>
      <c r="AC395" s="228"/>
      <c r="AD395" s="228"/>
      <c r="AE395" s="248"/>
      <c r="AF395" s="247"/>
      <c r="AG395" s="228"/>
      <c r="AH395" s="228"/>
      <c r="AI395" s="248"/>
      <c r="AJ395" s="248"/>
      <c r="AK395" s="194"/>
      <c r="AL395" s="249"/>
      <c r="AM395" s="250"/>
      <c r="AN395" s="251"/>
      <c r="AO395" s="252"/>
      <c r="AP395" s="241"/>
      <c r="AQ395" s="241"/>
      <c r="AR395" s="241"/>
      <c r="AS395" s="194"/>
      <c r="AT395" s="195"/>
      <c r="AU395" s="195"/>
    </row>
    <row r="396" spans="1:47">
      <c r="A396" s="253"/>
      <c r="B396" s="230"/>
      <c r="C396" s="245"/>
      <c r="D396" s="230"/>
      <c r="E396" s="230"/>
      <c r="F396" s="230"/>
      <c r="G396" s="228"/>
      <c r="H396" s="230"/>
      <c r="I396" s="230"/>
      <c r="J396" s="246"/>
      <c r="K396" s="230"/>
      <c r="L396" s="230"/>
      <c r="M396" s="230"/>
      <c r="N396" s="230"/>
      <c r="O396" s="230"/>
      <c r="P396" s="256"/>
      <c r="Q396" s="257"/>
      <c r="R396" s="228"/>
      <c r="S396" s="228"/>
      <c r="T396" s="258"/>
      <c r="U396" s="254"/>
      <c r="V396" s="254"/>
      <c r="W396" s="228"/>
      <c r="X396" s="255"/>
      <c r="Y396" s="248"/>
      <c r="Z396" s="248"/>
      <c r="AA396" s="228"/>
      <c r="AB396" s="228"/>
      <c r="AC396" s="228"/>
      <c r="AD396" s="228"/>
      <c r="AE396" s="248"/>
      <c r="AF396" s="247"/>
      <c r="AG396" s="228"/>
      <c r="AH396" s="228"/>
      <c r="AI396" s="248"/>
      <c r="AJ396" s="248"/>
      <c r="AK396" s="194"/>
      <c r="AL396" s="249"/>
      <c r="AM396" s="250"/>
      <c r="AN396" s="251"/>
      <c r="AO396" s="252"/>
      <c r="AP396" s="241"/>
      <c r="AQ396" s="241"/>
      <c r="AR396" s="241"/>
      <c r="AS396" s="194"/>
      <c r="AT396" s="195"/>
      <c r="AU396" s="195"/>
    </row>
    <row r="397" spans="1:47">
      <c r="A397" s="253"/>
      <c r="B397" s="230"/>
      <c r="C397" s="245"/>
      <c r="D397" s="230"/>
      <c r="E397" s="230"/>
      <c r="F397" s="230"/>
      <c r="G397" s="228"/>
      <c r="H397" s="230"/>
      <c r="I397" s="230"/>
      <c r="J397" s="246"/>
      <c r="K397" s="230"/>
      <c r="L397" s="230"/>
      <c r="M397" s="230"/>
      <c r="N397" s="230"/>
      <c r="O397" s="230"/>
      <c r="P397" s="256"/>
      <c r="Q397" s="257"/>
      <c r="R397" s="228"/>
      <c r="S397" s="228"/>
      <c r="T397" s="258"/>
      <c r="U397" s="254"/>
      <c r="V397" s="254"/>
      <c r="W397" s="228"/>
      <c r="X397" s="255"/>
      <c r="Y397" s="248"/>
      <c r="Z397" s="248"/>
      <c r="AA397" s="228"/>
      <c r="AB397" s="228"/>
      <c r="AC397" s="228"/>
      <c r="AD397" s="228"/>
      <c r="AE397" s="248"/>
      <c r="AF397" s="247"/>
      <c r="AG397" s="228"/>
      <c r="AH397" s="228"/>
      <c r="AI397" s="248"/>
      <c r="AJ397" s="248"/>
      <c r="AK397" s="194"/>
      <c r="AL397" s="249"/>
      <c r="AM397" s="250"/>
      <c r="AN397" s="251"/>
      <c r="AO397" s="252"/>
      <c r="AP397" s="241"/>
      <c r="AQ397" s="241"/>
      <c r="AR397" s="241"/>
      <c r="AS397" s="194"/>
      <c r="AT397" s="195"/>
      <c r="AU397" s="195"/>
    </row>
    <row r="398" spans="1:47">
      <c r="A398" s="253"/>
      <c r="B398" s="230"/>
      <c r="C398" s="245"/>
      <c r="D398" s="230"/>
      <c r="E398" s="230"/>
      <c r="F398" s="230"/>
      <c r="G398" s="228"/>
      <c r="H398" s="230"/>
      <c r="I398" s="230"/>
      <c r="J398" s="246"/>
      <c r="K398" s="230"/>
      <c r="L398" s="230"/>
      <c r="M398" s="230"/>
      <c r="N398" s="230"/>
      <c r="O398" s="230"/>
      <c r="P398" s="256"/>
      <c r="Q398" s="257"/>
      <c r="R398" s="228"/>
      <c r="S398" s="228"/>
      <c r="T398" s="258"/>
      <c r="U398" s="254"/>
      <c r="V398" s="254"/>
      <c r="W398" s="228"/>
      <c r="X398" s="255"/>
      <c r="Y398" s="248"/>
      <c r="Z398" s="248"/>
      <c r="AA398" s="228"/>
      <c r="AB398" s="228"/>
      <c r="AC398" s="228"/>
      <c r="AD398" s="228"/>
      <c r="AE398" s="248"/>
      <c r="AF398" s="247"/>
      <c r="AG398" s="228"/>
      <c r="AH398" s="228"/>
      <c r="AI398" s="248"/>
      <c r="AJ398" s="248"/>
      <c r="AK398" s="194"/>
      <c r="AL398" s="249"/>
      <c r="AM398" s="250"/>
      <c r="AN398" s="251"/>
      <c r="AO398" s="252"/>
      <c r="AP398" s="241"/>
      <c r="AQ398" s="241"/>
      <c r="AR398" s="241"/>
      <c r="AS398" s="194"/>
      <c r="AT398" s="195"/>
      <c r="AU398" s="195"/>
    </row>
    <row r="399" spans="1:47">
      <c r="A399" s="253"/>
      <c r="B399" s="230"/>
      <c r="C399" s="245"/>
      <c r="D399" s="230"/>
      <c r="E399" s="230"/>
      <c r="F399" s="230"/>
      <c r="G399" s="228"/>
      <c r="H399" s="230"/>
      <c r="I399" s="230"/>
      <c r="J399" s="246"/>
      <c r="K399" s="230"/>
      <c r="L399" s="230"/>
      <c r="M399" s="230"/>
      <c r="N399" s="230"/>
      <c r="O399" s="230"/>
      <c r="P399" s="256"/>
      <c r="Q399" s="257"/>
      <c r="R399" s="228"/>
      <c r="S399" s="228"/>
      <c r="T399" s="258"/>
      <c r="U399" s="254"/>
      <c r="V399" s="254"/>
      <c r="W399" s="228"/>
      <c r="X399" s="255"/>
      <c r="Y399" s="248"/>
      <c r="Z399" s="248"/>
      <c r="AA399" s="228"/>
      <c r="AB399" s="228"/>
      <c r="AC399" s="228"/>
      <c r="AD399" s="228"/>
      <c r="AE399" s="248"/>
      <c r="AF399" s="247"/>
      <c r="AG399" s="228"/>
      <c r="AH399" s="228"/>
      <c r="AI399" s="248"/>
      <c r="AJ399" s="248"/>
      <c r="AK399" s="194"/>
      <c r="AL399" s="249"/>
      <c r="AM399" s="250"/>
      <c r="AN399" s="251"/>
      <c r="AO399" s="252"/>
      <c r="AP399" s="241"/>
      <c r="AQ399" s="241"/>
      <c r="AR399" s="241"/>
      <c r="AS399" s="194"/>
      <c r="AT399" s="195"/>
      <c r="AU399" s="195"/>
    </row>
    <row r="400" spans="1:47">
      <c r="A400" s="253"/>
      <c r="B400" s="230"/>
      <c r="C400" s="245"/>
      <c r="D400" s="230"/>
      <c r="E400" s="230"/>
      <c r="F400" s="230"/>
      <c r="G400" s="228"/>
      <c r="H400" s="230"/>
      <c r="I400" s="230"/>
      <c r="J400" s="246"/>
      <c r="K400" s="230"/>
      <c r="L400" s="230"/>
      <c r="M400" s="230"/>
      <c r="N400" s="230"/>
      <c r="O400" s="230"/>
      <c r="P400" s="256"/>
      <c r="Q400" s="257"/>
      <c r="R400" s="228"/>
      <c r="S400" s="228"/>
      <c r="T400" s="258"/>
      <c r="U400" s="254"/>
      <c r="V400" s="254"/>
      <c r="W400" s="228"/>
      <c r="X400" s="255"/>
      <c r="Y400" s="248"/>
      <c r="Z400" s="248"/>
      <c r="AA400" s="228"/>
      <c r="AB400" s="228"/>
      <c r="AC400" s="228"/>
      <c r="AD400" s="228"/>
      <c r="AE400" s="248"/>
      <c r="AF400" s="247"/>
      <c r="AG400" s="228"/>
      <c r="AH400" s="228"/>
      <c r="AI400" s="248"/>
      <c r="AJ400" s="248"/>
      <c r="AK400" s="194"/>
      <c r="AL400" s="249"/>
      <c r="AM400" s="250"/>
      <c r="AN400" s="251"/>
      <c r="AO400" s="252"/>
      <c r="AP400" s="241"/>
      <c r="AQ400" s="241"/>
      <c r="AR400" s="241"/>
      <c r="AS400" s="194"/>
      <c r="AT400" s="195"/>
      <c r="AU400" s="195"/>
    </row>
    <row r="401" spans="1:47">
      <c r="A401" s="253"/>
      <c r="B401" s="230"/>
      <c r="C401" s="245"/>
      <c r="D401" s="230"/>
      <c r="E401" s="230"/>
      <c r="F401" s="230"/>
      <c r="G401" s="228"/>
      <c r="H401" s="230"/>
      <c r="I401" s="230"/>
      <c r="J401" s="246"/>
      <c r="K401" s="230"/>
      <c r="L401" s="230"/>
      <c r="M401" s="230"/>
      <c r="N401" s="230"/>
      <c r="O401" s="230"/>
      <c r="P401" s="256"/>
      <c r="Q401" s="257"/>
      <c r="R401" s="228"/>
      <c r="S401" s="228"/>
      <c r="T401" s="258"/>
      <c r="U401" s="254"/>
      <c r="V401" s="254"/>
      <c r="W401" s="228"/>
      <c r="X401" s="255"/>
      <c r="Y401" s="248"/>
      <c r="Z401" s="248"/>
      <c r="AA401" s="228"/>
      <c r="AB401" s="228"/>
      <c r="AC401" s="228"/>
      <c r="AD401" s="228"/>
      <c r="AE401" s="248"/>
      <c r="AF401" s="247"/>
      <c r="AG401" s="228"/>
      <c r="AH401" s="228"/>
      <c r="AI401" s="248"/>
      <c r="AJ401" s="248"/>
      <c r="AK401" s="194"/>
      <c r="AL401" s="249"/>
      <c r="AM401" s="250"/>
      <c r="AN401" s="251"/>
      <c r="AO401" s="252"/>
      <c r="AP401" s="241"/>
      <c r="AQ401" s="241"/>
      <c r="AR401" s="241"/>
      <c r="AS401" s="194"/>
      <c r="AT401" s="195"/>
      <c r="AU401" s="195"/>
    </row>
    <row r="402" spans="1:47">
      <c r="A402" s="253"/>
      <c r="B402" s="230"/>
      <c r="C402" s="245"/>
      <c r="D402" s="230"/>
      <c r="E402" s="230"/>
      <c r="F402" s="230"/>
      <c r="G402" s="228"/>
      <c r="H402" s="230"/>
      <c r="I402" s="230"/>
      <c r="J402" s="246"/>
      <c r="K402" s="230"/>
      <c r="L402" s="230"/>
      <c r="M402" s="230"/>
      <c r="N402" s="230"/>
      <c r="O402" s="230"/>
      <c r="P402" s="256"/>
      <c r="Q402" s="257"/>
      <c r="R402" s="228"/>
      <c r="S402" s="228"/>
      <c r="T402" s="258"/>
      <c r="U402" s="254"/>
      <c r="V402" s="254"/>
      <c r="W402" s="228"/>
      <c r="X402" s="255"/>
      <c r="Y402" s="248"/>
      <c r="Z402" s="248"/>
      <c r="AA402" s="228"/>
      <c r="AB402" s="228"/>
      <c r="AC402" s="228"/>
      <c r="AD402" s="228"/>
      <c r="AE402" s="248"/>
      <c r="AF402" s="247"/>
      <c r="AG402" s="228"/>
      <c r="AH402" s="228"/>
      <c r="AI402" s="248"/>
      <c r="AJ402" s="248"/>
      <c r="AK402" s="194"/>
      <c r="AL402" s="249"/>
      <c r="AM402" s="250"/>
      <c r="AN402" s="251"/>
      <c r="AO402" s="252"/>
      <c r="AP402" s="241"/>
      <c r="AQ402" s="241"/>
      <c r="AR402" s="241"/>
      <c r="AS402" s="194"/>
      <c r="AT402" s="195"/>
      <c r="AU402" s="195"/>
    </row>
    <row r="403" spans="1:47">
      <c r="A403" s="253"/>
      <c r="B403" s="230"/>
      <c r="C403" s="245"/>
      <c r="D403" s="230"/>
      <c r="E403" s="230"/>
      <c r="F403" s="230"/>
      <c r="G403" s="228"/>
      <c r="H403" s="230"/>
      <c r="I403" s="230"/>
      <c r="J403" s="246"/>
      <c r="K403" s="230"/>
      <c r="L403" s="230"/>
      <c r="M403" s="230"/>
      <c r="N403" s="230"/>
      <c r="O403" s="230"/>
      <c r="P403" s="256"/>
      <c r="Q403" s="257"/>
      <c r="R403" s="228"/>
      <c r="S403" s="228"/>
      <c r="T403" s="258"/>
      <c r="U403" s="254"/>
      <c r="V403" s="254"/>
      <c r="W403" s="228"/>
      <c r="X403" s="255"/>
      <c r="Y403" s="248"/>
      <c r="Z403" s="248"/>
      <c r="AA403" s="228"/>
      <c r="AB403" s="228"/>
      <c r="AC403" s="228"/>
      <c r="AD403" s="228"/>
      <c r="AE403" s="248"/>
      <c r="AF403" s="247"/>
      <c r="AG403" s="228"/>
      <c r="AH403" s="228"/>
      <c r="AI403" s="248"/>
      <c r="AJ403" s="248"/>
      <c r="AK403" s="194"/>
      <c r="AL403" s="249"/>
      <c r="AM403" s="250"/>
      <c r="AN403" s="251"/>
      <c r="AO403" s="252"/>
      <c r="AP403" s="241"/>
      <c r="AQ403" s="241"/>
      <c r="AR403" s="241"/>
      <c r="AS403" s="194"/>
      <c r="AT403" s="195"/>
      <c r="AU403" s="195"/>
    </row>
    <row r="404" spans="1:47">
      <c r="A404" s="253"/>
      <c r="B404" s="230"/>
      <c r="C404" s="245"/>
      <c r="D404" s="230"/>
      <c r="E404" s="230"/>
      <c r="F404" s="230"/>
      <c r="G404" s="228"/>
      <c r="H404" s="230"/>
      <c r="I404" s="230"/>
      <c r="J404" s="246"/>
      <c r="K404" s="230"/>
      <c r="L404" s="230"/>
      <c r="M404" s="230"/>
      <c r="N404" s="230"/>
      <c r="O404" s="230"/>
      <c r="P404" s="256"/>
      <c r="Q404" s="257"/>
      <c r="R404" s="228"/>
      <c r="S404" s="228"/>
      <c r="T404" s="258"/>
      <c r="U404" s="254"/>
      <c r="V404" s="254"/>
      <c r="W404" s="228"/>
      <c r="X404" s="255"/>
      <c r="Y404" s="248"/>
      <c r="Z404" s="248"/>
      <c r="AA404" s="228"/>
      <c r="AB404" s="228"/>
      <c r="AC404" s="228"/>
      <c r="AD404" s="228"/>
      <c r="AE404" s="248"/>
      <c r="AF404" s="247"/>
      <c r="AG404" s="228"/>
      <c r="AH404" s="228"/>
      <c r="AI404" s="248"/>
      <c r="AJ404" s="248"/>
      <c r="AK404" s="194"/>
      <c r="AL404" s="249"/>
      <c r="AM404" s="250"/>
      <c r="AN404" s="251"/>
      <c r="AO404" s="252"/>
      <c r="AP404" s="241"/>
      <c r="AQ404" s="241"/>
      <c r="AR404" s="241"/>
      <c r="AS404" s="194"/>
      <c r="AT404" s="195"/>
      <c r="AU404" s="195"/>
    </row>
    <row r="405" spans="1:47">
      <c r="A405" s="253"/>
      <c r="B405" s="230"/>
      <c r="C405" s="245"/>
      <c r="D405" s="230"/>
      <c r="E405" s="230"/>
      <c r="F405" s="230"/>
      <c r="G405" s="228"/>
      <c r="H405" s="230"/>
      <c r="I405" s="230"/>
      <c r="J405" s="246"/>
      <c r="K405" s="230"/>
      <c r="L405" s="230"/>
      <c r="M405" s="230"/>
      <c r="N405" s="230"/>
      <c r="O405" s="230"/>
      <c r="P405" s="256"/>
      <c r="Q405" s="257"/>
      <c r="R405" s="228"/>
      <c r="S405" s="228"/>
      <c r="T405" s="258"/>
      <c r="U405" s="254"/>
      <c r="V405" s="254"/>
      <c r="W405" s="228"/>
      <c r="X405" s="255"/>
      <c r="Y405" s="248"/>
      <c r="Z405" s="248"/>
      <c r="AA405" s="228"/>
      <c r="AB405" s="228"/>
      <c r="AC405" s="228"/>
      <c r="AD405" s="228"/>
      <c r="AE405" s="248"/>
      <c r="AF405" s="247"/>
      <c r="AG405" s="228"/>
      <c r="AH405" s="228"/>
      <c r="AI405" s="248"/>
      <c r="AJ405" s="248"/>
      <c r="AK405" s="194"/>
      <c r="AL405" s="249"/>
      <c r="AM405" s="250"/>
      <c r="AN405" s="251"/>
      <c r="AO405" s="252"/>
      <c r="AP405" s="241"/>
      <c r="AQ405" s="241"/>
      <c r="AR405" s="241"/>
      <c r="AS405" s="194"/>
      <c r="AT405" s="195"/>
      <c r="AU405" s="195"/>
    </row>
    <row r="406" spans="1:47">
      <c r="A406" s="253"/>
      <c r="B406" s="230"/>
      <c r="C406" s="245"/>
      <c r="D406" s="230"/>
      <c r="E406" s="230"/>
      <c r="F406" s="230"/>
      <c r="G406" s="228"/>
      <c r="H406" s="230"/>
      <c r="I406" s="230"/>
      <c r="J406" s="246"/>
      <c r="K406" s="230"/>
      <c r="L406" s="230"/>
      <c r="M406" s="230"/>
      <c r="N406" s="230"/>
      <c r="O406" s="230"/>
      <c r="P406" s="256"/>
      <c r="Q406" s="257"/>
      <c r="R406" s="228"/>
      <c r="S406" s="228"/>
      <c r="T406" s="258"/>
      <c r="U406" s="254"/>
      <c r="V406" s="254"/>
      <c r="W406" s="228"/>
      <c r="X406" s="255"/>
      <c r="Y406" s="248"/>
      <c r="Z406" s="248"/>
      <c r="AA406" s="228"/>
      <c r="AB406" s="228"/>
      <c r="AC406" s="228"/>
      <c r="AD406" s="228"/>
      <c r="AE406" s="248"/>
      <c r="AF406" s="247"/>
      <c r="AG406" s="228"/>
      <c r="AH406" s="228"/>
      <c r="AI406" s="248"/>
      <c r="AJ406" s="248"/>
      <c r="AK406" s="194"/>
      <c r="AL406" s="249"/>
      <c r="AM406" s="250"/>
      <c r="AN406" s="251"/>
      <c r="AO406" s="252"/>
      <c r="AP406" s="241"/>
      <c r="AQ406" s="241"/>
      <c r="AR406" s="241"/>
      <c r="AS406" s="194"/>
      <c r="AT406" s="195"/>
      <c r="AU406" s="195"/>
    </row>
    <row r="407" spans="1:47">
      <c r="A407" s="253"/>
      <c r="B407" s="230"/>
      <c r="C407" s="245"/>
      <c r="D407" s="230"/>
      <c r="E407" s="230"/>
      <c r="F407" s="230"/>
      <c r="G407" s="228"/>
      <c r="H407" s="230"/>
      <c r="I407" s="230"/>
      <c r="J407" s="246"/>
      <c r="K407" s="230"/>
      <c r="L407" s="230"/>
      <c r="M407" s="230"/>
      <c r="N407" s="230"/>
      <c r="O407" s="230"/>
      <c r="P407" s="256"/>
      <c r="Q407" s="257"/>
      <c r="R407" s="228"/>
      <c r="S407" s="228"/>
      <c r="T407" s="258"/>
      <c r="U407" s="254"/>
      <c r="V407" s="254"/>
      <c r="W407" s="228"/>
      <c r="X407" s="255"/>
      <c r="Y407" s="248"/>
      <c r="Z407" s="248"/>
      <c r="AA407" s="228"/>
      <c r="AB407" s="228"/>
      <c r="AC407" s="228"/>
      <c r="AD407" s="228"/>
      <c r="AE407" s="248"/>
      <c r="AF407" s="247"/>
      <c r="AG407" s="228"/>
      <c r="AH407" s="228"/>
      <c r="AI407" s="248"/>
      <c r="AJ407" s="248"/>
      <c r="AK407" s="194"/>
      <c r="AL407" s="249"/>
      <c r="AM407" s="250"/>
      <c r="AN407" s="251"/>
      <c r="AO407" s="252"/>
      <c r="AP407" s="241"/>
      <c r="AQ407" s="241"/>
      <c r="AR407" s="241"/>
      <c r="AS407" s="194"/>
      <c r="AT407" s="195"/>
      <c r="AU407" s="195"/>
    </row>
    <row r="408" spans="1:47">
      <c r="A408" s="253"/>
      <c r="B408" s="230"/>
      <c r="C408" s="245"/>
      <c r="D408" s="230"/>
      <c r="E408" s="230"/>
      <c r="F408" s="230"/>
      <c r="G408" s="228"/>
      <c r="H408" s="230"/>
      <c r="I408" s="230"/>
      <c r="J408" s="246"/>
      <c r="K408" s="230"/>
      <c r="L408" s="230"/>
      <c r="M408" s="230"/>
      <c r="N408" s="230"/>
      <c r="O408" s="230"/>
      <c r="P408" s="256"/>
      <c r="Q408" s="257"/>
      <c r="R408" s="228"/>
      <c r="S408" s="228"/>
      <c r="T408" s="258"/>
      <c r="U408" s="254"/>
      <c r="V408" s="254"/>
      <c r="W408" s="228"/>
      <c r="X408" s="255"/>
      <c r="Y408" s="248"/>
      <c r="Z408" s="248"/>
      <c r="AA408" s="228"/>
      <c r="AB408" s="228"/>
      <c r="AC408" s="228"/>
      <c r="AD408" s="228"/>
      <c r="AE408" s="248"/>
      <c r="AF408" s="247"/>
      <c r="AG408" s="228"/>
      <c r="AH408" s="228"/>
      <c r="AI408" s="248"/>
      <c r="AJ408" s="248"/>
      <c r="AK408" s="194"/>
      <c r="AL408" s="249"/>
      <c r="AM408" s="250"/>
      <c r="AN408" s="251"/>
      <c r="AO408" s="252"/>
      <c r="AP408" s="241"/>
      <c r="AQ408" s="241"/>
      <c r="AR408" s="241"/>
      <c r="AS408" s="194"/>
      <c r="AT408" s="195"/>
      <c r="AU408" s="195"/>
    </row>
    <row r="409" spans="1:47">
      <c r="C409" s="245"/>
      <c r="U409" s="254"/>
      <c r="V409" s="292"/>
    </row>
    <row r="412" spans="1:47" ht="24.75" customHeight="1"/>
  </sheetData>
  <mergeCells count="4">
    <mergeCell ref="A1:E1"/>
    <mergeCell ref="A4:E4"/>
    <mergeCell ref="A8:E8"/>
    <mergeCell ref="AU9:AU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115C4-FEA3-4F19-9828-BC39943D5CC0}">
  <dimension ref="A1:AK318"/>
  <sheetViews>
    <sheetView zoomScaleNormal="100" workbookViewId="0">
      <pane xSplit="13" ySplit="5" topLeftCell="N6" activePane="bottomRight" state="frozen"/>
      <selection activeCell="J262" sqref="J262"/>
      <selection pane="topRight" activeCell="J262" sqref="J262"/>
      <selection pane="bottomLeft" activeCell="J262" sqref="J262"/>
      <selection pane="bottomRight" activeCell="C14" sqref="C14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6.88671875" style="4" customWidth="1"/>
    <col min="6" max="6" width="15" style="4" hidden="1" customWidth="1"/>
    <col min="7" max="7" width="7.33203125" style="4" customWidth="1"/>
    <col min="8" max="10" width="5.109375" style="6" customWidth="1"/>
    <col min="11" max="11" width="7.109375" style="11" customWidth="1"/>
    <col min="12" max="12" width="22.6640625" style="5" customWidth="1"/>
    <col min="13" max="13" width="23.6640625" style="5" customWidth="1"/>
    <col min="14" max="14" width="15.5546875" style="5" customWidth="1"/>
    <col min="15" max="15" width="14.44140625" style="7" customWidth="1"/>
    <col min="16" max="16" width="14.6640625" style="5" customWidth="1"/>
    <col min="17" max="17" width="12.33203125" style="5" customWidth="1"/>
    <col min="18" max="18" width="11.5546875" style="6" customWidth="1"/>
    <col min="19" max="19" width="10" style="1" customWidth="1"/>
    <col min="20" max="20" width="12.44140625" style="6" hidden="1" customWidth="1"/>
    <col min="21" max="22" width="15.33203125" style="1767" hidden="1" customWidth="1"/>
    <col min="23" max="23" width="12.6640625" style="1766" customWidth="1"/>
    <col min="24" max="24" width="13.109375" style="1766" customWidth="1"/>
    <col min="25" max="25" width="13" style="1766" customWidth="1"/>
    <col min="26" max="26" width="11.88671875" style="1766" customWidth="1"/>
    <col min="27" max="27" width="15.33203125" style="1767" customWidth="1"/>
    <col min="28" max="28" width="13.33203125" style="1766" customWidth="1"/>
    <col min="29" max="29" width="16.33203125" style="1766" customWidth="1"/>
    <col min="30" max="30" width="19.44140625" style="1766" customWidth="1"/>
    <col min="31" max="31" width="34.33203125" style="1768" customWidth="1"/>
    <col min="32" max="32" width="18.6640625" style="1799" customWidth="1"/>
    <col min="33" max="33" width="18.5546875" style="1770" customWidth="1"/>
    <col min="34" max="34" width="18.5546875" style="1771" customWidth="1"/>
    <col min="35" max="35" width="19" style="5" customWidth="1"/>
    <col min="36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37" ht="15" customHeight="1">
      <c r="B1" s="125"/>
      <c r="U1" s="2080"/>
      <c r="V1" s="2081"/>
      <c r="W1" s="2082"/>
      <c r="X1" s="2082"/>
      <c r="Y1" s="2082"/>
      <c r="Z1" s="2082"/>
      <c r="AA1" s="2083"/>
      <c r="AB1" s="2080"/>
      <c r="AC1" s="2083"/>
      <c r="AD1" s="2080"/>
      <c r="AE1" s="2084"/>
      <c r="AF1" s="2080"/>
      <c r="AG1" s="2080"/>
      <c r="AH1" s="2085"/>
    </row>
    <row r="2" spans="1:37" s="723" customFormat="1" ht="20.25" customHeight="1">
      <c r="A2" s="3304" t="s">
        <v>5545</v>
      </c>
      <c r="B2" s="3305"/>
      <c r="C2" s="3305"/>
      <c r="D2" s="3305"/>
      <c r="E2" s="3305"/>
      <c r="F2" s="3305"/>
      <c r="G2" s="3305"/>
      <c r="H2" s="3305"/>
      <c r="I2" s="3305"/>
      <c r="J2" s="3305"/>
      <c r="K2" s="3305"/>
      <c r="L2" s="3305"/>
      <c r="M2" s="3305"/>
      <c r="N2" s="3305"/>
      <c r="O2" s="3305"/>
      <c r="P2" s="3305"/>
      <c r="Q2" s="1763"/>
      <c r="R2" s="1764"/>
      <c r="S2" s="1763"/>
      <c r="T2" s="1764"/>
      <c r="U2" s="1764"/>
      <c r="V2" s="1764"/>
      <c r="W2" s="1764"/>
      <c r="X2" s="1764"/>
      <c r="Y2" s="1764"/>
      <c r="Z2" s="1764"/>
      <c r="AA2" s="1764"/>
      <c r="AB2" s="1764"/>
      <c r="AC2" s="1764"/>
      <c r="AD2" s="1764"/>
      <c r="AE2" s="1764"/>
      <c r="AF2" s="1764"/>
      <c r="AG2" s="1764"/>
      <c r="AH2" s="1764"/>
    </row>
    <row r="3" spans="1:37">
      <c r="B3" s="478"/>
      <c r="C3" s="648" t="s">
        <v>5544</v>
      </c>
      <c r="D3" s="3306" t="s">
        <v>6196</v>
      </c>
      <c r="E3" s="3306"/>
      <c r="F3" s="3306"/>
      <c r="G3" s="3306"/>
      <c r="H3" s="3306"/>
      <c r="I3" s="3306"/>
      <c r="J3" s="3306"/>
      <c r="K3" s="3306"/>
      <c r="L3" s="3306"/>
      <c r="M3" s="1243"/>
      <c r="N3" s="1765"/>
      <c r="P3" s="1243"/>
      <c r="Q3" s="1765"/>
    </row>
    <row r="4" spans="1:37" s="1801" customFormat="1" ht="39.6">
      <c r="A4" s="33" t="s">
        <v>2</v>
      </c>
      <c r="B4" s="1272" t="s">
        <v>2705</v>
      </c>
      <c r="C4" s="1273" t="s">
        <v>3</v>
      </c>
      <c r="D4" s="1274" t="s">
        <v>4</v>
      </c>
      <c r="E4" s="1273" t="s">
        <v>5</v>
      </c>
      <c r="F4" s="1477" t="s">
        <v>4699</v>
      </c>
      <c r="G4" s="1273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5662</v>
      </c>
      <c r="O4" s="323" t="s">
        <v>4380</v>
      </c>
      <c r="P4" s="1275" t="s">
        <v>4360</v>
      </c>
      <c r="Q4" s="1275" t="s">
        <v>5939</v>
      </c>
      <c r="R4" s="33" t="s">
        <v>187</v>
      </c>
      <c r="S4" s="2175" t="s">
        <v>1596</v>
      </c>
      <c r="T4" s="1276" t="s">
        <v>4665</v>
      </c>
      <c r="U4" s="1276" t="s">
        <v>4664</v>
      </c>
      <c r="V4" s="1276" t="s">
        <v>4678</v>
      </c>
      <c r="W4" s="1270" t="s">
        <v>1291</v>
      </c>
      <c r="X4" s="1270" t="s">
        <v>190</v>
      </c>
      <c r="Y4" s="1270" t="s">
        <v>191</v>
      </c>
      <c r="Z4" s="1276" t="s">
        <v>192</v>
      </c>
      <c r="AA4" s="1276" t="s">
        <v>1313</v>
      </c>
      <c r="AB4" s="1271" t="s">
        <v>194</v>
      </c>
      <c r="AC4" s="1271" t="s">
        <v>4652</v>
      </c>
      <c r="AD4" s="1271" t="s">
        <v>195</v>
      </c>
      <c r="AE4" s="1277" t="s">
        <v>197</v>
      </c>
      <c r="AF4" s="1276" t="s">
        <v>198</v>
      </c>
      <c r="AG4" s="1271" t="s">
        <v>199</v>
      </c>
      <c r="AH4" s="1288" t="s">
        <v>200</v>
      </c>
      <c r="AI4" s="2118" t="s">
        <v>5718</v>
      </c>
    </row>
    <row r="5" spans="1:37" ht="15.6">
      <c r="A5" s="3307" t="s">
        <v>5485</v>
      </c>
      <c r="B5" s="3308"/>
      <c r="C5" s="3308"/>
      <c r="D5" s="3308"/>
      <c r="E5" s="3308"/>
      <c r="F5" s="3308"/>
      <c r="G5" s="3308"/>
      <c r="H5" s="3308"/>
      <c r="I5" s="3308"/>
      <c r="J5" s="3308"/>
      <c r="K5" s="3308"/>
      <c r="L5" s="3309"/>
      <c r="M5" s="2086"/>
      <c r="N5" s="2086"/>
      <c r="O5" s="2087"/>
      <c r="P5" s="2087"/>
      <c r="Q5" s="2087"/>
      <c r="R5" s="2088"/>
      <c r="S5" s="2089"/>
      <c r="T5" s="2088"/>
      <c r="U5" s="2090"/>
      <c r="V5" s="2090"/>
      <c r="W5" s="2091"/>
      <c r="X5" s="2088"/>
      <c r="Y5" s="2088"/>
      <c r="Z5" s="2088"/>
      <c r="AA5" s="2090"/>
      <c r="AB5" s="2088"/>
      <c r="AC5" s="2092"/>
      <c r="AD5" s="2092"/>
      <c r="AE5" s="2093"/>
      <c r="AF5" s="2094"/>
      <c r="AG5" s="2094"/>
      <c r="AH5" s="2094"/>
      <c r="AI5" s="2191">
        <v>450000</v>
      </c>
      <c r="AJ5" s="6"/>
      <c r="AK5" s="5"/>
    </row>
    <row r="6" spans="1:37" s="2056" customFormat="1" ht="32.25" customHeight="1">
      <c r="A6" s="1503">
        <v>1</v>
      </c>
      <c r="B6" s="2045" t="s">
        <v>5575</v>
      </c>
      <c r="C6" s="1915">
        <v>107141079951</v>
      </c>
      <c r="D6" s="1520" t="s">
        <v>5512</v>
      </c>
      <c r="E6" s="2046" t="s">
        <v>5558</v>
      </c>
      <c r="F6" s="2047"/>
      <c r="G6" s="1915" t="s">
        <v>206</v>
      </c>
      <c r="H6" s="2048">
        <v>1</v>
      </c>
      <c r="I6" s="2048"/>
      <c r="J6" s="2048"/>
      <c r="K6" s="2079" t="s">
        <v>123</v>
      </c>
      <c r="L6" s="2047" t="s">
        <v>5546</v>
      </c>
      <c r="M6" s="2049" t="s">
        <v>5547</v>
      </c>
      <c r="N6" s="2049" t="s">
        <v>5663</v>
      </c>
      <c r="O6" s="2078" t="s">
        <v>5549</v>
      </c>
      <c r="P6" s="2077" t="s">
        <v>5548</v>
      </c>
      <c r="Q6" s="2077"/>
      <c r="R6" s="2062" t="s">
        <v>287</v>
      </c>
      <c r="S6" s="2050"/>
      <c r="T6" s="2051"/>
      <c r="U6" s="2051"/>
      <c r="V6" s="2051"/>
      <c r="W6" s="2052"/>
      <c r="X6" s="2119">
        <v>497000</v>
      </c>
      <c r="Y6" s="2173">
        <v>999000</v>
      </c>
      <c r="Z6" s="2076">
        <f>5670000+1150000</f>
        <v>6820000</v>
      </c>
      <c r="AA6" s="2227">
        <v>250000</v>
      </c>
      <c r="AB6" s="2052"/>
      <c r="AC6" s="2052"/>
      <c r="AD6" s="1339">
        <f>+SUM(W6:AC6)</f>
        <v>8566000</v>
      </c>
      <c r="AE6" s="2139" t="s">
        <v>5553</v>
      </c>
      <c r="AF6" s="341">
        <f>((H6*4600000)+(I6*4600000))*1.08+(S6*500000*1.08)</f>
        <v>4968000</v>
      </c>
      <c r="AG6" s="342">
        <f>+AD6+AF6</f>
        <v>13534000</v>
      </c>
      <c r="AH6" s="2051"/>
      <c r="AI6" s="2192"/>
    </row>
    <row r="7" spans="1:37" s="2056" customFormat="1" ht="47.25" customHeight="1">
      <c r="A7" s="1503">
        <f>+A6+1</f>
        <v>2</v>
      </c>
      <c r="B7" s="2045" t="s">
        <v>5633</v>
      </c>
      <c r="C7" s="1915">
        <v>107162617701</v>
      </c>
      <c r="D7" s="2045" t="s">
        <v>5574</v>
      </c>
      <c r="E7" s="2133" t="s">
        <v>5559</v>
      </c>
      <c r="F7" s="2035"/>
      <c r="G7" s="1915" t="s">
        <v>206</v>
      </c>
      <c r="H7" s="2048">
        <v>1</v>
      </c>
      <c r="I7" s="2048"/>
      <c r="J7" s="2048"/>
      <c r="K7" s="2167" t="s">
        <v>136</v>
      </c>
      <c r="L7" s="2035" t="s">
        <v>5556</v>
      </c>
      <c r="M7" s="2058" t="s">
        <v>5557</v>
      </c>
      <c r="N7" s="2058" t="s">
        <v>5664</v>
      </c>
      <c r="O7" s="2078" t="s">
        <v>5574</v>
      </c>
      <c r="P7" s="2077" t="s">
        <v>5594</v>
      </c>
      <c r="Q7" s="2077"/>
      <c r="R7" s="2062" t="s">
        <v>287</v>
      </c>
      <c r="S7" s="2050">
        <v>1</v>
      </c>
      <c r="T7" s="2051"/>
      <c r="U7" s="2051"/>
      <c r="V7" s="2051"/>
      <c r="W7" s="2052"/>
      <c r="X7" s="2119">
        <v>1194000</v>
      </c>
      <c r="Y7" s="2173">
        <v>980000</v>
      </c>
      <c r="Z7" s="2076">
        <f>5670000+1150000</f>
        <v>6820000</v>
      </c>
      <c r="AA7" s="2227">
        <v>250000</v>
      </c>
      <c r="AB7" s="2052"/>
      <c r="AC7" s="2052"/>
      <c r="AD7" s="1339">
        <f t="shared" ref="AD7:AD16" si="0">+SUM(W7:AC7)</f>
        <v>9244000</v>
      </c>
      <c r="AE7" s="2168" t="s">
        <v>5719</v>
      </c>
      <c r="AF7" s="341">
        <f>((H7*4600000)+(I7*4600000))*1.08+(S7*500000*1.08)</f>
        <v>5508000</v>
      </c>
      <c r="AG7" s="342">
        <f>+AD7+AF7</f>
        <v>14752000</v>
      </c>
      <c r="AH7" s="2051"/>
      <c r="AI7" s="2192"/>
    </row>
    <row r="8" spans="1:37" s="2056" customFormat="1" ht="26.25" customHeight="1">
      <c r="A8" s="1503">
        <f t="shared" ref="A8:A73" si="1">+A7+1</f>
        <v>3</v>
      </c>
      <c r="B8" s="2042" t="s">
        <v>5717</v>
      </c>
      <c r="C8" s="1915">
        <v>107183292050</v>
      </c>
      <c r="D8" s="2016" t="s">
        <v>5633</v>
      </c>
      <c r="E8" s="2029" t="s">
        <v>5644</v>
      </c>
      <c r="F8" s="2035"/>
      <c r="G8" s="1915" t="s">
        <v>206</v>
      </c>
      <c r="H8" s="2048">
        <v>1</v>
      </c>
      <c r="I8" s="1549"/>
      <c r="J8" s="1549"/>
      <c r="K8" s="2079" t="s">
        <v>123</v>
      </c>
      <c r="L8" s="1504" t="s">
        <v>5600</v>
      </c>
      <c r="M8" s="1504" t="s">
        <v>5601</v>
      </c>
      <c r="N8" s="1504" t="s">
        <v>5665</v>
      </c>
      <c r="O8" s="2064" t="s">
        <v>5633</v>
      </c>
      <c r="P8" s="1504" t="s">
        <v>5690</v>
      </c>
      <c r="Q8" s="1504"/>
      <c r="R8" s="2062" t="s">
        <v>287</v>
      </c>
      <c r="S8" s="2050"/>
      <c r="T8" s="2051"/>
      <c r="U8" s="2051"/>
      <c r="V8" s="2051"/>
      <c r="W8" s="2052"/>
      <c r="X8" s="2119">
        <v>1018000</v>
      </c>
      <c r="Y8" s="2173">
        <v>1000000</v>
      </c>
      <c r="Z8" s="2076">
        <f>5670000+1150000</f>
        <v>6820000</v>
      </c>
      <c r="AA8" s="2227">
        <v>250000</v>
      </c>
      <c r="AB8" s="2052"/>
      <c r="AC8" s="2052"/>
      <c r="AD8" s="1339">
        <f t="shared" si="0"/>
        <v>9088000</v>
      </c>
      <c r="AE8" s="2139" t="s">
        <v>5553</v>
      </c>
      <c r="AF8" s="341">
        <f t="shared" ref="AF8:AF15" si="2">((H8*4600000)+(I8*4600000))*1.08+(S8*500000*1.08)</f>
        <v>4968000</v>
      </c>
      <c r="AG8" s="342">
        <f>+AD8+AF8</f>
        <v>14056000</v>
      </c>
      <c r="AH8" s="2051"/>
      <c r="AI8" s="2192"/>
    </row>
    <row r="9" spans="1:37" s="2056" customFormat="1" ht="26.25" customHeight="1">
      <c r="A9" s="1503">
        <f t="shared" si="1"/>
        <v>4</v>
      </c>
      <c r="B9" s="2042" t="s">
        <v>5749</v>
      </c>
      <c r="C9" s="2067">
        <v>107191284911</v>
      </c>
      <c r="D9" s="2016" t="s">
        <v>5655</v>
      </c>
      <c r="E9" s="2029" t="s">
        <v>5675</v>
      </c>
      <c r="F9" s="2035"/>
      <c r="G9" s="1915" t="s">
        <v>206</v>
      </c>
      <c r="H9" s="2048">
        <v>1</v>
      </c>
      <c r="I9" s="2048"/>
      <c r="J9" s="2048"/>
      <c r="K9" s="2167" t="s">
        <v>136</v>
      </c>
      <c r="L9" s="2035" t="s">
        <v>5603</v>
      </c>
      <c r="M9" s="2059" t="s">
        <v>5604</v>
      </c>
      <c r="N9" s="2059" t="s">
        <v>5666</v>
      </c>
      <c r="O9" s="2060" t="s">
        <v>5630</v>
      </c>
      <c r="P9" s="1504" t="s">
        <v>5689</v>
      </c>
      <c r="Q9" s="1504"/>
      <c r="R9" s="2062" t="s">
        <v>287</v>
      </c>
      <c r="S9" s="2050">
        <v>1</v>
      </c>
      <c r="T9" s="2051"/>
      <c r="U9" s="2051"/>
      <c r="V9" s="2051"/>
      <c r="W9" s="2052"/>
      <c r="X9" s="2119">
        <v>1337000</v>
      </c>
      <c r="Y9" s="2173">
        <f>265000+ 980000</f>
        <v>1245000</v>
      </c>
      <c r="Z9" s="2076">
        <f>5670000+1150000</f>
        <v>6820000</v>
      </c>
      <c r="AA9" s="2227">
        <v>250000</v>
      </c>
      <c r="AB9" s="2052"/>
      <c r="AC9" s="2052"/>
      <c r="AD9" s="1339">
        <f t="shared" si="0"/>
        <v>9652000</v>
      </c>
      <c r="AE9" s="2168" t="s">
        <v>6093</v>
      </c>
      <c r="AF9" s="341">
        <f t="shared" si="2"/>
        <v>5508000</v>
      </c>
      <c r="AG9" s="342">
        <f>+AD9+AF9</f>
        <v>15160000</v>
      </c>
      <c r="AH9" s="2097"/>
      <c r="AI9" s="2192"/>
    </row>
    <row r="10" spans="1:37" s="2056" customFormat="1" ht="25.5" customHeight="1">
      <c r="A10" s="1503">
        <f t="shared" si="1"/>
        <v>5</v>
      </c>
      <c r="B10" s="2263"/>
      <c r="C10" s="2067">
        <v>107200172110</v>
      </c>
      <c r="D10" s="1520" t="s">
        <v>5656</v>
      </c>
      <c r="E10" s="2029" t="s">
        <v>5706</v>
      </c>
      <c r="F10" s="2035"/>
      <c r="G10" s="1915" t="s">
        <v>206</v>
      </c>
      <c r="H10" s="2048">
        <v>1</v>
      </c>
      <c r="I10" s="2048"/>
      <c r="J10" s="2048"/>
      <c r="K10" s="2079" t="s">
        <v>123</v>
      </c>
      <c r="L10" s="2063" t="s">
        <v>5707</v>
      </c>
      <c r="M10" s="2035" t="s">
        <v>5708</v>
      </c>
      <c r="N10" s="2035" t="s">
        <v>5667</v>
      </c>
      <c r="O10" s="2064" t="s">
        <v>5749</v>
      </c>
      <c r="P10" s="2035" t="s">
        <v>5752</v>
      </c>
      <c r="Q10" s="2035"/>
      <c r="R10" s="2062" t="s">
        <v>287</v>
      </c>
      <c r="S10" s="2035"/>
      <c r="T10" s="2051"/>
      <c r="U10" s="2051"/>
      <c r="V10" s="2051"/>
      <c r="W10" s="2035"/>
      <c r="X10" s="2119">
        <v>727000</v>
      </c>
      <c r="Y10" s="2173">
        <v>999000</v>
      </c>
      <c r="Z10" s="2076">
        <f>5670000+1150000</f>
        <v>6820000</v>
      </c>
      <c r="AA10" s="2227">
        <v>250000</v>
      </c>
      <c r="AB10" s="2035"/>
      <c r="AC10" s="2035"/>
      <c r="AD10" s="1339">
        <f t="shared" si="0"/>
        <v>8796000</v>
      </c>
      <c r="AE10" s="2139" t="s">
        <v>5553</v>
      </c>
      <c r="AF10" s="341">
        <f t="shared" si="2"/>
        <v>4968000</v>
      </c>
      <c r="AG10" s="342">
        <f>+AD12+AF10</f>
        <v>5008000</v>
      </c>
      <c r="AH10" s="2051"/>
      <c r="AI10" s="2192"/>
    </row>
    <row r="11" spans="1:37" ht="15.6">
      <c r="A11" s="3307" t="s">
        <v>5776</v>
      </c>
      <c r="B11" s="3308"/>
      <c r="C11" s="3308"/>
      <c r="D11" s="3308"/>
      <c r="E11" s="3308"/>
      <c r="F11" s="3308"/>
      <c r="G11" s="3308"/>
      <c r="H11" s="3308"/>
      <c r="I11" s="3308"/>
      <c r="J11" s="3308"/>
      <c r="K11" s="3308"/>
      <c r="L11" s="3309"/>
      <c r="M11" s="2086"/>
      <c r="N11" s="2086"/>
      <c r="O11" s="2087"/>
      <c r="P11" s="2087"/>
      <c r="Q11" s="2087"/>
      <c r="R11" s="2088"/>
      <c r="S11" s="2089"/>
      <c r="T11" s="2088"/>
      <c r="U11" s="2090"/>
      <c r="V11" s="2090"/>
      <c r="W11" s="2091"/>
      <c r="X11" s="2088"/>
      <c r="Y11" s="2088"/>
      <c r="Z11" s="2088"/>
      <c r="AA11" s="2090"/>
      <c r="AB11" s="2088"/>
      <c r="AC11" s="2092"/>
      <c r="AD11" s="2092"/>
      <c r="AE11" s="2093"/>
      <c r="AF11" s="2094"/>
      <c r="AG11" s="2094"/>
      <c r="AH11" s="2094"/>
      <c r="AI11" s="2191">
        <v>450000</v>
      </c>
      <c r="AJ11" s="6"/>
      <c r="AK11" s="5"/>
    </row>
    <row r="12" spans="1:37" ht="27">
      <c r="A12" s="2054"/>
      <c r="B12" s="2054"/>
      <c r="C12" s="2099" t="s">
        <v>5926</v>
      </c>
      <c r="D12" s="2343" t="s">
        <v>5927</v>
      </c>
      <c r="E12" s="2054"/>
      <c r="F12" s="2054"/>
      <c r="G12" s="2054"/>
      <c r="H12" s="2054"/>
      <c r="I12" s="2054"/>
      <c r="J12" s="2054"/>
      <c r="K12" s="2054"/>
      <c r="L12" s="2054"/>
      <c r="M12" s="2100"/>
      <c r="N12" s="2100"/>
      <c r="O12" s="2056"/>
      <c r="P12" s="2056"/>
      <c r="Q12" s="2056"/>
      <c r="R12" s="2101"/>
      <c r="S12" s="2102"/>
      <c r="T12" s="2101"/>
      <c r="U12" s="2103"/>
      <c r="V12" s="2103"/>
      <c r="W12" s="2104">
        <v>40000</v>
      </c>
      <c r="X12" s="2101"/>
      <c r="Y12" s="2101"/>
      <c r="Z12" s="2101"/>
      <c r="AA12" s="2103"/>
      <c r="AB12" s="2101"/>
      <c r="AC12" s="2105"/>
      <c r="AD12" s="1339">
        <f t="shared" si="0"/>
        <v>40000</v>
      </c>
      <c r="AE12" s="2106" t="s">
        <v>5925</v>
      </c>
      <c r="AF12" s="341">
        <f t="shared" si="2"/>
        <v>0</v>
      </c>
      <c r="AG12" s="2107"/>
      <c r="AH12" s="2107"/>
      <c r="AI12" s="2342"/>
      <c r="AJ12" s="6"/>
      <c r="AK12" s="5"/>
    </row>
    <row r="13" spans="1:37" s="2056" customFormat="1" ht="28.5" customHeight="1">
      <c r="A13" s="1057">
        <v>1</v>
      </c>
      <c r="B13" s="2333"/>
      <c r="C13" s="1538">
        <v>107246741450</v>
      </c>
      <c r="D13" s="684" t="s">
        <v>5913</v>
      </c>
      <c r="E13" s="779" t="s">
        <v>5874</v>
      </c>
      <c r="F13" s="2334"/>
      <c r="G13" s="1242" t="s">
        <v>206</v>
      </c>
      <c r="H13" s="2335">
        <v>2</v>
      </c>
      <c r="I13" s="2335"/>
      <c r="J13" s="2335"/>
      <c r="K13" s="2336" t="s">
        <v>123</v>
      </c>
      <c r="L13" s="1057" t="s">
        <v>5871</v>
      </c>
      <c r="M13" s="1471" t="s">
        <v>5872</v>
      </c>
      <c r="N13" s="1471" t="s">
        <v>5873</v>
      </c>
      <c r="O13" s="2337" t="s">
        <v>5875</v>
      </c>
      <c r="P13" s="2338" t="s">
        <v>5896</v>
      </c>
      <c r="Q13" s="2333" t="s">
        <v>6015</v>
      </c>
      <c r="R13" s="2339" t="s">
        <v>5897</v>
      </c>
      <c r="S13" s="2339"/>
      <c r="T13" s="2039"/>
      <c r="U13" s="2039"/>
      <c r="V13" s="2039"/>
      <c r="W13" s="1338"/>
      <c r="X13" s="2119">
        <v>1900000</v>
      </c>
      <c r="Y13" s="2173">
        <v>2000000</v>
      </c>
      <c r="Z13" s="2340">
        <v>12490000</v>
      </c>
      <c r="AA13" s="2227">
        <v>500000</v>
      </c>
      <c r="AB13" s="2341"/>
      <c r="AC13" s="1338"/>
      <c r="AD13" s="1339">
        <f t="shared" si="0"/>
        <v>16890000</v>
      </c>
      <c r="AE13" s="2504" t="s">
        <v>6094</v>
      </c>
      <c r="AF13" s="341">
        <f>((H13*(3600000+900000)+(I13*4600000))*1.08+(S13*500000*1.08))</f>
        <v>9720000</v>
      </c>
      <c r="AG13" s="665">
        <f>+AD13+AF13</f>
        <v>26610000</v>
      </c>
      <c r="AH13" s="2113"/>
      <c r="AI13" s="795"/>
    </row>
    <row r="14" spans="1:37" s="1504" customFormat="1" ht="26.25" customHeight="1">
      <c r="A14" s="1503">
        <f t="shared" si="1"/>
        <v>2</v>
      </c>
      <c r="B14" s="2061"/>
      <c r="C14" s="1538">
        <v>107281597400</v>
      </c>
      <c r="D14" s="1520" t="s">
        <v>6033</v>
      </c>
      <c r="E14" s="2029" t="s">
        <v>5979</v>
      </c>
      <c r="F14" s="2063"/>
      <c r="G14" s="1915" t="s">
        <v>206</v>
      </c>
      <c r="H14" s="2048">
        <v>2</v>
      </c>
      <c r="I14" s="2048"/>
      <c r="J14" s="2048"/>
      <c r="K14" s="2336" t="s">
        <v>123</v>
      </c>
      <c r="L14" s="2063" t="s">
        <v>5877</v>
      </c>
      <c r="M14" s="2047" t="s">
        <v>5977</v>
      </c>
      <c r="N14" s="1520" t="s">
        <v>5978</v>
      </c>
      <c r="O14" s="2337" t="s">
        <v>5994</v>
      </c>
      <c r="P14" s="2483" t="s">
        <v>6053</v>
      </c>
      <c r="Q14" s="2333" t="s">
        <v>6148</v>
      </c>
      <c r="R14" s="2339" t="s">
        <v>5897</v>
      </c>
      <c r="S14" s="2050"/>
      <c r="T14" s="2051"/>
      <c r="U14" s="2051"/>
      <c r="V14" s="2051"/>
      <c r="W14" s="2052"/>
      <c r="X14" s="2119">
        <v>1524000</v>
      </c>
      <c r="Y14" s="2173">
        <v>2000000</v>
      </c>
      <c r="Z14" s="2340">
        <v>12490000</v>
      </c>
      <c r="AA14" s="2227">
        <v>500000</v>
      </c>
      <c r="AB14" s="2098"/>
      <c r="AC14" s="2052"/>
      <c r="AD14" s="1339">
        <f t="shared" si="0"/>
        <v>16514000</v>
      </c>
      <c r="AE14" s="2139" t="s">
        <v>6095</v>
      </c>
      <c r="AF14" s="341">
        <f>((H14*(3600000+900000)+(I14*4600000))*1.08+(S14*500000*1.08))</f>
        <v>9720000</v>
      </c>
      <c r="AG14" s="342">
        <f>+AD14+AF14</f>
        <v>26234000</v>
      </c>
      <c r="AH14" s="2097"/>
      <c r="AJ14" s="2056"/>
    </row>
    <row r="15" spans="1:37" s="2056" customFormat="1" ht="12.75" customHeight="1">
      <c r="A15" s="1503">
        <f t="shared" si="1"/>
        <v>3</v>
      </c>
      <c r="B15" s="2100"/>
      <c r="C15" s="2054"/>
      <c r="D15" s="2054"/>
      <c r="E15" s="2100"/>
      <c r="F15" s="2100"/>
      <c r="G15" s="1915"/>
      <c r="H15" s="2048"/>
      <c r="I15" s="2100"/>
      <c r="J15" s="2100"/>
      <c r="K15" s="2100"/>
      <c r="L15" s="2100"/>
      <c r="M15" s="2100"/>
      <c r="N15" s="2100"/>
      <c r="Q15" s="2333"/>
      <c r="R15" s="2101"/>
      <c r="S15" s="2102"/>
      <c r="T15" s="2101"/>
      <c r="U15" s="2103"/>
      <c r="V15" s="2103"/>
      <c r="W15" s="2104"/>
      <c r="X15" s="2101"/>
      <c r="Y15" s="2101"/>
      <c r="Z15" s="2101"/>
      <c r="AA15" s="2103"/>
      <c r="AB15" s="2101"/>
      <c r="AC15" s="2105"/>
      <c r="AD15" s="1339">
        <f t="shared" si="0"/>
        <v>0</v>
      </c>
      <c r="AE15" s="2106"/>
      <c r="AF15" s="341">
        <f t="shared" si="2"/>
        <v>0</v>
      </c>
      <c r="AG15" s="342">
        <f>+AD15+AF15</f>
        <v>0</v>
      </c>
      <c r="AH15" s="2107"/>
      <c r="AI15" s="1549"/>
      <c r="AJ15" s="1549"/>
      <c r="AK15" s="1504"/>
    </row>
    <row r="16" spans="1:37" s="1504" customFormat="1" ht="12.75" customHeight="1">
      <c r="A16" s="1503">
        <f t="shared" si="1"/>
        <v>4</v>
      </c>
      <c r="B16" s="2061"/>
      <c r="C16" s="1915"/>
      <c r="D16" s="1520"/>
      <c r="E16" s="2029"/>
      <c r="F16" s="1915"/>
      <c r="G16" s="1915"/>
      <c r="H16" s="2048"/>
      <c r="I16" s="2048"/>
      <c r="J16" s="2048"/>
      <c r="K16" s="2035"/>
      <c r="L16" s="2035"/>
      <c r="M16" s="2047"/>
      <c r="N16" s="2170"/>
      <c r="O16" s="2170"/>
      <c r="P16" s="2065"/>
      <c r="Q16" s="2065"/>
      <c r="R16" s="2066"/>
      <c r="S16" s="2050"/>
      <c r="T16" s="2051"/>
      <c r="U16" s="2051"/>
      <c r="V16" s="2051"/>
      <c r="W16" s="2053"/>
      <c r="X16" s="2053"/>
      <c r="Y16" s="2052"/>
      <c r="Z16" s="2052"/>
      <c r="AA16" s="2053"/>
      <c r="AB16" s="2052"/>
      <c r="AC16" s="2052"/>
      <c r="AD16" s="1339">
        <f t="shared" si="0"/>
        <v>0</v>
      </c>
      <c r="AE16" s="2054"/>
      <c r="AF16" s="2051"/>
      <c r="AG16" s="2055"/>
      <c r="AH16" s="2097"/>
      <c r="AJ16" s="2056"/>
    </row>
    <row r="17" spans="1:37" s="1504" customFormat="1" ht="12.75" customHeight="1">
      <c r="A17" s="1503">
        <f t="shared" si="1"/>
        <v>5</v>
      </c>
      <c r="B17" s="2045"/>
      <c r="C17" s="1915"/>
      <c r="D17" s="1520"/>
      <c r="E17" s="2029"/>
      <c r="F17" s="2067"/>
      <c r="G17" s="2057"/>
      <c r="H17" s="2048"/>
      <c r="I17" s="2048"/>
      <c r="J17" s="2048"/>
      <c r="K17" s="2068"/>
      <c r="L17" s="2035"/>
      <c r="M17" s="2047"/>
      <c r="N17" s="2047"/>
      <c r="O17" s="2064"/>
      <c r="P17" s="2512"/>
      <c r="Q17" s="2065"/>
      <c r="R17" s="2066"/>
      <c r="S17" s="2050"/>
      <c r="T17" s="2051"/>
      <c r="U17" s="2051"/>
      <c r="V17" s="2051"/>
      <c r="W17" s="2052"/>
      <c r="X17" s="779"/>
      <c r="Y17" s="2052"/>
      <c r="Z17" s="2053"/>
      <c r="AA17" s="2053"/>
      <c r="AB17" s="2052"/>
      <c r="AC17" s="2052"/>
      <c r="AD17" s="2052"/>
      <c r="AE17" s="2108"/>
      <c r="AF17" s="2051"/>
      <c r="AG17" s="2055"/>
      <c r="AH17" s="2097"/>
      <c r="AJ17" s="2056"/>
    </row>
    <row r="18" spans="1:37" s="1504" customFormat="1" ht="12.75" customHeight="1">
      <c r="A18" s="1503">
        <f t="shared" si="1"/>
        <v>6</v>
      </c>
      <c r="B18" s="2109"/>
      <c r="C18" s="1915"/>
      <c r="E18" s="2029"/>
      <c r="F18" s="1915"/>
      <c r="G18" s="2057"/>
      <c r="H18" s="2048"/>
      <c r="I18" s="2048"/>
      <c r="J18" s="2048"/>
      <c r="K18" s="2069"/>
      <c r="L18" s="2070"/>
      <c r="M18" s="2424"/>
      <c r="N18" s="2424"/>
      <c r="O18" s="2424"/>
      <c r="P18" s="2513"/>
      <c r="Q18" s="1944"/>
      <c r="R18" s="2066"/>
      <c r="S18" s="2050"/>
      <c r="T18" s="2051"/>
      <c r="U18" s="2051"/>
      <c r="V18" s="2051"/>
      <c r="W18" s="2052"/>
      <c r="X18" s="2052"/>
      <c r="Y18" s="2052"/>
      <c r="Z18" s="2052"/>
      <c r="AA18" s="2053"/>
      <c r="AB18" s="2052"/>
      <c r="AC18" s="2052"/>
      <c r="AD18" s="2052"/>
      <c r="AE18" s="2096"/>
      <c r="AF18" s="2051"/>
      <c r="AG18" s="2055"/>
      <c r="AH18" s="2097"/>
      <c r="AJ18" s="2056"/>
    </row>
    <row r="19" spans="1:37" s="1504" customFormat="1" ht="12.75" customHeight="1">
      <c r="A19" s="1503">
        <f t="shared" si="1"/>
        <v>7</v>
      </c>
      <c r="B19" s="2045"/>
      <c r="C19" s="1915"/>
      <c r="D19" s="1520"/>
      <c r="E19" s="2029"/>
      <c r="F19" s="2067"/>
      <c r="G19" s="2057"/>
      <c r="H19" s="2048"/>
      <c r="I19" s="2048"/>
      <c r="J19" s="2048"/>
      <c r="K19" s="2069"/>
      <c r="L19" s="1501"/>
      <c r="M19" s="1501"/>
      <c r="N19" s="1501"/>
      <c r="O19" s="1501"/>
      <c r="P19" s="2267"/>
      <c r="Q19" s="2267"/>
      <c r="R19" s="2267"/>
      <c r="S19" s="2267"/>
      <c r="T19" s="2267"/>
      <c r="U19" s="2267"/>
      <c r="V19" s="2267"/>
      <c r="W19" s="2267"/>
      <c r="X19" s="2267"/>
      <c r="Y19" s="2267"/>
      <c r="Z19" s="2267"/>
      <c r="AA19" s="2267"/>
      <c r="AB19" s="2267"/>
      <c r="AC19" s="2267"/>
      <c r="AD19" s="2267"/>
      <c r="AE19" s="2267"/>
      <c r="AF19" s="2267"/>
      <c r="AG19" s="2267"/>
      <c r="AH19" s="2267"/>
      <c r="AI19" s="2267"/>
      <c r="AJ19" s="2267"/>
      <c r="AK19" s="2267"/>
    </row>
    <row r="20" spans="1:37" s="1504" customFormat="1" ht="12.75" customHeight="1">
      <c r="A20" s="1503">
        <f t="shared" si="1"/>
        <v>8</v>
      </c>
      <c r="B20" s="2042"/>
      <c r="C20" s="1457"/>
      <c r="D20" s="1520"/>
      <c r="E20" s="2029"/>
      <c r="F20" s="1805"/>
      <c r="G20" s="2057"/>
      <c r="H20" s="2048"/>
      <c r="I20" s="2048"/>
      <c r="J20" s="2048"/>
      <c r="K20" s="2069"/>
      <c r="L20" s="2035"/>
      <c r="M20" s="2047"/>
      <c r="N20" s="2170"/>
      <c r="O20" s="2170"/>
      <c r="P20" s="2514"/>
      <c r="Q20" s="2218"/>
      <c r="R20" s="2219"/>
      <c r="S20" s="2194"/>
      <c r="T20" s="2220"/>
      <c r="U20" s="2220"/>
      <c r="V20" s="2220"/>
      <c r="W20" s="2221"/>
      <c r="X20" s="2221"/>
      <c r="Y20" s="2221"/>
      <c r="Z20" s="2221"/>
      <c r="AA20" s="2222"/>
      <c r="AB20" s="2221"/>
      <c r="AC20" s="2221"/>
      <c r="AD20" s="2221"/>
      <c r="AE20" s="2223"/>
      <c r="AF20" s="2220"/>
      <c r="AG20" s="2224"/>
      <c r="AH20" s="2225"/>
      <c r="AI20" s="1624"/>
      <c r="AJ20" s="2226"/>
      <c r="AK20" s="1624"/>
    </row>
    <row r="21" spans="1:37" s="1504" customFormat="1" ht="12.75" customHeight="1">
      <c r="A21" s="1503">
        <f t="shared" si="1"/>
        <v>9</v>
      </c>
      <c r="B21" s="2109"/>
      <c r="C21" s="1915"/>
      <c r="D21" s="1520"/>
      <c r="E21" s="2029"/>
      <c r="F21" s="2067"/>
      <c r="G21" s="2057"/>
      <c r="H21" s="2048"/>
      <c r="I21" s="2048"/>
      <c r="J21" s="2048"/>
      <c r="K21" s="2069"/>
      <c r="L21" s="1501"/>
      <c r="M21" s="1501"/>
      <c r="N21" s="1501"/>
      <c r="O21" s="1501"/>
      <c r="P21" s="2515"/>
      <c r="Q21" s="1501"/>
      <c r="R21" s="1501"/>
      <c r="S21" s="1501"/>
      <c r="T21" s="1501"/>
      <c r="U21" s="1501"/>
      <c r="V21" s="1501"/>
      <c r="W21" s="1501"/>
      <c r="X21" s="1501"/>
      <c r="Y21" s="1501"/>
      <c r="Z21" s="1501"/>
      <c r="AA21" s="1501"/>
      <c r="AB21" s="1501"/>
      <c r="AC21" s="1501"/>
      <c r="AD21" s="1501"/>
      <c r="AE21" s="1501"/>
      <c r="AF21" s="1501"/>
      <c r="AG21" s="1501"/>
      <c r="AH21" s="1501"/>
      <c r="AI21" s="1501"/>
      <c r="AJ21" s="1501"/>
      <c r="AK21" s="1501"/>
    </row>
    <row r="22" spans="1:37" s="1504" customFormat="1" ht="12.75" customHeight="1">
      <c r="A22" s="1503">
        <f t="shared" si="1"/>
        <v>10</v>
      </c>
      <c r="B22" s="2042"/>
      <c r="C22" s="1457"/>
      <c r="D22" s="1520"/>
      <c r="E22" s="2029"/>
      <c r="F22" s="1805"/>
      <c r="G22" s="2057"/>
      <c r="H22" s="2048"/>
      <c r="I22" s="2048"/>
      <c r="J22" s="2048"/>
      <c r="K22" s="2069"/>
      <c r="L22" s="2035"/>
      <c r="M22" s="2047"/>
      <c r="N22" s="2047"/>
      <c r="O22" s="2060"/>
      <c r="P22" s="2095"/>
      <c r="Q22" s="2095"/>
      <c r="R22" s="2066"/>
      <c r="S22" s="2050"/>
      <c r="T22" s="2051"/>
      <c r="U22" s="2051"/>
      <c r="V22" s="2051"/>
      <c r="W22" s="2052"/>
      <c r="X22" s="2052"/>
      <c r="Y22" s="2052"/>
      <c r="Z22" s="2052"/>
      <c r="AA22" s="2053"/>
      <c r="AB22" s="2052"/>
      <c r="AC22" s="2052"/>
      <c r="AD22" s="2052"/>
      <c r="AE22" s="2054"/>
      <c r="AF22" s="2051"/>
      <c r="AG22" s="2055"/>
      <c r="AH22" s="2097"/>
      <c r="AJ22" s="2056"/>
    </row>
    <row r="23" spans="1:37" s="1504" customFormat="1" ht="12.75" customHeight="1">
      <c r="A23" s="1503">
        <f t="shared" si="1"/>
        <v>11</v>
      </c>
      <c r="B23" s="2061"/>
      <c r="C23" s="1457"/>
      <c r="D23" s="1520"/>
      <c r="E23" s="2029"/>
      <c r="F23" s="1805"/>
      <c r="G23" s="2057"/>
      <c r="H23" s="2048"/>
      <c r="I23" s="2048"/>
      <c r="J23" s="2048"/>
      <c r="K23" s="2069"/>
      <c r="L23" s="2035"/>
      <c r="M23" s="2171"/>
      <c r="N23" s="2171"/>
      <c r="O23" s="2060"/>
      <c r="P23" s="2095"/>
      <c r="Q23" s="2095"/>
      <c r="R23" s="2066"/>
      <c r="S23" s="2050"/>
      <c r="T23" s="2051"/>
      <c r="U23" s="2051"/>
      <c r="V23" s="2051"/>
      <c r="W23" s="2052"/>
      <c r="X23" s="2052"/>
      <c r="Y23" s="2052"/>
      <c r="Z23" s="2052"/>
      <c r="AA23" s="2053"/>
      <c r="AB23" s="2052"/>
      <c r="AC23" s="2052"/>
      <c r="AD23" s="2052"/>
      <c r="AE23" s="2054"/>
      <c r="AF23" s="2051"/>
      <c r="AG23" s="2055"/>
      <c r="AH23" s="2097"/>
      <c r="AJ23" s="2056"/>
    </row>
    <row r="24" spans="1:37" s="1504" customFormat="1" ht="12.75" customHeight="1">
      <c r="A24" s="1503">
        <f t="shared" si="1"/>
        <v>12</v>
      </c>
      <c r="B24" s="2042"/>
      <c r="C24" s="1915"/>
      <c r="D24" s="1520"/>
      <c r="E24" s="2029"/>
      <c r="F24" s="1915"/>
      <c r="G24" s="2057"/>
      <c r="H24" s="2048"/>
      <c r="I24" s="2048"/>
      <c r="J24" s="2048"/>
      <c r="K24" s="2069"/>
      <c r="L24" s="2035"/>
      <c r="M24" s="2170"/>
      <c r="N24" s="2170"/>
      <c r="O24" s="2060"/>
      <c r="P24" s="2095"/>
      <c r="Q24" s="2095"/>
      <c r="R24" s="2066"/>
      <c r="S24" s="2050"/>
      <c r="T24" s="2051"/>
      <c r="U24" s="2051"/>
      <c r="V24" s="2051"/>
      <c r="W24" s="2052"/>
      <c r="X24" s="2052"/>
      <c r="Y24" s="2052"/>
      <c r="Z24" s="2053"/>
      <c r="AA24" s="2053"/>
      <c r="AB24" s="2052"/>
      <c r="AC24" s="2052"/>
      <c r="AD24" s="2052"/>
      <c r="AE24" s="2054"/>
      <c r="AF24" s="2051"/>
      <c r="AG24" s="2055"/>
      <c r="AH24" s="2097"/>
      <c r="AJ24" s="2056"/>
    </row>
    <row r="25" spans="1:37" s="1504" customFormat="1" ht="12.75" customHeight="1">
      <c r="A25" s="1503">
        <f t="shared" si="1"/>
        <v>13</v>
      </c>
      <c r="B25" s="2061"/>
      <c r="C25" s="1457"/>
      <c r="D25" s="1520"/>
      <c r="E25" s="2029"/>
      <c r="F25" s="1805"/>
      <c r="G25" s="2057"/>
      <c r="H25" s="2048"/>
      <c r="I25" s="2048"/>
      <c r="J25" s="2048"/>
      <c r="K25" s="2069"/>
      <c r="L25" s="2035"/>
      <c r="M25" s="2059"/>
      <c r="N25" s="2059"/>
      <c r="O25" s="2060"/>
      <c r="P25" s="2095"/>
      <c r="Q25" s="2095"/>
      <c r="R25" s="2066"/>
      <c r="S25" s="2050"/>
      <c r="T25" s="2051"/>
      <c r="U25" s="2051"/>
      <c r="V25" s="2051"/>
      <c r="W25" s="2052"/>
      <c r="X25" s="2052"/>
      <c r="Y25" s="2052"/>
      <c r="Z25" s="2052"/>
      <c r="AA25" s="2053"/>
      <c r="AB25" s="2052"/>
      <c r="AC25" s="2052"/>
      <c r="AD25" s="2052"/>
      <c r="AE25" s="2054"/>
      <c r="AF25" s="2051"/>
      <c r="AG25" s="2055"/>
      <c r="AH25" s="2097"/>
      <c r="AJ25" s="2056"/>
    </row>
    <row r="26" spans="1:37" s="2056" customFormat="1" ht="12.75" customHeight="1">
      <c r="A26" s="1503">
        <f t="shared" si="1"/>
        <v>14</v>
      </c>
      <c r="B26" s="2042"/>
      <c r="C26" s="1457"/>
      <c r="D26" s="1805"/>
      <c r="E26" s="2029"/>
      <c r="F26" s="2035"/>
      <c r="G26" s="1915"/>
      <c r="H26" s="2048"/>
      <c r="I26" s="2048"/>
      <c r="J26" s="2048"/>
      <c r="K26" s="2069"/>
      <c r="L26" s="2035"/>
      <c r="M26" s="2059"/>
      <c r="N26" s="2059"/>
      <c r="O26" s="2060"/>
      <c r="P26" s="2095"/>
      <c r="Q26" s="2095"/>
      <c r="R26" s="2050"/>
      <c r="S26" s="2050"/>
      <c r="T26" s="2051"/>
      <c r="U26" s="2051"/>
      <c r="V26" s="2051"/>
      <c r="W26" s="2052"/>
      <c r="X26" s="2052"/>
      <c r="Y26" s="2052"/>
      <c r="Z26" s="2052"/>
      <c r="AA26" s="2053"/>
      <c r="AB26" s="2052"/>
      <c r="AC26" s="2052"/>
      <c r="AD26" s="2052"/>
      <c r="AE26" s="2096"/>
      <c r="AF26" s="2051"/>
      <c r="AG26" s="2055"/>
      <c r="AH26" s="2097"/>
      <c r="AI26" s="1504"/>
    </row>
    <row r="27" spans="1:37" s="2056" customFormat="1" ht="12.75" customHeight="1">
      <c r="A27" s="1503">
        <f t="shared" si="1"/>
        <v>15</v>
      </c>
      <c r="B27" s="2100"/>
      <c r="C27" s="2054"/>
      <c r="D27" s="2054"/>
      <c r="E27" s="2100"/>
      <c r="F27" s="2100"/>
      <c r="G27" s="2100"/>
      <c r="H27" s="2100"/>
      <c r="I27" s="2100"/>
      <c r="J27" s="2100"/>
      <c r="K27" s="2100"/>
      <c r="L27" s="2100"/>
      <c r="M27" s="2100"/>
      <c r="N27" s="2100"/>
      <c r="R27" s="2101"/>
      <c r="S27" s="2102"/>
      <c r="T27" s="2101"/>
      <c r="U27" s="2103"/>
      <c r="V27" s="2103"/>
      <c r="W27" s="2104"/>
      <c r="X27" s="2101"/>
      <c r="Y27" s="2101"/>
      <c r="Z27" s="2101"/>
      <c r="AA27" s="2103"/>
      <c r="AB27" s="2101"/>
      <c r="AC27" s="2105"/>
      <c r="AD27" s="2105"/>
      <c r="AE27" s="2106"/>
      <c r="AF27" s="2107"/>
      <c r="AG27" s="2107"/>
      <c r="AH27" s="2107"/>
      <c r="AI27" s="1549"/>
      <c r="AJ27" s="1549"/>
      <c r="AK27" s="1504"/>
    </row>
    <row r="28" spans="1:37" s="1504" customFormat="1" ht="12.75" customHeight="1">
      <c r="A28" s="1503">
        <f t="shared" si="1"/>
        <v>16</v>
      </c>
      <c r="B28" s="2109"/>
      <c r="C28" s="1915"/>
      <c r="E28" s="2029"/>
      <c r="F28" s="1942"/>
      <c r="G28" s="2057"/>
      <c r="H28" s="2048"/>
      <c r="I28" s="2048"/>
      <c r="J28" s="2048"/>
      <c r="K28" s="1547"/>
      <c r="L28" s="2134"/>
      <c r="M28" s="2134"/>
      <c r="N28" s="2134"/>
      <c r="O28" s="2134"/>
      <c r="P28" s="2134"/>
      <c r="Q28" s="2134"/>
      <c r="R28" s="2134"/>
      <c r="S28" s="2134"/>
      <c r="T28" s="2134"/>
      <c r="U28" s="2051"/>
      <c r="V28" s="2051"/>
      <c r="W28" s="2052"/>
      <c r="X28" s="2052"/>
      <c r="Y28" s="2052"/>
      <c r="AA28" s="2053"/>
      <c r="AB28" s="2052"/>
      <c r="AC28" s="2052"/>
      <c r="AD28" s="2052"/>
      <c r="AE28" s="2054"/>
      <c r="AF28" s="2051"/>
      <c r="AG28" s="2055"/>
      <c r="AH28" s="2097"/>
      <c r="AJ28" s="2056"/>
    </row>
    <row r="29" spans="1:37" s="1504" customFormat="1" ht="12.75" customHeight="1">
      <c r="A29" s="1503">
        <f t="shared" si="1"/>
        <v>17</v>
      </c>
      <c r="B29" s="2109"/>
      <c r="C29" s="1915"/>
      <c r="E29" s="2029"/>
      <c r="F29" s="1942"/>
      <c r="G29" s="2057"/>
      <c r="H29" s="2048"/>
      <c r="I29" s="2048"/>
      <c r="J29" s="2048"/>
      <c r="K29" s="1547"/>
      <c r="L29" s="2035"/>
      <c r="M29" s="2059"/>
      <c r="N29" s="2059"/>
      <c r="O29" s="1944"/>
      <c r="P29" s="1944"/>
      <c r="Q29" s="1944"/>
      <c r="R29" s="2050"/>
      <c r="S29" s="2050"/>
      <c r="T29" s="2051"/>
      <c r="U29" s="2051"/>
      <c r="V29" s="2051"/>
      <c r="W29" s="2052"/>
      <c r="X29" s="2052"/>
      <c r="Y29" s="2052"/>
      <c r="AA29" s="2072"/>
      <c r="AB29" s="2052"/>
      <c r="AC29" s="2052"/>
      <c r="AD29" s="2052"/>
      <c r="AE29" s="2054"/>
      <c r="AF29" s="2051"/>
      <c r="AG29" s="2055"/>
      <c r="AH29" s="2097"/>
      <c r="AJ29" s="2056"/>
    </row>
    <row r="30" spans="1:37" s="1504" customFormat="1" ht="12.75" customHeight="1">
      <c r="A30" s="1503">
        <f t="shared" si="1"/>
        <v>18</v>
      </c>
      <c r="B30" s="2109"/>
      <c r="C30" s="1457"/>
      <c r="E30" s="2029"/>
      <c r="F30" s="1915"/>
      <c r="G30" s="2057"/>
      <c r="H30" s="2048"/>
      <c r="I30" s="2048"/>
      <c r="J30" s="2048"/>
      <c r="K30" s="2069"/>
      <c r="L30" s="2047"/>
      <c r="M30" s="2059"/>
      <c r="N30" s="2059"/>
      <c r="O30" s="2060"/>
      <c r="P30" s="2095"/>
      <c r="Q30" s="2095"/>
      <c r="R30" s="2050"/>
      <c r="S30" s="2062"/>
      <c r="T30" s="2051"/>
      <c r="U30" s="2051"/>
      <c r="V30" s="2051"/>
      <c r="W30" s="2052"/>
      <c r="X30" s="2052"/>
      <c r="Y30" s="2052"/>
      <c r="Z30" s="2073"/>
      <c r="AA30" s="2053"/>
      <c r="AB30" s="2052"/>
      <c r="AC30" s="2052"/>
      <c r="AD30" s="2052"/>
      <c r="AE30" s="2099"/>
      <c r="AF30" s="2051"/>
      <c r="AG30" s="2055"/>
      <c r="AH30" s="2097"/>
      <c r="AJ30" s="2056"/>
    </row>
    <row r="31" spans="1:37" s="1504" customFormat="1" ht="12.75" customHeight="1">
      <c r="A31" s="1503">
        <f t="shared" si="1"/>
        <v>19</v>
      </c>
      <c r="B31" s="2045"/>
      <c r="C31" s="1915"/>
      <c r="E31" s="2029"/>
      <c r="F31" s="1942"/>
      <c r="G31" s="2057"/>
      <c r="H31" s="2048"/>
      <c r="I31" s="2048"/>
      <c r="J31" s="2048"/>
      <c r="K31" s="2069"/>
      <c r="L31" s="2047"/>
      <c r="M31" s="2059"/>
      <c r="N31" s="2059"/>
      <c r="O31" s="2060"/>
      <c r="P31" s="2035"/>
      <c r="Q31" s="2035"/>
      <c r="R31" s="2050"/>
      <c r="S31" s="2050"/>
      <c r="T31" s="2051"/>
      <c r="U31" s="2051"/>
      <c r="V31" s="2051"/>
      <c r="W31" s="2052"/>
      <c r="X31" s="2053"/>
      <c r="Y31" s="2052"/>
      <c r="Z31" s="2072"/>
      <c r="AA31" s="2053"/>
      <c r="AB31" s="2052"/>
      <c r="AC31" s="2052"/>
      <c r="AD31" s="2052"/>
      <c r="AE31" s="2054"/>
      <c r="AF31" s="2051"/>
      <c r="AG31" s="2055"/>
      <c r="AH31" s="2097"/>
      <c r="AJ31" s="2056"/>
    </row>
    <row r="32" spans="1:37" s="1504" customFormat="1" ht="12.75" customHeight="1">
      <c r="A32" s="1503">
        <f t="shared" si="1"/>
        <v>20</v>
      </c>
      <c r="B32" s="2042"/>
      <c r="C32" s="1457"/>
      <c r="D32" s="1520"/>
      <c r="E32" s="2029"/>
      <c r="F32" s="1915"/>
      <c r="G32" s="2057"/>
      <c r="H32" s="2048"/>
      <c r="I32" s="2048"/>
      <c r="J32" s="2048"/>
      <c r="K32" s="2069"/>
      <c r="L32" s="2035"/>
      <c r="M32" s="2059"/>
      <c r="N32" s="2059"/>
      <c r="O32" s="2060"/>
      <c r="P32" s="2035"/>
      <c r="Q32" s="2035"/>
      <c r="R32" s="2050"/>
      <c r="S32" s="2062"/>
      <c r="T32" s="2051"/>
      <c r="U32" s="2051"/>
      <c r="V32" s="2051"/>
      <c r="W32" s="2052"/>
      <c r="X32" s="2052"/>
      <c r="Y32" s="2052"/>
      <c r="Z32" s="2052"/>
      <c r="AA32" s="2053"/>
      <c r="AB32" s="2052"/>
      <c r="AC32" s="2052"/>
      <c r="AD32" s="2052"/>
      <c r="AE32" s="2054"/>
      <c r="AF32" s="2051"/>
      <c r="AG32" s="2055"/>
      <c r="AH32" s="2097"/>
      <c r="AJ32" s="2056"/>
    </row>
    <row r="33" spans="1:37" s="1504" customFormat="1" ht="15.6">
      <c r="A33" s="1503">
        <f t="shared" si="1"/>
        <v>21</v>
      </c>
      <c r="B33" s="2045"/>
      <c r="C33" s="1915"/>
      <c r="D33" s="1520"/>
      <c r="E33" s="2029"/>
      <c r="F33" s="1942"/>
      <c r="G33" s="2057"/>
      <c r="H33" s="2048"/>
      <c r="I33" s="2048"/>
      <c r="J33" s="2048"/>
      <c r="K33" s="2069"/>
      <c r="L33" s="2071"/>
      <c r="M33" s="2059"/>
      <c r="N33" s="2059"/>
      <c r="O33" s="2060"/>
      <c r="P33" s="2035"/>
      <c r="Q33" s="2035"/>
      <c r="R33" s="2066"/>
      <c r="S33" s="2062"/>
      <c r="T33" s="2051"/>
      <c r="U33" s="2051"/>
      <c r="V33" s="2051"/>
      <c r="W33" s="2053"/>
      <c r="X33" s="2052"/>
      <c r="Y33" s="2052"/>
      <c r="Z33" s="2052"/>
      <c r="AA33" s="2053"/>
      <c r="AB33" s="2052"/>
      <c r="AC33" s="2052"/>
      <c r="AD33" s="2052"/>
      <c r="AE33" s="2054"/>
      <c r="AF33" s="2051"/>
      <c r="AG33" s="2055"/>
      <c r="AH33" s="2097"/>
      <c r="AJ33" s="2056"/>
    </row>
    <row r="34" spans="1:37" s="1504" customFormat="1" ht="15.6">
      <c r="A34" s="1503">
        <f t="shared" si="1"/>
        <v>22</v>
      </c>
      <c r="B34" s="2045"/>
      <c r="C34" s="1457"/>
      <c r="D34" s="2045"/>
      <c r="E34" s="2029"/>
      <c r="F34" s="1915"/>
      <c r="G34" s="2057"/>
      <c r="H34" s="2048"/>
      <c r="I34" s="2048"/>
      <c r="J34" s="2048"/>
      <c r="K34" s="2069"/>
      <c r="L34" s="2035"/>
      <c r="M34" s="2059"/>
      <c r="N34" s="2059"/>
      <c r="O34" s="2060"/>
      <c r="P34" s="2035"/>
      <c r="Q34" s="2035"/>
      <c r="R34" s="2050"/>
      <c r="S34" s="2062"/>
      <c r="T34" s="2051"/>
      <c r="U34" s="2051"/>
      <c r="V34" s="2051"/>
      <c r="W34" s="2052"/>
      <c r="X34" s="2052"/>
      <c r="Y34" s="2052"/>
      <c r="Z34" s="2052"/>
      <c r="AA34" s="2053"/>
      <c r="AB34" s="2052"/>
      <c r="AC34" s="2052"/>
      <c r="AD34" s="2052"/>
      <c r="AE34" s="2054"/>
      <c r="AF34" s="2051"/>
      <c r="AG34" s="2055"/>
      <c r="AH34" s="2097"/>
      <c r="AJ34" s="2056"/>
    </row>
    <row r="35" spans="1:37" s="1504" customFormat="1" ht="15.6">
      <c r="A35" s="1503">
        <f t="shared" si="1"/>
        <v>23</v>
      </c>
      <c r="B35" s="2061"/>
      <c r="C35" s="1457"/>
      <c r="D35" s="2061"/>
      <c r="E35" s="2029"/>
      <c r="F35" s="1915"/>
      <c r="G35" s="2057"/>
      <c r="H35" s="2048"/>
      <c r="I35" s="2048"/>
      <c r="J35" s="2048"/>
      <c r="K35" s="2069"/>
      <c r="L35" s="2035"/>
      <c r="M35" s="2059"/>
      <c r="N35" s="2059"/>
      <c r="O35" s="2060"/>
      <c r="P35" s="2035"/>
      <c r="Q35" s="2035"/>
      <c r="R35" s="2050"/>
      <c r="S35" s="2062"/>
      <c r="T35" s="2051"/>
      <c r="U35" s="2051"/>
      <c r="V35" s="2051"/>
      <c r="W35" s="2052"/>
      <c r="X35" s="2052"/>
      <c r="Y35" s="2052"/>
      <c r="Z35" s="2052"/>
      <c r="AA35" s="2053"/>
      <c r="AB35" s="2052"/>
      <c r="AC35" s="2052"/>
      <c r="AD35" s="2052"/>
      <c r="AE35" s="2054"/>
      <c r="AF35" s="2051"/>
      <c r="AG35" s="2055"/>
      <c r="AH35" s="2097"/>
      <c r="AJ35" s="2056"/>
    </row>
    <row r="36" spans="1:37" s="1504" customFormat="1" ht="15.6">
      <c r="A36" s="1503">
        <f t="shared" si="1"/>
        <v>24</v>
      </c>
      <c r="B36" s="2061"/>
      <c r="C36" s="1457"/>
      <c r="D36" s="1520"/>
      <c r="E36" s="2029"/>
      <c r="F36" s="1915"/>
      <c r="G36" s="2057"/>
      <c r="H36" s="2048"/>
      <c r="I36" s="2048"/>
      <c r="J36" s="2048"/>
      <c r="K36" s="2069"/>
      <c r="L36" s="2035"/>
      <c r="M36" s="2059"/>
      <c r="N36" s="2059"/>
      <c r="O36" s="2060"/>
      <c r="P36" s="2035"/>
      <c r="Q36" s="2035"/>
      <c r="R36" s="2050"/>
      <c r="S36" s="2062"/>
      <c r="T36" s="2051"/>
      <c r="U36" s="2051"/>
      <c r="V36" s="2051"/>
      <c r="W36" s="2052"/>
      <c r="X36" s="2052"/>
      <c r="Y36" s="2052"/>
      <c r="Z36" s="2052"/>
      <c r="AA36" s="2053"/>
      <c r="AB36" s="2052"/>
      <c r="AC36" s="2052"/>
      <c r="AD36" s="2052"/>
      <c r="AE36" s="2054"/>
      <c r="AF36" s="2051"/>
      <c r="AG36" s="2055"/>
      <c r="AH36" s="2097"/>
      <c r="AJ36" s="2056"/>
    </row>
    <row r="37" spans="1:37" s="1504" customFormat="1" ht="15.6">
      <c r="A37" s="1503">
        <f t="shared" si="1"/>
        <v>25</v>
      </c>
      <c r="B37" s="2042"/>
      <c r="C37" s="1457"/>
      <c r="D37" s="1520"/>
      <c r="E37" s="2029"/>
      <c r="F37" s="1915"/>
      <c r="G37" s="2057"/>
      <c r="H37" s="2048"/>
      <c r="I37" s="2048"/>
      <c r="J37" s="2048"/>
      <c r="K37" s="2069"/>
      <c r="L37" s="2035"/>
      <c r="M37" s="2074"/>
      <c r="N37" s="2074"/>
      <c r="O37" s="2060"/>
      <c r="P37" s="2035"/>
      <c r="Q37" s="2035"/>
      <c r="R37" s="2050"/>
      <c r="S37" s="2062"/>
      <c r="T37" s="2051"/>
      <c r="U37" s="2051"/>
      <c r="V37" s="2051"/>
      <c r="W37" s="2052"/>
      <c r="X37" s="2052"/>
      <c r="Y37" s="2052"/>
      <c r="Z37" s="2052"/>
      <c r="AA37" s="2053"/>
      <c r="AB37" s="2052"/>
      <c r="AC37" s="2052"/>
      <c r="AD37" s="2052"/>
      <c r="AE37" s="2054"/>
      <c r="AF37" s="2051"/>
      <c r="AG37" s="2055"/>
      <c r="AH37" s="2097"/>
      <c r="AJ37" s="2056"/>
    </row>
    <row r="38" spans="1:37" s="1504" customFormat="1" ht="15.6">
      <c r="A38" s="1503">
        <f t="shared" si="1"/>
        <v>26</v>
      </c>
      <c r="B38" s="2042"/>
      <c r="C38" s="1915"/>
      <c r="D38" s="1520"/>
      <c r="E38" s="2029"/>
      <c r="F38" s="1942"/>
      <c r="G38" s="2057"/>
      <c r="H38" s="2048"/>
      <c r="I38" s="2048"/>
      <c r="J38" s="2048"/>
      <c r="K38" s="1547"/>
      <c r="L38" s="2035"/>
      <c r="M38" s="2059"/>
      <c r="N38" s="2059"/>
      <c r="O38" s="2060"/>
      <c r="P38" s="2035"/>
      <c r="Q38" s="2035"/>
      <c r="R38" s="2075"/>
      <c r="S38" s="2050"/>
      <c r="T38" s="2066"/>
      <c r="U38" s="2053"/>
      <c r="V38" s="2053"/>
      <c r="W38" s="2052"/>
      <c r="X38" s="2052"/>
      <c r="Y38" s="2052"/>
      <c r="Z38" s="2072"/>
      <c r="AA38" s="2053"/>
      <c r="AB38" s="2052"/>
      <c r="AC38" s="2052"/>
      <c r="AD38" s="2052"/>
      <c r="AE38" s="2054"/>
      <c r="AF38" s="2051"/>
      <c r="AG38" s="2055"/>
      <c r="AH38" s="2097"/>
      <c r="AJ38" s="2056"/>
    </row>
    <row r="39" spans="1:37" s="2056" customFormat="1" ht="15.6">
      <c r="A39" s="1503">
        <f t="shared" si="1"/>
        <v>27</v>
      </c>
      <c r="B39" s="2100"/>
      <c r="C39" s="2054"/>
      <c r="D39" s="2054"/>
      <c r="E39" s="2100"/>
      <c r="F39" s="2100"/>
      <c r="G39" s="2100"/>
      <c r="H39" s="2100"/>
      <c r="I39" s="2100"/>
      <c r="J39" s="2100"/>
      <c r="K39" s="2100"/>
      <c r="L39" s="2100"/>
      <c r="M39" s="2100"/>
      <c r="N39" s="2100"/>
      <c r="R39" s="2101"/>
      <c r="S39" s="2102"/>
      <c r="T39" s="2101"/>
      <c r="U39" s="2103"/>
      <c r="V39" s="2103"/>
      <c r="W39" s="2104"/>
      <c r="X39" s="2101"/>
      <c r="Y39" s="2101"/>
      <c r="Z39" s="2101"/>
      <c r="AA39" s="2103"/>
      <c r="AB39" s="2101"/>
      <c r="AC39" s="2105"/>
      <c r="AD39" s="2105"/>
      <c r="AE39" s="2106"/>
      <c r="AF39" s="2107"/>
      <c r="AG39" s="2107"/>
      <c r="AH39" s="2107"/>
      <c r="AI39" s="1549"/>
      <c r="AJ39" s="1549"/>
      <c r="AK39" s="1504"/>
    </row>
    <row r="40" spans="1:37" s="1504" customFormat="1" ht="15.6">
      <c r="A40" s="1503">
        <f t="shared" si="1"/>
        <v>28</v>
      </c>
      <c r="B40" s="2042"/>
      <c r="C40" s="1457"/>
      <c r="D40" s="2042"/>
      <c r="E40" s="2029"/>
      <c r="F40" s="1915"/>
      <c r="G40" s="2057"/>
      <c r="H40" s="2048"/>
      <c r="I40" s="2048"/>
      <c r="J40" s="2048"/>
      <c r="K40" s="2069"/>
      <c r="L40" s="2035"/>
      <c r="M40" s="2059"/>
      <c r="N40" s="2059"/>
      <c r="O40" s="1552"/>
      <c r="P40" s="2035"/>
      <c r="Q40" s="2035"/>
      <c r="R40" s="2075"/>
      <c r="S40" s="2062"/>
      <c r="T40" s="2051"/>
      <c r="U40" s="2051"/>
      <c r="V40" s="2051"/>
      <c r="W40" s="2052"/>
      <c r="X40" s="2052"/>
      <c r="Y40" s="2052"/>
      <c r="Z40" s="2052"/>
      <c r="AA40" s="2053"/>
      <c r="AB40" s="2052"/>
      <c r="AC40" s="2052"/>
      <c r="AD40" s="2052"/>
      <c r="AE40" s="2054"/>
      <c r="AF40" s="2051"/>
      <c r="AG40" s="2055"/>
      <c r="AH40" s="2097"/>
      <c r="AJ40" s="2056"/>
    </row>
    <row r="41" spans="1:37" s="1504" customFormat="1" ht="15.6">
      <c r="A41" s="1503">
        <f t="shared" si="1"/>
        <v>29</v>
      </c>
      <c r="B41" s="2042"/>
      <c r="C41" s="1457"/>
      <c r="D41" s="2042"/>
      <c r="E41" s="2029"/>
      <c r="F41" s="1915"/>
      <c r="G41" s="2057"/>
      <c r="H41" s="2048"/>
      <c r="I41" s="2048"/>
      <c r="J41" s="2048"/>
      <c r="K41" s="2069"/>
      <c r="L41" s="2035"/>
      <c r="M41" s="2059"/>
      <c r="N41" s="2059"/>
      <c r="O41" s="1552"/>
      <c r="P41" s="2035"/>
      <c r="Q41" s="2035"/>
      <c r="R41" s="2075"/>
      <c r="S41" s="2062"/>
      <c r="T41" s="2051"/>
      <c r="U41" s="2051"/>
      <c r="V41" s="2051"/>
      <c r="W41" s="2052"/>
      <c r="X41" s="2052"/>
      <c r="Y41" s="2052"/>
      <c r="Z41" s="2052"/>
      <c r="AA41" s="2053"/>
      <c r="AB41" s="2052"/>
      <c r="AC41" s="2052"/>
      <c r="AD41" s="2052"/>
      <c r="AE41" s="2054"/>
      <c r="AF41" s="2051"/>
      <c r="AG41" s="2055"/>
      <c r="AH41" s="2097"/>
      <c r="AJ41" s="2056"/>
    </row>
    <row r="42" spans="1:37" s="1504" customFormat="1" ht="15.6">
      <c r="A42" s="1503">
        <f t="shared" si="1"/>
        <v>30</v>
      </c>
      <c r="B42" s="2042"/>
      <c r="C42" s="1457"/>
      <c r="D42" s="1520"/>
      <c r="E42" s="2029"/>
      <c r="F42" s="1915"/>
      <c r="G42" s="2057"/>
      <c r="H42" s="2048"/>
      <c r="I42" s="2048"/>
      <c r="J42" s="2048"/>
      <c r="K42" s="2069"/>
      <c r="L42" s="2035"/>
      <c r="M42" s="2059"/>
      <c r="N42" s="2059"/>
      <c r="O42" s="1552"/>
      <c r="P42" s="2035"/>
      <c r="Q42" s="2035"/>
      <c r="R42" s="2066"/>
      <c r="S42" s="2050"/>
      <c r="T42" s="2051"/>
      <c r="U42" s="2051"/>
      <c r="V42" s="2051"/>
      <c r="W42" s="2052"/>
      <c r="X42" s="2052"/>
      <c r="Y42" s="2052"/>
      <c r="Z42" s="2052"/>
      <c r="AA42" s="2053"/>
      <c r="AB42" s="2052"/>
      <c r="AC42" s="2052"/>
      <c r="AD42" s="2052"/>
      <c r="AE42" s="2054"/>
      <c r="AF42" s="2051"/>
      <c r="AG42" s="2055"/>
      <c r="AH42" s="2097"/>
      <c r="AJ42" s="2056"/>
    </row>
    <row r="43" spans="1:37" s="1504" customFormat="1" ht="15.6">
      <c r="A43" s="1503">
        <f t="shared" si="1"/>
        <v>31</v>
      </c>
      <c r="B43" s="2042"/>
      <c r="C43" s="1457"/>
      <c r="D43" s="2042"/>
      <c r="E43" s="2029"/>
      <c r="F43" s="1915"/>
      <c r="G43" s="2057"/>
      <c r="H43" s="2048"/>
      <c r="I43" s="2048"/>
      <c r="J43" s="2048"/>
      <c r="K43" s="2069"/>
      <c r="L43" s="2035"/>
      <c r="M43" s="2059"/>
      <c r="N43" s="2059"/>
      <c r="O43" s="1552"/>
      <c r="P43" s="2035"/>
      <c r="Q43" s="2035"/>
      <c r="R43" s="2066"/>
      <c r="S43" s="2050"/>
      <c r="T43" s="2051"/>
      <c r="U43" s="2051"/>
      <c r="V43" s="2051"/>
      <c r="W43" s="2052"/>
      <c r="X43" s="2052"/>
      <c r="Y43" s="2052"/>
      <c r="Z43" s="2052"/>
      <c r="AA43" s="2053"/>
      <c r="AB43" s="2052"/>
      <c r="AC43" s="2052"/>
      <c r="AD43" s="2052"/>
      <c r="AE43" s="2054"/>
      <c r="AF43" s="2051"/>
      <c r="AG43" s="2055"/>
      <c r="AH43" s="2097"/>
      <c r="AJ43" s="2056"/>
    </row>
    <row r="44" spans="1:37" s="1504" customFormat="1" ht="15.6">
      <c r="A44" s="1503">
        <f t="shared" si="1"/>
        <v>32</v>
      </c>
      <c r="B44" s="2042"/>
      <c r="C44" s="1457"/>
      <c r="D44" s="2042"/>
      <c r="E44" s="2029"/>
      <c r="F44" s="1915"/>
      <c r="G44" s="2057"/>
      <c r="H44" s="2048"/>
      <c r="I44" s="2048"/>
      <c r="J44" s="2048"/>
      <c r="K44" s="2069"/>
      <c r="L44" s="2035"/>
      <c r="M44" s="2059"/>
      <c r="N44" s="2059"/>
      <c r="O44" s="1552"/>
      <c r="P44" s="1944"/>
      <c r="Q44" s="1944"/>
      <c r="R44" s="2066"/>
      <c r="S44" s="2050"/>
      <c r="T44" s="2051"/>
      <c r="U44" s="2051"/>
      <c r="V44" s="2051"/>
      <c r="W44" s="2052"/>
      <c r="X44" s="2052"/>
      <c r="Y44" s="2052"/>
      <c r="Z44" s="2052"/>
      <c r="AA44" s="2053"/>
      <c r="AB44" s="2052"/>
      <c r="AC44" s="2052"/>
      <c r="AD44" s="2052"/>
      <c r="AE44" s="2054"/>
      <c r="AF44" s="2051"/>
      <c r="AG44" s="2055"/>
      <c r="AH44" s="2097"/>
      <c r="AJ44" s="2056"/>
    </row>
    <row r="45" spans="1:37" s="1504" customFormat="1" ht="15.6">
      <c r="A45" s="1503">
        <f t="shared" si="1"/>
        <v>33</v>
      </c>
      <c r="B45" s="2042"/>
      <c r="C45" s="1915"/>
      <c r="D45" s="2042"/>
      <c r="E45" s="2046"/>
      <c r="F45" s="1942"/>
      <c r="G45" s="2057"/>
      <c r="H45" s="2048"/>
      <c r="I45" s="2048"/>
      <c r="J45" s="2048"/>
      <c r="K45" s="2069"/>
      <c r="L45" s="2035"/>
      <c r="M45" s="2059"/>
      <c r="N45" s="2059"/>
      <c r="O45" s="1552"/>
      <c r="P45" s="2047"/>
      <c r="Q45" s="2047"/>
      <c r="R45" s="2066"/>
      <c r="S45" s="2050"/>
      <c r="T45" s="2066"/>
      <c r="U45" s="2051"/>
      <c r="V45" s="2051"/>
      <c r="W45" s="2052"/>
      <c r="X45" s="2052"/>
      <c r="Y45" s="2052"/>
      <c r="Z45" s="2072"/>
      <c r="AA45" s="2053"/>
      <c r="AB45" s="2052"/>
      <c r="AC45" s="2052"/>
      <c r="AD45" s="2052"/>
      <c r="AE45" s="2054"/>
      <c r="AF45" s="2051"/>
      <c r="AG45" s="2055"/>
      <c r="AH45" s="2097"/>
      <c r="AJ45" s="2056"/>
    </row>
    <row r="46" spans="1:37" s="1504" customFormat="1" ht="15.6">
      <c r="A46" s="1503">
        <f t="shared" si="1"/>
        <v>34</v>
      </c>
      <c r="B46" s="2042"/>
      <c r="C46" s="1457"/>
      <c r="D46" s="2042"/>
      <c r="E46" s="2029"/>
      <c r="F46" s="1915"/>
      <c r="G46" s="2057"/>
      <c r="H46" s="2048"/>
      <c r="I46" s="2048"/>
      <c r="J46" s="2048"/>
      <c r="K46" s="2069"/>
      <c r="L46" s="2035"/>
      <c r="M46" s="2059"/>
      <c r="N46" s="2059"/>
      <c r="O46" s="1552"/>
      <c r="P46" s="2035"/>
      <c r="Q46" s="2035"/>
      <c r="R46" s="2066"/>
      <c r="S46" s="2050"/>
      <c r="T46" s="2051"/>
      <c r="U46" s="2051"/>
      <c r="V46" s="2051"/>
      <c r="W46" s="2052"/>
      <c r="X46" s="2052"/>
      <c r="Y46" s="2052"/>
      <c r="Z46" s="2052"/>
      <c r="AA46" s="2053"/>
      <c r="AB46" s="2052"/>
      <c r="AC46" s="2052"/>
      <c r="AD46" s="2052"/>
      <c r="AE46" s="2054"/>
      <c r="AF46" s="2051"/>
      <c r="AG46" s="2055"/>
      <c r="AH46" s="2097"/>
      <c r="AJ46" s="2056"/>
    </row>
    <row r="47" spans="1:37" s="1504" customFormat="1" ht="15.6">
      <c r="A47" s="1503">
        <f t="shared" si="1"/>
        <v>35</v>
      </c>
      <c r="B47" s="2042"/>
      <c r="C47" s="1457"/>
      <c r="D47" s="2042"/>
      <c r="E47" s="2029"/>
      <c r="F47" s="1915"/>
      <c r="G47" s="2057"/>
      <c r="H47" s="2048"/>
      <c r="I47" s="2048"/>
      <c r="J47" s="2048"/>
      <c r="K47" s="2069"/>
      <c r="L47" s="2047"/>
      <c r="M47" s="2074"/>
      <c r="N47" s="2074"/>
      <c r="O47" s="1552"/>
      <c r="P47" s="2035"/>
      <c r="Q47" s="2035"/>
      <c r="R47" s="2066"/>
      <c r="S47" s="2050"/>
      <c r="T47" s="2051"/>
      <c r="U47" s="2051"/>
      <c r="V47" s="2051"/>
      <c r="W47" s="2052"/>
      <c r="X47" s="2052"/>
      <c r="Y47" s="2052"/>
      <c r="Z47" s="2052"/>
      <c r="AA47" s="2053"/>
      <c r="AB47" s="2052"/>
      <c r="AC47" s="2052"/>
      <c r="AD47" s="2052"/>
      <c r="AE47" s="2054"/>
      <c r="AF47" s="2051"/>
      <c r="AG47" s="2055"/>
      <c r="AH47" s="2097"/>
      <c r="AJ47" s="2056"/>
    </row>
    <row r="48" spans="1:37" s="2056" customFormat="1" ht="15.6">
      <c r="A48" s="1503">
        <f t="shared" si="1"/>
        <v>36</v>
      </c>
      <c r="B48" s="2100"/>
      <c r="C48" s="2054"/>
      <c r="D48" s="2054"/>
      <c r="E48" s="2100"/>
      <c r="F48" s="2100"/>
      <c r="G48" s="2100"/>
      <c r="H48" s="2100"/>
      <c r="I48" s="2100"/>
      <c r="J48" s="2100"/>
      <c r="K48" s="2100"/>
      <c r="L48" s="2100"/>
      <c r="M48" s="2100"/>
      <c r="N48" s="2100"/>
      <c r="R48" s="2101"/>
      <c r="S48" s="2102"/>
      <c r="T48" s="2101"/>
      <c r="U48" s="2103"/>
      <c r="V48" s="2103"/>
      <c r="W48" s="2104"/>
      <c r="X48" s="2101"/>
      <c r="Y48" s="2101"/>
      <c r="Z48" s="2101"/>
      <c r="AA48" s="2103"/>
      <c r="AB48" s="2101"/>
      <c r="AC48" s="2105"/>
      <c r="AD48" s="2105"/>
      <c r="AE48" s="2106"/>
      <c r="AF48" s="2107"/>
      <c r="AG48" s="2107"/>
      <c r="AH48" s="2107"/>
      <c r="AI48" s="1549"/>
      <c r="AJ48" s="1549"/>
      <c r="AK48" s="1504"/>
    </row>
    <row r="49" spans="1:36" s="1504" customFormat="1">
      <c r="A49" s="1503">
        <f t="shared" si="1"/>
        <v>37</v>
      </c>
      <c r="B49" s="2109"/>
      <c r="C49" s="1915"/>
      <c r="E49" s="2029"/>
      <c r="F49" s="1942"/>
      <c r="G49" s="2057"/>
      <c r="H49" s="2048"/>
      <c r="I49" s="2048"/>
      <c r="J49" s="2048"/>
      <c r="K49" s="1547"/>
      <c r="L49" s="2035"/>
      <c r="M49" s="2059"/>
      <c r="N49" s="2059"/>
      <c r="O49" s="1552"/>
      <c r="P49" s="2035"/>
      <c r="Q49" s="2035"/>
      <c r="R49" s="2066"/>
      <c r="S49" s="2050"/>
      <c r="T49" s="2066"/>
      <c r="U49" s="2053"/>
      <c r="V49" s="2053"/>
      <c r="W49" s="2052"/>
      <c r="X49" s="2052"/>
      <c r="Y49" s="2052"/>
      <c r="Z49" s="2052"/>
      <c r="AA49" s="2053"/>
      <c r="AB49" s="2052"/>
      <c r="AC49" s="2052"/>
      <c r="AD49" s="2052"/>
      <c r="AE49" s="2054"/>
      <c r="AF49" s="2051"/>
      <c r="AG49" s="2110"/>
      <c r="AH49" s="2097"/>
      <c r="AJ49" s="2056"/>
    </row>
    <row r="50" spans="1:36" s="1504" customFormat="1">
      <c r="A50" s="1503">
        <f t="shared" si="1"/>
        <v>38</v>
      </c>
      <c r="B50" s="2109"/>
      <c r="C50" s="1915"/>
      <c r="E50" s="2029"/>
      <c r="F50" s="1942"/>
      <c r="G50" s="2057"/>
      <c r="H50" s="2048"/>
      <c r="I50" s="2048"/>
      <c r="J50" s="2048"/>
      <c r="K50" s="1547"/>
      <c r="L50" s="2035"/>
      <c r="M50" s="2059"/>
      <c r="N50" s="2059"/>
      <c r="O50" s="1552"/>
      <c r="P50" s="2035"/>
      <c r="Q50" s="2035"/>
      <c r="R50" s="2066"/>
      <c r="S50" s="2050"/>
      <c r="T50" s="2066"/>
      <c r="U50" s="2053"/>
      <c r="V50" s="2053"/>
      <c r="W50" s="2052"/>
      <c r="X50" s="2052"/>
      <c r="Y50" s="2052"/>
      <c r="Z50" s="2052"/>
      <c r="AA50" s="2053"/>
      <c r="AB50" s="2052"/>
      <c r="AC50" s="2052"/>
      <c r="AD50" s="2052"/>
      <c r="AE50" s="2054"/>
      <c r="AF50" s="2051"/>
      <c r="AG50" s="2110"/>
      <c r="AH50" s="2097"/>
      <c r="AJ50" s="2056"/>
    </row>
    <row r="51" spans="1:36" s="1504" customFormat="1">
      <c r="A51" s="1503">
        <f t="shared" si="1"/>
        <v>39</v>
      </c>
      <c r="B51" s="2109"/>
      <c r="C51" s="1915"/>
      <c r="E51" s="2029"/>
      <c r="F51" s="1942"/>
      <c r="G51" s="2057"/>
      <c r="H51" s="2048"/>
      <c r="I51" s="2048"/>
      <c r="J51" s="2048"/>
      <c r="K51" s="1547"/>
      <c r="L51" s="2035"/>
      <c r="M51" s="2059"/>
      <c r="N51" s="2059"/>
      <c r="O51" s="1552"/>
      <c r="P51" s="2035"/>
      <c r="Q51" s="2035"/>
      <c r="R51" s="2066"/>
      <c r="S51" s="2050"/>
      <c r="T51" s="2066"/>
      <c r="U51" s="2053"/>
      <c r="V51" s="2053"/>
      <c r="W51" s="2052"/>
      <c r="X51" s="2052"/>
      <c r="Y51" s="2052"/>
      <c r="Z51" s="2052"/>
      <c r="AA51" s="2053"/>
      <c r="AB51" s="2052"/>
      <c r="AC51" s="2052"/>
      <c r="AD51" s="2052"/>
      <c r="AE51" s="2054"/>
      <c r="AF51" s="2051"/>
      <c r="AG51" s="2110"/>
      <c r="AH51" s="2097"/>
      <c r="AJ51" s="2056"/>
    </row>
    <row r="52" spans="1:36" s="1504" customFormat="1">
      <c r="A52" s="1503">
        <f t="shared" si="1"/>
        <v>40</v>
      </c>
      <c r="B52" s="2109"/>
      <c r="C52" s="1915"/>
      <c r="E52" s="2029"/>
      <c r="F52" s="1942"/>
      <c r="G52" s="2057"/>
      <c r="H52" s="2048"/>
      <c r="I52" s="2048"/>
      <c r="J52" s="2048"/>
      <c r="K52" s="1547"/>
      <c r="L52" s="2035"/>
      <c r="M52" s="2059"/>
      <c r="N52" s="2059"/>
      <c r="O52" s="1552"/>
      <c r="P52" s="2035"/>
      <c r="Q52" s="2035"/>
      <c r="R52" s="2066"/>
      <c r="S52" s="2050"/>
      <c r="T52" s="2066"/>
      <c r="U52" s="2053"/>
      <c r="V52" s="2053"/>
      <c r="W52" s="2052"/>
      <c r="X52" s="2052"/>
      <c r="Y52" s="2052"/>
      <c r="Z52" s="2052"/>
      <c r="AA52" s="2053"/>
      <c r="AB52" s="2052"/>
      <c r="AC52" s="2052"/>
      <c r="AD52" s="2052"/>
      <c r="AE52" s="2054"/>
      <c r="AF52" s="2051"/>
      <c r="AG52" s="2110"/>
      <c r="AH52" s="2097"/>
      <c r="AJ52" s="2056"/>
    </row>
    <row r="53" spans="1:36" s="1504" customFormat="1">
      <c r="A53" s="1503">
        <f t="shared" si="1"/>
        <v>41</v>
      </c>
      <c r="B53" s="2109"/>
      <c r="C53" s="1915"/>
      <c r="E53" s="2029"/>
      <c r="F53" s="1942"/>
      <c r="G53" s="2057"/>
      <c r="H53" s="2048"/>
      <c r="I53" s="2048"/>
      <c r="J53" s="2048"/>
      <c r="K53" s="1547"/>
      <c r="L53" s="2035"/>
      <c r="M53" s="2059"/>
      <c r="N53" s="2059"/>
      <c r="O53" s="1552"/>
      <c r="P53" s="2035"/>
      <c r="Q53" s="2035"/>
      <c r="R53" s="2066"/>
      <c r="S53" s="2050"/>
      <c r="T53" s="2066"/>
      <c r="U53" s="2053"/>
      <c r="V53" s="2053"/>
      <c r="W53" s="2052"/>
      <c r="X53" s="2052"/>
      <c r="Y53" s="2052"/>
      <c r="Z53" s="2052"/>
      <c r="AA53" s="2053"/>
      <c r="AB53" s="2052"/>
      <c r="AC53" s="2052"/>
      <c r="AD53" s="2052"/>
      <c r="AE53" s="2054"/>
      <c r="AF53" s="2051"/>
      <c r="AG53" s="2110"/>
      <c r="AH53" s="2097"/>
      <c r="AJ53" s="2056"/>
    </row>
    <row r="54" spans="1:36" s="1504" customFormat="1">
      <c r="A54" s="1503">
        <f t="shared" si="1"/>
        <v>42</v>
      </c>
      <c r="B54" s="2109"/>
      <c r="C54" s="1915"/>
      <c r="E54" s="2029"/>
      <c r="F54" s="1942"/>
      <c r="G54" s="2057"/>
      <c r="H54" s="2048"/>
      <c r="I54" s="2048"/>
      <c r="J54" s="2048"/>
      <c r="K54" s="1547"/>
      <c r="L54" s="2035"/>
      <c r="M54" s="2059"/>
      <c r="N54" s="2059"/>
      <c r="O54" s="1552"/>
      <c r="P54" s="2035"/>
      <c r="Q54" s="2035"/>
      <c r="R54" s="2066"/>
      <c r="S54" s="2050"/>
      <c r="T54" s="2066"/>
      <c r="U54" s="2053"/>
      <c r="V54" s="2053"/>
      <c r="W54" s="2052"/>
      <c r="X54" s="2052"/>
      <c r="Y54" s="2052"/>
      <c r="Z54" s="2052"/>
      <c r="AA54" s="2053"/>
      <c r="AB54" s="2052"/>
      <c r="AC54" s="2052"/>
      <c r="AD54" s="2052"/>
      <c r="AE54" s="2054"/>
      <c r="AF54" s="2051"/>
      <c r="AG54" s="2110"/>
      <c r="AH54" s="2097"/>
      <c r="AJ54" s="2056"/>
    </row>
    <row r="55" spans="1:36" s="1504" customFormat="1">
      <c r="A55" s="1503">
        <f t="shared" si="1"/>
        <v>43</v>
      </c>
      <c r="B55" s="2109"/>
      <c r="C55" s="1915"/>
      <c r="E55" s="2029"/>
      <c r="F55" s="1942"/>
      <c r="G55" s="2057"/>
      <c r="H55" s="2048"/>
      <c r="I55" s="2048"/>
      <c r="J55" s="2048"/>
      <c r="K55" s="1547"/>
      <c r="L55" s="2035"/>
      <c r="M55" s="2059"/>
      <c r="N55" s="2059"/>
      <c r="O55" s="1552"/>
      <c r="P55" s="2035"/>
      <c r="Q55" s="2035"/>
      <c r="R55" s="2066"/>
      <c r="S55" s="2050"/>
      <c r="T55" s="2066"/>
      <c r="U55" s="2053"/>
      <c r="V55" s="2053"/>
      <c r="W55" s="2052"/>
      <c r="X55" s="2052"/>
      <c r="Y55" s="2052"/>
      <c r="Z55" s="2052"/>
      <c r="AA55" s="2053"/>
      <c r="AB55" s="2052"/>
      <c r="AC55" s="2052"/>
      <c r="AD55" s="2052"/>
      <c r="AE55" s="2054"/>
      <c r="AF55" s="2051"/>
      <c r="AG55" s="2110"/>
      <c r="AH55" s="2097"/>
      <c r="AJ55" s="2056"/>
    </row>
    <row r="56" spans="1:36" s="1504" customFormat="1">
      <c r="A56" s="1503">
        <f t="shared" si="1"/>
        <v>44</v>
      </c>
      <c r="B56" s="2109"/>
      <c r="C56" s="1915"/>
      <c r="E56" s="2029"/>
      <c r="F56" s="1942"/>
      <c r="G56" s="2057"/>
      <c r="H56" s="2048"/>
      <c r="I56" s="2048"/>
      <c r="J56" s="2048"/>
      <c r="K56" s="1547"/>
      <c r="L56" s="2035"/>
      <c r="M56" s="2059"/>
      <c r="N56" s="2059"/>
      <c r="O56" s="1552"/>
      <c r="P56" s="2035"/>
      <c r="Q56" s="2035"/>
      <c r="R56" s="2066"/>
      <c r="S56" s="2050"/>
      <c r="T56" s="2066"/>
      <c r="U56" s="2053"/>
      <c r="V56" s="2053"/>
      <c r="W56" s="2052"/>
      <c r="X56" s="2052"/>
      <c r="Y56" s="2052"/>
      <c r="Z56" s="2052"/>
      <c r="AA56" s="2053"/>
      <c r="AB56" s="2052"/>
      <c r="AC56" s="2052"/>
      <c r="AD56" s="2052"/>
      <c r="AE56" s="2054"/>
      <c r="AF56" s="2051"/>
      <c r="AG56" s="2110"/>
      <c r="AH56" s="2097"/>
      <c r="AJ56" s="2056"/>
    </row>
    <row r="57" spans="1:36" s="1504" customFormat="1">
      <c r="A57" s="1503">
        <f t="shared" si="1"/>
        <v>45</v>
      </c>
      <c r="B57" s="2109"/>
      <c r="C57" s="1915"/>
      <c r="E57" s="2029"/>
      <c r="F57" s="1942"/>
      <c r="G57" s="2057"/>
      <c r="H57" s="2048"/>
      <c r="I57" s="2048"/>
      <c r="J57" s="2048"/>
      <c r="K57" s="1547"/>
      <c r="L57" s="2035"/>
      <c r="M57" s="2059"/>
      <c r="N57" s="2059"/>
      <c r="O57" s="1552"/>
      <c r="P57" s="2035"/>
      <c r="Q57" s="2035"/>
      <c r="R57" s="2066"/>
      <c r="S57" s="2050"/>
      <c r="T57" s="2066"/>
      <c r="U57" s="2053"/>
      <c r="V57" s="2053"/>
      <c r="W57" s="2052"/>
      <c r="X57" s="2052"/>
      <c r="Y57" s="2052"/>
      <c r="Z57" s="2052"/>
      <c r="AA57" s="2053"/>
      <c r="AB57" s="2052"/>
      <c r="AC57" s="2052"/>
      <c r="AD57" s="2052"/>
      <c r="AE57" s="2054"/>
      <c r="AF57" s="2051"/>
      <c r="AG57" s="2110"/>
      <c r="AH57" s="2097"/>
      <c r="AJ57" s="2056"/>
    </row>
    <row r="58" spans="1:36" s="5" customFormat="1">
      <c r="A58" s="1503">
        <f t="shared" si="1"/>
        <v>46</v>
      </c>
      <c r="B58" s="2111"/>
      <c r="C58" s="1242"/>
      <c r="D58" s="795"/>
      <c r="E58" s="779"/>
      <c r="F58" s="660"/>
      <c r="G58" s="2040"/>
      <c r="H58" s="1290"/>
      <c r="I58" s="1290"/>
      <c r="J58" s="1290"/>
      <c r="K58" s="922"/>
      <c r="L58" s="2037"/>
      <c r="M58" s="1476"/>
      <c r="N58" s="1476"/>
      <c r="O58" s="2041"/>
      <c r="P58" s="2037"/>
      <c r="Q58" s="2037"/>
      <c r="R58" s="2038"/>
      <c r="S58" s="659"/>
      <c r="T58" s="2038"/>
      <c r="U58" s="1593"/>
      <c r="V58" s="1593"/>
      <c r="W58" s="1338"/>
      <c r="X58" s="1338"/>
      <c r="Y58" s="1338"/>
      <c r="Z58" s="1338"/>
      <c r="AA58" s="1593"/>
      <c r="AB58" s="1338"/>
      <c r="AC58" s="1338"/>
      <c r="AD58" s="1338"/>
      <c r="AE58" s="1345"/>
      <c r="AF58" s="2039"/>
      <c r="AG58" s="2112"/>
      <c r="AH58" s="2113"/>
      <c r="AJ58" s="13"/>
    </row>
    <row r="59" spans="1:36" s="5" customFormat="1">
      <c r="A59" s="1503">
        <f t="shared" si="1"/>
        <v>47</v>
      </c>
      <c r="B59" s="1447"/>
      <c r="C59" s="166"/>
      <c r="D59" s="46"/>
      <c r="E59" s="179"/>
      <c r="F59" s="1346"/>
      <c r="G59" s="2034"/>
      <c r="H59" s="2033"/>
      <c r="I59" s="2033"/>
      <c r="J59" s="2033"/>
      <c r="K59" s="79"/>
      <c r="L59" s="2032"/>
      <c r="M59" s="1476"/>
      <c r="N59" s="1476"/>
      <c r="O59" s="1203"/>
      <c r="P59" s="2037"/>
      <c r="Q59" s="2037"/>
      <c r="R59" s="2036"/>
      <c r="S59" s="1297"/>
      <c r="T59" s="2043"/>
      <c r="U59" s="1634"/>
      <c r="V59" s="2114"/>
      <c r="W59" s="1337"/>
      <c r="X59" s="1337"/>
      <c r="Y59" s="1337"/>
      <c r="Z59" s="1337"/>
      <c r="AA59" s="1609"/>
      <c r="AB59" s="1337"/>
      <c r="AC59" s="1336"/>
      <c r="AD59" s="1337"/>
      <c r="AE59" s="758"/>
      <c r="AF59" s="1594"/>
      <c r="AG59" s="2115"/>
      <c r="AH59" s="2116"/>
      <c r="AJ59" s="13"/>
    </row>
    <row r="60" spans="1:36" s="5" customFormat="1">
      <c r="A60" s="1503">
        <f t="shared" si="1"/>
        <v>48</v>
      </c>
      <c r="B60" s="1447"/>
      <c r="C60" s="166"/>
      <c r="D60" s="46"/>
      <c r="E60" s="179"/>
      <c r="F60" s="1346"/>
      <c r="G60" s="2034"/>
      <c r="H60" s="2033"/>
      <c r="I60" s="2033"/>
      <c r="J60" s="2033"/>
      <c r="K60" s="79"/>
      <c r="L60" s="2032"/>
      <c r="M60" s="1476"/>
      <c r="N60" s="1476"/>
      <c r="O60" s="1203"/>
      <c r="P60" s="2037"/>
      <c r="Q60" s="2037"/>
      <c r="R60" s="2036"/>
      <c r="S60" s="1297"/>
      <c r="T60" s="2043"/>
      <c r="U60" s="1634"/>
      <c r="V60" s="2114"/>
      <c r="W60" s="1337"/>
      <c r="X60" s="1337"/>
      <c r="Y60" s="1337"/>
      <c r="Z60" s="1337"/>
      <c r="AA60" s="1609"/>
      <c r="AB60" s="1337"/>
      <c r="AC60" s="1336"/>
      <c r="AD60" s="1337"/>
      <c r="AE60" s="758"/>
      <c r="AF60" s="1594"/>
      <c r="AG60" s="2115"/>
      <c r="AH60" s="2116"/>
      <c r="AJ60" s="13"/>
    </row>
    <row r="61" spans="1:36" s="5" customFormat="1">
      <c r="A61" s="1503">
        <f t="shared" si="1"/>
        <v>49</v>
      </c>
      <c r="B61" s="1447"/>
      <c r="C61" s="166"/>
      <c r="D61" s="46"/>
      <c r="E61" s="179"/>
      <c r="F61" s="1346"/>
      <c r="G61" s="2034"/>
      <c r="H61" s="2033"/>
      <c r="I61" s="2033"/>
      <c r="J61" s="2033"/>
      <c r="K61" s="79"/>
      <c r="L61" s="2032"/>
      <c r="M61" s="1476"/>
      <c r="N61" s="1476"/>
      <c r="O61" s="1203"/>
      <c r="P61" s="2037"/>
      <c r="Q61" s="2037"/>
      <c r="R61" s="2036"/>
      <c r="S61" s="1297"/>
      <c r="T61" s="2043"/>
      <c r="U61" s="1634"/>
      <c r="V61" s="2114"/>
      <c r="W61" s="1337"/>
      <c r="X61" s="1337"/>
      <c r="Y61" s="1337"/>
      <c r="Z61" s="1337"/>
      <c r="AA61" s="1609"/>
      <c r="AB61" s="1337"/>
      <c r="AC61" s="1336"/>
      <c r="AD61" s="1337"/>
      <c r="AE61" s="758"/>
      <c r="AF61" s="1594"/>
      <c r="AG61" s="2115"/>
      <c r="AH61" s="2116"/>
      <c r="AJ61" s="13"/>
    </row>
    <row r="62" spans="1:36" s="5" customFormat="1">
      <c r="A62" s="1503">
        <f t="shared" si="1"/>
        <v>50</v>
      </c>
      <c r="B62" s="1447"/>
      <c r="C62" s="166"/>
      <c r="D62" s="46"/>
      <c r="E62" s="179"/>
      <c r="F62" s="1346"/>
      <c r="G62" s="2034"/>
      <c r="H62" s="2033"/>
      <c r="I62" s="2033"/>
      <c r="J62" s="2033"/>
      <c r="K62" s="79"/>
      <c r="L62" s="2032"/>
      <c r="M62" s="1476"/>
      <c r="N62" s="1476"/>
      <c r="O62" s="1203"/>
      <c r="P62" s="2037"/>
      <c r="Q62" s="2037"/>
      <c r="R62" s="2036"/>
      <c r="S62" s="1297"/>
      <c r="T62" s="2043"/>
      <c r="U62" s="1634"/>
      <c r="V62" s="2114"/>
      <c r="W62" s="1337"/>
      <c r="X62" s="1337"/>
      <c r="Y62" s="1337"/>
      <c r="Z62" s="1337"/>
      <c r="AA62" s="1609"/>
      <c r="AB62" s="1337"/>
      <c r="AC62" s="1336"/>
      <c r="AD62" s="1337"/>
      <c r="AE62" s="758"/>
      <c r="AF62" s="1594"/>
      <c r="AG62" s="2115"/>
      <c r="AH62" s="2116"/>
      <c r="AJ62" s="13"/>
    </row>
    <row r="63" spans="1:36" s="5" customFormat="1">
      <c r="A63" s="1503">
        <f t="shared" si="1"/>
        <v>51</v>
      </c>
      <c r="B63" s="1447"/>
      <c r="C63" s="166"/>
      <c r="D63" s="46"/>
      <c r="E63" s="179"/>
      <c r="F63" s="1346"/>
      <c r="G63" s="2034"/>
      <c r="H63" s="2033"/>
      <c r="I63" s="2033"/>
      <c r="J63" s="2033"/>
      <c r="K63" s="79"/>
      <c r="L63" s="2032"/>
      <c r="M63" s="1476"/>
      <c r="N63" s="1476"/>
      <c r="O63" s="1203"/>
      <c r="P63" s="2037"/>
      <c r="Q63" s="2037"/>
      <c r="R63" s="2036"/>
      <c r="S63" s="1297"/>
      <c r="T63" s="2043"/>
      <c r="U63" s="1634"/>
      <c r="V63" s="2114"/>
      <c r="W63" s="1337"/>
      <c r="X63" s="1337"/>
      <c r="Y63" s="1337"/>
      <c r="Z63" s="1337"/>
      <c r="AA63" s="1609"/>
      <c r="AB63" s="1337"/>
      <c r="AC63" s="1336"/>
      <c r="AD63" s="1337"/>
      <c r="AE63" s="758"/>
      <c r="AF63" s="1594"/>
      <c r="AG63" s="2115"/>
      <c r="AH63" s="2116"/>
      <c r="AJ63" s="13"/>
    </row>
    <row r="64" spans="1:36" s="5" customFormat="1">
      <c r="A64" s="1503">
        <f t="shared" si="1"/>
        <v>52</v>
      </c>
      <c r="B64" s="1447"/>
      <c r="C64" s="166"/>
      <c r="D64" s="46"/>
      <c r="E64" s="179"/>
      <c r="F64" s="1346"/>
      <c r="G64" s="2034"/>
      <c r="H64" s="2033"/>
      <c r="I64" s="2033"/>
      <c r="J64" s="2033"/>
      <c r="K64" s="79"/>
      <c r="L64" s="2032"/>
      <c r="M64" s="1476"/>
      <c r="N64" s="1476"/>
      <c r="O64" s="1203"/>
      <c r="P64" s="2037"/>
      <c r="Q64" s="2037"/>
      <c r="R64" s="2036"/>
      <c r="S64" s="1297"/>
      <c r="T64" s="2043"/>
      <c r="U64" s="1634"/>
      <c r="V64" s="2114"/>
      <c r="W64" s="1337"/>
      <c r="X64" s="1337"/>
      <c r="Y64" s="1337"/>
      <c r="Z64" s="1337"/>
      <c r="AA64" s="1609"/>
      <c r="AB64" s="1337"/>
      <c r="AC64" s="1336"/>
      <c r="AD64" s="1337"/>
      <c r="AE64" s="758"/>
      <c r="AF64" s="1594"/>
      <c r="AG64" s="2115"/>
      <c r="AH64" s="2116"/>
      <c r="AJ64" s="13"/>
    </row>
    <row r="65" spans="1:36" s="5" customFormat="1">
      <c r="A65" s="1503">
        <f t="shared" si="1"/>
        <v>53</v>
      </c>
      <c r="B65" s="1447"/>
      <c r="C65" s="166"/>
      <c r="D65" s="46"/>
      <c r="E65" s="179"/>
      <c r="F65" s="1346"/>
      <c r="G65" s="2034"/>
      <c r="H65" s="2033"/>
      <c r="I65" s="2033"/>
      <c r="J65" s="2033"/>
      <c r="K65" s="79"/>
      <c r="L65" s="2032"/>
      <c r="M65" s="1476"/>
      <c r="N65" s="1476"/>
      <c r="O65" s="1203"/>
      <c r="P65" s="2037"/>
      <c r="Q65" s="2037"/>
      <c r="R65" s="2036"/>
      <c r="S65" s="1297"/>
      <c r="T65" s="2043"/>
      <c r="U65" s="1634"/>
      <c r="V65" s="2114"/>
      <c r="W65" s="1337"/>
      <c r="X65" s="1337"/>
      <c r="Y65" s="1337"/>
      <c r="Z65" s="1337"/>
      <c r="AA65" s="1609"/>
      <c r="AB65" s="1337"/>
      <c r="AC65" s="1336"/>
      <c r="AD65" s="1337"/>
      <c r="AE65" s="758"/>
      <c r="AF65" s="1594"/>
      <c r="AG65" s="2115"/>
      <c r="AH65" s="2116"/>
      <c r="AJ65" s="13"/>
    </row>
    <row r="66" spans="1:36" s="5" customFormat="1">
      <c r="A66" s="1503">
        <f t="shared" si="1"/>
        <v>54</v>
      </c>
      <c r="B66" s="1447"/>
      <c r="C66" s="166"/>
      <c r="D66" s="46"/>
      <c r="E66" s="179"/>
      <c r="F66" s="1346"/>
      <c r="G66" s="2034"/>
      <c r="H66" s="2033"/>
      <c r="I66" s="2033"/>
      <c r="J66" s="2033"/>
      <c r="K66" s="79"/>
      <c r="L66" s="2032"/>
      <c r="M66" s="1476"/>
      <c r="N66" s="1476"/>
      <c r="O66" s="1203"/>
      <c r="P66" s="2037"/>
      <c r="Q66" s="2037"/>
      <c r="R66" s="2036"/>
      <c r="S66" s="1297"/>
      <c r="T66" s="2043"/>
      <c r="U66" s="1634"/>
      <c r="V66" s="2114"/>
      <c r="W66" s="1337"/>
      <c r="X66" s="1337"/>
      <c r="Y66" s="1337"/>
      <c r="Z66" s="1337"/>
      <c r="AA66" s="1609"/>
      <c r="AB66" s="1337"/>
      <c r="AC66" s="1336"/>
      <c r="AD66" s="1337"/>
      <c r="AE66" s="758"/>
      <c r="AF66" s="1594"/>
      <c r="AG66" s="2115"/>
      <c r="AH66" s="2116"/>
      <c r="AJ66" s="13"/>
    </row>
    <row r="67" spans="1:36" s="5" customFormat="1">
      <c r="A67" s="1503">
        <f t="shared" si="1"/>
        <v>55</v>
      </c>
      <c r="B67" s="1447"/>
      <c r="C67" s="166"/>
      <c r="D67" s="46"/>
      <c r="E67" s="179"/>
      <c r="F67" s="1346"/>
      <c r="G67" s="2034"/>
      <c r="H67" s="2033"/>
      <c r="I67" s="2033"/>
      <c r="J67" s="2033"/>
      <c r="K67" s="79"/>
      <c r="L67" s="2032"/>
      <c r="M67" s="1476"/>
      <c r="N67" s="1476"/>
      <c r="O67" s="1203"/>
      <c r="P67" s="2037"/>
      <c r="Q67" s="2037"/>
      <c r="R67" s="2036"/>
      <c r="S67" s="1297"/>
      <c r="T67" s="2043"/>
      <c r="U67" s="1634"/>
      <c r="V67" s="2114"/>
      <c r="W67" s="1337"/>
      <c r="X67" s="1337"/>
      <c r="Y67" s="1337"/>
      <c r="Z67" s="1337"/>
      <c r="AA67" s="1609"/>
      <c r="AB67" s="1337"/>
      <c r="AC67" s="1336"/>
      <c r="AD67" s="1337"/>
      <c r="AE67" s="758"/>
      <c r="AF67" s="1594"/>
      <c r="AG67" s="2115"/>
      <c r="AH67" s="2116"/>
      <c r="AJ67" s="13"/>
    </row>
    <row r="68" spans="1:36" s="5" customFormat="1">
      <c r="A68" s="1503">
        <f t="shared" si="1"/>
        <v>56</v>
      </c>
      <c r="B68" s="1447"/>
      <c r="C68" s="166"/>
      <c r="D68" s="46"/>
      <c r="E68" s="179"/>
      <c r="F68" s="1346"/>
      <c r="G68" s="2034"/>
      <c r="H68" s="2033"/>
      <c r="I68" s="2033"/>
      <c r="J68" s="2033"/>
      <c r="K68" s="79"/>
      <c r="L68" s="2032"/>
      <c r="M68" s="1476"/>
      <c r="N68" s="1476"/>
      <c r="O68" s="1203"/>
      <c r="P68" s="2037"/>
      <c r="Q68" s="2037"/>
      <c r="R68" s="2036"/>
      <c r="S68" s="1297"/>
      <c r="T68" s="2043"/>
      <c r="U68" s="1634"/>
      <c r="V68" s="2114"/>
      <c r="W68" s="1337"/>
      <c r="X68" s="1337"/>
      <c r="Y68" s="1337"/>
      <c r="Z68" s="1337"/>
      <c r="AA68" s="1609"/>
      <c r="AB68" s="1337"/>
      <c r="AC68" s="1336"/>
      <c r="AD68" s="1337"/>
      <c r="AE68" s="758"/>
      <c r="AF68" s="1594"/>
      <c r="AG68" s="2115"/>
      <c r="AH68" s="2116"/>
      <c r="AJ68" s="13"/>
    </row>
    <row r="69" spans="1:36" s="5" customFormat="1">
      <c r="A69" s="1503">
        <f t="shared" si="1"/>
        <v>57</v>
      </c>
      <c r="B69" s="1447"/>
      <c r="C69" s="166"/>
      <c r="D69" s="46"/>
      <c r="E69" s="179"/>
      <c r="F69" s="1346"/>
      <c r="G69" s="2034"/>
      <c r="H69" s="2033"/>
      <c r="I69" s="2033"/>
      <c r="J69" s="2033"/>
      <c r="K69" s="79"/>
      <c r="L69" s="2032"/>
      <c r="M69" s="1476"/>
      <c r="N69" s="1476"/>
      <c r="O69" s="1203"/>
      <c r="P69" s="2037"/>
      <c r="Q69" s="2037"/>
      <c r="R69" s="2036"/>
      <c r="S69" s="1297"/>
      <c r="T69" s="2043"/>
      <c r="U69" s="1634"/>
      <c r="V69" s="2114"/>
      <c r="W69" s="1337"/>
      <c r="X69" s="1337"/>
      <c r="Y69" s="1337"/>
      <c r="Z69" s="1337"/>
      <c r="AA69" s="1609"/>
      <c r="AB69" s="1337"/>
      <c r="AC69" s="1336"/>
      <c r="AD69" s="1337"/>
      <c r="AE69" s="758"/>
      <c r="AF69" s="1594"/>
      <c r="AG69" s="2115"/>
      <c r="AH69" s="2116"/>
      <c r="AJ69" s="13"/>
    </row>
    <row r="70" spans="1:36" s="5" customFormat="1">
      <c r="A70" s="1503">
        <f t="shared" si="1"/>
        <v>58</v>
      </c>
      <c r="B70" s="1447"/>
      <c r="C70" s="166"/>
      <c r="D70" s="46"/>
      <c r="E70" s="179"/>
      <c r="F70" s="1346"/>
      <c r="G70" s="2034"/>
      <c r="H70" s="2033"/>
      <c r="I70" s="2033"/>
      <c r="J70" s="2033"/>
      <c r="K70" s="79"/>
      <c r="L70" s="2032"/>
      <c r="M70" s="1476"/>
      <c r="N70" s="1476"/>
      <c r="O70" s="1203"/>
      <c r="P70" s="2037"/>
      <c r="Q70" s="2037"/>
      <c r="R70" s="2036"/>
      <c r="S70" s="1297"/>
      <c r="T70" s="2043"/>
      <c r="U70" s="1634"/>
      <c r="V70" s="2114"/>
      <c r="W70" s="1337"/>
      <c r="X70" s="1337"/>
      <c r="Y70" s="1337"/>
      <c r="Z70" s="1337"/>
      <c r="AA70" s="1609"/>
      <c r="AB70" s="1337"/>
      <c r="AC70" s="1336"/>
      <c r="AD70" s="1337"/>
      <c r="AE70" s="758"/>
      <c r="AF70" s="1594"/>
      <c r="AG70" s="2115"/>
      <c r="AH70" s="2116"/>
      <c r="AJ70" s="13"/>
    </row>
    <row r="71" spans="1:36" s="5" customFormat="1">
      <c r="A71" s="1503">
        <f t="shared" si="1"/>
        <v>59</v>
      </c>
      <c r="B71" s="1447"/>
      <c r="C71" s="166"/>
      <c r="D71" s="46"/>
      <c r="E71" s="179"/>
      <c r="F71" s="1346"/>
      <c r="G71" s="2034"/>
      <c r="H71" s="2033"/>
      <c r="I71" s="2033"/>
      <c r="J71" s="2033"/>
      <c r="K71" s="79"/>
      <c r="L71" s="2032"/>
      <c r="M71" s="1476"/>
      <c r="N71" s="1476"/>
      <c r="O71" s="1203"/>
      <c r="P71" s="2037"/>
      <c r="Q71" s="2037"/>
      <c r="R71" s="2036"/>
      <c r="S71" s="1297"/>
      <c r="T71" s="2043"/>
      <c r="U71" s="1634"/>
      <c r="V71" s="2114"/>
      <c r="W71" s="1337"/>
      <c r="X71" s="1337"/>
      <c r="Y71" s="1337"/>
      <c r="Z71" s="1337"/>
      <c r="AA71" s="1609"/>
      <c r="AB71" s="1337"/>
      <c r="AC71" s="1336"/>
      <c r="AD71" s="1337"/>
      <c r="AE71" s="758"/>
      <c r="AF71" s="1594"/>
      <c r="AG71" s="2115"/>
      <c r="AH71" s="2116"/>
      <c r="AJ71" s="13"/>
    </row>
    <row r="72" spans="1:36" s="5" customFormat="1">
      <c r="A72" s="1503">
        <f t="shared" si="1"/>
        <v>60</v>
      </c>
      <c r="B72" s="1447"/>
      <c r="C72" s="166"/>
      <c r="D72" s="46"/>
      <c r="E72" s="179"/>
      <c r="F72" s="1346"/>
      <c r="G72" s="2034"/>
      <c r="H72" s="2033"/>
      <c r="I72" s="2033"/>
      <c r="J72" s="2033"/>
      <c r="K72" s="79"/>
      <c r="L72" s="2032"/>
      <c r="M72" s="1476"/>
      <c r="N72" s="1476"/>
      <c r="O72" s="1203"/>
      <c r="P72" s="2037"/>
      <c r="Q72" s="2037"/>
      <c r="R72" s="2036"/>
      <c r="S72" s="1297"/>
      <c r="T72" s="2043"/>
      <c r="U72" s="1634"/>
      <c r="V72" s="2114"/>
      <c r="W72" s="1337"/>
      <c r="X72" s="1337"/>
      <c r="Y72" s="1337"/>
      <c r="Z72" s="1337"/>
      <c r="AA72" s="1609"/>
      <c r="AB72" s="1337"/>
      <c r="AC72" s="1336"/>
      <c r="AD72" s="1337"/>
      <c r="AE72" s="758"/>
      <c r="AF72" s="1594"/>
      <c r="AG72" s="2115"/>
      <c r="AH72" s="2116"/>
      <c r="AJ72" s="13"/>
    </row>
    <row r="73" spans="1:36" s="5" customFormat="1">
      <c r="A73" s="1503">
        <f t="shared" si="1"/>
        <v>61</v>
      </c>
      <c r="B73" s="1447"/>
      <c r="C73" s="166"/>
      <c r="D73" s="46"/>
      <c r="E73" s="179"/>
      <c r="F73" s="1346"/>
      <c r="G73" s="2034"/>
      <c r="H73" s="2033"/>
      <c r="I73" s="2033"/>
      <c r="J73" s="2033"/>
      <c r="K73" s="79"/>
      <c r="L73" s="2032"/>
      <c r="M73" s="1476"/>
      <c r="N73" s="1476"/>
      <c r="O73" s="1203"/>
      <c r="P73" s="2037"/>
      <c r="Q73" s="2037"/>
      <c r="R73" s="2036"/>
      <c r="S73" s="1297"/>
      <c r="T73" s="2043"/>
      <c r="U73" s="1634"/>
      <c r="V73" s="2114"/>
      <c r="W73" s="1337"/>
      <c r="X73" s="1337"/>
      <c r="Y73" s="1337"/>
      <c r="Z73" s="1337"/>
      <c r="AA73" s="1609"/>
      <c r="AB73" s="1337"/>
      <c r="AC73" s="1336"/>
      <c r="AD73" s="1337"/>
      <c r="AE73" s="758"/>
      <c r="AF73" s="1594"/>
      <c r="AG73" s="2115"/>
      <c r="AH73" s="2116"/>
      <c r="AJ73" s="13"/>
    </row>
    <row r="74" spans="1:36" s="5" customFormat="1">
      <c r="A74" s="1503">
        <f t="shared" ref="A74:A127" si="3">+A73+1</f>
        <v>62</v>
      </c>
      <c r="B74" s="1447"/>
      <c r="C74" s="166"/>
      <c r="D74" s="46"/>
      <c r="E74" s="179"/>
      <c r="F74" s="1346"/>
      <c r="G74" s="2034"/>
      <c r="H74" s="2033"/>
      <c r="I74" s="2033"/>
      <c r="J74" s="2033"/>
      <c r="K74" s="79"/>
      <c r="L74" s="2032"/>
      <c r="M74" s="1476"/>
      <c r="N74" s="1476"/>
      <c r="O74" s="1203"/>
      <c r="P74" s="2037"/>
      <c r="Q74" s="2037"/>
      <c r="R74" s="2036"/>
      <c r="S74" s="1297"/>
      <c r="T74" s="2043"/>
      <c r="U74" s="1634"/>
      <c r="V74" s="2114"/>
      <c r="W74" s="1337"/>
      <c r="X74" s="1337"/>
      <c r="Y74" s="1337"/>
      <c r="Z74" s="1337"/>
      <c r="AA74" s="1609"/>
      <c r="AB74" s="1337"/>
      <c r="AC74" s="1336"/>
      <c r="AD74" s="1337"/>
      <c r="AE74" s="758"/>
      <c r="AF74" s="1594"/>
      <c r="AG74" s="2115"/>
      <c r="AH74" s="2116"/>
      <c r="AJ74" s="13"/>
    </row>
    <row r="75" spans="1:36" s="5" customFormat="1">
      <c r="A75" s="1503">
        <f t="shared" si="3"/>
        <v>63</v>
      </c>
      <c r="B75" s="1447"/>
      <c r="C75" s="166"/>
      <c r="D75" s="46"/>
      <c r="E75" s="179"/>
      <c r="F75" s="1346"/>
      <c r="G75" s="2034"/>
      <c r="H75" s="2033"/>
      <c r="I75" s="2033"/>
      <c r="J75" s="2033"/>
      <c r="K75" s="79"/>
      <c r="L75" s="2032"/>
      <c r="M75" s="1476"/>
      <c r="N75" s="1476"/>
      <c r="O75" s="1203"/>
      <c r="P75" s="2037"/>
      <c r="Q75" s="2037"/>
      <c r="R75" s="2036"/>
      <c r="S75" s="1297"/>
      <c r="T75" s="2043"/>
      <c r="U75" s="1634"/>
      <c r="V75" s="2114"/>
      <c r="W75" s="1337"/>
      <c r="X75" s="1337"/>
      <c r="Y75" s="1337"/>
      <c r="Z75" s="1337"/>
      <c r="AA75" s="1609"/>
      <c r="AB75" s="1337"/>
      <c r="AC75" s="1336"/>
      <c r="AD75" s="1337"/>
      <c r="AE75" s="758"/>
      <c r="AF75" s="1594"/>
      <c r="AG75" s="2115"/>
      <c r="AH75" s="2116"/>
      <c r="AJ75" s="13"/>
    </row>
    <row r="76" spans="1:36" s="5" customFormat="1">
      <c r="A76" s="1503">
        <f t="shared" si="3"/>
        <v>64</v>
      </c>
      <c r="B76" s="2044"/>
      <c r="C76" s="166"/>
      <c r="D76" s="46"/>
      <c r="E76" s="179"/>
      <c r="F76" s="1346"/>
      <c r="G76" s="2034"/>
      <c r="H76" s="2033"/>
      <c r="I76" s="2033"/>
      <c r="J76" s="2033"/>
      <c r="K76" s="79"/>
      <c r="L76" s="2032"/>
      <c r="M76" s="1476"/>
      <c r="N76" s="1476"/>
      <c r="O76" s="1203"/>
      <c r="P76" s="2037"/>
      <c r="Q76" s="2037"/>
      <c r="R76" s="2036"/>
      <c r="S76" s="1297"/>
      <c r="T76" s="2043"/>
      <c r="U76" s="1634"/>
      <c r="V76" s="2114"/>
      <c r="W76" s="1337"/>
      <c r="X76" s="1337"/>
      <c r="Y76" s="1337"/>
      <c r="Z76" s="1337"/>
      <c r="AA76" s="1609"/>
      <c r="AB76" s="1337"/>
      <c r="AC76" s="1336"/>
      <c r="AD76" s="1337"/>
      <c r="AE76" s="758"/>
      <c r="AF76" s="1594"/>
      <c r="AG76" s="2115"/>
      <c r="AH76" s="2116"/>
      <c r="AJ76" s="13"/>
    </row>
    <row r="77" spans="1:36" s="5" customFormat="1">
      <c r="A77" s="1503">
        <f t="shared" si="3"/>
        <v>65</v>
      </c>
      <c r="B77" s="2044"/>
      <c r="C77" s="166"/>
      <c r="D77" s="46"/>
      <c r="E77" s="179"/>
      <c r="F77" s="1346"/>
      <c r="G77" s="2034"/>
      <c r="H77" s="2033"/>
      <c r="I77" s="2033"/>
      <c r="J77" s="2033"/>
      <c r="K77" s="79"/>
      <c r="L77" s="2032"/>
      <c r="M77" s="1476"/>
      <c r="N77" s="1476"/>
      <c r="O77" s="1203"/>
      <c r="P77" s="2037"/>
      <c r="Q77" s="2037"/>
      <c r="R77" s="2036"/>
      <c r="S77" s="1297"/>
      <c r="T77" s="2043"/>
      <c r="U77" s="1634"/>
      <c r="V77" s="2114"/>
      <c r="W77" s="1337"/>
      <c r="X77" s="1337"/>
      <c r="Y77" s="1337"/>
      <c r="Z77" s="1337"/>
      <c r="AA77" s="1609"/>
      <c r="AB77" s="1337"/>
      <c r="AC77" s="1336"/>
      <c r="AD77" s="1337"/>
      <c r="AE77" s="758"/>
      <c r="AF77" s="1594"/>
      <c r="AG77" s="2115"/>
      <c r="AH77" s="2116"/>
      <c r="AJ77" s="13"/>
    </row>
    <row r="78" spans="1:36" s="5" customFormat="1">
      <c r="A78" s="1503">
        <f t="shared" si="3"/>
        <v>66</v>
      </c>
      <c r="B78" s="2044"/>
      <c r="C78" s="166"/>
      <c r="D78" s="46"/>
      <c r="E78" s="179"/>
      <c r="F78" s="1346"/>
      <c r="G78" s="2034"/>
      <c r="H78" s="2033"/>
      <c r="I78" s="2033"/>
      <c r="J78" s="2033"/>
      <c r="K78" s="79"/>
      <c r="L78" s="2032"/>
      <c r="M78" s="1476"/>
      <c r="N78" s="1476"/>
      <c r="O78" s="1203"/>
      <c r="P78" s="2037"/>
      <c r="Q78" s="2037"/>
      <c r="R78" s="2036"/>
      <c r="S78" s="1297"/>
      <c r="T78" s="2043"/>
      <c r="U78" s="1634"/>
      <c r="V78" s="2114"/>
      <c r="W78" s="1337"/>
      <c r="X78" s="1337"/>
      <c r="Y78" s="1337"/>
      <c r="Z78" s="1337"/>
      <c r="AA78" s="1609"/>
      <c r="AB78" s="1337"/>
      <c r="AC78" s="1336"/>
      <c r="AD78" s="1337"/>
      <c r="AE78" s="758"/>
      <c r="AF78" s="1594"/>
      <c r="AG78" s="2115"/>
      <c r="AH78" s="2116"/>
      <c r="AJ78" s="13"/>
    </row>
    <row r="79" spans="1:36" s="5" customFormat="1">
      <c r="A79" s="1503">
        <f t="shared" si="3"/>
        <v>67</v>
      </c>
      <c r="B79" s="2044"/>
      <c r="C79" s="166"/>
      <c r="D79" s="46"/>
      <c r="E79" s="179"/>
      <c r="F79" s="1346"/>
      <c r="G79" s="2034"/>
      <c r="H79" s="2033"/>
      <c r="I79" s="2033"/>
      <c r="J79" s="2033"/>
      <c r="K79" s="79"/>
      <c r="L79" s="2032"/>
      <c r="M79" s="1476"/>
      <c r="N79" s="1476"/>
      <c r="O79" s="1203"/>
      <c r="P79" s="2037"/>
      <c r="Q79" s="2037"/>
      <c r="R79" s="2036"/>
      <c r="S79" s="1297"/>
      <c r="T79" s="2043"/>
      <c r="U79" s="1634"/>
      <c r="V79" s="2114"/>
      <c r="W79" s="1337"/>
      <c r="X79" s="1337"/>
      <c r="Y79" s="1337"/>
      <c r="Z79" s="1337"/>
      <c r="AA79" s="1609"/>
      <c r="AB79" s="1337"/>
      <c r="AC79" s="1336"/>
      <c r="AD79" s="1337"/>
      <c r="AE79" s="758"/>
      <c r="AF79" s="1594"/>
      <c r="AG79" s="2115"/>
      <c r="AH79" s="2116"/>
      <c r="AJ79" s="13"/>
    </row>
    <row r="80" spans="1:36" s="5" customFormat="1">
      <c r="A80" s="1503">
        <f t="shared" si="3"/>
        <v>68</v>
      </c>
      <c r="B80" s="2044"/>
      <c r="C80" s="166"/>
      <c r="D80" s="46"/>
      <c r="E80" s="179"/>
      <c r="F80" s="1346"/>
      <c r="G80" s="2034"/>
      <c r="H80" s="2033"/>
      <c r="I80" s="2033"/>
      <c r="J80" s="2033"/>
      <c r="K80" s="79"/>
      <c r="L80" s="2032"/>
      <c r="M80" s="1476"/>
      <c r="N80" s="1476"/>
      <c r="O80" s="1203"/>
      <c r="P80" s="2037"/>
      <c r="Q80" s="2037"/>
      <c r="R80" s="2036"/>
      <c r="S80" s="1297"/>
      <c r="T80" s="2043"/>
      <c r="U80" s="1634"/>
      <c r="V80" s="2114"/>
      <c r="W80" s="1337"/>
      <c r="X80" s="1337"/>
      <c r="Y80" s="1337"/>
      <c r="Z80" s="1337"/>
      <c r="AA80" s="1609"/>
      <c r="AB80" s="1337"/>
      <c r="AC80" s="1336"/>
      <c r="AD80" s="1337"/>
      <c r="AE80" s="758"/>
      <c r="AF80" s="1594"/>
      <c r="AG80" s="2115"/>
      <c r="AH80" s="2116"/>
      <c r="AJ80" s="13"/>
    </row>
    <row r="81" spans="1:36" s="5" customFormat="1">
      <c r="A81" s="1503">
        <f t="shared" si="3"/>
        <v>69</v>
      </c>
      <c r="B81" s="2044"/>
      <c r="C81" s="166"/>
      <c r="D81" s="46"/>
      <c r="E81" s="179"/>
      <c r="F81" s="1346"/>
      <c r="G81" s="2034"/>
      <c r="H81" s="2033"/>
      <c r="I81" s="2033"/>
      <c r="J81" s="2033"/>
      <c r="K81" s="79"/>
      <c r="L81" s="2032"/>
      <c r="M81" s="1476"/>
      <c r="N81" s="1476"/>
      <c r="O81" s="1203"/>
      <c r="P81" s="2037"/>
      <c r="Q81" s="2037"/>
      <c r="R81" s="2036"/>
      <c r="S81" s="1297"/>
      <c r="T81" s="2043"/>
      <c r="U81" s="1634"/>
      <c r="V81" s="2114"/>
      <c r="W81" s="1337"/>
      <c r="X81" s="1337"/>
      <c r="Y81" s="1337"/>
      <c r="Z81" s="1337"/>
      <c r="AA81" s="1609"/>
      <c r="AB81" s="1337"/>
      <c r="AC81" s="1336"/>
      <c r="AD81" s="1337"/>
      <c r="AE81" s="758"/>
      <c r="AF81" s="1594"/>
      <c r="AG81" s="2115"/>
      <c r="AH81" s="2116"/>
      <c r="AJ81" s="13"/>
    </row>
    <row r="82" spans="1:36" s="5" customFormat="1">
      <c r="A82" s="1503">
        <f t="shared" si="3"/>
        <v>70</v>
      </c>
      <c r="B82" s="2044"/>
      <c r="C82" s="166"/>
      <c r="D82" s="46"/>
      <c r="E82" s="179"/>
      <c r="F82" s="1346"/>
      <c r="G82" s="2034"/>
      <c r="H82" s="2033"/>
      <c r="I82" s="2033"/>
      <c r="J82" s="2033"/>
      <c r="K82" s="79"/>
      <c r="L82" s="2032"/>
      <c r="M82" s="1476"/>
      <c r="N82" s="1476"/>
      <c r="O82" s="1203"/>
      <c r="P82" s="2037"/>
      <c r="Q82" s="2037"/>
      <c r="R82" s="2036"/>
      <c r="S82" s="1297"/>
      <c r="T82" s="2043"/>
      <c r="U82" s="1634"/>
      <c r="V82" s="2114"/>
      <c r="W82" s="1337"/>
      <c r="X82" s="1337"/>
      <c r="Y82" s="1337"/>
      <c r="Z82" s="1337"/>
      <c r="AA82" s="1609"/>
      <c r="AB82" s="1337"/>
      <c r="AC82" s="1336"/>
      <c r="AD82" s="1337"/>
      <c r="AE82" s="758"/>
      <c r="AF82" s="1594"/>
      <c r="AG82" s="2115"/>
      <c r="AH82" s="2116"/>
      <c r="AJ82" s="13"/>
    </row>
    <row r="83" spans="1:36" s="5" customFormat="1">
      <c r="A83" s="1503">
        <f t="shared" si="3"/>
        <v>71</v>
      </c>
      <c r="B83" s="295"/>
      <c r="C83" s="166"/>
      <c r="D83" s="46"/>
      <c r="E83" s="179"/>
      <c r="F83" s="1346"/>
      <c r="G83" s="693"/>
      <c r="H83" s="167"/>
      <c r="I83" s="167"/>
      <c r="J83" s="167"/>
      <c r="K83" s="79"/>
      <c r="L83" s="154"/>
      <c r="M83" s="692"/>
      <c r="N83" s="692"/>
      <c r="O83" s="151"/>
      <c r="P83" s="577"/>
      <c r="Q83" s="577"/>
      <c r="R83" s="150"/>
      <c r="S83" s="1565"/>
      <c r="T83" s="1327"/>
      <c r="U83" s="1749"/>
      <c r="V83" s="2117"/>
      <c r="W83" s="1526"/>
      <c r="X83" s="1526"/>
      <c r="Y83" s="1526"/>
      <c r="Z83" s="1526"/>
      <c r="AA83" s="1791"/>
      <c r="AB83" s="1526"/>
      <c r="AC83" s="1608"/>
      <c r="AD83" s="1526"/>
      <c r="AE83" s="1591"/>
      <c r="AF83" s="1769"/>
      <c r="AG83" s="1793"/>
      <c r="AH83" s="1794"/>
      <c r="AJ83" s="13"/>
    </row>
    <row r="84" spans="1:36" s="5" customFormat="1">
      <c r="A84" s="1503">
        <f t="shared" si="3"/>
        <v>72</v>
      </c>
      <c r="B84" s="295"/>
      <c r="C84" s="166"/>
      <c r="D84" s="46"/>
      <c r="E84" s="179"/>
      <c r="F84" s="1346"/>
      <c r="G84" s="693"/>
      <c r="H84" s="167"/>
      <c r="I84" s="167"/>
      <c r="J84" s="167"/>
      <c r="K84" s="79"/>
      <c r="L84" s="154"/>
      <c r="M84" s="692"/>
      <c r="N84" s="692"/>
      <c r="O84" s="151"/>
      <c r="P84" s="577"/>
      <c r="Q84" s="577"/>
      <c r="R84" s="150"/>
      <c r="S84" s="1565"/>
      <c r="T84" s="1327"/>
      <c r="U84" s="1749"/>
      <c r="V84" s="2117"/>
      <c r="W84" s="1526"/>
      <c r="X84" s="1526"/>
      <c r="Y84" s="1526"/>
      <c r="Z84" s="1526"/>
      <c r="AA84" s="1791"/>
      <c r="AB84" s="1526"/>
      <c r="AC84" s="1608"/>
      <c r="AD84" s="1526"/>
      <c r="AE84" s="1591"/>
      <c r="AF84" s="1769"/>
      <c r="AG84" s="1793"/>
      <c r="AH84" s="1794"/>
      <c r="AJ84" s="13"/>
    </row>
    <row r="85" spans="1:36" s="5" customFormat="1">
      <c r="A85" s="1503">
        <f t="shared" si="3"/>
        <v>73</v>
      </c>
      <c r="B85" s="295"/>
      <c r="C85" s="166"/>
      <c r="D85" s="46"/>
      <c r="E85" s="179"/>
      <c r="F85" s="1346"/>
      <c r="G85" s="693"/>
      <c r="H85" s="167"/>
      <c r="I85" s="167"/>
      <c r="J85" s="167"/>
      <c r="K85" s="79"/>
      <c r="L85" s="154"/>
      <c r="M85" s="692"/>
      <c r="N85" s="692"/>
      <c r="O85" s="151"/>
      <c r="P85" s="577"/>
      <c r="Q85" s="577"/>
      <c r="R85" s="150"/>
      <c r="S85" s="1565"/>
      <c r="T85" s="1327"/>
      <c r="U85" s="1749"/>
      <c r="V85" s="2117"/>
      <c r="W85" s="1526"/>
      <c r="X85" s="1526"/>
      <c r="Y85" s="1526"/>
      <c r="Z85" s="1526"/>
      <c r="AA85" s="1791"/>
      <c r="AB85" s="1526"/>
      <c r="AC85" s="1608"/>
      <c r="AD85" s="1526"/>
      <c r="AE85" s="1591"/>
      <c r="AF85" s="1769"/>
      <c r="AG85" s="1793"/>
      <c r="AH85" s="1794"/>
      <c r="AJ85" s="13"/>
    </row>
    <row r="86" spans="1:36" s="5" customFormat="1">
      <c r="A86" s="1503">
        <f t="shared" si="3"/>
        <v>74</v>
      </c>
      <c r="B86" s="295"/>
      <c r="C86" s="166"/>
      <c r="D86" s="46"/>
      <c r="E86" s="179"/>
      <c r="F86" s="1346"/>
      <c r="G86" s="693"/>
      <c r="H86" s="167"/>
      <c r="I86" s="167"/>
      <c r="J86" s="167"/>
      <c r="K86" s="79"/>
      <c r="L86" s="154"/>
      <c r="M86" s="692"/>
      <c r="N86" s="692"/>
      <c r="O86" s="151"/>
      <c r="P86" s="577"/>
      <c r="Q86" s="577"/>
      <c r="R86" s="150"/>
      <c r="S86" s="1565"/>
      <c r="T86" s="1327"/>
      <c r="U86" s="1749"/>
      <c r="V86" s="2117"/>
      <c r="W86" s="1526"/>
      <c r="X86" s="1526"/>
      <c r="Y86" s="1526"/>
      <c r="Z86" s="1526"/>
      <c r="AA86" s="1791"/>
      <c r="AB86" s="1526"/>
      <c r="AC86" s="1608"/>
      <c r="AD86" s="1526"/>
      <c r="AE86" s="1591"/>
      <c r="AF86" s="1769"/>
      <c r="AG86" s="1793"/>
      <c r="AH86" s="1794"/>
      <c r="AJ86" s="13"/>
    </row>
    <row r="87" spans="1:36" s="5" customFormat="1">
      <c r="A87" s="1503">
        <f t="shared" si="3"/>
        <v>75</v>
      </c>
      <c r="B87" s="295"/>
      <c r="C87" s="166"/>
      <c r="D87" s="46"/>
      <c r="E87" s="179"/>
      <c r="F87" s="1346"/>
      <c r="G87" s="693"/>
      <c r="H87" s="167"/>
      <c r="I87" s="167"/>
      <c r="J87" s="167"/>
      <c r="K87" s="79"/>
      <c r="L87" s="154"/>
      <c r="M87" s="692"/>
      <c r="N87" s="692"/>
      <c r="O87" s="151"/>
      <c r="P87" s="577"/>
      <c r="Q87" s="577"/>
      <c r="R87" s="150"/>
      <c r="S87" s="1565"/>
      <c r="T87" s="1327"/>
      <c r="U87" s="1749"/>
      <c r="V87" s="2117"/>
      <c r="W87" s="1526"/>
      <c r="X87" s="1526"/>
      <c r="Y87" s="1526"/>
      <c r="Z87" s="1526"/>
      <c r="AA87" s="1791"/>
      <c r="AB87" s="1526"/>
      <c r="AC87" s="1608"/>
      <c r="AD87" s="1526"/>
      <c r="AE87" s="1591"/>
      <c r="AF87" s="1769"/>
      <c r="AG87" s="1793"/>
      <c r="AH87" s="1794"/>
      <c r="AJ87" s="13"/>
    </row>
    <row r="88" spans="1:36" s="5" customFormat="1">
      <c r="A88" s="1503">
        <f t="shared" si="3"/>
        <v>76</v>
      </c>
      <c r="B88" s="295"/>
      <c r="C88" s="166"/>
      <c r="D88" s="46"/>
      <c r="E88" s="179"/>
      <c r="F88" s="1346"/>
      <c r="G88" s="693"/>
      <c r="H88" s="167"/>
      <c r="I88" s="167"/>
      <c r="J88" s="167"/>
      <c r="K88" s="79"/>
      <c r="L88" s="154"/>
      <c r="M88" s="692"/>
      <c r="N88" s="692"/>
      <c r="O88" s="151"/>
      <c r="P88" s="577"/>
      <c r="Q88" s="577"/>
      <c r="R88" s="150"/>
      <c r="S88" s="1565"/>
      <c r="T88" s="1327"/>
      <c r="U88" s="1749"/>
      <c r="V88" s="2117"/>
      <c r="W88" s="1526"/>
      <c r="X88" s="1526"/>
      <c r="Y88" s="1526"/>
      <c r="Z88" s="1526"/>
      <c r="AA88" s="1791"/>
      <c r="AB88" s="1526"/>
      <c r="AC88" s="1608"/>
      <c r="AD88" s="1526"/>
      <c r="AE88" s="1591"/>
      <c r="AF88" s="1769"/>
      <c r="AG88" s="1793"/>
      <c r="AH88" s="1794"/>
      <c r="AJ88" s="13"/>
    </row>
    <row r="89" spans="1:36" s="5" customFormat="1">
      <c r="A89" s="1503">
        <f t="shared" si="3"/>
        <v>77</v>
      </c>
      <c r="B89" s="295"/>
      <c r="C89" s="166"/>
      <c r="D89" s="46"/>
      <c r="E89" s="179"/>
      <c r="F89" s="1346"/>
      <c r="G89" s="693"/>
      <c r="H89" s="167"/>
      <c r="I89" s="167"/>
      <c r="J89" s="167"/>
      <c r="K89" s="79"/>
      <c r="L89" s="154"/>
      <c r="M89" s="692"/>
      <c r="N89" s="692"/>
      <c r="O89" s="151"/>
      <c r="P89" s="577"/>
      <c r="Q89" s="577"/>
      <c r="R89" s="150"/>
      <c r="S89" s="1565"/>
      <c r="T89" s="1327"/>
      <c r="U89" s="1749"/>
      <c r="V89" s="2117"/>
      <c r="W89" s="1526"/>
      <c r="X89" s="1526"/>
      <c r="Y89" s="1526"/>
      <c r="Z89" s="1526"/>
      <c r="AA89" s="1791"/>
      <c r="AB89" s="1526"/>
      <c r="AC89" s="1608"/>
      <c r="AD89" s="1526"/>
      <c r="AE89" s="1591"/>
      <c r="AF89" s="1769"/>
      <c r="AG89" s="1793"/>
      <c r="AH89" s="1794"/>
      <c r="AJ89" s="13"/>
    </row>
    <row r="90" spans="1:36" s="5" customFormat="1">
      <c r="A90" s="1503">
        <f t="shared" si="3"/>
        <v>78</v>
      </c>
      <c r="B90" s="295"/>
      <c r="C90" s="166"/>
      <c r="D90" s="46"/>
      <c r="E90" s="179"/>
      <c r="F90" s="1346"/>
      <c r="G90" s="693"/>
      <c r="H90" s="167"/>
      <c r="I90" s="167"/>
      <c r="J90" s="167"/>
      <c r="K90" s="79"/>
      <c r="L90" s="154"/>
      <c r="M90" s="692"/>
      <c r="N90" s="692"/>
      <c r="O90" s="151"/>
      <c r="P90" s="577"/>
      <c r="Q90" s="577"/>
      <c r="R90" s="150"/>
      <c r="S90" s="1565"/>
      <c r="T90" s="1327"/>
      <c r="U90" s="1749"/>
      <c r="V90" s="2117"/>
      <c r="W90" s="1526"/>
      <c r="X90" s="1526"/>
      <c r="Y90" s="1526"/>
      <c r="Z90" s="1526"/>
      <c r="AA90" s="1791"/>
      <c r="AB90" s="1526"/>
      <c r="AC90" s="1608"/>
      <c r="AD90" s="1526"/>
      <c r="AE90" s="1591"/>
      <c r="AF90" s="1769"/>
      <c r="AG90" s="1793"/>
      <c r="AH90" s="1794"/>
      <c r="AJ90" s="13"/>
    </row>
    <row r="91" spans="1:36" s="5" customFormat="1">
      <c r="A91" s="1503">
        <f t="shared" si="3"/>
        <v>79</v>
      </c>
      <c r="B91" s="295"/>
      <c r="C91" s="166"/>
      <c r="D91" s="46"/>
      <c r="E91" s="179"/>
      <c r="F91" s="1346"/>
      <c r="G91" s="693"/>
      <c r="H91" s="167"/>
      <c r="I91" s="167"/>
      <c r="J91" s="167"/>
      <c r="K91" s="79"/>
      <c r="L91" s="154"/>
      <c r="M91" s="692"/>
      <c r="N91" s="692"/>
      <c r="O91" s="151"/>
      <c r="P91" s="577"/>
      <c r="Q91" s="577"/>
      <c r="R91" s="150"/>
      <c r="S91" s="1565"/>
      <c r="T91" s="1327"/>
      <c r="U91" s="1749"/>
      <c r="V91" s="2117"/>
      <c r="W91" s="1526"/>
      <c r="X91" s="1526"/>
      <c r="Y91" s="1526"/>
      <c r="Z91" s="1526"/>
      <c r="AA91" s="1791"/>
      <c r="AB91" s="1526"/>
      <c r="AC91" s="1608"/>
      <c r="AD91" s="1526"/>
      <c r="AE91" s="1591"/>
      <c r="AF91" s="1769"/>
      <c r="AG91" s="1793"/>
      <c r="AH91" s="1794"/>
      <c r="AJ91" s="13"/>
    </row>
    <row r="92" spans="1:36" s="5" customFormat="1">
      <c r="A92" s="1503">
        <f t="shared" si="3"/>
        <v>80</v>
      </c>
      <c r="B92" s="295"/>
      <c r="C92" s="166"/>
      <c r="D92" s="46"/>
      <c r="E92" s="179"/>
      <c r="F92" s="1346"/>
      <c r="G92" s="693"/>
      <c r="H92" s="167"/>
      <c r="I92" s="167"/>
      <c r="J92" s="167"/>
      <c r="K92" s="79"/>
      <c r="L92" s="154"/>
      <c r="M92" s="692"/>
      <c r="N92" s="692"/>
      <c r="O92" s="151"/>
      <c r="P92" s="577"/>
      <c r="Q92" s="577"/>
      <c r="R92" s="150"/>
      <c r="S92" s="1565"/>
      <c r="T92" s="1327"/>
      <c r="U92" s="1749"/>
      <c r="V92" s="2117"/>
      <c r="W92" s="1526"/>
      <c r="X92" s="1526"/>
      <c r="Y92" s="1526"/>
      <c r="Z92" s="1526"/>
      <c r="AA92" s="1791"/>
      <c r="AB92" s="1526"/>
      <c r="AC92" s="1608"/>
      <c r="AD92" s="1526"/>
      <c r="AE92" s="1591"/>
      <c r="AF92" s="1769"/>
      <c r="AG92" s="1793"/>
      <c r="AH92" s="1794"/>
      <c r="AJ92" s="13"/>
    </row>
    <row r="93" spans="1:36" s="5" customFormat="1">
      <c r="A93" s="1503">
        <f t="shared" si="3"/>
        <v>81</v>
      </c>
      <c r="B93" s="295"/>
      <c r="C93" s="166"/>
      <c r="D93" s="46"/>
      <c r="E93" s="179"/>
      <c r="F93" s="1346"/>
      <c r="G93" s="693"/>
      <c r="H93" s="167"/>
      <c r="I93" s="167"/>
      <c r="J93" s="167"/>
      <c r="K93" s="79"/>
      <c r="L93" s="154"/>
      <c r="M93" s="692"/>
      <c r="N93" s="692"/>
      <c r="O93" s="151"/>
      <c r="P93" s="577"/>
      <c r="Q93" s="577"/>
      <c r="R93" s="150"/>
      <c r="S93" s="1565"/>
      <c r="T93" s="1327"/>
      <c r="U93" s="1749"/>
      <c r="V93" s="2117"/>
      <c r="W93" s="1526"/>
      <c r="X93" s="1526"/>
      <c r="Y93" s="1526"/>
      <c r="Z93" s="1526"/>
      <c r="AA93" s="1791"/>
      <c r="AB93" s="1526"/>
      <c r="AC93" s="1608"/>
      <c r="AD93" s="1526"/>
      <c r="AE93" s="1591"/>
      <c r="AF93" s="1769"/>
      <c r="AG93" s="1793"/>
      <c r="AH93" s="1794"/>
      <c r="AJ93" s="13"/>
    </row>
    <row r="94" spans="1:36" s="5" customFormat="1">
      <c r="A94" s="1503">
        <f t="shared" si="3"/>
        <v>82</v>
      </c>
      <c r="B94" s="295"/>
      <c r="C94" s="166"/>
      <c r="D94" s="46"/>
      <c r="E94" s="179"/>
      <c r="F94" s="1346"/>
      <c r="G94" s="693"/>
      <c r="H94" s="167"/>
      <c r="I94" s="167"/>
      <c r="J94" s="167"/>
      <c r="K94" s="79"/>
      <c r="L94" s="154"/>
      <c r="M94" s="692"/>
      <c r="N94" s="692"/>
      <c r="O94" s="151"/>
      <c r="P94" s="577"/>
      <c r="Q94" s="577"/>
      <c r="R94" s="150"/>
      <c r="S94" s="1565"/>
      <c r="T94" s="1327"/>
      <c r="U94" s="1749"/>
      <c r="V94" s="2117"/>
      <c r="W94" s="1526"/>
      <c r="X94" s="1526"/>
      <c r="Y94" s="1526"/>
      <c r="Z94" s="1526"/>
      <c r="AA94" s="1791"/>
      <c r="AB94" s="1526"/>
      <c r="AC94" s="1608"/>
      <c r="AD94" s="1526"/>
      <c r="AE94" s="1591"/>
      <c r="AF94" s="1769"/>
      <c r="AG94" s="1793"/>
      <c r="AH94" s="1794"/>
      <c r="AJ94" s="13"/>
    </row>
    <row r="95" spans="1:36" s="5" customFormat="1">
      <c r="A95" s="1503">
        <f t="shared" si="3"/>
        <v>83</v>
      </c>
      <c r="B95" s="295"/>
      <c r="C95" s="166"/>
      <c r="D95" s="46"/>
      <c r="E95" s="179"/>
      <c r="F95" s="1346"/>
      <c r="G95" s="693"/>
      <c r="H95" s="167"/>
      <c r="I95" s="167"/>
      <c r="J95" s="167"/>
      <c r="K95" s="79"/>
      <c r="L95" s="154"/>
      <c r="M95" s="692"/>
      <c r="N95" s="692"/>
      <c r="O95" s="151"/>
      <c r="P95" s="577"/>
      <c r="Q95" s="577"/>
      <c r="R95" s="150"/>
      <c r="S95" s="1565"/>
      <c r="T95" s="1327"/>
      <c r="U95" s="1749"/>
      <c r="V95" s="2117"/>
      <c r="W95" s="1526"/>
      <c r="X95" s="1526"/>
      <c r="Y95" s="1526"/>
      <c r="Z95" s="1526"/>
      <c r="AA95" s="1791"/>
      <c r="AB95" s="1526"/>
      <c r="AC95" s="1608"/>
      <c r="AD95" s="1526"/>
      <c r="AE95" s="1591"/>
      <c r="AF95" s="1769"/>
      <c r="AG95" s="1793"/>
      <c r="AH95" s="1794"/>
      <c r="AJ95" s="13"/>
    </row>
    <row r="96" spans="1:36" s="5" customFormat="1">
      <c r="A96" s="1503">
        <f t="shared" si="3"/>
        <v>84</v>
      </c>
      <c r="B96" s="295"/>
      <c r="C96" s="166"/>
      <c r="D96" s="46"/>
      <c r="E96" s="179"/>
      <c r="F96" s="1346"/>
      <c r="G96" s="693"/>
      <c r="H96" s="167"/>
      <c r="I96" s="167"/>
      <c r="J96" s="167"/>
      <c r="K96" s="79"/>
      <c r="L96" s="154"/>
      <c r="M96" s="692"/>
      <c r="N96" s="692"/>
      <c r="O96" s="151"/>
      <c r="P96" s="577"/>
      <c r="Q96" s="577"/>
      <c r="R96" s="150"/>
      <c r="S96" s="1565"/>
      <c r="T96" s="1327"/>
      <c r="U96" s="1749"/>
      <c r="V96" s="2117"/>
      <c r="W96" s="1526"/>
      <c r="X96" s="1526"/>
      <c r="Y96" s="1526"/>
      <c r="Z96" s="1526"/>
      <c r="AA96" s="1791"/>
      <c r="AB96" s="1526"/>
      <c r="AC96" s="1608"/>
      <c r="AD96" s="1526"/>
      <c r="AE96" s="1591"/>
      <c r="AF96" s="1769"/>
      <c r="AG96" s="1793"/>
      <c r="AH96" s="1794"/>
      <c r="AJ96" s="13"/>
    </row>
    <row r="97" spans="1:36" s="5" customFormat="1">
      <c r="A97" s="1503">
        <f t="shared" si="3"/>
        <v>85</v>
      </c>
      <c r="B97" s="295"/>
      <c r="C97" s="166"/>
      <c r="D97" s="46"/>
      <c r="E97" s="179"/>
      <c r="F97" s="1346"/>
      <c r="G97" s="693"/>
      <c r="H97" s="167"/>
      <c r="I97" s="167"/>
      <c r="J97" s="167"/>
      <c r="K97" s="79"/>
      <c r="L97" s="154"/>
      <c r="M97" s="692"/>
      <c r="N97" s="692"/>
      <c r="O97" s="151"/>
      <c r="P97" s="577"/>
      <c r="Q97" s="577"/>
      <c r="R97" s="150"/>
      <c r="S97" s="1565"/>
      <c r="T97" s="1327"/>
      <c r="U97" s="1749"/>
      <c r="V97" s="2117"/>
      <c r="W97" s="1526"/>
      <c r="X97" s="1526"/>
      <c r="Y97" s="1526"/>
      <c r="Z97" s="1526"/>
      <c r="AA97" s="1791"/>
      <c r="AB97" s="1526"/>
      <c r="AC97" s="1608"/>
      <c r="AD97" s="1526"/>
      <c r="AE97" s="1591"/>
      <c r="AF97" s="1769"/>
      <c r="AG97" s="1793"/>
      <c r="AH97" s="1794"/>
      <c r="AJ97" s="13"/>
    </row>
    <row r="98" spans="1:36" s="5" customFormat="1">
      <c r="A98" s="1503">
        <f t="shared" si="3"/>
        <v>86</v>
      </c>
      <c r="B98" s="295"/>
      <c r="C98" s="166"/>
      <c r="D98" s="46"/>
      <c r="E98" s="179"/>
      <c r="F98" s="1346"/>
      <c r="G98" s="693"/>
      <c r="H98" s="167"/>
      <c r="I98" s="167"/>
      <c r="J98" s="167"/>
      <c r="K98" s="79"/>
      <c r="L98" s="154"/>
      <c r="M98" s="692"/>
      <c r="N98" s="692"/>
      <c r="O98" s="151"/>
      <c r="P98" s="577"/>
      <c r="Q98" s="577"/>
      <c r="R98" s="150"/>
      <c r="S98" s="1565"/>
      <c r="T98" s="1327"/>
      <c r="U98" s="1749"/>
      <c r="V98" s="2117"/>
      <c r="W98" s="1526"/>
      <c r="X98" s="1526"/>
      <c r="Y98" s="1526"/>
      <c r="Z98" s="1526"/>
      <c r="AA98" s="1791"/>
      <c r="AB98" s="1526"/>
      <c r="AC98" s="1608"/>
      <c r="AD98" s="1526"/>
      <c r="AE98" s="1591"/>
      <c r="AF98" s="1769"/>
      <c r="AG98" s="1793"/>
      <c r="AH98" s="1794"/>
      <c r="AJ98" s="13"/>
    </row>
    <row r="99" spans="1:36" s="5" customFormat="1">
      <c r="A99" s="1503">
        <f t="shared" si="3"/>
        <v>87</v>
      </c>
      <c r="B99" s="295"/>
      <c r="C99" s="166"/>
      <c r="D99" s="46"/>
      <c r="E99" s="179"/>
      <c r="F99" s="1346"/>
      <c r="G99" s="693"/>
      <c r="H99" s="167"/>
      <c r="I99" s="167"/>
      <c r="J99" s="167"/>
      <c r="K99" s="79"/>
      <c r="L99" s="154"/>
      <c r="M99" s="692"/>
      <c r="N99" s="692"/>
      <c r="O99" s="151"/>
      <c r="P99" s="577"/>
      <c r="Q99" s="577"/>
      <c r="R99" s="150"/>
      <c r="S99" s="1565"/>
      <c r="T99" s="1327"/>
      <c r="U99" s="1749"/>
      <c r="V99" s="2117"/>
      <c r="W99" s="1526"/>
      <c r="X99" s="1526"/>
      <c r="Y99" s="1526"/>
      <c r="Z99" s="1526"/>
      <c r="AA99" s="1791"/>
      <c r="AB99" s="1526"/>
      <c r="AC99" s="1608"/>
      <c r="AD99" s="1526"/>
      <c r="AE99" s="1591"/>
      <c r="AF99" s="1769"/>
      <c r="AG99" s="1793"/>
      <c r="AH99" s="1794"/>
      <c r="AJ99" s="13"/>
    </row>
    <row r="100" spans="1:36" s="5" customFormat="1">
      <c r="A100" s="1503">
        <f t="shared" si="3"/>
        <v>88</v>
      </c>
      <c r="B100" s="295"/>
      <c r="C100" s="166"/>
      <c r="D100" s="46"/>
      <c r="E100" s="179"/>
      <c r="F100" s="1346"/>
      <c r="G100" s="693"/>
      <c r="H100" s="167"/>
      <c r="I100" s="167"/>
      <c r="J100" s="167"/>
      <c r="K100" s="79"/>
      <c r="L100" s="154"/>
      <c r="M100" s="692"/>
      <c r="N100" s="692"/>
      <c r="O100" s="151"/>
      <c r="P100" s="577"/>
      <c r="Q100" s="577"/>
      <c r="R100" s="150"/>
      <c r="S100" s="1565"/>
      <c r="T100" s="1327"/>
      <c r="U100" s="1749"/>
      <c r="V100" s="2117"/>
      <c r="W100" s="1526"/>
      <c r="X100" s="1526"/>
      <c r="Y100" s="1526"/>
      <c r="Z100" s="1526"/>
      <c r="AA100" s="1791"/>
      <c r="AB100" s="1526"/>
      <c r="AC100" s="1608"/>
      <c r="AD100" s="1526"/>
      <c r="AE100" s="1591"/>
      <c r="AF100" s="1769"/>
      <c r="AG100" s="1793"/>
      <c r="AH100" s="1794"/>
      <c r="AJ100" s="13"/>
    </row>
    <row r="101" spans="1:36" s="5" customFormat="1">
      <c r="A101" s="1503">
        <f t="shared" si="3"/>
        <v>89</v>
      </c>
      <c r="B101" s="295"/>
      <c r="C101" s="166"/>
      <c r="D101" s="46"/>
      <c r="E101" s="179"/>
      <c r="F101" s="1346"/>
      <c r="G101" s="693"/>
      <c r="H101" s="167"/>
      <c r="I101" s="167"/>
      <c r="J101" s="167"/>
      <c r="K101" s="79"/>
      <c r="L101" s="154"/>
      <c r="M101" s="692"/>
      <c r="N101" s="692"/>
      <c r="O101" s="151"/>
      <c r="P101" s="577"/>
      <c r="Q101" s="577"/>
      <c r="R101" s="150"/>
      <c r="S101" s="1565"/>
      <c r="T101" s="1327"/>
      <c r="U101" s="1749"/>
      <c r="V101" s="2117"/>
      <c r="W101" s="1526"/>
      <c r="X101" s="1526"/>
      <c r="Y101" s="1526"/>
      <c r="Z101" s="1526"/>
      <c r="AA101" s="1791"/>
      <c r="AB101" s="1526"/>
      <c r="AC101" s="1608"/>
      <c r="AD101" s="1526"/>
      <c r="AE101" s="1591"/>
      <c r="AF101" s="1769"/>
      <c r="AG101" s="1793"/>
      <c r="AH101" s="1794"/>
      <c r="AJ101" s="13"/>
    </row>
    <row r="102" spans="1:36" s="5" customFormat="1">
      <c r="A102" s="1503">
        <f t="shared" si="3"/>
        <v>90</v>
      </c>
      <c r="B102" s="295"/>
      <c r="C102" s="166"/>
      <c r="D102" s="46"/>
      <c r="E102" s="179"/>
      <c r="F102" s="1346"/>
      <c r="G102" s="693"/>
      <c r="H102" s="167"/>
      <c r="I102" s="167"/>
      <c r="J102" s="167"/>
      <c r="K102" s="79"/>
      <c r="L102" s="154"/>
      <c r="M102" s="692"/>
      <c r="N102" s="692"/>
      <c r="O102" s="151"/>
      <c r="P102" s="577"/>
      <c r="Q102" s="577"/>
      <c r="R102" s="150"/>
      <c r="S102" s="1565"/>
      <c r="T102" s="1327"/>
      <c r="U102" s="1749"/>
      <c r="V102" s="2117"/>
      <c r="W102" s="1526"/>
      <c r="X102" s="1526"/>
      <c r="Y102" s="1526"/>
      <c r="Z102" s="1526"/>
      <c r="AA102" s="1791"/>
      <c r="AB102" s="1526"/>
      <c r="AC102" s="1608"/>
      <c r="AD102" s="1526"/>
      <c r="AE102" s="1591"/>
      <c r="AF102" s="1769"/>
      <c r="AG102" s="1793"/>
      <c r="AH102" s="1794"/>
      <c r="AJ102" s="13"/>
    </row>
    <row r="103" spans="1:36" s="5" customFormat="1">
      <c r="A103" s="1503">
        <f t="shared" si="3"/>
        <v>91</v>
      </c>
      <c r="B103" s="295"/>
      <c r="C103" s="166"/>
      <c r="D103" s="46"/>
      <c r="E103" s="179"/>
      <c r="F103" s="1346"/>
      <c r="G103" s="693"/>
      <c r="H103" s="167"/>
      <c r="I103" s="167"/>
      <c r="J103" s="167"/>
      <c r="K103" s="79"/>
      <c r="L103" s="154"/>
      <c r="M103" s="692"/>
      <c r="N103" s="692"/>
      <c r="O103" s="151"/>
      <c r="P103" s="577"/>
      <c r="Q103" s="577"/>
      <c r="R103" s="150"/>
      <c r="S103" s="1565"/>
      <c r="T103" s="1327"/>
      <c r="U103" s="1749"/>
      <c r="V103" s="2117"/>
      <c r="W103" s="1526"/>
      <c r="X103" s="1526"/>
      <c r="Y103" s="1526"/>
      <c r="Z103" s="1526"/>
      <c r="AA103" s="1791"/>
      <c r="AB103" s="1526"/>
      <c r="AC103" s="1608"/>
      <c r="AD103" s="1526"/>
      <c r="AE103" s="1591"/>
      <c r="AF103" s="1769"/>
      <c r="AG103" s="1793"/>
      <c r="AH103" s="1794"/>
      <c r="AJ103" s="13"/>
    </row>
    <row r="104" spans="1:36" s="5" customFormat="1">
      <c r="A104" s="1503">
        <f t="shared" si="3"/>
        <v>92</v>
      </c>
      <c r="B104" s="295"/>
      <c r="C104" s="166"/>
      <c r="D104" s="46"/>
      <c r="E104" s="179"/>
      <c r="F104" s="1346"/>
      <c r="G104" s="693"/>
      <c r="H104" s="167"/>
      <c r="I104" s="167"/>
      <c r="J104" s="167"/>
      <c r="K104" s="79"/>
      <c r="L104" s="154"/>
      <c r="M104" s="692"/>
      <c r="N104" s="692"/>
      <c r="O104" s="151"/>
      <c r="P104" s="577"/>
      <c r="Q104" s="577"/>
      <c r="R104" s="150"/>
      <c r="S104" s="1565"/>
      <c r="T104" s="1327"/>
      <c r="U104" s="1749"/>
      <c r="V104" s="2117"/>
      <c r="W104" s="1526"/>
      <c r="X104" s="1526"/>
      <c r="Y104" s="1526"/>
      <c r="Z104" s="1526"/>
      <c r="AA104" s="1791"/>
      <c r="AB104" s="1526"/>
      <c r="AC104" s="1608"/>
      <c r="AD104" s="1526"/>
      <c r="AE104" s="1591"/>
      <c r="AF104" s="1769"/>
      <c r="AG104" s="1793"/>
      <c r="AH104" s="1794"/>
      <c r="AJ104" s="13"/>
    </row>
    <row r="105" spans="1:36" s="5" customFormat="1">
      <c r="A105" s="1503">
        <f t="shared" si="3"/>
        <v>93</v>
      </c>
      <c r="B105" s="295"/>
      <c r="C105" s="166"/>
      <c r="D105" s="46"/>
      <c r="E105" s="179"/>
      <c r="F105" s="1346"/>
      <c r="G105" s="693"/>
      <c r="H105" s="167"/>
      <c r="I105" s="167"/>
      <c r="J105" s="167"/>
      <c r="K105" s="79"/>
      <c r="L105" s="154"/>
      <c r="M105" s="692"/>
      <c r="N105" s="692"/>
      <c r="O105" s="151"/>
      <c r="P105" s="577"/>
      <c r="Q105" s="577"/>
      <c r="R105" s="150"/>
      <c r="S105" s="1565"/>
      <c r="T105" s="1327"/>
      <c r="U105" s="1749"/>
      <c r="V105" s="2117"/>
      <c r="W105" s="1526"/>
      <c r="X105" s="1526"/>
      <c r="Y105" s="1526"/>
      <c r="Z105" s="1526"/>
      <c r="AA105" s="1791"/>
      <c r="AB105" s="1526"/>
      <c r="AC105" s="1608"/>
      <c r="AD105" s="1526"/>
      <c r="AE105" s="1591"/>
      <c r="AF105" s="1769"/>
      <c r="AG105" s="1793"/>
      <c r="AH105" s="1794"/>
      <c r="AJ105" s="13"/>
    </row>
    <row r="106" spans="1:36" s="5" customFormat="1">
      <c r="A106" s="1503">
        <f t="shared" si="3"/>
        <v>94</v>
      </c>
      <c r="B106" s="295"/>
      <c r="C106" s="166"/>
      <c r="D106" s="46"/>
      <c r="E106" s="179"/>
      <c r="F106" s="1346"/>
      <c r="G106" s="693"/>
      <c r="H106" s="167"/>
      <c r="I106" s="167"/>
      <c r="J106" s="167"/>
      <c r="K106" s="79"/>
      <c r="L106" s="154"/>
      <c r="M106" s="692"/>
      <c r="N106" s="692"/>
      <c r="O106" s="151"/>
      <c r="P106" s="577"/>
      <c r="Q106" s="577"/>
      <c r="R106" s="150"/>
      <c r="S106" s="1565"/>
      <c r="T106" s="1327"/>
      <c r="U106" s="1749"/>
      <c r="V106" s="2117"/>
      <c r="W106" s="1526"/>
      <c r="X106" s="1526"/>
      <c r="Y106" s="1526"/>
      <c r="Z106" s="1526"/>
      <c r="AA106" s="1791"/>
      <c r="AB106" s="1526"/>
      <c r="AC106" s="1608"/>
      <c r="AD106" s="1526"/>
      <c r="AE106" s="1591"/>
      <c r="AF106" s="1769"/>
      <c r="AG106" s="1793"/>
      <c r="AH106" s="1794"/>
      <c r="AJ106" s="13"/>
    </row>
    <row r="107" spans="1:36" s="5" customFormat="1">
      <c r="A107" s="1503">
        <f t="shared" si="3"/>
        <v>95</v>
      </c>
      <c r="B107" s="295"/>
      <c r="C107" s="166"/>
      <c r="D107" s="46"/>
      <c r="E107" s="179"/>
      <c r="F107" s="1346"/>
      <c r="G107" s="693"/>
      <c r="H107" s="167"/>
      <c r="I107" s="167"/>
      <c r="J107" s="167"/>
      <c r="K107" s="79"/>
      <c r="L107" s="154"/>
      <c r="M107" s="692"/>
      <c r="N107" s="692"/>
      <c r="O107" s="151"/>
      <c r="P107" s="577"/>
      <c r="Q107" s="577"/>
      <c r="R107" s="150"/>
      <c r="S107" s="1565"/>
      <c r="T107" s="1327"/>
      <c r="U107" s="1749"/>
      <c r="V107" s="2117"/>
      <c r="W107" s="1526"/>
      <c r="X107" s="1526"/>
      <c r="Y107" s="1526"/>
      <c r="Z107" s="1526"/>
      <c r="AA107" s="1791"/>
      <c r="AB107" s="1526"/>
      <c r="AC107" s="1608"/>
      <c r="AD107" s="1526"/>
      <c r="AE107" s="1591"/>
      <c r="AF107" s="1769"/>
      <c r="AG107" s="1793"/>
      <c r="AH107" s="1794"/>
      <c r="AJ107" s="13"/>
    </row>
    <row r="108" spans="1:36" s="5" customFormat="1">
      <c r="A108" s="1503">
        <f t="shared" si="3"/>
        <v>96</v>
      </c>
      <c r="B108" s="295"/>
      <c r="C108" s="166"/>
      <c r="D108" s="46"/>
      <c r="E108" s="179"/>
      <c r="F108" s="1346"/>
      <c r="G108" s="693"/>
      <c r="H108" s="167"/>
      <c r="I108" s="167"/>
      <c r="J108" s="167"/>
      <c r="K108" s="79"/>
      <c r="L108" s="154"/>
      <c r="M108" s="692"/>
      <c r="N108" s="692"/>
      <c r="O108" s="151"/>
      <c r="P108" s="577"/>
      <c r="Q108" s="577"/>
      <c r="R108" s="150"/>
      <c r="S108" s="1565"/>
      <c r="T108" s="1327"/>
      <c r="U108" s="1749"/>
      <c r="V108" s="2117"/>
      <c r="W108" s="1526"/>
      <c r="X108" s="1526"/>
      <c r="Y108" s="1526"/>
      <c r="Z108" s="1526"/>
      <c r="AA108" s="1791"/>
      <c r="AB108" s="1526"/>
      <c r="AC108" s="1608"/>
      <c r="AD108" s="1526"/>
      <c r="AE108" s="1591"/>
      <c r="AF108" s="1769"/>
      <c r="AG108" s="1793"/>
      <c r="AH108" s="1794"/>
      <c r="AJ108" s="13"/>
    </row>
    <row r="109" spans="1:36" s="5" customFormat="1">
      <c r="A109" s="1503">
        <f t="shared" si="3"/>
        <v>97</v>
      </c>
      <c r="B109" s="295"/>
      <c r="C109" s="166"/>
      <c r="D109" s="46"/>
      <c r="E109" s="179"/>
      <c r="F109" s="1346"/>
      <c r="G109" s="693"/>
      <c r="H109" s="167"/>
      <c r="I109" s="167"/>
      <c r="J109" s="167"/>
      <c r="K109" s="79"/>
      <c r="L109" s="154"/>
      <c r="M109" s="692"/>
      <c r="N109" s="692"/>
      <c r="O109" s="151"/>
      <c r="P109" s="577"/>
      <c r="Q109" s="577"/>
      <c r="R109" s="150"/>
      <c r="S109" s="1565"/>
      <c r="T109" s="1327"/>
      <c r="U109" s="1749"/>
      <c r="V109" s="2117"/>
      <c r="W109" s="1526"/>
      <c r="X109" s="1526"/>
      <c r="Y109" s="1526"/>
      <c r="Z109" s="1526"/>
      <c r="AA109" s="1791"/>
      <c r="AB109" s="1526"/>
      <c r="AC109" s="1608"/>
      <c r="AD109" s="1526"/>
      <c r="AE109" s="1591"/>
      <c r="AF109" s="1769"/>
      <c r="AG109" s="1793"/>
      <c r="AH109" s="1794"/>
      <c r="AJ109" s="13"/>
    </row>
    <row r="110" spans="1:36" s="5" customFormat="1">
      <c r="A110" s="1503">
        <f t="shared" si="3"/>
        <v>98</v>
      </c>
      <c r="B110" s="295"/>
      <c r="C110" s="166"/>
      <c r="D110" s="46"/>
      <c r="E110" s="179"/>
      <c r="F110" s="1346"/>
      <c r="G110" s="693"/>
      <c r="H110" s="167"/>
      <c r="I110" s="167"/>
      <c r="J110" s="167"/>
      <c r="K110" s="79"/>
      <c r="L110" s="154"/>
      <c r="M110" s="692"/>
      <c r="N110" s="692"/>
      <c r="O110" s="151"/>
      <c r="P110" s="577"/>
      <c r="Q110" s="577"/>
      <c r="R110" s="150"/>
      <c r="S110" s="1565"/>
      <c r="T110" s="1327"/>
      <c r="U110" s="1749"/>
      <c r="V110" s="2117"/>
      <c r="W110" s="1526"/>
      <c r="X110" s="1526"/>
      <c r="Y110" s="1526"/>
      <c r="Z110" s="1526"/>
      <c r="AA110" s="1791"/>
      <c r="AB110" s="1526"/>
      <c r="AC110" s="1608"/>
      <c r="AD110" s="1526"/>
      <c r="AE110" s="1591"/>
      <c r="AF110" s="1769"/>
      <c r="AG110" s="1793"/>
      <c r="AH110" s="1794"/>
      <c r="AJ110" s="13"/>
    </row>
    <row r="111" spans="1:36" s="5" customFormat="1">
      <c r="A111" s="1503">
        <f t="shared" si="3"/>
        <v>99</v>
      </c>
      <c r="B111" s="295"/>
      <c r="C111" s="166"/>
      <c r="D111" s="46"/>
      <c r="E111" s="179"/>
      <c r="F111" s="1346"/>
      <c r="G111" s="693"/>
      <c r="H111" s="167"/>
      <c r="I111" s="167"/>
      <c r="J111" s="167"/>
      <c r="K111" s="79"/>
      <c r="L111" s="154"/>
      <c r="M111" s="692"/>
      <c r="N111" s="692"/>
      <c r="O111" s="151"/>
      <c r="P111" s="577"/>
      <c r="Q111" s="577"/>
      <c r="R111" s="150"/>
      <c r="S111" s="1565"/>
      <c r="T111" s="1327"/>
      <c r="U111" s="1749"/>
      <c r="V111" s="2117"/>
      <c r="W111" s="1526"/>
      <c r="X111" s="1526"/>
      <c r="Y111" s="1526"/>
      <c r="Z111" s="1526"/>
      <c r="AA111" s="1791"/>
      <c r="AB111" s="1526"/>
      <c r="AC111" s="1608"/>
      <c r="AD111" s="1526"/>
      <c r="AE111" s="1591"/>
      <c r="AF111" s="1769"/>
      <c r="AG111" s="1793"/>
      <c r="AH111" s="1794"/>
      <c r="AJ111" s="13"/>
    </row>
    <row r="112" spans="1:36" s="5" customFormat="1">
      <c r="A112" s="1503">
        <f t="shared" si="3"/>
        <v>100</v>
      </c>
      <c r="B112" s="295"/>
      <c r="C112" s="166"/>
      <c r="D112" s="46"/>
      <c r="E112" s="179"/>
      <c r="F112" s="1346"/>
      <c r="G112" s="693"/>
      <c r="H112" s="167"/>
      <c r="I112" s="167"/>
      <c r="J112" s="167"/>
      <c r="K112" s="79"/>
      <c r="L112" s="154"/>
      <c r="M112" s="692"/>
      <c r="N112" s="692"/>
      <c r="O112" s="151"/>
      <c r="P112" s="577"/>
      <c r="Q112" s="577"/>
      <c r="R112" s="150"/>
      <c r="S112" s="1565"/>
      <c r="T112" s="1327"/>
      <c r="U112" s="1749"/>
      <c r="V112" s="2117"/>
      <c r="W112" s="1526"/>
      <c r="X112" s="1526"/>
      <c r="Y112" s="1526"/>
      <c r="Z112" s="1526"/>
      <c r="AA112" s="1791"/>
      <c r="AB112" s="1526"/>
      <c r="AC112" s="1608"/>
      <c r="AD112" s="1526"/>
      <c r="AE112" s="1591"/>
      <c r="AF112" s="1769"/>
      <c r="AG112" s="1793"/>
      <c r="AH112" s="1794"/>
      <c r="AJ112" s="13"/>
    </row>
    <row r="113" spans="1:36" s="5" customFormat="1">
      <c r="A113" s="1503">
        <f t="shared" si="3"/>
        <v>101</v>
      </c>
      <c r="B113" s="295"/>
      <c r="C113" s="166"/>
      <c r="D113" s="46"/>
      <c r="E113" s="179"/>
      <c r="F113" s="1346"/>
      <c r="G113" s="693"/>
      <c r="H113" s="167"/>
      <c r="I113" s="167"/>
      <c r="J113" s="167"/>
      <c r="K113" s="79"/>
      <c r="L113" s="154"/>
      <c r="M113" s="692"/>
      <c r="N113" s="692"/>
      <c r="O113" s="151"/>
      <c r="P113" s="577"/>
      <c r="Q113" s="577"/>
      <c r="R113" s="150"/>
      <c r="S113" s="1565"/>
      <c r="T113" s="1327"/>
      <c r="U113" s="1749"/>
      <c r="V113" s="2117"/>
      <c r="W113" s="1526"/>
      <c r="X113" s="1526"/>
      <c r="Y113" s="1526"/>
      <c r="Z113" s="1526"/>
      <c r="AA113" s="1791"/>
      <c r="AB113" s="1526"/>
      <c r="AC113" s="1608"/>
      <c r="AD113" s="1526"/>
      <c r="AE113" s="1591"/>
      <c r="AF113" s="1769"/>
      <c r="AG113" s="1793"/>
      <c r="AH113" s="1794"/>
      <c r="AJ113" s="13"/>
    </row>
    <row r="114" spans="1:36" s="5" customFormat="1">
      <c r="A114" s="1503">
        <f t="shared" si="3"/>
        <v>102</v>
      </c>
      <c r="B114" s="295"/>
      <c r="C114" s="166"/>
      <c r="D114" s="46"/>
      <c r="E114" s="179"/>
      <c r="F114" s="1346"/>
      <c r="G114" s="693"/>
      <c r="H114" s="167"/>
      <c r="I114" s="167"/>
      <c r="J114" s="167"/>
      <c r="K114" s="79"/>
      <c r="L114" s="154"/>
      <c r="M114" s="692"/>
      <c r="N114" s="692"/>
      <c r="O114" s="151"/>
      <c r="P114" s="577"/>
      <c r="Q114" s="577"/>
      <c r="R114" s="150"/>
      <c r="S114" s="1565"/>
      <c r="T114" s="1327"/>
      <c r="U114" s="1749"/>
      <c r="V114" s="2117"/>
      <c r="W114" s="1526"/>
      <c r="X114" s="1526"/>
      <c r="Y114" s="1526"/>
      <c r="Z114" s="1526"/>
      <c r="AA114" s="1791"/>
      <c r="AB114" s="1526"/>
      <c r="AC114" s="1608"/>
      <c r="AD114" s="1526"/>
      <c r="AE114" s="1591"/>
      <c r="AF114" s="1769"/>
      <c r="AG114" s="1793"/>
      <c r="AH114" s="1794"/>
      <c r="AJ114" s="13"/>
    </row>
    <row r="115" spans="1:36" s="5" customFormat="1">
      <c r="A115" s="1503">
        <f t="shared" si="3"/>
        <v>103</v>
      </c>
      <c r="B115" s="295"/>
      <c r="C115" s="166"/>
      <c r="D115" s="46"/>
      <c r="E115" s="179"/>
      <c r="F115" s="1346"/>
      <c r="G115" s="693"/>
      <c r="H115" s="167"/>
      <c r="I115" s="167"/>
      <c r="J115" s="167"/>
      <c r="K115" s="79"/>
      <c r="L115" s="154"/>
      <c r="M115" s="692"/>
      <c r="N115" s="692"/>
      <c r="O115" s="151"/>
      <c r="P115" s="577"/>
      <c r="Q115" s="577"/>
      <c r="R115" s="150"/>
      <c r="S115" s="1565"/>
      <c r="T115" s="1327"/>
      <c r="U115" s="1749"/>
      <c r="V115" s="2117"/>
      <c r="W115" s="1526"/>
      <c r="X115" s="1526"/>
      <c r="Y115" s="1526"/>
      <c r="Z115" s="1526"/>
      <c r="AA115" s="1791"/>
      <c r="AB115" s="1526"/>
      <c r="AC115" s="1608"/>
      <c r="AD115" s="1526"/>
      <c r="AE115" s="1591"/>
      <c r="AF115" s="1769"/>
      <c r="AG115" s="1793"/>
      <c r="AH115" s="1794"/>
      <c r="AJ115" s="13"/>
    </row>
    <row r="116" spans="1:36" s="5" customFormat="1">
      <c r="A116" s="1503">
        <f t="shared" si="3"/>
        <v>104</v>
      </c>
      <c r="B116" s="295"/>
      <c r="C116" s="166"/>
      <c r="D116" s="46"/>
      <c r="E116" s="179"/>
      <c r="F116" s="1346"/>
      <c r="G116" s="693"/>
      <c r="H116" s="167"/>
      <c r="I116" s="167"/>
      <c r="J116" s="167"/>
      <c r="K116" s="79"/>
      <c r="L116" s="154"/>
      <c r="M116" s="692"/>
      <c r="N116" s="692"/>
      <c r="O116" s="151"/>
      <c r="P116" s="577"/>
      <c r="Q116" s="577"/>
      <c r="R116" s="150"/>
      <c r="S116" s="1565"/>
      <c r="T116" s="1327"/>
      <c r="U116" s="1749"/>
      <c r="V116" s="2117"/>
      <c r="W116" s="1526"/>
      <c r="X116" s="1526"/>
      <c r="Y116" s="1526"/>
      <c r="Z116" s="1526"/>
      <c r="AA116" s="1791"/>
      <c r="AB116" s="1526"/>
      <c r="AC116" s="1608"/>
      <c r="AD116" s="1526"/>
      <c r="AE116" s="1591"/>
      <c r="AF116" s="1769"/>
      <c r="AG116" s="1793"/>
      <c r="AH116" s="1794"/>
      <c r="AJ116" s="13"/>
    </row>
    <row r="117" spans="1:36" s="5" customFormat="1">
      <c r="A117" s="1503">
        <f t="shared" si="3"/>
        <v>105</v>
      </c>
      <c r="B117" s="295"/>
      <c r="C117" s="166"/>
      <c r="D117" s="46"/>
      <c r="E117" s="179"/>
      <c r="F117" s="1346"/>
      <c r="G117" s="693"/>
      <c r="H117" s="167"/>
      <c r="I117" s="167"/>
      <c r="J117" s="167"/>
      <c r="K117" s="79"/>
      <c r="L117" s="154"/>
      <c r="M117" s="692"/>
      <c r="N117" s="692"/>
      <c r="O117" s="151"/>
      <c r="P117" s="577"/>
      <c r="Q117" s="577"/>
      <c r="R117" s="150"/>
      <c r="S117" s="1565"/>
      <c r="T117" s="1327"/>
      <c r="U117" s="1749"/>
      <c r="V117" s="2117"/>
      <c r="W117" s="1526"/>
      <c r="X117" s="1526"/>
      <c r="Y117" s="1526"/>
      <c r="Z117" s="1526"/>
      <c r="AA117" s="1791"/>
      <c r="AB117" s="1526"/>
      <c r="AC117" s="1608"/>
      <c r="AD117" s="1526"/>
      <c r="AE117" s="1591"/>
      <c r="AF117" s="1769"/>
      <c r="AG117" s="1793"/>
      <c r="AH117" s="1794"/>
      <c r="AJ117" s="13"/>
    </row>
    <row r="118" spans="1:36" s="5" customFormat="1">
      <c r="A118" s="1503">
        <f t="shared" si="3"/>
        <v>106</v>
      </c>
      <c r="B118" s="295"/>
      <c r="C118" s="166"/>
      <c r="D118" s="46"/>
      <c r="E118" s="179"/>
      <c r="F118" s="1346"/>
      <c r="G118" s="693"/>
      <c r="H118" s="167"/>
      <c r="I118" s="167"/>
      <c r="J118" s="167"/>
      <c r="K118" s="79"/>
      <c r="L118" s="154"/>
      <c r="M118" s="692"/>
      <c r="N118" s="692"/>
      <c r="O118" s="151"/>
      <c r="P118" s="577"/>
      <c r="Q118" s="577"/>
      <c r="R118" s="150"/>
      <c r="S118" s="1565"/>
      <c r="T118" s="1327"/>
      <c r="U118" s="1749"/>
      <c r="V118" s="2117"/>
      <c r="W118" s="1526"/>
      <c r="X118" s="1526"/>
      <c r="Y118" s="1526"/>
      <c r="Z118" s="1526"/>
      <c r="AA118" s="1791"/>
      <c r="AB118" s="1526"/>
      <c r="AC118" s="1608"/>
      <c r="AD118" s="1526"/>
      <c r="AE118" s="1591"/>
      <c r="AF118" s="1769"/>
      <c r="AG118" s="1793"/>
      <c r="AH118" s="1794"/>
      <c r="AJ118" s="13"/>
    </row>
    <row r="119" spans="1:36" s="5" customFormat="1">
      <c r="A119" s="1503">
        <f t="shared" si="3"/>
        <v>107</v>
      </c>
      <c r="B119" s="295"/>
      <c r="C119" s="166"/>
      <c r="D119" s="46"/>
      <c r="E119" s="179"/>
      <c r="F119" s="1346"/>
      <c r="G119" s="693"/>
      <c r="H119" s="167"/>
      <c r="I119" s="167"/>
      <c r="J119" s="167"/>
      <c r="K119" s="79"/>
      <c r="L119" s="154"/>
      <c r="M119" s="692"/>
      <c r="N119" s="692"/>
      <c r="O119" s="151"/>
      <c r="P119" s="577"/>
      <c r="Q119" s="577"/>
      <c r="R119" s="150"/>
      <c r="S119" s="1565"/>
      <c r="T119" s="1327"/>
      <c r="U119" s="1749"/>
      <c r="V119" s="2117"/>
      <c r="W119" s="1526"/>
      <c r="X119" s="1526"/>
      <c r="Y119" s="1526"/>
      <c r="Z119" s="1526"/>
      <c r="AA119" s="1791"/>
      <c r="AB119" s="1526"/>
      <c r="AC119" s="1608"/>
      <c r="AD119" s="1526"/>
      <c r="AE119" s="1591"/>
      <c r="AF119" s="1769"/>
      <c r="AG119" s="1793"/>
      <c r="AH119" s="1794"/>
      <c r="AJ119" s="13"/>
    </row>
    <row r="120" spans="1:36" s="5" customFormat="1">
      <c r="A120" s="1503">
        <f t="shared" si="3"/>
        <v>108</v>
      </c>
      <c r="B120" s="295"/>
      <c r="C120" s="166"/>
      <c r="D120" s="46"/>
      <c r="E120" s="179"/>
      <c r="F120" s="1346"/>
      <c r="G120" s="693"/>
      <c r="H120" s="167"/>
      <c r="I120" s="167"/>
      <c r="J120" s="167"/>
      <c r="K120" s="79"/>
      <c r="L120" s="154"/>
      <c r="M120" s="692"/>
      <c r="N120" s="692"/>
      <c r="O120" s="151"/>
      <c r="P120" s="577"/>
      <c r="Q120" s="577"/>
      <c r="R120" s="150"/>
      <c r="S120" s="1565"/>
      <c r="T120" s="1327"/>
      <c r="U120" s="1749"/>
      <c r="V120" s="2117"/>
      <c r="W120" s="1526"/>
      <c r="X120" s="1526"/>
      <c r="Y120" s="1526"/>
      <c r="Z120" s="1526"/>
      <c r="AA120" s="1791"/>
      <c r="AB120" s="1526"/>
      <c r="AC120" s="1608"/>
      <c r="AD120" s="1526"/>
      <c r="AE120" s="1591"/>
      <c r="AF120" s="1769"/>
      <c r="AG120" s="1793"/>
      <c r="AH120" s="1794"/>
      <c r="AJ120" s="13"/>
    </row>
    <row r="121" spans="1:36" s="5" customFormat="1">
      <c r="A121" s="1503">
        <f t="shared" si="3"/>
        <v>109</v>
      </c>
      <c r="B121" s="295"/>
      <c r="C121" s="166"/>
      <c r="D121" s="46"/>
      <c r="E121" s="179"/>
      <c r="F121" s="1346"/>
      <c r="G121" s="693"/>
      <c r="H121" s="167"/>
      <c r="I121" s="167"/>
      <c r="J121" s="167"/>
      <c r="K121" s="79"/>
      <c r="L121" s="154"/>
      <c r="M121" s="692"/>
      <c r="N121" s="692"/>
      <c r="O121" s="151"/>
      <c r="P121" s="577"/>
      <c r="Q121" s="577"/>
      <c r="R121" s="150"/>
      <c r="S121" s="1565"/>
      <c r="T121" s="1327"/>
      <c r="U121" s="1749"/>
      <c r="V121" s="2117"/>
      <c r="W121" s="1526"/>
      <c r="X121" s="1526"/>
      <c r="Y121" s="1526"/>
      <c r="Z121" s="1526"/>
      <c r="AA121" s="1791"/>
      <c r="AB121" s="1526"/>
      <c r="AC121" s="1608"/>
      <c r="AD121" s="1526"/>
      <c r="AE121" s="1591"/>
      <c r="AF121" s="1769"/>
      <c r="AG121" s="1793"/>
      <c r="AH121" s="1794"/>
      <c r="AJ121" s="13"/>
    </row>
    <row r="122" spans="1:36" s="5" customFormat="1">
      <c r="A122" s="1503">
        <f t="shared" si="3"/>
        <v>110</v>
      </c>
      <c r="B122" s="295"/>
      <c r="C122" s="166"/>
      <c r="D122" s="46"/>
      <c r="E122" s="179"/>
      <c r="F122" s="1346"/>
      <c r="G122" s="693"/>
      <c r="H122" s="167"/>
      <c r="I122" s="167"/>
      <c r="J122" s="167"/>
      <c r="K122" s="79"/>
      <c r="L122" s="154"/>
      <c r="M122" s="692"/>
      <c r="N122" s="692"/>
      <c r="O122" s="151"/>
      <c r="P122" s="577"/>
      <c r="Q122" s="577"/>
      <c r="R122" s="150"/>
      <c r="S122" s="1565"/>
      <c r="T122" s="1327"/>
      <c r="U122" s="1749"/>
      <c r="V122" s="2117"/>
      <c r="W122" s="1526"/>
      <c r="X122" s="1526"/>
      <c r="Y122" s="1526"/>
      <c r="Z122" s="1526"/>
      <c r="AA122" s="1791"/>
      <c r="AB122" s="1526"/>
      <c r="AC122" s="1608"/>
      <c r="AD122" s="1526"/>
      <c r="AE122" s="1591"/>
      <c r="AF122" s="1769"/>
      <c r="AG122" s="1793"/>
      <c r="AH122" s="1794"/>
      <c r="AJ122" s="13"/>
    </row>
    <row r="123" spans="1:36" s="5" customFormat="1">
      <c r="A123" s="1503">
        <f t="shared" si="3"/>
        <v>111</v>
      </c>
      <c r="B123" s="295"/>
      <c r="C123" s="166"/>
      <c r="D123" s="46"/>
      <c r="E123" s="179"/>
      <c r="F123" s="1346"/>
      <c r="G123" s="693"/>
      <c r="H123" s="167"/>
      <c r="I123" s="167"/>
      <c r="J123" s="167"/>
      <c r="K123" s="79"/>
      <c r="L123" s="154"/>
      <c r="M123" s="692"/>
      <c r="N123" s="692"/>
      <c r="O123" s="151"/>
      <c r="P123" s="577"/>
      <c r="Q123" s="577"/>
      <c r="R123" s="150"/>
      <c r="S123" s="1565"/>
      <c r="T123" s="1327"/>
      <c r="U123" s="1749"/>
      <c r="V123" s="2117"/>
      <c r="W123" s="1526"/>
      <c r="X123" s="1526"/>
      <c r="Y123" s="1526"/>
      <c r="Z123" s="1526"/>
      <c r="AA123" s="1791"/>
      <c r="AB123" s="1526"/>
      <c r="AC123" s="1608"/>
      <c r="AD123" s="1526"/>
      <c r="AE123" s="1591"/>
      <c r="AF123" s="1769"/>
      <c r="AG123" s="1793"/>
      <c r="AH123" s="1794"/>
      <c r="AJ123" s="13"/>
    </row>
    <row r="124" spans="1:36" s="5" customFormat="1">
      <c r="A124" s="1503">
        <f t="shared" si="3"/>
        <v>112</v>
      </c>
      <c r="B124" s="295"/>
      <c r="C124" s="166"/>
      <c r="D124" s="46"/>
      <c r="E124" s="179"/>
      <c r="F124" s="1346"/>
      <c r="G124" s="693"/>
      <c r="H124" s="167"/>
      <c r="I124" s="167"/>
      <c r="J124" s="167"/>
      <c r="K124" s="79"/>
      <c r="L124" s="154"/>
      <c r="M124" s="692"/>
      <c r="N124" s="692"/>
      <c r="O124" s="151"/>
      <c r="P124" s="577"/>
      <c r="Q124" s="577"/>
      <c r="R124" s="150"/>
      <c r="S124" s="1565"/>
      <c r="T124" s="1327"/>
      <c r="U124" s="1749"/>
      <c r="V124" s="2117"/>
      <c r="W124" s="1526"/>
      <c r="X124" s="1526"/>
      <c r="Y124" s="1526"/>
      <c r="Z124" s="1526"/>
      <c r="AA124" s="1791"/>
      <c r="AB124" s="1526"/>
      <c r="AC124" s="1608"/>
      <c r="AD124" s="1526"/>
      <c r="AE124" s="1591"/>
      <c r="AF124" s="1769"/>
      <c r="AG124" s="1793"/>
      <c r="AH124" s="1794"/>
      <c r="AJ124" s="13"/>
    </row>
    <row r="125" spans="1:36" s="5" customFormat="1">
      <c r="A125" s="1503">
        <f t="shared" si="3"/>
        <v>113</v>
      </c>
      <c r="B125" s="295"/>
      <c r="C125" s="166"/>
      <c r="D125" s="46"/>
      <c r="E125" s="179"/>
      <c r="F125" s="1346"/>
      <c r="G125" s="693"/>
      <c r="H125" s="167"/>
      <c r="I125" s="167"/>
      <c r="J125" s="167"/>
      <c r="K125" s="79"/>
      <c r="L125" s="154"/>
      <c r="M125" s="692"/>
      <c r="N125" s="692"/>
      <c r="O125" s="151"/>
      <c r="P125" s="577"/>
      <c r="Q125" s="577"/>
      <c r="R125" s="150"/>
      <c r="S125" s="1565"/>
      <c r="T125" s="1327"/>
      <c r="U125" s="1749"/>
      <c r="V125" s="2117"/>
      <c r="W125" s="1526"/>
      <c r="X125" s="1526"/>
      <c r="Y125" s="1526"/>
      <c r="Z125" s="1526"/>
      <c r="AA125" s="1791"/>
      <c r="AB125" s="1526"/>
      <c r="AC125" s="1608"/>
      <c r="AD125" s="1526"/>
      <c r="AE125" s="1591"/>
      <c r="AF125" s="1769"/>
      <c r="AG125" s="1793"/>
      <c r="AH125" s="1794"/>
      <c r="AJ125" s="13"/>
    </row>
    <row r="126" spans="1:36" s="5" customFormat="1">
      <c r="A126" s="1503">
        <f t="shared" si="3"/>
        <v>114</v>
      </c>
      <c r="B126" s="295"/>
      <c r="C126" s="166"/>
      <c r="D126" s="46"/>
      <c r="E126" s="179"/>
      <c r="F126" s="1346"/>
      <c r="G126" s="693"/>
      <c r="H126" s="167"/>
      <c r="I126" s="167"/>
      <c r="J126" s="167"/>
      <c r="K126" s="1236"/>
      <c r="L126" s="154"/>
      <c r="M126" s="692"/>
      <c r="N126" s="692"/>
      <c r="O126" s="151"/>
      <c r="P126" s="577"/>
      <c r="Q126" s="577"/>
      <c r="R126" s="150"/>
      <c r="S126" s="1565"/>
      <c r="T126" s="1327"/>
      <c r="U126" s="1791"/>
      <c r="V126" s="2117"/>
      <c r="W126" s="1608"/>
      <c r="X126" s="1608"/>
      <c r="Y126" s="1608"/>
      <c r="Z126" s="1608"/>
      <c r="AA126" s="1791"/>
      <c r="AB126" s="1608"/>
      <c r="AC126" s="1608"/>
      <c r="AD126" s="1608"/>
      <c r="AE126" s="1796"/>
      <c r="AF126" s="1797"/>
      <c r="AG126" s="1798"/>
      <c r="AH126" s="1794"/>
      <c r="AJ126" s="13"/>
    </row>
    <row r="127" spans="1:36" s="5" customFormat="1">
      <c r="A127" s="1503">
        <f t="shared" si="3"/>
        <v>115</v>
      </c>
      <c r="B127" s="1289"/>
      <c r="C127" s="166"/>
      <c r="D127" s="46"/>
      <c r="E127" s="179"/>
      <c r="F127" s="1346"/>
      <c r="G127" s="693"/>
      <c r="H127" s="1257"/>
      <c r="I127" s="1257"/>
      <c r="J127" s="1257"/>
      <c r="K127" s="1250"/>
      <c r="L127" s="154"/>
      <c r="M127" s="692"/>
      <c r="N127" s="692"/>
      <c r="O127" s="151"/>
      <c r="P127" s="577"/>
      <c r="Q127" s="577"/>
      <c r="R127" s="150"/>
      <c r="S127" s="1565"/>
      <c r="T127" s="1327"/>
      <c r="U127" s="1791"/>
      <c r="V127" s="2117"/>
      <c r="W127" s="1608"/>
      <c r="X127" s="1608"/>
      <c r="Y127" s="1608"/>
      <c r="Z127" s="1608"/>
      <c r="AA127" s="1791"/>
      <c r="AB127" s="1608"/>
      <c r="AC127" s="1608"/>
      <c r="AD127" s="1608"/>
      <c r="AE127" s="1796"/>
      <c r="AF127" s="1797"/>
      <c r="AG127" s="1798"/>
      <c r="AH127" s="1794"/>
      <c r="AJ127" s="13"/>
    </row>
    <row r="128" spans="1:36" s="5" customFormat="1">
      <c r="A128" s="1"/>
      <c r="B128" s="6"/>
      <c r="C128" s="4"/>
      <c r="D128" s="3"/>
      <c r="E128" s="4"/>
      <c r="F128" s="4"/>
      <c r="G128" s="4"/>
      <c r="H128" s="6"/>
      <c r="I128" s="6"/>
      <c r="J128" s="6"/>
      <c r="K128" s="11"/>
      <c r="O128" s="7"/>
      <c r="R128" s="6"/>
      <c r="S128" s="1"/>
      <c r="T128" s="6"/>
      <c r="U128" s="1767"/>
      <c r="V128" s="1767"/>
      <c r="W128" s="1766"/>
      <c r="X128" s="1766"/>
      <c r="Y128" s="1766"/>
      <c r="Z128" s="1766"/>
      <c r="AA128" s="1767"/>
      <c r="AB128" s="1766"/>
      <c r="AC128" s="1766"/>
      <c r="AD128" s="1766"/>
      <c r="AE128" s="1768"/>
      <c r="AF128" s="1799"/>
      <c r="AG128" s="1770"/>
      <c r="AH128" s="1771"/>
      <c r="AJ128" s="13"/>
    </row>
    <row r="129" spans="1:36" s="5" customFormat="1">
      <c r="A129" s="1"/>
      <c r="B129" s="6"/>
      <c r="C129" s="4"/>
      <c r="D129" s="3"/>
      <c r="E129" s="4"/>
      <c r="F129" s="4"/>
      <c r="G129" s="4"/>
      <c r="H129" s="6"/>
      <c r="I129" s="6"/>
      <c r="J129" s="6"/>
      <c r="K129" s="11"/>
      <c r="O129" s="7"/>
      <c r="R129" s="6"/>
      <c r="S129" s="1"/>
      <c r="T129" s="6"/>
      <c r="U129" s="1767"/>
      <c r="V129" s="1767"/>
      <c r="W129" s="1766"/>
      <c r="X129" s="1766"/>
      <c r="Y129" s="1766"/>
      <c r="Z129" s="1766"/>
      <c r="AA129" s="1767"/>
      <c r="AB129" s="1766"/>
      <c r="AC129" s="1766"/>
      <c r="AD129" s="1766"/>
      <c r="AE129" s="1768"/>
      <c r="AF129" s="1799"/>
      <c r="AG129" s="1770"/>
      <c r="AH129" s="1771"/>
      <c r="AJ129" s="13"/>
    </row>
    <row r="130" spans="1:36" s="5" customFormat="1">
      <c r="A130" s="1"/>
      <c r="B130" s="6"/>
      <c r="C130" s="4"/>
      <c r="D130" s="3"/>
      <c r="E130" s="4"/>
      <c r="F130" s="4"/>
      <c r="G130" s="4"/>
      <c r="H130" s="6"/>
      <c r="I130" s="6"/>
      <c r="J130" s="6"/>
      <c r="K130" s="11"/>
      <c r="O130" s="7"/>
      <c r="R130" s="6"/>
      <c r="S130" s="1"/>
      <c r="T130" s="6"/>
      <c r="U130" s="1767"/>
      <c r="V130" s="1767"/>
      <c r="W130" s="1766"/>
      <c r="X130" s="1766"/>
      <c r="Y130" s="1766"/>
      <c r="Z130" s="1766"/>
      <c r="AA130" s="1767"/>
      <c r="AB130" s="1766"/>
      <c r="AC130" s="1766"/>
      <c r="AD130" s="1766"/>
      <c r="AE130" s="1768"/>
      <c r="AF130" s="1799"/>
      <c r="AG130" s="1770"/>
      <c r="AH130" s="1771"/>
      <c r="AJ130" s="13"/>
    </row>
    <row r="131" spans="1:36" s="5" customFormat="1">
      <c r="A131" s="1"/>
      <c r="B131" s="6"/>
      <c r="C131" s="4"/>
      <c r="D131" s="3"/>
      <c r="E131" s="4"/>
      <c r="F131" s="4"/>
      <c r="G131" s="4"/>
      <c r="H131" s="6"/>
      <c r="I131" s="6"/>
      <c r="J131" s="6"/>
      <c r="K131" s="11"/>
      <c r="O131" s="7"/>
      <c r="R131" s="6"/>
      <c r="S131" s="1"/>
      <c r="T131" s="6"/>
      <c r="U131" s="1767"/>
      <c r="V131" s="1767"/>
      <c r="W131" s="1766"/>
      <c r="X131" s="1766"/>
      <c r="Y131" s="1766"/>
      <c r="Z131" s="1766"/>
      <c r="AA131" s="1767"/>
      <c r="AB131" s="1766"/>
      <c r="AC131" s="1766"/>
      <c r="AD131" s="1766"/>
      <c r="AE131" s="1768"/>
      <c r="AF131" s="1799"/>
      <c r="AG131" s="1770"/>
      <c r="AH131" s="1771"/>
      <c r="AJ131" s="13"/>
    </row>
    <row r="132" spans="1:36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O132" s="7"/>
      <c r="R132" s="6"/>
      <c r="S132" s="1"/>
      <c r="T132" s="6"/>
      <c r="U132" s="1767"/>
      <c r="V132" s="1767"/>
      <c r="W132" s="1766"/>
      <c r="X132" s="1766"/>
      <c r="Y132" s="1766"/>
      <c r="Z132" s="1766"/>
      <c r="AA132" s="1767"/>
      <c r="AB132" s="1766"/>
      <c r="AC132" s="1766"/>
      <c r="AD132" s="1766"/>
      <c r="AE132" s="1768"/>
      <c r="AF132" s="1799"/>
      <c r="AG132" s="1770"/>
      <c r="AH132" s="1771"/>
      <c r="AJ132" s="13"/>
    </row>
    <row r="133" spans="1:36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O133" s="7"/>
      <c r="R133" s="6"/>
      <c r="S133" s="1"/>
      <c r="T133" s="6"/>
      <c r="U133" s="1767"/>
      <c r="V133" s="1767"/>
      <c r="W133" s="1766"/>
      <c r="X133" s="1766"/>
      <c r="Y133" s="1766"/>
      <c r="Z133" s="1766"/>
      <c r="AA133" s="1767"/>
      <c r="AB133" s="1766"/>
      <c r="AC133" s="1766"/>
      <c r="AD133" s="1766"/>
      <c r="AE133" s="1768"/>
      <c r="AF133" s="1799"/>
      <c r="AG133" s="1770"/>
      <c r="AH133" s="1771"/>
      <c r="AJ133" s="13"/>
    </row>
    <row r="134" spans="1:36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O134" s="7"/>
      <c r="R134" s="6"/>
      <c r="S134" s="1"/>
      <c r="T134" s="6"/>
      <c r="U134" s="1767"/>
      <c r="V134" s="1767"/>
      <c r="W134" s="1766"/>
      <c r="X134" s="1766"/>
      <c r="Y134" s="1766"/>
      <c r="Z134" s="1766"/>
      <c r="AA134" s="1767"/>
      <c r="AB134" s="1766"/>
      <c r="AC134" s="1766"/>
      <c r="AD134" s="1766"/>
      <c r="AE134" s="1768"/>
      <c r="AF134" s="1799"/>
      <c r="AG134" s="1770"/>
      <c r="AH134" s="1771"/>
      <c r="AJ134" s="13"/>
    </row>
    <row r="135" spans="1:36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O135" s="7"/>
      <c r="R135" s="6"/>
      <c r="S135" s="1"/>
      <c r="T135" s="6"/>
      <c r="U135" s="1767"/>
      <c r="V135" s="1767"/>
      <c r="W135" s="1766"/>
      <c r="X135" s="1766"/>
      <c r="Y135" s="1766"/>
      <c r="Z135" s="1766"/>
      <c r="AA135" s="1767"/>
      <c r="AB135" s="1766"/>
      <c r="AC135" s="1766"/>
      <c r="AD135" s="1766"/>
      <c r="AE135" s="1768"/>
      <c r="AF135" s="1799"/>
      <c r="AG135" s="1770"/>
      <c r="AH135" s="1771"/>
      <c r="AJ135" s="13"/>
    </row>
    <row r="136" spans="1:36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O136" s="7"/>
      <c r="R136" s="6"/>
      <c r="S136" s="1"/>
      <c r="T136" s="6"/>
      <c r="U136" s="1767"/>
      <c r="V136" s="1767"/>
      <c r="W136" s="1766"/>
      <c r="X136" s="1766"/>
      <c r="Y136" s="1766"/>
      <c r="Z136" s="1766"/>
      <c r="AA136" s="1767"/>
      <c r="AB136" s="1766"/>
      <c r="AC136" s="1766"/>
      <c r="AD136" s="1766"/>
      <c r="AE136" s="1768"/>
      <c r="AF136" s="1799"/>
      <c r="AG136" s="1770"/>
      <c r="AH136" s="1771"/>
      <c r="AJ136" s="13"/>
    </row>
    <row r="137" spans="1:36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O137" s="7"/>
      <c r="R137" s="6"/>
      <c r="S137" s="1"/>
      <c r="T137" s="6"/>
      <c r="U137" s="1767"/>
      <c r="V137" s="1767"/>
      <c r="W137" s="1766"/>
      <c r="X137" s="1766"/>
      <c r="Y137" s="1766"/>
      <c r="Z137" s="1766"/>
      <c r="AA137" s="1767"/>
      <c r="AB137" s="1766"/>
      <c r="AC137" s="1766"/>
      <c r="AD137" s="1766"/>
      <c r="AE137" s="1768"/>
      <c r="AF137" s="1799"/>
      <c r="AG137" s="1770"/>
      <c r="AH137" s="1771"/>
      <c r="AJ137" s="13"/>
    </row>
    <row r="138" spans="1:36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O138" s="7"/>
      <c r="R138" s="6"/>
      <c r="S138" s="1"/>
      <c r="T138" s="6"/>
      <c r="U138" s="1767"/>
      <c r="V138" s="1767"/>
      <c r="W138" s="1766"/>
      <c r="X138" s="1766"/>
      <c r="Y138" s="1766"/>
      <c r="Z138" s="1766"/>
      <c r="AA138" s="1767"/>
      <c r="AB138" s="1766"/>
      <c r="AC138" s="1766"/>
      <c r="AD138" s="1766"/>
      <c r="AE138" s="1768"/>
      <c r="AF138" s="1799"/>
      <c r="AG138" s="1770"/>
      <c r="AH138" s="1771"/>
      <c r="AJ138" s="13"/>
    </row>
    <row r="139" spans="1:36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O139" s="7"/>
      <c r="R139" s="6"/>
      <c r="S139" s="1"/>
      <c r="T139" s="6"/>
      <c r="U139" s="1767"/>
      <c r="V139" s="1767"/>
      <c r="W139" s="1766"/>
      <c r="X139" s="1766"/>
      <c r="Y139" s="1766"/>
      <c r="Z139" s="1766"/>
      <c r="AA139" s="1767"/>
      <c r="AB139" s="1766"/>
      <c r="AC139" s="1766"/>
      <c r="AD139" s="1766"/>
      <c r="AE139" s="1768"/>
      <c r="AF139" s="1799"/>
      <c r="AG139" s="1770"/>
      <c r="AH139" s="1771"/>
      <c r="AJ139" s="13"/>
    </row>
    <row r="140" spans="1:36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O140" s="7"/>
      <c r="R140" s="6"/>
      <c r="S140" s="1"/>
      <c r="T140" s="6"/>
      <c r="U140" s="1767"/>
      <c r="V140" s="1767"/>
      <c r="W140" s="1766"/>
      <c r="X140" s="1766"/>
      <c r="Y140" s="1766"/>
      <c r="Z140" s="1766"/>
      <c r="AA140" s="1767"/>
      <c r="AB140" s="1766"/>
      <c r="AC140" s="1766"/>
      <c r="AD140" s="1766"/>
      <c r="AE140" s="1768"/>
      <c r="AF140" s="1799"/>
      <c r="AG140" s="1770"/>
      <c r="AH140" s="1771"/>
      <c r="AJ140" s="13"/>
    </row>
    <row r="141" spans="1:36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O141" s="7"/>
      <c r="R141" s="6"/>
      <c r="S141" s="1"/>
      <c r="T141" s="6"/>
      <c r="U141" s="1767"/>
      <c r="V141" s="1767"/>
      <c r="W141" s="1766"/>
      <c r="X141" s="1766"/>
      <c r="Y141" s="1766"/>
      <c r="Z141" s="1766"/>
      <c r="AA141" s="1767"/>
      <c r="AB141" s="1766"/>
      <c r="AC141" s="1766"/>
      <c r="AD141" s="1766"/>
      <c r="AE141" s="1768"/>
      <c r="AF141" s="1799"/>
      <c r="AG141" s="1770"/>
      <c r="AH141" s="1771"/>
      <c r="AJ141" s="13"/>
    </row>
    <row r="142" spans="1:36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O142" s="7"/>
      <c r="R142" s="6"/>
      <c r="S142" s="1"/>
      <c r="T142" s="6"/>
      <c r="U142" s="1767"/>
      <c r="V142" s="1767"/>
      <c r="W142" s="1766"/>
      <c r="X142" s="1766"/>
      <c r="Y142" s="1766"/>
      <c r="Z142" s="1766"/>
      <c r="AA142" s="1767"/>
      <c r="AB142" s="1766"/>
      <c r="AC142" s="1766"/>
      <c r="AD142" s="1766"/>
      <c r="AE142" s="1768"/>
      <c r="AF142" s="1799"/>
      <c r="AG142" s="1770"/>
      <c r="AH142" s="1771"/>
      <c r="AJ142" s="13"/>
    </row>
    <row r="143" spans="1:36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O143" s="7"/>
      <c r="R143" s="6"/>
      <c r="S143" s="1"/>
      <c r="T143" s="6"/>
      <c r="U143" s="1767"/>
      <c r="V143" s="1767"/>
      <c r="W143" s="1766"/>
      <c r="X143" s="1766"/>
      <c r="Y143" s="1766"/>
      <c r="Z143" s="1766"/>
      <c r="AA143" s="1767"/>
      <c r="AB143" s="1766"/>
      <c r="AC143" s="1766"/>
      <c r="AD143" s="1766"/>
      <c r="AE143" s="1768"/>
      <c r="AF143" s="1799"/>
      <c r="AG143" s="1770"/>
      <c r="AH143" s="1771"/>
      <c r="AJ143" s="13"/>
    </row>
    <row r="144" spans="1:36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O144" s="7"/>
      <c r="R144" s="6"/>
      <c r="S144" s="1"/>
      <c r="T144" s="6"/>
      <c r="U144" s="1767"/>
      <c r="V144" s="1767"/>
      <c r="W144" s="1766"/>
      <c r="X144" s="1766"/>
      <c r="Y144" s="1766"/>
      <c r="Z144" s="1766"/>
      <c r="AA144" s="1767"/>
      <c r="AB144" s="1766"/>
      <c r="AC144" s="1766"/>
      <c r="AD144" s="1766"/>
      <c r="AE144" s="1768"/>
      <c r="AF144" s="1799"/>
      <c r="AG144" s="1770"/>
      <c r="AH144" s="1771"/>
      <c r="AJ144" s="13"/>
    </row>
    <row r="145" spans="1:36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O145" s="7"/>
      <c r="R145" s="6"/>
      <c r="S145" s="1"/>
      <c r="T145" s="6"/>
      <c r="U145" s="1767"/>
      <c r="V145" s="1767"/>
      <c r="W145" s="1766"/>
      <c r="X145" s="1766"/>
      <c r="Y145" s="1766"/>
      <c r="Z145" s="1766"/>
      <c r="AA145" s="1767"/>
      <c r="AB145" s="1766"/>
      <c r="AC145" s="1766"/>
      <c r="AD145" s="1766"/>
      <c r="AE145" s="1768"/>
      <c r="AF145" s="1799"/>
      <c r="AG145" s="1770"/>
      <c r="AH145" s="1771"/>
      <c r="AJ145" s="13"/>
    </row>
    <row r="146" spans="1:36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O146" s="7"/>
      <c r="R146" s="6"/>
      <c r="S146" s="1"/>
      <c r="T146" s="6"/>
      <c r="U146" s="1767"/>
      <c r="V146" s="1767"/>
      <c r="W146" s="1766"/>
      <c r="X146" s="1766"/>
      <c r="Y146" s="1766"/>
      <c r="Z146" s="1766"/>
      <c r="AA146" s="1767"/>
      <c r="AB146" s="1766"/>
      <c r="AC146" s="1766"/>
      <c r="AD146" s="1766"/>
      <c r="AE146" s="1768"/>
      <c r="AF146" s="1799"/>
      <c r="AG146" s="1770"/>
      <c r="AH146" s="1771"/>
      <c r="AJ146" s="13"/>
    </row>
    <row r="147" spans="1:36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O147" s="7"/>
      <c r="R147" s="6"/>
      <c r="S147" s="1"/>
      <c r="T147" s="6"/>
      <c r="U147" s="1767"/>
      <c r="V147" s="1767"/>
      <c r="W147" s="1766"/>
      <c r="X147" s="1766"/>
      <c r="Y147" s="1766"/>
      <c r="Z147" s="1766"/>
      <c r="AA147" s="1767"/>
      <c r="AB147" s="1766"/>
      <c r="AC147" s="1766"/>
      <c r="AD147" s="1766"/>
      <c r="AE147" s="1768"/>
      <c r="AF147" s="1799"/>
      <c r="AG147" s="1770"/>
      <c r="AH147" s="1771"/>
      <c r="AJ147" s="13"/>
    </row>
    <row r="148" spans="1:36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O148" s="7"/>
      <c r="R148" s="6"/>
      <c r="S148" s="1"/>
      <c r="T148" s="6"/>
      <c r="U148" s="1767"/>
      <c r="V148" s="1767"/>
      <c r="W148" s="1766"/>
      <c r="X148" s="1766"/>
      <c r="Y148" s="1766"/>
      <c r="Z148" s="1766"/>
      <c r="AA148" s="1767"/>
      <c r="AB148" s="1766"/>
      <c r="AC148" s="1766"/>
      <c r="AD148" s="1766"/>
      <c r="AE148" s="1768"/>
      <c r="AF148" s="1799"/>
      <c r="AG148" s="1770"/>
      <c r="AH148" s="1771"/>
      <c r="AJ148" s="13"/>
    </row>
    <row r="149" spans="1:36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O149" s="7"/>
      <c r="R149" s="6"/>
      <c r="S149" s="1"/>
      <c r="T149" s="6"/>
      <c r="U149" s="1767"/>
      <c r="V149" s="1767"/>
      <c r="W149" s="1766"/>
      <c r="X149" s="1766"/>
      <c r="Y149" s="1766"/>
      <c r="Z149" s="1766"/>
      <c r="AA149" s="1767"/>
      <c r="AB149" s="1766"/>
      <c r="AC149" s="1766"/>
      <c r="AD149" s="1766"/>
      <c r="AE149" s="1768"/>
      <c r="AF149" s="1799"/>
      <c r="AG149" s="1770"/>
      <c r="AH149" s="1771"/>
      <c r="AJ149" s="13"/>
    </row>
    <row r="150" spans="1:36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O150" s="7"/>
      <c r="R150" s="6"/>
      <c r="S150" s="1"/>
      <c r="T150" s="6"/>
      <c r="U150" s="1767"/>
      <c r="V150" s="1767"/>
      <c r="W150" s="1766"/>
      <c r="X150" s="1766"/>
      <c r="Y150" s="1766"/>
      <c r="Z150" s="1766"/>
      <c r="AA150" s="1767"/>
      <c r="AB150" s="1766"/>
      <c r="AC150" s="1766"/>
      <c r="AD150" s="1766"/>
      <c r="AE150" s="1768"/>
      <c r="AF150" s="1799"/>
      <c r="AG150" s="1770"/>
      <c r="AH150" s="1771"/>
      <c r="AJ150" s="13"/>
    </row>
    <row r="151" spans="1:36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O151" s="7"/>
      <c r="R151" s="6"/>
      <c r="S151" s="1"/>
      <c r="T151" s="6"/>
      <c r="U151" s="1767"/>
      <c r="V151" s="1767"/>
      <c r="W151" s="1766"/>
      <c r="X151" s="1766"/>
      <c r="Y151" s="1766"/>
      <c r="Z151" s="1766"/>
      <c r="AA151" s="1767"/>
      <c r="AB151" s="1766"/>
      <c r="AC151" s="1766"/>
      <c r="AD151" s="1766"/>
      <c r="AE151" s="1768"/>
      <c r="AF151" s="1799"/>
      <c r="AG151" s="1770"/>
      <c r="AH151" s="1771"/>
      <c r="AJ151" s="13"/>
    </row>
    <row r="152" spans="1:36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O152" s="7"/>
      <c r="R152" s="6"/>
      <c r="S152" s="1"/>
      <c r="T152" s="6"/>
      <c r="U152" s="1767"/>
      <c r="V152" s="1767"/>
      <c r="W152" s="1766"/>
      <c r="X152" s="1766"/>
      <c r="Y152" s="1766"/>
      <c r="Z152" s="1766"/>
      <c r="AA152" s="1767"/>
      <c r="AB152" s="1766"/>
      <c r="AC152" s="1766"/>
      <c r="AD152" s="1766"/>
      <c r="AE152" s="1768"/>
      <c r="AF152" s="1799"/>
      <c r="AG152" s="1770"/>
      <c r="AH152" s="1771"/>
      <c r="AJ152" s="13"/>
    </row>
    <row r="153" spans="1:36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O153" s="7"/>
      <c r="R153" s="6"/>
      <c r="S153" s="1"/>
      <c r="T153" s="6"/>
      <c r="U153" s="1767"/>
      <c r="V153" s="1767"/>
      <c r="W153" s="1766"/>
      <c r="X153" s="1766"/>
      <c r="Y153" s="1766"/>
      <c r="Z153" s="1766"/>
      <c r="AA153" s="1767"/>
      <c r="AB153" s="1766"/>
      <c r="AC153" s="1766"/>
      <c r="AD153" s="1766"/>
      <c r="AE153" s="1768"/>
      <c r="AF153" s="1799"/>
      <c r="AG153" s="1770"/>
      <c r="AH153" s="1771"/>
      <c r="AJ153" s="13"/>
    </row>
    <row r="154" spans="1:36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O154" s="7"/>
      <c r="R154" s="6"/>
      <c r="S154" s="1"/>
      <c r="T154" s="6"/>
      <c r="U154" s="1767"/>
      <c r="V154" s="1767"/>
      <c r="W154" s="1766"/>
      <c r="X154" s="1766"/>
      <c r="Y154" s="1766"/>
      <c r="Z154" s="1766"/>
      <c r="AA154" s="1767"/>
      <c r="AB154" s="1766"/>
      <c r="AC154" s="1766"/>
      <c r="AD154" s="1766"/>
      <c r="AE154" s="1768"/>
      <c r="AF154" s="1799"/>
      <c r="AG154" s="1770"/>
      <c r="AH154" s="1771"/>
      <c r="AJ154" s="13"/>
    </row>
    <row r="155" spans="1:36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O155" s="7"/>
      <c r="R155" s="6"/>
      <c r="S155" s="1"/>
      <c r="T155" s="6"/>
      <c r="U155" s="1767"/>
      <c r="V155" s="1767"/>
      <c r="W155" s="1766"/>
      <c r="X155" s="1766"/>
      <c r="Y155" s="1766"/>
      <c r="Z155" s="1766"/>
      <c r="AA155" s="1767"/>
      <c r="AB155" s="1766"/>
      <c r="AC155" s="1766"/>
      <c r="AD155" s="1766"/>
      <c r="AE155" s="1768"/>
      <c r="AF155" s="1799"/>
      <c r="AG155" s="1770"/>
      <c r="AH155" s="1771"/>
      <c r="AJ155" s="13"/>
    </row>
    <row r="156" spans="1:36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O156" s="7"/>
      <c r="R156" s="6"/>
      <c r="S156" s="1"/>
      <c r="T156" s="6"/>
      <c r="U156" s="1767"/>
      <c r="V156" s="1767"/>
      <c r="W156" s="1766"/>
      <c r="X156" s="1766"/>
      <c r="Y156" s="1766"/>
      <c r="Z156" s="1766"/>
      <c r="AA156" s="1767"/>
      <c r="AB156" s="1766"/>
      <c r="AC156" s="1766"/>
      <c r="AD156" s="1766"/>
      <c r="AE156" s="1768"/>
      <c r="AF156" s="1799"/>
      <c r="AG156" s="1770"/>
      <c r="AH156" s="1771"/>
      <c r="AJ156" s="13"/>
    </row>
    <row r="157" spans="1:36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O157" s="7"/>
      <c r="R157" s="6"/>
      <c r="S157" s="1"/>
      <c r="T157" s="6"/>
      <c r="U157" s="1767"/>
      <c r="V157" s="1767"/>
      <c r="W157" s="1766"/>
      <c r="X157" s="1766"/>
      <c r="Y157" s="1766"/>
      <c r="Z157" s="1766"/>
      <c r="AA157" s="1767"/>
      <c r="AB157" s="1766"/>
      <c r="AC157" s="1766"/>
      <c r="AD157" s="1766"/>
      <c r="AE157" s="1768"/>
      <c r="AF157" s="1799"/>
      <c r="AG157" s="1770"/>
      <c r="AH157" s="1771"/>
      <c r="AJ157" s="13"/>
    </row>
    <row r="158" spans="1:36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O158" s="7"/>
      <c r="R158" s="6"/>
      <c r="S158" s="1"/>
      <c r="T158" s="6"/>
      <c r="U158" s="1767"/>
      <c r="V158" s="1767"/>
      <c r="W158" s="1766"/>
      <c r="X158" s="1766"/>
      <c r="Y158" s="1766"/>
      <c r="Z158" s="1766"/>
      <c r="AA158" s="1767"/>
      <c r="AB158" s="1766"/>
      <c r="AC158" s="1766"/>
      <c r="AD158" s="1766"/>
      <c r="AE158" s="1768"/>
      <c r="AF158" s="1799"/>
      <c r="AG158" s="1770"/>
      <c r="AH158" s="1771"/>
      <c r="AJ158" s="13"/>
    </row>
    <row r="159" spans="1:36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O159" s="7"/>
      <c r="R159" s="6"/>
      <c r="S159" s="1"/>
      <c r="T159" s="6"/>
      <c r="U159" s="1767"/>
      <c r="V159" s="1767"/>
      <c r="W159" s="1766"/>
      <c r="X159" s="1766"/>
      <c r="Y159" s="1766"/>
      <c r="Z159" s="1766"/>
      <c r="AA159" s="1767"/>
      <c r="AB159" s="1766"/>
      <c r="AC159" s="1766"/>
      <c r="AD159" s="1766"/>
      <c r="AE159" s="1768"/>
      <c r="AF159" s="1799"/>
      <c r="AG159" s="1770"/>
      <c r="AH159" s="1771"/>
      <c r="AJ159" s="13"/>
    </row>
    <row r="160" spans="1:36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O160" s="7"/>
      <c r="R160" s="6"/>
      <c r="S160" s="1"/>
      <c r="T160" s="6"/>
      <c r="U160" s="1767"/>
      <c r="V160" s="1767"/>
      <c r="W160" s="1766"/>
      <c r="X160" s="1766"/>
      <c r="Y160" s="1766"/>
      <c r="Z160" s="1766"/>
      <c r="AA160" s="1767"/>
      <c r="AB160" s="1766"/>
      <c r="AC160" s="1766"/>
      <c r="AD160" s="1766"/>
      <c r="AE160" s="1768"/>
      <c r="AF160" s="1799"/>
      <c r="AG160" s="1770"/>
      <c r="AH160" s="1771"/>
      <c r="AJ160" s="13"/>
    </row>
    <row r="161" spans="1:36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O161" s="7"/>
      <c r="R161" s="6"/>
      <c r="S161" s="1"/>
      <c r="T161" s="6"/>
      <c r="U161" s="1767"/>
      <c r="V161" s="1767"/>
      <c r="W161" s="1766"/>
      <c r="X161" s="1766"/>
      <c r="Y161" s="1766"/>
      <c r="Z161" s="1766"/>
      <c r="AA161" s="1767"/>
      <c r="AB161" s="1766"/>
      <c r="AC161" s="1766"/>
      <c r="AD161" s="1766"/>
      <c r="AE161" s="1768"/>
      <c r="AF161" s="1799"/>
      <c r="AG161" s="1770"/>
      <c r="AH161" s="1771"/>
      <c r="AJ161" s="13"/>
    </row>
    <row r="162" spans="1:36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O162" s="7"/>
      <c r="R162" s="6"/>
      <c r="S162" s="1"/>
      <c r="T162" s="6"/>
      <c r="U162" s="1767"/>
      <c r="V162" s="1767"/>
      <c r="W162" s="1766"/>
      <c r="X162" s="1766"/>
      <c r="Y162" s="1766"/>
      <c r="Z162" s="1766"/>
      <c r="AA162" s="1767"/>
      <c r="AB162" s="1766"/>
      <c r="AC162" s="1766"/>
      <c r="AD162" s="1766"/>
      <c r="AE162" s="1768"/>
      <c r="AF162" s="1799"/>
      <c r="AG162" s="1770"/>
      <c r="AH162" s="1771"/>
      <c r="AJ162" s="13"/>
    </row>
    <row r="163" spans="1:36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O163" s="7"/>
      <c r="R163" s="6"/>
      <c r="S163" s="1"/>
      <c r="T163" s="6"/>
      <c r="U163" s="1767"/>
      <c r="V163" s="1767"/>
      <c r="W163" s="1766"/>
      <c r="X163" s="1766"/>
      <c r="Y163" s="1766"/>
      <c r="Z163" s="1766"/>
      <c r="AA163" s="1767"/>
      <c r="AB163" s="1766"/>
      <c r="AC163" s="1766"/>
      <c r="AD163" s="1766"/>
      <c r="AE163" s="1768"/>
      <c r="AF163" s="1799"/>
      <c r="AG163" s="1770"/>
      <c r="AH163" s="1771"/>
      <c r="AJ163" s="13"/>
    </row>
    <row r="164" spans="1:36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O164" s="7"/>
      <c r="R164" s="6"/>
      <c r="S164" s="1"/>
      <c r="T164" s="6"/>
      <c r="U164" s="1767"/>
      <c r="V164" s="1767"/>
      <c r="W164" s="1766"/>
      <c r="X164" s="1766"/>
      <c r="Y164" s="1766"/>
      <c r="Z164" s="1766"/>
      <c r="AA164" s="1767"/>
      <c r="AB164" s="1766"/>
      <c r="AC164" s="1766"/>
      <c r="AD164" s="1766"/>
      <c r="AE164" s="1768"/>
      <c r="AF164" s="1799"/>
      <c r="AG164" s="1770"/>
      <c r="AH164" s="1771"/>
      <c r="AJ164" s="13"/>
    </row>
    <row r="165" spans="1:36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O165" s="7"/>
      <c r="R165" s="6"/>
      <c r="S165" s="1"/>
      <c r="T165" s="6"/>
      <c r="U165" s="1767"/>
      <c r="V165" s="1767"/>
      <c r="W165" s="1766"/>
      <c r="X165" s="1766"/>
      <c r="Y165" s="1766"/>
      <c r="Z165" s="1766"/>
      <c r="AA165" s="1767"/>
      <c r="AB165" s="1766"/>
      <c r="AC165" s="1766"/>
      <c r="AD165" s="1766"/>
      <c r="AE165" s="1768"/>
      <c r="AF165" s="1799"/>
      <c r="AG165" s="1770"/>
      <c r="AH165" s="1771"/>
      <c r="AJ165" s="13"/>
    </row>
    <row r="166" spans="1:36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O166" s="7"/>
      <c r="R166" s="6"/>
      <c r="S166" s="1"/>
      <c r="T166" s="6"/>
      <c r="U166" s="1767"/>
      <c r="V166" s="1767"/>
      <c r="W166" s="1766"/>
      <c r="X166" s="1766"/>
      <c r="Y166" s="1766"/>
      <c r="Z166" s="1766"/>
      <c r="AA166" s="1767"/>
      <c r="AB166" s="1766"/>
      <c r="AC166" s="1766"/>
      <c r="AD166" s="1766"/>
      <c r="AE166" s="1768"/>
      <c r="AF166" s="1799"/>
      <c r="AG166" s="1770"/>
      <c r="AH166" s="1771"/>
      <c r="AJ166" s="13"/>
    </row>
    <row r="167" spans="1:36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O167" s="7"/>
      <c r="R167" s="6"/>
      <c r="S167" s="1"/>
      <c r="T167" s="6"/>
      <c r="U167" s="1767"/>
      <c r="V167" s="1767"/>
      <c r="W167" s="1766"/>
      <c r="X167" s="1766"/>
      <c r="Y167" s="1766"/>
      <c r="Z167" s="1766"/>
      <c r="AA167" s="1767"/>
      <c r="AB167" s="1766"/>
      <c r="AC167" s="1766"/>
      <c r="AD167" s="1766"/>
      <c r="AE167" s="1768"/>
      <c r="AF167" s="1799"/>
      <c r="AG167" s="1770"/>
      <c r="AH167" s="1771"/>
      <c r="AJ167" s="13"/>
    </row>
    <row r="168" spans="1:36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O168" s="7"/>
      <c r="R168" s="6"/>
      <c r="S168" s="1"/>
      <c r="T168" s="6"/>
      <c r="U168" s="1767"/>
      <c r="V168" s="1767"/>
      <c r="W168" s="1766"/>
      <c r="X168" s="1766"/>
      <c r="Y168" s="1766"/>
      <c r="Z168" s="1766"/>
      <c r="AA168" s="1767"/>
      <c r="AB168" s="1766"/>
      <c r="AC168" s="1766"/>
      <c r="AD168" s="1766"/>
      <c r="AE168" s="1768"/>
      <c r="AF168" s="1799"/>
      <c r="AG168" s="1770"/>
      <c r="AH168" s="1771"/>
      <c r="AJ168" s="13"/>
    </row>
    <row r="169" spans="1:36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O169" s="7"/>
      <c r="R169" s="6"/>
      <c r="S169" s="1"/>
      <c r="T169" s="6"/>
      <c r="U169" s="1767"/>
      <c r="V169" s="1767"/>
      <c r="W169" s="1766"/>
      <c r="X169" s="1766"/>
      <c r="Y169" s="1766"/>
      <c r="Z169" s="1766"/>
      <c r="AA169" s="1767"/>
      <c r="AB169" s="1766"/>
      <c r="AC169" s="1766"/>
      <c r="AD169" s="1766"/>
      <c r="AE169" s="1768"/>
      <c r="AF169" s="1799"/>
      <c r="AG169" s="1770"/>
      <c r="AH169" s="1771"/>
      <c r="AJ169" s="13"/>
    </row>
    <row r="170" spans="1:36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O170" s="7"/>
      <c r="R170" s="6"/>
      <c r="S170" s="1"/>
      <c r="T170" s="6"/>
      <c r="U170" s="1767"/>
      <c r="V170" s="1767"/>
      <c r="W170" s="1766"/>
      <c r="X170" s="1766"/>
      <c r="Y170" s="1766"/>
      <c r="Z170" s="1766"/>
      <c r="AA170" s="1767"/>
      <c r="AB170" s="1766"/>
      <c r="AC170" s="1766"/>
      <c r="AD170" s="1766"/>
      <c r="AE170" s="1768"/>
      <c r="AF170" s="1799"/>
      <c r="AG170" s="1770"/>
      <c r="AH170" s="1771"/>
      <c r="AJ170" s="13"/>
    </row>
    <row r="171" spans="1:36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O171" s="7"/>
      <c r="R171" s="6"/>
      <c r="S171" s="1"/>
      <c r="T171" s="6"/>
      <c r="U171" s="1767"/>
      <c r="V171" s="1767"/>
      <c r="W171" s="1766"/>
      <c r="X171" s="1766"/>
      <c r="Y171" s="1766"/>
      <c r="Z171" s="1766"/>
      <c r="AA171" s="1767"/>
      <c r="AB171" s="1766"/>
      <c r="AC171" s="1766"/>
      <c r="AD171" s="1766"/>
      <c r="AE171" s="1768"/>
      <c r="AF171" s="1799"/>
      <c r="AG171" s="1770"/>
      <c r="AH171" s="1771"/>
      <c r="AJ171" s="13"/>
    </row>
    <row r="172" spans="1:36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O172" s="7"/>
      <c r="R172" s="6"/>
      <c r="S172" s="1"/>
      <c r="T172" s="6"/>
      <c r="U172" s="1767"/>
      <c r="V172" s="1767"/>
      <c r="W172" s="1766"/>
      <c r="X172" s="1766"/>
      <c r="Y172" s="1766"/>
      <c r="Z172" s="1766"/>
      <c r="AA172" s="1767"/>
      <c r="AB172" s="1766"/>
      <c r="AC172" s="1766"/>
      <c r="AD172" s="1766"/>
      <c r="AE172" s="1768"/>
      <c r="AF172" s="1799"/>
      <c r="AG172" s="1770"/>
      <c r="AH172" s="1771"/>
      <c r="AJ172" s="13"/>
    </row>
    <row r="173" spans="1:36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O173" s="7"/>
      <c r="R173" s="6"/>
      <c r="S173" s="1"/>
      <c r="T173" s="6"/>
      <c r="U173" s="1767"/>
      <c r="V173" s="1767"/>
      <c r="W173" s="1766"/>
      <c r="X173" s="1766"/>
      <c r="Y173" s="1766"/>
      <c r="Z173" s="1766"/>
      <c r="AA173" s="1767"/>
      <c r="AB173" s="1766"/>
      <c r="AC173" s="1766"/>
      <c r="AD173" s="1766"/>
      <c r="AE173" s="1768"/>
      <c r="AF173" s="1799"/>
      <c r="AG173" s="1770"/>
      <c r="AH173" s="1771"/>
      <c r="AJ173" s="13"/>
    </row>
    <row r="174" spans="1:36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O174" s="7"/>
      <c r="R174" s="6"/>
      <c r="S174" s="1"/>
      <c r="T174" s="6"/>
      <c r="U174" s="1767"/>
      <c r="V174" s="1767"/>
      <c r="W174" s="1766"/>
      <c r="X174" s="1766"/>
      <c r="Y174" s="1766"/>
      <c r="Z174" s="1766"/>
      <c r="AA174" s="1767"/>
      <c r="AB174" s="1766"/>
      <c r="AC174" s="1766"/>
      <c r="AD174" s="1766"/>
      <c r="AE174" s="1768"/>
      <c r="AF174" s="1799"/>
      <c r="AG174" s="1770"/>
      <c r="AH174" s="1771"/>
      <c r="AJ174" s="13"/>
    </row>
    <row r="175" spans="1:36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O175" s="7"/>
      <c r="R175" s="6"/>
      <c r="S175" s="1"/>
      <c r="T175" s="6"/>
      <c r="U175" s="1767"/>
      <c r="V175" s="1767"/>
      <c r="W175" s="1766"/>
      <c r="X175" s="1766"/>
      <c r="Y175" s="1766"/>
      <c r="Z175" s="1766"/>
      <c r="AA175" s="1767"/>
      <c r="AB175" s="1766"/>
      <c r="AC175" s="1766"/>
      <c r="AD175" s="1766"/>
      <c r="AE175" s="1768"/>
      <c r="AF175" s="1799"/>
      <c r="AG175" s="1770"/>
      <c r="AH175" s="1771"/>
      <c r="AJ175" s="13"/>
    </row>
    <row r="176" spans="1:36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O176" s="7"/>
      <c r="R176" s="6"/>
      <c r="S176" s="1"/>
      <c r="T176" s="6"/>
      <c r="U176" s="1767"/>
      <c r="V176" s="1767"/>
      <c r="W176" s="1766"/>
      <c r="X176" s="1766"/>
      <c r="Y176" s="1766"/>
      <c r="Z176" s="1766"/>
      <c r="AA176" s="1767"/>
      <c r="AB176" s="1766"/>
      <c r="AC176" s="1766"/>
      <c r="AD176" s="1766"/>
      <c r="AE176" s="1768"/>
      <c r="AF176" s="1799"/>
      <c r="AG176" s="1770"/>
      <c r="AH176" s="1771"/>
      <c r="AJ176" s="13"/>
    </row>
    <row r="177" spans="1:36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O177" s="7"/>
      <c r="R177" s="6"/>
      <c r="S177" s="1"/>
      <c r="T177" s="6"/>
      <c r="U177" s="1767"/>
      <c r="V177" s="1767"/>
      <c r="W177" s="1766"/>
      <c r="X177" s="1766"/>
      <c r="Y177" s="1766"/>
      <c r="Z177" s="1766"/>
      <c r="AA177" s="1767"/>
      <c r="AB177" s="1766"/>
      <c r="AC177" s="1766"/>
      <c r="AD177" s="1766"/>
      <c r="AE177" s="1768"/>
      <c r="AF177" s="1799"/>
      <c r="AG177" s="1770"/>
      <c r="AH177" s="1771"/>
      <c r="AJ177" s="13"/>
    </row>
    <row r="178" spans="1:36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O178" s="7"/>
      <c r="R178" s="6"/>
      <c r="S178" s="1"/>
      <c r="T178" s="6"/>
      <c r="U178" s="1767"/>
      <c r="V178" s="1767"/>
      <c r="W178" s="1766"/>
      <c r="X178" s="1766"/>
      <c r="Y178" s="1766"/>
      <c r="Z178" s="1766"/>
      <c r="AA178" s="1767"/>
      <c r="AB178" s="1766"/>
      <c r="AC178" s="1766"/>
      <c r="AD178" s="1766"/>
      <c r="AE178" s="1768"/>
      <c r="AF178" s="1799"/>
      <c r="AG178" s="1770"/>
      <c r="AH178" s="1771"/>
      <c r="AJ178" s="13"/>
    </row>
    <row r="179" spans="1:36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O179" s="7"/>
      <c r="R179" s="6"/>
      <c r="S179" s="1"/>
      <c r="T179" s="6"/>
      <c r="U179" s="1767"/>
      <c r="V179" s="1767"/>
      <c r="W179" s="1766"/>
      <c r="X179" s="1766"/>
      <c r="Y179" s="1766"/>
      <c r="Z179" s="1766"/>
      <c r="AA179" s="1767"/>
      <c r="AB179" s="1766"/>
      <c r="AC179" s="1766"/>
      <c r="AD179" s="1766"/>
      <c r="AE179" s="1768"/>
      <c r="AF179" s="1799"/>
      <c r="AG179" s="1770"/>
      <c r="AH179" s="1771"/>
      <c r="AJ179" s="13"/>
    </row>
    <row r="180" spans="1:36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O180" s="7"/>
      <c r="R180" s="6"/>
      <c r="S180" s="1"/>
      <c r="T180" s="6"/>
      <c r="U180" s="1767"/>
      <c r="V180" s="1767"/>
      <c r="W180" s="1766"/>
      <c r="X180" s="1766"/>
      <c r="Y180" s="1766"/>
      <c r="Z180" s="1766"/>
      <c r="AA180" s="1767"/>
      <c r="AB180" s="1766"/>
      <c r="AC180" s="1766"/>
      <c r="AD180" s="1766"/>
      <c r="AE180" s="1768"/>
      <c r="AF180" s="1799"/>
      <c r="AG180" s="1770"/>
      <c r="AH180" s="1771"/>
      <c r="AJ180" s="13"/>
    </row>
    <row r="181" spans="1:36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O181" s="7"/>
      <c r="R181" s="6"/>
      <c r="S181" s="1"/>
      <c r="T181" s="6"/>
      <c r="U181" s="1767"/>
      <c r="V181" s="1767"/>
      <c r="W181" s="1766"/>
      <c r="X181" s="1766"/>
      <c r="Y181" s="1766"/>
      <c r="Z181" s="1766"/>
      <c r="AA181" s="1767"/>
      <c r="AB181" s="1766"/>
      <c r="AC181" s="1766"/>
      <c r="AD181" s="1766"/>
      <c r="AE181" s="1768"/>
      <c r="AF181" s="1799"/>
      <c r="AG181" s="1770"/>
      <c r="AH181" s="1771"/>
      <c r="AJ181" s="13"/>
    </row>
    <row r="182" spans="1:36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O182" s="7"/>
      <c r="R182" s="6"/>
      <c r="S182" s="1"/>
      <c r="T182" s="6"/>
      <c r="U182" s="1767"/>
      <c r="V182" s="1767"/>
      <c r="W182" s="1766"/>
      <c r="X182" s="1766"/>
      <c r="Y182" s="1766"/>
      <c r="Z182" s="1766"/>
      <c r="AA182" s="1767"/>
      <c r="AB182" s="1766"/>
      <c r="AC182" s="1766"/>
      <c r="AD182" s="1766"/>
      <c r="AE182" s="1768"/>
      <c r="AF182" s="1799"/>
      <c r="AG182" s="1770"/>
      <c r="AH182" s="1771"/>
      <c r="AJ182" s="13"/>
    </row>
    <row r="183" spans="1:36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O183" s="7"/>
      <c r="R183" s="6"/>
      <c r="S183" s="1"/>
      <c r="T183" s="6"/>
      <c r="U183" s="1767"/>
      <c r="V183" s="1767"/>
      <c r="W183" s="1766"/>
      <c r="X183" s="1766"/>
      <c r="Y183" s="1766"/>
      <c r="Z183" s="1766"/>
      <c r="AA183" s="1767"/>
      <c r="AB183" s="1766"/>
      <c r="AC183" s="1766"/>
      <c r="AD183" s="1766"/>
      <c r="AE183" s="1768"/>
      <c r="AF183" s="1799"/>
      <c r="AG183" s="1770"/>
      <c r="AH183" s="1771"/>
      <c r="AJ183" s="13"/>
    </row>
    <row r="184" spans="1:36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O184" s="7"/>
      <c r="R184" s="6"/>
      <c r="S184" s="1"/>
      <c r="T184" s="6"/>
      <c r="U184" s="1767"/>
      <c r="V184" s="1767"/>
      <c r="W184" s="1766"/>
      <c r="X184" s="1766"/>
      <c r="Y184" s="1766"/>
      <c r="Z184" s="1766"/>
      <c r="AA184" s="1767"/>
      <c r="AB184" s="1766"/>
      <c r="AC184" s="1766"/>
      <c r="AD184" s="1766"/>
      <c r="AE184" s="1768"/>
      <c r="AF184" s="1799"/>
      <c r="AG184" s="1770"/>
      <c r="AH184" s="1771"/>
      <c r="AJ184" s="13"/>
    </row>
    <row r="185" spans="1:36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O185" s="7"/>
      <c r="R185" s="6"/>
      <c r="S185" s="1"/>
      <c r="T185" s="6"/>
      <c r="U185" s="1767"/>
      <c r="V185" s="1767"/>
      <c r="W185" s="1766"/>
      <c r="X185" s="1766"/>
      <c r="Y185" s="1766"/>
      <c r="Z185" s="1766"/>
      <c r="AA185" s="1767"/>
      <c r="AB185" s="1766"/>
      <c r="AC185" s="1766"/>
      <c r="AD185" s="1766"/>
      <c r="AE185" s="1768"/>
      <c r="AF185" s="1799"/>
      <c r="AG185" s="1770"/>
      <c r="AH185" s="1771"/>
      <c r="AJ185" s="13"/>
    </row>
    <row r="186" spans="1:36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O186" s="7"/>
      <c r="R186" s="6"/>
      <c r="S186" s="1"/>
      <c r="T186" s="6"/>
      <c r="U186" s="1767"/>
      <c r="V186" s="1767"/>
      <c r="W186" s="1766"/>
      <c r="X186" s="1766"/>
      <c r="Y186" s="1766"/>
      <c r="Z186" s="1766"/>
      <c r="AA186" s="1767"/>
      <c r="AB186" s="1766"/>
      <c r="AC186" s="1766"/>
      <c r="AD186" s="1766"/>
      <c r="AE186" s="1768"/>
      <c r="AF186" s="1799"/>
      <c r="AG186" s="1770"/>
      <c r="AH186" s="1771"/>
      <c r="AJ186" s="13"/>
    </row>
    <row r="187" spans="1:36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O187" s="7"/>
      <c r="R187" s="6"/>
      <c r="S187" s="1"/>
      <c r="T187" s="6"/>
      <c r="U187" s="1767"/>
      <c r="V187" s="1767"/>
      <c r="W187" s="1766"/>
      <c r="X187" s="1766"/>
      <c r="Y187" s="1766"/>
      <c r="Z187" s="1766"/>
      <c r="AA187" s="1767"/>
      <c r="AB187" s="1766"/>
      <c r="AC187" s="1766"/>
      <c r="AD187" s="1766"/>
      <c r="AE187" s="1768"/>
      <c r="AF187" s="1799"/>
      <c r="AG187" s="1770"/>
      <c r="AH187" s="1771"/>
      <c r="AJ187" s="13"/>
    </row>
    <row r="188" spans="1:36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O188" s="7"/>
      <c r="R188" s="6"/>
      <c r="S188" s="1"/>
      <c r="T188" s="6"/>
      <c r="U188" s="1767"/>
      <c r="V188" s="1767"/>
      <c r="W188" s="1766"/>
      <c r="X188" s="1766"/>
      <c r="Y188" s="1766"/>
      <c r="Z188" s="1766"/>
      <c r="AA188" s="1767"/>
      <c r="AB188" s="1766"/>
      <c r="AC188" s="1766"/>
      <c r="AD188" s="1766"/>
      <c r="AE188" s="1768"/>
      <c r="AF188" s="1799"/>
      <c r="AG188" s="1770"/>
      <c r="AH188" s="1771"/>
      <c r="AJ188" s="13"/>
    </row>
    <row r="189" spans="1:36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O189" s="7"/>
      <c r="R189" s="6"/>
      <c r="S189" s="1"/>
      <c r="T189" s="6"/>
      <c r="U189" s="1767"/>
      <c r="V189" s="1767"/>
      <c r="W189" s="1766"/>
      <c r="X189" s="1766"/>
      <c r="Y189" s="1766"/>
      <c r="Z189" s="1766"/>
      <c r="AA189" s="1767"/>
      <c r="AB189" s="1766"/>
      <c r="AC189" s="1766"/>
      <c r="AD189" s="1766"/>
      <c r="AE189" s="1768"/>
      <c r="AF189" s="1799"/>
      <c r="AG189" s="1770"/>
      <c r="AH189" s="1771"/>
      <c r="AJ189" s="13"/>
    </row>
    <row r="190" spans="1:36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O190" s="7"/>
      <c r="R190" s="6"/>
      <c r="S190" s="1"/>
      <c r="T190" s="6"/>
      <c r="U190" s="1767"/>
      <c r="V190" s="1767"/>
      <c r="W190" s="1766"/>
      <c r="X190" s="1766"/>
      <c r="Y190" s="1766"/>
      <c r="Z190" s="1766"/>
      <c r="AA190" s="1767"/>
      <c r="AB190" s="1766"/>
      <c r="AC190" s="1766"/>
      <c r="AD190" s="1766"/>
      <c r="AE190" s="1768"/>
      <c r="AF190" s="1799"/>
      <c r="AG190" s="1770"/>
      <c r="AH190" s="1771"/>
      <c r="AJ190" s="13"/>
    </row>
    <row r="191" spans="1:36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O191" s="7"/>
      <c r="R191" s="6"/>
      <c r="S191" s="1"/>
      <c r="T191" s="6"/>
      <c r="U191" s="1767"/>
      <c r="V191" s="1767"/>
      <c r="W191" s="1766"/>
      <c r="X191" s="1766"/>
      <c r="Y191" s="1766"/>
      <c r="Z191" s="1766"/>
      <c r="AA191" s="1767"/>
      <c r="AB191" s="1766"/>
      <c r="AC191" s="1766"/>
      <c r="AD191" s="1766"/>
      <c r="AE191" s="1768"/>
      <c r="AF191" s="1799"/>
      <c r="AG191" s="1770"/>
      <c r="AH191" s="1771"/>
      <c r="AJ191" s="13"/>
    </row>
    <row r="192" spans="1:36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O192" s="7"/>
      <c r="R192" s="6"/>
      <c r="S192" s="1"/>
      <c r="T192" s="6"/>
      <c r="U192" s="1767"/>
      <c r="V192" s="1767"/>
      <c r="W192" s="1766"/>
      <c r="X192" s="1766"/>
      <c r="Y192" s="1766"/>
      <c r="Z192" s="1766"/>
      <c r="AA192" s="1767"/>
      <c r="AB192" s="1766"/>
      <c r="AC192" s="1766"/>
      <c r="AD192" s="1766"/>
      <c r="AE192" s="1768"/>
      <c r="AF192" s="1799"/>
      <c r="AG192" s="1770"/>
      <c r="AH192" s="1771"/>
      <c r="AJ192" s="13"/>
    </row>
    <row r="193" spans="1:36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O193" s="7"/>
      <c r="R193" s="6"/>
      <c r="S193" s="1"/>
      <c r="T193" s="6"/>
      <c r="U193" s="1767"/>
      <c r="V193" s="1767"/>
      <c r="W193" s="1766"/>
      <c r="X193" s="1766"/>
      <c r="Y193" s="1766"/>
      <c r="Z193" s="1766"/>
      <c r="AA193" s="1767"/>
      <c r="AB193" s="1766"/>
      <c r="AC193" s="1766"/>
      <c r="AD193" s="1766"/>
      <c r="AE193" s="1768"/>
      <c r="AF193" s="1799"/>
      <c r="AG193" s="1770"/>
      <c r="AH193" s="1771"/>
      <c r="AJ193" s="13"/>
    </row>
    <row r="194" spans="1:36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O194" s="7"/>
      <c r="R194" s="6"/>
      <c r="S194" s="1"/>
      <c r="T194" s="6"/>
      <c r="U194" s="1767"/>
      <c r="V194" s="1767"/>
      <c r="W194" s="1766"/>
      <c r="X194" s="1766"/>
      <c r="Y194" s="1766"/>
      <c r="Z194" s="1766"/>
      <c r="AA194" s="1767"/>
      <c r="AB194" s="1766"/>
      <c r="AC194" s="1766"/>
      <c r="AD194" s="1766"/>
      <c r="AE194" s="1768"/>
      <c r="AF194" s="1799"/>
      <c r="AG194" s="1770"/>
      <c r="AH194" s="1771"/>
      <c r="AJ194" s="13"/>
    </row>
    <row r="195" spans="1:36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O195" s="7"/>
      <c r="R195" s="6"/>
      <c r="S195" s="1"/>
      <c r="T195" s="6"/>
      <c r="U195" s="1767"/>
      <c r="V195" s="1767"/>
      <c r="W195" s="1766"/>
      <c r="X195" s="1766"/>
      <c r="Y195" s="1766"/>
      <c r="Z195" s="1766"/>
      <c r="AA195" s="1767"/>
      <c r="AB195" s="1766"/>
      <c r="AC195" s="1766"/>
      <c r="AD195" s="1766"/>
      <c r="AE195" s="1768"/>
      <c r="AF195" s="1799"/>
      <c r="AG195" s="1770"/>
      <c r="AH195" s="1771"/>
      <c r="AJ195" s="13"/>
    </row>
    <row r="196" spans="1:36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O196" s="7"/>
      <c r="R196" s="6"/>
      <c r="S196" s="1"/>
      <c r="T196" s="6"/>
      <c r="U196" s="1767"/>
      <c r="V196" s="1767"/>
      <c r="W196" s="1766"/>
      <c r="X196" s="1766"/>
      <c r="Y196" s="1766"/>
      <c r="Z196" s="1766"/>
      <c r="AA196" s="1767"/>
      <c r="AB196" s="1766"/>
      <c r="AC196" s="1766"/>
      <c r="AD196" s="1766"/>
      <c r="AE196" s="1768"/>
      <c r="AF196" s="1799"/>
      <c r="AG196" s="1770"/>
      <c r="AH196" s="1771"/>
      <c r="AJ196" s="13"/>
    </row>
    <row r="197" spans="1:36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O197" s="7"/>
      <c r="R197" s="6"/>
      <c r="S197" s="1"/>
      <c r="T197" s="6"/>
      <c r="U197" s="1767"/>
      <c r="V197" s="1767"/>
      <c r="W197" s="1766"/>
      <c r="X197" s="1766"/>
      <c r="Y197" s="1766"/>
      <c r="Z197" s="1766"/>
      <c r="AA197" s="1767"/>
      <c r="AB197" s="1766"/>
      <c r="AC197" s="1766"/>
      <c r="AD197" s="1766"/>
      <c r="AE197" s="1768"/>
      <c r="AF197" s="1799"/>
      <c r="AG197" s="1770"/>
      <c r="AH197" s="1771"/>
      <c r="AJ197" s="13"/>
    </row>
    <row r="198" spans="1:36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O198" s="7"/>
      <c r="R198" s="6"/>
      <c r="S198" s="1"/>
      <c r="T198" s="6"/>
      <c r="U198" s="1767"/>
      <c r="V198" s="1767"/>
      <c r="W198" s="1766"/>
      <c r="X198" s="1766"/>
      <c r="Y198" s="1766"/>
      <c r="Z198" s="1766"/>
      <c r="AA198" s="1767"/>
      <c r="AB198" s="1766"/>
      <c r="AC198" s="1766"/>
      <c r="AD198" s="1766"/>
      <c r="AE198" s="1768"/>
      <c r="AF198" s="1799"/>
      <c r="AG198" s="1770"/>
      <c r="AH198" s="1771"/>
      <c r="AJ198" s="13"/>
    </row>
    <row r="199" spans="1:36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O199" s="7"/>
      <c r="R199" s="6"/>
      <c r="S199" s="1"/>
      <c r="T199" s="6"/>
      <c r="U199" s="1767"/>
      <c r="V199" s="1767"/>
      <c r="W199" s="1766"/>
      <c r="X199" s="1766"/>
      <c r="Y199" s="1766"/>
      <c r="Z199" s="1766"/>
      <c r="AA199" s="1767"/>
      <c r="AB199" s="1766"/>
      <c r="AC199" s="1766"/>
      <c r="AD199" s="1766"/>
      <c r="AE199" s="1768"/>
      <c r="AF199" s="1799"/>
      <c r="AG199" s="1770"/>
      <c r="AH199" s="1771"/>
      <c r="AJ199" s="13"/>
    </row>
    <row r="200" spans="1:36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O200" s="7"/>
      <c r="R200" s="6"/>
      <c r="S200" s="1"/>
      <c r="T200" s="6"/>
      <c r="U200" s="1767"/>
      <c r="V200" s="1767"/>
      <c r="W200" s="1766"/>
      <c r="X200" s="1766"/>
      <c r="Y200" s="1766"/>
      <c r="Z200" s="1766"/>
      <c r="AA200" s="1767"/>
      <c r="AB200" s="1766"/>
      <c r="AC200" s="1766"/>
      <c r="AD200" s="1766"/>
      <c r="AE200" s="1768"/>
      <c r="AF200" s="1799"/>
      <c r="AG200" s="1770"/>
      <c r="AH200" s="1771"/>
      <c r="AJ200" s="13"/>
    </row>
    <row r="201" spans="1:36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O201" s="7"/>
      <c r="R201" s="6"/>
      <c r="S201" s="1"/>
      <c r="T201" s="6"/>
      <c r="U201" s="1767"/>
      <c r="V201" s="1767"/>
      <c r="W201" s="1766"/>
      <c r="X201" s="1766"/>
      <c r="Y201" s="1766"/>
      <c r="Z201" s="1766"/>
      <c r="AA201" s="1767"/>
      <c r="AB201" s="1766"/>
      <c r="AC201" s="1766"/>
      <c r="AD201" s="1766"/>
      <c r="AE201" s="1768"/>
      <c r="AF201" s="1799"/>
      <c r="AG201" s="1770"/>
      <c r="AH201" s="1771"/>
      <c r="AJ201" s="13"/>
    </row>
    <row r="202" spans="1:36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O202" s="7"/>
      <c r="R202" s="6"/>
      <c r="S202" s="1"/>
      <c r="T202" s="6"/>
      <c r="U202" s="1767"/>
      <c r="V202" s="1767"/>
      <c r="W202" s="1766"/>
      <c r="X202" s="1766"/>
      <c r="Y202" s="1766"/>
      <c r="Z202" s="1766"/>
      <c r="AA202" s="1767"/>
      <c r="AB202" s="1766"/>
      <c r="AC202" s="1766"/>
      <c r="AD202" s="1766"/>
      <c r="AE202" s="1768"/>
      <c r="AF202" s="1799"/>
      <c r="AG202" s="1770"/>
      <c r="AH202" s="1771"/>
      <c r="AJ202" s="13"/>
    </row>
    <row r="203" spans="1:36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O203" s="7"/>
      <c r="R203" s="6"/>
      <c r="S203" s="1"/>
      <c r="T203" s="6"/>
      <c r="U203" s="1767"/>
      <c r="V203" s="1767"/>
      <c r="W203" s="1766"/>
      <c r="X203" s="1766"/>
      <c r="Y203" s="1766"/>
      <c r="Z203" s="1766"/>
      <c r="AA203" s="1767"/>
      <c r="AB203" s="1766"/>
      <c r="AC203" s="1766"/>
      <c r="AD203" s="1766"/>
      <c r="AE203" s="1768"/>
      <c r="AF203" s="1799"/>
      <c r="AG203" s="1770"/>
      <c r="AH203" s="1771"/>
      <c r="AJ203" s="13"/>
    </row>
    <row r="204" spans="1:36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O204" s="7"/>
      <c r="R204" s="6"/>
      <c r="S204" s="1"/>
      <c r="T204" s="6"/>
      <c r="U204" s="1767"/>
      <c r="V204" s="1767"/>
      <c r="W204" s="1766"/>
      <c r="X204" s="1766"/>
      <c r="Y204" s="1766"/>
      <c r="Z204" s="1766"/>
      <c r="AA204" s="1767"/>
      <c r="AB204" s="1766"/>
      <c r="AC204" s="1766"/>
      <c r="AD204" s="1766"/>
      <c r="AE204" s="1768"/>
      <c r="AF204" s="1799"/>
      <c r="AG204" s="1770"/>
      <c r="AH204" s="1771"/>
      <c r="AJ204" s="13"/>
    </row>
    <row r="205" spans="1:36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O205" s="7"/>
      <c r="R205" s="6"/>
      <c r="S205" s="1"/>
      <c r="T205" s="6"/>
      <c r="U205" s="1767"/>
      <c r="V205" s="1767"/>
      <c r="W205" s="1766"/>
      <c r="X205" s="1766"/>
      <c r="Y205" s="1766"/>
      <c r="Z205" s="1766"/>
      <c r="AA205" s="1767"/>
      <c r="AB205" s="1766"/>
      <c r="AC205" s="1766"/>
      <c r="AD205" s="1766"/>
      <c r="AE205" s="1768"/>
      <c r="AF205" s="1799"/>
      <c r="AG205" s="1770"/>
      <c r="AH205" s="1771"/>
      <c r="AJ205" s="13"/>
    </row>
    <row r="206" spans="1:36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O206" s="7"/>
      <c r="R206" s="6"/>
      <c r="S206" s="1"/>
      <c r="T206" s="6"/>
      <c r="U206" s="1767"/>
      <c r="V206" s="1767"/>
      <c r="W206" s="1766"/>
      <c r="X206" s="1766"/>
      <c r="Y206" s="1766"/>
      <c r="Z206" s="1766"/>
      <c r="AA206" s="1767"/>
      <c r="AB206" s="1766"/>
      <c r="AC206" s="1766"/>
      <c r="AD206" s="1766"/>
      <c r="AE206" s="1768"/>
      <c r="AF206" s="1799"/>
      <c r="AG206" s="1770"/>
      <c r="AH206" s="1771"/>
      <c r="AJ206" s="13"/>
    </row>
    <row r="207" spans="1:36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O207" s="7"/>
      <c r="R207" s="6"/>
      <c r="S207" s="1"/>
      <c r="T207" s="6"/>
      <c r="U207" s="1767"/>
      <c r="V207" s="1767"/>
      <c r="W207" s="1766"/>
      <c r="X207" s="1766"/>
      <c r="Y207" s="1766"/>
      <c r="Z207" s="1766"/>
      <c r="AA207" s="1767"/>
      <c r="AB207" s="1766"/>
      <c r="AC207" s="1766"/>
      <c r="AD207" s="1766"/>
      <c r="AE207" s="1768"/>
      <c r="AF207" s="1799"/>
      <c r="AG207" s="1770"/>
      <c r="AH207" s="1771"/>
      <c r="AJ207" s="13"/>
    </row>
    <row r="208" spans="1:36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O208" s="7"/>
      <c r="R208" s="6"/>
      <c r="S208" s="1"/>
      <c r="T208" s="6"/>
      <c r="U208" s="1767"/>
      <c r="V208" s="1767"/>
      <c r="W208" s="1766"/>
      <c r="X208" s="1766"/>
      <c r="Y208" s="1766"/>
      <c r="Z208" s="1766"/>
      <c r="AA208" s="1767"/>
      <c r="AB208" s="1766"/>
      <c r="AC208" s="1766"/>
      <c r="AD208" s="1766"/>
      <c r="AE208" s="1768"/>
      <c r="AF208" s="1799"/>
      <c r="AG208" s="1770"/>
      <c r="AH208" s="1771"/>
      <c r="AJ208" s="13"/>
    </row>
    <row r="209" spans="1:36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O209" s="7"/>
      <c r="R209" s="6"/>
      <c r="S209" s="1"/>
      <c r="T209" s="6"/>
      <c r="U209" s="1767"/>
      <c r="V209" s="1767"/>
      <c r="W209" s="1766"/>
      <c r="X209" s="1766"/>
      <c r="Y209" s="1766"/>
      <c r="Z209" s="1766"/>
      <c r="AA209" s="1767"/>
      <c r="AB209" s="1766"/>
      <c r="AC209" s="1766"/>
      <c r="AD209" s="1766"/>
      <c r="AE209" s="1768"/>
      <c r="AF209" s="1799"/>
      <c r="AG209" s="1770"/>
      <c r="AH209" s="1771"/>
      <c r="AJ209" s="13"/>
    </row>
    <row r="210" spans="1:36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O210" s="7"/>
      <c r="R210" s="6"/>
      <c r="S210" s="1"/>
      <c r="T210" s="6"/>
      <c r="U210" s="1767"/>
      <c r="V210" s="1767"/>
      <c r="W210" s="1766"/>
      <c r="X210" s="1766"/>
      <c r="Y210" s="1766"/>
      <c r="Z210" s="1766"/>
      <c r="AA210" s="1767"/>
      <c r="AB210" s="1766"/>
      <c r="AC210" s="1766"/>
      <c r="AD210" s="1766"/>
      <c r="AE210" s="1768"/>
      <c r="AF210" s="1799"/>
      <c r="AG210" s="1770"/>
      <c r="AH210" s="1771"/>
      <c r="AJ210" s="13"/>
    </row>
    <row r="211" spans="1:36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O211" s="7"/>
      <c r="R211" s="6"/>
      <c r="S211" s="1"/>
      <c r="T211" s="6"/>
      <c r="U211" s="1767"/>
      <c r="V211" s="1767"/>
      <c r="W211" s="1766"/>
      <c r="X211" s="1766"/>
      <c r="Y211" s="1766"/>
      <c r="Z211" s="1766"/>
      <c r="AA211" s="1767"/>
      <c r="AB211" s="1766"/>
      <c r="AC211" s="1766"/>
      <c r="AD211" s="1766"/>
      <c r="AE211" s="1768"/>
      <c r="AF211" s="1799"/>
      <c r="AG211" s="1770"/>
      <c r="AH211" s="1771"/>
      <c r="AJ211" s="13"/>
    </row>
    <row r="212" spans="1:36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O212" s="7"/>
      <c r="R212" s="6"/>
      <c r="S212" s="1"/>
      <c r="T212" s="6"/>
      <c r="U212" s="1767"/>
      <c r="V212" s="1767"/>
      <c r="W212" s="1766"/>
      <c r="X212" s="1766"/>
      <c r="Y212" s="1766"/>
      <c r="Z212" s="1766"/>
      <c r="AA212" s="1767"/>
      <c r="AB212" s="1766"/>
      <c r="AC212" s="1766"/>
      <c r="AD212" s="1766"/>
      <c r="AE212" s="1768"/>
      <c r="AF212" s="1799"/>
      <c r="AG212" s="1770"/>
      <c r="AH212" s="1771"/>
      <c r="AJ212" s="13"/>
    </row>
    <row r="213" spans="1:36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O213" s="7"/>
      <c r="R213" s="6"/>
      <c r="S213" s="1"/>
      <c r="T213" s="6"/>
      <c r="U213" s="1767"/>
      <c r="V213" s="1767"/>
      <c r="W213" s="1766"/>
      <c r="X213" s="1766"/>
      <c r="Y213" s="1766"/>
      <c r="Z213" s="1766"/>
      <c r="AA213" s="1767"/>
      <c r="AB213" s="1766"/>
      <c r="AC213" s="1766"/>
      <c r="AD213" s="1766"/>
      <c r="AE213" s="1768"/>
      <c r="AF213" s="1799"/>
      <c r="AG213" s="1770"/>
      <c r="AH213" s="1771"/>
      <c r="AJ213" s="13"/>
    </row>
    <row r="214" spans="1:36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O214" s="7"/>
      <c r="R214" s="6"/>
      <c r="S214" s="1"/>
      <c r="T214" s="6"/>
      <c r="U214" s="1767"/>
      <c r="V214" s="1767"/>
      <c r="W214" s="1766"/>
      <c r="X214" s="1766"/>
      <c r="Y214" s="1766"/>
      <c r="Z214" s="1766"/>
      <c r="AA214" s="1767"/>
      <c r="AB214" s="1766"/>
      <c r="AC214" s="1766"/>
      <c r="AD214" s="1766"/>
      <c r="AE214" s="1768"/>
      <c r="AF214" s="1799"/>
      <c r="AG214" s="1770"/>
      <c r="AH214" s="1771"/>
      <c r="AJ214" s="13"/>
    </row>
    <row r="215" spans="1:36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O215" s="7"/>
      <c r="R215" s="6"/>
      <c r="S215" s="1"/>
      <c r="T215" s="6"/>
      <c r="U215" s="1767"/>
      <c r="V215" s="1767"/>
      <c r="W215" s="1766"/>
      <c r="X215" s="1766"/>
      <c r="Y215" s="1766"/>
      <c r="Z215" s="1766"/>
      <c r="AA215" s="1767"/>
      <c r="AB215" s="1766"/>
      <c r="AC215" s="1766"/>
      <c r="AD215" s="1766"/>
      <c r="AE215" s="1768"/>
      <c r="AF215" s="1799"/>
      <c r="AG215" s="1770"/>
      <c r="AH215" s="1771"/>
      <c r="AJ215" s="13"/>
    </row>
    <row r="216" spans="1:36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O216" s="7"/>
      <c r="R216" s="6"/>
      <c r="S216" s="1"/>
      <c r="T216" s="6"/>
      <c r="U216" s="1767"/>
      <c r="V216" s="1767"/>
      <c r="W216" s="1766"/>
      <c r="X216" s="1766"/>
      <c r="Y216" s="1766"/>
      <c r="Z216" s="1766"/>
      <c r="AA216" s="1767"/>
      <c r="AB216" s="1766"/>
      <c r="AC216" s="1766"/>
      <c r="AD216" s="1766"/>
      <c r="AE216" s="1768"/>
      <c r="AF216" s="1799"/>
      <c r="AG216" s="1770"/>
      <c r="AH216" s="1771"/>
      <c r="AJ216" s="13"/>
    </row>
    <row r="217" spans="1:36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O217" s="7"/>
      <c r="R217" s="6"/>
      <c r="S217" s="1"/>
      <c r="T217" s="6"/>
      <c r="U217" s="1767"/>
      <c r="V217" s="1767"/>
      <c r="W217" s="1766"/>
      <c r="X217" s="1766"/>
      <c r="Y217" s="1766"/>
      <c r="Z217" s="1766"/>
      <c r="AA217" s="1767"/>
      <c r="AB217" s="1766"/>
      <c r="AC217" s="1766"/>
      <c r="AD217" s="1766"/>
      <c r="AE217" s="1768"/>
      <c r="AF217" s="1799"/>
      <c r="AG217" s="1770"/>
      <c r="AH217" s="1771"/>
      <c r="AJ217" s="13"/>
    </row>
    <row r="218" spans="1:36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O218" s="7"/>
      <c r="R218" s="6"/>
      <c r="S218" s="1"/>
      <c r="T218" s="6"/>
      <c r="U218" s="1767"/>
      <c r="V218" s="1767"/>
      <c r="W218" s="1766"/>
      <c r="X218" s="1766"/>
      <c r="Y218" s="1766"/>
      <c r="Z218" s="1766"/>
      <c r="AA218" s="1767"/>
      <c r="AB218" s="1766"/>
      <c r="AC218" s="1766"/>
      <c r="AD218" s="1766"/>
      <c r="AE218" s="1768"/>
      <c r="AF218" s="1799"/>
      <c r="AG218" s="1770"/>
      <c r="AH218" s="1771"/>
      <c r="AJ218" s="13"/>
    </row>
    <row r="219" spans="1:36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O219" s="7"/>
      <c r="R219" s="6"/>
      <c r="S219" s="1"/>
      <c r="T219" s="6"/>
      <c r="U219" s="1767"/>
      <c r="V219" s="1767"/>
      <c r="W219" s="1766"/>
      <c r="X219" s="1766"/>
      <c r="Y219" s="1766"/>
      <c r="Z219" s="1766"/>
      <c r="AA219" s="1767"/>
      <c r="AB219" s="1766"/>
      <c r="AC219" s="1766"/>
      <c r="AD219" s="1766"/>
      <c r="AE219" s="1768"/>
      <c r="AF219" s="1799"/>
      <c r="AG219" s="1770"/>
      <c r="AH219" s="1771"/>
      <c r="AJ219" s="13"/>
    </row>
    <row r="220" spans="1:36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O220" s="7"/>
      <c r="R220" s="6"/>
      <c r="S220" s="1"/>
      <c r="T220" s="6"/>
      <c r="U220" s="1767"/>
      <c r="V220" s="1767"/>
      <c r="W220" s="1766"/>
      <c r="X220" s="1766"/>
      <c r="Y220" s="1766"/>
      <c r="Z220" s="1766"/>
      <c r="AA220" s="1767"/>
      <c r="AB220" s="1766"/>
      <c r="AC220" s="1766"/>
      <c r="AD220" s="1766"/>
      <c r="AE220" s="1768"/>
      <c r="AF220" s="1799"/>
      <c r="AG220" s="1770"/>
      <c r="AH220" s="1771"/>
      <c r="AJ220" s="13"/>
    </row>
    <row r="221" spans="1:36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O221" s="7"/>
      <c r="R221" s="6"/>
      <c r="S221" s="1"/>
      <c r="T221" s="6"/>
      <c r="U221" s="1767"/>
      <c r="V221" s="1767"/>
      <c r="W221" s="1766"/>
      <c r="X221" s="1766"/>
      <c r="Y221" s="1766"/>
      <c r="Z221" s="1766"/>
      <c r="AA221" s="1767"/>
      <c r="AB221" s="1766"/>
      <c r="AC221" s="1766"/>
      <c r="AD221" s="1766"/>
      <c r="AE221" s="1768"/>
      <c r="AF221" s="1799"/>
      <c r="AG221" s="1770"/>
      <c r="AH221" s="1771"/>
      <c r="AJ221" s="13"/>
    </row>
    <row r="222" spans="1:36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O222" s="7"/>
      <c r="R222" s="6"/>
      <c r="S222" s="1"/>
      <c r="T222" s="6"/>
      <c r="U222" s="1767"/>
      <c r="V222" s="1767"/>
      <c r="W222" s="1766"/>
      <c r="X222" s="1766"/>
      <c r="Y222" s="1766"/>
      <c r="Z222" s="1766"/>
      <c r="AA222" s="1767"/>
      <c r="AB222" s="1766"/>
      <c r="AC222" s="1766"/>
      <c r="AD222" s="1766"/>
      <c r="AE222" s="1768"/>
      <c r="AF222" s="1799"/>
      <c r="AG222" s="1770"/>
      <c r="AH222" s="1771"/>
      <c r="AJ222" s="13"/>
    </row>
    <row r="223" spans="1:36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O223" s="7"/>
      <c r="R223" s="6"/>
      <c r="S223" s="1"/>
      <c r="T223" s="6"/>
      <c r="U223" s="1767"/>
      <c r="V223" s="1767"/>
      <c r="W223" s="1766"/>
      <c r="X223" s="1766"/>
      <c r="Y223" s="1766"/>
      <c r="Z223" s="1766"/>
      <c r="AA223" s="1767"/>
      <c r="AB223" s="1766"/>
      <c r="AC223" s="1766"/>
      <c r="AD223" s="1766"/>
      <c r="AE223" s="1768"/>
      <c r="AF223" s="1799"/>
      <c r="AG223" s="1770"/>
      <c r="AH223" s="1771"/>
      <c r="AJ223" s="13"/>
    </row>
    <row r="224" spans="1:36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O224" s="7"/>
      <c r="R224" s="6"/>
      <c r="S224" s="1"/>
      <c r="T224" s="6"/>
      <c r="U224" s="1767"/>
      <c r="V224" s="1767"/>
      <c r="W224" s="1766"/>
      <c r="X224" s="1766"/>
      <c r="Y224" s="1766"/>
      <c r="Z224" s="1766"/>
      <c r="AA224" s="1767"/>
      <c r="AB224" s="1766"/>
      <c r="AC224" s="1766"/>
      <c r="AD224" s="1766"/>
      <c r="AE224" s="1768"/>
      <c r="AF224" s="1799"/>
      <c r="AG224" s="1770"/>
      <c r="AH224" s="1771"/>
      <c r="AJ224" s="13"/>
    </row>
    <row r="225" spans="1:36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O225" s="7"/>
      <c r="R225" s="6"/>
      <c r="S225" s="1"/>
      <c r="T225" s="6"/>
      <c r="U225" s="1767"/>
      <c r="V225" s="1767"/>
      <c r="W225" s="1766"/>
      <c r="X225" s="1766"/>
      <c r="Y225" s="1766"/>
      <c r="Z225" s="1766"/>
      <c r="AA225" s="1767"/>
      <c r="AB225" s="1766"/>
      <c r="AC225" s="1766"/>
      <c r="AD225" s="1766"/>
      <c r="AE225" s="1768"/>
      <c r="AF225" s="1799"/>
      <c r="AG225" s="1770"/>
      <c r="AH225" s="1771"/>
      <c r="AJ225" s="13"/>
    </row>
    <row r="226" spans="1:36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O226" s="7"/>
      <c r="R226" s="6"/>
      <c r="S226" s="1"/>
      <c r="T226" s="6"/>
      <c r="U226" s="1767"/>
      <c r="V226" s="1767"/>
      <c r="W226" s="1766"/>
      <c r="X226" s="1766"/>
      <c r="Y226" s="1766"/>
      <c r="Z226" s="1766"/>
      <c r="AA226" s="1767"/>
      <c r="AB226" s="1766"/>
      <c r="AC226" s="1766"/>
      <c r="AD226" s="1766"/>
      <c r="AE226" s="1768"/>
      <c r="AF226" s="1799"/>
      <c r="AG226" s="1770"/>
      <c r="AH226" s="1771"/>
      <c r="AJ226" s="13"/>
    </row>
    <row r="227" spans="1:36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O227" s="7"/>
      <c r="R227" s="6"/>
      <c r="S227" s="1"/>
      <c r="T227" s="6"/>
      <c r="U227" s="1767"/>
      <c r="V227" s="1767"/>
      <c r="W227" s="1766"/>
      <c r="X227" s="1766"/>
      <c r="Y227" s="1766"/>
      <c r="Z227" s="1766"/>
      <c r="AA227" s="1767"/>
      <c r="AB227" s="1766"/>
      <c r="AC227" s="1766"/>
      <c r="AD227" s="1766"/>
      <c r="AE227" s="1768"/>
      <c r="AF227" s="1799"/>
      <c r="AG227" s="1770"/>
      <c r="AH227" s="1771"/>
      <c r="AJ227" s="13"/>
    </row>
    <row r="228" spans="1:36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O228" s="7"/>
      <c r="R228" s="6"/>
      <c r="S228" s="1"/>
      <c r="T228" s="6"/>
      <c r="U228" s="1767"/>
      <c r="V228" s="1767"/>
      <c r="W228" s="1766"/>
      <c r="X228" s="1766"/>
      <c r="Y228" s="1766"/>
      <c r="Z228" s="1766"/>
      <c r="AA228" s="1767"/>
      <c r="AB228" s="1766"/>
      <c r="AC228" s="1766"/>
      <c r="AD228" s="1766"/>
      <c r="AE228" s="1768"/>
      <c r="AF228" s="1799"/>
      <c r="AG228" s="1770"/>
      <c r="AH228" s="1771"/>
      <c r="AJ228" s="13"/>
    </row>
    <row r="229" spans="1:36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O229" s="7"/>
      <c r="R229" s="6"/>
      <c r="S229" s="1"/>
      <c r="T229" s="6"/>
      <c r="U229" s="1767"/>
      <c r="V229" s="1767"/>
      <c r="W229" s="1766"/>
      <c r="X229" s="1766"/>
      <c r="Y229" s="1766"/>
      <c r="Z229" s="1766"/>
      <c r="AA229" s="1767"/>
      <c r="AB229" s="1766"/>
      <c r="AC229" s="1766"/>
      <c r="AD229" s="1766"/>
      <c r="AE229" s="1768"/>
      <c r="AF229" s="1799"/>
      <c r="AG229" s="1770"/>
      <c r="AH229" s="1771"/>
      <c r="AJ229" s="13"/>
    </row>
    <row r="230" spans="1:36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O230" s="7"/>
      <c r="R230" s="6"/>
      <c r="S230" s="1"/>
      <c r="T230" s="6"/>
      <c r="U230" s="1767"/>
      <c r="V230" s="1767"/>
      <c r="W230" s="1766"/>
      <c r="X230" s="1766"/>
      <c r="Y230" s="1766"/>
      <c r="Z230" s="1766"/>
      <c r="AA230" s="1767"/>
      <c r="AB230" s="1766"/>
      <c r="AC230" s="1766"/>
      <c r="AD230" s="1766"/>
      <c r="AE230" s="1768"/>
      <c r="AF230" s="1799"/>
      <c r="AG230" s="1770"/>
      <c r="AH230" s="1771"/>
      <c r="AJ230" s="13"/>
    </row>
    <row r="231" spans="1:36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O231" s="7"/>
      <c r="R231" s="6"/>
      <c r="S231" s="1"/>
      <c r="T231" s="6"/>
      <c r="U231" s="1767"/>
      <c r="V231" s="1767"/>
      <c r="W231" s="1766"/>
      <c r="X231" s="1766"/>
      <c r="Y231" s="1766"/>
      <c r="Z231" s="1766"/>
      <c r="AA231" s="1767"/>
      <c r="AB231" s="1766"/>
      <c r="AC231" s="1766"/>
      <c r="AD231" s="1766"/>
      <c r="AE231" s="1768"/>
      <c r="AF231" s="1799"/>
      <c r="AG231" s="1770"/>
      <c r="AH231" s="1771"/>
      <c r="AJ231" s="13"/>
    </row>
    <row r="232" spans="1:36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O232" s="7"/>
      <c r="R232" s="6"/>
      <c r="S232" s="1"/>
      <c r="T232" s="6"/>
      <c r="U232" s="1767"/>
      <c r="V232" s="1767"/>
      <c r="W232" s="1766"/>
      <c r="X232" s="1766"/>
      <c r="Y232" s="1766"/>
      <c r="Z232" s="1766"/>
      <c r="AA232" s="1767"/>
      <c r="AB232" s="1766"/>
      <c r="AC232" s="1766"/>
      <c r="AD232" s="1766"/>
      <c r="AE232" s="1768"/>
      <c r="AF232" s="1799"/>
      <c r="AG232" s="1770"/>
      <c r="AH232" s="1771"/>
      <c r="AJ232" s="13"/>
    </row>
    <row r="233" spans="1:36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O233" s="7"/>
      <c r="R233" s="6"/>
      <c r="S233" s="1"/>
      <c r="T233" s="6"/>
      <c r="U233" s="1767"/>
      <c r="V233" s="1767"/>
      <c r="W233" s="1766"/>
      <c r="X233" s="1766"/>
      <c r="Y233" s="1766"/>
      <c r="Z233" s="1766"/>
      <c r="AA233" s="1767"/>
      <c r="AB233" s="1766"/>
      <c r="AC233" s="1766"/>
      <c r="AD233" s="1766"/>
      <c r="AE233" s="1768"/>
      <c r="AF233" s="1799"/>
      <c r="AG233" s="1770"/>
      <c r="AH233" s="1771"/>
      <c r="AJ233" s="13"/>
    </row>
    <row r="234" spans="1:36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O234" s="7"/>
      <c r="R234" s="6"/>
      <c r="S234" s="1"/>
      <c r="T234" s="6"/>
      <c r="U234" s="1767"/>
      <c r="V234" s="1767"/>
      <c r="W234" s="1766"/>
      <c r="X234" s="1766"/>
      <c r="Y234" s="1766"/>
      <c r="Z234" s="1766"/>
      <c r="AA234" s="1767"/>
      <c r="AB234" s="1766"/>
      <c r="AC234" s="1766"/>
      <c r="AD234" s="1766"/>
      <c r="AE234" s="1768"/>
      <c r="AF234" s="1799"/>
      <c r="AG234" s="1770"/>
      <c r="AH234" s="1771"/>
      <c r="AJ234" s="13"/>
    </row>
    <row r="235" spans="1:36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O235" s="7"/>
      <c r="R235" s="6"/>
      <c r="S235" s="1"/>
      <c r="T235" s="6"/>
      <c r="U235" s="1767"/>
      <c r="V235" s="1767"/>
      <c r="W235" s="1766"/>
      <c r="X235" s="1766"/>
      <c r="Y235" s="1766"/>
      <c r="Z235" s="1766"/>
      <c r="AA235" s="1767"/>
      <c r="AB235" s="1766"/>
      <c r="AC235" s="1766"/>
      <c r="AD235" s="1766"/>
      <c r="AE235" s="1768"/>
      <c r="AF235" s="1799"/>
      <c r="AG235" s="1770"/>
      <c r="AH235" s="1771"/>
      <c r="AJ235" s="13"/>
    </row>
    <row r="236" spans="1:36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O236" s="7"/>
      <c r="R236" s="6"/>
      <c r="S236" s="1"/>
      <c r="T236" s="6"/>
      <c r="U236" s="1767"/>
      <c r="V236" s="1767"/>
      <c r="W236" s="1766"/>
      <c r="X236" s="1766"/>
      <c r="Y236" s="1766"/>
      <c r="Z236" s="1766"/>
      <c r="AA236" s="1767"/>
      <c r="AB236" s="1766"/>
      <c r="AC236" s="1766"/>
      <c r="AD236" s="1766"/>
      <c r="AE236" s="1768"/>
      <c r="AF236" s="1799"/>
      <c r="AG236" s="1770"/>
      <c r="AH236" s="1771"/>
      <c r="AJ236" s="13"/>
    </row>
    <row r="237" spans="1:36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O237" s="7"/>
      <c r="R237" s="6"/>
      <c r="S237" s="1"/>
      <c r="T237" s="6"/>
      <c r="U237" s="1767"/>
      <c r="V237" s="1767"/>
      <c r="W237" s="1766"/>
      <c r="X237" s="1766"/>
      <c r="Y237" s="1766"/>
      <c r="Z237" s="1766"/>
      <c r="AA237" s="1767"/>
      <c r="AB237" s="1766"/>
      <c r="AC237" s="1766"/>
      <c r="AD237" s="1766"/>
      <c r="AE237" s="1768"/>
      <c r="AF237" s="1799"/>
      <c r="AG237" s="1770"/>
      <c r="AH237" s="1771"/>
      <c r="AJ237" s="13"/>
    </row>
    <row r="238" spans="1:36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O238" s="7"/>
      <c r="R238" s="6"/>
      <c r="S238" s="1"/>
      <c r="T238" s="6"/>
      <c r="U238" s="1767"/>
      <c r="V238" s="1767"/>
      <c r="W238" s="1766"/>
      <c r="X238" s="1766"/>
      <c r="Y238" s="1766"/>
      <c r="Z238" s="1766"/>
      <c r="AA238" s="1767"/>
      <c r="AB238" s="1766"/>
      <c r="AC238" s="1766"/>
      <c r="AD238" s="1766"/>
      <c r="AE238" s="1768"/>
      <c r="AF238" s="1799"/>
      <c r="AG238" s="1770"/>
      <c r="AH238" s="1771"/>
      <c r="AJ238" s="13"/>
    </row>
    <row r="239" spans="1:36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O239" s="7"/>
      <c r="R239" s="6"/>
      <c r="S239" s="1"/>
      <c r="T239" s="6"/>
      <c r="U239" s="1767"/>
      <c r="V239" s="1767"/>
      <c r="W239" s="1766"/>
      <c r="X239" s="1766"/>
      <c r="Y239" s="1766"/>
      <c r="Z239" s="1766"/>
      <c r="AA239" s="1767"/>
      <c r="AB239" s="1766"/>
      <c r="AC239" s="1766"/>
      <c r="AD239" s="1766"/>
      <c r="AE239" s="1768"/>
      <c r="AF239" s="1799"/>
      <c r="AG239" s="1770"/>
      <c r="AH239" s="1771"/>
      <c r="AJ239" s="13"/>
    </row>
    <row r="240" spans="1:36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O240" s="7"/>
      <c r="R240" s="6"/>
      <c r="S240" s="1"/>
      <c r="T240" s="6"/>
      <c r="U240" s="1767"/>
      <c r="V240" s="1767"/>
      <c r="W240" s="1766"/>
      <c r="X240" s="1766"/>
      <c r="Y240" s="1766"/>
      <c r="Z240" s="1766"/>
      <c r="AA240" s="1767"/>
      <c r="AB240" s="1766"/>
      <c r="AC240" s="1766"/>
      <c r="AD240" s="1766"/>
      <c r="AE240" s="1768"/>
      <c r="AF240" s="1799"/>
      <c r="AG240" s="1770"/>
      <c r="AH240" s="1771"/>
      <c r="AJ240" s="13"/>
    </row>
    <row r="241" spans="1:36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O241" s="7"/>
      <c r="R241" s="6"/>
      <c r="S241" s="1"/>
      <c r="T241" s="6"/>
      <c r="U241" s="1767"/>
      <c r="V241" s="1767"/>
      <c r="W241" s="1766"/>
      <c r="X241" s="1766"/>
      <c r="Y241" s="1766"/>
      <c r="Z241" s="1766"/>
      <c r="AA241" s="1767"/>
      <c r="AB241" s="1766"/>
      <c r="AC241" s="1766"/>
      <c r="AD241" s="1766"/>
      <c r="AE241" s="1768"/>
      <c r="AF241" s="1799"/>
      <c r="AG241" s="1770"/>
      <c r="AH241" s="1771"/>
      <c r="AJ241" s="13"/>
    </row>
    <row r="242" spans="1:36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O242" s="7"/>
      <c r="R242" s="6"/>
      <c r="S242" s="1"/>
      <c r="T242" s="6"/>
      <c r="U242" s="1767"/>
      <c r="V242" s="1767"/>
      <c r="W242" s="1766"/>
      <c r="X242" s="1766"/>
      <c r="Y242" s="1766"/>
      <c r="Z242" s="1766"/>
      <c r="AA242" s="1767"/>
      <c r="AB242" s="1766"/>
      <c r="AC242" s="1766"/>
      <c r="AD242" s="1766"/>
      <c r="AE242" s="1768"/>
      <c r="AF242" s="1799"/>
      <c r="AG242" s="1770"/>
      <c r="AH242" s="1771"/>
      <c r="AJ242" s="13"/>
    </row>
    <row r="243" spans="1:36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O243" s="7"/>
      <c r="R243" s="6"/>
      <c r="S243" s="1"/>
      <c r="T243" s="6"/>
      <c r="U243" s="1767"/>
      <c r="V243" s="1767"/>
      <c r="W243" s="1766"/>
      <c r="X243" s="1766"/>
      <c r="Y243" s="1766"/>
      <c r="Z243" s="1766"/>
      <c r="AA243" s="1767"/>
      <c r="AB243" s="1766"/>
      <c r="AC243" s="1766"/>
      <c r="AD243" s="1766"/>
      <c r="AE243" s="1768"/>
      <c r="AF243" s="1799"/>
      <c r="AG243" s="1770"/>
      <c r="AH243" s="1771"/>
      <c r="AJ243" s="13"/>
    </row>
    <row r="244" spans="1:36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O244" s="7"/>
      <c r="R244" s="6"/>
      <c r="S244" s="1"/>
      <c r="T244" s="6"/>
      <c r="U244" s="1767"/>
      <c r="V244" s="1767"/>
      <c r="W244" s="1766"/>
      <c r="X244" s="1766"/>
      <c r="Y244" s="1766"/>
      <c r="Z244" s="1766"/>
      <c r="AA244" s="1767"/>
      <c r="AB244" s="1766"/>
      <c r="AC244" s="1766"/>
      <c r="AD244" s="1766"/>
      <c r="AE244" s="1768"/>
      <c r="AF244" s="1799"/>
      <c r="AG244" s="1770"/>
      <c r="AH244" s="1771"/>
      <c r="AJ244" s="13"/>
    </row>
    <row r="245" spans="1:36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O245" s="7"/>
      <c r="R245" s="6"/>
      <c r="S245" s="1"/>
      <c r="T245" s="6"/>
      <c r="U245" s="1767"/>
      <c r="V245" s="1767"/>
      <c r="W245" s="1766"/>
      <c r="X245" s="1766"/>
      <c r="Y245" s="1766"/>
      <c r="Z245" s="1766"/>
      <c r="AA245" s="1767"/>
      <c r="AB245" s="1766"/>
      <c r="AC245" s="1766"/>
      <c r="AD245" s="1766"/>
      <c r="AE245" s="1768"/>
      <c r="AF245" s="1799"/>
      <c r="AG245" s="1770"/>
      <c r="AH245" s="1771"/>
      <c r="AJ245" s="13"/>
    </row>
    <row r="246" spans="1:36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O246" s="7"/>
      <c r="R246" s="6"/>
      <c r="S246" s="1"/>
      <c r="T246" s="6"/>
      <c r="U246" s="1767"/>
      <c r="V246" s="1767"/>
      <c r="W246" s="1766"/>
      <c r="X246" s="1766"/>
      <c r="Y246" s="1766"/>
      <c r="Z246" s="1766"/>
      <c r="AA246" s="1767"/>
      <c r="AB246" s="1766"/>
      <c r="AC246" s="1766"/>
      <c r="AD246" s="1766"/>
      <c r="AE246" s="1768"/>
      <c r="AF246" s="1799"/>
      <c r="AG246" s="1770"/>
      <c r="AH246" s="1771"/>
      <c r="AJ246" s="13"/>
    </row>
    <row r="247" spans="1:36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O247" s="7"/>
      <c r="R247" s="6"/>
      <c r="S247" s="1"/>
      <c r="T247" s="6"/>
      <c r="U247" s="1767"/>
      <c r="V247" s="1767"/>
      <c r="W247" s="1766"/>
      <c r="X247" s="1766"/>
      <c r="Y247" s="1766"/>
      <c r="Z247" s="1766"/>
      <c r="AA247" s="1767"/>
      <c r="AB247" s="1766"/>
      <c r="AC247" s="1766"/>
      <c r="AD247" s="1766"/>
      <c r="AE247" s="1768"/>
      <c r="AF247" s="1799"/>
      <c r="AG247" s="1770"/>
      <c r="AH247" s="1771"/>
      <c r="AJ247" s="13"/>
    </row>
    <row r="248" spans="1:36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O248" s="7"/>
      <c r="R248" s="6"/>
      <c r="S248" s="1"/>
      <c r="T248" s="6"/>
      <c r="U248" s="1767"/>
      <c r="V248" s="1767"/>
      <c r="W248" s="1766"/>
      <c r="X248" s="1766"/>
      <c r="Y248" s="1766"/>
      <c r="Z248" s="1766"/>
      <c r="AA248" s="1767"/>
      <c r="AB248" s="1766"/>
      <c r="AC248" s="1766"/>
      <c r="AD248" s="1766"/>
      <c r="AE248" s="1768"/>
      <c r="AF248" s="1799"/>
      <c r="AG248" s="1770"/>
      <c r="AH248" s="1771"/>
      <c r="AJ248" s="13"/>
    </row>
    <row r="249" spans="1:36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O249" s="7"/>
      <c r="R249" s="6"/>
      <c r="S249" s="1"/>
      <c r="T249" s="6"/>
      <c r="U249" s="1767"/>
      <c r="V249" s="1767"/>
      <c r="W249" s="1766"/>
      <c r="X249" s="1766"/>
      <c r="Y249" s="1766"/>
      <c r="Z249" s="1766"/>
      <c r="AA249" s="1767"/>
      <c r="AB249" s="1766"/>
      <c r="AC249" s="1766"/>
      <c r="AD249" s="1766"/>
      <c r="AE249" s="1768"/>
      <c r="AF249" s="1799"/>
      <c r="AG249" s="1770"/>
      <c r="AH249" s="1771"/>
      <c r="AJ249" s="13"/>
    </row>
    <row r="250" spans="1:36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O250" s="7"/>
      <c r="R250" s="6"/>
      <c r="S250" s="1"/>
      <c r="T250" s="6"/>
      <c r="U250" s="1767"/>
      <c r="V250" s="1767"/>
      <c r="W250" s="1766"/>
      <c r="X250" s="1766"/>
      <c r="Y250" s="1766"/>
      <c r="Z250" s="1766"/>
      <c r="AA250" s="1767"/>
      <c r="AB250" s="1766"/>
      <c r="AC250" s="1766"/>
      <c r="AD250" s="1766"/>
      <c r="AE250" s="1768"/>
      <c r="AF250" s="1799"/>
      <c r="AG250" s="1770"/>
      <c r="AH250" s="1771"/>
      <c r="AJ250" s="13"/>
    </row>
    <row r="251" spans="1:36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O251" s="7"/>
      <c r="R251" s="6"/>
      <c r="S251" s="1"/>
      <c r="T251" s="6"/>
      <c r="U251" s="1767"/>
      <c r="V251" s="1767"/>
      <c r="W251" s="1766"/>
      <c r="X251" s="1766"/>
      <c r="Y251" s="1766"/>
      <c r="Z251" s="1766"/>
      <c r="AA251" s="1767"/>
      <c r="AB251" s="1766"/>
      <c r="AC251" s="1766"/>
      <c r="AD251" s="1766"/>
      <c r="AE251" s="1768"/>
      <c r="AF251" s="1799"/>
      <c r="AG251" s="1770"/>
      <c r="AH251" s="1771"/>
      <c r="AJ251" s="13"/>
    </row>
    <row r="252" spans="1:36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O252" s="7"/>
      <c r="R252" s="6"/>
      <c r="S252" s="1"/>
      <c r="T252" s="6"/>
      <c r="U252" s="1767"/>
      <c r="V252" s="1767"/>
      <c r="W252" s="1766"/>
      <c r="X252" s="1766"/>
      <c r="Y252" s="1766"/>
      <c r="Z252" s="1766"/>
      <c r="AA252" s="1767"/>
      <c r="AB252" s="1766"/>
      <c r="AC252" s="1766"/>
      <c r="AD252" s="1766"/>
      <c r="AE252" s="1768"/>
      <c r="AF252" s="1799"/>
      <c r="AG252" s="1770"/>
      <c r="AH252" s="1771"/>
      <c r="AJ252" s="13"/>
    </row>
    <row r="253" spans="1:36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O253" s="7"/>
      <c r="R253" s="6"/>
      <c r="S253" s="1"/>
      <c r="T253" s="6"/>
      <c r="U253" s="1767"/>
      <c r="V253" s="1767"/>
      <c r="W253" s="1766"/>
      <c r="X253" s="1766"/>
      <c r="Y253" s="1766"/>
      <c r="Z253" s="1766"/>
      <c r="AA253" s="1767"/>
      <c r="AB253" s="1766"/>
      <c r="AC253" s="1766"/>
      <c r="AD253" s="1766"/>
      <c r="AE253" s="1768"/>
      <c r="AF253" s="1799"/>
      <c r="AG253" s="1770"/>
      <c r="AH253" s="1771"/>
      <c r="AJ253" s="13"/>
    </row>
    <row r="254" spans="1:36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O254" s="7"/>
      <c r="R254" s="6"/>
      <c r="S254" s="1"/>
      <c r="T254" s="6"/>
      <c r="U254" s="1767"/>
      <c r="V254" s="1767"/>
      <c r="W254" s="1766"/>
      <c r="X254" s="1766"/>
      <c r="Y254" s="1766"/>
      <c r="Z254" s="1766"/>
      <c r="AA254" s="1767"/>
      <c r="AB254" s="1766"/>
      <c r="AC254" s="1766"/>
      <c r="AD254" s="1766"/>
      <c r="AE254" s="1768"/>
      <c r="AF254" s="1799"/>
      <c r="AG254" s="1770"/>
      <c r="AH254" s="1771"/>
      <c r="AJ254" s="13"/>
    </row>
    <row r="255" spans="1:36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O255" s="7"/>
      <c r="R255" s="6"/>
      <c r="S255" s="1"/>
      <c r="T255" s="6"/>
      <c r="U255" s="1767"/>
      <c r="V255" s="1767"/>
      <c r="W255" s="1766"/>
      <c r="X255" s="1766"/>
      <c r="Y255" s="1766"/>
      <c r="Z255" s="1766"/>
      <c r="AA255" s="1767"/>
      <c r="AB255" s="1766"/>
      <c r="AC255" s="1766"/>
      <c r="AD255" s="1766"/>
      <c r="AE255" s="1768"/>
      <c r="AF255" s="1799"/>
      <c r="AG255" s="1770"/>
      <c r="AH255" s="1771"/>
      <c r="AJ255" s="13"/>
    </row>
    <row r="256" spans="1:36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O256" s="7"/>
      <c r="R256" s="6"/>
      <c r="S256" s="1"/>
      <c r="T256" s="6"/>
      <c r="U256" s="1767"/>
      <c r="V256" s="1767"/>
      <c r="W256" s="1766"/>
      <c r="X256" s="1766"/>
      <c r="Y256" s="1766"/>
      <c r="Z256" s="1766"/>
      <c r="AA256" s="1767"/>
      <c r="AB256" s="1766"/>
      <c r="AC256" s="1766"/>
      <c r="AD256" s="1766"/>
      <c r="AE256" s="1768"/>
      <c r="AF256" s="1799"/>
      <c r="AG256" s="1770"/>
      <c r="AH256" s="1771"/>
      <c r="AJ256" s="13"/>
    </row>
    <row r="257" spans="1:36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O257" s="7"/>
      <c r="R257" s="6"/>
      <c r="S257" s="1"/>
      <c r="T257" s="6"/>
      <c r="U257" s="1767"/>
      <c r="V257" s="1767"/>
      <c r="W257" s="1766"/>
      <c r="X257" s="1766"/>
      <c r="Y257" s="1766"/>
      <c r="Z257" s="1766"/>
      <c r="AA257" s="1767"/>
      <c r="AB257" s="1766"/>
      <c r="AC257" s="1766"/>
      <c r="AD257" s="1766"/>
      <c r="AE257" s="1768"/>
      <c r="AF257" s="1799"/>
      <c r="AG257" s="1770"/>
      <c r="AH257" s="1771"/>
      <c r="AJ257" s="13"/>
    </row>
    <row r="258" spans="1:36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O258" s="7"/>
      <c r="R258" s="6"/>
      <c r="S258" s="1"/>
      <c r="T258" s="6"/>
      <c r="U258" s="1767"/>
      <c r="V258" s="1767"/>
      <c r="W258" s="1766"/>
      <c r="X258" s="1766"/>
      <c r="Y258" s="1766"/>
      <c r="Z258" s="1766"/>
      <c r="AA258" s="1767"/>
      <c r="AB258" s="1766"/>
      <c r="AC258" s="1766"/>
      <c r="AD258" s="1766"/>
      <c r="AE258" s="1768"/>
      <c r="AF258" s="1799"/>
      <c r="AG258" s="1770"/>
      <c r="AH258" s="1771"/>
      <c r="AJ258" s="13"/>
    </row>
    <row r="259" spans="1:36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O259" s="7"/>
      <c r="R259" s="6"/>
      <c r="S259" s="1"/>
      <c r="T259" s="6"/>
      <c r="U259" s="1767"/>
      <c r="V259" s="1767"/>
      <c r="W259" s="1766"/>
      <c r="X259" s="1766"/>
      <c r="Y259" s="1766"/>
      <c r="Z259" s="1766"/>
      <c r="AA259" s="1767"/>
      <c r="AB259" s="1766"/>
      <c r="AC259" s="1766"/>
      <c r="AD259" s="1766"/>
      <c r="AE259" s="1768"/>
      <c r="AF259" s="1799"/>
      <c r="AG259" s="1770"/>
      <c r="AH259" s="1771"/>
      <c r="AJ259" s="13"/>
    </row>
    <row r="260" spans="1:36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O260" s="7"/>
      <c r="R260" s="6"/>
      <c r="S260" s="1"/>
      <c r="T260" s="6"/>
      <c r="U260" s="1767"/>
      <c r="V260" s="1767"/>
      <c r="W260" s="1766"/>
      <c r="X260" s="1766"/>
      <c r="Y260" s="1766"/>
      <c r="Z260" s="1766"/>
      <c r="AA260" s="1767"/>
      <c r="AB260" s="1766"/>
      <c r="AC260" s="1766"/>
      <c r="AD260" s="1766"/>
      <c r="AE260" s="1768"/>
      <c r="AF260" s="1799"/>
      <c r="AG260" s="1770"/>
      <c r="AH260" s="1771"/>
      <c r="AJ260" s="13"/>
    </row>
    <row r="261" spans="1:36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O261" s="7"/>
      <c r="R261" s="6"/>
      <c r="S261" s="1"/>
      <c r="T261" s="6"/>
      <c r="U261" s="1767"/>
      <c r="V261" s="1767"/>
      <c r="W261" s="1766"/>
      <c r="X261" s="1766"/>
      <c r="Y261" s="1766"/>
      <c r="Z261" s="1766"/>
      <c r="AA261" s="1767"/>
      <c r="AB261" s="1766"/>
      <c r="AC261" s="1766"/>
      <c r="AD261" s="1766"/>
      <c r="AE261" s="1768"/>
      <c r="AF261" s="1799"/>
      <c r="AG261" s="1770"/>
      <c r="AH261" s="1771"/>
      <c r="AJ261" s="13"/>
    </row>
    <row r="262" spans="1:36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O262" s="7"/>
      <c r="R262" s="6"/>
      <c r="S262" s="1"/>
      <c r="T262" s="6"/>
      <c r="U262" s="1767"/>
      <c r="V262" s="1767"/>
      <c r="W262" s="1766"/>
      <c r="X262" s="1766"/>
      <c r="Y262" s="1766"/>
      <c r="Z262" s="1766"/>
      <c r="AA262" s="1767"/>
      <c r="AB262" s="1766"/>
      <c r="AC262" s="1766"/>
      <c r="AD262" s="1766"/>
      <c r="AE262" s="1768"/>
      <c r="AF262" s="1799"/>
      <c r="AG262" s="1770"/>
      <c r="AH262" s="1771"/>
      <c r="AJ262" s="13"/>
    </row>
    <row r="263" spans="1:36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O263" s="7"/>
      <c r="R263" s="6"/>
      <c r="S263" s="1"/>
      <c r="T263" s="6"/>
      <c r="U263" s="1767"/>
      <c r="V263" s="1767"/>
      <c r="W263" s="1766"/>
      <c r="X263" s="1766"/>
      <c r="Y263" s="1766"/>
      <c r="Z263" s="1766"/>
      <c r="AA263" s="1767"/>
      <c r="AB263" s="1766"/>
      <c r="AC263" s="1766"/>
      <c r="AD263" s="1766"/>
      <c r="AE263" s="1768"/>
      <c r="AF263" s="1799"/>
      <c r="AG263" s="1770"/>
      <c r="AH263" s="1771"/>
      <c r="AJ263" s="13"/>
    </row>
    <row r="264" spans="1:36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O264" s="7"/>
      <c r="R264" s="6"/>
      <c r="S264" s="1"/>
      <c r="T264" s="6"/>
      <c r="U264" s="1767"/>
      <c r="V264" s="1767"/>
      <c r="W264" s="1766"/>
      <c r="X264" s="1766"/>
      <c r="Y264" s="1766"/>
      <c r="Z264" s="1766"/>
      <c r="AA264" s="1767"/>
      <c r="AB264" s="1766"/>
      <c r="AC264" s="1766"/>
      <c r="AD264" s="1766"/>
      <c r="AE264" s="1768"/>
      <c r="AF264" s="1799"/>
      <c r="AG264" s="1770"/>
      <c r="AH264" s="1771"/>
      <c r="AJ264" s="13"/>
    </row>
    <row r="265" spans="1:36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O265" s="7"/>
      <c r="R265" s="6"/>
      <c r="S265" s="1"/>
      <c r="T265" s="6"/>
      <c r="U265" s="1767"/>
      <c r="V265" s="1767"/>
      <c r="W265" s="1766"/>
      <c r="X265" s="1766"/>
      <c r="Y265" s="1766"/>
      <c r="Z265" s="1766"/>
      <c r="AA265" s="1767"/>
      <c r="AB265" s="1766"/>
      <c r="AC265" s="1766"/>
      <c r="AD265" s="1766"/>
      <c r="AE265" s="1768"/>
      <c r="AF265" s="1799"/>
      <c r="AG265" s="1770"/>
      <c r="AH265" s="1771"/>
      <c r="AJ265" s="13"/>
    </row>
    <row r="266" spans="1:36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O266" s="7"/>
      <c r="R266" s="6"/>
      <c r="S266" s="1"/>
      <c r="T266" s="6"/>
      <c r="U266" s="1767"/>
      <c r="V266" s="1767"/>
      <c r="W266" s="1766"/>
      <c r="X266" s="1766"/>
      <c r="Y266" s="1766"/>
      <c r="Z266" s="1766"/>
      <c r="AA266" s="1767"/>
      <c r="AB266" s="1766"/>
      <c r="AC266" s="1766"/>
      <c r="AD266" s="1766"/>
      <c r="AE266" s="1768"/>
      <c r="AF266" s="1799"/>
      <c r="AG266" s="1770"/>
      <c r="AH266" s="1771"/>
      <c r="AJ266" s="13"/>
    </row>
    <row r="267" spans="1:36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O267" s="7"/>
      <c r="R267" s="6"/>
      <c r="S267" s="1"/>
      <c r="T267" s="6"/>
      <c r="U267" s="1767"/>
      <c r="V267" s="1767"/>
      <c r="W267" s="1766"/>
      <c r="X267" s="1766"/>
      <c r="Y267" s="1766"/>
      <c r="Z267" s="1766"/>
      <c r="AA267" s="1767"/>
      <c r="AB267" s="1766"/>
      <c r="AC267" s="1766"/>
      <c r="AD267" s="1766"/>
      <c r="AE267" s="1768"/>
      <c r="AF267" s="1799"/>
      <c r="AG267" s="1770"/>
      <c r="AH267" s="1771"/>
      <c r="AJ267" s="13"/>
    </row>
    <row r="268" spans="1:36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O268" s="7"/>
      <c r="R268" s="6"/>
      <c r="S268" s="1"/>
      <c r="T268" s="6"/>
      <c r="U268" s="1767"/>
      <c r="V268" s="1767"/>
      <c r="W268" s="1766"/>
      <c r="X268" s="1766"/>
      <c r="Y268" s="1766"/>
      <c r="Z268" s="1766"/>
      <c r="AA268" s="1767"/>
      <c r="AB268" s="1766"/>
      <c r="AC268" s="1766"/>
      <c r="AD268" s="1766"/>
      <c r="AE268" s="1768"/>
      <c r="AF268" s="1799"/>
      <c r="AG268" s="1770"/>
      <c r="AH268" s="1771"/>
      <c r="AJ268" s="13"/>
    </row>
    <row r="269" spans="1:36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O269" s="7"/>
      <c r="R269" s="6"/>
      <c r="S269" s="1"/>
      <c r="T269" s="6"/>
      <c r="U269" s="1767"/>
      <c r="V269" s="1767"/>
      <c r="W269" s="1766"/>
      <c r="X269" s="1766"/>
      <c r="Y269" s="1766"/>
      <c r="Z269" s="1766"/>
      <c r="AA269" s="1767"/>
      <c r="AB269" s="1766"/>
      <c r="AC269" s="1766"/>
      <c r="AD269" s="1766"/>
      <c r="AE269" s="1768"/>
      <c r="AF269" s="1799"/>
      <c r="AG269" s="1770"/>
      <c r="AH269" s="1771"/>
      <c r="AJ269" s="13"/>
    </row>
    <row r="270" spans="1:36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O270" s="7"/>
      <c r="R270" s="6"/>
      <c r="S270" s="1"/>
      <c r="T270" s="6"/>
      <c r="U270" s="1767"/>
      <c r="V270" s="1767"/>
      <c r="W270" s="1766"/>
      <c r="X270" s="1766"/>
      <c r="Y270" s="1766"/>
      <c r="Z270" s="1766"/>
      <c r="AA270" s="1767"/>
      <c r="AB270" s="1766"/>
      <c r="AC270" s="1766"/>
      <c r="AD270" s="1766"/>
      <c r="AE270" s="1768"/>
      <c r="AF270" s="1799"/>
      <c r="AG270" s="1770"/>
      <c r="AH270" s="1771"/>
      <c r="AJ270" s="13"/>
    </row>
    <row r="271" spans="1:36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O271" s="7"/>
      <c r="R271" s="6"/>
      <c r="S271" s="1"/>
      <c r="T271" s="6"/>
      <c r="U271" s="1767"/>
      <c r="V271" s="1767"/>
      <c r="W271" s="1766"/>
      <c r="X271" s="1766"/>
      <c r="Y271" s="1766"/>
      <c r="Z271" s="1766"/>
      <c r="AA271" s="1767"/>
      <c r="AB271" s="1766"/>
      <c r="AC271" s="1766"/>
      <c r="AD271" s="1766"/>
      <c r="AE271" s="1768"/>
      <c r="AF271" s="1799"/>
      <c r="AG271" s="1770"/>
      <c r="AH271" s="1771"/>
      <c r="AJ271" s="13"/>
    </row>
    <row r="272" spans="1:36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O272" s="7"/>
      <c r="R272" s="6"/>
      <c r="S272" s="1"/>
      <c r="T272" s="6"/>
      <c r="U272" s="1767"/>
      <c r="V272" s="1767"/>
      <c r="W272" s="1766"/>
      <c r="X272" s="1766"/>
      <c r="Y272" s="1766"/>
      <c r="Z272" s="1766"/>
      <c r="AA272" s="1767"/>
      <c r="AB272" s="1766"/>
      <c r="AC272" s="1766"/>
      <c r="AD272" s="1766"/>
      <c r="AE272" s="1768"/>
      <c r="AF272" s="1799"/>
      <c r="AG272" s="1770"/>
      <c r="AH272" s="1771"/>
      <c r="AJ272" s="13"/>
    </row>
    <row r="273" spans="1:36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O273" s="7"/>
      <c r="R273" s="6"/>
      <c r="S273" s="1"/>
      <c r="T273" s="6"/>
      <c r="U273" s="1767"/>
      <c r="V273" s="1767"/>
      <c r="W273" s="1766"/>
      <c r="X273" s="1766"/>
      <c r="Y273" s="1766"/>
      <c r="Z273" s="1766"/>
      <c r="AA273" s="1767"/>
      <c r="AB273" s="1766"/>
      <c r="AC273" s="1766"/>
      <c r="AD273" s="1766"/>
      <c r="AE273" s="1768"/>
      <c r="AF273" s="1799"/>
      <c r="AG273" s="1770"/>
      <c r="AH273" s="1771"/>
      <c r="AJ273" s="13"/>
    </row>
    <row r="274" spans="1:36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O274" s="7"/>
      <c r="R274" s="6"/>
      <c r="S274" s="1"/>
      <c r="T274" s="6"/>
      <c r="U274" s="1767"/>
      <c r="V274" s="1767"/>
      <c r="W274" s="1766"/>
      <c r="X274" s="1766"/>
      <c r="Y274" s="1766"/>
      <c r="Z274" s="1766"/>
      <c r="AA274" s="1767"/>
      <c r="AB274" s="1766"/>
      <c r="AC274" s="1766"/>
      <c r="AD274" s="1766"/>
      <c r="AE274" s="1768"/>
      <c r="AF274" s="1799"/>
      <c r="AG274" s="1770"/>
      <c r="AH274" s="1771"/>
      <c r="AJ274" s="13"/>
    </row>
    <row r="275" spans="1:36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O275" s="7"/>
      <c r="R275" s="6"/>
      <c r="S275" s="1"/>
      <c r="T275" s="6"/>
      <c r="U275" s="1767"/>
      <c r="V275" s="1767"/>
      <c r="W275" s="1766"/>
      <c r="X275" s="1766"/>
      <c r="Y275" s="1766"/>
      <c r="Z275" s="1766"/>
      <c r="AA275" s="1767"/>
      <c r="AB275" s="1766"/>
      <c r="AC275" s="1766"/>
      <c r="AD275" s="1766"/>
      <c r="AE275" s="1768"/>
      <c r="AF275" s="1799"/>
      <c r="AG275" s="1770"/>
      <c r="AH275" s="1771"/>
      <c r="AJ275" s="13"/>
    </row>
    <row r="276" spans="1:36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O276" s="7"/>
      <c r="R276" s="6"/>
      <c r="S276" s="1"/>
      <c r="T276" s="6"/>
      <c r="U276" s="1767"/>
      <c r="V276" s="1767"/>
      <c r="W276" s="1766"/>
      <c r="X276" s="1766"/>
      <c r="Y276" s="1766"/>
      <c r="Z276" s="1766"/>
      <c r="AA276" s="1767"/>
      <c r="AB276" s="1766"/>
      <c r="AC276" s="1766"/>
      <c r="AD276" s="1766"/>
      <c r="AE276" s="1768"/>
      <c r="AF276" s="1799"/>
      <c r="AG276" s="1770"/>
      <c r="AH276" s="1771"/>
      <c r="AJ276" s="13"/>
    </row>
    <row r="277" spans="1:36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O277" s="7"/>
      <c r="R277" s="6"/>
      <c r="S277" s="1"/>
      <c r="T277" s="6"/>
      <c r="U277" s="1767"/>
      <c r="V277" s="1767"/>
      <c r="W277" s="1766"/>
      <c r="X277" s="1766"/>
      <c r="Y277" s="1766"/>
      <c r="Z277" s="1766"/>
      <c r="AA277" s="1767"/>
      <c r="AB277" s="1766"/>
      <c r="AC277" s="1766"/>
      <c r="AD277" s="1766"/>
      <c r="AE277" s="1768"/>
      <c r="AF277" s="1799"/>
      <c r="AG277" s="1770"/>
      <c r="AH277" s="1771"/>
      <c r="AJ277" s="13"/>
    </row>
    <row r="278" spans="1:36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O278" s="7"/>
      <c r="R278" s="6"/>
      <c r="S278" s="1"/>
      <c r="T278" s="6"/>
      <c r="U278" s="1767"/>
      <c r="V278" s="1767"/>
      <c r="W278" s="1766"/>
      <c r="X278" s="1766"/>
      <c r="Y278" s="1766"/>
      <c r="Z278" s="1766"/>
      <c r="AA278" s="1767"/>
      <c r="AB278" s="1766"/>
      <c r="AC278" s="1766"/>
      <c r="AD278" s="1766"/>
      <c r="AE278" s="1768"/>
      <c r="AF278" s="1799"/>
      <c r="AG278" s="1770"/>
      <c r="AH278" s="1771"/>
      <c r="AJ278" s="13"/>
    </row>
    <row r="279" spans="1:36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O279" s="7"/>
      <c r="R279" s="6"/>
      <c r="S279" s="1"/>
      <c r="T279" s="6"/>
      <c r="U279" s="1767"/>
      <c r="V279" s="1767"/>
      <c r="W279" s="1766"/>
      <c r="X279" s="1766"/>
      <c r="Y279" s="1766"/>
      <c r="Z279" s="1766"/>
      <c r="AA279" s="1767"/>
      <c r="AB279" s="1766"/>
      <c r="AC279" s="1766"/>
      <c r="AD279" s="1766"/>
      <c r="AE279" s="1768"/>
      <c r="AF279" s="1799"/>
      <c r="AG279" s="1770"/>
      <c r="AH279" s="1771"/>
      <c r="AJ279" s="13"/>
    </row>
    <row r="280" spans="1:36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O280" s="7"/>
      <c r="R280" s="6"/>
      <c r="S280" s="1"/>
      <c r="T280" s="6"/>
      <c r="U280" s="1767"/>
      <c r="V280" s="1767"/>
      <c r="W280" s="1766"/>
      <c r="X280" s="1766"/>
      <c r="Y280" s="1766"/>
      <c r="Z280" s="1766"/>
      <c r="AA280" s="1767"/>
      <c r="AB280" s="1766"/>
      <c r="AC280" s="1766"/>
      <c r="AD280" s="1766"/>
      <c r="AE280" s="1768"/>
      <c r="AF280" s="1799"/>
      <c r="AG280" s="1770"/>
      <c r="AH280" s="1771"/>
      <c r="AJ280" s="13"/>
    </row>
    <row r="281" spans="1:36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O281" s="7"/>
      <c r="R281" s="6"/>
      <c r="S281" s="1"/>
      <c r="T281" s="6"/>
      <c r="U281" s="1767"/>
      <c r="V281" s="1767"/>
      <c r="W281" s="1766"/>
      <c r="X281" s="1766"/>
      <c r="Y281" s="1766"/>
      <c r="Z281" s="1766"/>
      <c r="AA281" s="1767"/>
      <c r="AB281" s="1766"/>
      <c r="AC281" s="1766"/>
      <c r="AD281" s="1766"/>
      <c r="AE281" s="1768"/>
      <c r="AF281" s="1799"/>
      <c r="AG281" s="1770"/>
      <c r="AH281" s="1771"/>
      <c r="AJ281" s="13"/>
    </row>
    <row r="282" spans="1:36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O282" s="7"/>
      <c r="R282" s="6"/>
      <c r="S282" s="1"/>
      <c r="T282" s="6"/>
      <c r="U282" s="1767"/>
      <c r="V282" s="1767"/>
      <c r="W282" s="1766"/>
      <c r="X282" s="1766"/>
      <c r="Y282" s="1766"/>
      <c r="Z282" s="1766"/>
      <c r="AA282" s="1767"/>
      <c r="AB282" s="1766"/>
      <c r="AC282" s="1766"/>
      <c r="AD282" s="1766"/>
      <c r="AE282" s="1768"/>
      <c r="AF282" s="1799"/>
      <c r="AG282" s="1770"/>
      <c r="AH282" s="1771"/>
      <c r="AJ282" s="13"/>
    </row>
    <row r="283" spans="1:36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O283" s="7"/>
      <c r="R283" s="6"/>
      <c r="S283" s="1"/>
      <c r="T283" s="6"/>
      <c r="U283" s="1767"/>
      <c r="V283" s="1767"/>
      <c r="W283" s="1766"/>
      <c r="X283" s="1766"/>
      <c r="Y283" s="1766"/>
      <c r="Z283" s="1766"/>
      <c r="AA283" s="1767"/>
      <c r="AB283" s="1766"/>
      <c r="AC283" s="1766"/>
      <c r="AD283" s="1766"/>
      <c r="AE283" s="1768"/>
      <c r="AF283" s="1799"/>
      <c r="AG283" s="1770"/>
      <c r="AH283" s="1771"/>
      <c r="AJ283" s="13"/>
    </row>
    <row r="284" spans="1:36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O284" s="7"/>
      <c r="R284" s="6"/>
      <c r="S284" s="1"/>
      <c r="T284" s="6"/>
      <c r="U284" s="1767"/>
      <c r="V284" s="1767"/>
      <c r="W284" s="1766"/>
      <c r="X284" s="1766"/>
      <c r="Y284" s="1766"/>
      <c r="Z284" s="1766"/>
      <c r="AA284" s="1767"/>
      <c r="AB284" s="1766"/>
      <c r="AC284" s="1766"/>
      <c r="AD284" s="1766"/>
      <c r="AE284" s="1768"/>
      <c r="AF284" s="1799"/>
      <c r="AG284" s="1770"/>
      <c r="AH284" s="1771"/>
      <c r="AJ284" s="13"/>
    </row>
    <row r="285" spans="1:36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O285" s="7"/>
      <c r="R285" s="6"/>
      <c r="S285" s="1"/>
      <c r="T285" s="6"/>
      <c r="U285" s="1767"/>
      <c r="V285" s="1767"/>
      <c r="W285" s="1766"/>
      <c r="X285" s="1766"/>
      <c r="Y285" s="1766"/>
      <c r="Z285" s="1766"/>
      <c r="AA285" s="1767"/>
      <c r="AB285" s="1766"/>
      <c r="AC285" s="1766"/>
      <c r="AD285" s="1766"/>
      <c r="AE285" s="1768"/>
      <c r="AF285" s="1799"/>
      <c r="AG285" s="1770"/>
      <c r="AH285" s="1771"/>
      <c r="AJ285" s="13"/>
    </row>
    <row r="286" spans="1:36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O286" s="7"/>
      <c r="R286" s="6"/>
      <c r="S286" s="1"/>
      <c r="T286" s="6"/>
      <c r="U286" s="1767"/>
      <c r="V286" s="1767"/>
      <c r="W286" s="1766"/>
      <c r="X286" s="1766"/>
      <c r="Y286" s="1766"/>
      <c r="Z286" s="1766"/>
      <c r="AA286" s="1767"/>
      <c r="AB286" s="1766"/>
      <c r="AC286" s="1766"/>
      <c r="AD286" s="1766"/>
      <c r="AE286" s="1768"/>
      <c r="AF286" s="1799"/>
      <c r="AG286" s="1770"/>
      <c r="AH286" s="1771"/>
      <c r="AJ286" s="13"/>
    </row>
    <row r="287" spans="1:36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O287" s="7"/>
      <c r="R287" s="6"/>
      <c r="S287" s="1"/>
      <c r="T287" s="6"/>
      <c r="U287" s="1767"/>
      <c r="V287" s="1767"/>
      <c r="W287" s="1766"/>
      <c r="X287" s="1766"/>
      <c r="Y287" s="1766"/>
      <c r="Z287" s="1766"/>
      <c r="AA287" s="1767"/>
      <c r="AB287" s="1766"/>
      <c r="AC287" s="1766"/>
      <c r="AD287" s="1766"/>
      <c r="AE287" s="1768"/>
      <c r="AF287" s="1799"/>
      <c r="AG287" s="1770"/>
      <c r="AH287" s="1771"/>
      <c r="AJ287" s="13"/>
    </row>
    <row r="288" spans="1:36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O288" s="7"/>
      <c r="R288" s="6"/>
      <c r="S288" s="1"/>
      <c r="T288" s="6"/>
      <c r="U288" s="1767"/>
      <c r="V288" s="1767"/>
      <c r="W288" s="1766"/>
      <c r="X288" s="1766"/>
      <c r="Y288" s="1766"/>
      <c r="Z288" s="1766"/>
      <c r="AA288" s="1767"/>
      <c r="AB288" s="1766"/>
      <c r="AC288" s="1766"/>
      <c r="AD288" s="1766"/>
      <c r="AE288" s="1768"/>
      <c r="AF288" s="1799"/>
      <c r="AG288" s="1770"/>
      <c r="AH288" s="1771"/>
      <c r="AJ288" s="13"/>
    </row>
    <row r="289" spans="1:36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O289" s="7"/>
      <c r="R289" s="6"/>
      <c r="S289" s="1"/>
      <c r="T289" s="6"/>
      <c r="U289" s="1767"/>
      <c r="V289" s="1767"/>
      <c r="W289" s="1766"/>
      <c r="X289" s="1766"/>
      <c r="Y289" s="1766"/>
      <c r="Z289" s="1766"/>
      <c r="AA289" s="1767"/>
      <c r="AB289" s="1766"/>
      <c r="AC289" s="1766"/>
      <c r="AD289" s="1766"/>
      <c r="AE289" s="1768"/>
      <c r="AF289" s="1799"/>
      <c r="AG289" s="1770"/>
      <c r="AH289" s="1771"/>
      <c r="AJ289" s="13"/>
    </row>
    <row r="290" spans="1:36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O290" s="7"/>
      <c r="R290" s="6"/>
      <c r="S290" s="1"/>
      <c r="T290" s="6"/>
      <c r="U290" s="1767"/>
      <c r="V290" s="1767"/>
      <c r="W290" s="1766"/>
      <c r="X290" s="1766"/>
      <c r="Y290" s="1766"/>
      <c r="Z290" s="1766"/>
      <c r="AA290" s="1767"/>
      <c r="AB290" s="1766"/>
      <c r="AC290" s="1766"/>
      <c r="AD290" s="1766"/>
      <c r="AE290" s="1768"/>
      <c r="AF290" s="1799"/>
      <c r="AG290" s="1770"/>
      <c r="AH290" s="1771"/>
      <c r="AJ290" s="13"/>
    </row>
    <row r="291" spans="1:36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O291" s="7"/>
      <c r="R291" s="6"/>
      <c r="S291" s="1"/>
      <c r="T291" s="6"/>
      <c r="U291" s="1767"/>
      <c r="V291" s="1767"/>
      <c r="W291" s="1766"/>
      <c r="X291" s="1766"/>
      <c r="Y291" s="1766"/>
      <c r="Z291" s="1766"/>
      <c r="AA291" s="1767"/>
      <c r="AB291" s="1766"/>
      <c r="AC291" s="1766"/>
      <c r="AD291" s="1766"/>
      <c r="AE291" s="1768"/>
      <c r="AF291" s="1799"/>
      <c r="AG291" s="1770"/>
      <c r="AH291" s="1771"/>
      <c r="AJ291" s="13"/>
    </row>
    <row r="292" spans="1:36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O292" s="7"/>
      <c r="R292" s="6"/>
      <c r="S292" s="1"/>
      <c r="T292" s="6"/>
      <c r="U292" s="1767"/>
      <c r="V292" s="1767"/>
      <c r="W292" s="1766"/>
      <c r="X292" s="1766"/>
      <c r="Y292" s="1766"/>
      <c r="Z292" s="1766"/>
      <c r="AA292" s="1767"/>
      <c r="AB292" s="1766"/>
      <c r="AC292" s="1766"/>
      <c r="AD292" s="1766"/>
      <c r="AE292" s="1768"/>
      <c r="AF292" s="1799"/>
      <c r="AG292" s="1770"/>
      <c r="AH292" s="1771"/>
      <c r="AJ292" s="13"/>
    </row>
    <row r="293" spans="1:36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O293" s="7"/>
      <c r="R293" s="6"/>
      <c r="S293" s="1"/>
      <c r="T293" s="6"/>
      <c r="U293" s="1767"/>
      <c r="V293" s="1767"/>
      <c r="W293" s="1766"/>
      <c r="X293" s="1766"/>
      <c r="Y293" s="1766"/>
      <c r="Z293" s="1766"/>
      <c r="AA293" s="1767"/>
      <c r="AB293" s="1766"/>
      <c r="AC293" s="1766"/>
      <c r="AD293" s="1766"/>
      <c r="AE293" s="1768"/>
      <c r="AF293" s="1799"/>
      <c r="AG293" s="1770"/>
      <c r="AH293" s="1771"/>
      <c r="AJ293" s="13"/>
    </row>
    <row r="294" spans="1:36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O294" s="7"/>
      <c r="R294" s="6"/>
      <c r="S294" s="1"/>
      <c r="T294" s="6"/>
      <c r="U294" s="1767"/>
      <c r="V294" s="1767"/>
      <c r="W294" s="1766"/>
      <c r="X294" s="1766"/>
      <c r="Y294" s="1766"/>
      <c r="Z294" s="1766"/>
      <c r="AA294" s="1767"/>
      <c r="AB294" s="1766"/>
      <c r="AC294" s="1766"/>
      <c r="AD294" s="1766"/>
      <c r="AE294" s="1768"/>
      <c r="AF294" s="1799"/>
      <c r="AG294" s="1770"/>
      <c r="AH294" s="1771"/>
      <c r="AJ294" s="13"/>
    </row>
    <row r="295" spans="1:36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O295" s="7"/>
      <c r="R295" s="6"/>
      <c r="S295" s="1"/>
      <c r="T295" s="6"/>
      <c r="U295" s="1767"/>
      <c r="V295" s="1767"/>
      <c r="W295" s="1766"/>
      <c r="X295" s="1766"/>
      <c r="Y295" s="1766"/>
      <c r="Z295" s="1766"/>
      <c r="AA295" s="1767"/>
      <c r="AB295" s="1766"/>
      <c r="AC295" s="1766"/>
      <c r="AD295" s="1766"/>
      <c r="AE295" s="1768"/>
      <c r="AF295" s="1799"/>
      <c r="AG295" s="1770"/>
      <c r="AH295" s="1771"/>
      <c r="AJ295" s="13"/>
    </row>
    <row r="296" spans="1:36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O296" s="7"/>
      <c r="R296" s="6"/>
      <c r="S296" s="1"/>
      <c r="T296" s="6"/>
      <c r="U296" s="1767"/>
      <c r="V296" s="1767"/>
      <c r="W296" s="1766"/>
      <c r="X296" s="1766"/>
      <c r="Y296" s="1766"/>
      <c r="Z296" s="1766"/>
      <c r="AA296" s="1767"/>
      <c r="AB296" s="1766"/>
      <c r="AC296" s="1766"/>
      <c r="AD296" s="1766"/>
      <c r="AE296" s="1768"/>
      <c r="AF296" s="1799"/>
      <c r="AG296" s="1770"/>
      <c r="AH296" s="1771"/>
      <c r="AJ296" s="13"/>
    </row>
    <row r="297" spans="1:36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O297" s="7"/>
      <c r="R297" s="6"/>
      <c r="S297" s="1"/>
      <c r="T297" s="6"/>
      <c r="U297" s="1767"/>
      <c r="V297" s="1767"/>
      <c r="W297" s="1766"/>
      <c r="X297" s="1766"/>
      <c r="Y297" s="1766"/>
      <c r="Z297" s="1766"/>
      <c r="AA297" s="1767"/>
      <c r="AB297" s="1766"/>
      <c r="AC297" s="1766"/>
      <c r="AD297" s="1766"/>
      <c r="AE297" s="1768"/>
      <c r="AF297" s="1799"/>
      <c r="AG297" s="1770"/>
      <c r="AH297" s="1771"/>
      <c r="AJ297" s="13"/>
    </row>
    <row r="298" spans="1:36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O298" s="7"/>
      <c r="R298" s="6"/>
      <c r="S298" s="1"/>
      <c r="T298" s="6"/>
      <c r="U298" s="1767"/>
      <c r="V298" s="1767"/>
      <c r="W298" s="1766"/>
      <c r="X298" s="1766"/>
      <c r="Y298" s="1766"/>
      <c r="Z298" s="1766"/>
      <c r="AA298" s="1767"/>
      <c r="AB298" s="1766"/>
      <c r="AC298" s="1766"/>
      <c r="AD298" s="1766"/>
      <c r="AE298" s="1768"/>
      <c r="AF298" s="1799"/>
      <c r="AG298" s="1770"/>
      <c r="AH298" s="1771"/>
      <c r="AJ298" s="13"/>
    </row>
    <row r="299" spans="1:36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O299" s="7"/>
      <c r="R299" s="6"/>
      <c r="S299" s="1"/>
      <c r="T299" s="6"/>
      <c r="U299" s="1767"/>
      <c r="V299" s="1767"/>
      <c r="W299" s="1766"/>
      <c r="X299" s="1766"/>
      <c r="Y299" s="1766"/>
      <c r="Z299" s="1766"/>
      <c r="AA299" s="1767"/>
      <c r="AB299" s="1766"/>
      <c r="AC299" s="1766"/>
      <c r="AD299" s="1766"/>
      <c r="AE299" s="1768"/>
      <c r="AF299" s="1799"/>
      <c r="AG299" s="1770"/>
      <c r="AH299" s="1771"/>
      <c r="AJ299" s="13"/>
    </row>
    <row r="300" spans="1:36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O300" s="7"/>
      <c r="R300" s="6"/>
      <c r="S300" s="1"/>
      <c r="T300" s="6"/>
      <c r="U300" s="1767"/>
      <c r="V300" s="1767"/>
      <c r="W300" s="1766"/>
      <c r="X300" s="1766"/>
      <c r="Y300" s="1766"/>
      <c r="Z300" s="1766"/>
      <c r="AA300" s="1767"/>
      <c r="AB300" s="1766"/>
      <c r="AC300" s="1766"/>
      <c r="AD300" s="1766"/>
      <c r="AE300" s="1768"/>
      <c r="AF300" s="1799"/>
      <c r="AG300" s="1770"/>
      <c r="AH300" s="1771"/>
      <c r="AJ300" s="13"/>
    </row>
    <row r="301" spans="1:36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O301" s="7"/>
      <c r="R301" s="6"/>
      <c r="S301" s="1"/>
      <c r="T301" s="6"/>
      <c r="U301" s="1767"/>
      <c r="V301" s="1767"/>
      <c r="W301" s="1766"/>
      <c r="X301" s="1766"/>
      <c r="Y301" s="1766"/>
      <c r="Z301" s="1766"/>
      <c r="AA301" s="1767"/>
      <c r="AB301" s="1766"/>
      <c r="AC301" s="1766"/>
      <c r="AD301" s="1766"/>
      <c r="AE301" s="1768"/>
      <c r="AF301" s="1799"/>
      <c r="AG301" s="1770"/>
      <c r="AH301" s="1771"/>
      <c r="AJ301" s="13"/>
    </row>
    <row r="302" spans="1:36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O302" s="7"/>
      <c r="R302" s="6"/>
      <c r="S302" s="1"/>
      <c r="T302" s="6"/>
      <c r="U302" s="1767"/>
      <c r="V302" s="1767"/>
      <c r="W302" s="1766"/>
      <c r="X302" s="1766"/>
      <c r="Y302" s="1766"/>
      <c r="Z302" s="1766"/>
      <c r="AA302" s="1767"/>
      <c r="AB302" s="1766"/>
      <c r="AC302" s="1766"/>
      <c r="AD302" s="1766"/>
      <c r="AE302" s="1768"/>
      <c r="AF302" s="1799"/>
      <c r="AG302" s="1770"/>
      <c r="AH302" s="1771"/>
      <c r="AJ302" s="13"/>
    </row>
    <row r="303" spans="1:36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O303" s="7"/>
      <c r="R303" s="6"/>
      <c r="S303" s="1"/>
      <c r="T303" s="6"/>
      <c r="U303" s="1767"/>
      <c r="V303" s="1767"/>
      <c r="W303" s="1766"/>
      <c r="X303" s="1766"/>
      <c r="Y303" s="1766"/>
      <c r="Z303" s="1766"/>
      <c r="AA303" s="1767"/>
      <c r="AB303" s="1766"/>
      <c r="AC303" s="1766"/>
      <c r="AD303" s="1766"/>
      <c r="AE303" s="1768"/>
      <c r="AF303" s="1799"/>
      <c r="AG303" s="1770"/>
      <c r="AH303" s="1771"/>
      <c r="AJ303" s="13"/>
    </row>
    <row r="304" spans="1:36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O304" s="7"/>
      <c r="R304" s="6"/>
      <c r="S304" s="1"/>
      <c r="T304" s="6"/>
      <c r="U304" s="1767"/>
      <c r="V304" s="1767"/>
      <c r="W304" s="1766"/>
      <c r="X304" s="1766"/>
      <c r="Y304" s="1766"/>
      <c r="Z304" s="1766"/>
      <c r="AA304" s="1767"/>
      <c r="AB304" s="1766"/>
      <c r="AC304" s="1766"/>
      <c r="AD304" s="1766"/>
      <c r="AE304" s="1768"/>
      <c r="AF304" s="1799"/>
      <c r="AG304" s="1770"/>
      <c r="AH304" s="1771"/>
      <c r="AJ304" s="13"/>
    </row>
    <row r="305" spans="1:36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O305" s="7"/>
      <c r="R305" s="6"/>
      <c r="S305" s="1"/>
      <c r="T305" s="6"/>
      <c r="U305" s="1767"/>
      <c r="V305" s="1767"/>
      <c r="W305" s="1766"/>
      <c r="X305" s="1766"/>
      <c r="Y305" s="1766"/>
      <c r="Z305" s="1766"/>
      <c r="AA305" s="1767"/>
      <c r="AB305" s="1766"/>
      <c r="AC305" s="1766"/>
      <c r="AD305" s="1766"/>
      <c r="AE305" s="1768"/>
      <c r="AF305" s="1799"/>
      <c r="AG305" s="1770"/>
      <c r="AH305" s="1771"/>
      <c r="AJ305" s="13"/>
    </row>
    <row r="306" spans="1:36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O306" s="7"/>
      <c r="R306" s="6"/>
      <c r="S306" s="1"/>
      <c r="T306" s="6"/>
      <c r="U306" s="1767"/>
      <c r="V306" s="1767"/>
      <c r="W306" s="1766"/>
      <c r="X306" s="1766"/>
      <c r="Y306" s="1766"/>
      <c r="Z306" s="1766"/>
      <c r="AA306" s="1767"/>
      <c r="AB306" s="1766"/>
      <c r="AC306" s="1766"/>
      <c r="AD306" s="1766"/>
      <c r="AE306" s="1768"/>
      <c r="AF306" s="1799"/>
      <c r="AG306" s="1770"/>
      <c r="AH306" s="1771"/>
      <c r="AJ306" s="13"/>
    </row>
    <row r="307" spans="1:36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O307" s="7"/>
      <c r="R307" s="6"/>
      <c r="S307" s="1"/>
      <c r="T307" s="6"/>
      <c r="U307" s="1767"/>
      <c r="V307" s="1767"/>
      <c r="W307" s="1766"/>
      <c r="X307" s="1766"/>
      <c r="Y307" s="1766"/>
      <c r="Z307" s="1766"/>
      <c r="AA307" s="1767"/>
      <c r="AB307" s="1766"/>
      <c r="AC307" s="1766"/>
      <c r="AD307" s="1766"/>
      <c r="AE307" s="1768"/>
      <c r="AF307" s="1799"/>
      <c r="AG307" s="1770"/>
      <c r="AH307" s="1771"/>
      <c r="AJ307" s="13"/>
    </row>
    <row r="308" spans="1:36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O308" s="7"/>
      <c r="R308" s="6"/>
      <c r="S308" s="1"/>
      <c r="T308" s="6"/>
      <c r="U308" s="1767"/>
      <c r="V308" s="1767"/>
      <c r="W308" s="1766"/>
      <c r="X308" s="1766"/>
      <c r="Y308" s="1766"/>
      <c r="Z308" s="1766"/>
      <c r="AA308" s="1767"/>
      <c r="AB308" s="1766"/>
      <c r="AC308" s="1766"/>
      <c r="AD308" s="1766"/>
      <c r="AE308" s="1768"/>
      <c r="AF308" s="1799"/>
      <c r="AG308" s="1770"/>
      <c r="AH308" s="1771"/>
      <c r="AJ308" s="13"/>
    </row>
    <row r="309" spans="1:36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O309" s="7"/>
      <c r="R309" s="6"/>
      <c r="S309" s="1"/>
      <c r="T309" s="6"/>
      <c r="U309" s="1767"/>
      <c r="V309" s="1767"/>
      <c r="W309" s="1766"/>
      <c r="X309" s="1766"/>
      <c r="Y309" s="1766"/>
      <c r="Z309" s="1766"/>
      <c r="AA309" s="1767"/>
      <c r="AB309" s="1766"/>
      <c r="AC309" s="1766"/>
      <c r="AD309" s="1766"/>
      <c r="AE309" s="1768"/>
      <c r="AF309" s="1799"/>
      <c r="AG309" s="1770"/>
      <c r="AH309" s="1771"/>
      <c r="AJ309" s="13"/>
    </row>
    <row r="310" spans="1:36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O310" s="7"/>
      <c r="R310" s="6"/>
      <c r="S310" s="1"/>
      <c r="T310" s="6"/>
      <c r="U310" s="1767"/>
      <c r="V310" s="1767"/>
      <c r="W310" s="1766"/>
      <c r="X310" s="1766"/>
      <c r="Y310" s="1766"/>
      <c r="Z310" s="1766"/>
      <c r="AA310" s="1767"/>
      <c r="AB310" s="1766"/>
      <c r="AC310" s="1766"/>
      <c r="AD310" s="1766"/>
      <c r="AE310" s="1768"/>
      <c r="AF310" s="1799"/>
      <c r="AG310" s="1770"/>
      <c r="AH310" s="1771"/>
      <c r="AJ310" s="13"/>
    </row>
    <row r="311" spans="1:36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O311" s="7"/>
      <c r="R311" s="6"/>
      <c r="S311" s="1"/>
      <c r="T311" s="6"/>
      <c r="U311" s="1767"/>
      <c r="V311" s="1767"/>
      <c r="W311" s="1766"/>
      <c r="X311" s="1766"/>
      <c r="Y311" s="1766"/>
      <c r="Z311" s="1766"/>
      <c r="AA311" s="1767"/>
      <c r="AB311" s="1766"/>
      <c r="AC311" s="1766"/>
      <c r="AD311" s="1766"/>
      <c r="AE311" s="1768"/>
      <c r="AF311" s="1799"/>
      <c r="AG311" s="1770"/>
      <c r="AH311" s="1771"/>
      <c r="AJ311" s="13"/>
    </row>
    <row r="312" spans="1:36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O312" s="7"/>
      <c r="R312" s="6"/>
      <c r="S312" s="1"/>
      <c r="T312" s="6"/>
      <c r="U312" s="1767"/>
      <c r="V312" s="1767"/>
      <c r="W312" s="1766"/>
      <c r="X312" s="1766"/>
      <c r="Y312" s="1766"/>
      <c r="Z312" s="1766"/>
      <c r="AA312" s="1767"/>
      <c r="AB312" s="1766"/>
      <c r="AC312" s="1766"/>
      <c r="AD312" s="1766"/>
      <c r="AE312" s="1768"/>
      <c r="AF312" s="1799"/>
      <c r="AG312" s="1770"/>
      <c r="AH312" s="1771"/>
      <c r="AJ312" s="13"/>
    </row>
    <row r="313" spans="1:36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O313" s="7"/>
      <c r="R313" s="6"/>
      <c r="S313" s="1"/>
      <c r="T313" s="6"/>
      <c r="U313" s="1767"/>
      <c r="V313" s="1767"/>
      <c r="W313" s="1766"/>
      <c r="X313" s="1766"/>
      <c r="Y313" s="1766"/>
      <c r="Z313" s="1766"/>
      <c r="AA313" s="1767"/>
      <c r="AB313" s="1766"/>
      <c r="AC313" s="1766"/>
      <c r="AD313" s="1766"/>
      <c r="AE313" s="1768"/>
      <c r="AF313" s="1799"/>
      <c r="AG313" s="1770"/>
      <c r="AH313" s="1771"/>
      <c r="AJ313" s="13"/>
    </row>
    <row r="314" spans="1:36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O314" s="7"/>
      <c r="R314" s="6"/>
      <c r="S314" s="1"/>
      <c r="T314" s="6"/>
      <c r="U314" s="1767"/>
      <c r="V314" s="1767"/>
      <c r="W314" s="1766"/>
      <c r="X314" s="1766"/>
      <c r="Y314" s="1766"/>
      <c r="Z314" s="1766"/>
      <c r="AA314" s="1767"/>
      <c r="AB314" s="1766"/>
      <c r="AC314" s="1766"/>
      <c r="AD314" s="1766"/>
      <c r="AE314" s="1768"/>
      <c r="AF314" s="1799"/>
      <c r="AG314" s="1770"/>
      <c r="AH314" s="1771"/>
      <c r="AJ314" s="13"/>
    </row>
    <row r="315" spans="1:36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O315" s="7"/>
      <c r="R315" s="6"/>
      <c r="S315" s="1"/>
      <c r="T315" s="6"/>
      <c r="U315" s="1767"/>
      <c r="V315" s="1767"/>
      <c r="W315" s="1766"/>
      <c r="X315" s="1766"/>
      <c r="Y315" s="1766"/>
      <c r="Z315" s="1766"/>
      <c r="AA315" s="1767"/>
      <c r="AB315" s="1766"/>
      <c r="AC315" s="1766"/>
      <c r="AD315" s="1766"/>
      <c r="AE315" s="1768"/>
      <c r="AF315" s="1799"/>
      <c r="AG315" s="1770"/>
      <c r="AH315" s="1771"/>
      <c r="AJ315" s="13"/>
    </row>
    <row r="316" spans="1:36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O316" s="7"/>
      <c r="R316" s="6"/>
      <c r="S316" s="1"/>
      <c r="T316" s="6"/>
      <c r="U316" s="1767"/>
      <c r="V316" s="1767"/>
      <c r="W316" s="1766"/>
      <c r="X316" s="1766"/>
      <c r="Y316" s="1766"/>
      <c r="Z316" s="1766"/>
      <c r="AA316" s="1767"/>
      <c r="AB316" s="1766"/>
      <c r="AC316" s="1766"/>
      <c r="AD316" s="1766"/>
      <c r="AE316" s="1768"/>
      <c r="AF316" s="1799"/>
      <c r="AG316" s="1770"/>
      <c r="AH316" s="1771"/>
      <c r="AJ316" s="13"/>
    </row>
    <row r="317" spans="1:36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O317" s="7"/>
      <c r="R317" s="6"/>
      <c r="S317" s="1"/>
      <c r="T317" s="6"/>
      <c r="U317" s="1767"/>
      <c r="V317" s="1767"/>
      <c r="W317" s="1766"/>
      <c r="X317" s="1766"/>
      <c r="Y317" s="1766"/>
      <c r="Z317" s="1766"/>
      <c r="AA317" s="1767"/>
      <c r="AB317" s="1766"/>
      <c r="AC317" s="1766"/>
      <c r="AD317" s="1766"/>
      <c r="AE317" s="1768"/>
      <c r="AF317" s="1799"/>
      <c r="AG317" s="1770"/>
      <c r="AH317" s="1771"/>
      <c r="AJ317" s="13"/>
    </row>
    <row r="318" spans="1:36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O318" s="7"/>
      <c r="R318" s="6"/>
      <c r="S318" s="1"/>
      <c r="T318" s="6"/>
      <c r="U318" s="1767"/>
      <c r="V318" s="1767"/>
      <c r="W318" s="1766"/>
      <c r="X318" s="1766"/>
      <c r="Y318" s="1766"/>
      <c r="Z318" s="1766"/>
      <c r="AA318" s="1767"/>
      <c r="AB318" s="1766"/>
      <c r="AC318" s="1766"/>
      <c r="AD318" s="1766"/>
      <c r="AE318" s="1768"/>
      <c r="AF318" s="1799"/>
      <c r="AG318" s="1770"/>
      <c r="AH318" s="1771"/>
      <c r="AJ318" s="13"/>
    </row>
  </sheetData>
  <mergeCells count="4">
    <mergeCell ref="A2:P2"/>
    <mergeCell ref="D3:L3"/>
    <mergeCell ref="A5:L5"/>
    <mergeCell ref="A11:L1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E8C0-554D-4700-B4FB-FE437E037873}">
  <dimension ref="A1:AL247"/>
  <sheetViews>
    <sheetView zoomScale="70" zoomScaleNormal="70" workbookViewId="0">
      <pane xSplit="12" ySplit="4" topLeftCell="M176" activePane="bottomRight" state="frozen"/>
      <selection activeCell="H192" sqref="H192"/>
      <selection pane="topRight" activeCell="H192" sqref="H192"/>
      <selection pane="bottomLeft" activeCell="H192" sqref="H192"/>
      <selection pane="bottomRight" activeCell="J193" sqref="J193"/>
    </sheetView>
  </sheetViews>
  <sheetFormatPr defaultColWidth="10.33203125" defaultRowHeight="15.6"/>
  <cols>
    <col min="1" max="1" width="7" style="1" customWidth="1"/>
    <col min="2" max="2" width="11.6640625" style="6" customWidth="1"/>
    <col min="3" max="3" width="19.5546875" style="2" customWidth="1"/>
    <col min="4" max="4" width="13.109375" style="3" customWidth="1"/>
    <col min="5" max="5" width="14.88671875" style="4" customWidth="1"/>
    <col min="6" max="6" width="11.109375" style="4" customWidth="1"/>
    <col min="7" max="8" width="5.109375" style="6" customWidth="1"/>
    <col min="9" max="9" width="5.6640625" style="7" customWidth="1"/>
    <col min="10" max="10" width="14.44140625" style="7" customWidth="1"/>
    <col min="11" max="11" width="6.5546875" style="11" customWidth="1"/>
    <col min="12" max="12" width="26.5546875" style="5" customWidth="1"/>
    <col min="13" max="13" width="16.6640625" style="5" customWidth="1"/>
    <col min="14" max="14" width="16.6640625" style="6" customWidth="1"/>
    <col min="15" max="15" width="26.109375" style="6" customWidth="1"/>
    <col min="16" max="16" width="15.33203125" style="6" customWidth="1"/>
    <col min="17" max="17" width="16.109375" style="268" customWidth="1"/>
    <col min="18" max="18" width="13.109375" style="268" customWidth="1"/>
    <col min="19" max="19" width="14.33203125" style="268" customWidth="1"/>
    <col min="20" max="20" width="15" style="268" customWidth="1"/>
    <col min="21" max="21" width="16.109375" style="264" customWidth="1"/>
    <col min="22" max="22" width="15.33203125" style="264" customWidth="1"/>
    <col min="23" max="23" width="19.5546875" style="268" customWidth="1"/>
    <col min="24" max="24" width="19.44140625" style="268" customWidth="1"/>
    <col min="25" max="25" width="15.5546875" style="269" customWidth="1"/>
    <col min="26" max="26" width="34.33203125" style="270" customWidth="1"/>
    <col min="27" max="27" width="18.6640625" style="271" customWidth="1"/>
    <col min="28" max="28" width="16.6640625" style="272" customWidth="1"/>
    <col min="29" max="29" width="18.5546875" style="273" customWidth="1"/>
    <col min="30" max="30" width="21.5546875" style="5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1" ht="15" customHeight="1">
      <c r="B1" s="125"/>
      <c r="C1" s="4"/>
      <c r="N1" s="125"/>
      <c r="Q1" s="1968"/>
      <c r="R1" s="277"/>
      <c r="S1" s="277"/>
      <c r="T1" s="277"/>
      <c r="U1" s="278"/>
      <c r="V1" s="786"/>
      <c r="W1" s="278"/>
      <c r="X1" s="278"/>
      <c r="Y1" s="278"/>
      <c r="Z1" s="282"/>
      <c r="AA1" s="278"/>
      <c r="AB1" s="278"/>
      <c r="AC1" s="283"/>
    </row>
    <row r="2" spans="1:31" ht="20.25" customHeight="1">
      <c r="A2" s="3314" t="s">
        <v>646</v>
      </c>
      <c r="B2" s="3315"/>
      <c r="C2" s="3315"/>
      <c r="D2" s="3315"/>
      <c r="E2" s="3315"/>
      <c r="F2" s="3315"/>
      <c r="G2" s="3315"/>
      <c r="H2" s="3315"/>
      <c r="I2" s="3315"/>
      <c r="J2" s="3315"/>
      <c r="K2" s="3315"/>
      <c r="L2" s="3315"/>
      <c r="M2" s="3315"/>
      <c r="N2" s="3315"/>
      <c r="O2" s="3315"/>
      <c r="P2" s="480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322"/>
      <c r="AC2" s="322"/>
      <c r="AD2" s="13"/>
    </row>
    <row r="3" spans="1:31">
      <c r="B3" s="478"/>
      <c r="C3" s="4" t="s">
        <v>754</v>
      </c>
      <c r="D3" s="2" t="s">
        <v>3110</v>
      </c>
      <c r="L3" s="2613" t="s">
        <v>6266</v>
      </c>
      <c r="M3" s="478"/>
      <c r="N3" s="478"/>
    </row>
    <row r="4" spans="1:31" ht="36.75" customHeight="1">
      <c r="A4" s="33" t="s">
        <v>2</v>
      </c>
      <c r="B4" s="483" t="s">
        <v>2773</v>
      </c>
      <c r="C4" s="2290" t="s">
        <v>3</v>
      </c>
      <c r="D4" s="2291" t="s">
        <v>4</v>
      </c>
      <c r="E4" s="2290" t="s">
        <v>5</v>
      </c>
      <c r="F4" s="2290" t="s">
        <v>401</v>
      </c>
      <c r="G4" s="33" t="s">
        <v>8</v>
      </c>
      <c r="H4" s="33" t="s">
        <v>9</v>
      </c>
      <c r="I4" s="808" t="s">
        <v>3265</v>
      </c>
      <c r="J4" s="323" t="s">
        <v>3266</v>
      </c>
      <c r="K4" s="323" t="s">
        <v>63</v>
      </c>
      <c r="L4" s="323" t="s">
        <v>2776</v>
      </c>
      <c r="M4" s="323" t="s">
        <v>2777</v>
      </c>
      <c r="N4" s="33" t="s">
        <v>1583</v>
      </c>
      <c r="O4" s="33" t="s">
        <v>15</v>
      </c>
      <c r="P4" s="2289" t="s">
        <v>5939</v>
      </c>
      <c r="Q4" s="1969" t="s">
        <v>1291</v>
      </c>
      <c r="R4" s="217" t="s">
        <v>190</v>
      </c>
      <c r="S4" s="217" t="s">
        <v>191</v>
      </c>
      <c r="T4" s="218" t="s">
        <v>192</v>
      </c>
      <c r="U4" s="218" t="s">
        <v>193</v>
      </c>
      <c r="V4" s="785" t="s">
        <v>1313</v>
      </c>
      <c r="W4" s="219" t="s">
        <v>6076</v>
      </c>
      <c r="X4" s="219" t="s">
        <v>195</v>
      </c>
      <c r="Y4" s="220" t="s">
        <v>196</v>
      </c>
      <c r="Z4" s="221" t="s">
        <v>197</v>
      </c>
      <c r="AA4" s="218" t="s">
        <v>198</v>
      </c>
      <c r="AB4" s="219" t="s">
        <v>199</v>
      </c>
      <c r="AC4" s="222" t="s">
        <v>200</v>
      </c>
      <c r="AD4" s="36" t="s">
        <v>204</v>
      </c>
    </row>
    <row r="5" spans="1:31" ht="31.2">
      <c r="A5" s="44">
        <v>1</v>
      </c>
      <c r="B5" s="295"/>
      <c r="C5" s="348">
        <v>105246037150</v>
      </c>
      <c r="D5" s="141">
        <v>44959</v>
      </c>
      <c r="E5" s="362" t="s">
        <v>101</v>
      </c>
      <c r="F5" s="126" t="s">
        <v>206</v>
      </c>
      <c r="G5" s="167"/>
      <c r="H5" s="167"/>
      <c r="I5" s="160" t="s">
        <v>102</v>
      </c>
      <c r="J5" s="160"/>
      <c r="K5" s="53"/>
      <c r="L5" s="296">
        <v>44963</v>
      </c>
      <c r="M5" s="649"/>
      <c r="N5" s="128"/>
      <c r="O5" s="129" t="s">
        <v>103</v>
      </c>
      <c r="P5" s="1982"/>
      <c r="Q5" s="1970"/>
      <c r="R5" s="324">
        <v>49920</v>
      </c>
      <c r="S5" s="248"/>
      <c r="T5" s="248"/>
      <c r="U5" s="325">
        <v>5471664</v>
      </c>
      <c r="V5" s="787"/>
      <c r="W5" s="248"/>
      <c r="X5" s="340">
        <f>+B5+R5+S5+T5+Q5+W5</f>
        <v>49920</v>
      </c>
      <c r="Y5" s="344">
        <f>+U5</f>
        <v>5471664</v>
      </c>
      <c r="Z5" s="208" t="s">
        <v>383</v>
      </c>
      <c r="AA5" s="341">
        <f>2290000*1.1</f>
        <v>2519000</v>
      </c>
      <c r="AB5" s="342">
        <f>+AA5+Y5+X5</f>
        <v>8040584</v>
      </c>
      <c r="AC5" s="252"/>
      <c r="AD5" s="130"/>
      <c r="AE5" s="13">
        <v>2519000</v>
      </c>
    </row>
    <row r="6" spans="1:31" ht="66">
      <c r="A6" s="44">
        <v>2</v>
      </c>
      <c r="B6" s="295"/>
      <c r="C6" s="348">
        <v>105267870960</v>
      </c>
      <c r="D6" s="46" t="s">
        <v>279</v>
      </c>
      <c r="E6" s="47" t="s">
        <v>280</v>
      </c>
      <c r="F6" s="126" t="s">
        <v>206</v>
      </c>
      <c r="G6" s="167">
        <v>5</v>
      </c>
      <c r="H6" s="167"/>
      <c r="I6" s="160"/>
      <c r="J6" s="160" t="s">
        <v>431</v>
      </c>
      <c r="K6" s="320" t="s">
        <v>136</v>
      </c>
      <c r="L6" s="127" t="s">
        <v>388</v>
      </c>
      <c r="M6" s="650"/>
      <c r="N6" s="128"/>
      <c r="O6" s="129" t="s">
        <v>281</v>
      </c>
      <c r="P6" s="1982"/>
      <c r="Q6" s="1970"/>
      <c r="R6" s="373">
        <v>3932500</v>
      </c>
      <c r="S6" s="373">
        <f>1760000+1760000+880000</f>
        <v>4400000</v>
      </c>
      <c r="T6" s="248"/>
      <c r="U6" s="247"/>
      <c r="V6" s="788"/>
      <c r="W6" s="248"/>
      <c r="X6" s="340">
        <f>+B6+R6+S6+T6+Q6+W6</f>
        <v>8332500</v>
      </c>
      <c r="Y6" s="344">
        <f t="shared" ref="Y6:Y55" si="0">+U6</f>
        <v>0</v>
      </c>
      <c r="Z6" s="249"/>
      <c r="AA6" s="341">
        <f>((G6*5160000)+(H6*5560000))*1.1</f>
        <v>28380000.000000004</v>
      </c>
      <c r="AB6" s="342">
        <f t="shared" ref="AB6:AB55" si="1">+AA6+Y6+X6</f>
        <v>36712500</v>
      </c>
      <c r="AC6" s="248">
        <f>+R6+S6</f>
        <v>8332500</v>
      </c>
      <c r="AD6" s="130"/>
      <c r="AE6" s="13">
        <v>28380000.000000004</v>
      </c>
    </row>
    <row r="7" spans="1:31" ht="31.2">
      <c r="A7" s="44">
        <v>3</v>
      </c>
      <c r="B7" s="295"/>
      <c r="C7" s="179">
        <v>105282102110</v>
      </c>
      <c r="D7" s="46" t="s">
        <v>291</v>
      </c>
      <c r="E7" s="47" t="s">
        <v>285</v>
      </c>
      <c r="F7" s="126" t="s">
        <v>206</v>
      </c>
      <c r="G7" s="167"/>
      <c r="H7" s="167"/>
      <c r="I7" s="160" t="s">
        <v>102</v>
      </c>
      <c r="J7" s="160"/>
      <c r="K7" s="53"/>
      <c r="L7" s="127" t="s">
        <v>388</v>
      </c>
      <c r="M7" s="650"/>
      <c r="N7" s="128"/>
      <c r="O7" s="129" t="s">
        <v>284</v>
      </c>
      <c r="P7" s="1982"/>
      <c r="Q7" s="1970"/>
      <c r="R7" s="324">
        <v>36000</v>
      </c>
      <c r="S7" s="248"/>
      <c r="T7" s="324">
        <v>3331625</v>
      </c>
      <c r="U7" s="247"/>
      <c r="V7" s="788"/>
      <c r="W7" s="248"/>
      <c r="X7" s="340">
        <f>+B7+R7+S7+T7+Q7+W7</f>
        <v>3367625</v>
      </c>
      <c r="Y7" s="344">
        <f t="shared" si="0"/>
        <v>0</v>
      </c>
      <c r="Z7" s="208" t="s">
        <v>384</v>
      </c>
      <c r="AA7" s="341">
        <f>2090000*1.1</f>
        <v>2299000</v>
      </c>
      <c r="AB7" s="342">
        <f t="shared" si="1"/>
        <v>5666625</v>
      </c>
      <c r="AC7" s="252"/>
      <c r="AD7" s="130"/>
      <c r="AE7" s="13">
        <v>2299000</v>
      </c>
    </row>
    <row r="8" spans="1:31" ht="36" customHeight="1">
      <c r="A8" s="44">
        <v>4</v>
      </c>
      <c r="B8" s="295"/>
      <c r="C8" s="345" t="s">
        <v>381</v>
      </c>
      <c r="D8" s="46" t="s">
        <v>382</v>
      </c>
      <c r="E8" s="47" t="s">
        <v>432</v>
      </c>
      <c r="F8" s="126" t="s">
        <v>206</v>
      </c>
      <c r="G8" s="167"/>
      <c r="H8" s="167"/>
      <c r="I8" s="161"/>
      <c r="J8" s="161"/>
      <c r="K8" s="61"/>
      <c r="L8" s="127"/>
      <c r="M8" s="650"/>
      <c r="N8" s="132"/>
      <c r="O8" s="133"/>
      <c r="P8" s="1982"/>
      <c r="Q8" s="1970"/>
      <c r="R8" s="248"/>
      <c r="S8" s="248"/>
      <c r="T8" s="324">
        <v>200000</v>
      </c>
      <c r="U8" s="247"/>
      <c r="V8" s="788"/>
      <c r="W8" s="248"/>
      <c r="X8" s="340">
        <f>+B8+R8+S8+T8+Q8+W8</f>
        <v>200000</v>
      </c>
      <c r="Y8" s="344">
        <f t="shared" si="0"/>
        <v>0</v>
      </c>
      <c r="Z8" s="249" t="s">
        <v>405</v>
      </c>
      <c r="AA8" s="341">
        <f>(800000*2)*1.1</f>
        <v>1760000.0000000002</v>
      </c>
      <c r="AB8" s="342">
        <f t="shared" si="1"/>
        <v>1960000.0000000002</v>
      </c>
      <c r="AC8" s="252"/>
      <c r="AD8" s="321" t="s">
        <v>282</v>
      </c>
      <c r="AE8" s="13">
        <v>1760000.0000000002</v>
      </c>
    </row>
    <row r="9" spans="1:31" ht="36" customHeight="1">
      <c r="A9" s="3297" t="s">
        <v>436</v>
      </c>
      <c r="B9" s="3298"/>
      <c r="C9" s="3298"/>
      <c r="D9" s="3298"/>
      <c r="E9" s="3298"/>
      <c r="F9" s="3298"/>
      <c r="G9" s="3298"/>
      <c r="H9" s="3298"/>
      <c r="I9" s="3298"/>
      <c r="J9" s="3298"/>
      <c r="K9" s="3298"/>
      <c r="L9" s="3298"/>
      <c r="M9" s="644"/>
      <c r="N9" s="346"/>
      <c r="O9" s="1866"/>
      <c r="P9" s="1927"/>
      <c r="Q9" s="346"/>
      <c r="R9" s="346"/>
      <c r="S9" s="346"/>
      <c r="T9" s="346"/>
      <c r="U9" s="346"/>
      <c r="V9" s="346"/>
      <c r="W9" s="346"/>
      <c r="X9" s="354">
        <f>SUM(X5:X8)</f>
        <v>11950045</v>
      </c>
      <c r="Y9" s="355">
        <f>SUM(Y5:Y8)</f>
        <v>5471664</v>
      </c>
      <c r="Z9" s="356"/>
      <c r="AA9" s="355">
        <f>SUM(AA5:AA8)</f>
        <v>34958000.000000007</v>
      </c>
      <c r="AB9" s="354">
        <f>+X9+Y9+AA9</f>
        <v>52379709.000000007</v>
      </c>
      <c r="AC9" s="353"/>
      <c r="AD9" s="346"/>
    </row>
    <row r="10" spans="1:31" ht="31.2">
      <c r="A10" s="44">
        <v>1</v>
      </c>
      <c r="B10" s="295"/>
      <c r="C10" s="179">
        <v>105327699960</v>
      </c>
      <c r="D10" s="46" t="s">
        <v>520</v>
      </c>
      <c r="E10" s="362" t="s">
        <v>292</v>
      </c>
      <c r="F10" s="126" t="s">
        <v>206</v>
      </c>
      <c r="G10" s="167"/>
      <c r="H10" s="167"/>
      <c r="I10" s="160" t="s">
        <v>102</v>
      </c>
      <c r="J10" s="160"/>
      <c r="K10" s="374" t="s">
        <v>123</v>
      </c>
      <c r="L10" s="127" t="s">
        <v>388</v>
      </c>
      <c r="M10" s="650"/>
      <c r="N10" s="128"/>
      <c r="O10" s="129" t="s">
        <v>293</v>
      </c>
      <c r="P10" s="1982"/>
      <c r="Q10" s="1970"/>
      <c r="R10" s="324">
        <f>1399440+114241</f>
        <v>1513681</v>
      </c>
      <c r="S10" s="248"/>
      <c r="T10" s="248"/>
      <c r="U10" s="325">
        <v>5266581</v>
      </c>
      <c r="V10" s="787"/>
      <c r="W10" s="248"/>
      <c r="X10" s="340">
        <f>+B10+R10+S10+T10+Q10+W10</f>
        <v>1513681</v>
      </c>
      <c r="Y10" s="344">
        <f>+U10</f>
        <v>5266581</v>
      </c>
      <c r="Z10" s="208" t="s">
        <v>385</v>
      </c>
      <c r="AA10" s="341">
        <f>2090000*1.1</f>
        <v>2299000</v>
      </c>
      <c r="AB10" s="342">
        <f>+AA10+Y10+X10</f>
        <v>9079262</v>
      </c>
      <c r="AC10" s="252"/>
      <c r="AD10" s="130"/>
    </row>
    <row r="11" spans="1:31" ht="39.75" customHeight="1">
      <c r="A11" s="326">
        <v>2</v>
      </c>
      <c r="B11" s="295"/>
      <c r="C11" s="179">
        <v>105317575640</v>
      </c>
      <c r="D11" s="46" t="s">
        <v>520</v>
      </c>
      <c r="E11" s="47" t="s">
        <v>406</v>
      </c>
      <c r="F11" s="126" t="s">
        <v>206</v>
      </c>
      <c r="G11" s="167"/>
      <c r="H11" s="167"/>
      <c r="I11" s="160" t="s">
        <v>102</v>
      </c>
      <c r="J11" s="801"/>
      <c r="K11" s="815" t="s">
        <v>123</v>
      </c>
      <c r="L11" s="816" t="s">
        <v>535</v>
      </c>
      <c r="M11" s="522"/>
      <c r="N11" s="328"/>
      <c r="O11" s="1952" t="s">
        <v>407</v>
      </c>
      <c r="P11" s="1947"/>
      <c r="Q11" s="1970"/>
      <c r="R11" s="324">
        <f>49920+74880</f>
        <v>124800</v>
      </c>
      <c r="S11" s="248"/>
      <c r="T11" s="248"/>
      <c r="U11" s="325">
        <v>3686443</v>
      </c>
      <c r="V11" s="787"/>
      <c r="W11" s="248"/>
      <c r="X11" s="340">
        <f>+B11+R11+S11+T11+Q11+W11</f>
        <v>124800</v>
      </c>
      <c r="Y11" s="344">
        <f>+U11</f>
        <v>3686443</v>
      </c>
      <c r="Z11" s="208" t="s">
        <v>550</v>
      </c>
      <c r="AA11" s="341">
        <f>2290000*1.1</f>
        <v>2519000</v>
      </c>
      <c r="AB11" s="342">
        <f t="shared" si="1"/>
        <v>6330243</v>
      </c>
      <c r="AC11" s="252"/>
      <c r="AD11" s="130"/>
    </row>
    <row r="12" spans="1:31" ht="34.5" customHeight="1">
      <c r="A12" s="326">
        <v>3</v>
      </c>
      <c r="B12" s="295"/>
      <c r="C12" s="345" t="s">
        <v>551</v>
      </c>
      <c r="D12" s="46"/>
      <c r="E12" s="47"/>
      <c r="F12" s="126"/>
      <c r="G12" s="167"/>
      <c r="H12" s="167"/>
      <c r="I12" s="814"/>
      <c r="J12" s="797"/>
      <c r="K12" s="817"/>
      <c r="L12" s="816"/>
      <c r="M12" s="522"/>
      <c r="N12" s="328"/>
      <c r="O12" s="1952"/>
      <c r="P12" s="1947"/>
      <c r="Q12" s="1970"/>
      <c r="R12" s="248"/>
      <c r="S12" s="248"/>
      <c r="T12" s="324">
        <v>900000</v>
      </c>
      <c r="U12" s="247"/>
      <c r="V12" s="788"/>
      <c r="W12" s="248"/>
      <c r="X12" s="340">
        <f>+B12+R12+S12+T12+Q12+W12</f>
        <v>900000</v>
      </c>
      <c r="Y12" s="344">
        <f t="shared" si="0"/>
        <v>0</v>
      </c>
      <c r="Z12" s="249" t="s">
        <v>552</v>
      </c>
      <c r="AA12" s="341">
        <f>(800000*9)*1.1</f>
        <v>7920000.0000000009</v>
      </c>
      <c r="AB12" s="342">
        <f t="shared" si="1"/>
        <v>8820000</v>
      </c>
      <c r="AC12" s="252"/>
      <c r="AD12" s="130"/>
    </row>
    <row r="13" spans="1:31" ht="36" customHeight="1">
      <c r="A13" s="3297" t="s">
        <v>654</v>
      </c>
      <c r="B13" s="3298"/>
      <c r="C13" s="3298"/>
      <c r="D13" s="3298"/>
      <c r="E13" s="3298"/>
      <c r="F13" s="3298"/>
      <c r="G13" s="3298"/>
      <c r="H13" s="3298"/>
      <c r="I13" s="3298"/>
      <c r="J13" s="3298"/>
      <c r="K13" s="3298"/>
      <c r="L13" s="3298"/>
      <c r="M13" s="644"/>
      <c r="N13" s="346"/>
      <c r="O13" s="1866"/>
      <c r="P13" s="1927"/>
      <c r="Q13" s="346"/>
      <c r="R13" s="346"/>
      <c r="S13" s="346"/>
      <c r="T13" s="346"/>
      <c r="U13" s="346"/>
      <c r="V13" s="346"/>
      <c r="W13" s="346"/>
      <c r="X13" s="354">
        <f>SUM(X10:X12)</f>
        <v>2538481</v>
      </c>
      <c r="Y13" s="354">
        <f>SUM(Y10:Y12)</f>
        <v>8953024</v>
      </c>
      <c r="Z13" s="356"/>
      <c r="AA13" s="354">
        <f>SUM(AA10:AA12)</f>
        <v>12738000</v>
      </c>
      <c r="AB13" s="354">
        <f>+X13+Y13+AA13</f>
        <v>24229505</v>
      </c>
      <c r="AC13" s="353"/>
      <c r="AD13" s="346"/>
    </row>
    <row r="14" spans="1:31" ht="72" customHeight="1">
      <c r="A14" s="326">
        <v>1</v>
      </c>
      <c r="B14" s="295"/>
      <c r="C14" s="389" t="s">
        <v>969</v>
      </c>
      <c r="D14" s="46" t="s">
        <v>559</v>
      </c>
      <c r="E14" s="47" t="s">
        <v>675</v>
      </c>
      <c r="F14" s="126" t="s">
        <v>206</v>
      </c>
      <c r="G14" s="167">
        <v>5</v>
      </c>
      <c r="H14" s="167"/>
      <c r="I14" s="327" t="s">
        <v>656</v>
      </c>
      <c r="J14" s="796"/>
      <c r="K14" s="374" t="s">
        <v>123</v>
      </c>
      <c r="L14" s="383" t="s">
        <v>745</v>
      </c>
      <c r="M14" s="651"/>
      <c r="N14" s="328"/>
      <c r="O14" s="1952" t="s">
        <v>655</v>
      </c>
      <c r="P14" s="1947"/>
      <c r="Q14" s="1970"/>
      <c r="R14" s="324">
        <v>3300000</v>
      </c>
      <c r="S14" s="248"/>
      <c r="T14" s="248"/>
      <c r="U14" s="247"/>
      <c r="V14" s="788"/>
      <c r="W14" s="324">
        <v>1193000</v>
      </c>
      <c r="X14" s="340">
        <f>+B14+R14+S14+T14+Q14+W14</f>
        <v>4493000</v>
      </c>
      <c r="Y14" s="344">
        <f t="shared" si="0"/>
        <v>0</v>
      </c>
      <c r="Z14" s="249"/>
      <c r="AA14" s="341">
        <f>((G14*5160000)+(H14*5560000))*1.1</f>
        <v>28380000.000000004</v>
      </c>
      <c r="AB14" s="342">
        <f>+AA14+Y14+X14</f>
        <v>32873000.000000004</v>
      </c>
      <c r="AC14" s="252"/>
      <c r="AD14" s="130"/>
    </row>
    <row r="15" spans="1:31" ht="33.75" customHeight="1">
      <c r="A15" s="326">
        <v>2</v>
      </c>
      <c r="B15" s="295"/>
      <c r="C15" s="179">
        <v>105386507810</v>
      </c>
      <c r="D15" s="386" t="s">
        <v>768</v>
      </c>
      <c r="E15" s="47" t="s">
        <v>759</v>
      </c>
      <c r="F15" s="126"/>
      <c r="G15" s="167"/>
      <c r="H15" s="167"/>
      <c r="I15" s="160" t="s">
        <v>102</v>
      </c>
      <c r="J15" s="160"/>
      <c r="K15" s="436" t="s">
        <v>136</v>
      </c>
      <c r="L15" s="127" t="s">
        <v>886</v>
      </c>
      <c r="M15" s="522"/>
      <c r="N15" s="328"/>
      <c r="O15" s="1952" t="s">
        <v>758</v>
      </c>
      <c r="P15" s="1947"/>
      <c r="Q15" s="1970"/>
      <c r="R15" s="324">
        <v>105840</v>
      </c>
      <c r="S15" s="248"/>
      <c r="T15" s="248"/>
      <c r="U15" s="325">
        <v>3875529</v>
      </c>
      <c r="V15" s="787"/>
      <c r="W15" s="248"/>
      <c r="X15" s="340">
        <f>+B15+R15+S15+T15+Q15+W15</f>
        <v>105840</v>
      </c>
      <c r="Y15" s="344">
        <f t="shared" si="0"/>
        <v>3875529</v>
      </c>
      <c r="Z15" s="208" t="s">
        <v>970</v>
      </c>
      <c r="AA15" s="341">
        <f>2090000*1.1</f>
        <v>2299000</v>
      </c>
      <c r="AB15" s="342">
        <f t="shared" si="1"/>
        <v>6280369</v>
      </c>
      <c r="AC15" s="252"/>
      <c r="AD15" s="130"/>
    </row>
    <row r="16" spans="1:31" ht="26.25" customHeight="1">
      <c r="A16" s="326">
        <v>3</v>
      </c>
      <c r="B16" s="295"/>
      <c r="C16" s="345" t="s">
        <v>865</v>
      </c>
      <c r="D16" s="46"/>
      <c r="E16" s="47" t="s">
        <v>864</v>
      </c>
      <c r="F16" s="126"/>
      <c r="G16" s="167"/>
      <c r="H16" s="167"/>
      <c r="I16" s="327"/>
      <c r="J16" s="796"/>
      <c r="K16" s="53"/>
      <c r="L16" s="127"/>
      <c r="M16" s="522"/>
      <c r="N16" s="328"/>
      <c r="O16" s="1952"/>
      <c r="P16" s="1947"/>
      <c r="Q16" s="1970"/>
      <c r="R16" s="248"/>
      <c r="S16" s="248"/>
      <c r="T16" s="324">
        <f>100000+100000</f>
        <v>200000</v>
      </c>
      <c r="U16" s="247"/>
      <c r="V16" s="788"/>
      <c r="W16" s="248"/>
      <c r="X16" s="340">
        <f>+B16+R16+S16+T16+Q16+W16</f>
        <v>200000</v>
      </c>
      <c r="Y16" s="344">
        <f t="shared" si="0"/>
        <v>0</v>
      </c>
      <c r="Z16" s="249" t="s">
        <v>866</v>
      </c>
      <c r="AA16" s="341">
        <f>(800000*2)*1.1</f>
        <v>1760000.0000000002</v>
      </c>
      <c r="AB16" s="342">
        <f t="shared" si="1"/>
        <v>1960000.0000000002</v>
      </c>
      <c r="AC16" s="252"/>
      <c r="AD16" s="130"/>
    </row>
    <row r="17" spans="1:30" ht="36" customHeight="1">
      <c r="A17" s="3297" t="s">
        <v>867</v>
      </c>
      <c r="B17" s="3298"/>
      <c r="C17" s="3298"/>
      <c r="D17" s="3298"/>
      <c r="E17" s="3298"/>
      <c r="F17" s="3298"/>
      <c r="G17" s="3298"/>
      <c r="H17" s="3298"/>
      <c r="I17" s="3298"/>
      <c r="J17" s="3298"/>
      <c r="K17" s="3298"/>
      <c r="L17" s="3298"/>
      <c r="M17" s="644"/>
      <c r="N17" s="346"/>
      <c r="O17" s="1866"/>
      <c r="P17" s="1927"/>
      <c r="Q17" s="346"/>
      <c r="R17" s="346"/>
      <c r="S17" s="346"/>
      <c r="T17" s="346"/>
      <c r="U17" s="346"/>
      <c r="V17" s="346"/>
      <c r="W17" s="346"/>
      <c r="X17" s="354">
        <f>SUM(X14:X16)</f>
        <v>4798840</v>
      </c>
      <c r="Y17" s="354">
        <f>SUM(Y14:Y16)</f>
        <v>3875529</v>
      </c>
      <c r="Z17" s="356"/>
      <c r="AA17" s="354">
        <f>SUM(AA14:AA16)</f>
        <v>32439000.000000004</v>
      </c>
      <c r="AB17" s="354">
        <f>+X17+Y17+AA17</f>
        <v>41113369</v>
      </c>
      <c r="AC17" s="353"/>
      <c r="AD17" s="346"/>
    </row>
    <row r="18" spans="1:30" ht="173.25" customHeight="1">
      <c r="A18" s="818">
        <v>1</v>
      </c>
      <c r="B18" s="295"/>
      <c r="C18" s="819">
        <v>105413665560</v>
      </c>
      <c r="D18" s="820" t="s">
        <v>878</v>
      </c>
      <c r="E18" s="821" t="s">
        <v>879</v>
      </c>
      <c r="F18" s="822" t="s">
        <v>206</v>
      </c>
      <c r="G18" s="431">
        <v>10</v>
      </c>
      <c r="H18" s="167"/>
      <c r="I18" s="798"/>
      <c r="J18" s="798" t="s">
        <v>1232</v>
      </c>
      <c r="K18" s="823"/>
      <c r="L18" s="127" t="s">
        <v>965</v>
      </c>
      <c r="M18" s="522"/>
      <c r="N18" s="824"/>
      <c r="O18" s="1952" t="s">
        <v>949</v>
      </c>
      <c r="P18" s="1947"/>
      <c r="Q18" s="1971"/>
      <c r="R18" s="826">
        <f>5720000+440000</f>
        <v>6160000</v>
      </c>
      <c r="S18" s="827">
        <f>900000+900000+900000+900000+900000</f>
        <v>4500000</v>
      </c>
      <c r="T18" s="825"/>
      <c r="U18" s="828"/>
      <c r="V18" s="828"/>
      <c r="W18" s="826">
        <f>295250+590500</f>
        <v>885750</v>
      </c>
      <c r="X18" s="829">
        <f>+B18+R18+S18+T18+Q18+W18</f>
        <v>11545750</v>
      </c>
      <c r="Y18" s="830">
        <f>+U18</f>
        <v>0</v>
      </c>
      <c r="Z18" s="831"/>
      <c r="AA18" s="832">
        <f>((G18*5160000)+(H18*5560000))*1.1</f>
        <v>56760000.000000007</v>
      </c>
      <c r="AB18" s="833">
        <f>+AA18+Y18+X18</f>
        <v>68305750</v>
      </c>
      <c r="AC18" s="825">
        <f>+S18</f>
        <v>4500000</v>
      </c>
      <c r="AD18" s="834"/>
    </row>
    <row r="19" spans="1:30" s="854" customFormat="1" ht="32.25" customHeight="1">
      <c r="A19" s="837">
        <f>+A18+1</f>
        <v>2</v>
      </c>
      <c r="B19" s="838"/>
      <c r="C19" s="839" t="s">
        <v>1032</v>
      </c>
      <c r="D19" s="840" t="s">
        <v>1035</v>
      </c>
      <c r="E19" s="841" t="s">
        <v>1034</v>
      </c>
      <c r="F19" s="842"/>
      <c r="G19" s="843"/>
      <c r="H19" s="843"/>
      <c r="I19" s="797"/>
      <c r="J19" s="797"/>
      <c r="K19" s="817"/>
      <c r="L19" s="816"/>
      <c r="M19" s="816"/>
      <c r="N19" s="844"/>
      <c r="O19" s="1953"/>
      <c r="P19" s="1947"/>
      <c r="Q19" s="1970"/>
      <c r="R19" s="845"/>
      <c r="S19" s="845"/>
      <c r="T19" s="846">
        <v>100000</v>
      </c>
      <c r="U19" s="788"/>
      <c r="V19" s="788"/>
      <c r="W19" s="845"/>
      <c r="X19" s="847">
        <f>+B19+R19+S19+T19+Q19+W19</f>
        <v>100000</v>
      </c>
      <c r="Y19" s="848">
        <f t="shared" si="0"/>
        <v>0</v>
      </c>
      <c r="Z19" s="849" t="s">
        <v>1033</v>
      </c>
      <c r="AA19" s="850">
        <f>(800000*1)*1.1</f>
        <v>880000.00000000012</v>
      </c>
      <c r="AB19" s="851">
        <f t="shared" si="1"/>
        <v>980000.00000000012</v>
      </c>
      <c r="AC19" s="852"/>
      <c r="AD19" s="853"/>
    </row>
    <row r="20" spans="1:30" ht="36" customHeight="1">
      <c r="A20" s="3297" t="s">
        <v>1036</v>
      </c>
      <c r="B20" s="3298"/>
      <c r="C20" s="3298"/>
      <c r="D20" s="3298"/>
      <c r="E20" s="3298"/>
      <c r="F20" s="3298"/>
      <c r="G20" s="3298"/>
      <c r="H20" s="3298"/>
      <c r="I20" s="3298"/>
      <c r="J20" s="3298"/>
      <c r="K20" s="3298"/>
      <c r="L20" s="3298"/>
      <c r="M20" s="644"/>
      <c r="N20" s="346"/>
      <c r="O20" s="1866"/>
      <c r="P20" s="1927"/>
      <c r="Q20" s="346"/>
      <c r="R20" s="346"/>
      <c r="S20" s="346"/>
      <c r="T20" s="346"/>
      <c r="U20" s="346"/>
      <c r="V20" s="346"/>
      <c r="W20" s="346"/>
      <c r="X20" s="855">
        <f>SUM(X18:X19)</f>
        <v>11645750</v>
      </c>
      <c r="Y20" s="855">
        <f>SUM(Y18:Y19)</f>
        <v>0</v>
      </c>
      <c r="Z20" s="856"/>
      <c r="AA20" s="855">
        <f>SUM(AA18:AA19)</f>
        <v>57640000.000000007</v>
      </c>
      <c r="AB20" s="855">
        <f>+X20+Y20+AA20</f>
        <v>69285750</v>
      </c>
      <c r="AC20" s="353"/>
      <c r="AD20" s="346"/>
    </row>
    <row r="21" spans="1:30" s="854" customFormat="1" ht="173.25" customHeight="1">
      <c r="A21" s="837">
        <v>1</v>
      </c>
      <c r="B21" s="838"/>
      <c r="C21" s="864">
        <v>105413665560</v>
      </c>
      <c r="D21" s="865" t="s">
        <v>878</v>
      </c>
      <c r="E21" s="866" t="s">
        <v>879</v>
      </c>
      <c r="F21" s="867" t="s">
        <v>206</v>
      </c>
      <c r="G21" s="868">
        <v>10</v>
      </c>
      <c r="H21" s="843"/>
      <c r="I21" s="799"/>
      <c r="J21" s="799" t="s">
        <v>1232</v>
      </c>
      <c r="K21" s="817"/>
      <c r="L21" s="816" t="s">
        <v>965</v>
      </c>
      <c r="M21" s="816"/>
      <c r="N21" s="844"/>
      <c r="O21" s="1953" t="s">
        <v>949</v>
      </c>
      <c r="P21" s="1947"/>
      <c r="Q21" s="1970"/>
      <c r="R21" s="845"/>
      <c r="S21" s="869">
        <f>900000+900000+900000+900000+900000</f>
        <v>4500000</v>
      </c>
      <c r="T21" s="845"/>
      <c r="U21" s="788"/>
      <c r="V21" s="788"/>
      <c r="W21" s="788"/>
      <c r="X21" s="847">
        <f>+B21+R21+S21+T21+Q21+W21</f>
        <v>4500000</v>
      </c>
      <c r="Y21" s="848">
        <f>+U21</f>
        <v>0</v>
      </c>
      <c r="Z21" s="849"/>
      <c r="AA21" s="850">
        <v>0</v>
      </c>
      <c r="AB21" s="851">
        <f>+AA21+Y21+X21</f>
        <v>4500000</v>
      </c>
      <c r="AC21" s="870" t="s">
        <v>1211</v>
      </c>
      <c r="AD21" s="3323" t="s">
        <v>1342</v>
      </c>
    </row>
    <row r="22" spans="1:30" ht="138" customHeight="1">
      <c r="A22" s="447">
        <v>2</v>
      </c>
      <c r="B22" s="857"/>
      <c r="C22" s="858">
        <v>105502742000</v>
      </c>
      <c r="D22" s="448" t="s">
        <v>1200</v>
      </c>
      <c r="E22" s="449" t="s">
        <v>1199</v>
      </c>
      <c r="F22" s="450" t="s">
        <v>206</v>
      </c>
      <c r="G22" s="451">
        <v>10</v>
      </c>
      <c r="H22" s="445"/>
      <c r="I22" s="446"/>
      <c r="J22" s="800" t="s">
        <v>1236</v>
      </c>
      <c r="K22" s="859" t="s">
        <v>123</v>
      </c>
      <c r="L22" s="522"/>
      <c r="M22" s="522"/>
      <c r="N22" s="860"/>
      <c r="O22" s="1954" t="s">
        <v>1213</v>
      </c>
      <c r="P22" s="1948"/>
      <c r="Q22" s="1972"/>
      <c r="R22" s="861">
        <f>379500+6600000</f>
        <v>6979500</v>
      </c>
      <c r="S22" s="862">
        <f>900000+800000+800000+800000+800000+800000+800000+800000+800000+800000</f>
        <v>8100000</v>
      </c>
      <c r="T22" s="861">
        <f>446870+295125</f>
        <v>741995</v>
      </c>
      <c r="U22" s="426"/>
      <c r="V22" s="426"/>
      <c r="W22" s="863">
        <v>2361000</v>
      </c>
      <c r="X22" s="662">
        <f>+B22+R22+S22+T22+Q22+W22</f>
        <v>18182495</v>
      </c>
      <c r="Y22" s="663">
        <f>+U22+W22</f>
        <v>2361000</v>
      </c>
      <c r="Z22" s="398"/>
      <c r="AA22" s="664">
        <f>((G22*5160000)+(H22*5560000))*1.1</f>
        <v>56760000.000000007</v>
      </c>
      <c r="AB22" s="665">
        <f t="shared" si="1"/>
        <v>77303495</v>
      </c>
      <c r="AC22" s="782"/>
      <c r="AD22" s="3324"/>
    </row>
    <row r="23" spans="1:30" ht="24" customHeight="1">
      <c r="A23" s="818">
        <v>3</v>
      </c>
      <c r="B23" s="295"/>
      <c r="C23" s="819">
        <v>105527782400</v>
      </c>
      <c r="D23" s="871" t="s">
        <v>1238</v>
      </c>
      <c r="E23" s="872" t="s">
        <v>1235</v>
      </c>
      <c r="F23" s="873" t="s">
        <v>206</v>
      </c>
      <c r="G23" s="167" t="s">
        <v>102</v>
      </c>
      <c r="H23" s="167"/>
      <c r="I23" s="874" t="s">
        <v>102</v>
      </c>
      <c r="J23" s="874"/>
      <c r="K23" s="810" t="s">
        <v>123</v>
      </c>
      <c r="L23" s="127"/>
      <c r="M23" s="522"/>
      <c r="N23" s="824"/>
      <c r="O23" s="1955" t="s">
        <v>1234</v>
      </c>
      <c r="P23" s="1948"/>
      <c r="Q23" s="1971"/>
      <c r="R23" s="825"/>
      <c r="S23" s="825"/>
      <c r="T23" s="825"/>
      <c r="U23" s="875">
        <v>3798190</v>
      </c>
      <c r="V23" s="875"/>
      <c r="W23" s="825"/>
      <c r="X23" s="829">
        <f>+B23+R23+S23+T23+Q23+W23</f>
        <v>0</v>
      </c>
      <c r="Y23" s="830">
        <f>+U23</f>
        <v>3798190</v>
      </c>
      <c r="Z23" s="831"/>
      <c r="AA23" s="832">
        <f>2090000*1.1</f>
        <v>2299000</v>
      </c>
      <c r="AB23" s="833">
        <f>+AA23+Y23+X23</f>
        <v>6097190</v>
      </c>
      <c r="AC23" s="876"/>
      <c r="AD23" s="3324"/>
    </row>
    <row r="24" spans="1:30" s="854" customFormat="1" ht="26.4">
      <c r="A24" s="837">
        <v>4</v>
      </c>
      <c r="B24" s="838"/>
      <c r="C24" s="839" t="s">
        <v>1212</v>
      </c>
      <c r="D24" s="840">
        <v>45085</v>
      </c>
      <c r="E24" s="841" t="s">
        <v>1237</v>
      </c>
      <c r="F24" s="842"/>
      <c r="G24" s="843"/>
      <c r="H24" s="843"/>
      <c r="I24" s="801"/>
      <c r="J24" s="801"/>
      <c r="K24" s="877"/>
      <c r="L24" s="816"/>
      <c r="M24" s="816"/>
      <c r="N24" s="844"/>
      <c r="O24" s="1956"/>
      <c r="P24" s="1948"/>
      <c r="Q24" s="1970"/>
      <c r="R24" s="845"/>
      <c r="S24" s="845"/>
      <c r="T24" s="846">
        <v>200000</v>
      </c>
      <c r="U24" s="788"/>
      <c r="V24" s="788"/>
      <c r="W24" s="845"/>
      <c r="X24" s="847">
        <f>+B24+R24+S24+T24+Q24+W24</f>
        <v>200000</v>
      </c>
      <c r="Y24" s="848">
        <f>+U24</f>
        <v>0</v>
      </c>
      <c r="Z24" s="849"/>
      <c r="AA24" s="850">
        <f>(800000*2)*1.1</f>
        <v>1760000.0000000002</v>
      </c>
      <c r="AB24" s="851">
        <f>+AA24+Y24+X24</f>
        <v>1960000.0000000002</v>
      </c>
      <c r="AC24" s="852"/>
      <c r="AD24" s="3325"/>
    </row>
    <row r="25" spans="1:30" ht="36" customHeight="1">
      <c r="A25" s="878" t="s">
        <v>1239</v>
      </c>
      <c r="B25" s="346"/>
      <c r="C25" s="878"/>
      <c r="D25" s="878"/>
      <c r="E25" s="878"/>
      <c r="F25" s="878"/>
      <c r="G25" s="878"/>
      <c r="H25" s="878"/>
      <c r="I25" s="878"/>
      <c r="J25" s="644"/>
      <c r="K25" s="346"/>
      <c r="L25" s="369"/>
      <c r="M25" s="369"/>
      <c r="N25" s="346"/>
      <c r="O25" s="1866"/>
      <c r="P25" s="1927"/>
      <c r="Q25" s="346"/>
      <c r="R25" s="346"/>
      <c r="S25" s="346"/>
      <c r="T25" s="346"/>
      <c r="U25" s="346"/>
      <c r="V25" s="346"/>
      <c r="W25" s="346"/>
      <c r="X25" s="855">
        <f>SUM(X21:X24)</f>
        <v>22882495</v>
      </c>
      <c r="Y25" s="855">
        <f>SUM(Y21:Y24)</f>
        <v>6159190</v>
      </c>
      <c r="Z25" s="856"/>
      <c r="AA25" s="855">
        <f>SUM(AA21:AA24)</f>
        <v>60819000.000000007</v>
      </c>
      <c r="AB25" s="855">
        <f>+X25+Y25+AA25</f>
        <v>89860685</v>
      </c>
      <c r="AC25" s="353"/>
      <c r="AD25" s="346"/>
    </row>
    <row r="26" spans="1:30" s="854" customFormat="1" ht="24" customHeight="1">
      <c r="A26" s="837">
        <v>1</v>
      </c>
      <c r="B26" s="838" t="s">
        <v>1426</v>
      </c>
      <c r="C26" s="879">
        <v>105527782400</v>
      </c>
      <c r="D26" s="840" t="s">
        <v>1238</v>
      </c>
      <c r="E26" s="841" t="s">
        <v>1235</v>
      </c>
      <c r="F26" s="842" t="s">
        <v>206</v>
      </c>
      <c r="G26" s="843" t="s">
        <v>102</v>
      </c>
      <c r="H26" s="843"/>
      <c r="I26" s="801" t="s">
        <v>102</v>
      </c>
      <c r="J26" s="801"/>
      <c r="K26" s="877"/>
      <c r="L26" s="816"/>
      <c r="M26" s="816"/>
      <c r="N26" s="844"/>
      <c r="O26" s="1956" t="s">
        <v>1234</v>
      </c>
      <c r="P26" s="1948"/>
      <c r="Q26" s="1970"/>
      <c r="R26" s="846">
        <v>108000</v>
      </c>
      <c r="S26" s="845"/>
      <c r="T26" s="845"/>
      <c r="U26" s="789"/>
      <c r="V26" s="789"/>
      <c r="W26" s="845"/>
      <c r="X26" s="847">
        <f t="shared" ref="X26:X31" si="2">R26+S26+T26+Q26+W26</f>
        <v>108000</v>
      </c>
      <c r="Y26" s="848">
        <f>+U26</f>
        <v>0</v>
      </c>
      <c r="Z26" s="849"/>
      <c r="AA26" s="850">
        <v>0</v>
      </c>
      <c r="AB26" s="851">
        <f>+AA26+Y26+X26</f>
        <v>108000</v>
      </c>
      <c r="AC26" s="870" t="s">
        <v>1211</v>
      </c>
      <c r="AD26" s="880"/>
    </row>
    <row r="27" spans="1:30" s="854" customFormat="1">
      <c r="A27" s="837">
        <v>2</v>
      </c>
      <c r="B27" s="838"/>
      <c r="C27" s="864">
        <v>105533383760</v>
      </c>
      <c r="D27" s="840" t="s">
        <v>1251</v>
      </c>
      <c r="E27" s="841" t="s">
        <v>1250</v>
      </c>
      <c r="F27" s="842" t="s">
        <v>206</v>
      </c>
      <c r="G27" s="843" t="s">
        <v>102</v>
      </c>
      <c r="H27" s="843"/>
      <c r="I27" s="801" t="s">
        <v>102</v>
      </c>
      <c r="J27" s="801"/>
      <c r="K27" s="815" t="s">
        <v>123</v>
      </c>
      <c r="L27" s="816" t="s">
        <v>1325</v>
      </c>
      <c r="M27" s="816"/>
      <c r="N27" s="844"/>
      <c r="O27" s="1956" t="s">
        <v>1249</v>
      </c>
      <c r="P27" s="1948"/>
      <c r="Q27" s="1970"/>
      <c r="R27" s="846">
        <v>24000</v>
      </c>
      <c r="S27" s="845"/>
      <c r="T27" s="846">
        <v>3592215</v>
      </c>
      <c r="U27" s="788"/>
      <c r="V27" s="788"/>
      <c r="W27" s="845"/>
      <c r="X27" s="847">
        <f t="shared" si="2"/>
        <v>3616215</v>
      </c>
      <c r="Y27" s="848">
        <f t="shared" si="0"/>
        <v>0</v>
      </c>
      <c r="Z27" s="849"/>
      <c r="AA27" s="850">
        <f>2090000*1.08</f>
        <v>2257200</v>
      </c>
      <c r="AB27" s="851">
        <f t="shared" si="1"/>
        <v>5873415</v>
      </c>
      <c r="AC27" s="852"/>
      <c r="AD27" s="3331" t="s">
        <v>1341</v>
      </c>
    </row>
    <row r="28" spans="1:30" s="854" customFormat="1">
      <c r="A28" s="837">
        <f t="shared" ref="A28:A88" si="3">+A27+1</f>
        <v>3</v>
      </c>
      <c r="B28" s="838"/>
      <c r="C28" s="864">
        <v>105546953740</v>
      </c>
      <c r="D28" s="840" t="s">
        <v>1262</v>
      </c>
      <c r="E28" s="841" t="s">
        <v>1264</v>
      </c>
      <c r="F28" s="842" t="s">
        <v>206</v>
      </c>
      <c r="G28" s="843" t="s">
        <v>102</v>
      </c>
      <c r="H28" s="843"/>
      <c r="I28" s="801" t="s">
        <v>102</v>
      </c>
      <c r="J28" s="801"/>
      <c r="K28" s="815" t="s">
        <v>123</v>
      </c>
      <c r="L28" s="816" t="s">
        <v>1323</v>
      </c>
      <c r="M28" s="816"/>
      <c r="N28" s="844"/>
      <c r="O28" s="1956" t="s">
        <v>1267</v>
      </c>
      <c r="P28" s="1948"/>
      <c r="Q28" s="1970"/>
      <c r="R28" s="846">
        <v>186000</v>
      </c>
      <c r="S28" s="845"/>
      <c r="T28" s="845"/>
      <c r="U28" s="788"/>
      <c r="V28" s="788"/>
      <c r="W28" s="845"/>
      <c r="X28" s="847">
        <f t="shared" si="2"/>
        <v>186000</v>
      </c>
      <c r="Y28" s="848">
        <f t="shared" si="0"/>
        <v>0</v>
      </c>
      <c r="Z28" s="849"/>
      <c r="AA28" s="850">
        <f>2090000*1.08</f>
        <v>2257200</v>
      </c>
      <c r="AB28" s="851">
        <f t="shared" si="1"/>
        <v>2443200</v>
      </c>
      <c r="AC28" s="852"/>
      <c r="AD28" s="3331"/>
    </row>
    <row r="29" spans="1:30" s="854" customFormat="1" ht="147" customHeight="1">
      <c r="A29" s="837">
        <f t="shared" si="3"/>
        <v>4</v>
      </c>
      <c r="B29" s="838"/>
      <c r="C29" s="864">
        <v>105569787960</v>
      </c>
      <c r="D29" s="840">
        <v>45206</v>
      </c>
      <c r="E29" s="841" t="s">
        <v>1322</v>
      </c>
      <c r="F29" s="842" t="s">
        <v>206</v>
      </c>
      <c r="G29" s="843">
        <v>10</v>
      </c>
      <c r="H29" s="843"/>
      <c r="I29" s="882"/>
      <c r="J29" s="882" t="s">
        <v>1330</v>
      </c>
      <c r="K29" s="815" t="s">
        <v>123</v>
      </c>
      <c r="L29" s="816"/>
      <c r="M29" s="816"/>
      <c r="N29" s="844"/>
      <c r="O29" s="1956" t="s">
        <v>1292</v>
      </c>
      <c r="P29" s="1948"/>
      <c r="Q29" s="1973">
        <v>1674000</v>
      </c>
      <c r="R29" s="846">
        <v>3942000</v>
      </c>
      <c r="S29" s="869">
        <f>900000+900000+900000+900000+900000+900000+900000+900000+900000+900000</f>
        <v>9000000</v>
      </c>
      <c r="T29" s="845"/>
      <c r="U29" s="788"/>
      <c r="V29" s="788"/>
      <c r="W29" s="845"/>
      <c r="X29" s="847">
        <f t="shared" si="2"/>
        <v>14616000</v>
      </c>
      <c r="Y29" s="848">
        <f t="shared" si="0"/>
        <v>0</v>
      </c>
      <c r="Z29" s="849"/>
      <c r="AA29" s="850">
        <f>((G29*5160000)+(H29*5560000))*1.08</f>
        <v>55728000</v>
      </c>
      <c r="AB29" s="851">
        <f>+AA29+Y29+X29</f>
        <v>70344000</v>
      </c>
      <c r="AC29" s="852"/>
      <c r="AD29" s="3331"/>
    </row>
    <row r="30" spans="1:30" s="854" customFormat="1" ht="22.5" customHeight="1">
      <c r="A30" s="837">
        <f t="shared" si="3"/>
        <v>5</v>
      </c>
      <c r="B30" s="838"/>
      <c r="C30" s="864">
        <v>105578665030</v>
      </c>
      <c r="D30" s="840" t="s">
        <v>1321</v>
      </c>
      <c r="E30" s="841" t="s">
        <v>1295</v>
      </c>
      <c r="F30" s="842" t="s">
        <v>206</v>
      </c>
      <c r="G30" s="843" t="s">
        <v>102</v>
      </c>
      <c r="H30" s="843"/>
      <c r="I30" s="801" t="s">
        <v>102</v>
      </c>
      <c r="J30" s="801"/>
      <c r="K30" s="815" t="s">
        <v>123</v>
      </c>
      <c r="L30" s="816" t="s">
        <v>1324</v>
      </c>
      <c r="M30" s="816"/>
      <c r="N30" s="844"/>
      <c r="O30" s="1956" t="s">
        <v>1293</v>
      </c>
      <c r="P30" s="1948"/>
      <c r="Q30" s="1970"/>
      <c r="R30" s="846">
        <v>82472</v>
      </c>
      <c r="S30" s="845"/>
      <c r="T30" s="845"/>
      <c r="U30" s="787">
        <v>5104944</v>
      </c>
      <c r="V30" s="787"/>
      <c r="W30" s="845"/>
      <c r="X30" s="847">
        <f t="shared" si="2"/>
        <v>82472</v>
      </c>
      <c r="Y30" s="848">
        <f t="shared" si="0"/>
        <v>5104944</v>
      </c>
      <c r="Z30" s="849"/>
      <c r="AA30" s="850">
        <f>2090000*1.08</f>
        <v>2257200</v>
      </c>
      <c r="AB30" s="851">
        <f t="shared" si="1"/>
        <v>7444616</v>
      </c>
      <c r="AC30" s="852"/>
      <c r="AD30" s="3331"/>
    </row>
    <row r="31" spans="1:30" s="854" customFormat="1" ht="26.4">
      <c r="A31" s="837">
        <f t="shared" si="3"/>
        <v>6</v>
      </c>
      <c r="B31" s="838"/>
      <c r="C31" s="839" t="s">
        <v>1331</v>
      </c>
      <c r="D31" s="840" t="s">
        <v>1327</v>
      </c>
      <c r="E31" s="841" t="s">
        <v>1332</v>
      </c>
      <c r="F31" s="842"/>
      <c r="G31" s="843"/>
      <c r="H31" s="843"/>
      <c r="I31" s="802"/>
      <c r="J31" s="802"/>
      <c r="K31" s="877"/>
      <c r="L31" s="816"/>
      <c r="M31" s="816"/>
      <c r="N31" s="844"/>
      <c r="O31" s="1957">
        <v>31303205</v>
      </c>
      <c r="P31" s="1517"/>
      <c r="Q31" s="1970"/>
      <c r="R31" s="845"/>
      <c r="S31" s="845"/>
      <c r="T31" s="846">
        <v>100000</v>
      </c>
      <c r="U31" s="788"/>
      <c r="V31" s="788"/>
      <c r="W31" s="845"/>
      <c r="X31" s="847">
        <f t="shared" si="2"/>
        <v>100000</v>
      </c>
      <c r="Y31" s="848">
        <f t="shared" si="0"/>
        <v>0</v>
      </c>
      <c r="Z31" s="849"/>
      <c r="AA31" s="850">
        <f>(800000)*1.08</f>
        <v>864000</v>
      </c>
      <c r="AB31" s="851">
        <f t="shared" si="1"/>
        <v>964000</v>
      </c>
      <c r="AC31" s="852"/>
      <c r="AD31" s="3331"/>
    </row>
    <row r="32" spans="1:30">
      <c r="A32" s="3297" t="s">
        <v>1374</v>
      </c>
      <c r="B32" s="3298"/>
      <c r="C32" s="3298"/>
      <c r="D32" s="3298"/>
      <c r="E32" s="3298"/>
      <c r="F32" s="3298"/>
      <c r="G32" s="3298"/>
      <c r="H32" s="3298"/>
      <c r="I32" s="3298"/>
      <c r="J32" s="3298"/>
      <c r="K32" s="3298"/>
      <c r="L32" s="3298"/>
      <c r="M32" s="644"/>
      <c r="N32" s="346"/>
      <c r="O32" s="1866"/>
      <c r="P32" s="1927"/>
      <c r="Q32" s="346"/>
      <c r="R32" s="346"/>
      <c r="S32" s="346"/>
      <c r="T32" s="346"/>
      <c r="U32" s="346"/>
      <c r="V32" s="346"/>
      <c r="W32" s="346"/>
      <c r="X32" s="855">
        <f>SUM(X26:X31)</f>
        <v>18708687</v>
      </c>
      <c r="Y32" s="855">
        <f>SUM(Y26:Y31)</f>
        <v>5104944</v>
      </c>
      <c r="Z32" s="856"/>
      <c r="AA32" s="855">
        <f>SUM(AA26:AA31)</f>
        <v>63363600</v>
      </c>
      <c r="AB32" s="855">
        <f>+X32+Y32+AA32</f>
        <v>87177231</v>
      </c>
      <c r="AC32" s="353"/>
      <c r="AD32" s="883"/>
    </row>
    <row r="33" spans="1:30" s="854" customFormat="1">
      <c r="A33" s="837">
        <v>1</v>
      </c>
      <c r="B33" s="838"/>
      <c r="C33" s="884">
        <v>105608687810</v>
      </c>
      <c r="D33" s="885" t="s">
        <v>1378</v>
      </c>
      <c r="E33" s="841" t="s">
        <v>1377</v>
      </c>
      <c r="F33" s="842" t="s">
        <v>206</v>
      </c>
      <c r="G33" s="843" t="s">
        <v>102</v>
      </c>
      <c r="H33" s="843"/>
      <c r="I33" s="801" t="s">
        <v>102</v>
      </c>
      <c r="J33" s="801"/>
      <c r="K33" s="815" t="s">
        <v>123</v>
      </c>
      <c r="L33" s="816" t="s">
        <v>1376</v>
      </c>
      <c r="M33" s="816"/>
      <c r="N33" s="844"/>
      <c r="O33" s="1956" t="s">
        <v>1375</v>
      </c>
      <c r="P33" s="1948"/>
      <c r="Q33" s="1970"/>
      <c r="R33" s="845"/>
      <c r="S33" s="845"/>
      <c r="T33" s="845"/>
      <c r="U33" s="787">
        <v>6586058</v>
      </c>
      <c r="V33" s="787"/>
      <c r="W33" s="845"/>
      <c r="X33" s="847">
        <f t="shared" ref="X33:X40" si="4">R33+S33+T33+Q33+W33</f>
        <v>0</v>
      </c>
      <c r="Y33" s="848">
        <f t="shared" si="0"/>
        <v>6586058</v>
      </c>
      <c r="Z33" s="849"/>
      <c r="AA33" s="850">
        <f>3090000*1.08</f>
        <v>3337200</v>
      </c>
      <c r="AB33" s="851">
        <f t="shared" si="1"/>
        <v>9923258</v>
      </c>
      <c r="AC33" s="852"/>
      <c r="AD33" s="3329" t="s">
        <v>1506</v>
      </c>
    </row>
    <row r="34" spans="1:30" s="854" customFormat="1" ht="132">
      <c r="A34" s="837">
        <f t="shared" si="3"/>
        <v>2</v>
      </c>
      <c r="B34" s="838"/>
      <c r="C34" s="884">
        <v>105607363300</v>
      </c>
      <c r="D34" s="840" t="s">
        <v>1383</v>
      </c>
      <c r="E34" s="841" t="s">
        <v>1385</v>
      </c>
      <c r="F34" s="842" t="s">
        <v>206</v>
      </c>
      <c r="G34" s="843">
        <v>10</v>
      </c>
      <c r="H34" s="843"/>
      <c r="I34" s="805"/>
      <c r="J34" s="805" t="s">
        <v>1384</v>
      </c>
      <c r="K34" s="815" t="s">
        <v>123</v>
      </c>
      <c r="L34" s="816"/>
      <c r="M34" s="816"/>
      <c r="N34" s="844"/>
      <c r="O34" s="1957" t="s">
        <v>1480</v>
      </c>
      <c r="P34" s="1517"/>
      <c r="Q34" s="1973">
        <f>1134000+108000</f>
        <v>1242000</v>
      </c>
      <c r="R34" s="846">
        <v>5886000</v>
      </c>
      <c r="S34" s="869">
        <f>1800000+1800000+1800000+1800000+900000+900000</f>
        <v>9000000</v>
      </c>
      <c r="T34" s="845"/>
      <c r="U34" s="788"/>
      <c r="V34" s="788"/>
      <c r="W34" s="846">
        <v>263158</v>
      </c>
      <c r="X34" s="847">
        <f t="shared" si="4"/>
        <v>16391158</v>
      </c>
      <c r="Y34" s="848">
        <f t="shared" si="0"/>
        <v>0</v>
      </c>
      <c r="Z34" s="849"/>
      <c r="AA34" s="850">
        <f>((G34*5160000)+(H34*5560000))*1.08</f>
        <v>55728000</v>
      </c>
      <c r="AB34" s="851">
        <f t="shared" si="1"/>
        <v>72119158</v>
      </c>
      <c r="AC34" s="852" t="s">
        <v>1492</v>
      </c>
      <c r="AD34" s="3330"/>
    </row>
    <row r="35" spans="1:30" s="854" customFormat="1">
      <c r="A35" s="837">
        <f t="shared" si="3"/>
        <v>3</v>
      </c>
      <c r="B35" s="838"/>
      <c r="C35" s="884">
        <v>105629140740</v>
      </c>
      <c r="D35" s="840">
        <v>45145</v>
      </c>
      <c r="E35" s="841" t="s">
        <v>1443</v>
      </c>
      <c r="F35" s="842" t="s">
        <v>206</v>
      </c>
      <c r="G35" s="843" t="s">
        <v>102</v>
      </c>
      <c r="H35" s="843"/>
      <c r="I35" s="804" t="s">
        <v>102</v>
      </c>
      <c r="J35" s="804"/>
      <c r="K35" s="815" t="s">
        <v>123</v>
      </c>
      <c r="L35" s="816" t="s">
        <v>1444</v>
      </c>
      <c r="M35" s="816"/>
      <c r="N35" s="844"/>
      <c r="O35" s="1957" t="s">
        <v>1442</v>
      </c>
      <c r="P35" s="1517"/>
      <c r="Q35" s="1970"/>
      <c r="R35" s="845"/>
      <c r="S35" s="845"/>
      <c r="T35" s="845"/>
      <c r="U35" s="787">
        <v>3839712</v>
      </c>
      <c r="V35" s="787"/>
      <c r="W35" s="845"/>
      <c r="X35" s="847">
        <f t="shared" si="4"/>
        <v>0</v>
      </c>
      <c r="Y35" s="848">
        <f t="shared" si="0"/>
        <v>3839712</v>
      </c>
      <c r="Z35" s="849"/>
      <c r="AA35" s="850">
        <f>2090000*1.08</f>
        <v>2257200</v>
      </c>
      <c r="AB35" s="851">
        <f t="shared" si="1"/>
        <v>6096912</v>
      </c>
      <c r="AC35" s="852"/>
      <c r="AD35" s="3330"/>
    </row>
    <row r="36" spans="1:30" s="854" customFormat="1" ht="16.5" customHeight="1">
      <c r="A36" s="837">
        <f t="shared" si="3"/>
        <v>4</v>
      </c>
      <c r="B36" s="838"/>
      <c r="C36" s="884">
        <v>105629106002</v>
      </c>
      <c r="D36" s="840">
        <v>45141</v>
      </c>
      <c r="E36" s="841" t="s">
        <v>1454</v>
      </c>
      <c r="F36" s="842" t="s">
        <v>1345</v>
      </c>
      <c r="G36" s="843" t="s">
        <v>102</v>
      </c>
      <c r="H36" s="843"/>
      <c r="I36" s="804" t="s">
        <v>102</v>
      </c>
      <c r="J36" s="804"/>
      <c r="K36" s="815" t="s">
        <v>123</v>
      </c>
      <c r="L36" s="816" t="s">
        <v>1452</v>
      </c>
      <c r="M36" s="816"/>
      <c r="N36" s="844"/>
      <c r="O36" s="1957" t="s">
        <v>1453</v>
      </c>
      <c r="P36" s="1517"/>
      <c r="Q36" s="1973">
        <v>478342</v>
      </c>
      <c r="R36" s="845"/>
      <c r="S36" s="845"/>
      <c r="T36" s="846">
        <v>3768638</v>
      </c>
      <c r="U36" s="788"/>
      <c r="V36" s="788"/>
      <c r="W36" s="845"/>
      <c r="X36" s="847">
        <f t="shared" si="4"/>
        <v>4246980</v>
      </c>
      <c r="Y36" s="848">
        <f t="shared" si="0"/>
        <v>0</v>
      </c>
      <c r="Z36" s="849"/>
      <c r="AA36" s="850">
        <f>2290000*1.08</f>
        <v>2473200</v>
      </c>
      <c r="AB36" s="851">
        <f t="shared" si="1"/>
        <v>6720180</v>
      </c>
      <c r="AC36" s="852"/>
      <c r="AD36" s="3330"/>
    </row>
    <row r="37" spans="1:30" s="854" customFormat="1">
      <c r="A37" s="837">
        <f t="shared" si="3"/>
        <v>5</v>
      </c>
      <c r="B37" s="838"/>
      <c r="C37" s="884">
        <v>105639536220</v>
      </c>
      <c r="D37" s="840">
        <v>45147</v>
      </c>
      <c r="E37" s="841" t="s">
        <v>1455</v>
      </c>
      <c r="F37" s="842" t="s">
        <v>206</v>
      </c>
      <c r="G37" s="843" t="s">
        <v>102</v>
      </c>
      <c r="H37" s="843"/>
      <c r="I37" s="804" t="s">
        <v>102</v>
      </c>
      <c r="J37" s="804"/>
      <c r="K37" s="886" t="s">
        <v>210</v>
      </c>
      <c r="L37" s="816" t="s">
        <v>1457</v>
      </c>
      <c r="M37" s="816"/>
      <c r="N37" s="844"/>
      <c r="O37" s="1957" t="s">
        <v>1456</v>
      </c>
      <c r="P37" s="1517"/>
      <c r="Q37" s="1970"/>
      <c r="R37" s="845"/>
      <c r="S37" s="845"/>
      <c r="T37" s="845"/>
      <c r="U37" s="787">
        <v>4377718</v>
      </c>
      <c r="V37" s="787"/>
      <c r="W37" s="845"/>
      <c r="X37" s="847">
        <f t="shared" si="4"/>
        <v>0</v>
      </c>
      <c r="Y37" s="848">
        <f t="shared" si="0"/>
        <v>4377718</v>
      </c>
      <c r="Z37" s="849"/>
      <c r="AA37" s="850">
        <f>2290000*1.08</f>
        <v>2473200</v>
      </c>
      <c r="AB37" s="851">
        <f t="shared" si="1"/>
        <v>6850918</v>
      </c>
      <c r="AC37" s="852"/>
      <c r="AD37" s="3330"/>
    </row>
    <row r="38" spans="1:30" s="854" customFormat="1">
      <c r="A38" s="837">
        <f t="shared" si="3"/>
        <v>6</v>
      </c>
      <c r="B38" s="838"/>
      <c r="C38" s="884">
        <v>105640277850</v>
      </c>
      <c r="D38" s="840">
        <v>45147</v>
      </c>
      <c r="E38" s="841" t="s">
        <v>1459</v>
      </c>
      <c r="F38" s="842" t="s">
        <v>206</v>
      </c>
      <c r="G38" s="843" t="s">
        <v>102</v>
      </c>
      <c r="H38" s="843"/>
      <c r="I38" s="804" t="s">
        <v>102</v>
      </c>
      <c r="J38" s="804"/>
      <c r="K38" s="815" t="s">
        <v>123</v>
      </c>
      <c r="L38" s="816" t="s">
        <v>1460</v>
      </c>
      <c r="M38" s="816"/>
      <c r="N38" s="844"/>
      <c r="O38" s="1957" t="s">
        <v>1458</v>
      </c>
      <c r="P38" s="1517"/>
      <c r="Q38" s="1973">
        <v>23563</v>
      </c>
      <c r="R38" s="845"/>
      <c r="S38" s="845"/>
      <c r="T38" s="845"/>
      <c r="U38" s="787">
        <v>3575794</v>
      </c>
      <c r="V38" s="787"/>
      <c r="W38" s="845"/>
      <c r="X38" s="847">
        <f t="shared" si="4"/>
        <v>23563</v>
      </c>
      <c r="Y38" s="848">
        <f t="shared" si="0"/>
        <v>3575794</v>
      </c>
      <c r="Z38" s="849"/>
      <c r="AA38" s="850">
        <f>2090000*1.08</f>
        <v>2257200</v>
      </c>
      <c r="AB38" s="851">
        <f t="shared" si="1"/>
        <v>5856557</v>
      </c>
      <c r="AC38" s="852"/>
      <c r="AD38" s="3330"/>
    </row>
    <row r="39" spans="1:30" s="854" customFormat="1">
      <c r="A39" s="837">
        <f t="shared" si="3"/>
        <v>7</v>
      </c>
      <c r="B39" s="838"/>
      <c r="C39" s="884">
        <v>105658896010</v>
      </c>
      <c r="D39" s="840" t="s">
        <v>1489</v>
      </c>
      <c r="E39" s="841" t="s">
        <v>1487</v>
      </c>
      <c r="F39" s="842" t="s">
        <v>206</v>
      </c>
      <c r="G39" s="843" t="s">
        <v>102</v>
      </c>
      <c r="H39" s="843"/>
      <c r="I39" s="804" t="s">
        <v>102</v>
      </c>
      <c r="J39" s="804"/>
      <c r="K39" s="815" t="s">
        <v>123</v>
      </c>
      <c r="L39" s="816" t="s">
        <v>1488</v>
      </c>
      <c r="M39" s="816"/>
      <c r="N39" s="844"/>
      <c r="O39" s="1957" t="s">
        <v>1486</v>
      </c>
      <c r="P39" s="1517"/>
      <c r="Q39" s="1970"/>
      <c r="R39" s="845"/>
      <c r="S39" s="845"/>
      <c r="T39" s="845"/>
      <c r="U39" s="787">
        <v>3454942</v>
      </c>
      <c r="V39" s="787"/>
      <c r="W39" s="845"/>
      <c r="X39" s="847">
        <f t="shared" si="4"/>
        <v>0</v>
      </c>
      <c r="Y39" s="848">
        <f t="shared" si="0"/>
        <v>3454942</v>
      </c>
      <c r="Z39" s="849"/>
      <c r="AA39" s="850">
        <f>2090000*1.08</f>
        <v>2257200</v>
      </c>
      <c r="AB39" s="851">
        <f t="shared" si="1"/>
        <v>5712142</v>
      </c>
      <c r="AC39" s="852"/>
      <c r="AD39" s="3332" t="s">
        <v>1535</v>
      </c>
    </row>
    <row r="40" spans="1:30" s="854" customFormat="1">
      <c r="A40" s="837">
        <f t="shared" si="3"/>
        <v>8</v>
      </c>
      <c r="B40" s="838"/>
      <c r="C40" s="887">
        <v>105668713510</v>
      </c>
      <c r="D40" s="840" t="s">
        <v>1501</v>
      </c>
      <c r="E40" s="841" t="s">
        <v>1508</v>
      </c>
      <c r="F40" s="842" t="s">
        <v>206</v>
      </c>
      <c r="G40" s="843" t="s">
        <v>102</v>
      </c>
      <c r="H40" s="843"/>
      <c r="I40" s="804" t="s">
        <v>102</v>
      </c>
      <c r="J40" s="804"/>
      <c r="K40" s="815" t="s">
        <v>123</v>
      </c>
      <c r="L40" s="816" t="s">
        <v>1510</v>
      </c>
      <c r="M40" s="816"/>
      <c r="N40" s="844"/>
      <c r="O40" s="1957" t="s">
        <v>1509</v>
      </c>
      <c r="P40" s="1517"/>
      <c r="Q40" s="1973">
        <v>11782</v>
      </c>
      <c r="R40" s="845"/>
      <c r="S40" s="845"/>
      <c r="T40" s="846">
        <v>3454942</v>
      </c>
      <c r="U40" s="788"/>
      <c r="V40" s="788"/>
      <c r="W40" s="845"/>
      <c r="X40" s="847">
        <f t="shared" si="4"/>
        <v>3466724</v>
      </c>
      <c r="Y40" s="848">
        <f t="shared" si="0"/>
        <v>0</v>
      </c>
      <c r="Z40" s="849"/>
      <c r="AA40" s="850">
        <f>2090000*1.08</f>
        <v>2257200</v>
      </c>
      <c r="AB40" s="851">
        <f t="shared" si="1"/>
        <v>5723924</v>
      </c>
      <c r="AC40" s="852"/>
      <c r="AD40" s="3332"/>
    </row>
    <row r="41" spans="1:30">
      <c r="A41" s="3297" t="s">
        <v>1507</v>
      </c>
      <c r="B41" s="3298"/>
      <c r="C41" s="3298"/>
      <c r="D41" s="3298"/>
      <c r="E41" s="3298"/>
      <c r="F41" s="3298"/>
      <c r="G41" s="3298"/>
      <c r="H41" s="3298"/>
      <c r="I41" s="3298"/>
      <c r="J41" s="3298"/>
      <c r="K41" s="3298"/>
      <c r="L41" s="3298"/>
      <c r="M41" s="644"/>
      <c r="N41" s="346"/>
      <c r="O41" s="1866"/>
      <c r="P41" s="1927"/>
      <c r="Q41" s="346"/>
      <c r="R41" s="346"/>
      <c r="S41" s="346"/>
      <c r="T41" s="346"/>
      <c r="U41" s="346"/>
      <c r="V41" s="346"/>
      <c r="W41" s="501"/>
      <c r="X41" s="835">
        <f>SUM(X33:X40)</f>
        <v>24128425</v>
      </c>
      <c r="Y41" s="835">
        <f>SUM(Y33:Y40)</f>
        <v>21834224</v>
      </c>
      <c r="Z41" s="836"/>
      <c r="AA41" s="835">
        <f>SUM(AA33:AA40)</f>
        <v>73040400</v>
      </c>
      <c r="AB41" s="835">
        <f>+X41+Y41+AA41</f>
        <v>119003049</v>
      </c>
      <c r="AC41" s="353"/>
      <c r="AD41" s="881"/>
    </row>
    <row r="42" spans="1:30" ht="135.75" customHeight="1">
      <c r="A42" s="818">
        <v>1</v>
      </c>
      <c r="B42" s="295"/>
      <c r="C42" s="888">
        <v>105671433120</v>
      </c>
      <c r="D42" s="871" t="s">
        <v>1539</v>
      </c>
      <c r="E42" s="872" t="s">
        <v>1541</v>
      </c>
      <c r="F42" s="873" t="s">
        <v>206</v>
      </c>
      <c r="G42" s="167">
        <v>10</v>
      </c>
      <c r="H42" s="167"/>
      <c r="I42" s="889"/>
      <c r="J42" s="803" t="s">
        <v>1542</v>
      </c>
      <c r="K42" s="374" t="s">
        <v>123</v>
      </c>
      <c r="L42" s="127"/>
      <c r="M42" s="522"/>
      <c r="N42" s="890"/>
      <c r="O42" s="1958" t="s">
        <v>1540</v>
      </c>
      <c r="P42" s="1517"/>
      <c r="Q42" s="1974">
        <v>1674000</v>
      </c>
      <c r="R42" s="826">
        <v>3942000</v>
      </c>
      <c r="S42" s="827">
        <f>1800000+1800000+1800000+1800000+1800000</f>
        <v>9000000</v>
      </c>
      <c r="T42" s="825"/>
      <c r="U42" s="828"/>
      <c r="V42" s="828"/>
      <c r="W42" s="825"/>
      <c r="X42" s="829">
        <f>R42+S42+T42+Q42+W42</f>
        <v>14616000</v>
      </c>
      <c r="Y42" s="830">
        <f t="shared" si="0"/>
        <v>0</v>
      </c>
      <c r="Z42" s="831"/>
      <c r="AA42" s="832">
        <f>((G42*5160000)+(H42*5560000))*1.08</f>
        <v>55728000</v>
      </c>
      <c r="AB42" s="833">
        <f t="shared" si="1"/>
        <v>70344000</v>
      </c>
      <c r="AC42" s="876"/>
      <c r="AD42" s="3326" t="s">
        <v>1630</v>
      </c>
    </row>
    <row r="43" spans="1:30" s="854" customFormat="1">
      <c r="A43" s="837">
        <f t="shared" si="3"/>
        <v>2</v>
      </c>
      <c r="B43" s="838"/>
      <c r="C43" s="884">
        <v>105693335640</v>
      </c>
      <c r="D43" s="840">
        <v>45174</v>
      </c>
      <c r="E43" s="841" t="s">
        <v>1562</v>
      </c>
      <c r="F43" s="842" t="s">
        <v>206</v>
      </c>
      <c r="G43" s="843" t="s">
        <v>102</v>
      </c>
      <c r="H43" s="843"/>
      <c r="I43" s="805" t="s">
        <v>102</v>
      </c>
      <c r="J43" s="805"/>
      <c r="K43" s="815" t="s">
        <v>123</v>
      </c>
      <c r="L43" s="816" t="s">
        <v>1568</v>
      </c>
      <c r="M43" s="816"/>
      <c r="N43" s="891"/>
      <c r="O43" s="1957" t="s">
        <v>1563</v>
      </c>
      <c r="P43" s="1517"/>
      <c r="Q43" s="1970"/>
      <c r="R43" s="845"/>
      <c r="S43" s="845"/>
      <c r="T43" s="845"/>
      <c r="U43" s="787">
        <v>8369482</v>
      </c>
      <c r="V43" s="787"/>
      <c r="W43" s="845"/>
      <c r="X43" s="847">
        <f>R43+S43+T43+Q43+W43</f>
        <v>0</v>
      </c>
      <c r="Y43" s="848">
        <f t="shared" si="0"/>
        <v>8369482</v>
      </c>
      <c r="Z43" s="849"/>
      <c r="AA43" s="850">
        <f>3090000*1.08</f>
        <v>3337200</v>
      </c>
      <c r="AB43" s="851">
        <f t="shared" si="1"/>
        <v>11706682</v>
      </c>
      <c r="AC43" s="852" t="s">
        <v>1627</v>
      </c>
      <c r="AD43" s="3327"/>
    </row>
    <row r="44" spans="1:30" s="854" customFormat="1">
      <c r="A44" s="837">
        <f t="shared" si="3"/>
        <v>3</v>
      </c>
      <c r="B44" s="838"/>
      <c r="C44" s="892">
        <v>105700803610</v>
      </c>
      <c r="D44" s="840">
        <v>45176</v>
      </c>
      <c r="E44" s="841" t="s">
        <v>1565</v>
      </c>
      <c r="F44" s="842" t="s">
        <v>206</v>
      </c>
      <c r="G44" s="843" t="s">
        <v>102</v>
      </c>
      <c r="H44" s="843"/>
      <c r="I44" s="805" t="s">
        <v>102</v>
      </c>
      <c r="J44" s="805"/>
      <c r="K44" s="815" t="s">
        <v>123</v>
      </c>
      <c r="L44" s="840" t="s">
        <v>1569</v>
      </c>
      <c r="M44" s="840"/>
      <c r="N44" s="893" t="s">
        <v>1582</v>
      </c>
      <c r="O44" s="1957" t="s">
        <v>1564</v>
      </c>
      <c r="P44" s="1517"/>
      <c r="Q44" s="1973">
        <v>11782</v>
      </c>
      <c r="R44" s="845"/>
      <c r="S44" s="845"/>
      <c r="T44" s="845"/>
      <c r="U44" s="787">
        <v>3300620</v>
      </c>
      <c r="V44" s="787"/>
      <c r="W44" s="845"/>
      <c r="X44" s="847">
        <f>R44+S44+T44+Q44+W44</f>
        <v>11782</v>
      </c>
      <c r="Y44" s="848">
        <f t="shared" si="0"/>
        <v>3300620</v>
      </c>
      <c r="Z44" s="849"/>
      <c r="AA44" s="850">
        <f>+(2090000*1.08)+(500000*1.08)</f>
        <v>2797200</v>
      </c>
      <c r="AB44" s="851">
        <f t="shared" si="1"/>
        <v>6109602</v>
      </c>
      <c r="AC44" s="852"/>
      <c r="AD44" s="3327"/>
    </row>
    <row r="45" spans="1:30" s="854" customFormat="1">
      <c r="A45" s="837">
        <f t="shared" si="3"/>
        <v>4</v>
      </c>
      <c r="B45" s="838"/>
      <c r="C45" s="892">
        <v>105704634120</v>
      </c>
      <c r="D45" s="840">
        <v>45177</v>
      </c>
      <c r="E45" s="841" t="s">
        <v>1578</v>
      </c>
      <c r="F45" s="842" t="s">
        <v>206</v>
      </c>
      <c r="G45" s="843" t="s">
        <v>102</v>
      </c>
      <c r="H45" s="843"/>
      <c r="I45" s="805" t="s">
        <v>102</v>
      </c>
      <c r="J45" s="805"/>
      <c r="K45" s="815" t="s">
        <v>123</v>
      </c>
      <c r="L45" s="816" t="s">
        <v>1579</v>
      </c>
      <c r="M45" s="816"/>
      <c r="N45" s="891"/>
      <c r="O45" s="1957" t="s">
        <v>1573</v>
      </c>
      <c r="P45" s="1517"/>
      <c r="Q45" s="1973">
        <v>37113</v>
      </c>
      <c r="R45" s="845"/>
      <c r="S45" s="845"/>
      <c r="T45" s="846">
        <v>4605881</v>
      </c>
      <c r="U45" s="788"/>
      <c r="V45" s="788"/>
      <c r="W45" s="845"/>
      <c r="X45" s="847">
        <f>R45+S45+T45+Q45+W45</f>
        <v>4642994</v>
      </c>
      <c r="Y45" s="848">
        <f t="shared" si="0"/>
        <v>0</v>
      </c>
      <c r="Z45" s="849"/>
      <c r="AA45" s="850">
        <f>2290000*1.08</f>
        <v>2473200</v>
      </c>
      <c r="AB45" s="851">
        <f t="shared" si="1"/>
        <v>7116194</v>
      </c>
      <c r="AC45" s="852"/>
      <c r="AD45" s="3327"/>
    </row>
    <row r="46" spans="1:30" s="854" customFormat="1" ht="26.4">
      <c r="A46" s="837">
        <f t="shared" si="3"/>
        <v>5</v>
      </c>
      <c r="B46" s="838"/>
      <c r="C46" s="894" t="s">
        <v>1580</v>
      </c>
      <c r="D46" s="840">
        <v>45177</v>
      </c>
      <c r="E46" s="841" t="s">
        <v>1581</v>
      </c>
      <c r="F46" s="895"/>
      <c r="G46" s="843"/>
      <c r="H46" s="843"/>
      <c r="I46" s="805"/>
      <c r="J46" s="805"/>
      <c r="K46" s="896"/>
      <c r="L46" s="816"/>
      <c r="M46" s="816"/>
      <c r="N46" s="891"/>
      <c r="O46" s="1957"/>
      <c r="P46" s="1517"/>
      <c r="Q46" s="1970"/>
      <c r="R46" s="845"/>
      <c r="S46" s="845"/>
      <c r="T46" s="846">
        <f>196364+98182</f>
        <v>294546</v>
      </c>
      <c r="U46" s="788"/>
      <c r="V46" s="788"/>
      <c r="W46" s="845"/>
      <c r="X46" s="847">
        <f>R46+S46+T46+Q46+W46</f>
        <v>294546</v>
      </c>
      <c r="Y46" s="848">
        <f t="shared" si="0"/>
        <v>0</v>
      </c>
      <c r="Z46" s="849"/>
      <c r="AA46" s="850">
        <f>(800000*3)*1.08</f>
        <v>2592000</v>
      </c>
      <c r="AB46" s="851">
        <f t="shared" si="1"/>
        <v>2886546</v>
      </c>
      <c r="AC46" s="852"/>
      <c r="AD46" s="3328"/>
    </row>
    <row r="47" spans="1:30">
      <c r="A47" s="3297" t="s">
        <v>1626</v>
      </c>
      <c r="B47" s="3298"/>
      <c r="C47" s="3298"/>
      <c r="D47" s="3298"/>
      <c r="E47" s="3298"/>
      <c r="F47" s="3298"/>
      <c r="G47" s="3298"/>
      <c r="H47" s="3298"/>
      <c r="I47" s="3298"/>
      <c r="J47" s="3298"/>
      <c r="K47" s="3298"/>
      <c r="L47" s="3298"/>
      <c r="M47" s="644"/>
      <c r="N47" s="346"/>
      <c r="O47" s="1866"/>
      <c r="P47" s="1927"/>
      <c r="Q47" s="346"/>
      <c r="R47" s="346"/>
      <c r="S47" s="346"/>
      <c r="T47" s="346"/>
      <c r="U47" s="346"/>
      <c r="V47" s="346"/>
      <c r="W47" s="501"/>
      <c r="X47" s="855">
        <f>SUM(X42:X46)</f>
        <v>19565322</v>
      </c>
      <c r="Y47" s="855">
        <f>SUM(Y42:Y46)</f>
        <v>11670102</v>
      </c>
      <c r="Z47" s="856"/>
      <c r="AA47" s="855">
        <f>SUM(AA42:AA46)</f>
        <v>66927600</v>
      </c>
      <c r="AB47" s="855">
        <f>+X47+Y47+AA47</f>
        <v>98163024</v>
      </c>
      <c r="AC47" s="353"/>
      <c r="AD47" s="883"/>
    </row>
    <row r="48" spans="1:30" s="854" customFormat="1" ht="106.5" customHeight="1">
      <c r="A48" s="837">
        <v>1</v>
      </c>
      <c r="B48" s="838"/>
      <c r="C48" s="887">
        <v>105770254440</v>
      </c>
      <c r="D48" s="840">
        <v>45204</v>
      </c>
      <c r="E48" s="841" t="s">
        <v>1680</v>
      </c>
      <c r="F48" s="842" t="s">
        <v>206</v>
      </c>
      <c r="G48" s="843">
        <v>8</v>
      </c>
      <c r="H48" s="843"/>
      <c r="I48" s="805"/>
      <c r="J48" s="805" t="s">
        <v>1716</v>
      </c>
      <c r="K48" s="815" t="s">
        <v>123</v>
      </c>
      <c r="L48" s="816"/>
      <c r="M48" s="816"/>
      <c r="N48" s="844"/>
      <c r="O48" s="1957">
        <v>231358240</v>
      </c>
      <c r="P48" s="1517"/>
      <c r="Q48" s="1970"/>
      <c r="R48" s="846">
        <v>3153600</v>
      </c>
      <c r="S48" s="869">
        <f>834545+834545+1669090+834545+834545+1669090</f>
        <v>6676360</v>
      </c>
      <c r="T48" s="845"/>
      <c r="U48" s="788"/>
      <c r="V48" s="788"/>
      <c r="W48" s="845"/>
      <c r="X48" s="847">
        <f>R48+S48+T48+Q48+W48</f>
        <v>9829960</v>
      </c>
      <c r="Y48" s="848">
        <f t="shared" si="0"/>
        <v>0</v>
      </c>
      <c r="Z48" s="849"/>
      <c r="AA48" s="850">
        <f>((G48*5160000)+(H48*5560000))*1.08</f>
        <v>44582400</v>
      </c>
      <c r="AB48" s="851">
        <f t="shared" si="1"/>
        <v>54412360</v>
      </c>
      <c r="AC48" s="898">
        <f>+AA48/1.08</f>
        <v>41280000</v>
      </c>
      <c r="AD48" s="3333" t="s">
        <v>1777</v>
      </c>
    </row>
    <row r="49" spans="1:30">
      <c r="A49" s="658">
        <f t="shared" si="3"/>
        <v>2</v>
      </c>
      <c r="B49" s="857"/>
      <c r="C49" s="897">
        <v>105783808760</v>
      </c>
      <c r="D49" s="899">
        <v>45211</v>
      </c>
      <c r="E49" s="900" t="s">
        <v>1689</v>
      </c>
      <c r="F49" s="901" t="s">
        <v>206</v>
      </c>
      <c r="G49" s="445" t="s">
        <v>102</v>
      </c>
      <c r="H49" s="445"/>
      <c r="I49" s="902"/>
      <c r="J49" s="803"/>
      <c r="K49" s="859" t="s">
        <v>123</v>
      </c>
      <c r="L49" s="522" t="s">
        <v>1691</v>
      </c>
      <c r="M49" s="522"/>
      <c r="N49" s="903"/>
      <c r="O49" s="1959" t="s">
        <v>1690</v>
      </c>
      <c r="P49" s="1517"/>
      <c r="Q49" s="1975">
        <v>23563</v>
      </c>
      <c r="R49" s="906"/>
      <c r="S49" s="906"/>
      <c r="T49" s="906"/>
      <c r="U49" s="907">
        <v>3395196</v>
      </c>
      <c r="V49" s="907"/>
      <c r="W49" s="906"/>
      <c r="X49" s="908">
        <f>R49+S49+T49+Q49+W49</f>
        <v>23563</v>
      </c>
      <c r="Y49" s="909">
        <f t="shared" si="0"/>
        <v>3395196</v>
      </c>
      <c r="Z49" s="910"/>
      <c r="AA49" s="911">
        <f>2090000*1.08</f>
        <v>2257200</v>
      </c>
      <c r="AB49" s="912">
        <f t="shared" si="1"/>
        <v>5675959</v>
      </c>
      <c r="AC49" s="913">
        <f>+AA49/1.08</f>
        <v>2089999.9999999998</v>
      </c>
      <c r="AD49" s="3334"/>
    </row>
    <row r="50" spans="1:30" s="854" customFormat="1" ht="26.4">
      <c r="A50" s="837">
        <f t="shared" si="3"/>
        <v>3</v>
      </c>
      <c r="B50" s="838"/>
      <c r="C50" s="894" t="s">
        <v>1715</v>
      </c>
      <c r="D50" s="840">
        <v>45208</v>
      </c>
      <c r="E50" s="841" t="s">
        <v>1725</v>
      </c>
      <c r="F50" s="914"/>
      <c r="G50" s="843"/>
      <c r="H50" s="843"/>
      <c r="I50" s="805"/>
      <c r="J50" s="805"/>
      <c r="K50" s="896"/>
      <c r="L50" s="816"/>
      <c r="M50" s="816"/>
      <c r="N50" s="844"/>
      <c r="O50" s="1957"/>
      <c r="P50" s="1517"/>
      <c r="Q50" s="1970"/>
      <c r="R50" s="845"/>
      <c r="S50" s="845"/>
      <c r="T50" s="846">
        <v>98182</v>
      </c>
      <c r="U50" s="788"/>
      <c r="V50" s="788"/>
      <c r="W50" s="845"/>
      <c r="X50" s="847">
        <f>R50+S50+T50+Q50+W50</f>
        <v>98182</v>
      </c>
      <c r="Y50" s="848">
        <f t="shared" si="0"/>
        <v>0</v>
      </c>
      <c r="Z50" s="849"/>
      <c r="AA50" s="850">
        <f>800000*1.08</f>
        <v>864000</v>
      </c>
      <c r="AB50" s="851">
        <f t="shared" si="1"/>
        <v>962182</v>
      </c>
      <c r="AC50" s="898">
        <f>+AA50/1.08</f>
        <v>800000</v>
      </c>
      <c r="AD50" s="3335"/>
    </row>
    <row r="51" spans="1:30" s="854" customFormat="1">
      <c r="A51" s="3319" t="s">
        <v>1721</v>
      </c>
      <c r="B51" s="3319"/>
      <c r="C51" s="3319"/>
      <c r="D51" s="3319"/>
      <c r="E51" s="3319"/>
      <c r="F51" s="3319"/>
      <c r="G51" s="3319"/>
      <c r="H51" s="3319"/>
      <c r="I51" s="3319"/>
      <c r="J51" s="3319"/>
      <c r="K51" s="3319"/>
      <c r="L51" s="3319"/>
      <c r="M51" s="915"/>
      <c r="N51" s="916"/>
      <c r="O51" s="1960"/>
      <c r="P51" s="1927"/>
      <c r="Q51" s="1976"/>
      <c r="R51" s="916"/>
      <c r="S51" s="916"/>
      <c r="T51" s="916"/>
      <c r="U51" s="916"/>
      <c r="V51" s="916"/>
      <c r="W51" s="917"/>
      <c r="X51" s="918">
        <f>SUM(X48:X50)</f>
        <v>9951705</v>
      </c>
      <c r="Y51" s="918">
        <f>SUM(Y48:Y50)</f>
        <v>3395196</v>
      </c>
      <c r="Z51" s="919"/>
      <c r="AA51" s="918">
        <f>SUM(AA48:AA50)</f>
        <v>47703600</v>
      </c>
      <c r="AB51" s="918">
        <f>+X51+Y51+AA51</f>
        <v>61050501</v>
      </c>
      <c r="AC51" s="919"/>
      <c r="AD51" s="920"/>
    </row>
    <row r="52" spans="1:30" s="854" customFormat="1">
      <c r="A52" s="837">
        <v>1</v>
      </c>
      <c r="B52" s="838"/>
      <c r="C52" s="887">
        <v>105830073750</v>
      </c>
      <c r="D52" s="840" t="s">
        <v>1769</v>
      </c>
      <c r="E52" s="841" t="s">
        <v>1754</v>
      </c>
      <c r="F52" s="842" t="s">
        <v>206</v>
      </c>
      <c r="G52" s="843" t="s">
        <v>102</v>
      </c>
      <c r="H52" s="843"/>
      <c r="I52" s="805"/>
      <c r="J52" s="805"/>
      <c r="K52" s="815" t="s">
        <v>123</v>
      </c>
      <c r="L52" s="816" t="s">
        <v>1753</v>
      </c>
      <c r="M52" s="816"/>
      <c r="N52" s="844"/>
      <c r="O52" s="1957" t="s">
        <v>1752</v>
      </c>
      <c r="P52" s="1517"/>
      <c r="Q52" s="1973">
        <v>35345</v>
      </c>
      <c r="R52" s="845"/>
      <c r="S52" s="845"/>
      <c r="T52" s="845"/>
      <c r="U52" s="787">
        <v>3537000</v>
      </c>
      <c r="V52" s="787"/>
      <c r="W52" s="845"/>
      <c r="X52" s="847">
        <f>R52+S52+T52+Q52+W52</f>
        <v>35345</v>
      </c>
      <c r="Y52" s="848">
        <f t="shared" si="0"/>
        <v>3537000</v>
      </c>
      <c r="Z52" s="849"/>
      <c r="AA52" s="850">
        <f>2090000*1.08</f>
        <v>2257200</v>
      </c>
      <c r="AB52" s="851">
        <f t="shared" si="1"/>
        <v>5829545</v>
      </c>
      <c r="AC52" s="898">
        <f>+AA52/1.08</f>
        <v>2089999.9999999998</v>
      </c>
      <c r="AD52" s="3333" t="s">
        <v>1873</v>
      </c>
    </row>
    <row r="53" spans="1:30" s="854" customFormat="1">
      <c r="A53" s="837">
        <f t="shared" si="3"/>
        <v>2</v>
      </c>
      <c r="B53" s="838"/>
      <c r="C53" s="887">
        <v>105823299150</v>
      </c>
      <c r="D53" s="840" t="s">
        <v>1772</v>
      </c>
      <c r="E53" s="841" t="s">
        <v>1756</v>
      </c>
      <c r="F53" s="842" t="s">
        <v>206</v>
      </c>
      <c r="G53" s="843" t="s">
        <v>102</v>
      </c>
      <c r="H53" s="843"/>
      <c r="I53" s="805"/>
      <c r="J53" s="805"/>
      <c r="K53" s="815" t="s">
        <v>123</v>
      </c>
      <c r="L53" s="816" t="s">
        <v>1757</v>
      </c>
      <c r="M53" s="816"/>
      <c r="N53" s="844"/>
      <c r="O53" s="1957" t="s">
        <v>1755</v>
      </c>
      <c r="P53" s="1517"/>
      <c r="Q53" s="1973">
        <v>528062</v>
      </c>
      <c r="R53" s="845"/>
      <c r="S53" s="845"/>
      <c r="T53" s="845"/>
      <c r="U53" s="787">
        <v>10140503</v>
      </c>
      <c r="V53" s="787"/>
      <c r="W53" s="845"/>
      <c r="X53" s="847">
        <f>R53+S53+T53+Q53+W53</f>
        <v>528062</v>
      </c>
      <c r="Y53" s="848">
        <f t="shared" si="0"/>
        <v>10140503</v>
      </c>
      <c r="Z53" s="849"/>
      <c r="AA53" s="850">
        <f>3240000*1.08</f>
        <v>3499200</v>
      </c>
      <c r="AB53" s="851">
        <f t="shared" si="1"/>
        <v>14167765</v>
      </c>
      <c r="AC53" s="898">
        <f>+AA53/1.08</f>
        <v>3240000</v>
      </c>
      <c r="AD53" s="3334"/>
    </row>
    <row r="54" spans="1:30" s="854" customFormat="1">
      <c r="A54" s="837">
        <f t="shared" si="3"/>
        <v>3</v>
      </c>
      <c r="B54" s="838"/>
      <c r="C54" s="887">
        <v>105844222630</v>
      </c>
      <c r="D54" s="840">
        <v>45233</v>
      </c>
      <c r="E54" s="841" t="s">
        <v>1787</v>
      </c>
      <c r="F54" s="842" t="s">
        <v>206</v>
      </c>
      <c r="G54" s="843" t="s">
        <v>102</v>
      </c>
      <c r="H54" s="843"/>
      <c r="I54" s="805"/>
      <c r="J54" s="805"/>
      <c r="K54" s="815" t="s">
        <v>123</v>
      </c>
      <c r="L54" s="816" t="s">
        <v>1786</v>
      </c>
      <c r="M54" s="816"/>
      <c r="N54" s="844"/>
      <c r="O54" s="1957" t="s">
        <v>1785</v>
      </c>
      <c r="P54" s="1517"/>
      <c r="Q54" s="1973">
        <v>49013</v>
      </c>
      <c r="R54" s="845"/>
      <c r="S54" s="845"/>
      <c r="T54" s="845"/>
      <c r="U54" s="787">
        <v>8555998</v>
      </c>
      <c r="V54" s="787"/>
      <c r="W54" s="845"/>
      <c r="X54" s="847">
        <f>R54+S54+T54+Q54+W54</f>
        <v>49013</v>
      </c>
      <c r="Y54" s="848">
        <f t="shared" si="0"/>
        <v>8555998</v>
      </c>
      <c r="Z54" s="849"/>
      <c r="AA54" s="850">
        <f>3090000*1.08</f>
        <v>3337200</v>
      </c>
      <c r="AB54" s="851">
        <f t="shared" si="1"/>
        <v>11942211</v>
      </c>
      <c r="AC54" s="898">
        <f>+AA54/1.08</f>
        <v>3090000</v>
      </c>
      <c r="AD54" s="3334"/>
    </row>
    <row r="55" spans="1:30" s="854" customFormat="1" ht="109.5" customHeight="1">
      <c r="A55" s="837">
        <f t="shared" si="3"/>
        <v>4</v>
      </c>
      <c r="B55" s="838"/>
      <c r="C55" s="887">
        <v>105853064660</v>
      </c>
      <c r="D55" s="840">
        <v>45236</v>
      </c>
      <c r="E55" s="841" t="s">
        <v>1801</v>
      </c>
      <c r="F55" s="842" t="s">
        <v>206</v>
      </c>
      <c r="G55" s="843">
        <v>8</v>
      </c>
      <c r="H55" s="843"/>
      <c r="I55" s="805"/>
      <c r="J55" s="805" t="s">
        <v>3269</v>
      </c>
      <c r="K55" s="815" t="s">
        <v>123</v>
      </c>
      <c r="L55" s="816"/>
      <c r="M55" s="816"/>
      <c r="N55" s="844"/>
      <c r="O55" s="1957" t="s">
        <v>1800</v>
      </c>
      <c r="P55" s="1517"/>
      <c r="Q55" s="1973">
        <f>561600+27000</f>
        <v>588600</v>
      </c>
      <c r="R55" s="846">
        <v>4492800</v>
      </c>
      <c r="S55" s="869">
        <f>950000+900000+900000+900000+1085000+1085000+900000+900000+185000</f>
        <v>7805000</v>
      </c>
      <c r="T55" s="845"/>
      <c r="U55" s="788"/>
      <c r="V55" s="788"/>
      <c r="W55" s="845"/>
      <c r="X55" s="847">
        <f>R55+S55+T55+Q55+W55</f>
        <v>12886400</v>
      </c>
      <c r="Y55" s="848">
        <f t="shared" si="0"/>
        <v>0</v>
      </c>
      <c r="Z55" s="849"/>
      <c r="AA55" s="850">
        <f>((G55*5160000)+(H55*5560000))*1.08</f>
        <v>44582400</v>
      </c>
      <c r="AB55" s="851">
        <f t="shared" si="1"/>
        <v>57468800</v>
      </c>
      <c r="AC55" s="898">
        <f>+AA55/1.08</f>
        <v>41280000</v>
      </c>
      <c r="AD55" s="3334"/>
    </row>
    <row r="56" spans="1:30" ht="26.4">
      <c r="A56" s="658">
        <f t="shared" si="3"/>
        <v>5</v>
      </c>
      <c r="B56" s="857"/>
      <c r="C56" s="921" t="s">
        <v>1870</v>
      </c>
      <c r="D56" s="899">
        <v>45233</v>
      </c>
      <c r="E56" s="900" t="s">
        <v>1872</v>
      </c>
      <c r="F56" s="923"/>
      <c r="G56" s="445"/>
      <c r="H56" s="445"/>
      <c r="I56" s="902"/>
      <c r="J56" s="902"/>
      <c r="K56" s="924"/>
      <c r="L56" s="522"/>
      <c r="M56" s="522"/>
      <c r="N56" s="903"/>
      <c r="O56" s="1959"/>
      <c r="P56" s="1517"/>
      <c r="Q56" s="1977"/>
      <c r="R56" s="906"/>
      <c r="S56" s="906"/>
      <c r="T56" s="905">
        <v>294545</v>
      </c>
      <c r="U56" s="925"/>
      <c r="V56" s="925"/>
      <c r="W56" s="906"/>
      <c r="X56" s="908">
        <f>R56+S56+T56+Q56+W56</f>
        <v>294545</v>
      </c>
      <c r="Y56" s="909">
        <f>+U56</f>
        <v>0</v>
      </c>
      <c r="Z56" s="910"/>
      <c r="AA56" s="911">
        <f>800000*3*1.08</f>
        <v>2592000</v>
      </c>
      <c r="AB56" s="912">
        <f>+AA56+Y56+X56</f>
        <v>2886545</v>
      </c>
      <c r="AC56" s="913">
        <f>+AA56/1.08</f>
        <v>2400000</v>
      </c>
      <c r="AD56" s="3335"/>
    </row>
    <row r="57" spans="1:30" s="854" customFormat="1" ht="16.5" customHeight="1">
      <c r="A57" s="3319" t="s">
        <v>1869</v>
      </c>
      <c r="B57" s="3319"/>
      <c r="C57" s="3319"/>
      <c r="D57" s="3319"/>
      <c r="E57" s="3319"/>
      <c r="F57" s="3319"/>
      <c r="G57" s="3319"/>
      <c r="H57" s="3319"/>
      <c r="I57" s="3319"/>
      <c r="J57" s="3319"/>
      <c r="K57" s="3319"/>
      <c r="L57" s="3319"/>
      <c r="M57" s="915"/>
      <c r="N57" s="916"/>
      <c r="O57" s="1960"/>
      <c r="P57" s="1927"/>
      <c r="Q57" s="1976"/>
      <c r="R57" s="916"/>
      <c r="S57" s="916"/>
      <c r="T57" s="916"/>
      <c r="U57" s="916"/>
      <c r="V57" s="916"/>
      <c r="W57" s="917"/>
      <c r="X57" s="918">
        <f>SUM(X52:X56)</f>
        <v>13793365</v>
      </c>
      <c r="Y57" s="918">
        <f>SUM(Y52:Y56)</f>
        <v>22233501</v>
      </c>
      <c r="Z57" s="919"/>
      <c r="AA57" s="918">
        <f>SUM(AA52:AA56)</f>
        <v>56268000</v>
      </c>
      <c r="AB57" s="918">
        <f>+X57+Y57+AA57</f>
        <v>92294866</v>
      </c>
      <c r="AC57" s="919"/>
      <c r="AD57" s="920"/>
    </row>
    <row r="58" spans="1:30" ht="316.8">
      <c r="A58" s="658">
        <v>1</v>
      </c>
      <c r="B58" s="857"/>
      <c r="C58" s="770">
        <v>105853064660</v>
      </c>
      <c r="D58" s="795">
        <v>45236</v>
      </c>
      <c r="E58" s="660" t="s">
        <v>1801</v>
      </c>
      <c r="F58" s="661" t="s">
        <v>206</v>
      </c>
      <c r="G58" s="445"/>
      <c r="H58" s="445"/>
      <c r="I58" s="580" t="s">
        <v>1871</v>
      </c>
      <c r="J58" s="580"/>
      <c r="K58" s="922"/>
      <c r="L58" s="577"/>
      <c r="M58" s="577"/>
      <c r="N58" s="780"/>
      <c r="O58" s="1961" t="s">
        <v>1800</v>
      </c>
      <c r="P58" s="1517"/>
      <c r="Q58" s="1972"/>
      <c r="R58" s="425"/>
      <c r="S58" s="425"/>
      <c r="T58" s="425"/>
      <c r="U58" s="426"/>
      <c r="V58" s="426"/>
      <c r="W58" s="861">
        <v>6931854</v>
      </c>
      <c r="X58" s="662">
        <f>R58+S58+T58+Q58+W58</f>
        <v>6931854</v>
      </c>
      <c r="Y58" s="663">
        <f t="shared" ref="Y58:Y72" si="5">+U58</f>
        <v>0</v>
      </c>
      <c r="Z58" s="398"/>
      <c r="AA58" s="664">
        <v>0</v>
      </c>
      <c r="AB58" s="665">
        <f t="shared" ref="AB58:AB72" si="6">+AA58+Y58+X58</f>
        <v>6931854</v>
      </c>
      <c r="AC58" s="782" t="s">
        <v>1211</v>
      </c>
      <c r="AD58" s="3338" t="s">
        <v>1993</v>
      </c>
    </row>
    <row r="59" spans="1:30" ht="117.75" customHeight="1">
      <c r="A59" s="326">
        <f t="shared" si="3"/>
        <v>2</v>
      </c>
      <c r="B59" s="295"/>
      <c r="C59" s="45">
        <v>105949426550</v>
      </c>
      <c r="D59" s="46">
        <v>45271</v>
      </c>
      <c r="E59" s="47" t="s">
        <v>1958</v>
      </c>
      <c r="F59" s="126" t="s">
        <v>206</v>
      </c>
      <c r="G59" s="167">
        <v>8</v>
      </c>
      <c r="H59" s="167"/>
      <c r="I59" s="151" t="s">
        <v>2102</v>
      </c>
      <c r="J59" s="803"/>
      <c r="K59" s="374" t="s">
        <v>123</v>
      </c>
      <c r="L59" s="154"/>
      <c r="M59" s="577"/>
      <c r="N59" s="158"/>
      <c r="O59" s="1957" t="s">
        <v>1971</v>
      </c>
      <c r="P59" s="1517"/>
      <c r="Q59" s="1970"/>
      <c r="R59" s="324">
        <v>3153600</v>
      </c>
      <c r="S59" s="373">
        <f>900000*8</f>
        <v>7200000</v>
      </c>
      <c r="T59" s="248"/>
      <c r="U59" s="247"/>
      <c r="V59" s="788"/>
      <c r="W59" s="248"/>
      <c r="X59" s="340">
        <f>R59+S59+T59+Q59+W59</f>
        <v>10353600</v>
      </c>
      <c r="Y59" s="344">
        <f t="shared" si="5"/>
        <v>0</v>
      </c>
      <c r="Z59" s="249"/>
      <c r="AA59" s="341">
        <f>((G59*5160000)+(H59*5560000))*1.08</f>
        <v>44582400</v>
      </c>
      <c r="AB59" s="342">
        <f t="shared" si="6"/>
        <v>54936000</v>
      </c>
      <c r="AC59" s="546">
        <f t="shared" ref="AC59:AC70" si="7">+AA59/1.08</f>
        <v>41280000</v>
      </c>
      <c r="AD59" s="3339"/>
    </row>
    <row r="60" spans="1:30" ht="26.4">
      <c r="A60" s="326">
        <f t="shared" si="3"/>
        <v>3</v>
      </c>
      <c r="B60" s="295"/>
      <c r="C60" s="531" t="s">
        <v>1989</v>
      </c>
      <c r="D60" s="46" t="s">
        <v>1990</v>
      </c>
      <c r="E60" s="47" t="s">
        <v>1992</v>
      </c>
      <c r="F60" s="126"/>
      <c r="G60" s="167"/>
      <c r="H60" s="167"/>
      <c r="I60" s="151"/>
      <c r="J60" s="805"/>
      <c r="K60" s="79"/>
      <c r="L60" s="154"/>
      <c r="M60" s="577"/>
      <c r="N60" s="158"/>
      <c r="O60" s="1957"/>
      <c r="P60" s="1517"/>
      <c r="Q60" s="1970"/>
      <c r="R60" s="248"/>
      <c r="S60" s="248"/>
      <c r="T60" s="324">
        <f>98182+196363</f>
        <v>294545</v>
      </c>
      <c r="U60" s="247"/>
      <c r="V60" s="788"/>
      <c r="W60" s="248"/>
      <c r="X60" s="340">
        <f>R60+S60+T60+Q60+W60</f>
        <v>294545</v>
      </c>
      <c r="Y60" s="344">
        <f t="shared" si="5"/>
        <v>0</v>
      </c>
      <c r="Z60" s="249"/>
      <c r="AA60" s="341">
        <f>800000*3*1.08</f>
        <v>2592000</v>
      </c>
      <c r="AB60" s="342">
        <f t="shared" si="6"/>
        <v>2886545</v>
      </c>
      <c r="AC60" s="546">
        <f t="shared" si="7"/>
        <v>2400000</v>
      </c>
      <c r="AD60" s="3340"/>
    </row>
    <row r="61" spans="1:30" ht="16.5" customHeight="1">
      <c r="A61" s="3297" t="s">
        <v>1991</v>
      </c>
      <c r="B61" s="3298"/>
      <c r="C61" s="3298"/>
      <c r="D61" s="3298"/>
      <c r="E61" s="3298"/>
      <c r="F61" s="3298"/>
      <c r="G61" s="3298"/>
      <c r="H61" s="3298"/>
      <c r="I61" s="3298"/>
      <c r="J61" s="3298"/>
      <c r="K61" s="3298"/>
      <c r="L61" s="3298"/>
      <c r="M61" s="644"/>
      <c r="N61" s="346"/>
      <c r="O61" s="1866"/>
      <c r="P61" s="1927"/>
      <c r="Q61" s="346"/>
      <c r="R61" s="346"/>
      <c r="S61" s="346"/>
      <c r="T61" s="346"/>
      <c r="U61" s="346"/>
      <c r="V61" s="346"/>
      <c r="W61" s="501"/>
      <c r="X61" s="354">
        <f>SUM(X58:X60)</f>
        <v>17579999</v>
      </c>
      <c r="Y61" s="354">
        <f>SUM(Y58:Y60)</f>
        <v>0</v>
      </c>
      <c r="Z61" s="356"/>
      <c r="AA61" s="354">
        <f>SUM(AA58:AA60)</f>
        <v>47174400</v>
      </c>
      <c r="AB61" s="354">
        <f>+X61+Y61+AA61</f>
        <v>64754399</v>
      </c>
      <c r="AC61" s="578">
        <f t="shared" si="7"/>
        <v>43680000</v>
      </c>
      <c r="AD61" s="303"/>
    </row>
    <row r="62" spans="1:30" ht="135.75" customHeight="1">
      <c r="A62" s="326">
        <v>1</v>
      </c>
      <c r="B62" s="295"/>
      <c r="C62" s="45">
        <v>105994521250</v>
      </c>
      <c r="D62" s="46">
        <v>45293</v>
      </c>
      <c r="E62" s="47" t="s">
        <v>2061</v>
      </c>
      <c r="F62" s="126" t="s">
        <v>206</v>
      </c>
      <c r="G62" s="167">
        <v>10</v>
      </c>
      <c r="H62" s="167"/>
      <c r="I62" s="151" t="s">
        <v>2062</v>
      </c>
      <c r="J62" s="803"/>
      <c r="K62" s="374" t="s">
        <v>123</v>
      </c>
      <c r="L62" s="154"/>
      <c r="M62" s="577"/>
      <c r="N62" s="158"/>
      <c r="O62" s="1957" t="s">
        <v>2060</v>
      </c>
      <c r="P62" s="1517"/>
      <c r="Q62" s="1978">
        <f>27000+453600</f>
        <v>480600</v>
      </c>
      <c r="R62" s="324">
        <v>5616000</v>
      </c>
      <c r="S62" s="373">
        <f>900000+900000+900000+900000+900000+900000+900000+900000+900000+900000</f>
        <v>9000000</v>
      </c>
      <c r="T62" s="248"/>
      <c r="U62" s="247"/>
      <c r="V62" s="788"/>
      <c r="W62" s="248"/>
      <c r="X62" s="340">
        <f>R62+S62+T62+Q62+W62</f>
        <v>15096600</v>
      </c>
      <c r="Y62" s="344">
        <f t="shared" si="5"/>
        <v>0</v>
      </c>
      <c r="Z62" s="249"/>
      <c r="AA62" s="341">
        <f>((G62*5160000)+(H62*5560000))*1.08</f>
        <v>55728000</v>
      </c>
      <c r="AB62" s="342">
        <f t="shared" si="6"/>
        <v>70824600</v>
      </c>
      <c r="AC62" s="546">
        <f t="shared" si="7"/>
        <v>51600000</v>
      </c>
      <c r="AD62" s="3336"/>
    </row>
    <row r="63" spans="1:30" ht="26.4">
      <c r="A63" s="326">
        <f t="shared" si="3"/>
        <v>2</v>
      </c>
      <c r="B63" s="295"/>
      <c r="C63" s="531" t="s">
        <v>2103</v>
      </c>
      <c r="D63" s="46">
        <v>45566</v>
      </c>
      <c r="E63" s="47" t="s">
        <v>2105</v>
      </c>
      <c r="F63" s="126"/>
      <c r="G63" s="167"/>
      <c r="H63" s="167"/>
      <c r="I63" s="151"/>
      <c r="J63" s="805"/>
      <c r="K63" s="79"/>
      <c r="L63" s="154"/>
      <c r="M63" s="577"/>
      <c r="N63" s="158"/>
      <c r="O63" s="1957"/>
      <c r="P63" s="1517"/>
      <c r="Q63" s="1970"/>
      <c r="R63" s="248"/>
      <c r="S63" s="248"/>
      <c r="T63" s="324">
        <v>98182</v>
      </c>
      <c r="U63" s="247"/>
      <c r="V63" s="788"/>
      <c r="W63" s="248"/>
      <c r="X63" s="340">
        <f>R63+S63+T63+Q63+W63</f>
        <v>98182</v>
      </c>
      <c r="Y63" s="344">
        <f t="shared" si="5"/>
        <v>0</v>
      </c>
      <c r="Z63" s="249"/>
      <c r="AA63" s="341">
        <f>800000*1*1.08</f>
        <v>864000</v>
      </c>
      <c r="AB63" s="342">
        <f t="shared" si="6"/>
        <v>962182</v>
      </c>
      <c r="AC63" s="546">
        <f t="shared" si="7"/>
        <v>800000</v>
      </c>
      <c r="AD63" s="3337"/>
    </row>
    <row r="64" spans="1:30">
      <c r="A64" s="3297" t="s">
        <v>2104</v>
      </c>
      <c r="B64" s="3298"/>
      <c r="C64" s="3298"/>
      <c r="D64" s="3298"/>
      <c r="E64" s="3298"/>
      <c r="F64" s="3298"/>
      <c r="G64" s="3298"/>
      <c r="H64" s="3298"/>
      <c r="I64" s="3298"/>
      <c r="J64" s="3298"/>
      <c r="K64" s="3298"/>
      <c r="L64" s="3298"/>
      <c r="M64" s="644"/>
      <c r="N64" s="346"/>
      <c r="O64" s="1866"/>
      <c r="P64" s="1927"/>
      <c r="Q64" s="346"/>
      <c r="R64" s="501">
        <f>+R62+T63</f>
        <v>5714182</v>
      </c>
      <c r="S64" s="346"/>
      <c r="T64" s="346"/>
      <c r="U64" s="346"/>
      <c r="V64" s="346"/>
      <c r="W64" s="501"/>
      <c r="X64" s="354">
        <f>SUM(X61:X63)</f>
        <v>32774781</v>
      </c>
      <c r="Y64" s="354">
        <f>SUM(Y61:Y63)</f>
        <v>0</v>
      </c>
      <c r="Z64" s="356"/>
      <c r="AA64" s="354">
        <f>SUM(AA61:AA63)</f>
        <v>103766400</v>
      </c>
      <c r="AB64" s="354">
        <f>+X64+Y64+AA64</f>
        <v>136541181</v>
      </c>
      <c r="AC64" s="578">
        <f t="shared" si="7"/>
        <v>96080000</v>
      </c>
      <c r="AD64" s="303"/>
    </row>
    <row r="65" spans="1:30">
      <c r="A65" s="326">
        <v>1</v>
      </c>
      <c r="B65" s="295"/>
      <c r="C65" s="45">
        <v>106071146420</v>
      </c>
      <c r="D65" s="46">
        <v>45327</v>
      </c>
      <c r="E65" s="47" t="s">
        <v>2171</v>
      </c>
      <c r="F65" s="126" t="s">
        <v>206</v>
      </c>
      <c r="G65" s="167" t="s">
        <v>102</v>
      </c>
      <c r="H65" s="167"/>
      <c r="I65" s="151"/>
      <c r="J65" s="803"/>
      <c r="K65" s="374" t="s">
        <v>123</v>
      </c>
      <c r="L65" s="154" t="s">
        <v>2188</v>
      </c>
      <c r="M65" s="577"/>
      <c r="N65" s="158"/>
      <c r="O65" s="1957" t="s">
        <v>2169</v>
      </c>
      <c r="P65" s="1517"/>
      <c r="Q65" s="1973">
        <v>23564</v>
      </c>
      <c r="R65" s="248"/>
      <c r="S65" s="248"/>
      <c r="T65" s="324">
        <v>3432618</v>
      </c>
      <c r="U65" s="247"/>
      <c r="V65" s="788"/>
      <c r="W65" s="248"/>
      <c r="X65" s="340">
        <f t="shared" ref="X65:X70" si="8">R65+S65+T65+Q65+W65</f>
        <v>3456182</v>
      </c>
      <c r="Y65" s="344">
        <f t="shared" si="5"/>
        <v>0</v>
      </c>
      <c r="Z65" s="249"/>
      <c r="AA65" s="341">
        <f>2090000*1.08</f>
        <v>2257200</v>
      </c>
      <c r="AB65" s="342">
        <f t="shared" si="6"/>
        <v>5713382</v>
      </c>
      <c r="AC65" s="546">
        <f t="shared" si="7"/>
        <v>2089999.9999999998</v>
      </c>
      <c r="AD65" s="3341"/>
    </row>
    <row r="66" spans="1:30">
      <c r="A66" s="326">
        <f t="shared" si="3"/>
        <v>2</v>
      </c>
      <c r="B66" s="295"/>
      <c r="C66" s="45">
        <v>106071142550</v>
      </c>
      <c r="D66" s="46">
        <v>45327</v>
      </c>
      <c r="E66" s="47" t="s">
        <v>2172</v>
      </c>
      <c r="F66" s="126" t="s">
        <v>206</v>
      </c>
      <c r="G66" s="167" t="s">
        <v>102</v>
      </c>
      <c r="H66" s="167"/>
      <c r="I66" s="151"/>
      <c r="J66" s="803"/>
      <c r="K66" s="374" t="s">
        <v>123</v>
      </c>
      <c r="L66" s="154" t="s">
        <v>2187</v>
      </c>
      <c r="M66" s="577"/>
      <c r="N66" s="158"/>
      <c r="O66" s="1957" t="s">
        <v>2170</v>
      </c>
      <c r="P66" s="1517"/>
      <c r="Q66" s="1970"/>
      <c r="R66" s="248"/>
      <c r="S66" s="248"/>
      <c r="T66" s="324">
        <v>3874941</v>
      </c>
      <c r="U66" s="247"/>
      <c r="V66" s="788"/>
      <c r="W66" s="248"/>
      <c r="X66" s="340">
        <f t="shared" si="8"/>
        <v>3874941</v>
      </c>
      <c r="Y66" s="344">
        <f t="shared" si="5"/>
        <v>0</v>
      </c>
      <c r="Z66" s="249"/>
      <c r="AA66" s="341">
        <f>3090000*1.08</f>
        <v>3337200</v>
      </c>
      <c r="AB66" s="342">
        <f t="shared" si="6"/>
        <v>7212141</v>
      </c>
      <c r="AC66" s="546">
        <f t="shared" si="7"/>
        <v>3090000</v>
      </c>
      <c r="AD66" s="3342"/>
    </row>
    <row r="67" spans="1:30">
      <c r="A67" s="326">
        <f t="shared" si="3"/>
        <v>3</v>
      </c>
      <c r="B67" s="295"/>
      <c r="C67" s="45">
        <v>106087529550</v>
      </c>
      <c r="D67" s="46" t="s">
        <v>2184</v>
      </c>
      <c r="E67" s="47" t="s">
        <v>2179</v>
      </c>
      <c r="F67" s="126" t="s">
        <v>206</v>
      </c>
      <c r="G67" s="167" t="s">
        <v>102</v>
      </c>
      <c r="H67" s="167"/>
      <c r="I67" s="151"/>
      <c r="J67" s="803"/>
      <c r="K67" s="374" t="s">
        <v>123</v>
      </c>
      <c r="L67" s="154" t="s">
        <v>2189</v>
      </c>
      <c r="M67" s="577"/>
      <c r="N67" s="158"/>
      <c r="O67" s="1957" t="s">
        <v>2178</v>
      </c>
      <c r="P67" s="1517"/>
      <c r="Q67" s="1973">
        <v>58909</v>
      </c>
      <c r="R67" s="248"/>
      <c r="S67" s="248"/>
      <c r="T67" s="248"/>
      <c r="U67" s="325">
        <v>3494556</v>
      </c>
      <c r="V67" s="787"/>
      <c r="W67" s="248"/>
      <c r="X67" s="340">
        <f t="shared" si="8"/>
        <v>58909</v>
      </c>
      <c r="Y67" s="344">
        <f t="shared" si="5"/>
        <v>3494556</v>
      </c>
      <c r="Z67" s="249"/>
      <c r="AA67" s="341">
        <f>2090000*1.08</f>
        <v>2257200</v>
      </c>
      <c r="AB67" s="342">
        <f t="shared" si="6"/>
        <v>5810665</v>
      </c>
      <c r="AC67" s="546">
        <f t="shared" si="7"/>
        <v>2089999.9999999998</v>
      </c>
      <c r="AD67" s="3342"/>
    </row>
    <row r="68" spans="1:30">
      <c r="A68" s="326">
        <f t="shared" si="3"/>
        <v>4</v>
      </c>
      <c r="B68" s="295"/>
      <c r="C68" s="45">
        <v>106087491420</v>
      </c>
      <c r="D68" s="46" t="s">
        <v>2184</v>
      </c>
      <c r="E68" s="47" t="s">
        <v>2180</v>
      </c>
      <c r="F68" s="126" t="s">
        <v>206</v>
      </c>
      <c r="G68" s="167" t="s">
        <v>102</v>
      </c>
      <c r="H68" s="167"/>
      <c r="I68" s="151"/>
      <c r="J68" s="803"/>
      <c r="K68" s="374" t="s">
        <v>123</v>
      </c>
      <c r="L68" s="154" t="s">
        <v>2190</v>
      </c>
      <c r="M68" s="577"/>
      <c r="N68" s="158"/>
      <c r="O68" s="1957" t="s">
        <v>2181</v>
      </c>
      <c r="P68" s="1517"/>
      <c r="Q68" s="1973">
        <v>119467</v>
      </c>
      <c r="R68" s="248"/>
      <c r="S68" s="248"/>
      <c r="T68" s="248"/>
      <c r="U68" s="325">
        <v>7367377</v>
      </c>
      <c r="V68" s="787"/>
      <c r="W68" s="248"/>
      <c r="X68" s="340">
        <f t="shared" si="8"/>
        <v>119467</v>
      </c>
      <c r="Y68" s="344">
        <f t="shared" si="5"/>
        <v>7367377</v>
      </c>
      <c r="Z68" s="249"/>
      <c r="AA68" s="341">
        <f>3090000*1.08</f>
        <v>3337200</v>
      </c>
      <c r="AB68" s="342">
        <f t="shared" si="6"/>
        <v>10824044</v>
      </c>
      <c r="AC68" s="546">
        <f t="shared" si="7"/>
        <v>3090000</v>
      </c>
      <c r="AD68" s="3342"/>
    </row>
    <row r="69" spans="1:30">
      <c r="A69" s="326">
        <f t="shared" si="3"/>
        <v>5</v>
      </c>
      <c r="B69" s="295"/>
      <c r="C69" s="45">
        <v>106087514850</v>
      </c>
      <c r="D69" s="46" t="s">
        <v>2184</v>
      </c>
      <c r="E69" s="47" t="s">
        <v>2183</v>
      </c>
      <c r="F69" s="126" t="s">
        <v>206</v>
      </c>
      <c r="G69" s="167" t="s">
        <v>102</v>
      </c>
      <c r="H69" s="167"/>
      <c r="I69" s="151"/>
      <c r="J69" s="803"/>
      <c r="K69" s="374" t="s">
        <v>123</v>
      </c>
      <c r="L69" s="154" t="s">
        <v>2191</v>
      </c>
      <c r="M69" s="577"/>
      <c r="N69" s="158"/>
      <c r="O69" s="1957" t="s">
        <v>2182</v>
      </c>
      <c r="P69" s="1517"/>
      <c r="Q69" s="1970"/>
      <c r="R69" s="248"/>
      <c r="S69" s="248"/>
      <c r="T69" s="248"/>
      <c r="U69" s="325">
        <v>3414528</v>
      </c>
      <c r="V69" s="787"/>
      <c r="W69" s="248"/>
      <c r="X69" s="340">
        <f t="shared" si="8"/>
        <v>0</v>
      </c>
      <c r="Y69" s="344">
        <f t="shared" si="5"/>
        <v>3414528</v>
      </c>
      <c r="Z69" s="249"/>
      <c r="AA69" s="341">
        <f>2090000*1.08</f>
        <v>2257200</v>
      </c>
      <c r="AB69" s="342">
        <f t="shared" si="6"/>
        <v>5671728</v>
      </c>
      <c r="AC69" s="546">
        <f t="shared" si="7"/>
        <v>2089999.9999999998</v>
      </c>
      <c r="AD69" s="3342"/>
    </row>
    <row r="70" spans="1:30" ht="26.4">
      <c r="A70" s="326">
        <f t="shared" si="3"/>
        <v>6</v>
      </c>
      <c r="B70" s="295"/>
      <c r="C70" s="531" t="s">
        <v>2186</v>
      </c>
      <c r="D70" s="46"/>
      <c r="E70" s="47" t="s">
        <v>2193</v>
      </c>
      <c r="F70" s="126"/>
      <c r="G70" s="167"/>
      <c r="H70" s="167"/>
      <c r="I70" s="151"/>
      <c r="J70" s="805"/>
      <c r="K70" s="79"/>
      <c r="L70" s="154"/>
      <c r="M70" s="577"/>
      <c r="N70" s="158"/>
      <c r="O70" s="1957"/>
      <c r="P70" s="1517"/>
      <c r="Q70" s="1970"/>
      <c r="R70" s="248"/>
      <c r="S70" s="248"/>
      <c r="T70" s="324">
        <v>98182</v>
      </c>
      <c r="U70" s="247"/>
      <c r="V70" s="788"/>
      <c r="W70" s="248"/>
      <c r="X70" s="340">
        <f t="shared" si="8"/>
        <v>98182</v>
      </c>
      <c r="Y70" s="344">
        <f t="shared" si="5"/>
        <v>0</v>
      </c>
      <c r="Z70" s="249"/>
      <c r="AA70" s="341">
        <f>800000*1*1.08</f>
        <v>864000</v>
      </c>
      <c r="AB70" s="342">
        <f t="shared" si="6"/>
        <v>962182</v>
      </c>
      <c r="AC70" s="546">
        <f t="shared" si="7"/>
        <v>800000</v>
      </c>
      <c r="AD70" s="3343"/>
    </row>
    <row r="71" spans="1:30">
      <c r="A71" s="3297" t="s">
        <v>2192</v>
      </c>
      <c r="B71" s="3298"/>
      <c r="C71" s="3298"/>
      <c r="D71" s="3298"/>
      <c r="E71" s="3298"/>
      <c r="F71" s="3298"/>
      <c r="G71" s="3298"/>
      <c r="H71" s="3298"/>
      <c r="I71" s="3298"/>
      <c r="J71" s="3298"/>
      <c r="K71" s="3298"/>
      <c r="L71" s="3298"/>
      <c r="M71" s="644"/>
      <c r="N71" s="346"/>
      <c r="O71" s="1866"/>
      <c r="P71" s="1927"/>
      <c r="Q71" s="346"/>
      <c r="R71" s="501">
        <f>+Q65+T65+T66+Q67+Q68+T70</f>
        <v>7607681</v>
      </c>
      <c r="S71" s="346"/>
      <c r="T71" s="346"/>
      <c r="U71" s="346"/>
      <c r="V71" s="346"/>
      <c r="W71" s="501"/>
      <c r="X71" s="354">
        <f>SUM(X68:X70)</f>
        <v>217649</v>
      </c>
      <c r="Y71" s="354">
        <f>SUM(Y68:Y70)</f>
        <v>10781905</v>
      </c>
      <c r="Z71" s="356"/>
      <c r="AA71" s="354">
        <f>SUM(AA65:AA70)</f>
        <v>14310000</v>
      </c>
      <c r="AB71" s="354">
        <f>+X71+Y71+AA71</f>
        <v>25309554</v>
      </c>
      <c r="AC71" s="578">
        <f>+AA71/1.08</f>
        <v>13250000</v>
      </c>
      <c r="AD71" s="303"/>
    </row>
    <row r="72" spans="1:30" ht="105.6">
      <c r="A72" s="326">
        <v>1</v>
      </c>
      <c r="B72" s="295"/>
      <c r="C72" s="45">
        <v>106114704400</v>
      </c>
      <c r="D72" s="386" t="s">
        <v>2239</v>
      </c>
      <c r="E72" s="47" t="s">
        <v>2242</v>
      </c>
      <c r="F72" s="126" t="s">
        <v>206</v>
      </c>
      <c r="G72" s="167">
        <v>8</v>
      </c>
      <c r="H72" s="167"/>
      <c r="I72" s="151"/>
      <c r="J72" s="805" t="s">
        <v>2241</v>
      </c>
      <c r="K72" s="79"/>
      <c r="L72" s="154"/>
      <c r="M72" s="577"/>
      <c r="N72" s="158"/>
      <c r="O72" s="1957" t="s">
        <v>2240</v>
      </c>
      <c r="P72" s="1517"/>
      <c r="Q72" s="1973">
        <v>842400</v>
      </c>
      <c r="R72" s="324">
        <v>7076160</v>
      </c>
      <c r="S72" s="373">
        <f>750000*8</f>
        <v>6000000</v>
      </c>
      <c r="T72" s="248"/>
      <c r="U72" s="247"/>
      <c r="V72" s="788"/>
      <c r="W72" s="248"/>
      <c r="X72" s="340">
        <f>R72+S72+T72+Q72+W72</f>
        <v>13918560</v>
      </c>
      <c r="Y72" s="344">
        <f t="shared" si="5"/>
        <v>0</v>
      </c>
      <c r="Z72" s="249"/>
      <c r="AA72" s="341">
        <f>((G72*5160000)+(H72*5560000))*1.08</f>
        <v>44582400</v>
      </c>
      <c r="AB72" s="342">
        <f t="shared" si="6"/>
        <v>58500960</v>
      </c>
      <c r="AC72" s="546">
        <f>(AA72/1.08)+(S72/1.08)</f>
        <v>46835555.555555552</v>
      </c>
    </row>
    <row r="73" spans="1:30">
      <c r="A73" s="326">
        <f t="shared" si="3"/>
        <v>2</v>
      </c>
      <c r="B73" s="295"/>
      <c r="C73" s="45">
        <v>106150687160</v>
      </c>
      <c r="D73" s="46" t="s">
        <v>2275</v>
      </c>
      <c r="E73" s="47" t="s">
        <v>2279</v>
      </c>
      <c r="F73" s="126" t="s">
        <v>206</v>
      </c>
      <c r="G73" s="167"/>
      <c r="H73" s="167"/>
      <c r="I73" s="170" t="s">
        <v>102</v>
      </c>
      <c r="J73" s="806"/>
      <c r="K73" s="79"/>
      <c r="L73" s="154" t="s">
        <v>2292</v>
      </c>
      <c r="M73" s="577"/>
      <c r="N73" s="158"/>
      <c r="O73" s="1957" t="s">
        <v>2280</v>
      </c>
      <c r="P73" s="1517"/>
      <c r="Q73" s="1970"/>
      <c r="R73" s="248"/>
      <c r="S73" s="248"/>
      <c r="T73" s="324">
        <v>3746120</v>
      </c>
      <c r="U73" s="247"/>
      <c r="V73" s="788"/>
      <c r="W73" s="248"/>
      <c r="X73" s="340">
        <f>R73+S73+T73+Q73+W73</f>
        <v>3746120</v>
      </c>
      <c r="Y73" s="344">
        <f>+U73</f>
        <v>0</v>
      </c>
      <c r="Z73" s="249"/>
      <c r="AA73" s="341">
        <f>2290000*1.08</f>
        <v>2473200</v>
      </c>
      <c r="AB73" s="342">
        <f>+AA73+Y73+X73</f>
        <v>6219320</v>
      </c>
      <c r="AC73" s="546">
        <f>+AA73/1.08</f>
        <v>2290000</v>
      </c>
    </row>
    <row r="74" spans="1:30" ht="26.4">
      <c r="A74" s="326">
        <f t="shared" si="3"/>
        <v>3</v>
      </c>
      <c r="B74" s="295"/>
      <c r="C74" s="531" t="s">
        <v>2290</v>
      </c>
      <c r="D74" s="46"/>
      <c r="E74" s="47" t="s">
        <v>2291</v>
      </c>
      <c r="F74" s="126"/>
      <c r="G74" s="167"/>
      <c r="H74" s="167"/>
      <c r="I74" s="151"/>
      <c r="J74" s="805"/>
      <c r="K74" s="79"/>
      <c r="L74" s="154"/>
      <c r="M74" s="577"/>
      <c r="N74" s="158"/>
      <c r="O74" s="1957"/>
      <c r="P74" s="1517"/>
      <c r="Q74" s="1970"/>
      <c r="R74" s="248"/>
      <c r="S74" s="248"/>
      <c r="T74" s="324">
        <f>98182*2</f>
        <v>196364</v>
      </c>
      <c r="U74" s="247"/>
      <c r="V74" s="788"/>
      <c r="W74" s="248"/>
      <c r="X74" s="340">
        <f>R74+S74+T74+Q74+W74</f>
        <v>196364</v>
      </c>
      <c r="Y74" s="344">
        <f>+U74</f>
        <v>0</v>
      </c>
      <c r="Z74" s="249"/>
      <c r="AA74" s="341">
        <f>800000*2*1.08</f>
        <v>1728000</v>
      </c>
      <c r="AB74" s="342">
        <f>+AA74+Y74+X74</f>
        <v>1924364</v>
      </c>
      <c r="AC74" s="546">
        <f>+AA74/1.08</f>
        <v>1600000</v>
      </c>
    </row>
    <row r="75" spans="1:30">
      <c r="A75" s="3297" t="s">
        <v>2293</v>
      </c>
      <c r="B75" s="3298"/>
      <c r="C75" s="3298"/>
      <c r="D75" s="3298"/>
      <c r="E75" s="3298"/>
      <c r="F75" s="3298"/>
      <c r="G75" s="3298"/>
      <c r="H75" s="3298"/>
      <c r="I75" s="3298"/>
      <c r="J75" s="3298"/>
      <c r="K75" s="3298"/>
      <c r="L75" s="3298"/>
      <c r="M75" s="644"/>
      <c r="N75" s="346"/>
      <c r="O75" s="1866"/>
      <c r="P75" s="1927"/>
      <c r="Q75" s="346"/>
      <c r="R75" s="501">
        <f>+Q72+R72+T73+T74</f>
        <v>11861044</v>
      </c>
      <c r="S75" s="346"/>
      <c r="T75" s="346"/>
      <c r="U75" s="346"/>
      <c r="V75" s="346"/>
      <c r="W75" s="501"/>
      <c r="X75" s="354">
        <f>SUM(X72:X74)</f>
        <v>17861044</v>
      </c>
      <c r="Y75" s="354">
        <f>SUM(Y72:Y74)</f>
        <v>0</v>
      </c>
      <c r="Z75" s="356"/>
      <c r="AA75" s="354">
        <f>SUM(AA72:AA74)</f>
        <v>48783600</v>
      </c>
      <c r="AB75" s="354">
        <f>+X75+Y75+AA75</f>
        <v>66644644</v>
      </c>
      <c r="AC75" s="578">
        <f>SUM(AC72:AC74)</f>
        <v>50725555.555555552</v>
      </c>
      <c r="AD75" s="303"/>
    </row>
    <row r="76" spans="1:30" ht="179.25" customHeight="1">
      <c r="A76" s="326">
        <v>1</v>
      </c>
      <c r="B76" s="295"/>
      <c r="C76" s="45">
        <v>106188833000</v>
      </c>
      <c r="D76" s="46">
        <v>45386</v>
      </c>
      <c r="E76" s="47" t="s">
        <v>2357</v>
      </c>
      <c r="F76" s="126" t="s">
        <v>206</v>
      </c>
      <c r="G76" s="167">
        <v>13</v>
      </c>
      <c r="H76" s="167"/>
      <c r="I76" s="151"/>
      <c r="J76" s="805" t="s">
        <v>3268</v>
      </c>
      <c r="K76" s="810" t="s">
        <v>123</v>
      </c>
      <c r="L76" s="154"/>
      <c r="M76" s="577"/>
      <c r="N76" s="158"/>
      <c r="O76" s="1957">
        <v>237407817</v>
      </c>
      <c r="P76" s="1517"/>
      <c r="Q76" s="1970"/>
      <c r="R76" s="324">
        <v>5616000</v>
      </c>
      <c r="S76" s="373">
        <f>415800+415800+415800+415800+415800+415800+415800+415800+415800+415800+415800+415800+415800</f>
        <v>5405400</v>
      </c>
      <c r="T76" s="248"/>
      <c r="U76" s="247"/>
      <c r="V76" s="788"/>
      <c r="W76" s="248"/>
      <c r="X76" s="340">
        <f t="shared" ref="X76:X81" si="9">R76+S76+T76+Q76+W76</f>
        <v>11021400</v>
      </c>
      <c r="Y76" s="344">
        <f t="shared" ref="Y76:Y81" si="10">+U76</f>
        <v>0</v>
      </c>
      <c r="Z76" s="249"/>
      <c r="AA76" s="341">
        <f>((G76*5160000)+(H76*5560000))*1.08</f>
        <v>72446400</v>
      </c>
      <c r="AB76" s="342">
        <f t="shared" ref="AB76:AB81" si="11">+AA76+Y76+X76</f>
        <v>83467800</v>
      </c>
      <c r="AC76" s="252"/>
    </row>
    <row r="77" spans="1:30">
      <c r="A77" s="326">
        <f t="shared" si="3"/>
        <v>2</v>
      </c>
      <c r="B77" s="295"/>
      <c r="C77" s="45">
        <v>106192562930</v>
      </c>
      <c r="D77" s="46">
        <v>45387</v>
      </c>
      <c r="E77" s="47" t="s">
        <v>2383</v>
      </c>
      <c r="F77" s="126" t="s">
        <v>206</v>
      </c>
      <c r="G77" s="167"/>
      <c r="H77" s="167"/>
      <c r="I77" s="170" t="s">
        <v>102</v>
      </c>
      <c r="J77" s="806"/>
      <c r="K77" s="810" t="s">
        <v>123</v>
      </c>
      <c r="L77" s="154" t="s">
        <v>2382</v>
      </c>
      <c r="M77" s="577"/>
      <c r="N77" s="158"/>
      <c r="O77" s="1957" t="s">
        <v>2381</v>
      </c>
      <c r="P77" s="1517"/>
      <c r="Q77" s="1970"/>
      <c r="R77" s="248"/>
      <c r="S77" s="248"/>
      <c r="T77" s="248"/>
      <c r="U77" s="325">
        <v>3505810</v>
      </c>
      <c r="V77" s="787"/>
      <c r="W77" s="248"/>
      <c r="X77" s="340">
        <f t="shared" si="9"/>
        <v>0</v>
      </c>
      <c r="Y77" s="344">
        <f t="shared" si="10"/>
        <v>3505810</v>
      </c>
      <c r="Z77" s="249"/>
      <c r="AA77" s="341">
        <f>2090000*1.08</f>
        <v>2257200</v>
      </c>
      <c r="AB77" s="342">
        <f t="shared" si="11"/>
        <v>5763010</v>
      </c>
      <c r="AC77" s="252"/>
    </row>
    <row r="78" spans="1:30">
      <c r="A78" s="326">
        <f t="shared" si="3"/>
        <v>3</v>
      </c>
      <c r="B78" s="295"/>
      <c r="C78" s="45">
        <v>106192299620</v>
      </c>
      <c r="D78" s="46">
        <v>45387</v>
      </c>
      <c r="E78" s="47" t="s">
        <v>2386</v>
      </c>
      <c r="F78" s="126" t="s">
        <v>206</v>
      </c>
      <c r="G78" s="167"/>
      <c r="H78" s="167"/>
      <c r="I78" s="170" t="s">
        <v>102</v>
      </c>
      <c r="J78" s="806"/>
      <c r="K78" s="810" t="s">
        <v>123</v>
      </c>
      <c r="L78" s="154" t="s">
        <v>2385</v>
      </c>
      <c r="M78" s="577"/>
      <c r="N78" s="158"/>
      <c r="O78" s="1957" t="s">
        <v>2384</v>
      </c>
      <c r="P78" s="1517"/>
      <c r="Q78" s="1970"/>
      <c r="R78" s="248"/>
      <c r="S78" s="248"/>
      <c r="T78" s="248"/>
      <c r="U78" s="325">
        <v>7186081</v>
      </c>
      <c r="V78" s="787"/>
      <c r="W78" s="248"/>
      <c r="X78" s="340">
        <f t="shared" si="9"/>
        <v>0</v>
      </c>
      <c r="Y78" s="344">
        <f t="shared" si="10"/>
        <v>7186081</v>
      </c>
      <c r="Z78" s="249"/>
      <c r="AA78" s="341">
        <f>3090000*1.08</f>
        <v>3337200</v>
      </c>
      <c r="AB78" s="342">
        <f t="shared" si="11"/>
        <v>10523281</v>
      </c>
      <c r="AC78" s="252"/>
    </row>
    <row r="79" spans="1:30">
      <c r="A79" s="326">
        <f t="shared" si="3"/>
        <v>4</v>
      </c>
      <c r="B79" s="295"/>
      <c r="C79" s="45">
        <v>106212243910</v>
      </c>
      <c r="D79" s="46" t="s">
        <v>2438</v>
      </c>
      <c r="E79" s="47" t="s">
        <v>2437</v>
      </c>
      <c r="F79" s="126" t="s">
        <v>206</v>
      </c>
      <c r="G79" s="167"/>
      <c r="H79" s="167"/>
      <c r="I79" s="170" t="s">
        <v>102</v>
      </c>
      <c r="J79" s="806"/>
      <c r="K79" s="810" t="s">
        <v>123</v>
      </c>
      <c r="L79" s="154" t="s">
        <v>2439</v>
      </c>
      <c r="M79" s="577"/>
      <c r="N79" s="158"/>
      <c r="O79" s="1957" t="s">
        <v>2440</v>
      </c>
      <c r="P79" s="1517"/>
      <c r="Q79" s="1970"/>
      <c r="R79" s="248"/>
      <c r="S79" s="248"/>
      <c r="T79" s="324">
        <v>3623303</v>
      </c>
      <c r="U79" s="247"/>
      <c r="V79" s="788"/>
      <c r="W79" s="248"/>
      <c r="X79" s="340">
        <f t="shared" si="9"/>
        <v>3623303</v>
      </c>
      <c r="Y79" s="344">
        <f t="shared" si="10"/>
        <v>0</v>
      </c>
      <c r="Z79" s="249"/>
      <c r="AA79" s="341">
        <f>2090000*1.08</f>
        <v>2257200</v>
      </c>
      <c r="AB79" s="342">
        <f t="shared" si="11"/>
        <v>5880503</v>
      </c>
      <c r="AC79" s="252"/>
    </row>
    <row r="80" spans="1:30">
      <c r="A80" s="326">
        <f t="shared" si="3"/>
        <v>5</v>
      </c>
      <c r="B80" s="295"/>
      <c r="C80" s="45">
        <v>106213254120</v>
      </c>
      <c r="D80" s="46" t="s">
        <v>2441</v>
      </c>
      <c r="E80" s="47" t="s">
        <v>2436</v>
      </c>
      <c r="F80" s="126" t="s">
        <v>206</v>
      </c>
      <c r="G80" s="167"/>
      <c r="H80" s="167"/>
      <c r="I80" s="170" t="s">
        <v>102</v>
      </c>
      <c r="J80" s="806"/>
      <c r="K80" s="810" t="s">
        <v>123</v>
      </c>
      <c r="L80" s="154" t="s">
        <v>2435</v>
      </c>
      <c r="M80" s="577"/>
      <c r="N80" s="158"/>
      <c r="O80" s="1957" t="s">
        <v>2434</v>
      </c>
      <c r="P80" s="1517"/>
      <c r="Q80" s="1973">
        <v>194635</v>
      </c>
      <c r="R80" s="248"/>
      <c r="S80" s="248"/>
      <c r="T80" s="248"/>
      <c r="U80" s="325">
        <v>7402056</v>
      </c>
      <c r="V80" s="787"/>
      <c r="W80" s="248"/>
      <c r="X80" s="340">
        <f t="shared" si="9"/>
        <v>194635</v>
      </c>
      <c r="Y80" s="344">
        <f t="shared" si="10"/>
        <v>7402056</v>
      </c>
      <c r="Z80" s="249"/>
      <c r="AA80" s="341">
        <f>3090000*1.08</f>
        <v>3337200</v>
      </c>
      <c r="AB80" s="342">
        <f t="shared" si="11"/>
        <v>10933891</v>
      </c>
      <c r="AC80" s="252"/>
    </row>
    <row r="81" spans="1:29" ht="26.4">
      <c r="A81" s="326">
        <f t="shared" si="3"/>
        <v>6</v>
      </c>
      <c r="B81" s="295"/>
      <c r="C81" s="531" t="s">
        <v>2468</v>
      </c>
      <c r="D81" s="46"/>
      <c r="E81" s="47" t="s">
        <v>2470</v>
      </c>
      <c r="F81" s="126"/>
      <c r="G81" s="167"/>
      <c r="H81" s="167"/>
      <c r="I81" s="151"/>
      <c r="J81" s="805"/>
      <c r="K81" s="79"/>
      <c r="L81" s="154"/>
      <c r="M81" s="577"/>
      <c r="N81" s="158"/>
      <c r="O81" s="1957"/>
      <c r="P81" s="1517"/>
      <c r="Q81" s="1970"/>
      <c r="R81" s="248"/>
      <c r="S81" s="248"/>
      <c r="T81" s="324">
        <v>98182</v>
      </c>
      <c r="U81" s="247"/>
      <c r="V81" s="788"/>
      <c r="W81" s="248"/>
      <c r="X81" s="340">
        <f t="shared" si="9"/>
        <v>98182</v>
      </c>
      <c r="Y81" s="344">
        <f t="shared" si="10"/>
        <v>0</v>
      </c>
      <c r="Z81" s="249"/>
      <c r="AA81" s="341">
        <f>800000*1*1.08</f>
        <v>864000</v>
      </c>
      <c r="AB81" s="342">
        <f t="shared" si="11"/>
        <v>962182</v>
      </c>
      <c r="AC81" s="252"/>
    </row>
    <row r="82" spans="1:29">
      <c r="A82" s="3297" t="s">
        <v>2469</v>
      </c>
      <c r="B82" s="3298"/>
      <c r="C82" s="3298"/>
      <c r="D82" s="3298"/>
      <c r="E82" s="3298"/>
      <c r="F82" s="3298"/>
      <c r="G82" s="3298"/>
      <c r="H82" s="3298"/>
      <c r="I82" s="3298"/>
      <c r="J82" s="3298"/>
      <c r="K82" s="3298"/>
      <c r="L82" s="3298"/>
      <c r="M82" s="644"/>
      <c r="N82" s="346"/>
      <c r="O82" s="1866"/>
      <c r="P82" s="1927"/>
      <c r="Q82" s="501">
        <v>19337950</v>
      </c>
      <c r="R82" s="501">
        <f>+R76+Q80+T79+T81</f>
        <v>9532120</v>
      </c>
      <c r="S82" s="346"/>
      <c r="T82" s="346"/>
      <c r="U82" s="346"/>
      <c r="V82" s="346"/>
      <c r="W82" s="501"/>
      <c r="X82" s="354">
        <f>SUM(X76:X81)</f>
        <v>14937520</v>
      </c>
      <c r="Y82" s="354">
        <f>SUM(Y76:Y81)</f>
        <v>18093947</v>
      </c>
      <c r="Z82" s="356"/>
      <c r="AA82" s="354">
        <f>SUM(AA76:AA81)</f>
        <v>84499200</v>
      </c>
      <c r="AB82" s="354">
        <f>+X82+Y82+AA82</f>
        <v>117530667</v>
      </c>
      <c r="AC82" s="578">
        <f>SUM(AC79:AC81)</f>
        <v>0</v>
      </c>
    </row>
    <row r="83" spans="1:29">
      <c r="A83" s="326">
        <v>1</v>
      </c>
      <c r="B83" s="295"/>
      <c r="C83" s="45">
        <v>106251068120</v>
      </c>
      <c r="D83" s="46">
        <v>45415</v>
      </c>
      <c r="E83" s="47" t="s">
        <v>2479</v>
      </c>
      <c r="F83" s="126" t="s">
        <v>206</v>
      </c>
      <c r="G83" s="167"/>
      <c r="H83" s="167"/>
      <c r="I83" s="170" t="s">
        <v>102</v>
      </c>
      <c r="J83" s="806"/>
      <c r="K83" s="810" t="s">
        <v>123</v>
      </c>
      <c r="L83" s="154" t="s">
        <v>2480</v>
      </c>
      <c r="M83" s="577"/>
      <c r="N83" s="158"/>
      <c r="O83" s="1957" t="s">
        <v>2478</v>
      </c>
      <c r="P83" s="1517"/>
      <c r="Q83" s="1973">
        <v>122531</v>
      </c>
      <c r="R83" s="248"/>
      <c r="S83" s="248"/>
      <c r="T83" s="248"/>
      <c r="U83" s="325">
        <v>7614677</v>
      </c>
      <c r="V83" s="787"/>
      <c r="W83" s="248"/>
      <c r="X83" s="340">
        <f t="shared" ref="X83:X88" si="12">R83+S83+T83+Q83+W83</f>
        <v>122531</v>
      </c>
      <c r="Y83" s="344">
        <f t="shared" ref="Y83:Y88" si="13">+U83</f>
        <v>7614677</v>
      </c>
      <c r="Z83" s="249"/>
      <c r="AA83" s="341">
        <f>3090000*1.08</f>
        <v>3337200</v>
      </c>
      <c r="AB83" s="342">
        <f t="shared" ref="AB83:AB88" si="14">+AA83+Y83+X83</f>
        <v>11074408</v>
      </c>
      <c r="AC83" s="252"/>
    </row>
    <row r="84" spans="1:29">
      <c r="A84" s="326">
        <f t="shared" si="3"/>
        <v>2</v>
      </c>
      <c r="B84" s="295"/>
      <c r="C84" s="45">
        <v>106246790420</v>
      </c>
      <c r="D84" s="46">
        <v>45414</v>
      </c>
      <c r="E84" s="47" t="s">
        <v>2523</v>
      </c>
      <c r="F84" s="126" t="s">
        <v>206</v>
      </c>
      <c r="G84" s="167"/>
      <c r="H84" s="167"/>
      <c r="I84" s="170" t="s">
        <v>102</v>
      </c>
      <c r="J84" s="806"/>
      <c r="K84" s="810" t="s">
        <v>123</v>
      </c>
      <c r="L84" s="154" t="s">
        <v>2515</v>
      </c>
      <c r="M84" s="577"/>
      <c r="N84" s="158"/>
      <c r="O84" s="1957" t="s">
        <v>2514</v>
      </c>
      <c r="P84" s="1517"/>
      <c r="Q84" s="1970"/>
      <c r="R84" s="248"/>
      <c r="S84" s="248"/>
      <c r="T84" s="248"/>
      <c r="U84" s="325">
        <v>10827898</v>
      </c>
      <c r="V84" s="787"/>
      <c r="W84" s="248"/>
      <c r="X84" s="340">
        <f t="shared" si="12"/>
        <v>0</v>
      </c>
      <c r="Y84" s="344">
        <f t="shared" si="13"/>
        <v>10827898</v>
      </c>
      <c r="Z84" s="249"/>
      <c r="AA84" s="341">
        <f>3240000*1.08</f>
        <v>3499200</v>
      </c>
      <c r="AB84" s="342">
        <f t="shared" si="14"/>
        <v>14327098</v>
      </c>
      <c r="AC84" s="252"/>
    </row>
    <row r="85" spans="1:29">
      <c r="A85" s="326">
        <f t="shared" si="3"/>
        <v>3</v>
      </c>
      <c r="B85" s="295"/>
      <c r="C85" s="45">
        <v>106253134520</v>
      </c>
      <c r="D85" s="46">
        <v>45418</v>
      </c>
      <c r="E85" s="47" t="s">
        <v>2565</v>
      </c>
      <c r="F85" s="126" t="s">
        <v>206</v>
      </c>
      <c r="G85" s="167"/>
      <c r="H85" s="167"/>
      <c r="I85" s="170" t="s">
        <v>102</v>
      </c>
      <c r="J85" s="806"/>
      <c r="K85" s="810" t="s">
        <v>123</v>
      </c>
      <c r="L85" s="154" t="s">
        <v>2567</v>
      </c>
      <c r="M85" s="577"/>
      <c r="N85" s="158"/>
      <c r="O85" s="1957" t="s">
        <v>2566</v>
      </c>
      <c r="P85" s="1517"/>
      <c r="Q85" s="1973">
        <v>153163</v>
      </c>
      <c r="R85" s="248"/>
      <c r="S85" s="248"/>
      <c r="T85" s="324">
        <v>3674943</v>
      </c>
      <c r="U85" s="247"/>
      <c r="V85" s="788"/>
      <c r="W85" s="248"/>
      <c r="X85" s="340">
        <f t="shared" si="12"/>
        <v>3828106</v>
      </c>
      <c r="Y85" s="344">
        <f t="shared" si="13"/>
        <v>0</v>
      </c>
      <c r="Z85" s="249"/>
      <c r="AA85" s="341">
        <f>2090000*1.08</f>
        <v>2257200</v>
      </c>
      <c r="AB85" s="342">
        <f t="shared" si="14"/>
        <v>6085306</v>
      </c>
      <c r="AC85" s="252"/>
    </row>
    <row r="86" spans="1:29">
      <c r="A86" s="326">
        <f t="shared" si="3"/>
        <v>4</v>
      </c>
      <c r="B86" s="295"/>
      <c r="C86" s="45">
        <v>106252968510</v>
      </c>
      <c r="D86" s="46">
        <v>45419</v>
      </c>
      <c r="E86" s="47" t="s">
        <v>2525</v>
      </c>
      <c r="F86" s="126" t="s">
        <v>206</v>
      </c>
      <c r="G86" s="167"/>
      <c r="H86" s="167"/>
      <c r="I86" s="170" t="s">
        <v>102</v>
      </c>
      <c r="J86" s="806"/>
      <c r="K86" s="810" t="s">
        <v>123</v>
      </c>
      <c r="L86" s="154" t="s">
        <v>2526</v>
      </c>
      <c r="M86" s="577"/>
      <c r="N86" s="158"/>
      <c r="O86" s="1957" t="s">
        <v>2524</v>
      </c>
      <c r="P86" s="1517"/>
      <c r="Q86" s="1970"/>
      <c r="R86" s="248"/>
      <c r="S86" s="248"/>
      <c r="T86" s="248"/>
      <c r="U86" s="325">
        <v>10793672</v>
      </c>
      <c r="V86" s="787"/>
      <c r="W86" s="248"/>
      <c r="X86" s="340">
        <f t="shared" si="12"/>
        <v>0</v>
      </c>
      <c r="Y86" s="344">
        <f t="shared" si="13"/>
        <v>10793672</v>
      </c>
      <c r="Z86" s="249"/>
      <c r="AA86" s="341">
        <f>3240000*1.08</f>
        <v>3499200</v>
      </c>
      <c r="AB86" s="342">
        <f t="shared" si="14"/>
        <v>14292872</v>
      </c>
      <c r="AC86" s="252"/>
    </row>
    <row r="87" spans="1:29" ht="162.75" customHeight="1">
      <c r="A87" s="326">
        <f t="shared" si="3"/>
        <v>5</v>
      </c>
      <c r="B87" s="295"/>
      <c r="C87" s="45">
        <v>106252934100</v>
      </c>
      <c r="D87" s="46">
        <v>45421</v>
      </c>
      <c r="E87" s="47" t="s">
        <v>2530</v>
      </c>
      <c r="F87" s="126" t="s">
        <v>206</v>
      </c>
      <c r="G87" s="167">
        <v>12</v>
      </c>
      <c r="H87" s="167"/>
      <c r="I87" s="617"/>
      <c r="J87" s="813" t="s">
        <v>3267</v>
      </c>
      <c r="K87" s="810" t="s">
        <v>123</v>
      </c>
      <c r="L87" s="154"/>
      <c r="M87" s="577"/>
      <c r="N87" s="158"/>
      <c r="O87" s="1962" t="s">
        <v>2531</v>
      </c>
      <c r="P87" s="1950"/>
      <c r="Q87" s="1973">
        <v>907200</v>
      </c>
      <c r="R87" s="324">
        <v>8812800</v>
      </c>
      <c r="S87" s="373">
        <f>900000*12</f>
        <v>10800000</v>
      </c>
      <c r="T87" s="248"/>
      <c r="U87" s="247"/>
      <c r="V87" s="788"/>
      <c r="W87" s="324">
        <v>3820950</v>
      </c>
      <c r="X87" s="340">
        <f t="shared" si="12"/>
        <v>24340950</v>
      </c>
      <c r="Y87" s="344">
        <f t="shared" si="13"/>
        <v>0</v>
      </c>
      <c r="Z87" s="249"/>
      <c r="AA87" s="341">
        <f>((G87*5160000)+(H87*5560000))*1.08</f>
        <v>66873600.000000007</v>
      </c>
      <c r="AB87" s="342">
        <f t="shared" si="14"/>
        <v>91214550</v>
      </c>
      <c r="AC87" s="252"/>
    </row>
    <row r="88" spans="1:29" ht="26.4">
      <c r="A88" s="326">
        <f t="shared" si="3"/>
        <v>6</v>
      </c>
      <c r="B88" s="295"/>
      <c r="C88" s="531" t="s">
        <v>2568</v>
      </c>
      <c r="D88" s="46"/>
      <c r="E88" s="47" t="s">
        <v>2585</v>
      </c>
      <c r="F88" s="126"/>
      <c r="G88" s="167"/>
      <c r="H88" s="167"/>
      <c r="I88" s="151"/>
      <c r="J88" s="805"/>
      <c r="K88" s="811"/>
      <c r="L88" s="154"/>
      <c r="M88" s="577"/>
      <c r="N88" s="158"/>
      <c r="O88" s="1957"/>
      <c r="P88" s="1517"/>
      <c r="Q88" s="1970"/>
      <c r="R88" s="248"/>
      <c r="S88" s="248"/>
      <c r="T88" s="324">
        <v>98182</v>
      </c>
      <c r="U88" s="247"/>
      <c r="V88" s="788"/>
      <c r="W88" s="248"/>
      <c r="X88" s="340">
        <f t="shared" si="12"/>
        <v>98182</v>
      </c>
      <c r="Y88" s="344">
        <f t="shared" si="13"/>
        <v>0</v>
      </c>
      <c r="Z88" s="249"/>
      <c r="AA88" s="341">
        <f>800000*1*1.08</f>
        <v>864000</v>
      </c>
      <c r="AB88" s="342">
        <f t="shared" si="14"/>
        <v>962182</v>
      </c>
      <c r="AC88" s="252"/>
    </row>
    <row r="89" spans="1:29">
      <c r="A89" s="3317" t="s">
        <v>2586</v>
      </c>
      <c r="B89" s="3318"/>
      <c r="C89" s="3318"/>
      <c r="D89" s="3318"/>
      <c r="E89" s="3318"/>
      <c r="F89" s="3318"/>
      <c r="G89" s="3318"/>
      <c r="H89" s="3318"/>
      <c r="I89" s="3318"/>
      <c r="J89" s="3318"/>
      <c r="K89" s="3318"/>
      <c r="L89" s="3318"/>
      <c r="M89" s="644"/>
      <c r="N89" s="346"/>
      <c r="O89" s="1866"/>
      <c r="P89" s="1927"/>
      <c r="Q89" s="501"/>
      <c r="R89" s="501">
        <f>+Q83+Q85+T85+Q87+R87+W87+T88</f>
        <v>17589769</v>
      </c>
      <c r="S89" s="346"/>
      <c r="T89" s="346"/>
      <c r="U89" s="346"/>
      <c r="V89" s="346"/>
      <c r="W89" s="501"/>
      <c r="X89" s="354">
        <f>SUM(X83:X88)</f>
        <v>28389769</v>
      </c>
      <c r="Y89" s="354">
        <f>SUM(Y83:Y88)</f>
        <v>29236247</v>
      </c>
      <c r="Z89" s="356"/>
      <c r="AA89" s="354">
        <f>SUM(AA83:AA88)</f>
        <v>80330400</v>
      </c>
      <c r="AB89" s="354">
        <f>+X89+Y89+AA89</f>
        <v>137956416</v>
      </c>
      <c r="AC89" s="578">
        <f>SUM(AC86:AC88)</f>
        <v>0</v>
      </c>
    </row>
    <row r="90" spans="1:29">
      <c r="A90" s="326">
        <v>1</v>
      </c>
      <c r="B90" s="2044"/>
      <c r="C90" s="45">
        <v>106294668650</v>
      </c>
      <c r="D90" s="46" t="s">
        <v>2617</v>
      </c>
      <c r="E90" s="47" t="s">
        <v>2587</v>
      </c>
      <c r="F90" s="2135" t="s">
        <v>206</v>
      </c>
      <c r="G90" s="2033"/>
      <c r="H90" s="2033"/>
      <c r="I90" s="2136" t="s">
        <v>102</v>
      </c>
      <c r="J90" s="2137"/>
      <c r="K90" s="40" t="s">
        <v>123</v>
      </c>
      <c r="L90" s="2032" t="s">
        <v>2588</v>
      </c>
      <c r="M90" s="577"/>
      <c r="N90" s="158"/>
      <c r="O90" s="1957" t="s">
        <v>2589</v>
      </c>
      <c r="P90" s="1517"/>
      <c r="Q90" s="1970"/>
      <c r="R90" s="248"/>
      <c r="S90" s="248"/>
      <c r="T90" s="248"/>
      <c r="U90" s="325">
        <v>3674801</v>
      </c>
      <c r="V90" s="787"/>
      <c r="W90" s="248"/>
      <c r="X90" s="340">
        <f t="shared" ref="X90:X95" si="15">R90+S90+T90+Q90+W90</f>
        <v>0</v>
      </c>
      <c r="Y90" s="344">
        <f>+U90</f>
        <v>3674801</v>
      </c>
      <c r="Z90" s="249"/>
      <c r="AA90" s="341">
        <f>2090000*1.08</f>
        <v>2257200</v>
      </c>
      <c r="AB90" s="342">
        <f>+AA90+Y90+X90</f>
        <v>5932001</v>
      </c>
      <c r="AC90" s="252"/>
    </row>
    <row r="91" spans="1:29">
      <c r="A91" s="326">
        <f>+A90+1</f>
        <v>2</v>
      </c>
      <c r="B91" s="2044"/>
      <c r="C91" s="45">
        <v>106309229830</v>
      </c>
      <c r="D91" s="46" t="s">
        <v>2616</v>
      </c>
      <c r="E91" s="47" t="s">
        <v>2619</v>
      </c>
      <c r="F91" s="2135" t="s">
        <v>206</v>
      </c>
      <c r="G91" s="2033"/>
      <c r="H91" s="2033"/>
      <c r="I91" s="2136" t="s">
        <v>102</v>
      </c>
      <c r="J91" s="2137"/>
      <c r="K91" s="40" t="s">
        <v>123</v>
      </c>
      <c r="L91" s="2032" t="s">
        <v>2737</v>
      </c>
      <c r="M91" s="577"/>
      <c r="N91" s="158"/>
      <c r="O91" s="1963" t="s">
        <v>2618</v>
      </c>
      <c r="P91" s="1951"/>
      <c r="Q91" s="1970"/>
      <c r="R91" s="248"/>
      <c r="S91" s="248"/>
      <c r="T91" s="248"/>
      <c r="U91" s="325">
        <v>3559165</v>
      </c>
      <c r="V91" s="787"/>
      <c r="W91" s="248"/>
      <c r="X91" s="340">
        <f t="shared" si="15"/>
        <v>0</v>
      </c>
      <c r="Y91" s="344">
        <f t="shared" ref="Y91:Y98" si="16">+U91</f>
        <v>3559165</v>
      </c>
      <c r="Z91" s="249"/>
      <c r="AA91" s="341">
        <f>2090000*1.08</f>
        <v>2257200</v>
      </c>
      <c r="AB91" s="342">
        <f t="shared" ref="AB91:AB98" si="17">+AA91+Y91+X91</f>
        <v>5816365</v>
      </c>
      <c r="AC91" s="252"/>
    </row>
    <row r="92" spans="1:29">
      <c r="A92" s="326">
        <f>+A91+1</f>
        <v>3</v>
      </c>
      <c r="B92" s="2044"/>
      <c r="C92" s="45">
        <v>106319783250</v>
      </c>
      <c r="D92" s="46" t="s">
        <v>2633</v>
      </c>
      <c r="E92" s="47" t="s">
        <v>2635</v>
      </c>
      <c r="F92" s="2135" t="s">
        <v>206</v>
      </c>
      <c r="G92" s="2033"/>
      <c r="H92" s="2033"/>
      <c r="I92" s="2136" t="s">
        <v>102</v>
      </c>
      <c r="J92" s="2138"/>
      <c r="K92" s="496" t="s">
        <v>210</v>
      </c>
      <c r="L92" s="2032" t="s">
        <v>2738</v>
      </c>
      <c r="M92" s="577"/>
      <c r="N92" s="158"/>
      <c r="O92" s="1963" t="s">
        <v>2634</v>
      </c>
      <c r="P92" s="1951"/>
      <c r="Q92" s="1973">
        <v>12017</v>
      </c>
      <c r="R92" s="248"/>
      <c r="S92" s="248"/>
      <c r="T92" s="248"/>
      <c r="U92" s="325">
        <v>3708596</v>
      </c>
      <c r="V92" s="787"/>
      <c r="W92" s="248"/>
      <c r="X92" s="340">
        <f t="shared" si="15"/>
        <v>12017</v>
      </c>
      <c r="Y92" s="344">
        <f t="shared" si="16"/>
        <v>3708596</v>
      </c>
      <c r="Z92" s="249"/>
      <c r="AA92" s="341">
        <f>2290000*1.08</f>
        <v>2473200</v>
      </c>
      <c r="AB92" s="342">
        <f t="shared" si="17"/>
        <v>6193813</v>
      </c>
      <c r="AC92" s="252"/>
    </row>
    <row r="93" spans="1:29">
      <c r="A93" s="326">
        <f>+A92+1</f>
        <v>4</v>
      </c>
      <c r="B93" s="2044"/>
      <c r="C93" s="45">
        <v>106341993920</v>
      </c>
      <c r="D93" s="46">
        <v>45453</v>
      </c>
      <c r="E93" s="47" t="s">
        <v>2689</v>
      </c>
      <c r="F93" s="2135" t="s">
        <v>206</v>
      </c>
      <c r="G93" s="2033"/>
      <c r="H93" s="2033"/>
      <c r="I93" s="2136" t="s">
        <v>102</v>
      </c>
      <c r="J93" s="2138"/>
      <c r="K93" s="496" t="s">
        <v>210</v>
      </c>
      <c r="L93" s="2032" t="s">
        <v>2739</v>
      </c>
      <c r="M93" s="577"/>
      <c r="N93" s="158"/>
      <c r="O93" s="1957" t="s">
        <v>2681</v>
      </c>
      <c r="P93" s="1517"/>
      <c r="Q93" s="1970"/>
      <c r="R93" s="248"/>
      <c r="S93" s="248"/>
      <c r="T93" s="248"/>
      <c r="U93" s="325">
        <v>3673387</v>
      </c>
      <c r="V93" s="787"/>
      <c r="W93" s="248"/>
      <c r="X93" s="340">
        <f t="shared" si="15"/>
        <v>0</v>
      </c>
      <c r="Y93" s="344">
        <f t="shared" si="16"/>
        <v>3673387</v>
      </c>
      <c r="Z93" s="249"/>
      <c r="AA93" s="341">
        <f>2090000*1.08</f>
        <v>2257200</v>
      </c>
      <c r="AB93" s="342">
        <f t="shared" si="17"/>
        <v>5930587</v>
      </c>
      <c r="AC93" s="252"/>
    </row>
    <row r="94" spans="1:29">
      <c r="A94" s="326">
        <f>+A93+1</f>
        <v>5</v>
      </c>
      <c r="B94" s="2044"/>
      <c r="C94" s="45">
        <v>106342629740</v>
      </c>
      <c r="D94" s="386" t="s">
        <v>2683</v>
      </c>
      <c r="E94" s="47" t="s">
        <v>2690</v>
      </c>
      <c r="F94" s="2135" t="s">
        <v>206</v>
      </c>
      <c r="G94" s="2033"/>
      <c r="H94" s="2033"/>
      <c r="I94" s="2136" t="s">
        <v>102</v>
      </c>
      <c r="J94" s="2137"/>
      <c r="K94" s="40" t="s">
        <v>123</v>
      </c>
      <c r="L94" s="2032" t="s">
        <v>2740</v>
      </c>
      <c r="M94" s="577"/>
      <c r="N94" s="158"/>
      <c r="O94" s="1957" t="s">
        <v>2682</v>
      </c>
      <c r="P94" s="1517"/>
      <c r="Q94" s="1970"/>
      <c r="R94" s="248"/>
      <c r="S94" s="248"/>
      <c r="T94" s="248"/>
      <c r="U94" s="325">
        <v>5691787</v>
      </c>
      <c r="V94" s="787"/>
      <c r="W94" s="248"/>
      <c r="X94" s="340">
        <f t="shared" si="15"/>
        <v>0</v>
      </c>
      <c r="Y94" s="344">
        <f t="shared" si="16"/>
        <v>5691787</v>
      </c>
      <c r="Z94" s="249"/>
      <c r="AA94" s="341">
        <f>3090000*1.08</f>
        <v>3337200</v>
      </c>
      <c r="AB94" s="342">
        <f t="shared" si="17"/>
        <v>9028987</v>
      </c>
      <c r="AC94" s="252"/>
    </row>
    <row r="95" spans="1:29" ht="26.4">
      <c r="A95" s="818">
        <f>+A94+1</f>
        <v>6</v>
      </c>
      <c r="B95" s="295"/>
      <c r="C95" s="1093" t="s">
        <v>2735</v>
      </c>
      <c r="D95" s="1055"/>
      <c r="E95" s="1030" t="s">
        <v>2736</v>
      </c>
      <c r="F95" s="1094"/>
      <c r="G95" s="1095"/>
      <c r="H95" s="1095"/>
      <c r="I95" s="1096"/>
      <c r="J95" s="1096"/>
      <c r="K95" s="1097"/>
      <c r="L95" s="127"/>
      <c r="M95" s="577"/>
      <c r="N95" s="158"/>
      <c r="O95" s="1957"/>
      <c r="P95" s="1517"/>
      <c r="Q95" s="1970"/>
      <c r="R95" s="248"/>
      <c r="S95" s="248"/>
      <c r="T95" s="324">
        <f>98182+589090</f>
        <v>687272</v>
      </c>
      <c r="U95" s="247"/>
      <c r="V95" s="788"/>
      <c r="W95" s="248"/>
      <c r="X95" s="340">
        <f t="shared" si="15"/>
        <v>687272</v>
      </c>
      <c r="Y95" s="344">
        <f t="shared" si="16"/>
        <v>0</v>
      </c>
      <c r="Z95" s="249"/>
      <c r="AA95" s="341">
        <f>800000*7*1.08</f>
        <v>6048000</v>
      </c>
      <c r="AB95" s="342">
        <f t="shared" si="17"/>
        <v>6735272</v>
      </c>
      <c r="AC95" s="252"/>
    </row>
    <row r="96" spans="1:29">
      <c r="A96" s="3316" t="s">
        <v>2756</v>
      </c>
      <c r="B96" s="3316"/>
      <c r="C96" s="3316"/>
      <c r="D96" s="3316"/>
      <c r="E96" s="3316"/>
      <c r="F96" s="3316"/>
      <c r="G96" s="3316"/>
      <c r="H96" s="3316"/>
      <c r="I96" s="3316"/>
      <c r="J96" s="3316"/>
      <c r="K96" s="3316"/>
      <c r="L96" s="3316"/>
      <c r="M96" s="1091"/>
      <c r="N96" s="346"/>
      <c r="O96" s="1866"/>
      <c r="P96" s="1927"/>
      <c r="Q96" s="501"/>
      <c r="R96" s="501">
        <f>+Q92+T95</f>
        <v>699289</v>
      </c>
      <c r="S96" s="346"/>
      <c r="T96" s="346"/>
      <c r="U96" s="346"/>
      <c r="V96" s="346"/>
      <c r="W96" s="501"/>
      <c r="X96" s="354">
        <f>SUM(X90:X95)</f>
        <v>699289</v>
      </c>
      <c r="Y96" s="354">
        <f>SUM(Y90:Y95)</f>
        <v>20307736</v>
      </c>
      <c r="Z96" s="356"/>
      <c r="AA96" s="354">
        <f>SUM(AA90:AA95)</f>
        <v>18630000</v>
      </c>
      <c r="AB96" s="354">
        <f>+X96+Y96+AA96</f>
        <v>39637025</v>
      </c>
      <c r="AC96" s="578">
        <f>SUM(AC93:AC95)</f>
        <v>0</v>
      </c>
    </row>
    <row r="97" spans="1:30">
      <c r="A97" s="658">
        <v>1</v>
      </c>
      <c r="B97" s="577" t="s">
        <v>2826</v>
      </c>
      <c r="C97" s="770">
        <v>106398346460</v>
      </c>
      <c r="D97" s="795">
        <v>45476</v>
      </c>
      <c r="E97" s="660" t="s">
        <v>2789</v>
      </c>
      <c r="F97" s="661" t="s">
        <v>206</v>
      </c>
      <c r="G97" s="445"/>
      <c r="H97" s="445"/>
      <c r="I97" s="740" t="s">
        <v>102</v>
      </c>
      <c r="J97" s="740"/>
      <c r="K97" s="1098" t="s">
        <v>123</v>
      </c>
      <c r="L97" s="577" t="s">
        <v>2774</v>
      </c>
      <c r="M97" s="577" t="s">
        <v>2783</v>
      </c>
      <c r="N97" s="158" t="s">
        <v>2775</v>
      </c>
      <c r="O97" s="1957" t="s">
        <v>2772</v>
      </c>
      <c r="P97" s="1517"/>
      <c r="Q97" s="1970"/>
      <c r="R97" s="248"/>
      <c r="S97" s="248"/>
      <c r="T97" s="248"/>
      <c r="U97" s="325">
        <v>10119246</v>
      </c>
      <c r="V97" s="787"/>
      <c r="W97" s="248"/>
      <c r="X97" s="340">
        <f t="shared" ref="X97:X104" si="18">R97+S97+T97+Q97+W97</f>
        <v>0</v>
      </c>
      <c r="Y97" s="344">
        <f t="shared" si="16"/>
        <v>10119246</v>
      </c>
      <c r="Z97" s="249"/>
      <c r="AA97" s="341">
        <f>2940000*1.08</f>
        <v>3175200</v>
      </c>
      <c r="AB97" s="342">
        <f t="shared" si="17"/>
        <v>13294446</v>
      </c>
      <c r="AC97" s="252"/>
    </row>
    <row r="98" spans="1:30" ht="39.6">
      <c r="A98" s="326">
        <f t="shared" ref="A98:A104" si="19">+A97+1</f>
        <v>2</v>
      </c>
      <c r="B98" s="1092" t="s">
        <v>2850</v>
      </c>
      <c r="C98" s="45">
        <v>106416460400</v>
      </c>
      <c r="D98" s="46">
        <v>45483</v>
      </c>
      <c r="E98" s="47" t="s">
        <v>2839</v>
      </c>
      <c r="F98" s="126" t="s">
        <v>206</v>
      </c>
      <c r="G98" s="167">
        <v>1</v>
      </c>
      <c r="H98" s="167"/>
      <c r="I98" s="170" t="s">
        <v>2829</v>
      </c>
      <c r="J98" s="806"/>
      <c r="K98" s="810" t="s">
        <v>123</v>
      </c>
      <c r="L98" s="154"/>
      <c r="M98" s="577" t="s">
        <v>2830</v>
      </c>
      <c r="N98" s="158" t="s">
        <v>2840</v>
      </c>
      <c r="O98" s="1957" t="s">
        <v>2828</v>
      </c>
      <c r="P98" s="1517"/>
      <c r="Q98" s="1970"/>
      <c r="R98" s="324">
        <v>432000</v>
      </c>
      <c r="S98" s="373">
        <v>900000</v>
      </c>
      <c r="T98" s="248"/>
      <c r="U98" s="325">
        <v>5966526</v>
      </c>
      <c r="V98" s="787"/>
      <c r="W98" s="248"/>
      <c r="X98" s="340">
        <f t="shared" si="18"/>
        <v>1332000</v>
      </c>
      <c r="Y98" s="344">
        <f t="shared" si="16"/>
        <v>5966526</v>
      </c>
      <c r="Z98" s="249"/>
      <c r="AA98" s="341">
        <f>((G98*4750000)+(H98*5150000))*1.08</f>
        <v>5130000</v>
      </c>
      <c r="AB98" s="342">
        <f t="shared" si="17"/>
        <v>12428526</v>
      </c>
      <c r="AC98" s="252"/>
    </row>
    <row r="99" spans="1:30">
      <c r="A99" s="326">
        <f t="shared" si="19"/>
        <v>3</v>
      </c>
      <c r="B99" s="577" t="s">
        <v>2915</v>
      </c>
      <c r="C99" s="485">
        <v>106431298410</v>
      </c>
      <c r="D99" s="46" t="s">
        <v>2920</v>
      </c>
      <c r="E99" s="47" t="s">
        <v>2906</v>
      </c>
      <c r="F99" s="126" t="s">
        <v>206</v>
      </c>
      <c r="G99" s="167"/>
      <c r="H99" s="167"/>
      <c r="I99" s="170" t="s">
        <v>102</v>
      </c>
      <c r="J99" s="806"/>
      <c r="K99" s="810" t="s">
        <v>123</v>
      </c>
      <c r="L99" s="154" t="s">
        <v>2900</v>
      </c>
      <c r="M99" s="577" t="s">
        <v>2907</v>
      </c>
      <c r="N99" s="158" t="s">
        <v>2937</v>
      </c>
      <c r="O99" s="1957" t="s">
        <v>2901</v>
      </c>
      <c r="P99" s="1517"/>
      <c r="Q99" s="1973">
        <v>23564</v>
      </c>
      <c r="R99" s="248"/>
      <c r="S99" s="248"/>
      <c r="T99" s="248"/>
      <c r="U99" s="325">
        <v>2859330</v>
      </c>
      <c r="V99" s="787"/>
      <c r="W99" s="248"/>
      <c r="X99" s="340">
        <f t="shared" si="18"/>
        <v>23564</v>
      </c>
      <c r="Y99" s="344">
        <f t="shared" ref="Y99:Y112" si="20">+U99</f>
        <v>2859330</v>
      </c>
      <c r="Z99" s="249"/>
      <c r="AA99" s="341">
        <f>1790000*1.08</f>
        <v>1933200.0000000002</v>
      </c>
      <c r="AB99" s="342">
        <f t="shared" ref="AB99:AB104" si="21">+AA99+Y99+X99</f>
        <v>4816094</v>
      </c>
      <c r="AC99" s="252"/>
    </row>
    <row r="100" spans="1:30">
      <c r="A100" s="326">
        <f t="shared" si="19"/>
        <v>4</v>
      </c>
      <c r="B100" s="577" t="s">
        <v>2925</v>
      </c>
      <c r="C100" s="45">
        <v>106437185630</v>
      </c>
      <c r="D100" s="46" t="s">
        <v>2920</v>
      </c>
      <c r="E100" s="47" t="s">
        <v>2911</v>
      </c>
      <c r="F100" s="126" t="s">
        <v>206</v>
      </c>
      <c r="G100" s="167"/>
      <c r="H100" s="167"/>
      <c r="I100" s="170" t="s">
        <v>102</v>
      </c>
      <c r="J100" s="806"/>
      <c r="K100" s="496" t="s">
        <v>210</v>
      </c>
      <c r="L100" s="154" t="s">
        <v>2902</v>
      </c>
      <c r="M100" s="577" t="s">
        <v>2887</v>
      </c>
      <c r="N100" s="158" t="s">
        <v>2903</v>
      </c>
      <c r="O100" s="1957" t="s">
        <v>2904</v>
      </c>
      <c r="P100" s="1517"/>
      <c r="Q100" s="1970"/>
      <c r="R100" s="248"/>
      <c r="S100" s="248"/>
      <c r="T100" s="248"/>
      <c r="U100" s="325">
        <v>3215862</v>
      </c>
      <c r="V100" s="787"/>
      <c r="W100" s="248"/>
      <c r="X100" s="340">
        <f t="shared" si="18"/>
        <v>0</v>
      </c>
      <c r="Y100" s="344">
        <f t="shared" si="20"/>
        <v>3215862</v>
      </c>
      <c r="Z100" s="249"/>
      <c r="AA100" s="341">
        <f>1790000*1.08</f>
        <v>1933200.0000000002</v>
      </c>
      <c r="AB100" s="342">
        <f t="shared" si="21"/>
        <v>5149062</v>
      </c>
      <c r="AC100" s="252"/>
    </row>
    <row r="101" spans="1:30">
      <c r="A101" s="326">
        <f t="shared" si="19"/>
        <v>5</v>
      </c>
      <c r="B101" s="577" t="s">
        <v>2925</v>
      </c>
      <c r="C101" s="45">
        <v>106440481120</v>
      </c>
      <c r="D101" s="46" t="s">
        <v>2920</v>
      </c>
      <c r="E101" s="47" t="s">
        <v>2921</v>
      </c>
      <c r="F101" s="126" t="s">
        <v>206</v>
      </c>
      <c r="G101" s="167"/>
      <c r="H101" s="167"/>
      <c r="I101" s="170" t="s">
        <v>102</v>
      </c>
      <c r="J101" s="807"/>
      <c r="K101" s="374" t="s">
        <v>123</v>
      </c>
      <c r="L101" s="154" t="s">
        <v>2938</v>
      </c>
      <c r="M101" s="577" t="s">
        <v>2887</v>
      </c>
      <c r="N101" s="158" t="s">
        <v>2840</v>
      </c>
      <c r="O101" s="1957" t="s">
        <v>2905</v>
      </c>
      <c r="P101" s="1517"/>
      <c r="Q101" s="1970"/>
      <c r="R101" s="248"/>
      <c r="S101" s="248"/>
      <c r="T101" s="248"/>
      <c r="U101" s="325">
        <v>14159740</v>
      </c>
      <c r="V101" s="787"/>
      <c r="W101" s="248"/>
      <c r="X101" s="340">
        <f t="shared" si="18"/>
        <v>0</v>
      </c>
      <c r="Y101" s="344">
        <f t="shared" si="20"/>
        <v>14159740</v>
      </c>
      <c r="Z101" s="249"/>
      <c r="AA101" s="341">
        <f>2940000*1.08</f>
        <v>3175200</v>
      </c>
      <c r="AB101" s="342">
        <f t="shared" si="21"/>
        <v>17334940</v>
      </c>
      <c r="AC101" s="252"/>
    </row>
    <row r="102" spans="1:30">
      <c r="A102" s="326">
        <f t="shared" si="19"/>
        <v>6</v>
      </c>
      <c r="B102" s="295"/>
      <c r="C102" s="442" t="s">
        <v>2942</v>
      </c>
      <c r="D102" s="46"/>
      <c r="E102" s="47" t="s">
        <v>2912</v>
      </c>
      <c r="F102" s="126"/>
      <c r="G102" s="167"/>
      <c r="H102" s="167"/>
      <c r="I102" s="151"/>
      <c r="J102" s="805"/>
      <c r="K102" s="496" t="s">
        <v>210</v>
      </c>
      <c r="L102" s="154" t="s">
        <v>2996</v>
      </c>
      <c r="M102" s="577"/>
      <c r="N102" s="158"/>
      <c r="O102" s="1957"/>
      <c r="P102" s="1517"/>
      <c r="Q102" s="1970"/>
      <c r="R102" s="248"/>
      <c r="S102" s="248"/>
      <c r="T102" s="248"/>
      <c r="U102" s="247"/>
      <c r="V102" s="788"/>
      <c r="W102" s="248"/>
      <c r="X102" s="340">
        <f t="shared" si="18"/>
        <v>0</v>
      </c>
      <c r="Y102" s="344">
        <f>+U102</f>
        <v>0</v>
      </c>
      <c r="Z102" s="249"/>
      <c r="AA102" s="341">
        <f>600000*9*1.08</f>
        <v>5832000</v>
      </c>
      <c r="AB102" s="342">
        <f t="shared" si="21"/>
        <v>5832000</v>
      </c>
      <c r="AC102" s="252"/>
    </row>
    <row r="103" spans="1:30">
      <c r="A103" s="818">
        <f t="shared" si="19"/>
        <v>7</v>
      </c>
      <c r="B103" s="295"/>
      <c r="C103" s="952" t="s">
        <v>2943</v>
      </c>
      <c r="D103" s="871"/>
      <c r="E103" s="872" t="s">
        <v>2945</v>
      </c>
      <c r="F103" s="873"/>
      <c r="G103" s="167"/>
      <c r="H103" s="167"/>
      <c r="I103" s="889"/>
      <c r="J103" s="889"/>
      <c r="K103" s="943"/>
      <c r="L103" s="127"/>
      <c r="M103" s="522"/>
      <c r="N103" s="932"/>
      <c r="O103" s="1958"/>
      <c r="P103" s="1517"/>
      <c r="Q103" s="1971"/>
      <c r="R103" s="825"/>
      <c r="S103" s="825"/>
      <c r="T103" s="825"/>
      <c r="U103" s="828"/>
      <c r="V103" s="828"/>
      <c r="W103" s="825"/>
      <c r="X103" s="829">
        <f t="shared" si="18"/>
        <v>0</v>
      </c>
      <c r="Y103" s="830">
        <f>+U103</f>
        <v>0</v>
      </c>
      <c r="Z103" s="831"/>
      <c r="AA103" s="832">
        <f>3400000*4*1.08</f>
        <v>14688000.000000002</v>
      </c>
      <c r="AB103" s="833">
        <f t="shared" si="21"/>
        <v>14688000.000000002</v>
      </c>
      <c r="AC103" s="876"/>
    </row>
    <row r="104" spans="1:30" s="854" customFormat="1" ht="16.5" customHeight="1">
      <c r="A104" s="837">
        <f t="shared" si="19"/>
        <v>8</v>
      </c>
      <c r="B104" s="838"/>
      <c r="C104" s="894" t="s">
        <v>2940</v>
      </c>
      <c r="D104" s="840"/>
      <c r="E104" s="841" t="s">
        <v>2944</v>
      </c>
      <c r="F104" s="842"/>
      <c r="G104" s="843"/>
      <c r="H104" s="843"/>
      <c r="I104" s="805"/>
      <c r="J104" s="805"/>
      <c r="K104" s="896"/>
      <c r="L104" s="816" t="s">
        <v>2995</v>
      </c>
      <c r="M104" s="816"/>
      <c r="N104" s="844"/>
      <c r="O104" s="1957"/>
      <c r="P104" s="1517"/>
      <c r="Q104" s="1970"/>
      <c r="R104" s="845"/>
      <c r="S104" s="845"/>
      <c r="T104" s="846">
        <v>98182</v>
      </c>
      <c r="U104" s="788"/>
      <c r="V104" s="788"/>
      <c r="W104" s="845"/>
      <c r="X104" s="847">
        <f t="shared" si="18"/>
        <v>98182</v>
      </c>
      <c r="Y104" s="848">
        <f>+U104</f>
        <v>0</v>
      </c>
      <c r="Z104" s="849"/>
      <c r="AA104" s="850">
        <f>800000*1*1.08</f>
        <v>864000</v>
      </c>
      <c r="AB104" s="851">
        <f t="shared" si="21"/>
        <v>962182</v>
      </c>
      <c r="AC104" s="852"/>
      <c r="AD104" s="840"/>
    </row>
    <row r="105" spans="1:30">
      <c r="A105" s="3297" t="s">
        <v>2941</v>
      </c>
      <c r="B105" s="3298"/>
      <c r="C105" s="3298"/>
      <c r="D105" s="3298"/>
      <c r="E105" s="3298"/>
      <c r="F105" s="3298"/>
      <c r="G105" s="3298"/>
      <c r="H105" s="3298"/>
      <c r="I105" s="3298"/>
      <c r="J105" s="3298"/>
      <c r="K105" s="3298"/>
      <c r="L105" s="3298"/>
      <c r="M105" s="1091"/>
      <c r="N105" s="346"/>
      <c r="O105" s="1866"/>
      <c r="P105" s="1927"/>
      <c r="Q105" s="501"/>
      <c r="R105" s="501">
        <f>+R98+Q99+T104</f>
        <v>553746</v>
      </c>
      <c r="S105" s="346"/>
      <c r="T105" s="346"/>
      <c r="U105" s="346"/>
      <c r="V105" s="346"/>
      <c r="W105" s="501"/>
      <c r="X105" s="835">
        <f>SUM(X97:X104)</f>
        <v>1453746</v>
      </c>
      <c r="Y105" s="835">
        <f>SUM(Y97:Y104)</f>
        <v>36320704</v>
      </c>
      <c r="Z105" s="836"/>
      <c r="AA105" s="835">
        <f>SUM(AA97:AA104)</f>
        <v>36730800</v>
      </c>
      <c r="AB105" s="835">
        <f>+X105+Y105+AA105</f>
        <v>74505250</v>
      </c>
      <c r="AC105" s="578">
        <f>SUM(AC102:AC103)</f>
        <v>0</v>
      </c>
    </row>
    <row r="106" spans="1:30" ht="166.5" customHeight="1">
      <c r="A106" s="326">
        <v>1</v>
      </c>
      <c r="B106" s="295" t="s">
        <v>2953</v>
      </c>
      <c r="C106" s="45">
        <v>106438889760</v>
      </c>
      <c r="D106" s="46" t="s">
        <v>2915</v>
      </c>
      <c r="E106" s="47" t="s">
        <v>2975</v>
      </c>
      <c r="F106" s="126" t="s">
        <v>206</v>
      </c>
      <c r="G106" s="167">
        <v>12</v>
      </c>
      <c r="H106" s="167"/>
      <c r="I106" s="170"/>
      <c r="J106" s="806" t="s">
        <v>2931</v>
      </c>
      <c r="K106" s="810" t="s">
        <v>123</v>
      </c>
      <c r="L106" s="154"/>
      <c r="M106" s="577"/>
      <c r="N106" s="158" t="s">
        <v>2946</v>
      </c>
      <c r="O106" s="1957" t="s">
        <v>2930</v>
      </c>
      <c r="P106" s="1517"/>
      <c r="Q106" s="1973">
        <f>399600+1798200</f>
        <v>2197800</v>
      </c>
      <c r="R106" s="324">
        <v>5184000</v>
      </c>
      <c r="S106" s="373">
        <f>1800000+1800000+1800000+1800000+1800000+1800000</f>
        <v>10800000</v>
      </c>
      <c r="T106" s="248"/>
      <c r="U106" s="247"/>
      <c r="V106" s="788"/>
      <c r="W106" s="248"/>
      <c r="X106" s="340">
        <f>R106+S106+T106+Q106+W106</f>
        <v>18181800</v>
      </c>
      <c r="Y106" s="344">
        <f>+U106</f>
        <v>0</v>
      </c>
      <c r="Z106" s="249"/>
      <c r="AA106" s="341">
        <f>((G106*4750000)+(H106*5150000))*1.08</f>
        <v>61560000.000000007</v>
      </c>
      <c r="AB106" s="342">
        <f t="shared" ref="AB106:AB112" si="22">+AA106+Y106+X106</f>
        <v>79741800</v>
      </c>
      <c r="AC106" s="252"/>
    </row>
    <row r="107" spans="1:30">
      <c r="A107" s="326">
        <v>2</v>
      </c>
      <c r="B107" s="704" t="s">
        <v>2979</v>
      </c>
      <c r="C107" s="45">
        <v>106453588730</v>
      </c>
      <c r="D107" s="386" t="s">
        <v>2981</v>
      </c>
      <c r="E107" s="47" t="s">
        <v>2974</v>
      </c>
      <c r="F107" s="126" t="s">
        <v>206</v>
      </c>
      <c r="G107" s="167"/>
      <c r="H107" s="167"/>
      <c r="I107" s="170" t="s">
        <v>102</v>
      </c>
      <c r="J107" s="806"/>
      <c r="K107" s="810" t="s">
        <v>123</v>
      </c>
      <c r="L107" s="154" t="s">
        <v>2961</v>
      </c>
      <c r="M107" s="577" t="s">
        <v>2973</v>
      </c>
      <c r="N107" s="158" t="s">
        <v>2775</v>
      </c>
      <c r="O107" s="1957" t="s">
        <v>2960</v>
      </c>
      <c r="P107" s="1517"/>
      <c r="Q107" s="1970"/>
      <c r="R107" s="248"/>
      <c r="S107" s="248"/>
      <c r="T107" s="248"/>
      <c r="U107" s="325">
        <v>3215862</v>
      </c>
      <c r="V107" s="787"/>
      <c r="W107" s="248"/>
      <c r="X107" s="340">
        <f t="shared" ref="X107:X112" si="23">R107+S107+T107+Q107+W107</f>
        <v>0</v>
      </c>
      <c r="Y107" s="344">
        <f t="shared" si="20"/>
        <v>3215862</v>
      </c>
      <c r="Z107" s="249"/>
      <c r="AA107" s="341">
        <f>1990000*1.08</f>
        <v>2149200</v>
      </c>
      <c r="AB107" s="342">
        <f t="shared" si="22"/>
        <v>5365062</v>
      </c>
      <c r="AC107" s="252"/>
    </row>
    <row r="108" spans="1:30">
      <c r="A108" s="326">
        <f>+A107+1</f>
        <v>3</v>
      </c>
      <c r="B108" s="704" t="s">
        <v>3003</v>
      </c>
      <c r="C108" s="45">
        <v>106476278640</v>
      </c>
      <c r="D108" s="386" t="s">
        <v>3007</v>
      </c>
      <c r="E108" s="47" t="s">
        <v>2993</v>
      </c>
      <c r="F108" s="126" t="s">
        <v>206</v>
      </c>
      <c r="G108" s="167"/>
      <c r="H108" s="167"/>
      <c r="I108" s="170" t="s">
        <v>102</v>
      </c>
      <c r="J108" s="806"/>
      <c r="K108" s="810" t="s">
        <v>123</v>
      </c>
      <c r="L108" s="154" t="s">
        <v>2988</v>
      </c>
      <c r="M108" s="577" t="s">
        <v>2994</v>
      </c>
      <c r="N108" s="158" t="s">
        <v>3052</v>
      </c>
      <c r="O108" s="1957" t="s">
        <v>2987</v>
      </c>
      <c r="P108" s="1517"/>
      <c r="Q108" s="1970"/>
      <c r="R108" s="248"/>
      <c r="S108" s="248"/>
      <c r="T108" s="248"/>
      <c r="U108" s="325">
        <v>3215862</v>
      </c>
      <c r="V108" s="787"/>
      <c r="W108" s="248"/>
      <c r="X108" s="340">
        <f t="shared" si="23"/>
        <v>0</v>
      </c>
      <c r="Y108" s="344">
        <f t="shared" si="20"/>
        <v>3215862</v>
      </c>
      <c r="Z108" s="249"/>
      <c r="AA108" s="341">
        <f>1790000*1.08</f>
        <v>1933200.0000000002</v>
      </c>
      <c r="AB108" s="342">
        <f t="shared" si="22"/>
        <v>5149062</v>
      </c>
      <c r="AC108" s="252"/>
    </row>
    <row r="109" spans="1:30" ht="171" customHeight="1">
      <c r="A109" s="326">
        <f>+A108+1</f>
        <v>4</v>
      </c>
      <c r="B109" s="749" t="s">
        <v>3106</v>
      </c>
      <c r="C109" s="45">
        <v>106503025640</v>
      </c>
      <c r="D109" s="46" t="s">
        <v>3098</v>
      </c>
      <c r="E109" s="47" t="s">
        <v>3138</v>
      </c>
      <c r="F109" s="126" t="s">
        <v>206</v>
      </c>
      <c r="G109" s="167">
        <v>13</v>
      </c>
      <c r="H109" s="167"/>
      <c r="I109" s="170"/>
      <c r="J109" s="806" t="s">
        <v>3080</v>
      </c>
      <c r="K109" s="810" t="s">
        <v>123</v>
      </c>
      <c r="L109" s="154"/>
      <c r="M109" s="577"/>
      <c r="N109" s="158" t="s">
        <v>2946</v>
      </c>
      <c r="O109" s="1957" t="s">
        <v>3079</v>
      </c>
      <c r="P109" s="1517"/>
      <c r="Q109" s="1973">
        <v>2597400</v>
      </c>
      <c r="R109" s="324">
        <v>5616000</v>
      </c>
      <c r="S109" s="373">
        <f>900000*13</f>
        <v>11700000</v>
      </c>
      <c r="T109" s="248"/>
      <c r="U109" s="247"/>
      <c r="V109" s="788"/>
      <c r="W109" s="248"/>
      <c r="X109" s="340">
        <f t="shared" si="23"/>
        <v>19913400</v>
      </c>
      <c r="Y109" s="344">
        <f t="shared" si="20"/>
        <v>0</v>
      </c>
      <c r="Z109" s="249"/>
      <c r="AA109" s="341">
        <f>((G109*4750000)+(H109*5150000))*1.08</f>
        <v>66690000.000000007</v>
      </c>
      <c r="AB109" s="342">
        <f t="shared" si="22"/>
        <v>86603400</v>
      </c>
      <c r="AC109" s="252"/>
    </row>
    <row r="110" spans="1:30">
      <c r="A110" s="326">
        <f>+A109+1</f>
        <v>5</v>
      </c>
      <c r="B110" s="704"/>
      <c r="C110" s="442" t="s">
        <v>3126</v>
      </c>
      <c r="D110" s="46"/>
      <c r="E110" s="47" t="s">
        <v>3123</v>
      </c>
      <c r="F110" s="126"/>
      <c r="G110" s="167"/>
      <c r="H110" s="167"/>
      <c r="I110" s="170"/>
      <c r="J110" s="806"/>
      <c r="K110" s="811"/>
      <c r="L110" s="154" t="s">
        <v>3131</v>
      </c>
      <c r="M110" s="577"/>
      <c r="N110" s="158"/>
      <c r="O110" s="1957"/>
      <c r="P110" s="1517"/>
      <c r="Q110" s="1970"/>
      <c r="R110" s="248"/>
      <c r="S110" s="248"/>
      <c r="T110" s="248"/>
      <c r="U110" s="247"/>
      <c r="V110" s="788"/>
      <c r="W110" s="248"/>
      <c r="X110" s="340">
        <f t="shared" si="23"/>
        <v>0</v>
      </c>
      <c r="Y110" s="344">
        <f t="shared" si="20"/>
        <v>0</v>
      </c>
      <c r="Z110" s="249"/>
      <c r="AA110" s="341">
        <f>600000*12*1.08</f>
        <v>7776000.0000000009</v>
      </c>
      <c r="AB110" s="342">
        <f t="shared" si="22"/>
        <v>7776000.0000000009</v>
      </c>
      <c r="AC110" s="252"/>
    </row>
    <row r="111" spans="1:30">
      <c r="A111" s="326">
        <f>+A110+1</f>
        <v>6</v>
      </c>
      <c r="B111" s="704"/>
      <c r="C111" s="442" t="s">
        <v>3127</v>
      </c>
      <c r="D111" s="46"/>
      <c r="E111" s="47" t="s">
        <v>3129</v>
      </c>
      <c r="F111" s="126"/>
      <c r="G111" s="167"/>
      <c r="H111" s="167"/>
      <c r="I111" s="170"/>
      <c r="J111" s="806"/>
      <c r="K111" s="811"/>
      <c r="L111" s="154"/>
      <c r="M111" s="577"/>
      <c r="N111" s="158"/>
      <c r="O111" s="1957"/>
      <c r="P111" s="1517"/>
      <c r="Q111" s="1970"/>
      <c r="R111" s="248"/>
      <c r="S111" s="248"/>
      <c r="T111" s="248"/>
      <c r="U111" s="247"/>
      <c r="V111" s="788"/>
      <c r="W111" s="248"/>
      <c r="X111" s="340">
        <f t="shared" si="23"/>
        <v>0</v>
      </c>
      <c r="Y111" s="344">
        <f t="shared" si="20"/>
        <v>0</v>
      </c>
      <c r="Z111" s="249"/>
      <c r="AA111" s="341">
        <f>3400000*1*1.08</f>
        <v>3672000.0000000005</v>
      </c>
      <c r="AB111" s="342">
        <f t="shared" si="22"/>
        <v>3672000.0000000005</v>
      </c>
      <c r="AC111" s="252"/>
    </row>
    <row r="112" spans="1:30" ht="26.4">
      <c r="A112" s="326">
        <f>+A111+1</f>
        <v>7</v>
      </c>
      <c r="B112" s="704"/>
      <c r="C112" s="764" t="s">
        <v>3128</v>
      </c>
      <c r="D112" s="765"/>
      <c r="E112" s="766" t="s">
        <v>3130</v>
      </c>
      <c r="F112" s="767"/>
      <c r="G112" s="167"/>
      <c r="H112" s="167"/>
      <c r="I112" s="768"/>
      <c r="J112" s="806"/>
      <c r="K112" s="812"/>
      <c r="L112" s="127" t="s">
        <v>2995</v>
      </c>
      <c r="M112" s="577"/>
      <c r="N112" s="158"/>
      <c r="O112" s="1957"/>
      <c r="P112" s="1517"/>
      <c r="Q112" s="1970"/>
      <c r="R112" s="248"/>
      <c r="S112" s="248"/>
      <c r="T112" s="324">
        <v>98182</v>
      </c>
      <c r="U112" s="247"/>
      <c r="V112" s="788"/>
      <c r="W112" s="248"/>
      <c r="X112" s="340">
        <f t="shared" si="23"/>
        <v>98182</v>
      </c>
      <c r="Y112" s="344">
        <f t="shared" si="20"/>
        <v>0</v>
      </c>
      <c r="Z112" s="249"/>
      <c r="AA112" s="341">
        <f>800000*1*1.08</f>
        <v>864000</v>
      </c>
      <c r="AB112" s="342">
        <f t="shared" si="22"/>
        <v>962182</v>
      </c>
      <c r="AC112" s="252"/>
    </row>
    <row r="113" spans="1:29">
      <c r="A113" s="3311" t="s">
        <v>3132</v>
      </c>
      <c r="B113" s="3312"/>
      <c r="C113" s="3312"/>
      <c r="D113" s="3312"/>
      <c r="E113" s="3312"/>
      <c r="F113" s="3312"/>
      <c r="G113" s="3312"/>
      <c r="H113" s="3312"/>
      <c r="I113" s="3312"/>
      <c r="J113" s="3312"/>
      <c r="K113" s="3312"/>
      <c r="L113" s="3313"/>
      <c r="M113" s="644"/>
      <c r="N113" s="346"/>
      <c r="O113" s="1866"/>
      <c r="P113" s="1927"/>
      <c r="Q113" s="501">
        <f>+MPF!V332+MPF!W336+MPF!W339+MPF!V340</f>
        <v>2044077</v>
      </c>
      <c r="R113" s="501">
        <f>+Q106+R106+Q109+R109+T112</f>
        <v>15693382</v>
      </c>
      <c r="S113" s="501">
        <f>+R113+Q113</f>
        <v>17737459</v>
      </c>
      <c r="T113" s="501">
        <f>+S113+'CHÍNH NGUYÊN'!R149</f>
        <v>20941459</v>
      </c>
      <c r="U113" s="346"/>
      <c r="V113" s="346"/>
      <c r="W113" s="501"/>
      <c r="X113" s="354">
        <f>SUM(X106:X112)</f>
        <v>38193382</v>
      </c>
      <c r="Y113" s="354">
        <f>SUM(Y106:Y112)</f>
        <v>6431724</v>
      </c>
      <c r="Z113" s="356"/>
      <c r="AA113" s="354">
        <f>SUM(AA106:AA112)</f>
        <v>144644400.00000003</v>
      </c>
      <c r="AB113" s="354">
        <f>+X113+Y113+AA113</f>
        <v>189269506.00000003</v>
      </c>
      <c r="AC113" s="578">
        <f>SUM(AC110:AC111)</f>
        <v>0</v>
      </c>
    </row>
    <row r="114" spans="1:29" ht="26.4">
      <c r="A114" s="658">
        <v>1</v>
      </c>
      <c r="B114" s="970" t="s">
        <v>3237</v>
      </c>
      <c r="C114" s="770">
        <v>106551607261</v>
      </c>
      <c r="D114" s="972" t="s">
        <v>3214</v>
      </c>
      <c r="E114" s="660" t="s">
        <v>3196</v>
      </c>
      <c r="F114" s="661" t="s">
        <v>206</v>
      </c>
      <c r="G114" s="445"/>
      <c r="H114" s="445"/>
      <c r="I114" s="740" t="s">
        <v>973</v>
      </c>
      <c r="J114" s="740"/>
      <c r="K114" s="771" t="s">
        <v>136</v>
      </c>
      <c r="L114" s="928" t="s">
        <v>3285</v>
      </c>
      <c r="M114" s="927" t="s">
        <v>3270</v>
      </c>
      <c r="N114" s="150" t="s">
        <v>3178</v>
      </c>
      <c r="O114" s="1964" t="s">
        <v>3288</v>
      </c>
      <c r="P114" s="1553"/>
      <c r="Q114" s="1970"/>
      <c r="R114" s="248"/>
      <c r="S114" s="248"/>
      <c r="T114" s="248"/>
      <c r="U114" s="325">
        <v>4586194</v>
      </c>
      <c r="V114" s="787">
        <v>16800</v>
      </c>
      <c r="W114" s="791">
        <v>26391</v>
      </c>
      <c r="X114" s="340">
        <f>R114+S114+T114+Q114+W114</f>
        <v>26391</v>
      </c>
      <c r="Y114" s="344">
        <f t="shared" ref="Y114:Y120" si="24">+U114+V114</f>
        <v>4602994</v>
      </c>
      <c r="Z114" s="391" t="s">
        <v>3259</v>
      </c>
      <c r="AA114" s="341">
        <f>(1990000+500000+(2000000*1.03))*1.08</f>
        <v>4914000</v>
      </c>
      <c r="AB114" s="342">
        <f t="shared" ref="AB114:AB121" si="25">+AA114+Y114+X114</f>
        <v>9543385</v>
      </c>
      <c r="AC114" s="250">
        <f>2000000*1.03</f>
        <v>2060000</v>
      </c>
    </row>
    <row r="115" spans="1:29" ht="26.4">
      <c r="A115" s="326">
        <f>+A114+1</f>
        <v>2</v>
      </c>
      <c r="B115" s="971" t="s">
        <v>3258</v>
      </c>
      <c r="C115" s="45">
        <v>106564885340</v>
      </c>
      <c r="D115" s="793" t="s">
        <v>3257</v>
      </c>
      <c r="E115" s="47" t="s">
        <v>3202</v>
      </c>
      <c r="F115" s="126" t="s">
        <v>206</v>
      </c>
      <c r="G115" s="167"/>
      <c r="H115" s="167"/>
      <c r="I115" s="170" t="s">
        <v>973</v>
      </c>
      <c r="J115" s="806"/>
      <c r="K115" s="794" t="s">
        <v>123</v>
      </c>
      <c r="L115" s="792" t="s">
        <v>3286</v>
      </c>
      <c r="M115" s="927" t="s">
        <v>3270</v>
      </c>
      <c r="N115" s="158" t="s">
        <v>3271</v>
      </c>
      <c r="O115" s="1962" t="s">
        <v>3289</v>
      </c>
      <c r="P115" s="1950"/>
      <c r="Q115" s="1970"/>
      <c r="R115" s="248"/>
      <c r="S115" s="248"/>
      <c r="T115" s="248"/>
      <c r="U115" s="762">
        <v>10058408</v>
      </c>
      <c r="V115" s="790">
        <v>41700</v>
      </c>
      <c r="W115" s="791">
        <v>229274</v>
      </c>
      <c r="X115" s="340">
        <f t="shared" ref="X115:X145" si="26">R115+S115+T115+Q115+W115</f>
        <v>229274</v>
      </c>
      <c r="Y115" s="344">
        <f t="shared" si="24"/>
        <v>10100108</v>
      </c>
      <c r="Z115" s="249"/>
      <c r="AA115" s="341">
        <f>2790000*1.08</f>
        <v>3013200</v>
      </c>
      <c r="AB115" s="342">
        <f t="shared" si="25"/>
        <v>13342582</v>
      </c>
      <c r="AC115" s="250">
        <f>+AC114+1990000+500000</f>
        <v>4550000</v>
      </c>
    </row>
    <row r="116" spans="1:29" ht="158.4">
      <c r="A116" s="326">
        <f>+A115+1</f>
        <v>3</v>
      </c>
      <c r="B116" s="929" t="s">
        <v>3277</v>
      </c>
      <c r="C116" s="166">
        <v>106572122900</v>
      </c>
      <c r="D116" s="793" t="s">
        <v>3244</v>
      </c>
      <c r="E116" s="47" t="s">
        <v>3278</v>
      </c>
      <c r="F116" s="126" t="s">
        <v>206</v>
      </c>
      <c r="G116" s="167">
        <v>12</v>
      </c>
      <c r="H116" s="167"/>
      <c r="I116" s="809"/>
      <c r="J116" s="170" t="s">
        <v>3255</v>
      </c>
      <c r="K116" s="794" t="s">
        <v>123</v>
      </c>
      <c r="L116" s="792"/>
      <c r="M116" s="577" t="s">
        <v>3248</v>
      </c>
      <c r="N116" s="158" t="s">
        <v>3252</v>
      </c>
      <c r="O116" s="1962" t="s">
        <v>3293</v>
      </c>
      <c r="P116" s="1950"/>
      <c r="Q116" s="1970"/>
      <c r="R116" s="324">
        <v>5184000</v>
      </c>
      <c r="S116" s="373">
        <f>918000*12</f>
        <v>11016000</v>
      </c>
      <c r="T116" s="248"/>
      <c r="U116" s="247"/>
      <c r="V116" s="790">
        <v>3000000</v>
      </c>
      <c r="W116" s="248"/>
      <c r="X116" s="340">
        <f>R116+S116+T116+Q116+W116</f>
        <v>16200000</v>
      </c>
      <c r="Y116" s="344">
        <f t="shared" si="24"/>
        <v>3000000</v>
      </c>
      <c r="Z116" s="249"/>
      <c r="AA116" s="341">
        <f>((G116*4750000)+(H116*5150000))*1.08</f>
        <v>61560000.000000007</v>
      </c>
      <c r="AB116" s="342">
        <f t="shared" si="25"/>
        <v>80760000</v>
      </c>
      <c r="AC116" s="252"/>
    </row>
    <row r="117" spans="1:29" ht="26.4">
      <c r="A117" s="326">
        <v>4</v>
      </c>
      <c r="B117" s="940" t="s">
        <v>3281</v>
      </c>
      <c r="C117" s="166">
        <v>106576205150</v>
      </c>
      <c r="D117" s="793" t="s">
        <v>3279</v>
      </c>
      <c r="E117" s="47" t="s">
        <v>3254</v>
      </c>
      <c r="F117" s="126" t="s">
        <v>206</v>
      </c>
      <c r="G117" s="167"/>
      <c r="H117" s="167">
        <v>2</v>
      </c>
      <c r="I117" s="809"/>
      <c r="J117" s="170" t="s">
        <v>3253</v>
      </c>
      <c r="K117" s="86" t="s">
        <v>210</v>
      </c>
      <c r="L117" s="154"/>
      <c r="M117" s="577" t="s">
        <v>3248</v>
      </c>
      <c r="N117" s="158" t="s">
        <v>3247</v>
      </c>
      <c r="O117" s="1962" t="s">
        <v>3290</v>
      </c>
      <c r="P117" s="1950"/>
      <c r="Q117" s="1970"/>
      <c r="R117" s="324">
        <v>2257200</v>
      </c>
      <c r="S117" s="373">
        <f>1450000*2</f>
        <v>2900000</v>
      </c>
      <c r="T117" s="248"/>
      <c r="U117" s="762">
        <f>11080000+4968000</f>
        <v>16048000</v>
      </c>
      <c r="V117" s="762">
        <v>1000000</v>
      </c>
      <c r="W117" s="248"/>
      <c r="X117" s="340">
        <f t="shared" si="26"/>
        <v>5157200</v>
      </c>
      <c r="Y117" s="344">
        <f t="shared" si="24"/>
        <v>17048000</v>
      </c>
      <c r="Z117" s="391" t="s">
        <v>2101</v>
      </c>
      <c r="AA117" s="951">
        <f>((G117*5350000)+(H117*5650000))*1.08</f>
        <v>12204000</v>
      </c>
      <c r="AB117" s="342">
        <f t="shared" si="25"/>
        <v>34409200</v>
      </c>
      <c r="AC117" s="252"/>
    </row>
    <row r="118" spans="1:29" ht="39.6">
      <c r="A118" s="326">
        <v>5</v>
      </c>
      <c r="B118" s="940" t="s">
        <v>3281</v>
      </c>
      <c r="C118" s="166">
        <v>106576350750</v>
      </c>
      <c r="D118" s="793" t="s">
        <v>3279</v>
      </c>
      <c r="E118" s="47" t="s">
        <v>3308</v>
      </c>
      <c r="F118" s="126" t="s">
        <v>206</v>
      </c>
      <c r="G118" s="167"/>
      <c r="H118" s="167">
        <v>3</v>
      </c>
      <c r="I118" s="809"/>
      <c r="J118" s="792" t="s">
        <v>3251</v>
      </c>
      <c r="K118" s="86" t="s">
        <v>210</v>
      </c>
      <c r="M118" s="577" t="s">
        <v>3248</v>
      </c>
      <c r="N118" s="158" t="s">
        <v>3247</v>
      </c>
      <c r="O118" s="1962" t="s">
        <v>3292</v>
      </c>
      <c r="P118" s="1950"/>
      <c r="Q118" s="1973">
        <v>1085400</v>
      </c>
      <c r="R118" s="324">
        <v>2300400</v>
      </c>
      <c r="S118" s="373">
        <v>1458000</v>
      </c>
      <c r="T118" s="248"/>
      <c r="U118" s="247"/>
      <c r="V118" s="762">
        <v>1500000</v>
      </c>
      <c r="W118" s="248"/>
      <c r="X118" s="340">
        <f>R118+S118+T118+Q118+W118</f>
        <v>4843800</v>
      </c>
      <c r="Y118" s="344">
        <f t="shared" si="24"/>
        <v>1500000</v>
      </c>
      <c r="Z118" s="391" t="s">
        <v>2101</v>
      </c>
      <c r="AA118" s="951">
        <f>((G118*5350000)+(H118*5650000))*1.08+(1350000*2*1.08)</f>
        <v>21222000</v>
      </c>
      <c r="AB118" s="342">
        <f t="shared" si="25"/>
        <v>27565800</v>
      </c>
      <c r="AC118" s="252"/>
    </row>
    <row r="119" spans="1:29" ht="26.4">
      <c r="A119" s="326">
        <v>6</v>
      </c>
      <c r="B119" s="953" t="s">
        <v>3315</v>
      </c>
      <c r="C119" s="45">
        <v>106579339420</v>
      </c>
      <c r="D119" s="793" t="s">
        <v>3298</v>
      </c>
      <c r="E119" s="47" t="s">
        <v>3272</v>
      </c>
      <c r="F119" s="126" t="s">
        <v>206</v>
      </c>
      <c r="G119" s="167"/>
      <c r="H119" s="167"/>
      <c r="I119" s="170" t="s">
        <v>973</v>
      </c>
      <c r="J119" s="806"/>
      <c r="K119" s="86" t="s">
        <v>210</v>
      </c>
      <c r="L119" s="792" t="s">
        <v>3287</v>
      </c>
      <c r="M119" s="928" t="s">
        <v>3276</v>
      </c>
      <c r="N119" s="158" t="s">
        <v>3264</v>
      </c>
      <c r="O119" s="1962" t="s">
        <v>3291</v>
      </c>
      <c r="P119" s="1950"/>
      <c r="Q119" s="1970"/>
      <c r="R119" s="248"/>
      <c r="S119" s="248"/>
      <c r="T119" s="248"/>
      <c r="U119" s="762">
        <v>3184272</v>
      </c>
      <c r="V119" s="762">
        <v>6000</v>
      </c>
      <c r="W119" s="248"/>
      <c r="X119" s="340">
        <f>R119+S119+T119+Q119+W119</f>
        <v>0</v>
      </c>
      <c r="Y119" s="344">
        <f t="shared" si="24"/>
        <v>3190272</v>
      </c>
      <c r="Z119" s="391" t="s">
        <v>2101</v>
      </c>
      <c r="AA119" s="341">
        <f>+(1790000+500000)*1.08</f>
        <v>2473200</v>
      </c>
      <c r="AB119" s="342">
        <f t="shared" si="25"/>
        <v>5663472</v>
      </c>
      <c r="AC119" s="252"/>
    </row>
    <row r="120" spans="1:29" ht="26.4">
      <c r="A120" s="326">
        <v>7</v>
      </c>
      <c r="B120" s="953" t="s">
        <v>3320</v>
      </c>
      <c r="C120" s="45">
        <v>106581803310</v>
      </c>
      <c r="D120" s="793" t="s">
        <v>3315</v>
      </c>
      <c r="E120" s="47" t="s">
        <v>3297</v>
      </c>
      <c r="F120" s="126" t="s">
        <v>206</v>
      </c>
      <c r="G120" s="167"/>
      <c r="H120" s="167"/>
      <c r="I120" s="170" t="s">
        <v>973</v>
      </c>
      <c r="J120" s="806" t="s">
        <v>3369</v>
      </c>
      <c r="K120" s="86" t="s">
        <v>210</v>
      </c>
      <c r="L120" s="154" t="s">
        <v>3329</v>
      </c>
      <c r="M120" s="577" t="s">
        <v>3281</v>
      </c>
      <c r="N120" s="158" t="s">
        <v>3294</v>
      </c>
      <c r="O120" s="1962" t="s">
        <v>3307</v>
      </c>
      <c r="P120" s="1950"/>
      <c r="Q120" s="1973">
        <v>2973437</v>
      </c>
      <c r="R120" s="324">
        <v>1414800</v>
      </c>
      <c r="S120" s="248"/>
      <c r="T120" s="248"/>
      <c r="U120" s="944">
        <v>15468651</v>
      </c>
      <c r="V120" s="762">
        <v>30300</v>
      </c>
      <c r="W120" s="248"/>
      <c r="X120" s="340">
        <f>R120+S120+T120+Q120+W120</f>
        <v>4388237</v>
      </c>
      <c r="Y120" s="344">
        <f t="shared" si="24"/>
        <v>15498951</v>
      </c>
      <c r="Z120" s="391" t="s">
        <v>2101</v>
      </c>
      <c r="AA120" s="341">
        <f>5650000*1.08</f>
        <v>6102000</v>
      </c>
      <c r="AB120" s="342">
        <f t="shared" si="25"/>
        <v>25989188</v>
      </c>
      <c r="AC120" s="252"/>
    </row>
    <row r="121" spans="1:29">
      <c r="A121" s="326">
        <f>+A120+1</f>
        <v>8</v>
      </c>
      <c r="B121" s="704"/>
      <c r="C121" s="442" t="s">
        <v>3331</v>
      </c>
      <c r="D121" s="46"/>
      <c r="E121" s="47" t="s">
        <v>3332</v>
      </c>
      <c r="F121" s="126"/>
      <c r="G121" s="167"/>
      <c r="H121" s="167"/>
      <c r="I121" s="170"/>
      <c r="J121" s="806"/>
      <c r="K121" s="811"/>
      <c r="L121" s="154"/>
      <c r="M121" s="577"/>
      <c r="N121" s="158"/>
      <c r="O121" s="1957"/>
      <c r="P121" s="1517"/>
      <c r="Q121" s="1970"/>
      <c r="R121" s="248"/>
      <c r="S121" s="248"/>
      <c r="T121" s="248"/>
      <c r="U121" s="247"/>
      <c r="V121" s="788"/>
      <c r="W121" s="248"/>
      <c r="X121" s="340">
        <f t="shared" si="26"/>
        <v>0</v>
      </c>
      <c r="Y121" s="344">
        <f>+U121</f>
        <v>0</v>
      </c>
      <c r="Z121" s="249" t="s">
        <v>3131</v>
      </c>
      <c r="AA121" s="341">
        <f>600000*12*1.08</f>
        <v>7776000.0000000009</v>
      </c>
      <c r="AB121" s="342">
        <f t="shared" si="25"/>
        <v>7776000.0000000009</v>
      </c>
      <c r="AC121" s="252"/>
    </row>
    <row r="122" spans="1:29">
      <c r="A122" s="326">
        <f>+A121+1</f>
        <v>9</v>
      </c>
      <c r="B122" s="704"/>
      <c r="C122" s="442" t="s">
        <v>3356</v>
      </c>
      <c r="D122" s="46"/>
      <c r="E122" s="47" t="s">
        <v>3357</v>
      </c>
      <c r="F122" s="126"/>
      <c r="G122" s="167"/>
      <c r="H122" s="167"/>
      <c r="I122" s="170"/>
      <c r="J122" s="806"/>
      <c r="K122" s="811"/>
      <c r="L122" s="154" t="s">
        <v>2995</v>
      </c>
      <c r="M122" s="577"/>
      <c r="N122" s="158"/>
      <c r="O122" s="1957"/>
      <c r="P122" s="1517"/>
      <c r="Q122" s="1970"/>
      <c r="R122" s="248"/>
      <c r="S122" s="248"/>
      <c r="T122" s="324">
        <v>98182</v>
      </c>
      <c r="U122" s="247"/>
      <c r="V122" s="788"/>
      <c r="W122" s="248"/>
      <c r="X122" s="340">
        <f t="shared" si="26"/>
        <v>98182</v>
      </c>
      <c r="Y122" s="344">
        <f>+U122</f>
        <v>0</v>
      </c>
      <c r="Z122" s="249"/>
      <c r="AA122" s="341">
        <v>864000</v>
      </c>
      <c r="AB122" s="342">
        <v>962182</v>
      </c>
      <c r="AC122" s="252"/>
    </row>
    <row r="123" spans="1:29" ht="26.4">
      <c r="A123" s="818"/>
      <c r="B123" s="953"/>
      <c r="C123" s="887">
        <v>106596485660</v>
      </c>
      <c r="D123" s="994" t="s">
        <v>3361</v>
      </c>
      <c r="E123" s="841"/>
      <c r="F123" s="126" t="s">
        <v>206</v>
      </c>
      <c r="G123" s="167">
        <v>1</v>
      </c>
      <c r="H123" s="167"/>
      <c r="I123" s="806"/>
      <c r="J123" s="942" t="s">
        <v>3371</v>
      </c>
      <c r="K123" s="699" t="s">
        <v>3423</v>
      </c>
      <c r="L123" s="154"/>
      <c r="M123" s="577" t="s">
        <v>3317</v>
      </c>
      <c r="N123" s="932" t="s">
        <v>3271</v>
      </c>
      <c r="O123" s="1965" t="s">
        <v>3316</v>
      </c>
      <c r="P123" s="1950"/>
      <c r="Q123" s="1970"/>
      <c r="R123" s="248"/>
      <c r="S123" s="248"/>
      <c r="T123" s="248"/>
      <c r="U123" s="247"/>
      <c r="V123" s="788"/>
      <c r="W123" s="248"/>
      <c r="X123" s="845"/>
      <c r="Y123" s="996"/>
      <c r="Z123" s="995"/>
      <c r="AA123" s="936"/>
      <c r="AB123" s="997"/>
      <c r="AC123" s="852"/>
    </row>
    <row r="124" spans="1:29">
      <c r="A124" s="3311" t="s">
        <v>3330</v>
      </c>
      <c r="B124" s="3312"/>
      <c r="C124" s="3312"/>
      <c r="D124" s="3312"/>
      <c r="E124" s="3312"/>
      <c r="F124" s="3312"/>
      <c r="G124" s="3312"/>
      <c r="H124" s="3312"/>
      <c r="I124" s="3312"/>
      <c r="J124" s="3312"/>
      <c r="K124" s="3312"/>
      <c r="L124" s="3313"/>
      <c r="M124" s="915"/>
      <c r="N124" s="346"/>
      <c r="O124" s="1866"/>
      <c r="P124" s="1927"/>
      <c r="Q124" s="501"/>
      <c r="R124" s="501"/>
      <c r="S124" s="501"/>
      <c r="T124" s="501"/>
      <c r="U124" s="346"/>
      <c r="V124" s="346"/>
      <c r="W124" s="501"/>
      <c r="X124" s="354">
        <f>SUM(X114:X122)</f>
        <v>30943084</v>
      </c>
      <c r="Y124" s="354">
        <f>SUM(Y114:Y122)</f>
        <v>54940325</v>
      </c>
      <c r="Z124" s="356"/>
      <c r="AA124" s="354">
        <f>SUM(AA114:AA122)</f>
        <v>120128400</v>
      </c>
      <c r="AB124" s="354">
        <f>+X124+Y124+AA124</f>
        <v>206011809</v>
      </c>
      <c r="AC124" s="578">
        <f>SUM(AC121:AC122)</f>
        <v>0</v>
      </c>
    </row>
    <row r="125" spans="1:29" ht="26.4">
      <c r="A125" s="326">
        <v>1</v>
      </c>
      <c r="B125" s="1001" t="s">
        <v>3416</v>
      </c>
      <c r="C125" s="941">
        <v>106600695020</v>
      </c>
      <c r="D125" s="980" t="s">
        <v>3397</v>
      </c>
      <c r="E125" s="872" t="s">
        <v>3318</v>
      </c>
      <c r="F125" s="126" t="s">
        <v>206</v>
      </c>
      <c r="G125" s="167">
        <v>1</v>
      </c>
      <c r="H125" s="167"/>
      <c r="I125" s="942"/>
      <c r="J125" s="942" t="s">
        <v>3371</v>
      </c>
      <c r="K125" s="794" t="s">
        <v>123</v>
      </c>
      <c r="L125" s="992" t="s">
        <v>3420</v>
      </c>
      <c r="M125" s="816" t="s">
        <v>3317</v>
      </c>
      <c r="N125" s="932" t="s">
        <v>3271</v>
      </c>
      <c r="O125" s="1965" t="s">
        <v>3316</v>
      </c>
      <c r="P125" s="1950"/>
      <c r="Q125" s="1973">
        <v>270000</v>
      </c>
      <c r="R125" s="324">
        <v>825120</v>
      </c>
      <c r="S125" s="373">
        <v>880000</v>
      </c>
      <c r="T125" s="845"/>
      <c r="U125" s="944">
        <v>6720000</v>
      </c>
      <c r="V125" s="944">
        <v>250000</v>
      </c>
      <c r="W125" s="324">
        <f>2200000+550000+760000</f>
        <v>3510000</v>
      </c>
      <c r="X125" s="829">
        <f>R125+S125+T125+Q125+W125</f>
        <v>5485120</v>
      </c>
      <c r="Y125" s="830">
        <f t="shared" ref="Y125:Y130" si="27">+U125+V125</f>
        <v>6970000</v>
      </c>
      <c r="Z125" s="831"/>
      <c r="AA125" s="341">
        <f>((G125*4750000)+(H125*5150000))*1.08</f>
        <v>5130000</v>
      </c>
      <c r="AB125" s="833">
        <f t="shared" ref="AB125:AB130" si="28">+AA125+Y125+X125</f>
        <v>17585120</v>
      </c>
      <c r="AC125" s="876"/>
    </row>
    <row r="126" spans="1:29" ht="26.4">
      <c r="A126" s="326">
        <v>2</v>
      </c>
      <c r="B126" s="1007" t="s">
        <v>3449</v>
      </c>
      <c r="C126" s="45">
        <v>106619073040</v>
      </c>
      <c r="D126" s="793" t="s">
        <v>3412</v>
      </c>
      <c r="E126" s="47" t="s">
        <v>3427</v>
      </c>
      <c r="F126" s="126" t="s">
        <v>206</v>
      </c>
      <c r="G126" s="167"/>
      <c r="H126" s="167"/>
      <c r="I126" s="170" t="s">
        <v>973</v>
      </c>
      <c r="J126" s="806"/>
      <c r="K126" s="794" t="s">
        <v>123</v>
      </c>
      <c r="L126" s="154" t="s">
        <v>3429</v>
      </c>
      <c r="M126" s="816" t="s">
        <v>3416</v>
      </c>
      <c r="N126" s="158" t="s">
        <v>3408</v>
      </c>
      <c r="O126" s="1962" t="s">
        <v>3405</v>
      </c>
      <c r="P126" s="1950"/>
      <c r="Q126" s="1973">
        <v>69159</v>
      </c>
      <c r="R126" s="248"/>
      <c r="S126" s="248"/>
      <c r="T126" s="845"/>
      <c r="U126" s="944">
        <v>18995173</v>
      </c>
      <c r="V126" s="944">
        <v>78000</v>
      </c>
      <c r="W126" s="248"/>
      <c r="X126" s="829">
        <f>R126+S126+T126+Q126+W126</f>
        <v>69159</v>
      </c>
      <c r="Y126" s="830">
        <f t="shared" si="27"/>
        <v>19073173</v>
      </c>
      <c r="Z126" s="249"/>
      <c r="AA126" s="341">
        <f>(2940000+1790000)*1.08</f>
        <v>5108400</v>
      </c>
      <c r="AB126" s="342">
        <f t="shared" si="28"/>
        <v>24250732</v>
      </c>
      <c r="AC126" s="252"/>
    </row>
    <row r="127" spans="1:29" ht="26.4">
      <c r="A127" s="837">
        <v>3</v>
      </c>
      <c r="B127" s="1008" t="s">
        <v>3450</v>
      </c>
      <c r="C127" s="887">
        <v>106624179060</v>
      </c>
      <c r="D127" s="946" t="s">
        <v>3424</v>
      </c>
      <c r="E127" s="841" t="s">
        <v>3438</v>
      </c>
      <c r="F127" s="126" t="s">
        <v>206</v>
      </c>
      <c r="G127" s="935"/>
      <c r="H127" s="935"/>
      <c r="I127" s="934">
        <v>1</v>
      </c>
      <c r="J127" s="809"/>
      <c r="K127" s="837" t="s">
        <v>210</v>
      </c>
      <c r="L127" s="974" t="s">
        <v>3444</v>
      </c>
      <c r="M127" s="1002" t="s">
        <v>3443</v>
      </c>
      <c r="N127" s="935" t="s">
        <v>2903</v>
      </c>
      <c r="O127" s="1964" t="s">
        <v>3406</v>
      </c>
      <c r="P127" s="1553"/>
      <c r="Q127" s="1979"/>
      <c r="R127" s="988"/>
      <c r="S127" s="845"/>
      <c r="T127" s="845"/>
      <c r="U127" s="944">
        <v>6615567</v>
      </c>
      <c r="V127" s="944">
        <v>54450</v>
      </c>
      <c r="W127" s="845"/>
      <c r="X127" s="847">
        <f>R127+S127+T127+Q127+W127</f>
        <v>0</v>
      </c>
      <c r="Y127" s="830">
        <f t="shared" si="27"/>
        <v>6670017</v>
      </c>
      <c r="Z127" s="849"/>
      <c r="AA127" s="341">
        <f>2940000*1.08</f>
        <v>3175200</v>
      </c>
      <c r="AB127" s="851">
        <f t="shared" si="28"/>
        <v>9845217</v>
      </c>
      <c r="AC127" s="852"/>
    </row>
    <row r="128" spans="1:29" ht="26.4">
      <c r="A128" s="658">
        <v>4</v>
      </c>
      <c r="B128" s="1008" t="s">
        <v>3450</v>
      </c>
      <c r="C128" s="770">
        <v>106624232260</v>
      </c>
      <c r="D128" s="946" t="s">
        <v>3424</v>
      </c>
      <c r="E128" s="660" t="s">
        <v>3439</v>
      </c>
      <c r="F128" s="126" t="s">
        <v>206</v>
      </c>
      <c r="G128" s="445"/>
      <c r="H128" s="445"/>
      <c r="I128" s="740" t="s">
        <v>973</v>
      </c>
      <c r="J128" s="740"/>
      <c r="K128" s="794" t="s">
        <v>123</v>
      </c>
      <c r="L128" s="577" t="s">
        <v>3445</v>
      </c>
      <c r="M128" s="1002" t="s">
        <v>3443</v>
      </c>
      <c r="N128" s="780" t="s">
        <v>3052</v>
      </c>
      <c r="O128" s="1964" t="s">
        <v>3407</v>
      </c>
      <c r="P128" s="1553"/>
      <c r="Q128" s="1972"/>
      <c r="R128" s="425"/>
      <c r="S128" s="425"/>
      <c r="T128" s="425"/>
      <c r="U128" s="944">
        <v>3086370</v>
      </c>
      <c r="V128" s="944">
        <v>750</v>
      </c>
      <c r="W128" s="425"/>
      <c r="X128" s="662">
        <f t="shared" si="26"/>
        <v>0</v>
      </c>
      <c r="Y128" s="830">
        <f t="shared" si="27"/>
        <v>3087120</v>
      </c>
      <c r="Z128" s="398"/>
      <c r="AA128" s="341">
        <f>1790000*1.08</f>
        <v>1933200.0000000002</v>
      </c>
      <c r="AB128" s="665">
        <f t="shared" si="28"/>
        <v>5020320</v>
      </c>
      <c r="AC128" s="782"/>
    </row>
    <row r="129" spans="1:30" ht="132">
      <c r="A129" s="326">
        <v>5</v>
      </c>
      <c r="B129" s="929" t="s">
        <v>3519</v>
      </c>
      <c r="C129" s="45">
        <v>106640908030</v>
      </c>
      <c r="D129" s="542" t="s">
        <v>3508</v>
      </c>
      <c r="E129" s="47" t="s">
        <v>3520</v>
      </c>
      <c r="F129" s="126" t="s">
        <v>206</v>
      </c>
      <c r="G129" s="167">
        <v>10</v>
      </c>
      <c r="H129" s="167"/>
      <c r="I129" s="170"/>
      <c r="J129" s="806" t="s">
        <v>3492</v>
      </c>
      <c r="K129" s="794" t="s">
        <v>123</v>
      </c>
      <c r="L129" s="154"/>
      <c r="M129" s="577" t="s">
        <v>3490</v>
      </c>
      <c r="N129" s="158" t="s">
        <v>3252</v>
      </c>
      <c r="O129" s="1962" t="s">
        <v>3491</v>
      </c>
      <c r="P129" s="1950"/>
      <c r="Q129" s="1973">
        <v>999000</v>
      </c>
      <c r="R129" s="324">
        <v>4320000</v>
      </c>
      <c r="S129" s="373">
        <f>900000*10</f>
        <v>9000000</v>
      </c>
      <c r="T129" s="248"/>
      <c r="U129" s="247"/>
      <c r="V129" s="944">
        <v>2500000</v>
      </c>
      <c r="W129" s="248"/>
      <c r="X129" s="340">
        <f t="shared" si="26"/>
        <v>14319000</v>
      </c>
      <c r="Y129" s="830">
        <f t="shared" si="27"/>
        <v>2500000</v>
      </c>
      <c r="Z129" s="249" t="s">
        <v>3512</v>
      </c>
      <c r="AA129" s="341">
        <f>((G129*4750000)+(H129*5150000))*1.08+((500000*1.03)*1.08)</f>
        <v>51856200</v>
      </c>
      <c r="AB129" s="342">
        <f t="shared" si="28"/>
        <v>68675200</v>
      </c>
      <c r="AC129" s="782"/>
    </row>
    <row r="130" spans="1:30">
      <c r="A130" s="326">
        <v>6</v>
      </c>
      <c r="B130" s="763"/>
      <c r="C130" s="442" t="s">
        <v>3559</v>
      </c>
      <c r="D130" s="542"/>
      <c r="E130" s="47" t="s">
        <v>3561</v>
      </c>
      <c r="F130" s="126"/>
      <c r="G130" s="167"/>
      <c r="H130" s="167"/>
      <c r="I130" s="170"/>
      <c r="J130" s="806"/>
      <c r="K130" s="79"/>
      <c r="L130" s="154"/>
      <c r="M130" s="577"/>
      <c r="N130" s="158"/>
      <c r="O130" s="1957"/>
      <c r="P130" s="1517"/>
      <c r="Q130" s="1970"/>
      <c r="R130" s="248"/>
      <c r="S130" s="248"/>
      <c r="T130" s="248"/>
      <c r="U130" s="247"/>
      <c r="V130" s="788"/>
      <c r="W130" s="248"/>
      <c r="X130" s="340">
        <f t="shared" si="26"/>
        <v>0</v>
      </c>
      <c r="Y130" s="830">
        <f t="shared" si="27"/>
        <v>0</v>
      </c>
      <c r="Z130" s="249" t="s">
        <v>3896</v>
      </c>
      <c r="AA130" s="341">
        <f>600000*16*1.08</f>
        <v>10368000</v>
      </c>
      <c r="AB130" s="342">
        <f t="shared" si="28"/>
        <v>10368000</v>
      </c>
      <c r="AC130" s="252"/>
    </row>
    <row r="131" spans="1:30">
      <c r="A131" s="3311" t="s">
        <v>3560</v>
      </c>
      <c r="B131" s="3312"/>
      <c r="C131" s="3312"/>
      <c r="D131" s="3312"/>
      <c r="E131" s="3312"/>
      <c r="F131" s="3312"/>
      <c r="G131" s="3312"/>
      <c r="H131" s="3312"/>
      <c r="I131" s="3312"/>
      <c r="J131" s="3312"/>
      <c r="K131" s="3312"/>
      <c r="L131" s="3313"/>
      <c r="M131" s="915"/>
      <c r="N131" s="346"/>
      <c r="O131" s="1866"/>
      <c r="P131" s="1927"/>
      <c r="Q131" s="501"/>
      <c r="R131" s="501"/>
      <c r="S131" s="501"/>
      <c r="T131" s="501"/>
      <c r="U131" s="346"/>
      <c r="V131" s="1075">
        <f>SUM(V125:V130)</f>
        <v>2883200</v>
      </c>
      <c r="W131" s="501"/>
      <c r="X131" s="354">
        <f>SUM(X125:X130)</f>
        <v>19873279</v>
      </c>
      <c r="Y131" s="354">
        <f>SUM(Y125:Y130)</f>
        <v>38300310</v>
      </c>
      <c r="Z131" s="356"/>
      <c r="AA131" s="354">
        <f>SUM(AA125:AA130)</f>
        <v>77571000</v>
      </c>
      <c r="AB131" s="354">
        <f>SUM(AB125:AB130)</f>
        <v>135744589</v>
      </c>
      <c r="AC131" s="578">
        <f>SUM(AC129:AC130)</f>
        <v>0</v>
      </c>
    </row>
    <row r="132" spans="1:30" ht="26.4">
      <c r="A132" s="326">
        <v>1</v>
      </c>
      <c r="B132" s="971" t="s">
        <v>3915</v>
      </c>
      <c r="C132" s="45">
        <v>106675113530</v>
      </c>
      <c r="D132" s="1086" t="s">
        <v>3917</v>
      </c>
      <c r="E132" s="47" t="s">
        <v>3902</v>
      </c>
      <c r="F132" s="126" t="s">
        <v>206</v>
      </c>
      <c r="G132" s="167"/>
      <c r="H132" s="167"/>
      <c r="I132" s="170" t="s">
        <v>973</v>
      </c>
      <c r="K132" s="86" t="s">
        <v>210</v>
      </c>
      <c r="L132" s="806" t="s">
        <v>3912</v>
      </c>
      <c r="M132" s="928" t="s">
        <v>3914</v>
      </c>
      <c r="N132" s="935" t="s">
        <v>2903</v>
      </c>
      <c r="O132" s="1957" t="s">
        <v>3916</v>
      </c>
      <c r="P132" s="1517"/>
      <c r="Q132" s="1970"/>
      <c r="R132" s="248"/>
      <c r="S132" s="248"/>
      <c r="T132" s="248"/>
      <c r="U132" s="944">
        <v>3105000</v>
      </c>
      <c r="V132" s="944">
        <v>8250</v>
      </c>
      <c r="W132" s="248"/>
      <c r="X132" s="340">
        <f t="shared" si="26"/>
        <v>0</v>
      </c>
      <c r="Y132" s="344">
        <f t="shared" ref="Y132:Y145" si="29">+U132+V132</f>
        <v>3113250</v>
      </c>
      <c r="Z132" s="249"/>
      <c r="AA132" s="341">
        <f>1790000*1.08</f>
        <v>1933200.0000000002</v>
      </c>
      <c r="AB132" s="342">
        <f>+AA132+Y132+X132</f>
        <v>5046450</v>
      </c>
      <c r="AC132" s="252"/>
    </row>
    <row r="133" spans="1:30" ht="26.4">
      <c r="A133" s="326">
        <f>+A132+1</f>
        <v>2</v>
      </c>
      <c r="B133" s="971" t="s">
        <v>3996</v>
      </c>
      <c r="C133" s="45">
        <v>106709034941</v>
      </c>
      <c r="D133" s="793" t="s">
        <v>3971</v>
      </c>
      <c r="E133" s="47" t="s">
        <v>3986</v>
      </c>
      <c r="F133" s="126" t="s">
        <v>206</v>
      </c>
      <c r="G133" s="167"/>
      <c r="H133" s="167"/>
      <c r="I133" s="170" t="s">
        <v>973</v>
      </c>
      <c r="J133" s="806"/>
      <c r="K133" s="699" t="s">
        <v>136</v>
      </c>
      <c r="L133" s="154" t="s">
        <v>3964</v>
      </c>
      <c r="M133" s="1090" t="s">
        <v>3971</v>
      </c>
      <c r="N133" s="158" t="s">
        <v>3962</v>
      </c>
      <c r="O133" s="1962" t="s">
        <v>3976</v>
      </c>
      <c r="P133" s="1950"/>
      <c r="Q133" s="1973">
        <v>19911</v>
      </c>
      <c r="R133" s="248"/>
      <c r="S133" s="248"/>
      <c r="T133" s="248"/>
      <c r="U133" s="944">
        <v>3976309</v>
      </c>
      <c r="V133" s="944">
        <v>25320</v>
      </c>
      <c r="W133" s="248"/>
      <c r="X133" s="340">
        <f t="shared" si="26"/>
        <v>19911</v>
      </c>
      <c r="Y133" s="344">
        <f t="shared" si="29"/>
        <v>4001629</v>
      </c>
      <c r="Z133" s="249"/>
      <c r="AA133" s="341">
        <f>1990000*1.08</f>
        <v>2149200</v>
      </c>
      <c r="AB133" s="342">
        <f>+AA133+Y133+X133</f>
        <v>6170740</v>
      </c>
      <c r="AC133" s="252"/>
    </row>
    <row r="134" spans="1:30" ht="26.4">
      <c r="A134" s="326">
        <v>3</v>
      </c>
      <c r="B134" s="953" t="s">
        <v>3999</v>
      </c>
      <c r="C134" s="45">
        <v>106710427941</v>
      </c>
      <c r="D134" s="793" t="s">
        <v>3971</v>
      </c>
      <c r="E134" s="47" t="s">
        <v>3985</v>
      </c>
      <c r="F134" s="126" t="s">
        <v>206</v>
      </c>
      <c r="G134" s="167"/>
      <c r="H134" s="167"/>
      <c r="I134" s="170" t="s">
        <v>973</v>
      </c>
      <c r="J134" s="806"/>
      <c r="K134" s="794" t="s">
        <v>123</v>
      </c>
      <c r="L134" s="154" t="s">
        <v>3972</v>
      </c>
      <c r="M134" s="1090" t="s">
        <v>3971</v>
      </c>
      <c r="N134" s="158" t="s">
        <v>2840</v>
      </c>
      <c r="O134" s="1962" t="s">
        <v>3977</v>
      </c>
      <c r="P134" s="1950"/>
      <c r="Q134" s="1970"/>
      <c r="R134" s="248"/>
      <c r="S134" s="248"/>
      <c r="T134" s="248"/>
      <c r="U134" s="944">
        <v>15530734</v>
      </c>
      <c r="V134" s="944">
        <v>78000</v>
      </c>
      <c r="W134" s="248"/>
      <c r="X134" s="340">
        <f t="shared" si="26"/>
        <v>0</v>
      </c>
      <c r="Y134" s="344">
        <f t="shared" si="29"/>
        <v>15608734</v>
      </c>
      <c r="Z134" s="249"/>
      <c r="AA134" s="341">
        <f>(2940000+1790000)*1.08</f>
        <v>5108400</v>
      </c>
      <c r="AB134" s="342">
        <f>+AA134+Y134+X134</f>
        <v>20717134</v>
      </c>
      <c r="AC134" s="252"/>
    </row>
    <row r="135" spans="1:30">
      <c r="A135" s="326">
        <v>4</v>
      </c>
      <c r="B135" s="763"/>
      <c r="C135" s="442" t="s">
        <v>4037</v>
      </c>
      <c r="D135" s="542"/>
      <c r="E135" s="179" t="s">
        <v>4036</v>
      </c>
      <c r="F135" s="126"/>
      <c r="G135" s="167"/>
      <c r="H135" s="167"/>
      <c r="I135" s="170"/>
      <c r="J135" s="806"/>
      <c r="K135" s="79"/>
      <c r="L135" s="154"/>
      <c r="M135" s="577"/>
      <c r="N135" s="158"/>
      <c r="O135" s="1957"/>
      <c r="P135" s="1517"/>
      <c r="Q135" s="1970"/>
      <c r="R135" s="248"/>
      <c r="S135" s="248"/>
      <c r="T135" s="248"/>
      <c r="U135" s="247"/>
      <c r="V135" s="788"/>
      <c r="W135" s="248"/>
      <c r="X135" s="340">
        <f t="shared" si="26"/>
        <v>0</v>
      </c>
      <c r="Y135" s="344">
        <f t="shared" si="29"/>
        <v>0</v>
      </c>
      <c r="Z135" s="249" t="s">
        <v>4060</v>
      </c>
      <c r="AA135" s="341">
        <f>600000*17*1.08</f>
        <v>11016000</v>
      </c>
      <c r="AB135" s="342">
        <f>+AA135+Y135+X135</f>
        <v>11016000</v>
      </c>
      <c r="AC135" s="252"/>
    </row>
    <row r="136" spans="1:30">
      <c r="A136" s="3311" t="s">
        <v>4087</v>
      </c>
      <c r="B136" s="3312"/>
      <c r="C136" s="3312"/>
      <c r="D136" s="3312"/>
      <c r="E136" s="3312"/>
      <c r="F136" s="3312"/>
      <c r="G136" s="3312"/>
      <c r="H136" s="3312"/>
      <c r="I136" s="3312"/>
      <c r="J136" s="3312"/>
      <c r="K136" s="3312"/>
      <c r="L136" s="3313"/>
      <c r="M136" s="915"/>
      <c r="N136" s="346"/>
      <c r="O136" s="1866"/>
      <c r="P136" s="1927"/>
      <c r="Q136" s="501"/>
      <c r="R136" s="501"/>
      <c r="S136" s="501"/>
      <c r="T136" s="501"/>
      <c r="U136" s="346"/>
      <c r="V136" s="1075"/>
      <c r="W136" s="501"/>
      <c r="X136" s="354">
        <f>SUM(X132:X135)</f>
        <v>19911</v>
      </c>
      <c r="Y136" s="354">
        <f>SUM(Y132:Y135)</f>
        <v>22723613</v>
      </c>
      <c r="Z136" s="356"/>
      <c r="AA136" s="354">
        <f>SUM(AA132:AA135)</f>
        <v>20206800</v>
      </c>
      <c r="AB136" s="354">
        <f>SUM(AB132:AB135)</f>
        <v>42950324</v>
      </c>
      <c r="AC136" s="578"/>
    </row>
    <row r="137" spans="1:30" ht="132">
      <c r="A137" s="326">
        <f>+A135+1</f>
        <v>5</v>
      </c>
      <c r="B137" s="929" t="s">
        <v>4139</v>
      </c>
      <c r="C137" s="45">
        <v>106775785211</v>
      </c>
      <c r="D137" s="793" t="s">
        <v>4137</v>
      </c>
      <c r="E137" s="47" t="s">
        <v>4142</v>
      </c>
      <c r="F137" s="126" t="s">
        <v>206</v>
      </c>
      <c r="G137" s="167">
        <v>10</v>
      </c>
      <c r="H137" s="167"/>
      <c r="I137" s="170"/>
      <c r="J137" s="806" t="s">
        <v>4159</v>
      </c>
      <c r="K137" s="794" t="s">
        <v>123</v>
      </c>
      <c r="L137" s="154"/>
      <c r="M137" s="577" t="s">
        <v>4127</v>
      </c>
      <c r="N137" s="1205" t="s">
        <v>4129</v>
      </c>
      <c r="O137" s="1962" t="s">
        <v>4126</v>
      </c>
      <c r="P137" s="1950"/>
      <c r="Q137" s="1973">
        <v>799200</v>
      </c>
      <c r="R137" s="324">
        <v>4320000</v>
      </c>
      <c r="S137" s="373">
        <v>9000000</v>
      </c>
      <c r="T137" s="248"/>
      <c r="U137" s="247"/>
      <c r="V137" s="944">
        <v>2500000</v>
      </c>
      <c r="W137" s="248"/>
      <c r="X137" s="340">
        <f>R137+S137+T137+Q137+W137</f>
        <v>14119200</v>
      </c>
      <c r="Y137" s="344">
        <f>+U137+V137</f>
        <v>2500000</v>
      </c>
      <c r="Z137" s="249"/>
      <c r="AA137" s="341">
        <f>((G137*4750000)+(H137*5150000))*1.08</f>
        <v>51300000</v>
      </c>
      <c r="AB137" s="342">
        <f>+AA137+Y137+X137</f>
        <v>67919200</v>
      </c>
      <c r="AC137" s="252"/>
    </row>
    <row r="138" spans="1:30" ht="26.4">
      <c r="A138" s="326">
        <f>+A137+1</f>
        <v>6</v>
      </c>
      <c r="B138" s="971" t="s">
        <v>4259</v>
      </c>
      <c r="C138" s="45">
        <v>106817862100</v>
      </c>
      <c r="D138" s="542" t="s">
        <v>4218</v>
      </c>
      <c r="E138" s="47" t="s">
        <v>4230</v>
      </c>
      <c r="F138" s="126" t="s">
        <v>206</v>
      </c>
      <c r="G138" s="167"/>
      <c r="H138" s="167"/>
      <c r="I138" s="170" t="s">
        <v>973</v>
      </c>
      <c r="J138" s="806"/>
      <c r="K138" s="794" t="s">
        <v>123</v>
      </c>
      <c r="L138" s="154" t="s">
        <v>4241</v>
      </c>
      <c r="M138" s="577" t="s">
        <v>4218</v>
      </c>
      <c r="N138" s="1205" t="s">
        <v>4254</v>
      </c>
      <c r="O138" s="1962" t="s">
        <v>4227</v>
      </c>
      <c r="P138" s="1950"/>
      <c r="Q138" s="1970"/>
      <c r="R138" s="248"/>
      <c r="S138" s="248"/>
      <c r="T138" s="248"/>
      <c r="U138" s="944">
        <v>3201120</v>
      </c>
      <c r="V138" s="787">
        <v>1125</v>
      </c>
      <c r="W138" s="248"/>
      <c r="X138" s="340">
        <f t="shared" si="26"/>
        <v>0</v>
      </c>
      <c r="Y138" s="344">
        <f t="shared" si="29"/>
        <v>3202245</v>
      </c>
      <c r="Z138" s="249"/>
      <c r="AA138" s="341">
        <f>1790000*1.08</f>
        <v>1933200.0000000002</v>
      </c>
      <c r="AB138" s="342">
        <f>+AA138+Y138+X138</f>
        <v>5135445</v>
      </c>
      <c r="AC138" s="252"/>
    </row>
    <row r="139" spans="1:30">
      <c r="A139" s="326">
        <v>4</v>
      </c>
      <c r="B139" s="763"/>
      <c r="C139" s="442" t="s">
        <v>4266</v>
      </c>
      <c r="D139" s="542"/>
      <c r="E139" s="47" t="s">
        <v>4269</v>
      </c>
      <c r="F139" s="126"/>
      <c r="G139" s="167"/>
      <c r="H139" s="167"/>
      <c r="I139" s="170"/>
      <c r="J139" s="806"/>
      <c r="K139" s="79"/>
      <c r="L139" s="154"/>
      <c r="M139" s="577"/>
      <c r="N139" s="158"/>
      <c r="O139" s="1957"/>
      <c r="P139" s="1517"/>
      <c r="Q139" s="1970"/>
      <c r="R139" s="248"/>
      <c r="S139" s="248"/>
      <c r="T139" s="248"/>
      <c r="U139" s="247"/>
      <c r="V139" s="788"/>
      <c r="W139" s="248"/>
      <c r="X139" s="340">
        <f>R139+S139+T139+Q139+W139</f>
        <v>0</v>
      </c>
      <c r="Y139" s="344">
        <f>+U139+V139</f>
        <v>0</v>
      </c>
      <c r="Z139" s="249" t="s">
        <v>3896</v>
      </c>
      <c r="AA139" s="341">
        <v>10368000</v>
      </c>
      <c r="AB139" s="342">
        <f>+AA139+Y139+X139</f>
        <v>10368000</v>
      </c>
      <c r="AC139" s="252"/>
    </row>
    <row r="140" spans="1:30">
      <c r="A140" s="3311" t="s">
        <v>4264</v>
      </c>
      <c r="B140" s="3312"/>
      <c r="C140" s="3312"/>
      <c r="D140" s="3312"/>
      <c r="E140" s="3312"/>
      <c r="F140" s="3312"/>
      <c r="G140" s="3312"/>
      <c r="H140" s="3312"/>
      <c r="I140" s="3312"/>
      <c r="J140" s="3312"/>
      <c r="K140" s="3312"/>
      <c r="L140" s="3313"/>
      <c r="M140" s="915"/>
      <c r="N140" s="346"/>
      <c r="O140" s="1866"/>
      <c r="P140" s="1927"/>
      <c r="Q140" s="501"/>
      <c r="R140" s="501"/>
      <c r="S140" s="501"/>
      <c r="T140" s="501"/>
      <c r="U140" s="346"/>
      <c r="V140" s="1075"/>
      <c r="W140" s="501"/>
      <c r="X140" s="354">
        <f>SUM(X137:X138)</f>
        <v>14119200</v>
      </c>
      <c r="Y140" s="354">
        <f>SUM(Y137:Y138)</f>
        <v>5702245</v>
      </c>
      <c r="Z140" s="356"/>
      <c r="AA140" s="354">
        <f>SUM(AA137:AA139)</f>
        <v>63601200</v>
      </c>
      <c r="AB140" s="354">
        <f>SUM(AB137:AB139)</f>
        <v>83422645</v>
      </c>
      <c r="AC140" s="252"/>
      <c r="AD140" s="1473">
        <f>+AB140-AC140</f>
        <v>83422645</v>
      </c>
    </row>
    <row r="141" spans="1:30" ht="158.4">
      <c r="A141" s="326">
        <v>1</v>
      </c>
      <c r="B141" s="1448" t="s">
        <v>4685</v>
      </c>
      <c r="C141" s="45">
        <v>106886159110</v>
      </c>
      <c r="D141" s="793" t="s">
        <v>4478</v>
      </c>
      <c r="E141" s="47" t="s">
        <v>4521</v>
      </c>
      <c r="F141" s="126" t="s">
        <v>206</v>
      </c>
      <c r="G141" s="167">
        <v>12</v>
      </c>
      <c r="H141" s="167"/>
      <c r="I141" s="170"/>
      <c r="J141" s="806" t="s">
        <v>4480</v>
      </c>
      <c r="K141" s="79"/>
      <c r="L141" s="154"/>
      <c r="M141" s="577" t="s">
        <v>4483</v>
      </c>
      <c r="N141" s="1205" t="s">
        <v>4129</v>
      </c>
      <c r="O141" s="1962" t="s">
        <v>4479</v>
      </c>
      <c r="P141" s="1950"/>
      <c r="Q141" s="1970"/>
      <c r="R141" s="324">
        <v>5184000</v>
      </c>
      <c r="S141" s="373">
        <f>900000*12</f>
        <v>10800000</v>
      </c>
      <c r="T141" s="248"/>
      <c r="U141" s="247"/>
      <c r="V141" s="787">
        <v>3000000</v>
      </c>
      <c r="W141" s="248"/>
      <c r="X141" s="340">
        <f t="shared" si="26"/>
        <v>15984000</v>
      </c>
      <c r="Y141" s="344">
        <f t="shared" si="29"/>
        <v>3000000</v>
      </c>
      <c r="Z141" s="249"/>
      <c r="AA141" s="341">
        <f>((G141*4750000)+(H141*5150000))*1.08</f>
        <v>61560000.000000007</v>
      </c>
      <c r="AB141" s="342">
        <f>+AA141+Y141+X141</f>
        <v>80544000</v>
      </c>
      <c r="AC141" s="252"/>
    </row>
    <row r="142" spans="1:30">
      <c r="A142" s="326">
        <f>+A141+1</f>
        <v>2</v>
      </c>
      <c r="B142" s="763" t="s">
        <v>4686</v>
      </c>
      <c r="C142" s="45">
        <v>106889226840</v>
      </c>
      <c r="D142" s="542" t="s">
        <v>4515</v>
      </c>
      <c r="E142" s="47" t="s">
        <v>4510</v>
      </c>
      <c r="F142" s="126" t="s">
        <v>206</v>
      </c>
      <c r="G142" s="167"/>
      <c r="H142" s="167"/>
      <c r="I142" s="170" t="s">
        <v>973</v>
      </c>
      <c r="J142" s="806"/>
      <c r="K142" s="79"/>
      <c r="L142" s="154" t="s">
        <v>4629</v>
      </c>
      <c r="M142" s="577" t="s">
        <v>4494</v>
      </c>
      <c r="N142" s="158" t="s">
        <v>3962</v>
      </c>
      <c r="O142" s="1957" t="s">
        <v>4481</v>
      </c>
      <c r="P142" s="1517"/>
      <c r="Q142" s="1970"/>
      <c r="R142" s="248"/>
      <c r="S142" s="248"/>
      <c r="T142" s="248"/>
      <c r="U142" s="944">
        <v>3697451</v>
      </c>
      <c r="V142" s="324">
        <v>22200</v>
      </c>
      <c r="W142" s="248"/>
      <c r="X142" s="340">
        <f t="shared" si="26"/>
        <v>0</v>
      </c>
      <c r="Y142" s="344">
        <f t="shared" si="29"/>
        <v>3719651</v>
      </c>
      <c r="Z142" s="249"/>
      <c r="AA142" s="341">
        <f>1990000*1.08</f>
        <v>2149200</v>
      </c>
      <c r="AB142" s="342">
        <f>+AA142+Y142+X142</f>
        <v>5868851</v>
      </c>
      <c r="AC142" s="252"/>
    </row>
    <row r="143" spans="1:30">
      <c r="A143" s="326">
        <f>+A142+1</f>
        <v>3</v>
      </c>
      <c r="B143" s="763"/>
      <c r="C143" s="442" t="s">
        <v>4630</v>
      </c>
      <c r="D143" s="542"/>
      <c r="E143" s="47" t="s">
        <v>4628</v>
      </c>
      <c r="F143" s="126"/>
      <c r="G143" s="167"/>
      <c r="H143" s="167"/>
      <c r="I143" s="170"/>
      <c r="J143" s="806"/>
      <c r="K143" s="79"/>
      <c r="L143" s="154"/>
      <c r="M143" s="577"/>
      <c r="N143" s="158"/>
      <c r="O143" s="1957"/>
      <c r="P143" s="1517"/>
      <c r="Q143" s="1970"/>
      <c r="R143" s="248"/>
      <c r="S143" s="248"/>
      <c r="T143" s="248"/>
      <c r="U143" s="247"/>
      <c r="V143" s="788"/>
      <c r="W143" s="248"/>
      <c r="X143" s="340">
        <f t="shared" si="26"/>
        <v>0</v>
      </c>
      <c r="Y143" s="344">
        <f t="shared" si="29"/>
        <v>0</v>
      </c>
      <c r="Z143" s="249" t="s">
        <v>3131</v>
      </c>
      <c r="AA143" s="341">
        <v>7776000</v>
      </c>
      <c r="AB143" s="342">
        <f>+AA143+Y143+X143</f>
        <v>7776000</v>
      </c>
      <c r="AC143" s="252"/>
    </row>
    <row r="144" spans="1:30">
      <c r="A144" s="3311" t="s">
        <v>4667</v>
      </c>
      <c r="B144" s="3312"/>
      <c r="C144" s="3312"/>
      <c r="D144" s="3312"/>
      <c r="E144" s="3312"/>
      <c r="F144" s="3312"/>
      <c r="G144" s="3312"/>
      <c r="H144" s="3312"/>
      <c r="I144" s="3312"/>
      <c r="J144" s="3312"/>
      <c r="K144" s="3312"/>
      <c r="L144" s="3313"/>
      <c r="M144" s="915"/>
      <c r="N144" s="346"/>
      <c r="O144" s="1866"/>
      <c r="P144" s="1927"/>
      <c r="Q144" s="501"/>
      <c r="R144" s="501"/>
      <c r="S144" s="501"/>
      <c r="T144" s="501"/>
      <c r="U144" s="346"/>
      <c r="V144" s="1075">
        <f>SUM(V141:V141)</f>
        <v>3000000</v>
      </c>
      <c r="W144" s="501"/>
      <c r="X144" s="354">
        <f>SUM(X141:X143)</f>
        <v>15984000</v>
      </c>
      <c r="Y144" s="354">
        <f>SUM(Y141:Y143)</f>
        <v>6719651</v>
      </c>
      <c r="Z144" s="356"/>
      <c r="AA144" s="354">
        <f>SUM(AA141:AA143)</f>
        <v>71485200</v>
      </c>
      <c r="AB144" s="354">
        <f>SUM(AB141:AB143)</f>
        <v>94188851</v>
      </c>
      <c r="AC144" s="252" t="s">
        <v>4694</v>
      </c>
      <c r="AD144" s="1473">
        <v>83373651</v>
      </c>
    </row>
    <row r="145" spans="1:30" ht="26.4">
      <c r="A145" s="326">
        <v>1</v>
      </c>
      <c r="B145" s="763"/>
      <c r="C145" s="45" t="s">
        <v>4696</v>
      </c>
      <c r="D145" s="793" t="s">
        <v>4500</v>
      </c>
      <c r="E145" s="47" t="s">
        <v>4712</v>
      </c>
      <c r="F145" s="1443" t="s">
        <v>4680</v>
      </c>
      <c r="G145" s="167"/>
      <c r="H145" s="167"/>
      <c r="I145" s="170"/>
      <c r="J145" s="806"/>
      <c r="K145" s="79"/>
      <c r="L145" s="154"/>
      <c r="M145" s="577"/>
      <c r="N145" s="158"/>
      <c r="O145" s="1957" t="s">
        <v>4679</v>
      </c>
      <c r="P145" s="1517"/>
      <c r="Q145" s="1970"/>
      <c r="R145" s="248"/>
      <c r="S145" s="248"/>
      <c r="T145" s="248"/>
      <c r="U145" s="247"/>
      <c r="V145" s="788"/>
      <c r="W145" s="248"/>
      <c r="X145" s="340">
        <f t="shared" si="26"/>
        <v>0</v>
      </c>
      <c r="Y145" s="344">
        <f t="shared" si="29"/>
        <v>0</v>
      </c>
      <c r="Z145" s="391" t="s">
        <v>4950</v>
      </c>
      <c r="AA145" s="341">
        <f>1800000*1.08</f>
        <v>1944000.0000000002</v>
      </c>
      <c r="AB145" s="342">
        <f>+AA145+Y145+X145</f>
        <v>1944000.0000000002</v>
      </c>
      <c r="AC145" s="252"/>
    </row>
    <row r="146" spans="1:30" ht="52.8">
      <c r="A146" s="326">
        <f>+A145+1</f>
        <v>2</v>
      </c>
      <c r="B146" s="763"/>
      <c r="C146" s="1614" t="s">
        <v>4767</v>
      </c>
      <c r="D146" s="793" t="s">
        <v>4748</v>
      </c>
      <c r="E146" s="47" t="s">
        <v>4778</v>
      </c>
      <c r="F146" s="126" t="s">
        <v>206</v>
      </c>
      <c r="G146" s="167"/>
      <c r="H146" s="167">
        <v>4</v>
      </c>
      <c r="I146" s="170"/>
      <c r="J146" s="806" t="s">
        <v>4713</v>
      </c>
      <c r="K146" s="86" t="s">
        <v>210</v>
      </c>
      <c r="L146" s="154"/>
      <c r="M146" s="577" t="s">
        <v>4711</v>
      </c>
      <c r="N146" s="158" t="s">
        <v>4743</v>
      </c>
      <c r="O146" s="1962" t="s">
        <v>4710</v>
      </c>
      <c r="P146" s="1950"/>
      <c r="Q146" s="1973">
        <f>2181600+1080000</f>
        <v>3261600</v>
      </c>
      <c r="R146" s="324">
        <v>3067200</v>
      </c>
      <c r="S146" s="1559">
        <f>1500000+1500000+1500000+1500000</f>
        <v>6000000</v>
      </c>
      <c r="T146" s="248"/>
      <c r="U146" s="247"/>
      <c r="V146" s="787">
        <v>2000000</v>
      </c>
      <c r="W146" s="324">
        <f>2293200+458640</f>
        <v>2751840</v>
      </c>
      <c r="X146" s="340">
        <f t="shared" ref="X146:X183" si="30">R146+S146+T146+Q146+W146</f>
        <v>15080640</v>
      </c>
      <c r="Y146" s="344">
        <f>+U146+V146</f>
        <v>2000000</v>
      </c>
      <c r="Z146" s="1511" t="s">
        <v>4769</v>
      </c>
      <c r="AA146" s="341">
        <f>((G146*5350000)+(H146*5650000))*1.08+((12000000*1.03)*1.08)</f>
        <v>37756800</v>
      </c>
      <c r="AB146" s="342">
        <f>+AA146+Y146+X146</f>
        <v>54837440</v>
      </c>
      <c r="AC146" s="252"/>
    </row>
    <row r="147" spans="1:30">
      <c r="A147" s="326">
        <v>3</v>
      </c>
      <c r="B147" s="1491"/>
      <c r="C147" s="1615" t="s">
        <v>4730</v>
      </c>
      <c r="D147" s="1491"/>
      <c r="E147" s="47" t="s">
        <v>4859</v>
      </c>
      <c r="F147" s="126"/>
      <c r="G147" s="167"/>
      <c r="H147" s="167"/>
      <c r="I147" s="170"/>
      <c r="J147" s="806"/>
      <c r="K147" s="79"/>
      <c r="L147" s="154" t="s">
        <v>4860</v>
      </c>
      <c r="M147" s="577"/>
      <c r="N147" s="158"/>
      <c r="O147" s="1957"/>
      <c r="P147" s="1517"/>
      <c r="Q147" s="1970"/>
      <c r="R147" s="248"/>
      <c r="S147" s="248"/>
      <c r="T147" s="248"/>
      <c r="U147" s="247"/>
      <c r="V147" s="788"/>
      <c r="W147" s="248"/>
      <c r="X147" s="340">
        <v>80000</v>
      </c>
      <c r="Y147" s="344">
        <f t="shared" ref="Y147:Y183" si="31">+U147+V147</f>
        <v>0</v>
      </c>
      <c r="Z147" s="249"/>
      <c r="AA147" s="341"/>
      <c r="AB147" s="342">
        <f t="shared" ref="AB147:AB153" si="32">+AA147+Y147+X147</f>
        <v>80000</v>
      </c>
      <c r="AC147" s="252"/>
    </row>
    <row r="148" spans="1:30">
      <c r="A148" s="326">
        <v>4</v>
      </c>
      <c r="B148" s="1489"/>
      <c r="C148" s="442" t="s">
        <v>4863</v>
      </c>
      <c r="D148" s="1490"/>
      <c r="E148" s="660" t="s">
        <v>4872</v>
      </c>
      <c r="F148" s="126"/>
      <c r="G148" s="167"/>
      <c r="H148" s="167"/>
      <c r="I148" s="170"/>
      <c r="J148" s="806"/>
      <c r="K148" s="79"/>
      <c r="L148" s="154" t="s">
        <v>4864</v>
      </c>
      <c r="M148" s="577"/>
      <c r="N148" s="158"/>
      <c r="O148" s="1957"/>
      <c r="P148" s="1517"/>
      <c r="Q148" s="1970"/>
      <c r="R148" s="248"/>
      <c r="S148" s="248"/>
      <c r="T148" s="248"/>
      <c r="U148" s="247"/>
      <c r="V148" s="788"/>
      <c r="W148" s="248"/>
      <c r="X148" s="340">
        <f t="shared" si="30"/>
        <v>0</v>
      </c>
      <c r="Y148" s="344">
        <f t="shared" si="31"/>
        <v>0</v>
      </c>
      <c r="Z148" s="249"/>
      <c r="AA148" s="341">
        <v>9720000</v>
      </c>
      <c r="AB148" s="342">
        <f t="shared" si="32"/>
        <v>9720000</v>
      </c>
      <c r="AC148" s="252"/>
    </row>
    <row r="149" spans="1:30">
      <c r="A149" s="3311" t="s">
        <v>4865</v>
      </c>
      <c r="B149" s="3312"/>
      <c r="C149" s="3312"/>
      <c r="D149" s="3312"/>
      <c r="E149" s="3312"/>
      <c r="F149" s="3312"/>
      <c r="G149" s="3312"/>
      <c r="H149" s="3312"/>
      <c r="I149" s="3312"/>
      <c r="J149" s="3312"/>
      <c r="K149" s="3312"/>
      <c r="L149" s="3313"/>
      <c r="M149" s="915"/>
      <c r="N149" s="346"/>
      <c r="O149" s="1866"/>
      <c r="P149" s="1927"/>
      <c r="Q149" s="501"/>
      <c r="R149" s="501"/>
      <c r="S149" s="1674"/>
      <c r="T149" s="501"/>
      <c r="U149" s="501"/>
      <c r="V149" s="1075"/>
      <c r="W149" s="501"/>
      <c r="X149" s="354">
        <f>SUM(X145:X148)</f>
        <v>15160640</v>
      </c>
      <c r="Y149" s="354">
        <f>SUM(Y145:Y148)</f>
        <v>2000000</v>
      </c>
      <c r="Z149" s="356"/>
      <c r="AA149" s="354">
        <f>SUM(AA145:AA148)</f>
        <v>49420800</v>
      </c>
      <c r="AB149" s="354">
        <f>SUM(AB145:AB148)</f>
        <v>66581440</v>
      </c>
      <c r="AC149" s="252"/>
      <c r="AD149" s="1473"/>
    </row>
    <row r="150" spans="1:30" ht="132">
      <c r="A150" s="326">
        <v>1</v>
      </c>
      <c r="B150" s="1848" t="s">
        <v>4926</v>
      </c>
      <c r="C150" s="45">
        <v>106963656000</v>
      </c>
      <c r="D150" s="793" t="s">
        <v>4888</v>
      </c>
      <c r="E150" s="47" t="s">
        <v>4965</v>
      </c>
      <c r="F150" s="126" t="s">
        <v>206</v>
      </c>
      <c r="G150" s="167">
        <v>10</v>
      </c>
      <c r="H150" s="167"/>
      <c r="I150" s="170"/>
      <c r="J150" s="806" t="s">
        <v>4964</v>
      </c>
      <c r="K150" s="86" t="s">
        <v>123</v>
      </c>
      <c r="L150" s="1676"/>
      <c r="M150" s="577" t="s">
        <v>4841</v>
      </c>
      <c r="N150" s="1205" t="s">
        <v>4129</v>
      </c>
      <c r="O150" s="1962" t="s">
        <v>4875</v>
      </c>
      <c r="P150" s="1950"/>
      <c r="Q150" s="1970"/>
      <c r="R150" s="324">
        <v>6318000</v>
      </c>
      <c r="S150" s="1559">
        <f>1944000+972000+972000+1944000+1944000+972000+972000</f>
        <v>9720000</v>
      </c>
      <c r="T150" s="248"/>
      <c r="U150" s="247"/>
      <c r="V150" s="787">
        <v>2500000</v>
      </c>
      <c r="W150" s="324">
        <v>320000</v>
      </c>
      <c r="X150" s="340">
        <f>R150+S150+T150+Q150+W150</f>
        <v>16358000</v>
      </c>
      <c r="Y150" s="344">
        <f t="shared" si="31"/>
        <v>2500000</v>
      </c>
      <c r="Z150" s="249"/>
      <c r="AA150" s="341">
        <f>((G150*5130000)+(H150*5530000))*1.08</f>
        <v>55404000</v>
      </c>
      <c r="AB150" s="342">
        <f t="shared" si="32"/>
        <v>74262000</v>
      </c>
      <c r="AC150" s="252"/>
    </row>
    <row r="151" spans="1:30" ht="26.4">
      <c r="A151" s="326">
        <v>2</v>
      </c>
      <c r="B151" s="1849" t="s">
        <v>4991</v>
      </c>
      <c r="C151" s="45">
        <v>106987156620</v>
      </c>
      <c r="D151" s="793" t="s">
        <v>4936</v>
      </c>
      <c r="E151" s="47" t="s">
        <v>4963</v>
      </c>
      <c r="F151" s="126" t="s">
        <v>206</v>
      </c>
      <c r="G151" s="167"/>
      <c r="H151" s="167"/>
      <c r="I151" s="170" t="s">
        <v>973</v>
      </c>
      <c r="J151" s="806"/>
      <c r="K151" s="86" t="s">
        <v>210</v>
      </c>
      <c r="L151" s="154" t="s">
        <v>4902</v>
      </c>
      <c r="M151" s="1638" t="s">
        <v>5023</v>
      </c>
      <c r="N151" s="158" t="s">
        <v>2903</v>
      </c>
      <c r="O151" s="1962" t="s">
        <v>4903</v>
      </c>
      <c r="P151" s="1950"/>
      <c r="Q151" s="1970"/>
      <c r="R151" s="248"/>
      <c r="S151" s="248"/>
      <c r="T151" s="248"/>
      <c r="U151" s="787">
        <v>3222180</v>
      </c>
      <c r="V151" s="787">
        <v>15750</v>
      </c>
      <c r="W151" s="248"/>
      <c r="X151" s="340">
        <f t="shared" si="30"/>
        <v>0</v>
      </c>
      <c r="Y151" s="344">
        <f t="shared" si="31"/>
        <v>3237930</v>
      </c>
      <c r="Z151" s="249" t="s">
        <v>5002</v>
      </c>
      <c r="AA151" s="341">
        <f>2140000*1.08</f>
        <v>2311200</v>
      </c>
      <c r="AB151" s="342">
        <f t="shared" si="32"/>
        <v>5549130</v>
      </c>
      <c r="AC151" s="252"/>
    </row>
    <row r="152" spans="1:30" ht="26.4">
      <c r="A152" s="326">
        <f>+A151+1</f>
        <v>3</v>
      </c>
      <c r="B152" s="1849" t="s">
        <v>4952</v>
      </c>
      <c r="C152" s="45">
        <v>106998429310</v>
      </c>
      <c r="D152" s="793" t="s">
        <v>5011</v>
      </c>
      <c r="E152" s="47" t="s">
        <v>5012</v>
      </c>
      <c r="F152" s="126" t="s">
        <v>206</v>
      </c>
      <c r="G152" s="167"/>
      <c r="H152" s="167"/>
      <c r="I152" s="170" t="s">
        <v>973</v>
      </c>
      <c r="J152" s="806"/>
      <c r="K152" s="86" t="s">
        <v>123</v>
      </c>
      <c r="L152" s="154" t="s">
        <v>4982</v>
      </c>
      <c r="M152" s="928" t="s">
        <v>5013</v>
      </c>
      <c r="N152" s="158" t="s">
        <v>4983</v>
      </c>
      <c r="O152" s="1962" t="s">
        <v>4981</v>
      </c>
      <c r="P152" s="1950"/>
      <c r="Q152" s="1970"/>
      <c r="R152" s="248"/>
      <c r="S152" s="248"/>
      <c r="T152" s="248"/>
      <c r="U152" s="787">
        <v>3222180</v>
      </c>
      <c r="V152" s="787">
        <v>6300</v>
      </c>
      <c r="W152" s="248"/>
      <c r="X152" s="340">
        <f t="shared" si="30"/>
        <v>0</v>
      </c>
      <c r="Y152" s="344">
        <f t="shared" si="31"/>
        <v>3228480</v>
      </c>
      <c r="Z152" s="249"/>
      <c r="AA152" s="341">
        <f>1940000*1.08</f>
        <v>2095200.0000000002</v>
      </c>
      <c r="AB152" s="342">
        <f t="shared" si="32"/>
        <v>5323680</v>
      </c>
      <c r="AC152" s="252"/>
    </row>
    <row r="153" spans="1:30" ht="26.4">
      <c r="A153" s="326">
        <f>+A152+1</f>
        <v>4</v>
      </c>
      <c r="B153" s="1847" t="s">
        <v>5118</v>
      </c>
      <c r="C153" s="45">
        <v>107023431320</v>
      </c>
      <c r="D153" s="793" t="s">
        <v>5094</v>
      </c>
      <c r="E153" s="47" t="s">
        <v>5095</v>
      </c>
      <c r="F153" s="126" t="s">
        <v>206</v>
      </c>
      <c r="G153" s="167"/>
      <c r="H153" s="167"/>
      <c r="I153" s="170" t="s">
        <v>973</v>
      </c>
      <c r="J153" s="806"/>
      <c r="K153" s="86" t="s">
        <v>210</v>
      </c>
      <c r="L153" s="154" t="s">
        <v>5057</v>
      </c>
      <c r="M153" s="577" t="s">
        <v>5094</v>
      </c>
      <c r="N153" s="158" t="s">
        <v>2903</v>
      </c>
      <c r="O153" s="1962" t="s">
        <v>5056</v>
      </c>
      <c r="P153" s="1950"/>
      <c r="Q153" s="1970"/>
      <c r="R153" s="248"/>
      <c r="S153" s="248"/>
      <c r="T153" s="248"/>
      <c r="U153" s="787">
        <v>4994136</v>
      </c>
      <c r="V153" s="1846">
        <v>36000</v>
      </c>
      <c r="W153" s="248"/>
      <c r="X153" s="340">
        <f t="shared" si="30"/>
        <v>0</v>
      </c>
      <c r="Y153" s="344">
        <f t="shared" si="31"/>
        <v>5030136</v>
      </c>
      <c r="Z153" s="249"/>
      <c r="AA153" s="341">
        <f>2940000*1.08</f>
        <v>3175200</v>
      </c>
      <c r="AB153" s="342">
        <f t="shared" si="32"/>
        <v>8205336</v>
      </c>
      <c r="AC153" s="252"/>
    </row>
    <row r="154" spans="1:30">
      <c r="A154" s="326">
        <v>5</v>
      </c>
      <c r="B154" s="1489"/>
      <c r="C154" s="442" t="s">
        <v>5137</v>
      </c>
      <c r="D154" s="1490"/>
      <c r="E154" s="660" t="s">
        <v>5150</v>
      </c>
      <c r="F154" s="126"/>
      <c r="G154" s="167"/>
      <c r="H154" s="167"/>
      <c r="I154" s="170"/>
      <c r="J154" s="806"/>
      <c r="K154" s="79"/>
      <c r="L154" s="154" t="s">
        <v>5138</v>
      </c>
      <c r="M154" s="577"/>
      <c r="N154" s="158"/>
      <c r="O154" s="1957"/>
      <c r="P154" s="1517"/>
      <c r="Q154" s="1970"/>
      <c r="R154" s="248"/>
      <c r="S154" s="248"/>
      <c r="T154" s="248"/>
      <c r="U154" s="247"/>
      <c r="V154" s="788"/>
      <c r="W154" s="248"/>
      <c r="X154" s="340">
        <f>R154+S154+T154+Q154+W154</f>
        <v>0</v>
      </c>
      <c r="Y154" s="344">
        <f>+U154+V154</f>
        <v>0</v>
      </c>
      <c r="Z154" s="249"/>
      <c r="AA154" s="341">
        <v>9072000</v>
      </c>
      <c r="AB154" s="342">
        <f>+AA154+Y154+X154</f>
        <v>9072000</v>
      </c>
      <c r="AC154" s="252"/>
    </row>
    <row r="155" spans="1:30">
      <c r="A155" s="3310" t="s">
        <v>5135</v>
      </c>
      <c r="B155" s="3310"/>
      <c r="C155" s="3310"/>
      <c r="D155" s="3310"/>
      <c r="E155" s="3310"/>
      <c r="F155" s="3310"/>
      <c r="G155" s="3310"/>
      <c r="H155" s="3310"/>
      <c r="I155" s="3310"/>
      <c r="J155" s="3310"/>
      <c r="K155" s="3310"/>
      <c r="L155" s="3310"/>
      <c r="M155" s="1926"/>
      <c r="N155" s="1607"/>
      <c r="O155" s="1960"/>
      <c r="P155" s="1927"/>
      <c r="Q155" s="1980"/>
      <c r="R155" s="1928"/>
      <c r="S155" s="1928"/>
      <c r="T155" s="1928"/>
      <c r="U155" s="1928"/>
      <c r="V155" s="1929"/>
      <c r="W155" s="1928"/>
      <c r="X155" s="1920">
        <f>SUM(X150:X153)</f>
        <v>16358000</v>
      </c>
      <c r="Y155" s="1920">
        <f>SUM(Y150:Y153)</f>
        <v>13996546</v>
      </c>
      <c r="Z155" s="1921"/>
      <c r="AA155" s="1920">
        <f>SUM(AA150:AA154)</f>
        <v>72057600</v>
      </c>
      <c r="AB155" s="1920">
        <f>SUM(AB150:AB154)</f>
        <v>102412146</v>
      </c>
      <c r="AC155" s="1510"/>
      <c r="AD155" s="1473"/>
    </row>
    <row r="156" spans="1:30">
      <c r="A156" s="1639">
        <v>1</v>
      </c>
      <c r="B156" s="1639"/>
      <c r="C156" s="179">
        <v>30722763930</v>
      </c>
      <c r="D156" s="1933" t="s">
        <v>5257</v>
      </c>
      <c r="E156" s="660" t="s">
        <v>5439</v>
      </c>
      <c r="F156" s="3320" t="s">
        <v>5258</v>
      </c>
      <c r="G156" s="3321"/>
      <c r="H156" s="3321"/>
      <c r="I156" s="3322"/>
      <c r="J156" s="1639"/>
      <c r="K156" s="1639"/>
      <c r="L156" s="1639"/>
      <c r="M156" s="1639"/>
      <c r="N156" s="1640"/>
      <c r="O156" s="1966"/>
      <c r="P156" s="1930"/>
      <c r="Q156" s="1981"/>
      <c r="R156" s="1931"/>
      <c r="S156" s="1931"/>
      <c r="T156" s="1931"/>
      <c r="U156" s="1931"/>
      <c r="V156" s="1932"/>
      <c r="W156" s="1931"/>
      <c r="X156" s="662">
        <v>20000</v>
      </c>
      <c r="Y156" s="663">
        <f t="shared" si="31"/>
        <v>0</v>
      </c>
      <c r="Z156" s="1922"/>
      <c r="AA156" s="341"/>
      <c r="AB156" s="342">
        <f>+AA156+Y156+X156</f>
        <v>20000</v>
      </c>
      <c r="AC156" s="1923"/>
      <c r="AD156" s="1924"/>
    </row>
    <row r="157" spans="1:30" ht="26.4">
      <c r="A157" s="658">
        <v>2</v>
      </c>
      <c r="B157" s="1937" t="s">
        <v>5274</v>
      </c>
      <c r="C157" s="1242">
        <v>107065041860</v>
      </c>
      <c r="D157" s="1934" t="s">
        <v>5221</v>
      </c>
      <c r="E157" s="660" t="s">
        <v>5194</v>
      </c>
      <c r="F157" s="661" t="s">
        <v>206</v>
      </c>
      <c r="G157" s="445"/>
      <c r="H157" s="445"/>
      <c r="I157" s="740" t="s">
        <v>973</v>
      </c>
      <c r="J157" s="740"/>
      <c r="K157" s="922" t="s">
        <v>123</v>
      </c>
      <c r="L157" s="928" t="s">
        <v>5119</v>
      </c>
      <c r="M157" s="928" t="s">
        <v>5181</v>
      </c>
      <c r="N157" s="780" t="s">
        <v>2946</v>
      </c>
      <c r="O157" s="1967" t="s">
        <v>5117</v>
      </c>
      <c r="P157" s="1996"/>
      <c r="Q157" s="1973">
        <v>106037</v>
      </c>
      <c r="R157" s="425"/>
      <c r="S157" s="425"/>
      <c r="T157" s="425"/>
      <c r="U157" s="1925">
        <v>3382948</v>
      </c>
      <c r="V157" s="2002">
        <v>15000</v>
      </c>
      <c r="W157" s="425"/>
      <c r="X157" s="662">
        <f t="shared" si="30"/>
        <v>106037</v>
      </c>
      <c r="Y157" s="663">
        <f t="shared" si="31"/>
        <v>3397948</v>
      </c>
      <c r="Z157" s="398"/>
      <c r="AA157" s="341">
        <f>1940000*1.08</f>
        <v>2095200.0000000002</v>
      </c>
      <c r="AB157" s="342">
        <f t="shared" ref="AB157:AB169" si="33">+AA157+Y157+X157</f>
        <v>5599185</v>
      </c>
      <c r="AC157" s="782"/>
    </row>
    <row r="158" spans="1:30" ht="158.4">
      <c r="A158" s="326">
        <f>+A157+1</f>
        <v>3</v>
      </c>
      <c r="B158" s="929" t="s">
        <v>5262</v>
      </c>
      <c r="C158" s="166">
        <v>107064562730</v>
      </c>
      <c r="D158" s="793" t="s">
        <v>5212</v>
      </c>
      <c r="E158" s="47" t="s">
        <v>5266</v>
      </c>
      <c r="F158" s="126" t="s">
        <v>206</v>
      </c>
      <c r="G158" s="167">
        <v>12</v>
      </c>
      <c r="H158" s="167"/>
      <c r="I158" s="170"/>
      <c r="J158" s="806" t="s">
        <v>5261</v>
      </c>
      <c r="K158" s="922" t="s">
        <v>123</v>
      </c>
      <c r="L158" s="154"/>
      <c r="M158" s="928" t="s">
        <v>5260</v>
      </c>
      <c r="N158" s="1205" t="s">
        <v>4129</v>
      </c>
      <c r="O158" s="1962" t="s">
        <v>5213</v>
      </c>
      <c r="P158" s="1996"/>
      <c r="Q158" s="1970"/>
      <c r="R158" s="324">
        <v>5964000</v>
      </c>
      <c r="S158" s="1559">
        <f>1000000*12</f>
        <v>12000000</v>
      </c>
      <c r="T158" s="248"/>
      <c r="U158" s="247"/>
      <c r="V158" s="787">
        <v>3000000</v>
      </c>
      <c r="W158" s="248"/>
      <c r="X158" s="340">
        <f t="shared" si="30"/>
        <v>17964000</v>
      </c>
      <c r="Y158" s="344">
        <f t="shared" si="31"/>
        <v>3000000</v>
      </c>
      <c r="Z158" s="249"/>
      <c r="AA158" s="341">
        <f>((G158*5130000)+(H158*5530000))*1.08</f>
        <v>66484800.000000007</v>
      </c>
      <c r="AB158" s="342">
        <f t="shared" si="33"/>
        <v>87448800</v>
      </c>
      <c r="AC158" s="252"/>
    </row>
    <row r="159" spans="1:30" ht="26.4">
      <c r="A159" s="326">
        <f>+A158+1</f>
        <v>4</v>
      </c>
      <c r="B159" s="971" t="s">
        <v>5273</v>
      </c>
      <c r="C159" s="166">
        <v>107071737030</v>
      </c>
      <c r="D159" s="793" t="s">
        <v>5265</v>
      </c>
      <c r="E159" s="47" t="s">
        <v>5252</v>
      </c>
      <c r="F159" s="126" t="s">
        <v>206</v>
      </c>
      <c r="G159" s="167"/>
      <c r="H159" s="167"/>
      <c r="I159" s="170" t="s">
        <v>973</v>
      </c>
      <c r="J159" s="806"/>
      <c r="K159" s="922" t="s">
        <v>123</v>
      </c>
      <c r="L159" s="154" t="s">
        <v>5254</v>
      </c>
      <c r="M159" s="577" t="s">
        <v>5221</v>
      </c>
      <c r="N159" s="158" t="s">
        <v>2946</v>
      </c>
      <c r="O159" s="1962" t="s">
        <v>5253</v>
      </c>
      <c r="P159" s="1996"/>
      <c r="Q159" s="1970"/>
      <c r="R159" s="248"/>
      <c r="S159" s="248"/>
      <c r="T159" s="248"/>
      <c r="U159" s="787">
        <v>13735562</v>
      </c>
      <c r="V159" s="787">
        <v>76500</v>
      </c>
      <c r="W159" s="248"/>
      <c r="X159" s="340">
        <f>R159+S159+T159+Q159+W159</f>
        <v>0</v>
      </c>
      <c r="Y159" s="344">
        <f t="shared" si="31"/>
        <v>13812062</v>
      </c>
      <c r="Z159" s="249"/>
      <c r="AA159" s="341">
        <f>+(3090000+1940000)*1.08</f>
        <v>5432400</v>
      </c>
      <c r="AB159" s="342">
        <f t="shared" si="33"/>
        <v>19244462</v>
      </c>
      <c r="AC159" s="252"/>
    </row>
    <row r="160" spans="1:30" ht="26.4">
      <c r="A160" s="326">
        <f>+A159+1</f>
        <v>5</v>
      </c>
      <c r="B160" s="971" t="s">
        <v>5310</v>
      </c>
      <c r="C160" s="166">
        <v>107081408450</v>
      </c>
      <c r="D160" s="793">
        <v>45755</v>
      </c>
      <c r="E160" s="47" t="s">
        <v>5308</v>
      </c>
      <c r="F160" s="126" t="s">
        <v>206</v>
      </c>
      <c r="G160" s="167"/>
      <c r="H160" s="167"/>
      <c r="I160" s="170" t="s">
        <v>973</v>
      </c>
      <c r="J160" s="806"/>
      <c r="K160" s="922" t="s">
        <v>123</v>
      </c>
      <c r="L160" s="154" t="s">
        <v>5256</v>
      </c>
      <c r="M160" s="577" t="s">
        <v>5287</v>
      </c>
      <c r="N160" s="158" t="s">
        <v>2946</v>
      </c>
      <c r="O160" s="1962" t="s">
        <v>5255</v>
      </c>
      <c r="P160" s="1996"/>
      <c r="Q160" s="1970"/>
      <c r="R160" s="248"/>
      <c r="S160" s="248"/>
      <c r="T160" s="248"/>
      <c r="U160" s="787">
        <v>13117386</v>
      </c>
      <c r="V160" s="787">
        <v>63000</v>
      </c>
      <c r="W160" s="248"/>
      <c r="X160" s="340">
        <f t="shared" si="30"/>
        <v>0</v>
      </c>
      <c r="Y160" s="344">
        <f t="shared" si="31"/>
        <v>13180386</v>
      </c>
      <c r="Z160" s="249"/>
      <c r="AA160" s="341">
        <f>3090000*1.08</f>
        <v>3337200</v>
      </c>
      <c r="AB160" s="342">
        <f t="shared" si="33"/>
        <v>16517586</v>
      </c>
      <c r="AC160" s="252"/>
    </row>
    <row r="161" spans="1:30" ht="46.8">
      <c r="A161" s="326">
        <f t="shared" ref="A161:A226" si="34">+A160+1</f>
        <v>6</v>
      </c>
      <c r="B161" s="971" t="s">
        <v>5351</v>
      </c>
      <c r="C161" s="166">
        <v>107091223961</v>
      </c>
      <c r="D161" s="793" t="s">
        <v>5310</v>
      </c>
      <c r="E161" s="1942" t="s">
        <v>5309</v>
      </c>
      <c r="F161" s="126" t="s">
        <v>206</v>
      </c>
      <c r="G161" s="167"/>
      <c r="H161" s="167"/>
      <c r="I161" s="170" t="s">
        <v>973</v>
      </c>
      <c r="J161" s="806"/>
      <c r="K161" s="699" t="s">
        <v>136</v>
      </c>
      <c r="L161" s="154" t="s">
        <v>5286</v>
      </c>
      <c r="M161" s="577" t="s">
        <v>5272</v>
      </c>
      <c r="N161" s="158" t="s">
        <v>2101</v>
      </c>
      <c r="O161" s="1962" t="s">
        <v>5285</v>
      </c>
      <c r="P161" s="1996"/>
      <c r="Q161" s="1973">
        <v>187331</v>
      </c>
      <c r="S161" s="248"/>
      <c r="T161" s="248"/>
      <c r="U161" s="787">
        <v>17160274</v>
      </c>
      <c r="V161" s="787">
        <v>14970</v>
      </c>
      <c r="W161" s="248"/>
      <c r="X161" s="340">
        <f t="shared" si="30"/>
        <v>187331</v>
      </c>
      <c r="Y161" s="344">
        <f t="shared" si="31"/>
        <v>17175244</v>
      </c>
      <c r="Z161" s="208" t="s">
        <v>5366</v>
      </c>
      <c r="AA161" s="341">
        <f>+((3090000+2940000+500000)*1.08)+(1200000*1.03*1.08)</f>
        <v>8387280</v>
      </c>
      <c r="AB161" s="342">
        <f t="shared" si="33"/>
        <v>25749855</v>
      </c>
      <c r="AC161" s="252"/>
    </row>
    <row r="162" spans="1:30" ht="26.4">
      <c r="A162" s="326">
        <f t="shared" si="34"/>
        <v>7</v>
      </c>
      <c r="B162" s="763" t="s">
        <v>5431</v>
      </c>
      <c r="C162" s="166">
        <v>107113162330</v>
      </c>
      <c r="D162" s="793" t="s">
        <v>5335</v>
      </c>
      <c r="E162" s="1942" t="s">
        <v>5365</v>
      </c>
      <c r="F162" s="126" t="s">
        <v>206</v>
      </c>
      <c r="G162" s="167"/>
      <c r="H162" s="167"/>
      <c r="I162" s="170" t="s">
        <v>973</v>
      </c>
      <c r="J162" s="806"/>
      <c r="K162" s="922" t="s">
        <v>123</v>
      </c>
      <c r="L162" s="154" t="s">
        <v>5359</v>
      </c>
      <c r="M162" s="577" t="s">
        <v>5332</v>
      </c>
      <c r="N162" s="158" t="s">
        <v>4254</v>
      </c>
      <c r="O162" s="1962" t="s">
        <v>5358</v>
      </c>
      <c r="P162" s="1950"/>
      <c r="Q162" s="2003">
        <v>23563</v>
      </c>
      <c r="R162" s="248"/>
      <c r="S162" s="248"/>
      <c r="T162" s="248"/>
      <c r="U162" s="787">
        <v>3107290</v>
      </c>
      <c r="V162" s="787">
        <v>1500</v>
      </c>
      <c r="W162" s="248"/>
      <c r="X162" s="340">
        <f t="shared" si="30"/>
        <v>23563</v>
      </c>
      <c r="Y162" s="344">
        <f t="shared" si="31"/>
        <v>3108790</v>
      </c>
      <c r="Z162" s="249"/>
      <c r="AA162" s="341">
        <f>1940000*1.08</f>
        <v>2095200.0000000002</v>
      </c>
      <c r="AB162" s="342">
        <f t="shared" si="33"/>
        <v>5227553</v>
      </c>
      <c r="AC162" s="252"/>
    </row>
    <row r="163" spans="1:30">
      <c r="A163" s="326">
        <f t="shared" si="34"/>
        <v>8</v>
      </c>
      <c r="B163" s="763"/>
      <c r="C163" s="442" t="s">
        <v>5421</v>
      </c>
      <c r="D163" s="542"/>
      <c r="E163" s="47"/>
      <c r="F163" s="126"/>
      <c r="G163" s="167"/>
      <c r="H163" s="167"/>
      <c r="I163" s="170"/>
      <c r="J163" s="806"/>
      <c r="K163" s="79"/>
      <c r="L163" s="154" t="s">
        <v>5422</v>
      </c>
      <c r="M163" s="577"/>
      <c r="N163" s="158"/>
      <c r="O163" s="1957"/>
      <c r="P163" s="1517"/>
      <c r="Q163" s="1970"/>
      <c r="R163" s="248"/>
      <c r="S163" s="248"/>
      <c r="T163" s="248"/>
      <c r="U163" s="247"/>
      <c r="V163" s="788"/>
      <c r="W163" s="248"/>
      <c r="X163" s="340">
        <f t="shared" si="30"/>
        <v>0</v>
      </c>
      <c r="Y163" s="344">
        <f t="shared" si="31"/>
        <v>0</v>
      </c>
      <c r="Z163" s="249" t="s">
        <v>5422</v>
      </c>
      <c r="AA163" s="341">
        <f>600000*13*1.08</f>
        <v>8424000</v>
      </c>
      <c r="AB163" s="342">
        <f t="shared" si="33"/>
        <v>8424000</v>
      </c>
      <c r="AC163" s="252"/>
    </row>
    <row r="164" spans="1:30">
      <c r="A164" s="3310" t="s">
        <v>5420</v>
      </c>
      <c r="B164" s="3310"/>
      <c r="C164" s="3310"/>
      <c r="D164" s="3310"/>
      <c r="E164" s="3310"/>
      <c r="F164" s="3310"/>
      <c r="G164" s="3310"/>
      <c r="H164" s="3310"/>
      <c r="I164" s="3310"/>
      <c r="J164" s="3310"/>
      <c r="K164" s="3310"/>
      <c r="L164" s="3310"/>
      <c r="M164" s="1926"/>
      <c r="N164" s="1607"/>
      <c r="O164" s="1960"/>
      <c r="P164" s="1927"/>
      <c r="Q164" s="1980"/>
      <c r="R164" s="1928"/>
      <c r="S164" s="1928"/>
      <c r="T164" s="1928"/>
      <c r="U164" s="1928"/>
      <c r="V164" s="1929"/>
      <c r="W164" s="1928"/>
      <c r="X164" s="1920">
        <f>SUM(X159:X162)</f>
        <v>210894</v>
      </c>
      <c r="Y164" s="1920">
        <f>SUM(Y159:Y162)</f>
        <v>47276482</v>
      </c>
      <c r="Z164" s="1921"/>
      <c r="AA164" s="1920">
        <f>SUM(AA156:AA163)</f>
        <v>96256080.000000015</v>
      </c>
      <c r="AB164" s="1920">
        <f>SUM(AB156:AB163)</f>
        <v>168231441</v>
      </c>
      <c r="AC164" s="1510"/>
      <c r="AD164" s="1473"/>
    </row>
    <row r="165" spans="1:30" ht="26.4">
      <c r="A165" s="326">
        <v>1</v>
      </c>
      <c r="B165" s="1849" t="s">
        <v>5552</v>
      </c>
      <c r="C165" s="166">
        <v>107133457210</v>
      </c>
      <c r="D165" s="793" t="s">
        <v>5468</v>
      </c>
      <c r="E165" s="47" t="s">
        <v>5486</v>
      </c>
      <c r="F165" s="126" t="s">
        <v>206</v>
      </c>
      <c r="G165" s="167"/>
      <c r="H165" s="167"/>
      <c r="I165" s="170" t="s">
        <v>973</v>
      </c>
      <c r="J165" s="806"/>
      <c r="K165" s="685" t="s">
        <v>123</v>
      </c>
      <c r="L165" s="154" t="s">
        <v>5463</v>
      </c>
      <c r="M165" s="577" t="s">
        <v>5478</v>
      </c>
      <c r="N165" s="158" t="s">
        <v>4983</v>
      </c>
      <c r="O165" s="1962" t="s">
        <v>5462</v>
      </c>
      <c r="P165" s="1517"/>
      <c r="Q165" s="1970"/>
      <c r="R165" s="248"/>
      <c r="S165" s="248"/>
      <c r="T165" s="248"/>
      <c r="U165" s="787">
        <v>3112560</v>
      </c>
      <c r="V165" s="1846">
        <v>6000</v>
      </c>
      <c r="W165" s="248"/>
      <c r="X165" s="340">
        <f t="shared" si="30"/>
        <v>0</v>
      </c>
      <c r="Y165" s="344">
        <f t="shared" si="31"/>
        <v>3118560</v>
      </c>
      <c r="Z165" s="249"/>
      <c r="AA165" s="341">
        <f>1940000*1.08</f>
        <v>2095200.0000000002</v>
      </c>
      <c r="AB165" s="342">
        <f t="shared" si="33"/>
        <v>5213760</v>
      </c>
      <c r="AC165" s="252"/>
    </row>
    <row r="166" spans="1:30" ht="26.4">
      <c r="A166" s="326">
        <f t="shared" si="34"/>
        <v>2</v>
      </c>
      <c r="B166" s="1849" t="s">
        <v>5607</v>
      </c>
      <c r="C166" s="166">
        <v>107158574720</v>
      </c>
      <c r="D166" s="793" t="s">
        <v>5574</v>
      </c>
      <c r="E166" s="47" t="s">
        <v>5555</v>
      </c>
      <c r="F166" s="126" t="s">
        <v>206</v>
      </c>
      <c r="G166" s="167">
        <v>1</v>
      </c>
      <c r="H166" s="167"/>
      <c r="I166" s="170"/>
      <c r="J166" s="806"/>
      <c r="K166" s="685" t="s">
        <v>123</v>
      </c>
      <c r="L166" s="154" t="s">
        <v>5608</v>
      </c>
      <c r="M166" s="577" t="s">
        <v>5526</v>
      </c>
      <c r="N166" s="158" t="s">
        <v>5533</v>
      </c>
      <c r="O166" s="1962" t="s">
        <v>5534</v>
      </c>
      <c r="P166" s="2183"/>
      <c r="Q166" s="1970"/>
      <c r="R166" s="2003">
        <v>447300</v>
      </c>
      <c r="S166" s="1559">
        <v>999000</v>
      </c>
      <c r="T166" s="248"/>
      <c r="U166" s="787">
        <v>6193601</v>
      </c>
      <c r="V166" s="1846">
        <v>250000</v>
      </c>
      <c r="W166" s="248"/>
      <c r="X166" s="340">
        <f t="shared" si="30"/>
        <v>1446300</v>
      </c>
      <c r="Y166" s="344">
        <f t="shared" si="31"/>
        <v>6443601</v>
      </c>
      <c r="Z166" s="249"/>
      <c r="AA166" s="341">
        <f>((G166*5130000)+(H166*5530000))*1.08+(1000000*1.08)</f>
        <v>6620400</v>
      </c>
      <c r="AB166" s="342">
        <f t="shared" si="33"/>
        <v>14510301</v>
      </c>
      <c r="AC166" s="252"/>
    </row>
    <row r="167" spans="1:30" ht="26.4">
      <c r="A167" s="326">
        <f t="shared" si="34"/>
        <v>3</v>
      </c>
      <c r="B167" s="1849" t="s">
        <v>5717</v>
      </c>
      <c r="C167" s="166">
        <v>107186126830</v>
      </c>
      <c r="D167" s="542" t="s">
        <v>5654</v>
      </c>
      <c r="E167" s="47" t="s">
        <v>5668</v>
      </c>
      <c r="F167" s="126" t="s">
        <v>206</v>
      </c>
      <c r="G167" s="167"/>
      <c r="H167" s="167"/>
      <c r="I167" s="170" t="s">
        <v>973</v>
      </c>
      <c r="J167" s="806"/>
      <c r="K167" s="86" t="s">
        <v>210</v>
      </c>
      <c r="L167" s="154" t="s">
        <v>5619</v>
      </c>
      <c r="M167" s="928" t="s">
        <v>5697</v>
      </c>
      <c r="N167" s="158" t="s">
        <v>2903</v>
      </c>
      <c r="O167" s="1962" t="s">
        <v>5618</v>
      </c>
      <c r="P167" s="1517"/>
      <c r="Q167" s="1970"/>
      <c r="R167" s="248"/>
      <c r="S167" s="248"/>
      <c r="T167" s="248"/>
      <c r="U167" s="787">
        <v>3178197</v>
      </c>
      <c r="V167" s="1846">
        <v>15825</v>
      </c>
      <c r="W167" s="248"/>
      <c r="X167" s="340">
        <f t="shared" si="30"/>
        <v>0</v>
      </c>
      <c r="Y167" s="344">
        <f t="shared" si="31"/>
        <v>3194022</v>
      </c>
      <c r="Z167" s="249"/>
      <c r="AA167" s="341">
        <f>2140000*1.08</f>
        <v>2311200</v>
      </c>
      <c r="AB167" s="342">
        <f t="shared" si="33"/>
        <v>5505222</v>
      </c>
      <c r="AC167" s="252"/>
    </row>
    <row r="168" spans="1:30" ht="26.4">
      <c r="A168" s="326">
        <f t="shared" si="34"/>
        <v>4</v>
      </c>
      <c r="B168" s="2330" t="s">
        <v>5758</v>
      </c>
      <c r="C168" s="166">
        <v>107202131960</v>
      </c>
      <c r="D168" s="793" t="s">
        <v>5714</v>
      </c>
      <c r="E168" s="47" t="s">
        <v>5686</v>
      </c>
      <c r="F168" s="126" t="s">
        <v>206</v>
      </c>
      <c r="G168" s="167"/>
      <c r="H168" s="167"/>
      <c r="I168" s="170" t="s">
        <v>973</v>
      </c>
      <c r="J168" s="806"/>
      <c r="K168" s="685" t="s">
        <v>123</v>
      </c>
      <c r="L168" s="154" t="s">
        <v>5681</v>
      </c>
      <c r="M168" s="577" t="s">
        <v>5714</v>
      </c>
      <c r="N168" s="158" t="s">
        <v>4254</v>
      </c>
      <c r="O168" s="1962" t="s">
        <v>5680</v>
      </c>
      <c r="P168" s="1517"/>
      <c r="Q168" s="2003">
        <v>11782</v>
      </c>
      <c r="R168" s="248"/>
      <c r="S168" s="248"/>
      <c r="T168" s="248"/>
      <c r="U168" s="787">
        <v>3456486</v>
      </c>
      <c r="V168" s="1846">
        <v>1500</v>
      </c>
      <c r="W168" s="248"/>
      <c r="X168" s="340">
        <f t="shared" si="30"/>
        <v>11782</v>
      </c>
      <c r="Y168" s="344">
        <f t="shared" si="31"/>
        <v>3457986</v>
      </c>
      <c r="Z168" s="249"/>
      <c r="AA168" s="341">
        <f>1940000*1.08</f>
        <v>2095200.0000000002</v>
      </c>
      <c r="AB168" s="342">
        <f t="shared" si="33"/>
        <v>5564968</v>
      </c>
      <c r="AC168" s="252"/>
    </row>
    <row r="169" spans="1:30">
      <c r="A169" s="326">
        <f t="shared" si="34"/>
        <v>5</v>
      </c>
      <c r="B169" s="763"/>
      <c r="C169" s="442" t="s">
        <v>5723</v>
      </c>
      <c r="D169" s="542"/>
      <c r="E169" s="47"/>
      <c r="F169" s="126"/>
      <c r="G169" s="167"/>
      <c r="H169" s="167"/>
      <c r="I169" s="170"/>
      <c r="J169" s="806"/>
      <c r="K169" s="79"/>
      <c r="L169" s="154" t="s">
        <v>5138</v>
      </c>
      <c r="M169" s="577"/>
      <c r="N169" s="158"/>
      <c r="O169" s="1957"/>
      <c r="P169" s="1517"/>
      <c r="Q169" s="1970"/>
      <c r="R169" s="248"/>
      <c r="S169" s="248"/>
      <c r="T169" s="248"/>
      <c r="U169" s="247"/>
      <c r="V169" s="788"/>
      <c r="W169" s="248"/>
      <c r="X169" s="340">
        <f t="shared" si="30"/>
        <v>0</v>
      </c>
      <c r="Y169" s="344">
        <f t="shared" si="31"/>
        <v>0</v>
      </c>
      <c r="Z169" s="249" t="s">
        <v>5138</v>
      </c>
      <c r="AA169" s="341">
        <f>600000*14*1.08</f>
        <v>9072000</v>
      </c>
      <c r="AB169" s="342">
        <f t="shared" si="33"/>
        <v>9072000</v>
      </c>
      <c r="AC169" s="252"/>
    </row>
    <row r="170" spans="1:30">
      <c r="A170" s="3310" t="s">
        <v>5724</v>
      </c>
      <c r="B170" s="3310"/>
      <c r="C170" s="3310"/>
      <c r="D170" s="3310"/>
      <c r="E170" s="3310"/>
      <c r="F170" s="3310"/>
      <c r="G170" s="3310"/>
      <c r="H170" s="3310"/>
      <c r="I170" s="3310"/>
      <c r="J170" s="3310"/>
      <c r="K170" s="3310"/>
      <c r="L170" s="3310"/>
      <c r="M170" s="1926"/>
      <c r="N170" s="1607"/>
      <c r="O170" s="1960"/>
      <c r="P170" s="1927"/>
      <c r="Q170" s="1980"/>
      <c r="R170" s="1928"/>
      <c r="S170" s="1928"/>
      <c r="T170" s="1928"/>
      <c r="U170" s="1928"/>
      <c r="V170" s="1929"/>
      <c r="W170" s="1928"/>
      <c r="X170" s="1920">
        <f>SUM(X165:X168)</f>
        <v>1458082</v>
      </c>
      <c r="Y170" s="1920">
        <f>SUM(Y165:Y168)</f>
        <v>16214169</v>
      </c>
      <c r="Z170" s="1921"/>
      <c r="AA170" s="1920">
        <f>SUM(AA165:AA169)</f>
        <v>22194000</v>
      </c>
      <c r="AB170" s="1920">
        <f>SUM(AB165:AB169)</f>
        <v>39866251</v>
      </c>
      <c r="AC170" s="1510"/>
      <c r="AD170" s="1473"/>
    </row>
    <row r="171" spans="1:30" ht="26.4">
      <c r="A171" s="326">
        <v>1</v>
      </c>
      <c r="B171" s="1848" t="s">
        <v>5837</v>
      </c>
      <c r="C171" s="166">
        <v>107212748860</v>
      </c>
      <c r="D171" s="542" t="s">
        <v>5758</v>
      </c>
      <c r="E171" s="47" t="s">
        <v>5778</v>
      </c>
      <c r="F171" s="126" t="s">
        <v>206</v>
      </c>
      <c r="G171" s="167">
        <v>1</v>
      </c>
      <c r="H171" s="167">
        <v>1</v>
      </c>
      <c r="I171" s="170"/>
      <c r="J171" s="806"/>
      <c r="K171" s="685" t="s">
        <v>123</v>
      </c>
      <c r="L171" s="792" t="s">
        <v>5759</v>
      </c>
      <c r="M171" s="577" t="s">
        <v>5802</v>
      </c>
      <c r="N171" s="158" t="s">
        <v>2946</v>
      </c>
      <c r="O171" s="1962" t="s">
        <v>5757</v>
      </c>
      <c r="P171" s="2471" t="s">
        <v>6021</v>
      </c>
      <c r="Q171" s="1970"/>
      <c r="R171" s="2003">
        <v>1379000</v>
      </c>
      <c r="S171" s="2468">
        <f>1512000+999000</f>
        <v>2511000</v>
      </c>
      <c r="T171" s="248"/>
      <c r="U171" s="787">
        <v>14969988</v>
      </c>
      <c r="V171" s="787">
        <v>750000</v>
      </c>
      <c r="W171" s="248"/>
      <c r="X171" s="340">
        <f t="shared" si="30"/>
        <v>3890000</v>
      </c>
      <c r="Y171" s="344">
        <f t="shared" si="31"/>
        <v>15719988</v>
      </c>
      <c r="Z171" s="391"/>
      <c r="AA171" s="341">
        <f t="shared" ref="AA171:AA180" si="35">((G171*5130000)+(H171*5530000))*1.08</f>
        <v>11512800</v>
      </c>
      <c r="AB171" s="342">
        <f t="shared" ref="AB171:AB180" si="36">+AA171+Y171+X171</f>
        <v>31122788</v>
      </c>
      <c r="AC171" s="252"/>
    </row>
    <row r="172" spans="1:30" ht="26.4">
      <c r="A172" s="326">
        <f t="shared" si="34"/>
        <v>2</v>
      </c>
      <c r="B172" s="1849" t="s">
        <v>5916</v>
      </c>
      <c r="C172" s="166">
        <v>107242266720</v>
      </c>
      <c r="D172" s="793" t="s">
        <v>5898</v>
      </c>
      <c r="E172" s="47" t="s">
        <v>5866</v>
      </c>
      <c r="F172" s="126" t="s">
        <v>206</v>
      </c>
      <c r="G172" s="167"/>
      <c r="H172" s="167"/>
      <c r="I172" s="170" t="s">
        <v>973</v>
      </c>
      <c r="J172" s="806"/>
      <c r="K172" s="685" t="s">
        <v>123</v>
      </c>
      <c r="L172" s="154" t="s">
        <v>5865</v>
      </c>
      <c r="M172" s="928" t="s">
        <v>5884</v>
      </c>
      <c r="N172" s="158" t="s">
        <v>4983</v>
      </c>
      <c r="O172" s="1962" t="s">
        <v>5863</v>
      </c>
      <c r="P172" s="2472" t="s">
        <v>6022</v>
      </c>
      <c r="Q172" s="1970"/>
      <c r="R172" s="248"/>
      <c r="S172" s="248"/>
      <c r="T172" s="248"/>
      <c r="U172" s="787">
        <v>3100680</v>
      </c>
      <c r="V172" s="787">
        <v>7650</v>
      </c>
      <c r="W172" s="248"/>
      <c r="X172" s="340">
        <f t="shared" si="30"/>
        <v>0</v>
      </c>
      <c r="Y172" s="344">
        <f t="shared" si="31"/>
        <v>3108330</v>
      </c>
      <c r="Z172" s="391"/>
      <c r="AA172" s="341">
        <f>1940000*1.08</f>
        <v>2095200.0000000002</v>
      </c>
      <c r="AB172" s="342">
        <f t="shared" si="36"/>
        <v>5203530</v>
      </c>
      <c r="AC172" s="252"/>
    </row>
    <row r="173" spans="1:30" ht="158.4">
      <c r="A173" s="1515">
        <f t="shared" si="34"/>
        <v>3</v>
      </c>
      <c r="B173" s="1001" t="s">
        <v>6016</v>
      </c>
      <c r="C173" s="2494">
        <v>107255414230</v>
      </c>
      <c r="D173" s="2495" t="s">
        <v>5887</v>
      </c>
      <c r="E173" s="1625" t="s">
        <v>5985</v>
      </c>
      <c r="F173" s="1626" t="s">
        <v>206</v>
      </c>
      <c r="G173" s="167">
        <v>12</v>
      </c>
      <c r="H173" s="167"/>
      <c r="I173" s="1627"/>
      <c r="J173" s="1627"/>
      <c r="K173" s="2486" t="s">
        <v>123</v>
      </c>
      <c r="L173" s="2496" t="s">
        <v>5888</v>
      </c>
      <c r="M173" s="522" t="s">
        <v>5887</v>
      </c>
      <c r="N173" s="2497" t="s">
        <v>4129</v>
      </c>
      <c r="O173" s="2498" t="s">
        <v>5886</v>
      </c>
      <c r="P173" s="2499" t="s">
        <v>6023</v>
      </c>
      <c r="Q173" s="1970"/>
      <c r="R173" s="2003">
        <v>5964000</v>
      </c>
      <c r="S173" s="2468">
        <f>1000000*12</f>
        <v>12000000</v>
      </c>
      <c r="T173" s="248"/>
      <c r="U173" s="247"/>
      <c r="V173" s="787">
        <v>3000000</v>
      </c>
      <c r="W173" s="248"/>
      <c r="X173" s="340">
        <f t="shared" si="30"/>
        <v>17964000</v>
      </c>
      <c r="Y173" s="344">
        <f t="shared" si="31"/>
        <v>3000000</v>
      </c>
      <c r="Z173" s="391"/>
      <c r="AA173" s="341">
        <f t="shared" si="35"/>
        <v>66484800.000000007</v>
      </c>
      <c r="AB173" s="342">
        <f t="shared" si="36"/>
        <v>87448800</v>
      </c>
      <c r="AC173" s="252"/>
    </row>
    <row r="174" spans="1:30" ht="26.4">
      <c r="A174" s="1503">
        <f t="shared" si="34"/>
        <v>4</v>
      </c>
      <c r="B174" s="2493" t="s">
        <v>6020</v>
      </c>
      <c r="C174" s="1915">
        <v>107266806360</v>
      </c>
      <c r="D174" s="2489" t="s">
        <v>5931</v>
      </c>
      <c r="E174" s="1942" t="s">
        <v>6003</v>
      </c>
      <c r="F174" s="1505" t="s">
        <v>206</v>
      </c>
      <c r="G174" s="1642">
        <v>1</v>
      </c>
      <c r="H174" s="1642"/>
      <c r="I174" s="1516"/>
      <c r="J174" s="1516"/>
      <c r="K174" s="2069" t="s">
        <v>123</v>
      </c>
      <c r="L174" s="1492" t="s">
        <v>5982</v>
      </c>
      <c r="M174" s="1492" t="s">
        <v>5981</v>
      </c>
      <c r="N174" s="2490" t="s">
        <v>2946</v>
      </c>
      <c r="O174" s="2500" t="s">
        <v>5980</v>
      </c>
      <c r="P174" s="2484" t="s">
        <v>6056</v>
      </c>
      <c r="Q174" s="1970"/>
      <c r="R174" s="2003">
        <v>497000</v>
      </c>
      <c r="S174" s="2468">
        <v>1009000</v>
      </c>
      <c r="T174" s="248"/>
      <c r="U174" s="787">
        <v>6204011</v>
      </c>
      <c r="V174" s="787">
        <v>250000</v>
      </c>
      <c r="W174" s="754"/>
      <c r="X174" s="340">
        <f t="shared" si="30"/>
        <v>1506000</v>
      </c>
      <c r="Y174" s="344">
        <f t="shared" si="31"/>
        <v>6454011</v>
      </c>
      <c r="Z174" s="391"/>
      <c r="AA174" s="341">
        <f t="shared" si="35"/>
        <v>5540400</v>
      </c>
      <c r="AB174" s="342">
        <f t="shared" si="36"/>
        <v>13500411</v>
      </c>
      <c r="AC174" s="252"/>
    </row>
    <row r="175" spans="1:30">
      <c r="A175" s="1503"/>
      <c r="B175" s="2493"/>
      <c r="C175" s="442" t="s">
        <v>6078</v>
      </c>
      <c r="D175" s="2489"/>
      <c r="E175" s="1942" t="s">
        <v>6071</v>
      </c>
      <c r="F175" s="1505"/>
      <c r="G175" s="1642"/>
      <c r="H175" s="1642"/>
      <c r="I175" s="1516"/>
      <c r="J175" s="1516"/>
      <c r="K175" s="2069"/>
      <c r="L175" s="1492" t="s">
        <v>6079</v>
      </c>
      <c r="M175" s="1492"/>
      <c r="N175" s="2490"/>
      <c r="O175" s="2500"/>
      <c r="P175" s="2484"/>
      <c r="Q175" s="1970"/>
      <c r="R175" s="2003"/>
      <c r="S175" s="1507"/>
      <c r="T175" s="1507"/>
      <c r="U175" s="2502"/>
      <c r="V175" s="2502"/>
      <c r="W175" s="2207"/>
      <c r="X175" s="2491"/>
      <c r="Y175" s="2492"/>
      <c r="Z175" s="1518" t="s">
        <v>6079</v>
      </c>
      <c r="AA175" s="2201">
        <f>600000*16*1.08</f>
        <v>10368000</v>
      </c>
      <c r="AB175" s="342">
        <f t="shared" si="36"/>
        <v>10368000</v>
      </c>
      <c r="AC175" s="1510"/>
    </row>
    <row r="176" spans="1:30">
      <c r="A176" s="3310" t="s">
        <v>6077</v>
      </c>
      <c r="B176" s="3310"/>
      <c r="C176" s="3310"/>
      <c r="D176" s="3310"/>
      <c r="E176" s="3310"/>
      <c r="F176" s="3310"/>
      <c r="G176" s="3310"/>
      <c r="H176" s="3310"/>
      <c r="I176" s="3310"/>
      <c r="J176" s="3310"/>
      <c r="K176" s="3310"/>
      <c r="L176" s="3310"/>
      <c r="M176" s="1926"/>
      <c r="N176" s="1607"/>
      <c r="O176" s="1960"/>
      <c r="P176" s="1927"/>
      <c r="Q176" s="1980"/>
      <c r="R176" s="1928"/>
      <c r="S176" s="1928"/>
      <c r="T176" s="1928"/>
      <c r="U176" s="1928"/>
      <c r="V176" s="1929"/>
      <c r="W176" s="1928"/>
      <c r="X176" s="1920">
        <f>SUM(X170:X173)</f>
        <v>23312082</v>
      </c>
      <c r="Y176" s="1920">
        <f>SUM(Y170:Y173)</f>
        <v>38042487</v>
      </c>
      <c r="Z176" s="1921"/>
      <c r="AA176" s="1920">
        <f>SUM(AA170:AA174)</f>
        <v>107827200</v>
      </c>
      <c r="AB176" s="1920">
        <f>SUM(AB170:AB174)</f>
        <v>177141780</v>
      </c>
      <c r="AC176" s="1510"/>
      <c r="AD176" s="1473"/>
    </row>
    <row r="177" spans="1:38" ht="31.2">
      <c r="A177" s="326">
        <v>1</v>
      </c>
      <c r="B177" s="971" t="s">
        <v>6090</v>
      </c>
      <c r="C177" s="45">
        <v>107284996120</v>
      </c>
      <c r="D177" s="793" t="s">
        <v>6073</v>
      </c>
      <c r="E177" s="47" t="s">
        <v>6075</v>
      </c>
      <c r="F177" s="126" t="s">
        <v>206</v>
      </c>
      <c r="G177" s="167">
        <v>2</v>
      </c>
      <c r="H177" s="167"/>
      <c r="I177" s="170"/>
      <c r="J177" s="806"/>
      <c r="K177" s="2069" t="s">
        <v>123</v>
      </c>
      <c r="L177" s="792" t="s">
        <v>6460</v>
      </c>
      <c r="M177" s="577" t="s">
        <v>6062</v>
      </c>
      <c r="N177" s="158" t="s">
        <v>2840</v>
      </c>
      <c r="O177" s="1962" t="s">
        <v>6061</v>
      </c>
      <c r="P177" s="2471" t="s">
        <v>6118</v>
      </c>
      <c r="Q177" s="1970"/>
      <c r="R177" s="2003">
        <v>1454000</v>
      </c>
      <c r="S177" s="2468">
        <f>999000*2</f>
        <v>1998000</v>
      </c>
      <c r="T177" s="248"/>
      <c r="U177" s="787">
        <v>11121960</v>
      </c>
      <c r="V177" s="787">
        <v>500000</v>
      </c>
      <c r="W177" s="754"/>
      <c r="X177" s="340">
        <f t="shared" si="30"/>
        <v>3452000</v>
      </c>
      <c r="Y177" s="344">
        <f t="shared" si="31"/>
        <v>11621960</v>
      </c>
      <c r="Z177" s="208" t="s">
        <v>6294</v>
      </c>
      <c r="AA177" s="341">
        <f t="shared" si="35"/>
        <v>11080800</v>
      </c>
      <c r="AB177" s="342">
        <f t="shared" si="36"/>
        <v>26154760</v>
      </c>
      <c r="AC177" s="252"/>
    </row>
    <row r="178" spans="1:38" ht="26.4">
      <c r="A178" s="326">
        <f t="shared" si="34"/>
        <v>2</v>
      </c>
      <c r="B178" s="971" t="s">
        <v>6192</v>
      </c>
      <c r="C178" s="45">
        <v>107302147850</v>
      </c>
      <c r="D178" s="793" t="s">
        <v>6124</v>
      </c>
      <c r="E178" s="47" t="s">
        <v>6069</v>
      </c>
      <c r="F178" s="126" t="s">
        <v>206</v>
      </c>
      <c r="G178" s="167">
        <v>2</v>
      </c>
      <c r="H178" s="167"/>
      <c r="I178" s="170"/>
      <c r="J178" s="806"/>
      <c r="K178" s="2069" t="s">
        <v>123</v>
      </c>
      <c r="L178" s="792" t="s">
        <v>6070</v>
      </c>
      <c r="M178" s="577" t="s">
        <v>6060</v>
      </c>
      <c r="N178" s="1205" t="s">
        <v>2946</v>
      </c>
      <c r="O178" s="1962" t="s">
        <v>6059</v>
      </c>
      <c r="P178" s="2471" t="s">
        <v>6118</v>
      </c>
      <c r="Q178" s="1970"/>
      <c r="R178" s="2003">
        <v>994000</v>
      </c>
      <c r="S178" s="2468">
        <v>1998000</v>
      </c>
      <c r="T178" s="248"/>
      <c r="U178" s="787">
        <v>11529572</v>
      </c>
      <c r="V178" s="787">
        <v>500000</v>
      </c>
      <c r="W178" s="754"/>
      <c r="X178" s="340">
        <f t="shared" si="30"/>
        <v>2992000</v>
      </c>
      <c r="Y178" s="344">
        <f t="shared" si="31"/>
        <v>12029572</v>
      </c>
      <c r="Z178" s="391"/>
      <c r="AA178" s="341">
        <f t="shared" si="35"/>
        <v>11080800</v>
      </c>
      <c r="AB178" s="342">
        <f t="shared" si="36"/>
        <v>26102372</v>
      </c>
      <c r="AC178" s="252"/>
    </row>
    <row r="179" spans="1:38" ht="26.4">
      <c r="A179" s="326">
        <f t="shared" si="34"/>
        <v>3</v>
      </c>
      <c r="B179" s="971" t="s">
        <v>6053</v>
      </c>
      <c r="C179" s="45">
        <v>107308632100</v>
      </c>
      <c r="D179" s="793" t="s">
        <v>6143</v>
      </c>
      <c r="E179" s="47" t="s">
        <v>6154</v>
      </c>
      <c r="F179" s="126" t="s">
        <v>206</v>
      </c>
      <c r="G179" s="167"/>
      <c r="H179" s="167"/>
      <c r="I179" s="170" t="s">
        <v>973</v>
      </c>
      <c r="J179" s="806"/>
      <c r="K179" s="86" t="s">
        <v>210</v>
      </c>
      <c r="L179" s="154"/>
      <c r="M179" s="577" t="s">
        <v>6124</v>
      </c>
      <c r="N179" s="158" t="s">
        <v>2903</v>
      </c>
      <c r="O179" s="1962" t="s">
        <v>6123</v>
      </c>
      <c r="P179" s="2472" t="s">
        <v>6224</v>
      </c>
      <c r="Q179" s="1970"/>
      <c r="R179" s="2003">
        <v>35345</v>
      </c>
      <c r="S179" s="248"/>
      <c r="T179" s="248"/>
      <c r="U179" s="787">
        <v>3125272</v>
      </c>
      <c r="V179" s="787">
        <v>7500</v>
      </c>
      <c r="W179" s="248"/>
      <c r="X179" s="340">
        <f t="shared" si="30"/>
        <v>35345</v>
      </c>
      <c r="Y179" s="344">
        <f t="shared" si="31"/>
        <v>3132772</v>
      </c>
      <c r="Z179" s="391"/>
      <c r="AA179" s="341">
        <f t="shared" si="35"/>
        <v>0</v>
      </c>
      <c r="AB179" s="342">
        <f t="shared" si="36"/>
        <v>3168117</v>
      </c>
      <c r="AC179" s="252"/>
    </row>
    <row r="180" spans="1:38" ht="26.4">
      <c r="A180" s="326">
        <f t="shared" si="34"/>
        <v>4</v>
      </c>
      <c r="B180" s="971" t="s">
        <v>6192</v>
      </c>
      <c r="C180" s="45">
        <v>107316188710</v>
      </c>
      <c r="D180" s="542">
        <v>45664</v>
      </c>
      <c r="E180" s="47" t="s">
        <v>6155</v>
      </c>
      <c r="F180" s="126" t="s">
        <v>206</v>
      </c>
      <c r="G180" s="167"/>
      <c r="H180" s="167"/>
      <c r="I180" s="170" t="s">
        <v>973</v>
      </c>
      <c r="J180" s="806"/>
      <c r="K180" s="2069" t="s">
        <v>123</v>
      </c>
      <c r="L180" s="154"/>
      <c r="M180" s="928" t="s">
        <v>6197</v>
      </c>
      <c r="N180" s="158" t="s">
        <v>4983</v>
      </c>
      <c r="O180" s="1962" t="s">
        <v>6142</v>
      </c>
      <c r="P180" s="2472" t="s">
        <v>6254</v>
      </c>
      <c r="Q180" s="1970"/>
      <c r="R180" s="13"/>
      <c r="S180" s="248">
        <f>SUM(R178:S179)</f>
        <v>3027345</v>
      </c>
      <c r="T180" s="248"/>
      <c r="U180" s="787">
        <v>3100680</v>
      </c>
      <c r="V180" s="787">
        <v>3600</v>
      </c>
      <c r="W180" s="248"/>
      <c r="X180" s="340">
        <f>R178+S180+T180+Q180+W180</f>
        <v>4021345</v>
      </c>
      <c r="Y180" s="344">
        <f t="shared" si="31"/>
        <v>3104280</v>
      </c>
      <c r="Z180" s="391"/>
      <c r="AA180" s="341">
        <f t="shared" si="35"/>
        <v>0</v>
      </c>
      <c r="AB180" s="342">
        <f t="shared" si="36"/>
        <v>7125625</v>
      </c>
      <c r="AC180" s="252"/>
    </row>
    <row r="181" spans="1:38">
      <c r="A181" s="326">
        <f t="shared" si="34"/>
        <v>5</v>
      </c>
      <c r="B181" s="763"/>
      <c r="C181" s="45"/>
      <c r="D181" s="542"/>
      <c r="E181" s="47"/>
      <c r="F181" s="126"/>
      <c r="G181" s="167"/>
      <c r="H181" s="167"/>
      <c r="I181" s="170"/>
      <c r="J181" s="806"/>
      <c r="K181" s="79"/>
      <c r="L181" s="154"/>
      <c r="M181" s="577"/>
      <c r="N181" s="158"/>
      <c r="O181" s="1957"/>
      <c r="P181" s="1517"/>
      <c r="Q181" s="1970"/>
      <c r="R181" s="248"/>
      <c r="S181" s="248"/>
      <c r="T181" s="248"/>
      <c r="U181" s="247"/>
      <c r="V181" s="788"/>
      <c r="W181" s="248"/>
      <c r="X181" s="340">
        <f t="shared" si="30"/>
        <v>0</v>
      </c>
      <c r="Y181" s="344">
        <f t="shared" si="31"/>
        <v>0</v>
      </c>
      <c r="Z181" s="249"/>
      <c r="AA181" s="250"/>
      <c r="AB181" s="251"/>
      <c r="AC181" s="252"/>
    </row>
    <row r="182" spans="1:38">
      <c r="A182" s="326">
        <f t="shared" si="34"/>
        <v>6</v>
      </c>
      <c r="B182" s="763"/>
      <c r="C182" s="45"/>
      <c r="D182" s="542"/>
      <c r="E182" s="47"/>
      <c r="F182" s="126"/>
      <c r="G182" s="167"/>
      <c r="H182" s="167"/>
      <c r="I182" s="170"/>
      <c r="J182" s="806"/>
      <c r="K182" s="79"/>
      <c r="L182" s="154"/>
      <c r="M182" s="577"/>
      <c r="N182" s="158"/>
      <c r="O182" s="1957"/>
      <c r="P182" s="1517"/>
      <c r="Q182" s="1970"/>
      <c r="R182" s="248"/>
      <c r="S182" s="248"/>
      <c r="T182" s="248"/>
      <c r="U182" s="247"/>
      <c r="V182" s="788"/>
      <c r="W182" s="248"/>
      <c r="X182" s="340">
        <f t="shared" si="30"/>
        <v>0</v>
      </c>
      <c r="Y182" s="344">
        <f t="shared" si="31"/>
        <v>0</v>
      </c>
      <c r="Z182" s="249"/>
      <c r="AA182" s="250"/>
      <c r="AB182" s="251"/>
      <c r="AC182" s="252"/>
    </row>
    <row r="183" spans="1:38">
      <c r="A183" s="326">
        <f t="shared" si="34"/>
        <v>7</v>
      </c>
      <c r="B183" s="763"/>
      <c r="C183" s="45"/>
      <c r="D183" s="542"/>
      <c r="E183" s="47"/>
      <c r="F183" s="126"/>
      <c r="G183" s="167"/>
      <c r="H183" s="167"/>
      <c r="I183" s="170"/>
      <c r="J183" s="806"/>
      <c r="K183" s="79"/>
      <c r="L183" s="652"/>
      <c r="M183" s="577"/>
      <c r="N183" s="158"/>
      <c r="O183" s="1957"/>
      <c r="P183" s="1517"/>
      <c r="Q183" s="1970"/>
      <c r="R183" s="248"/>
      <c r="S183" s="248"/>
      <c r="T183" s="248"/>
      <c r="U183" s="247"/>
      <c r="V183" s="788"/>
      <c r="W183" s="248"/>
      <c r="X183" s="340">
        <f t="shared" si="30"/>
        <v>0</v>
      </c>
      <c r="Y183" s="344">
        <f t="shared" si="31"/>
        <v>0</v>
      </c>
      <c r="Z183" s="249"/>
      <c r="AA183" s="250"/>
      <c r="AB183" s="251"/>
      <c r="AC183" s="252"/>
    </row>
    <row r="184" spans="1:38">
      <c r="A184" s="326">
        <f t="shared" si="34"/>
        <v>8</v>
      </c>
      <c r="B184" s="763"/>
      <c r="C184" s="45"/>
      <c r="D184" s="542"/>
      <c r="E184" s="47"/>
      <c r="F184" s="126"/>
      <c r="G184" s="167"/>
      <c r="H184" s="167"/>
      <c r="I184" s="170"/>
      <c r="J184" s="806"/>
      <c r="K184" s="79"/>
      <c r="L184" s="2323"/>
      <c r="M184" s="522"/>
      <c r="N184" s="1495"/>
      <c r="O184" s="2122"/>
      <c r="P184" s="1496"/>
      <c r="Q184" s="2123"/>
      <c r="R184" s="1497"/>
      <c r="S184" s="1497"/>
      <c r="T184" s="1497"/>
      <c r="U184" s="1498"/>
      <c r="V184" s="1498"/>
      <c r="W184" s="1497"/>
      <c r="X184" s="1497"/>
      <c r="Y184" s="2124"/>
      <c r="Z184" s="1499"/>
      <c r="AA184" s="2125"/>
      <c r="AB184" s="2126"/>
      <c r="AC184" s="1500"/>
    </row>
    <row r="185" spans="1:38" ht="12.75" customHeight="1">
      <c r="A185" s="326">
        <f t="shared" si="34"/>
        <v>9</v>
      </c>
      <c r="B185" s="763"/>
      <c r="C185" s="45"/>
      <c r="D185" s="542"/>
      <c r="E185" s="47"/>
      <c r="F185" s="126"/>
      <c r="G185" s="167"/>
      <c r="H185" s="167"/>
      <c r="I185" s="170"/>
      <c r="J185" s="806"/>
      <c r="K185" s="79"/>
      <c r="L185" s="1485"/>
      <c r="M185" s="1485"/>
      <c r="N185" s="1485"/>
      <c r="O185" s="1485"/>
      <c r="P185" s="1485"/>
      <c r="Q185" s="1485"/>
      <c r="R185" s="1485"/>
      <c r="S185" s="1485"/>
      <c r="T185" s="1485"/>
      <c r="U185" s="1485"/>
      <c r="V185" s="1485"/>
      <c r="W185" s="1485"/>
      <c r="X185" s="1485"/>
      <c r="Y185" s="1485"/>
      <c r="Z185" s="1485"/>
      <c r="AA185" s="1485"/>
      <c r="AB185" s="1485"/>
      <c r="AC185" s="1485"/>
      <c r="AD185" s="1485"/>
      <c r="AE185" s="1485"/>
      <c r="AF185" s="1485"/>
      <c r="AG185" s="1485"/>
      <c r="AH185" s="1485"/>
      <c r="AI185" s="1485"/>
      <c r="AJ185" s="1485"/>
      <c r="AK185" s="1485"/>
      <c r="AL185" s="1485"/>
    </row>
    <row r="186" spans="1:38" ht="13.2">
      <c r="A186" s="326">
        <f t="shared" si="34"/>
        <v>10</v>
      </c>
      <c r="B186" s="763"/>
      <c r="C186" s="45"/>
      <c r="D186" s="542"/>
      <c r="E186" s="47"/>
      <c r="F186" s="126"/>
      <c r="G186" s="167"/>
      <c r="H186" s="167"/>
      <c r="I186" s="170"/>
      <c r="J186" s="806"/>
      <c r="K186" s="79"/>
      <c r="L186" s="1485"/>
      <c r="M186" s="1485"/>
      <c r="N186" s="1485"/>
      <c r="O186" s="1485"/>
      <c r="P186" s="1485"/>
      <c r="Q186" s="1485"/>
      <c r="R186" s="1485"/>
      <c r="S186" s="1485"/>
      <c r="T186" s="1485"/>
      <c r="U186" s="1485"/>
      <c r="V186" s="1485"/>
      <c r="W186" s="1485"/>
      <c r="X186" s="1485"/>
      <c r="Y186" s="1485"/>
      <c r="Z186" s="1485"/>
      <c r="AA186" s="1485"/>
      <c r="AB186" s="1485"/>
      <c r="AC186" s="1485"/>
      <c r="AD186" s="1485"/>
      <c r="AE186" s="1485"/>
      <c r="AF186" s="1485"/>
      <c r="AG186" s="1485"/>
      <c r="AH186" s="1485"/>
      <c r="AI186" s="1485"/>
      <c r="AJ186" s="1485"/>
      <c r="AK186" s="1485"/>
      <c r="AL186" s="1485"/>
    </row>
    <row r="187" spans="1:38">
      <c r="A187" s="326">
        <f t="shared" si="34"/>
        <v>11</v>
      </c>
      <c r="B187" s="763"/>
      <c r="C187" s="45"/>
      <c r="D187" s="542"/>
      <c r="E187" s="47"/>
      <c r="F187" s="126"/>
      <c r="G187" s="167"/>
      <c r="H187" s="167"/>
      <c r="I187" s="170"/>
      <c r="J187" s="806"/>
      <c r="K187" s="79"/>
      <c r="L187" s="577"/>
      <c r="M187" s="577"/>
      <c r="N187" s="780"/>
      <c r="O187" s="1961"/>
      <c r="P187" s="781"/>
      <c r="Q187" s="1972"/>
      <c r="R187" s="425"/>
      <c r="S187" s="425"/>
      <c r="T187" s="425"/>
      <c r="U187" s="426"/>
      <c r="V187" s="426"/>
      <c r="W187" s="425"/>
      <c r="X187" s="425"/>
      <c r="Y187" s="427"/>
      <c r="Z187" s="398"/>
      <c r="AA187" s="2127"/>
      <c r="AB187" s="2128"/>
      <c r="AC187" s="782"/>
    </row>
    <row r="188" spans="1:38">
      <c r="A188" s="326">
        <f t="shared" si="34"/>
        <v>12</v>
      </c>
      <c r="B188" s="763"/>
      <c r="C188" s="45"/>
      <c r="D188" s="542"/>
      <c r="E188" s="47"/>
      <c r="F188" s="126"/>
      <c r="G188" s="167"/>
      <c r="H188" s="167"/>
      <c r="I188" s="170"/>
      <c r="J188" s="806"/>
      <c r="K188" s="79"/>
      <c r="L188" s="154"/>
      <c r="M188" s="577"/>
      <c r="N188" s="158"/>
      <c r="O188" s="1957"/>
      <c r="P188" s="1517"/>
      <c r="Q188" s="1970"/>
      <c r="R188" s="248"/>
      <c r="S188" s="248"/>
      <c r="T188" s="248"/>
      <c r="U188" s="247"/>
      <c r="V188" s="788"/>
      <c r="W188" s="248"/>
      <c r="X188" s="248"/>
      <c r="Y188" s="194"/>
      <c r="Z188" s="249"/>
      <c r="AA188" s="250"/>
      <c r="AB188" s="251"/>
      <c r="AC188" s="252"/>
    </row>
    <row r="189" spans="1:38">
      <c r="A189" s="326">
        <f t="shared" si="34"/>
        <v>13</v>
      </c>
      <c r="B189" s="763"/>
      <c r="C189" s="45"/>
      <c r="D189" s="542"/>
      <c r="E189" s="47"/>
      <c r="F189" s="126"/>
      <c r="G189" s="167"/>
      <c r="H189" s="167"/>
      <c r="I189" s="170"/>
      <c r="J189" s="806"/>
      <c r="K189" s="79"/>
      <c r="L189" s="154"/>
      <c r="M189" s="577"/>
      <c r="N189" s="158"/>
      <c r="O189" s="1957"/>
      <c r="P189" s="1517"/>
      <c r="Q189" s="1970"/>
      <c r="R189" s="248"/>
      <c r="S189" s="248"/>
      <c r="T189" s="248"/>
      <c r="U189" s="247"/>
      <c r="V189" s="788"/>
      <c r="W189" s="248"/>
      <c r="X189" s="248"/>
      <c r="Y189" s="194"/>
      <c r="Z189" s="249"/>
      <c r="AA189" s="250"/>
      <c r="AB189" s="251"/>
      <c r="AC189" s="252"/>
    </row>
    <row r="190" spans="1:38">
      <c r="A190" s="326">
        <f t="shared" si="34"/>
        <v>14</v>
      </c>
      <c r="B190" s="763"/>
      <c r="C190" s="45"/>
      <c r="D190" s="542"/>
      <c r="E190" s="47"/>
      <c r="F190" s="126"/>
      <c r="G190" s="167"/>
      <c r="H190" s="167"/>
      <c r="I190" s="170"/>
      <c r="J190" s="806"/>
      <c r="K190" s="79"/>
      <c r="L190" s="154"/>
      <c r="M190" s="577"/>
      <c r="N190" s="158"/>
      <c r="O190" s="1957"/>
      <c r="P190" s="1517"/>
      <c r="Q190" s="1970"/>
      <c r="R190" s="248"/>
      <c r="S190" s="248"/>
      <c r="T190" s="248"/>
      <c r="U190" s="247"/>
      <c r="V190" s="788"/>
      <c r="W190" s="248"/>
      <c r="X190" s="248"/>
      <c r="Y190" s="194"/>
      <c r="Z190" s="249"/>
      <c r="AA190" s="250"/>
      <c r="AB190" s="251"/>
      <c r="AC190" s="252"/>
    </row>
    <row r="191" spans="1:38">
      <c r="A191" s="326">
        <f t="shared" si="34"/>
        <v>15</v>
      </c>
      <c r="B191" s="763"/>
      <c r="C191" s="45"/>
      <c r="D191" s="542"/>
      <c r="E191" s="47"/>
      <c r="F191" s="126"/>
      <c r="G191" s="167"/>
      <c r="H191" s="167"/>
      <c r="I191" s="170"/>
      <c r="J191" s="806"/>
      <c r="K191" s="79"/>
      <c r="L191" s="154"/>
      <c r="M191" s="577"/>
      <c r="N191" s="158"/>
      <c r="O191" s="1957"/>
      <c r="P191" s="1517"/>
      <c r="Q191" s="1970"/>
      <c r="R191" s="248"/>
      <c r="S191" s="248"/>
      <c r="T191" s="248"/>
      <c r="U191" s="247"/>
      <c r="V191" s="788"/>
      <c r="W191" s="248"/>
      <c r="X191" s="248"/>
      <c r="Y191" s="194"/>
      <c r="Z191" s="249"/>
      <c r="AA191" s="250"/>
      <c r="AB191" s="251"/>
      <c r="AC191" s="252"/>
    </row>
    <row r="192" spans="1:38">
      <c r="A192" s="326">
        <f t="shared" si="34"/>
        <v>16</v>
      </c>
      <c r="B192" s="763"/>
      <c r="C192" s="45"/>
      <c r="D192" s="542"/>
      <c r="E192" s="47"/>
      <c r="F192" s="126"/>
      <c r="G192" s="167"/>
      <c r="H192" s="167"/>
      <c r="I192" s="170"/>
      <c r="J192" s="806"/>
      <c r="K192" s="79"/>
      <c r="L192" s="154"/>
      <c r="M192" s="577"/>
      <c r="N192" s="158"/>
      <c r="O192" s="1957"/>
      <c r="P192" s="1517"/>
      <c r="Q192" s="1970"/>
      <c r="R192" s="248"/>
      <c r="S192" s="248"/>
      <c r="T192" s="248"/>
      <c r="U192" s="247"/>
      <c r="V192" s="788"/>
      <c r="W192" s="248"/>
      <c r="X192" s="248"/>
      <c r="Y192" s="194"/>
      <c r="Z192" s="249"/>
      <c r="AA192" s="250"/>
      <c r="AB192" s="251"/>
      <c r="AC192" s="252"/>
    </row>
    <row r="193" spans="1:29">
      <c r="A193" s="326">
        <f t="shared" si="34"/>
        <v>17</v>
      </c>
      <c r="B193" s="763"/>
      <c r="C193" s="45"/>
      <c r="D193" s="542"/>
      <c r="E193" s="47"/>
      <c r="F193" s="126"/>
      <c r="G193" s="167"/>
      <c r="H193" s="167"/>
      <c r="I193" s="170"/>
      <c r="J193" s="806"/>
      <c r="K193" s="79"/>
      <c r="L193" s="154"/>
      <c r="M193" s="577"/>
      <c r="N193" s="158"/>
      <c r="O193" s="1957"/>
      <c r="P193" s="1517"/>
      <c r="Q193" s="1970"/>
      <c r="R193" s="248"/>
      <c r="S193" s="248"/>
      <c r="T193" s="248"/>
      <c r="U193" s="247"/>
      <c r="V193" s="788"/>
      <c r="W193" s="248"/>
      <c r="X193" s="248"/>
      <c r="Y193" s="194"/>
      <c r="Z193" s="249"/>
      <c r="AA193" s="250"/>
      <c r="AB193" s="251"/>
      <c r="AC193" s="252"/>
    </row>
    <row r="194" spans="1:29">
      <c r="A194" s="326">
        <f t="shared" si="34"/>
        <v>18</v>
      </c>
      <c r="B194" s="763"/>
      <c r="C194" s="45"/>
      <c r="D194" s="542"/>
      <c r="E194" s="47"/>
      <c r="F194" s="126"/>
      <c r="G194" s="167"/>
      <c r="H194" s="167"/>
      <c r="I194" s="170"/>
      <c r="J194" s="806"/>
      <c r="K194" s="79"/>
      <c r="L194" s="154"/>
      <c r="M194" s="577"/>
      <c r="N194" s="158"/>
      <c r="O194" s="1957"/>
      <c r="P194" s="1517"/>
      <c r="Q194" s="1970"/>
      <c r="R194" s="248"/>
      <c r="S194" s="248"/>
      <c r="T194" s="248"/>
      <c r="U194" s="247"/>
      <c r="V194" s="788"/>
      <c r="W194" s="248"/>
      <c r="X194" s="248"/>
      <c r="Y194" s="194"/>
      <c r="Z194" s="249"/>
      <c r="AA194" s="250"/>
      <c r="AB194" s="251"/>
      <c r="AC194" s="252"/>
    </row>
    <row r="195" spans="1:29">
      <c r="A195" s="326">
        <f t="shared" si="34"/>
        <v>19</v>
      </c>
      <c r="B195" s="763"/>
      <c r="C195" s="45"/>
      <c r="D195" s="542"/>
      <c r="E195" s="47"/>
      <c r="F195" s="126"/>
      <c r="G195" s="167"/>
      <c r="H195" s="167"/>
      <c r="I195" s="170"/>
      <c r="J195" s="806"/>
      <c r="K195" s="79"/>
      <c r="L195" s="154"/>
      <c r="M195" s="577"/>
      <c r="N195" s="158"/>
      <c r="O195" s="1957"/>
      <c r="P195" s="1517"/>
      <c r="Q195" s="1970"/>
      <c r="R195" s="248"/>
      <c r="S195" s="248"/>
      <c r="T195" s="248"/>
      <c r="U195" s="247"/>
      <c r="V195" s="788"/>
      <c r="W195" s="248"/>
      <c r="X195" s="248"/>
      <c r="Y195" s="194"/>
      <c r="Z195" s="249"/>
      <c r="AA195" s="250"/>
      <c r="AB195" s="251"/>
      <c r="AC195" s="252"/>
    </row>
    <row r="196" spans="1:29">
      <c r="A196" s="326">
        <f t="shared" si="34"/>
        <v>20</v>
      </c>
      <c r="B196" s="763"/>
      <c r="C196" s="45"/>
      <c r="D196" s="542"/>
      <c r="E196" s="47"/>
      <c r="F196" s="126"/>
      <c r="G196" s="167"/>
      <c r="H196" s="167"/>
      <c r="I196" s="170"/>
      <c r="J196" s="806"/>
      <c r="K196" s="79"/>
      <c r="L196" s="154"/>
      <c r="M196" s="577"/>
      <c r="N196" s="158"/>
      <c r="O196" s="1957"/>
      <c r="P196" s="1517"/>
      <c r="Q196" s="1970"/>
      <c r="R196" s="248"/>
      <c r="S196" s="248"/>
      <c r="T196" s="248"/>
      <c r="U196" s="247"/>
      <c r="V196" s="788"/>
      <c r="W196" s="248"/>
      <c r="X196" s="248"/>
      <c r="Y196" s="194"/>
      <c r="Z196" s="249"/>
      <c r="AA196" s="250"/>
      <c r="AB196" s="251"/>
      <c r="AC196" s="252"/>
    </row>
    <row r="197" spans="1:29">
      <c r="A197" s="326">
        <f t="shared" si="34"/>
        <v>21</v>
      </c>
      <c r="B197" s="763"/>
      <c r="C197" s="45"/>
      <c r="D197" s="542"/>
      <c r="E197" s="47"/>
      <c r="F197" s="126"/>
      <c r="G197" s="167"/>
      <c r="H197" s="167"/>
      <c r="I197" s="170"/>
      <c r="J197" s="806"/>
      <c r="K197" s="79"/>
      <c r="L197" s="154"/>
      <c r="M197" s="577"/>
      <c r="N197" s="158"/>
      <c r="O197" s="1957"/>
      <c r="P197" s="1517"/>
      <c r="Q197" s="1970"/>
      <c r="R197" s="248"/>
      <c r="S197" s="248"/>
      <c r="T197" s="248"/>
      <c r="U197" s="247"/>
      <c r="V197" s="788"/>
      <c r="W197" s="248"/>
      <c r="X197" s="248"/>
      <c r="Y197" s="194"/>
      <c r="Z197" s="249"/>
      <c r="AA197" s="250"/>
      <c r="AB197" s="251"/>
      <c r="AC197" s="252"/>
    </row>
    <row r="198" spans="1:29">
      <c r="A198" s="326">
        <f t="shared" si="34"/>
        <v>22</v>
      </c>
      <c r="B198" s="763"/>
      <c r="C198" s="45"/>
      <c r="D198" s="542"/>
      <c r="E198" s="47"/>
      <c r="F198" s="126"/>
      <c r="G198" s="167"/>
      <c r="H198" s="167"/>
      <c r="I198" s="170"/>
      <c r="J198" s="806"/>
      <c r="K198" s="79"/>
      <c r="L198" s="154"/>
      <c r="M198" s="577"/>
      <c r="N198" s="158"/>
      <c r="O198" s="1957"/>
      <c r="P198" s="1517"/>
      <c r="Q198" s="1970"/>
      <c r="R198" s="248"/>
      <c r="S198" s="248"/>
      <c r="T198" s="248"/>
      <c r="U198" s="247"/>
      <c r="V198" s="788"/>
      <c r="W198" s="248"/>
      <c r="X198" s="248"/>
      <c r="Y198" s="194"/>
      <c r="Z198" s="249"/>
      <c r="AA198" s="250"/>
      <c r="AB198" s="251"/>
      <c r="AC198" s="252"/>
    </row>
    <row r="199" spans="1:29">
      <c r="A199" s="326">
        <f t="shared" si="34"/>
        <v>23</v>
      </c>
      <c r="B199" s="763"/>
      <c r="C199" s="45"/>
      <c r="D199" s="542"/>
      <c r="E199" s="47"/>
      <c r="F199" s="126"/>
      <c r="G199" s="167"/>
      <c r="H199" s="167"/>
      <c r="I199" s="170"/>
      <c r="J199" s="806"/>
      <c r="K199" s="79"/>
      <c r="L199" s="154"/>
      <c r="M199" s="577"/>
      <c r="N199" s="158"/>
      <c r="O199" s="1957"/>
      <c r="P199" s="1517"/>
      <c r="Q199" s="1970"/>
      <c r="R199" s="248"/>
      <c r="S199" s="248"/>
      <c r="T199" s="248"/>
      <c r="U199" s="247"/>
      <c r="V199" s="788"/>
      <c r="W199" s="248"/>
      <c r="X199" s="248"/>
      <c r="Y199" s="194"/>
      <c r="Z199" s="249"/>
      <c r="AA199" s="250"/>
      <c r="AB199" s="251"/>
      <c r="AC199" s="252"/>
    </row>
    <row r="200" spans="1:29">
      <c r="A200" s="326">
        <f t="shared" si="34"/>
        <v>24</v>
      </c>
      <c r="B200" s="763"/>
      <c r="C200" s="45"/>
      <c r="D200" s="542"/>
      <c r="E200" s="47"/>
      <c r="F200" s="126"/>
      <c r="G200" s="167"/>
      <c r="H200" s="167"/>
      <c r="I200" s="170"/>
      <c r="J200" s="806"/>
      <c r="K200" s="79"/>
      <c r="L200" s="154"/>
      <c r="M200" s="577"/>
      <c r="N200" s="158"/>
      <c r="O200" s="1957"/>
      <c r="P200" s="1517"/>
      <c r="Q200" s="1970"/>
      <c r="R200" s="248"/>
      <c r="S200" s="248"/>
      <c r="T200" s="248"/>
      <c r="U200" s="247"/>
      <c r="V200" s="788"/>
      <c r="W200" s="248"/>
      <c r="X200" s="248"/>
      <c r="Y200" s="194"/>
      <c r="Z200" s="249"/>
      <c r="AA200" s="250"/>
      <c r="AB200" s="251"/>
      <c r="AC200" s="252"/>
    </row>
    <row r="201" spans="1:29">
      <c r="A201" s="326">
        <f t="shared" si="34"/>
        <v>25</v>
      </c>
      <c r="B201" s="763"/>
      <c r="C201" s="45"/>
      <c r="D201" s="542"/>
      <c r="E201" s="47"/>
      <c r="F201" s="126"/>
      <c r="G201" s="167"/>
      <c r="H201" s="167"/>
      <c r="I201" s="170"/>
      <c r="J201" s="806"/>
      <c r="K201" s="79"/>
      <c r="L201" s="154"/>
      <c r="M201" s="577"/>
      <c r="N201" s="158"/>
      <c r="O201" s="1957"/>
      <c r="P201" s="1517"/>
      <c r="Q201" s="1970"/>
      <c r="R201" s="248"/>
      <c r="S201" s="248"/>
      <c r="T201" s="248"/>
      <c r="U201" s="247"/>
      <c r="V201" s="788"/>
      <c r="W201" s="248"/>
      <c r="X201" s="248"/>
      <c r="Y201" s="194"/>
      <c r="Z201" s="249"/>
      <c r="AA201" s="250"/>
      <c r="AB201" s="251"/>
      <c r="AC201" s="252"/>
    </row>
    <row r="202" spans="1:29">
      <c r="A202" s="326">
        <f t="shared" si="34"/>
        <v>26</v>
      </c>
      <c r="B202" s="763"/>
      <c r="C202" s="45"/>
      <c r="D202" s="542"/>
      <c r="E202" s="47"/>
      <c r="F202" s="126"/>
      <c r="G202" s="167"/>
      <c r="H202" s="167"/>
      <c r="I202" s="170"/>
      <c r="J202" s="806"/>
      <c r="K202" s="79"/>
      <c r="L202" s="154"/>
      <c r="M202" s="577"/>
      <c r="N202" s="158"/>
      <c r="O202" s="1957"/>
      <c r="P202" s="1517"/>
      <c r="Q202" s="1970"/>
      <c r="R202" s="248"/>
      <c r="S202" s="248"/>
      <c r="T202" s="248"/>
      <c r="U202" s="247"/>
      <c r="V202" s="788"/>
      <c r="W202" s="248"/>
      <c r="X202" s="248"/>
      <c r="Y202" s="194"/>
      <c r="Z202" s="249"/>
      <c r="AA202" s="250"/>
      <c r="AB202" s="251"/>
      <c r="AC202" s="252"/>
    </row>
    <row r="203" spans="1:29">
      <c r="A203" s="326">
        <f t="shared" si="34"/>
        <v>27</v>
      </c>
      <c r="B203" s="763"/>
      <c r="C203" s="45"/>
      <c r="D203" s="542"/>
      <c r="E203" s="47"/>
      <c r="F203" s="126"/>
      <c r="G203" s="167"/>
      <c r="H203" s="167"/>
      <c r="I203" s="170"/>
      <c r="J203" s="806"/>
      <c r="K203" s="79"/>
      <c r="L203" s="154"/>
      <c r="M203" s="577"/>
      <c r="N203" s="158"/>
      <c r="O203" s="1957"/>
      <c r="P203" s="1517"/>
      <c r="Q203" s="1970"/>
      <c r="R203" s="248"/>
      <c r="S203" s="248"/>
      <c r="T203" s="248"/>
      <c r="U203" s="247"/>
      <c r="V203" s="788"/>
      <c r="W203" s="248"/>
      <c r="X203" s="248"/>
      <c r="Y203" s="194"/>
      <c r="Z203" s="249"/>
      <c r="AA203" s="250"/>
      <c r="AB203" s="251"/>
      <c r="AC203" s="252"/>
    </row>
    <row r="204" spans="1:29">
      <c r="A204" s="326">
        <f t="shared" si="34"/>
        <v>28</v>
      </c>
      <c r="B204" s="763"/>
      <c r="C204" s="45"/>
      <c r="D204" s="542"/>
      <c r="E204" s="47"/>
      <c r="F204" s="126"/>
      <c r="G204" s="167"/>
      <c r="H204" s="167"/>
      <c r="I204" s="170"/>
      <c r="J204" s="806"/>
      <c r="K204" s="79"/>
      <c r="L204" s="154"/>
      <c r="M204" s="577"/>
      <c r="N204" s="158"/>
      <c r="O204" s="1957"/>
      <c r="P204" s="1517"/>
      <c r="Q204" s="1970"/>
      <c r="R204" s="248"/>
      <c r="S204" s="248"/>
      <c r="T204" s="248"/>
      <c r="U204" s="247"/>
      <c r="V204" s="788"/>
      <c r="W204" s="248"/>
      <c r="X204" s="248"/>
      <c r="Y204" s="194"/>
      <c r="Z204" s="249"/>
      <c r="AA204" s="250"/>
      <c r="AB204" s="251"/>
      <c r="AC204" s="252"/>
    </row>
    <row r="205" spans="1:29">
      <c r="A205" s="326">
        <f t="shared" si="34"/>
        <v>29</v>
      </c>
      <c r="B205" s="763"/>
      <c r="C205" s="45"/>
      <c r="D205" s="542"/>
      <c r="E205" s="47"/>
      <c r="F205" s="126"/>
      <c r="G205" s="167"/>
      <c r="H205" s="167"/>
      <c r="I205" s="170"/>
      <c r="J205" s="806"/>
      <c r="K205" s="79"/>
      <c r="L205" s="154"/>
      <c r="M205" s="577"/>
      <c r="N205" s="158"/>
      <c r="O205" s="1957"/>
      <c r="P205" s="1517"/>
      <c r="Q205" s="1970"/>
      <c r="R205" s="248"/>
      <c r="S205" s="248"/>
      <c r="T205" s="248"/>
      <c r="U205" s="247"/>
      <c r="V205" s="788"/>
      <c r="W205" s="248"/>
      <c r="X205" s="248"/>
      <c r="Y205" s="194"/>
      <c r="Z205" s="249"/>
      <c r="AA205" s="250"/>
      <c r="AB205" s="251"/>
      <c r="AC205" s="252"/>
    </row>
    <row r="206" spans="1:29">
      <c r="A206" s="326">
        <f t="shared" si="34"/>
        <v>30</v>
      </c>
      <c r="B206" s="763"/>
      <c r="C206" s="45"/>
      <c r="D206" s="542"/>
      <c r="E206" s="47"/>
      <c r="F206" s="126"/>
      <c r="G206" s="167"/>
      <c r="H206" s="167"/>
      <c r="I206" s="170"/>
      <c r="J206" s="806"/>
      <c r="K206" s="79"/>
      <c r="L206" s="154"/>
      <c r="M206" s="577"/>
      <c r="N206" s="158"/>
      <c r="O206" s="1957"/>
      <c r="P206" s="1517"/>
      <c r="Q206" s="1970"/>
      <c r="R206" s="248"/>
      <c r="S206" s="248"/>
      <c r="T206" s="248"/>
      <c r="U206" s="247"/>
      <c r="V206" s="788"/>
      <c r="W206" s="248"/>
      <c r="X206" s="248"/>
      <c r="Y206" s="194"/>
      <c r="Z206" s="249"/>
      <c r="AA206" s="250"/>
      <c r="AB206" s="251"/>
      <c r="AC206" s="252"/>
    </row>
    <row r="207" spans="1:29">
      <c r="A207" s="326">
        <f t="shared" si="34"/>
        <v>31</v>
      </c>
      <c r="B207" s="763"/>
      <c r="C207" s="45"/>
      <c r="D207" s="542"/>
      <c r="E207" s="47"/>
      <c r="F207" s="126"/>
      <c r="G207" s="167"/>
      <c r="H207" s="167"/>
      <c r="I207" s="170"/>
      <c r="J207" s="806"/>
      <c r="K207" s="79"/>
      <c r="L207" s="154"/>
      <c r="M207" s="577"/>
      <c r="N207" s="158"/>
      <c r="O207" s="1957"/>
      <c r="P207" s="1517"/>
      <c r="Q207" s="1970"/>
      <c r="R207" s="248"/>
      <c r="S207" s="248"/>
      <c r="T207" s="248"/>
      <c r="U207" s="247"/>
      <c r="V207" s="788"/>
      <c r="W207" s="248"/>
      <c r="X207" s="248"/>
      <c r="Y207" s="194"/>
      <c r="Z207" s="249"/>
      <c r="AA207" s="250"/>
      <c r="AB207" s="251"/>
      <c r="AC207" s="252"/>
    </row>
    <row r="208" spans="1:29">
      <c r="A208" s="326">
        <f t="shared" si="34"/>
        <v>32</v>
      </c>
      <c r="B208" s="763"/>
      <c r="C208" s="45"/>
      <c r="D208" s="542"/>
      <c r="E208" s="47"/>
      <c r="F208" s="126"/>
      <c r="G208" s="167"/>
      <c r="H208" s="167"/>
      <c r="I208" s="170"/>
      <c r="J208" s="806"/>
      <c r="K208" s="79"/>
      <c r="L208" s="154"/>
      <c r="M208" s="577"/>
      <c r="N208" s="158"/>
      <c r="O208" s="1957"/>
      <c r="P208" s="1517"/>
      <c r="Q208" s="1970"/>
      <c r="R208" s="248"/>
      <c r="S208" s="248"/>
      <c r="T208" s="248"/>
      <c r="U208" s="247"/>
      <c r="V208" s="788"/>
      <c r="W208" s="248"/>
      <c r="X208" s="248"/>
      <c r="Y208" s="194"/>
      <c r="Z208" s="249"/>
      <c r="AA208" s="250"/>
      <c r="AB208" s="251"/>
      <c r="AC208" s="252"/>
    </row>
    <row r="209" spans="1:29">
      <c r="A209" s="326">
        <f t="shared" si="34"/>
        <v>33</v>
      </c>
      <c r="B209" s="763"/>
      <c r="C209" s="45"/>
      <c r="D209" s="542"/>
      <c r="E209" s="47"/>
      <c r="F209" s="126"/>
      <c r="G209" s="167"/>
      <c r="H209" s="167"/>
      <c r="I209" s="170"/>
      <c r="J209" s="806"/>
      <c r="K209" s="79"/>
      <c r="L209" s="154"/>
      <c r="M209" s="577"/>
      <c r="N209" s="158"/>
      <c r="O209" s="1957"/>
      <c r="P209" s="1517"/>
      <c r="Q209" s="1970"/>
      <c r="R209" s="248"/>
      <c r="S209" s="248"/>
      <c r="T209" s="248"/>
      <c r="U209" s="247"/>
      <c r="V209" s="788"/>
      <c r="W209" s="248"/>
      <c r="X209" s="248"/>
      <c r="Y209" s="194"/>
      <c r="Z209" s="249"/>
      <c r="AA209" s="250"/>
      <c r="AB209" s="251"/>
      <c r="AC209" s="252"/>
    </row>
    <row r="210" spans="1:29">
      <c r="A210" s="326">
        <f t="shared" si="34"/>
        <v>34</v>
      </c>
      <c r="B210" s="763"/>
      <c r="C210" s="45"/>
      <c r="D210" s="542"/>
      <c r="E210" s="47"/>
      <c r="F210" s="126"/>
      <c r="G210" s="167"/>
      <c r="H210" s="167"/>
      <c r="I210" s="170"/>
      <c r="J210" s="806"/>
      <c r="K210" s="79"/>
      <c r="L210" s="154"/>
      <c r="M210" s="577"/>
      <c r="N210" s="158"/>
      <c r="O210" s="1957"/>
      <c r="P210" s="1517"/>
      <c r="Q210" s="1970"/>
      <c r="R210" s="248"/>
      <c r="S210" s="248"/>
      <c r="T210" s="248"/>
      <c r="U210" s="247"/>
      <c r="V210" s="788"/>
      <c r="W210" s="248"/>
      <c r="X210" s="248"/>
      <c r="Y210" s="194"/>
      <c r="Z210" s="249"/>
      <c r="AA210" s="250"/>
      <c r="AB210" s="251"/>
      <c r="AC210" s="252"/>
    </row>
    <row r="211" spans="1:29">
      <c r="A211" s="326">
        <f t="shared" si="34"/>
        <v>35</v>
      </c>
      <c r="B211" s="763"/>
      <c r="C211" s="45"/>
      <c r="D211" s="542"/>
      <c r="E211" s="47"/>
      <c r="F211" s="126"/>
      <c r="G211" s="167"/>
      <c r="H211" s="167"/>
      <c r="I211" s="170"/>
      <c r="J211" s="806"/>
      <c r="K211" s="79"/>
      <c r="L211" s="154"/>
      <c r="M211" s="577"/>
      <c r="N211" s="158"/>
      <c r="O211" s="1957"/>
      <c r="P211" s="1517"/>
      <c r="Q211" s="1970"/>
      <c r="R211" s="248"/>
      <c r="S211" s="248"/>
      <c r="T211" s="248"/>
      <c r="U211" s="247"/>
      <c r="V211" s="788"/>
      <c r="W211" s="248"/>
      <c r="X211" s="248"/>
      <c r="Y211" s="194"/>
      <c r="Z211" s="249"/>
      <c r="AA211" s="250"/>
      <c r="AB211" s="251"/>
      <c r="AC211" s="252"/>
    </row>
    <row r="212" spans="1:29">
      <c r="A212" s="326">
        <f t="shared" si="34"/>
        <v>36</v>
      </c>
      <c r="B212" s="763"/>
      <c r="C212" s="45"/>
      <c r="D212" s="542"/>
      <c r="E212" s="47"/>
      <c r="F212" s="126"/>
      <c r="G212" s="167"/>
      <c r="H212" s="167"/>
      <c r="I212" s="170"/>
      <c r="J212" s="806"/>
      <c r="K212" s="79"/>
      <c r="L212" s="154"/>
      <c r="M212" s="577"/>
      <c r="N212" s="158"/>
      <c r="O212" s="1957"/>
      <c r="P212" s="1517"/>
      <c r="Q212" s="1970"/>
      <c r="R212" s="248"/>
      <c r="S212" s="248"/>
      <c r="T212" s="248"/>
      <c r="U212" s="247"/>
      <c r="V212" s="788"/>
      <c r="W212" s="248"/>
      <c r="X212" s="248"/>
      <c r="Y212" s="194"/>
      <c r="Z212" s="249"/>
      <c r="AA212" s="250"/>
      <c r="AB212" s="251"/>
      <c r="AC212" s="252"/>
    </row>
    <row r="213" spans="1:29">
      <c r="A213" s="326">
        <f t="shared" si="34"/>
        <v>37</v>
      </c>
      <c r="B213" s="763"/>
      <c r="C213" s="45"/>
      <c r="D213" s="542"/>
      <c r="E213" s="47"/>
      <c r="F213" s="126"/>
      <c r="G213" s="167"/>
      <c r="H213" s="167"/>
      <c r="I213" s="170"/>
      <c r="J213" s="806"/>
      <c r="K213" s="79"/>
      <c r="L213" s="154"/>
      <c r="M213" s="577"/>
      <c r="N213" s="158"/>
      <c r="O213" s="1957"/>
      <c r="P213" s="1517"/>
      <c r="Q213" s="1970"/>
      <c r="R213" s="248"/>
      <c r="S213" s="248"/>
      <c r="T213" s="248"/>
      <c r="U213" s="247"/>
      <c r="V213" s="788"/>
      <c r="W213" s="248"/>
      <c r="X213" s="248"/>
      <c r="Y213" s="194"/>
      <c r="Z213" s="249"/>
      <c r="AA213" s="250"/>
      <c r="AB213" s="251"/>
      <c r="AC213" s="252"/>
    </row>
    <row r="214" spans="1:29">
      <c r="A214" s="326">
        <f t="shared" si="34"/>
        <v>38</v>
      </c>
      <c r="B214" s="763"/>
      <c r="C214" s="45"/>
      <c r="D214" s="542"/>
      <c r="E214" s="47"/>
      <c r="F214" s="126"/>
      <c r="G214" s="167"/>
      <c r="H214" s="167"/>
      <c r="I214" s="170"/>
      <c r="J214" s="806"/>
      <c r="K214" s="79"/>
      <c r="L214" s="154"/>
      <c r="M214" s="577"/>
      <c r="N214" s="158"/>
      <c r="O214" s="1957"/>
      <c r="P214" s="1517"/>
      <c r="Q214" s="1970"/>
      <c r="R214" s="248"/>
      <c r="S214" s="248"/>
      <c r="T214" s="248"/>
      <c r="U214" s="247"/>
      <c r="V214" s="788"/>
      <c r="W214" s="248"/>
      <c r="X214" s="248"/>
      <c r="Y214" s="194"/>
      <c r="Z214" s="249"/>
      <c r="AA214" s="250"/>
      <c r="AB214" s="251"/>
      <c r="AC214" s="252"/>
    </row>
    <row r="215" spans="1:29">
      <c r="A215" s="326">
        <f t="shared" si="34"/>
        <v>39</v>
      </c>
      <c r="B215" s="763"/>
      <c r="C215" s="45"/>
      <c r="D215" s="542"/>
      <c r="E215" s="47"/>
      <c r="F215" s="126"/>
      <c r="G215" s="167"/>
      <c r="H215" s="167"/>
      <c r="I215" s="170"/>
      <c r="J215" s="806"/>
      <c r="K215" s="79"/>
      <c r="L215" s="154"/>
      <c r="M215" s="577"/>
      <c r="N215" s="158"/>
      <c r="O215" s="1957"/>
      <c r="P215" s="1517"/>
      <c r="Q215" s="1970"/>
      <c r="R215" s="248"/>
      <c r="S215" s="248"/>
      <c r="T215" s="248"/>
      <c r="U215" s="247"/>
      <c r="V215" s="788"/>
      <c r="W215" s="248"/>
      <c r="X215" s="248"/>
      <c r="Y215" s="194"/>
      <c r="Z215" s="249"/>
      <c r="AA215" s="250"/>
      <c r="AB215" s="251"/>
      <c r="AC215" s="252"/>
    </row>
    <row r="216" spans="1:29">
      <c r="A216" s="326">
        <f t="shared" si="34"/>
        <v>40</v>
      </c>
      <c r="B216" s="763"/>
      <c r="C216" s="45"/>
      <c r="D216" s="542"/>
      <c r="E216" s="47"/>
      <c r="F216" s="126"/>
      <c r="G216" s="167"/>
      <c r="H216" s="167"/>
      <c r="I216" s="170"/>
      <c r="J216" s="806"/>
      <c r="K216" s="79"/>
      <c r="L216" s="154"/>
      <c r="M216" s="577"/>
      <c r="N216" s="158"/>
      <c r="O216" s="1957"/>
      <c r="P216" s="1517"/>
      <c r="Q216" s="1970"/>
      <c r="R216" s="248"/>
      <c r="S216" s="248"/>
      <c r="T216" s="248"/>
      <c r="U216" s="247"/>
      <c r="V216" s="788"/>
      <c r="W216" s="248"/>
      <c r="X216" s="248"/>
      <c r="Y216" s="194"/>
      <c r="Z216" s="249"/>
      <c r="AA216" s="250"/>
      <c r="AB216" s="251"/>
      <c r="AC216" s="252"/>
    </row>
    <row r="217" spans="1:29">
      <c r="A217" s="326">
        <f t="shared" si="34"/>
        <v>41</v>
      </c>
      <c r="B217" s="763"/>
      <c r="C217" s="45"/>
      <c r="D217" s="542"/>
      <c r="E217" s="47"/>
      <c r="F217" s="126"/>
      <c r="G217" s="167"/>
      <c r="H217" s="167"/>
      <c r="I217" s="170"/>
      <c r="J217" s="806"/>
      <c r="K217" s="79"/>
      <c r="L217" s="154"/>
      <c r="M217" s="577"/>
      <c r="N217" s="158"/>
      <c r="O217" s="1957"/>
      <c r="P217" s="1517"/>
      <c r="Q217" s="1970"/>
      <c r="R217" s="248"/>
      <c r="S217" s="248"/>
      <c r="T217" s="248"/>
      <c r="U217" s="247"/>
      <c r="V217" s="788"/>
      <c r="W217" s="248"/>
      <c r="X217" s="248"/>
      <c r="Y217" s="194"/>
      <c r="Z217" s="249"/>
      <c r="AA217" s="250"/>
      <c r="AB217" s="251"/>
      <c r="AC217" s="252"/>
    </row>
    <row r="218" spans="1:29">
      <c r="A218" s="326">
        <f t="shared" si="34"/>
        <v>42</v>
      </c>
      <c r="B218" s="763"/>
      <c r="C218" s="45"/>
      <c r="D218" s="542"/>
      <c r="E218" s="47"/>
      <c r="F218" s="126"/>
      <c r="G218" s="167"/>
      <c r="H218" s="167"/>
      <c r="I218" s="170"/>
      <c r="J218" s="806"/>
      <c r="K218" s="79"/>
      <c r="L218" s="154"/>
      <c r="M218" s="577"/>
      <c r="N218" s="158"/>
      <c r="O218" s="1957"/>
      <c r="P218" s="1517"/>
      <c r="Q218" s="1970"/>
      <c r="R218" s="248"/>
      <c r="S218" s="248"/>
      <c r="T218" s="248"/>
      <c r="U218" s="247"/>
      <c r="V218" s="788"/>
      <c r="W218" s="248"/>
      <c r="X218" s="248"/>
      <c r="Y218" s="194"/>
      <c r="Z218" s="249"/>
      <c r="AA218" s="250"/>
      <c r="AB218" s="251"/>
      <c r="AC218" s="252"/>
    </row>
    <row r="219" spans="1:29">
      <c r="A219" s="326">
        <f t="shared" si="34"/>
        <v>43</v>
      </c>
      <c r="B219" s="763"/>
      <c r="C219" s="45"/>
      <c r="D219" s="542"/>
      <c r="E219" s="47"/>
      <c r="F219" s="126"/>
      <c r="G219" s="167"/>
      <c r="H219" s="167"/>
      <c r="I219" s="170"/>
      <c r="J219" s="806"/>
      <c r="K219" s="79"/>
      <c r="L219" s="154"/>
      <c r="M219" s="577"/>
      <c r="N219" s="158"/>
      <c r="O219" s="1957"/>
      <c r="P219" s="1517"/>
      <c r="Q219" s="1970"/>
      <c r="R219" s="248"/>
      <c r="S219" s="248"/>
      <c r="T219" s="248"/>
      <c r="U219" s="247"/>
      <c r="V219" s="788"/>
      <c r="W219" s="248"/>
      <c r="X219" s="248"/>
      <c r="Y219" s="194"/>
      <c r="Z219" s="249"/>
      <c r="AA219" s="250"/>
      <c r="AB219" s="251"/>
      <c r="AC219" s="252"/>
    </row>
    <row r="220" spans="1:29">
      <c r="A220" s="326">
        <f t="shared" si="34"/>
        <v>44</v>
      </c>
      <c r="B220" s="763"/>
      <c r="C220" s="45"/>
      <c r="D220" s="542"/>
      <c r="E220" s="47"/>
      <c r="F220" s="126"/>
      <c r="G220" s="167"/>
      <c r="H220" s="167"/>
      <c r="I220" s="170"/>
      <c r="J220" s="806"/>
      <c r="K220" s="79"/>
      <c r="L220" s="154"/>
      <c r="M220" s="577"/>
      <c r="N220" s="158"/>
      <c r="O220" s="1957"/>
      <c r="P220" s="1517"/>
      <c r="Q220" s="1970"/>
      <c r="R220" s="248"/>
      <c r="S220" s="248"/>
      <c r="T220" s="248"/>
      <c r="U220" s="247"/>
      <c r="V220" s="788"/>
      <c r="W220" s="248"/>
      <c r="X220" s="248"/>
      <c r="Y220" s="194"/>
      <c r="Z220" s="249"/>
      <c r="AA220" s="250"/>
      <c r="AB220" s="251"/>
      <c r="AC220" s="252"/>
    </row>
    <row r="221" spans="1:29">
      <c r="A221" s="326">
        <f t="shared" si="34"/>
        <v>45</v>
      </c>
      <c r="B221" s="763"/>
      <c r="C221" s="45"/>
      <c r="D221" s="542"/>
      <c r="E221" s="47"/>
      <c r="F221" s="126"/>
      <c r="G221" s="167"/>
      <c r="H221" s="167"/>
      <c r="I221" s="170"/>
      <c r="J221" s="806"/>
      <c r="K221" s="79"/>
      <c r="L221" s="154"/>
      <c r="M221" s="577"/>
      <c r="N221" s="158"/>
      <c r="O221" s="1957"/>
      <c r="P221" s="1517"/>
      <c r="Q221" s="1970"/>
      <c r="R221" s="248"/>
      <c r="S221" s="248"/>
      <c r="T221" s="248"/>
      <c r="U221" s="247"/>
      <c r="V221" s="788"/>
      <c r="W221" s="248"/>
      <c r="X221" s="248"/>
      <c r="Y221" s="194"/>
      <c r="Z221" s="249"/>
      <c r="AA221" s="250"/>
      <c r="AB221" s="251"/>
      <c r="AC221" s="252"/>
    </row>
    <row r="222" spans="1:29">
      <c r="A222" s="326">
        <f t="shared" si="34"/>
        <v>46</v>
      </c>
      <c r="B222" s="763"/>
      <c r="C222" s="45"/>
      <c r="D222" s="542"/>
      <c r="E222" s="47"/>
      <c r="F222" s="126"/>
      <c r="G222" s="167"/>
      <c r="H222" s="167"/>
      <c r="I222" s="170"/>
      <c r="J222" s="806"/>
      <c r="K222" s="79"/>
      <c r="L222" s="154"/>
      <c r="M222" s="577"/>
      <c r="N222" s="158"/>
      <c r="O222" s="1957"/>
      <c r="P222" s="1517"/>
      <c r="Q222" s="1970"/>
      <c r="R222" s="248"/>
      <c r="S222" s="248"/>
      <c r="T222" s="248"/>
      <c r="U222" s="247"/>
      <c r="V222" s="788"/>
      <c r="W222" s="248"/>
      <c r="X222" s="248"/>
      <c r="Y222" s="194"/>
      <c r="Z222" s="249"/>
      <c r="AA222" s="250"/>
      <c r="AB222" s="251"/>
      <c r="AC222" s="252"/>
    </row>
    <row r="223" spans="1:29">
      <c r="A223" s="326">
        <f t="shared" si="34"/>
        <v>47</v>
      </c>
      <c r="B223" s="763"/>
      <c r="C223" s="45"/>
      <c r="D223" s="542"/>
      <c r="E223" s="47"/>
      <c r="F223" s="126"/>
      <c r="G223" s="167"/>
      <c r="H223" s="167"/>
      <c r="I223" s="170"/>
      <c r="J223" s="806"/>
      <c r="K223" s="79"/>
      <c r="L223" s="154"/>
      <c r="M223" s="577"/>
      <c r="N223" s="158"/>
      <c r="O223" s="1957"/>
      <c r="P223" s="1517"/>
      <c r="Q223" s="1970"/>
      <c r="R223" s="248"/>
      <c r="S223" s="248"/>
      <c r="T223" s="248"/>
      <c r="U223" s="247"/>
      <c r="V223" s="788"/>
      <c r="W223" s="248"/>
      <c r="X223" s="248"/>
      <c r="Y223" s="194"/>
      <c r="Z223" s="249"/>
      <c r="AA223" s="250"/>
      <c r="AB223" s="251"/>
      <c r="AC223" s="252"/>
    </row>
    <row r="224" spans="1:29">
      <c r="A224" s="326">
        <f t="shared" si="34"/>
        <v>48</v>
      </c>
      <c r="B224" s="763"/>
      <c r="C224" s="45"/>
      <c r="D224" s="542"/>
      <c r="E224" s="47"/>
      <c r="F224" s="126"/>
      <c r="G224" s="167"/>
      <c r="H224" s="167"/>
      <c r="I224" s="170"/>
      <c r="J224" s="806"/>
      <c r="K224" s="79"/>
      <c r="L224" s="154"/>
      <c r="M224" s="577"/>
      <c r="N224" s="158"/>
      <c r="O224" s="1957"/>
      <c r="P224" s="1517"/>
      <c r="Q224" s="1970"/>
      <c r="R224" s="248"/>
      <c r="S224" s="248"/>
      <c r="T224" s="248"/>
      <c r="U224" s="247"/>
      <c r="V224" s="788"/>
      <c r="W224" s="248"/>
      <c r="X224" s="248"/>
      <c r="Y224" s="194"/>
      <c r="Z224" s="249"/>
      <c r="AA224" s="250"/>
      <c r="AB224" s="251"/>
      <c r="AC224" s="252"/>
    </row>
    <row r="225" spans="1:29">
      <c r="A225" s="326">
        <f t="shared" si="34"/>
        <v>49</v>
      </c>
      <c r="B225" s="763"/>
      <c r="C225" s="45"/>
      <c r="D225" s="542"/>
      <c r="E225" s="47"/>
      <c r="F225" s="126"/>
      <c r="G225" s="167"/>
      <c r="H225" s="167"/>
      <c r="I225" s="170"/>
      <c r="J225" s="806"/>
      <c r="K225" s="79"/>
      <c r="L225" s="154"/>
      <c r="M225" s="577"/>
      <c r="N225" s="158"/>
      <c r="O225" s="1957"/>
      <c r="P225" s="1517"/>
      <c r="Q225" s="1970"/>
      <c r="R225" s="248"/>
      <c r="S225" s="248"/>
      <c r="T225" s="248"/>
      <c r="U225" s="247"/>
      <c r="V225" s="788"/>
      <c r="W225" s="248"/>
      <c r="X225" s="248"/>
      <c r="Y225" s="194"/>
      <c r="Z225" s="249"/>
      <c r="AA225" s="250"/>
      <c r="AB225" s="251"/>
      <c r="AC225" s="252"/>
    </row>
    <row r="226" spans="1:29">
      <c r="A226" s="326">
        <f t="shared" si="34"/>
        <v>50</v>
      </c>
      <c r="B226" s="763"/>
      <c r="C226" s="45"/>
      <c r="D226" s="542"/>
      <c r="E226" s="47"/>
      <c r="F226" s="126"/>
      <c r="G226" s="167"/>
      <c r="H226" s="167"/>
      <c r="I226" s="170"/>
      <c r="J226" s="806"/>
      <c r="K226" s="79"/>
      <c r="L226" s="154"/>
      <c r="M226" s="577"/>
      <c r="N226" s="158"/>
      <c r="O226" s="1957"/>
      <c r="P226" s="1517"/>
      <c r="Q226" s="1970"/>
      <c r="R226" s="248"/>
      <c r="S226" s="248"/>
      <c r="T226" s="248"/>
      <c r="U226" s="247"/>
      <c r="V226" s="788"/>
      <c r="W226" s="248"/>
      <c r="X226" s="248"/>
      <c r="Y226" s="194"/>
      <c r="Z226" s="249"/>
      <c r="AA226" s="250"/>
      <c r="AB226" s="251"/>
      <c r="AC226" s="252"/>
    </row>
    <row r="227" spans="1:29">
      <c r="A227" s="326">
        <f t="shared" ref="A227:A246" si="37">+A226+1</f>
        <v>51</v>
      </c>
      <c r="B227" s="763"/>
      <c r="C227" s="45"/>
      <c r="D227" s="542"/>
      <c r="E227" s="47"/>
      <c r="F227" s="126"/>
      <c r="G227" s="167"/>
      <c r="H227" s="167"/>
      <c r="I227" s="170"/>
      <c r="J227" s="806"/>
      <c r="K227" s="79"/>
      <c r="L227" s="154"/>
      <c r="M227" s="577"/>
      <c r="N227" s="158"/>
      <c r="O227" s="1957"/>
      <c r="P227" s="1517"/>
      <c r="Q227" s="1970"/>
      <c r="R227" s="248"/>
      <c r="S227" s="248"/>
      <c r="T227" s="248"/>
      <c r="U227" s="247"/>
      <c r="V227" s="788"/>
      <c r="W227" s="248"/>
      <c r="X227" s="248"/>
      <c r="Y227" s="194"/>
      <c r="Z227" s="249"/>
      <c r="AA227" s="250"/>
      <c r="AB227" s="251"/>
      <c r="AC227" s="252"/>
    </row>
    <row r="228" spans="1:29">
      <c r="A228" s="326">
        <f t="shared" si="37"/>
        <v>52</v>
      </c>
      <c r="B228" s="763"/>
      <c r="C228" s="45"/>
      <c r="D228" s="542"/>
      <c r="E228" s="47"/>
      <c r="F228" s="126"/>
      <c r="G228" s="167"/>
      <c r="H228" s="167"/>
      <c r="I228" s="170"/>
      <c r="J228" s="806"/>
      <c r="K228" s="79"/>
      <c r="L228" s="154"/>
      <c r="M228" s="577"/>
      <c r="N228" s="158"/>
      <c r="O228" s="1957"/>
      <c r="P228" s="1517"/>
      <c r="Q228" s="1970"/>
      <c r="R228" s="248"/>
      <c r="S228" s="248"/>
      <c r="T228" s="248"/>
      <c r="U228" s="247"/>
      <c r="V228" s="788"/>
      <c r="W228" s="248"/>
      <c r="X228" s="248"/>
      <c r="Y228" s="194"/>
      <c r="Z228" s="249"/>
      <c r="AA228" s="250"/>
      <c r="AB228" s="251"/>
      <c r="AC228" s="252"/>
    </row>
    <row r="229" spans="1:29">
      <c r="A229" s="326">
        <f t="shared" si="37"/>
        <v>53</v>
      </c>
      <c r="B229" s="763"/>
      <c r="C229" s="45"/>
      <c r="D229" s="542"/>
      <c r="E229" s="47"/>
      <c r="F229" s="126"/>
      <c r="G229" s="167"/>
      <c r="H229" s="167"/>
      <c r="I229" s="170"/>
      <c r="J229" s="806"/>
      <c r="K229" s="79"/>
      <c r="L229" s="154"/>
      <c r="M229" s="577"/>
      <c r="N229" s="158"/>
      <c r="O229" s="1957"/>
      <c r="P229" s="1517"/>
      <c r="Q229" s="1970"/>
      <c r="R229" s="248"/>
      <c r="S229" s="248"/>
      <c r="T229" s="248"/>
      <c r="U229" s="247"/>
      <c r="V229" s="788"/>
      <c r="W229" s="248"/>
      <c r="X229" s="248"/>
      <c r="Y229" s="194"/>
      <c r="Z229" s="249"/>
      <c r="AA229" s="250"/>
      <c r="AB229" s="251"/>
      <c r="AC229" s="252"/>
    </row>
    <row r="230" spans="1:29">
      <c r="A230" s="326">
        <f t="shared" si="37"/>
        <v>54</v>
      </c>
      <c r="B230" s="763"/>
      <c r="C230" s="45"/>
      <c r="D230" s="542"/>
      <c r="E230" s="47"/>
      <c r="F230" s="126"/>
      <c r="G230" s="167"/>
      <c r="H230" s="167"/>
      <c r="I230" s="170"/>
      <c r="J230" s="806"/>
      <c r="K230" s="79"/>
      <c r="L230" s="154"/>
      <c r="M230" s="577"/>
      <c r="N230" s="158"/>
      <c r="O230" s="1957"/>
      <c r="P230" s="1517"/>
      <c r="Q230" s="1970"/>
      <c r="R230" s="248"/>
      <c r="S230" s="248"/>
      <c r="T230" s="248"/>
      <c r="U230" s="247"/>
      <c r="V230" s="788"/>
      <c r="W230" s="248"/>
      <c r="X230" s="248"/>
      <c r="Y230" s="194"/>
      <c r="Z230" s="249"/>
      <c r="AA230" s="250"/>
      <c r="AB230" s="251"/>
      <c r="AC230" s="252"/>
    </row>
    <row r="231" spans="1:29">
      <c r="A231" s="326">
        <f t="shared" si="37"/>
        <v>55</v>
      </c>
      <c r="B231" s="763"/>
      <c r="C231" s="45"/>
      <c r="D231" s="542"/>
      <c r="E231" s="47"/>
      <c r="F231" s="126"/>
      <c r="G231" s="167"/>
      <c r="H231" s="167"/>
      <c r="I231" s="170"/>
      <c r="J231" s="806"/>
      <c r="K231" s="79"/>
      <c r="L231" s="154"/>
      <c r="M231" s="577"/>
      <c r="N231" s="158"/>
      <c r="O231" s="1957"/>
      <c r="P231" s="1517"/>
      <c r="Q231" s="1970"/>
      <c r="R231" s="248"/>
      <c r="S231" s="248"/>
      <c r="T231" s="248"/>
      <c r="U231" s="247"/>
      <c r="V231" s="788"/>
      <c r="W231" s="248"/>
      <c r="X231" s="248"/>
      <c r="Y231" s="194"/>
      <c r="Z231" s="249"/>
      <c r="AA231" s="250"/>
      <c r="AB231" s="251"/>
      <c r="AC231" s="252"/>
    </row>
    <row r="232" spans="1:29">
      <c r="A232" s="326">
        <f t="shared" si="37"/>
        <v>56</v>
      </c>
      <c r="B232" s="763"/>
      <c r="C232" s="45"/>
      <c r="D232" s="542"/>
      <c r="E232" s="47"/>
      <c r="F232" s="126"/>
      <c r="G232" s="167"/>
      <c r="H232" s="167"/>
      <c r="I232" s="170"/>
      <c r="J232" s="806"/>
      <c r="K232" s="79"/>
      <c r="L232" s="154"/>
      <c r="M232" s="577"/>
      <c r="N232" s="158"/>
      <c r="O232" s="1957"/>
      <c r="P232" s="1517"/>
      <c r="Q232" s="1970"/>
      <c r="R232" s="248"/>
      <c r="S232" s="248"/>
      <c r="T232" s="248"/>
      <c r="U232" s="247"/>
      <c r="V232" s="788"/>
      <c r="W232" s="248"/>
      <c r="X232" s="248"/>
      <c r="Y232" s="194"/>
      <c r="Z232" s="249"/>
      <c r="AA232" s="250"/>
      <c r="AB232" s="251"/>
      <c r="AC232" s="252"/>
    </row>
    <row r="233" spans="1:29">
      <c r="A233" s="326">
        <f t="shared" si="37"/>
        <v>57</v>
      </c>
      <c r="B233" s="763"/>
      <c r="C233" s="45"/>
      <c r="D233" s="542"/>
      <c r="E233" s="47"/>
      <c r="F233" s="126"/>
      <c r="G233" s="167"/>
      <c r="H233" s="167"/>
      <c r="I233" s="170"/>
      <c r="J233" s="806"/>
      <c r="K233" s="79"/>
      <c r="L233" s="154"/>
      <c r="M233" s="577"/>
      <c r="N233" s="158"/>
      <c r="O233" s="1957"/>
      <c r="P233" s="1517"/>
      <c r="Q233" s="1970"/>
      <c r="R233" s="248"/>
      <c r="S233" s="248"/>
      <c r="T233" s="248"/>
      <c r="U233" s="247"/>
      <c r="V233" s="788"/>
      <c r="W233" s="248"/>
      <c r="X233" s="248"/>
      <c r="Y233" s="194"/>
      <c r="Z233" s="249"/>
      <c r="AA233" s="250"/>
      <c r="AB233" s="251"/>
      <c r="AC233" s="252"/>
    </row>
    <row r="234" spans="1:29">
      <c r="A234" s="326">
        <f t="shared" si="37"/>
        <v>58</v>
      </c>
      <c r="B234" s="763"/>
      <c r="C234" s="45"/>
      <c r="D234" s="542"/>
      <c r="E234" s="47"/>
      <c r="F234" s="126"/>
      <c r="G234" s="167"/>
      <c r="H234" s="167"/>
      <c r="I234" s="170"/>
      <c r="J234" s="806"/>
      <c r="K234" s="79"/>
      <c r="L234" s="154"/>
      <c r="M234" s="577"/>
      <c r="N234" s="158"/>
      <c r="O234" s="1957"/>
      <c r="P234" s="1517"/>
      <c r="Q234" s="1970"/>
      <c r="R234" s="248"/>
      <c r="S234" s="248"/>
      <c r="T234" s="248"/>
      <c r="U234" s="247"/>
      <c r="V234" s="788"/>
      <c r="W234" s="248"/>
      <c r="X234" s="248"/>
      <c r="Y234" s="194"/>
      <c r="Z234" s="249"/>
      <c r="AA234" s="250"/>
      <c r="AB234" s="251"/>
      <c r="AC234" s="252"/>
    </row>
    <row r="235" spans="1:29">
      <c r="A235" s="326">
        <f t="shared" si="37"/>
        <v>59</v>
      </c>
      <c r="B235" s="763"/>
      <c r="C235" s="45"/>
      <c r="D235" s="542"/>
      <c r="E235" s="47"/>
      <c r="F235" s="126"/>
      <c r="G235" s="167"/>
      <c r="H235" s="167"/>
      <c r="I235" s="170"/>
      <c r="J235" s="806"/>
      <c r="K235" s="79"/>
      <c r="L235" s="154"/>
      <c r="M235" s="577"/>
      <c r="N235" s="158"/>
      <c r="O235" s="1957"/>
      <c r="P235" s="1517"/>
      <c r="Q235" s="1970"/>
      <c r="R235" s="248"/>
      <c r="S235" s="248"/>
      <c r="T235" s="248"/>
      <c r="U235" s="247"/>
      <c r="V235" s="788"/>
      <c r="W235" s="248"/>
      <c r="X235" s="248"/>
      <c r="Y235" s="194"/>
      <c r="Z235" s="249"/>
      <c r="AA235" s="250"/>
      <c r="AB235" s="251"/>
      <c r="AC235" s="252"/>
    </row>
    <row r="236" spans="1:29">
      <c r="A236" s="326">
        <f t="shared" si="37"/>
        <v>60</v>
      </c>
      <c r="B236" s="763"/>
      <c r="C236" s="45"/>
      <c r="D236" s="542"/>
      <c r="E236" s="47"/>
      <c r="F236" s="126"/>
      <c r="G236" s="167"/>
      <c r="H236" s="167"/>
      <c r="I236" s="170"/>
      <c r="J236" s="806"/>
      <c r="K236" s="79"/>
      <c r="L236" s="154"/>
      <c r="M236" s="577"/>
      <c r="N236" s="158"/>
      <c r="O236" s="1957"/>
      <c r="P236" s="1517"/>
      <c r="Q236" s="1970"/>
      <c r="R236" s="248"/>
      <c r="S236" s="248"/>
      <c r="T236" s="248"/>
      <c r="U236" s="247"/>
      <c r="V236" s="788"/>
      <c r="W236" s="248"/>
      <c r="X236" s="248"/>
      <c r="Y236" s="194"/>
      <c r="Z236" s="249"/>
      <c r="AA236" s="250"/>
      <c r="AB236" s="251"/>
      <c r="AC236" s="252"/>
    </row>
    <row r="237" spans="1:29">
      <c r="A237" s="326">
        <f t="shared" si="37"/>
        <v>61</v>
      </c>
      <c r="B237" s="763"/>
      <c r="C237" s="45"/>
      <c r="D237" s="542"/>
      <c r="E237" s="47"/>
      <c r="F237" s="126"/>
      <c r="G237" s="167"/>
      <c r="H237" s="167"/>
      <c r="I237" s="170"/>
      <c r="J237" s="806"/>
      <c r="K237" s="79"/>
      <c r="L237" s="154"/>
      <c r="M237" s="577"/>
      <c r="N237" s="158"/>
      <c r="O237" s="1957"/>
      <c r="P237" s="1517"/>
      <c r="Q237" s="1970"/>
      <c r="R237" s="248"/>
      <c r="S237" s="248"/>
      <c r="T237" s="248"/>
      <c r="U237" s="247"/>
      <c r="V237" s="788"/>
      <c r="W237" s="248"/>
      <c r="X237" s="248"/>
      <c r="Y237" s="194"/>
      <c r="Z237" s="249"/>
      <c r="AA237" s="250"/>
      <c r="AB237" s="251"/>
      <c r="AC237" s="252"/>
    </row>
    <row r="238" spans="1:29">
      <c r="A238" s="326">
        <f t="shared" si="37"/>
        <v>62</v>
      </c>
      <c r="B238" s="763"/>
      <c r="C238" s="45"/>
      <c r="D238" s="542"/>
      <c r="E238" s="47"/>
      <c r="F238" s="126"/>
      <c r="G238" s="167"/>
      <c r="H238" s="167"/>
      <c r="I238" s="170"/>
      <c r="J238" s="806"/>
      <c r="K238" s="79"/>
      <c r="L238" s="154"/>
      <c r="M238" s="577"/>
      <c r="N238" s="158"/>
      <c r="O238" s="1957"/>
      <c r="P238" s="1517"/>
      <c r="Q238" s="1970"/>
      <c r="R238" s="248"/>
      <c r="S238" s="248"/>
      <c r="T238" s="248"/>
      <c r="U238" s="247"/>
      <c r="V238" s="788"/>
      <c r="W238" s="248"/>
      <c r="X238" s="248"/>
      <c r="Y238" s="194"/>
      <c r="Z238" s="249"/>
      <c r="AA238" s="250"/>
      <c r="AB238" s="251"/>
      <c r="AC238" s="252"/>
    </row>
    <row r="239" spans="1:29">
      <c r="A239" s="326">
        <f t="shared" si="37"/>
        <v>63</v>
      </c>
      <c r="B239" s="763"/>
      <c r="C239" s="45"/>
      <c r="D239" s="542"/>
      <c r="E239" s="47"/>
      <c r="F239" s="126"/>
      <c r="G239" s="167"/>
      <c r="H239" s="167"/>
      <c r="I239" s="170"/>
      <c r="J239" s="806"/>
      <c r="K239" s="79"/>
      <c r="L239" s="154"/>
      <c r="M239" s="577"/>
      <c r="N239" s="158"/>
      <c r="O239" s="1957"/>
      <c r="P239" s="1517"/>
      <c r="Q239" s="1970"/>
      <c r="R239" s="248"/>
      <c r="S239" s="248"/>
      <c r="T239" s="248"/>
      <c r="U239" s="247"/>
      <c r="V239" s="788"/>
      <c r="W239" s="248"/>
      <c r="X239" s="248"/>
      <c r="Y239" s="194"/>
      <c r="Z239" s="249"/>
      <c r="AA239" s="250"/>
      <c r="AB239" s="251"/>
      <c r="AC239" s="252"/>
    </row>
    <row r="240" spans="1:29">
      <c r="A240" s="326">
        <f t="shared" si="37"/>
        <v>64</v>
      </c>
      <c r="B240" s="763"/>
      <c r="C240" s="45"/>
      <c r="D240" s="542"/>
      <c r="E240" s="47"/>
      <c r="F240" s="126"/>
      <c r="G240" s="167"/>
      <c r="H240" s="167"/>
      <c r="I240" s="170"/>
      <c r="J240" s="806"/>
      <c r="K240" s="79"/>
      <c r="L240" s="154"/>
      <c r="M240" s="577"/>
      <c r="N240" s="158"/>
      <c r="O240" s="1957"/>
      <c r="P240" s="1517"/>
      <c r="Q240" s="1970"/>
      <c r="R240" s="248"/>
      <c r="S240" s="248"/>
      <c r="T240" s="248"/>
      <c r="U240" s="247"/>
      <c r="V240" s="788"/>
      <c r="W240" s="248"/>
      <c r="X240" s="248"/>
      <c r="Y240" s="194"/>
      <c r="Z240" s="249"/>
      <c r="AA240" s="250"/>
      <c r="AB240" s="251"/>
      <c r="AC240" s="252"/>
    </row>
    <row r="241" spans="1:29">
      <c r="A241" s="326">
        <f t="shared" si="37"/>
        <v>65</v>
      </c>
      <c r="B241" s="763"/>
      <c r="C241" s="45"/>
      <c r="D241" s="542"/>
      <c r="E241" s="47"/>
      <c r="F241" s="126"/>
      <c r="G241" s="167"/>
      <c r="H241" s="167"/>
      <c r="I241" s="170"/>
      <c r="J241" s="806"/>
      <c r="K241" s="79"/>
      <c r="L241" s="154"/>
      <c r="M241" s="577"/>
      <c r="N241" s="158"/>
      <c r="O241" s="1957"/>
      <c r="P241" s="1517"/>
      <c r="Q241" s="1970"/>
      <c r="R241" s="248"/>
      <c r="S241" s="248"/>
      <c r="T241" s="248"/>
      <c r="U241" s="247"/>
      <c r="V241" s="788"/>
      <c r="W241" s="248"/>
      <c r="X241" s="248"/>
      <c r="Y241" s="194"/>
      <c r="Z241" s="249"/>
      <c r="AA241" s="250"/>
      <c r="AB241" s="251"/>
      <c r="AC241" s="252"/>
    </row>
    <row r="242" spans="1:29">
      <c r="A242" s="326">
        <f t="shared" si="37"/>
        <v>66</v>
      </c>
      <c r="B242" s="763"/>
      <c r="C242" s="45"/>
      <c r="D242" s="542"/>
      <c r="E242" s="47"/>
      <c r="F242" s="126"/>
      <c r="G242" s="167"/>
      <c r="H242" s="167"/>
      <c r="I242" s="170"/>
      <c r="J242" s="806"/>
      <c r="K242" s="79"/>
      <c r="L242" s="154"/>
      <c r="M242" s="577"/>
      <c r="N242" s="158"/>
      <c r="O242" s="1957"/>
      <c r="P242" s="1517"/>
      <c r="Q242" s="1970"/>
      <c r="R242" s="248"/>
      <c r="S242" s="248"/>
      <c r="T242" s="248"/>
      <c r="U242" s="247"/>
      <c r="V242" s="788"/>
      <c r="W242" s="248"/>
      <c r="X242" s="248"/>
      <c r="Y242" s="194"/>
      <c r="Z242" s="249"/>
      <c r="AA242" s="250"/>
      <c r="AB242" s="251"/>
      <c r="AC242" s="252"/>
    </row>
    <row r="243" spans="1:29">
      <c r="A243" s="326">
        <f t="shared" si="37"/>
        <v>67</v>
      </c>
      <c r="B243" s="763"/>
      <c r="C243" s="45"/>
      <c r="D243" s="542"/>
      <c r="E243" s="47"/>
      <c r="F243" s="126"/>
      <c r="G243" s="167"/>
      <c r="H243" s="167"/>
      <c r="I243" s="170"/>
      <c r="J243" s="806"/>
      <c r="K243" s="79"/>
      <c r="L243" s="154"/>
      <c r="M243" s="577"/>
      <c r="N243" s="158"/>
      <c r="O243" s="1957"/>
      <c r="P243" s="1517"/>
      <c r="Q243" s="1970"/>
      <c r="R243" s="248"/>
      <c r="S243" s="248"/>
      <c r="T243" s="248"/>
      <c r="U243" s="247"/>
      <c r="V243" s="788"/>
      <c r="W243" s="248"/>
      <c r="X243" s="248"/>
      <c r="Y243" s="194"/>
      <c r="Z243" s="249"/>
      <c r="AA243" s="250"/>
      <c r="AB243" s="251"/>
      <c r="AC243" s="252"/>
    </row>
    <row r="244" spans="1:29">
      <c r="A244" s="326">
        <f t="shared" si="37"/>
        <v>68</v>
      </c>
      <c r="B244" s="763"/>
      <c r="C244" s="45"/>
      <c r="D244" s="542"/>
      <c r="E244" s="47"/>
      <c r="F244" s="126"/>
      <c r="G244" s="167"/>
      <c r="H244" s="167"/>
      <c r="I244" s="170"/>
      <c r="J244" s="806"/>
      <c r="K244" s="79"/>
      <c r="L244" s="154"/>
      <c r="M244" s="577"/>
      <c r="N244" s="158"/>
      <c r="O244" s="1957"/>
      <c r="P244" s="1517"/>
      <c r="Q244" s="1970"/>
      <c r="R244" s="248"/>
      <c r="S244" s="248"/>
      <c r="T244" s="248"/>
      <c r="U244" s="247"/>
      <c r="V244" s="788"/>
      <c r="W244" s="248"/>
      <c r="X244" s="248"/>
      <c r="Y244" s="194"/>
      <c r="Z244" s="249"/>
      <c r="AA244" s="250"/>
      <c r="AB244" s="251"/>
      <c r="AC244" s="252"/>
    </row>
    <row r="245" spans="1:29">
      <c r="A245" s="326">
        <f t="shared" si="37"/>
        <v>69</v>
      </c>
      <c r="B245" s="763"/>
      <c r="C245" s="45"/>
      <c r="D245" s="542"/>
      <c r="E245" s="47"/>
      <c r="F245" s="126"/>
      <c r="G245" s="167"/>
      <c r="H245" s="167"/>
      <c r="I245" s="170"/>
      <c r="J245" s="806"/>
      <c r="K245" s="79"/>
      <c r="L245" s="154"/>
      <c r="M245" s="577"/>
      <c r="N245" s="158"/>
      <c r="O245" s="1957"/>
      <c r="P245" s="1517"/>
      <c r="Q245" s="1970"/>
      <c r="R245" s="248"/>
      <c r="S245" s="248"/>
      <c r="T245" s="248"/>
      <c r="U245" s="247"/>
      <c r="V245" s="788"/>
      <c r="W245" s="248"/>
      <c r="X245" s="248"/>
      <c r="Y245" s="194"/>
      <c r="Z245" s="249"/>
      <c r="AA245" s="250"/>
      <c r="AB245" s="251"/>
      <c r="AC245" s="252"/>
    </row>
    <row r="246" spans="1:29">
      <c r="A246" s="818">
        <f t="shared" si="37"/>
        <v>70</v>
      </c>
      <c r="B246" s="763"/>
      <c r="C246" s="1983"/>
      <c r="D246" s="1984"/>
      <c r="E246" s="1985"/>
      <c r="F246" s="1986"/>
      <c r="G246" s="167"/>
      <c r="H246" s="167"/>
      <c r="I246" s="1673"/>
      <c r="J246" s="1673"/>
      <c r="K246" s="1236"/>
      <c r="L246" s="127"/>
      <c r="M246" s="522"/>
      <c r="N246" s="1987"/>
      <c r="O246" s="1958"/>
      <c r="P246" s="1949"/>
      <c r="Q246" s="1971"/>
      <c r="R246" s="1988"/>
      <c r="S246" s="1988"/>
      <c r="T246" s="1988"/>
      <c r="U246" s="1989"/>
      <c r="V246" s="1989"/>
      <c r="W246" s="1988"/>
      <c r="X246" s="1988"/>
      <c r="Y246" s="1990"/>
      <c r="Z246" s="1991"/>
      <c r="AA246" s="1992"/>
      <c r="AB246" s="1993"/>
      <c r="AC246" s="1994"/>
    </row>
    <row r="247" spans="1:29">
      <c r="B247" s="1995"/>
    </row>
  </sheetData>
  <mergeCells count="40">
    <mergeCell ref="A124:L124"/>
    <mergeCell ref="A113:L113"/>
    <mergeCell ref="A71:L71"/>
    <mergeCell ref="A105:L105"/>
    <mergeCell ref="AD52:AD56"/>
    <mergeCell ref="AD65:AD70"/>
    <mergeCell ref="A32:L32"/>
    <mergeCell ref="A41:L41"/>
    <mergeCell ref="A47:L47"/>
    <mergeCell ref="AD48:AD50"/>
    <mergeCell ref="AD62:AD63"/>
    <mergeCell ref="AD58:AD60"/>
    <mergeCell ref="AD21:AD24"/>
    <mergeCell ref="AD42:AD46"/>
    <mergeCell ref="AD33:AD38"/>
    <mergeCell ref="AD27:AD31"/>
    <mergeCell ref="AD39:AD40"/>
    <mergeCell ref="A164:L164"/>
    <mergeCell ref="A149:L149"/>
    <mergeCell ref="A155:L155"/>
    <mergeCell ref="F156:I156"/>
    <mergeCell ref="A131:L131"/>
    <mergeCell ref="A140:L140"/>
    <mergeCell ref="A136:L136"/>
    <mergeCell ref="A176:L176"/>
    <mergeCell ref="A144:L144"/>
    <mergeCell ref="A64:L64"/>
    <mergeCell ref="A170:L170"/>
    <mergeCell ref="A2:O2"/>
    <mergeCell ref="A96:L96"/>
    <mergeCell ref="A9:L9"/>
    <mergeCell ref="A13:L13"/>
    <mergeCell ref="A17:L17"/>
    <mergeCell ref="A20:L20"/>
    <mergeCell ref="A75:L75"/>
    <mergeCell ref="A82:L82"/>
    <mergeCell ref="A89:L89"/>
    <mergeCell ref="A51:L51"/>
    <mergeCell ref="A57:L57"/>
    <mergeCell ref="A61:L61"/>
  </mergeCells>
  <hyperlinks>
    <hyperlink ref="C5" r:id="rId1" display="javascript:void(0)" xr:uid="{CD066868-FABA-4AF7-9746-587C2147A920}"/>
    <hyperlink ref="E6" r:id="rId2" display="javascript:void(0)" xr:uid="{0C6329B3-3997-4A00-9160-306D0B169B67}"/>
    <hyperlink ref="E7" r:id="rId3" display="javascript:void(0)" xr:uid="{D16D7823-BFC4-45A5-8665-7055A8725D3B}"/>
    <hyperlink ref="C22" r:id="rId4" display="javascript:void(0)" xr:uid="{64848B9A-3730-42F7-8361-392DC8BE800F}"/>
    <hyperlink ref="C39" r:id="rId5" display="javascript:void(0)" xr:uid="{55706221-252A-4698-8F44-44EDCC6EF4EB}"/>
    <hyperlink ref="E40" r:id="rId6" display="javascript:void(0)" xr:uid="{3E16FE76-C685-4230-8C4A-06BFCF1F1ADA}"/>
    <hyperlink ref="C45" r:id="rId7" display="javascript:void(0)" xr:uid="{B19E2B1F-066B-4512-9ADC-3D25809E7214}"/>
    <hyperlink ref="C62" r:id="rId8" display="javascript:void(0)" xr:uid="{DF4F1E7B-1094-4303-B379-72514A7CD411}"/>
    <hyperlink ref="C67" r:id="rId9" display="javascript:void(0)" xr:uid="{66C4E83A-33B8-43CA-B3A9-FCAAC2898F21}"/>
    <hyperlink ref="C92" r:id="rId10" display="javascript:void(0)" xr:uid="{0FC832AE-C844-427A-9335-4162BF137A53}"/>
    <hyperlink ref="E150" r:id="rId11" display="javascript:void(0)" xr:uid="{7E859DE3-C93A-42AE-BDF3-66D36F1ADEFC}"/>
  </hyperlinks>
  <pageMargins left="0.7" right="0.7" top="0.75" bottom="0.75" header="0.3" footer="0.3"/>
  <pageSetup paperSize="9" orientation="portrait" r:id="rId12"/>
  <legacyDrawing r:id="rId1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07FA8-61F3-439F-A23F-E96AF2F4B2BB}">
  <dimension ref="A1:AI342"/>
  <sheetViews>
    <sheetView zoomScale="115" zoomScaleNormal="115" workbookViewId="0">
      <pane xSplit="9" ySplit="4" topLeftCell="J153" activePane="bottomRight" state="frozen"/>
      <selection activeCell="J262" sqref="J262"/>
      <selection pane="topRight" activeCell="J262" sqref="J262"/>
      <selection pane="bottomLeft" activeCell="J262" sqref="J262"/>
      <selection pane="bottomRight" activeCell="I161" sqref="I161:I163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2.44140625" style="5" customWidth="1"/>
    <col min="11" max="11" width="14.44140625" style="7" customWidth="1"/>
    <col min="12" max="12" width="7.5546875" style="5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customWidth="1"/>
    <col min="23" max="23" width="15.5546875" style="269" customWidth="1"/>
    <col min="24" max="24" width="34.33203125" style="270" hidden="1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8" ht="15" customHeight="1">
      <c r="B1" s="125"/>
      <c r="N1" s="125"/>
      <c r="P1" s="277"/>
      <c r="Q1" s="277"/>
      <c r="R1" s="277"/>
      <c r="S1" s="277"/>
      <c r="T1" s="278"/>
      <c r="U1" s="278"/>
      <c r="V1" s="278"/>
      <c r="W1" s="278"/>
      <c r="X1" s="282"/>
      <c r="Y1" s="278"/>
      <c r="Z1" s="278"/>
      <c r="AA1" s="283"/>
    </row>
    <row r="2" spans="1:28" ht="20.25" customHeight="1">
      <c r="A2" s="3314" t="s">
        <v>5954</v>
      </c>
      <c r="B2" s="3315"/>
      <c r="C2" s="3315"/>
      <c r="D2" s="3315"/>
      <c r="E2" s="3315"/>
      <c r="F2" s="3315"/>
      <c r="G2" s="3315"/>
      <c r="H2" s="3315"/>
      <c r="I2" s="3315"/>
      <c r="J2" s="3315"/>
      <c r="K2" s="3315"/>
      <c r="L2" s="294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28">
      <c r="B3" s="478"/>
      <c r="C3" s="655" t="s">
        <v>754</v>
      </c>
      <c r="I3" s="478"/>
      <c r="J3" s="478"/>
      <c r="L3" s="478"/>
      <c r="N3" s="478"/>
    </row>
    <row r="4" spans="1:28" ht="39.6">
      <c r="A4" s="29" t="s">
        <v>2</v>
      </c>
      <c r="B4" s="483" t="s">
        <v>2773</v>
      </c>
      <c r="C4" s="30" t="s">
        <v>3</v>
      </c>
      <c r="D4" s="31" t="s">
        <v>4</v>
      </c>
      <c r="E4" s="30" t="s">
        <v>5</v>
      </c>
      <c r="F4" s="30" t="s">
        <v>401</v>
      </c>
      <c r="G4" s="33" t="s">
        <v>8</v>
      </c>
      <c r="H4" s="33" t="s">
        <v>9</v>
      </c>
      <c r="I4" s="323" t="s">
        <v>2793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217" t="s">
        <v>1291</v>
      </c>
      <c r="Q4" s="217" t="s">
        <v>190</v>
      </c>
      <c r="R4" s="217" t="s">
        <v>191</v>
      </c>
      <c r="S4" s="218" t="s">
        <v>192</v>
      </c>
      <c r="T4" s="218" t="s">
        <v>193</v>
      </c>
      <c r="U4" s="219" t="s">
        <v>194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</row>
    <row r="5" spans="1:28">
      <c r="A5" s="326">
        <v>1</v>
      </c>
      <c r="B5" s="656" t="s">
        <v>2778</v>
      </c>
      <c r="C5" s="179">
        <v>306543480960</v>
      </c>
      <c r="D5" s="656" t="s">
        <v>2778</v>
      </c>
      <c r="E5" s="47" t="s">
        <v>2912</v>
      </c>
      <c r="F5" s="126" t="s">
        <v>2790</v>
      </c>
      <c r="G5" s="167"/>
      <c r="H5" s="167"/>
      <c r="I5" s="154" t="s">
        <v>2794</v>
      </c>
      <c r="J5" s="691" t="s">
        <v>2895</v>
      </c>
      <c r="K5" s="170" t="s">
        <v>2792</v>
      </c>
      <c r="L5" s="690">
        <v>436</v>
      </c>
      <c r="M5" s="86" t="s">
        <v>2891</v>
      </c>
      <c r="N5" s="158"/>
      <c r="O5" s="150"/>
      <c r="P5" s="248"/>
      <c r="Q5" s="248"/>
      <c r="R5" s="248"/>
      <c r="S5" s="248"/>
      <c r="T5" s="247"/>
      <c r="U5" s="248"/>
      <c r="V5" s="340">
        <f t="shared" ref="V5:V13" si="0">Q5+R5+S5+P5+U5</f>
        <v>0</v>
      </c>
      <c r="W5" s="344">
        <f t="shared" ref="W5:W13" si="1">+T5</f>
        <v>0</v>
      </c>
      <c r="X5" s="249"/>
      <c r="Y5" s="341">
        <f>600000*1.08</f>
        <v>648000</v>
      </c>
      <c r="Z5" s="342">
        <f t="shared" ref="Z5:Z17" si="2">+Y5+W5+V5</f>
        <v>648000</v>
      </c>
      <c r="AA5" s="252"/>
    </row>
    <row r="6" spans="1:28">
      <c r="A6" s="326">
        <f t="shared" ref="A6:A68" si="3">+A5+1</f>
        <v>2</v>
      </c>
      <c r="B6" s="656" t="s">
        <v>2778</v>
      </c>
      <c r="C6" s="179">
        <v>306545165050</v>
      </c>
      <c r="D6" s="656" t="s">
        <v>2778</v>
      </c>
      <c r="E6" s="47" t="s">
        <v>2912</v>
      </c>
      <c r="F6" s="126" t="s">
        <v>2795</v>
      </c>
      <c r="G6" s="167"/>
      <c r="H6" s="167"/>
      <c r="I6" s="154" t="s">
        <v>2796</v>
      </c>
      <c r="J6" s="692" t="s">
        <v>2894</v>
      </c>
      <c r="K6" s="170" t="s">
        <v>2886</v>
      </c>
      <c r="L6" s="690">
        <v>418</v>
      </c>
      <c r="M6" s="86" t="s">
        <v>2891</v>
      </c>
      <c r="N6" s="158"/>
      <c r="O6" s="150"/>
      <c r="P6" s="248"/>
      <c r="Q6" s="248"/>
      <c r="R6" s="248"/>
      <c r="S6" s="248"/>
      <c r="T6" s="247"/>
      <c r="U6" s="248"/>
      <c r="V6" s="340">
        <f t="shared" si="0"/>
        <v>0</v>
      </c>
      <c r="W6" s="344">
        <f t="shared" si="1"/>
        <v>0</v>
      </c>
      <c r="X6" s="249"/>
      <c r="Y6" s="341">
        <f t="shared" ref="Y6:Y38" si="4">600000*1.08</f>
        <v>648000</v>
      </c>
      <c r="Z6" s="342">
        <f t="shared" si="2"/>
        <v>648000</v>
      </c>
      <c r="AA6" s="252"/>
    </row>
    <row r="7" spans="1:28" ht="26.4">
      <c r="A7" s="326">
        <f t="shared" si="3"/>
        <v>3</v>
      </c>
      <c r="B7" s="656" t="s">
        <v>2827</v>
      </c>
      <c r="C7" s="179">
        <v>306553811930</v>
      </c>
      <c r="D7" s="656" t="s">
        <v>2826</v>
      </c>
      <c r="E7" s="47" t="s">
        <v>2912</v>
      </c>
      <c r="F7" s="126" t="s">
        <v>2795</v>
      </c>
      <c r="G7" s="167"/>
      <c r="H7" s="167"/>
      <c r="I7" s="154" t="s">
        <v>2808</v>
      </c>
      <c r="J7" s="692" t="s">
        <v>2892</v>
      </c>
      <c r="K7" s="170" t="s">
        <v>2807</v>
      </c>
      <c r="L7" s="690">
        <v>1306</v>
      </c>
      <c r="M7" s="86" t="s">
        <v>2891</v>
      </c>
      <c r="N7" s="158"/>
      <c r="O7" s="150"/>
      <c r="P7" s="248"/>
      <c r="Q7" s="248"/>
      <c r="R7" s="248"/>
      <c r="S7" s="248"/>
      <c r="T7" s="247"/>
      <c r="U7" s="248"/>
      <c r="V7" s="340">
        <f t="shared" si="0"/>
        <v>0</v>
      </c>
      <c r="W7" s="344">
        <f t="shared" si="1"/>
        <v>0</v>
      </c>
      <c r="X7" s="249"/>
      <c r="Y7" s="341">
        <f t="shared" si="4"/>
        <v>648000</v>
      </c>
      <c r="Z7" s="342">
        <f t="shared" si="2"/>
        <v>648000</v>
      </c>
      <c r="AA7" s="252"/>
    </row>
    <row r="8" spans="1:28">
      <c r="A8" s="326">
        <f t="shared" si="3"/>
        <v>4</v>
      </c>
      <c r="B8" s="656" t="s">
        <v>2847</v>
      </c>
      <c r="C8" s="179">
        <v>306565840950</v>
      </c>
      <c r="D8" s="656" t="s">
        <v>2847</v>
      </c>
      <c r="E8" s="47" t="s">
        <v>2912</v>
      </c>
      <c r="F8" s="126" t="s">
        <v>2795</v>
      </c>
      <c r="G8" s="167"/>
      <c r="H8" s="167"/>
      <c r="I8" s="154" t="s">
        <v>2796</v>
      </c>
      <c r="J8" s="692" t="s">
        <v>2893</v>
      </c>
      <c r="K8" s="170" t="s">
        <v>2885</v>
      </c>
      <c r="L8" s="690">
        <v>482</v>
      </c>
      <c r="M8" s="86" t="s">
        <v>2891</v>
      </c>
      <c r="N8" s="158"/>
      <c r="O8" s="150"/>
      <c r="P8" s="248"/>
      <c r="Q8" s="248"/>
      <c r="R8" s="248"/>
      <c r="S8" s="248"/>
      <c r="T8" s="247"/>
      <c r="U8" s="248"/>
      <c r="V8" s="340">
        <f t="shared" si="0"/>
        <v>0</v>
      </c>
      <c r="W8" s="344">
        <f t="shared" si="1"/>
        <v>0</v>
      </c>
      <c r="X8" s="249"/>
      <c r="Y8" s="341">
        <f t="shared" si="4"/>
        <v>648000</v>
      </c>
      <c r="Z8" s="342">
        <f t="shared" si="2"/>
        <v>648000</v>
      </c>
      <c r="AA8" s="252"/>
    </row>
    <row r="9" spans="1:28">
      <c r="A9" s="326">
        <f t="shared" si="3"/>
        <v>5</v>
      </c>
      <c r="B9" s="656" t="s">
        <v>2846</v>
      </c>
      <c r="C9" s="179">
        <v>306574008220</v>
      </c>
      <c r="D9" s="656" t="s">
        <v>2846</v>
      </c>
      <c r="E9" s="47" t="s">
        <v>2912</v>
      </c>
      <c r="F9" s="126" t="s">
        <v>2795</v>
      </c>
      <c r="G9" s="167"/>
      <c r="H9" s="167"/>
      <c r="I9" s="154" t="s">
        <v>2794</v>
      </c>
      <c r="J9" s="692" t="s">
        <v>2896</v>
      </c>
      <c r="K9" s="170" t="s">
        <v>2897</v>
      </c>
      <c r="L9" s="690">
        <v>139</v>
      </c>
      <c r="M9" s="86" t="s">
        <v>2891</v>
      </c>
      <c r="N9" s="158"/>
      <c r="O9" s="150"/>
      <c r="P9" s="248"/>
      <c r="Q9" s="248"/>
      <c r="R9" s="248"/>
      <c r="S9" s="248"/>
      <c r="T9" s="247"/>
      <c r="U9" s="248"/>
      <c r="V9" s="340">
        <f t="shared" si="0"/>
        <v>0</v>
      </c>
      <c r="W9" s="344">
        <f t="shared" si="1"/>
        <v>0</v>
      </c>
      <c r="X9" s="249"/>
      <c r="Y9" s="341">
        <f t="shared" si="4"/>
        <v>648000</v>
      </c>
      <c r="Z9" s="342">
        <f>+Y9+W9+V9</f>
        <v>648000</v>
      </c>
      <c r="AA9" s="252"/>
    </row>
    <row r="10" spans="1:28">
      <c r="A10" s="326">
        <f t="shared" si="3"/>
        <v>6</v>
      </c>
      <c r="B10" s="656" t="s">
        <v>2846</v>
      </c>
      <c r="C10" s="179">
        <v>306568543060</v>
      </c>
      <c r="D10" s="656" t="s">
        <v>2850</v>
      </c>
      <c r="E10" s="47" t="s">
        <v>2912</v>
      </c>
      <c r="F10" s="126" t="s">
        <v>2795</v>
      </c>
      <c r="G10" s="167"/>
      <c r="H10" s="167"/>
      <c r="I10" s="154" t="s">
        <v>2808</v>
      </c>
      <c r="J10" s="692" t="s">
        <v>2890</v>
      </c>
      <c r="K10" s="170" t="s">
        <v>2848</v>
      </c>
      <c r="L10" s="690">
        <v>1021</v>
      </c>
      <c r="M10" s="86" t="s">
        <v>2891</v>
      </c>
      <c r="N10" s="158"/>
      <c r="O10" s="150"/>
      <c r="P10" s="248"/>
      <c r="Q10" s="248"/>
      <c r="R10" s="248"/>
      <c r="S10" s="248"/>
      <c r="T10" s="247"/>
      <c r="U10" s="248"/>
      <c r="V10" s="340">
        <f t="shared" si="0"/>
        <v>0</v>
      </c>
      <c r="W10" s="344">
        <f t="shared" si="1"/>
        <v>0</v>
      </c>
      <c r="X10" s="249"/>
      <c r="Y10" s="341">
        <f t="shared" si="4"/>
        <v>648000</v>
      </c>
      <c r="Z10" s="342">
        <f t="shared" si="2"/>
        <v>648000</v>
      </c>
      <c r="AA10" s="252"/>
    </row>
    <row r="11" spans="1:28">
      <c r="A11" s="326">
        <f t="shared" si="3"/>
        <v>7</v>
      </c>
      <c r="B11" s="656" t="s">
        <v>2882</v>
      </c>
      <c r="C11" s="179">
        <v>306580604430</v>
      </c>
      <c r="D11" s="46" t="s">
        <v>2909</v>
      </c>
      <c r="E11" s="47" t="s">
        <v>2912</v>
      </c>
      <c r="F11" s="126" t="s">
        <v>2795</v>
      </c>
      <c r="G11" s="167"/>
      <c r="H11" s="167"/>
      <c r="I11" s="154" t="s">
        <v>2796</v>
      </c>
      <c r="J11" s="692" t="s">
        <v>2908</v>
      </c>
      <c r="K11" s="170" t="s">
        <v>2898</v>
      </c>
      <c r="L11" s="690">
        <v>931</v>
      </c>
      <c r="M11" s="86" t="s">
        <v>2891</v>
      </c>
      <c r="N11" s="158"/>
      <c r="O11" s="150"/>
      <c r="P11" s="248"/>
      <c r="Q11" s="248"/>
      <c r="R11" s="248"/>
      <c r="S11" s="248"/>
      <c r="T11" s="247"/>
      <c r="U11" s="248"/>
      <c r="V11" s="340">
        <f t="shared" si="0"/>
        <v>0</v>
      </c>
      <c r="W11" s="344">
        <f t="shared" si="1"/>
        <v>0</v>
      </c>
      <c r="X11" s="249"/>
      <c r="Y11" s="341">
        <f t="shared" si="4"/>
        <v>648000</v>
      </c>
      <c r="Z11" s="342">
        <f t="shared" si="2"/>
        <v>648000</v>
      </c>
      <c r="AA11" s="252"/>
    </row>
    <row r="12" spans="1:28">
      <c r="A12" s="326">
        <f t="shared" si="3"/>
        <v>8</v>
      </c>
      <c r="B12" s="656" t="s">
        <v>2907</v>
      </c>
      <c r="C12" s="179">
        <v>306592569530</v>
      </c>
      <c r="D12" s="46" t="s">
        <v>2920</v>
      </c>
      <c r="E12" s="47" t="s">
        <v>2912</v>
      </c>
      <c r="F12" s="126" t="s">
        <v>2795</v>
      </c>
      <c r="G12" s="167"/>
      <c r="H12" s="167"/>
      <c r="I12" s="154" t="s">
        <v>2808</v>
      </c>
      <c r="J12" s="692" t="s">
        <v>2924</v>
      </c>
      <c r="K12" s="170" t="s">
        <v>2922</v>
      </c>
      <c r="L12" s="690">
        <v>737</v>
      </c>
      <c r="M12" s="86" t="s">
        <v>2891</v>
      </c>
      <c r="N12" s="158"/>
      <c r="O12" s="150"/>
      <c r="P12" s="248"/>
      <c r="Q12" s="248"/>
      <c r="R12" s="248"/>
      <c r="S12" s="248"/>
      <c r="T12" s="247"/>
      <c r="U12" s="248"/>
      <c r="V12" s="340">
        <f t="shared" si="0"/>
        <v>0</v>
      </c>
      <c r="W12" s="344">
        <f t="shared" si="1"/>
        <v>0</v>
      </c>
      <c r="X12" s="249"/>
      <c r="Y12" s="341">
        <f t="shared" si="4"/>
        <v>648000</v>
      </c>
      <c r="Z12" s="342">
        <f t="shared" si="2"/>
        <v>648000</v>
      </c>
      <c r="AA12" s="252"/>
    </row>
    <row r="13" spans="1:28">
      <c r="A13" s="326">
        <f t="shared" si="3"/>
        <v>9</v>
      </c>
      <c r="B13" s="656" t="s">
        <v>2920</v>
      </c>
      <c r="C13" s="179">
        <v>306594925620</v>
      </c>
      <c r="D13" s="46" t="s">
        <v>2915</v>
      </c>
      <c r="E13" s="47" t="s">
        <v>2912</v>
      </c>
      <c r="F13" s="126" t="s">
        <v>2795</v>
      </c>
      <c r="G13" s="167"/>
      <c r="H13" s="167"/>
      <c r="I13" s="154" t="s">
        <v>2796</v>
      </c>
      <c r="J13" s="692" t="s">
        <v>2939</v>
      </c>
      <c r="K13" s="170" t="s">
        <v>2923</v>
      </c>
      <c r="L13" s="690">
        <v>273</v>
      </c>
      <c r="M13" s="86" t="s">
        <v>2891</v>
      </c>
      <c r="N13" s="158"/>
      <c r="O13" s="150"/>
      <c r="P13" s="248"/>
      <c r="Q13" s="248"/>
      <c r="R13" s="248"/>
      <c r="S13" s="248"/>
      <c r="T13" s="247"/>
      <c r="U13" s="248"/>
      <c r="V13" s="340">
        <f t="shared" si="0"/>
        <v>0</v>
      </c>
      <c r="W13" s="344">
        <f t="shared" si="1"/>
        <v>0</v>
      </c>
      <c r="X13" s="249"/>
      <c r="Y13" s="341">
        <f t="shared" si="4"/>
        <v>648000</v>
      </c>
      <c r="Z13" s="342">
        <f t="shared" si="2"/>
        <v>648000</v>
      </c>
      <c r="AA13" s="252"/>
    </row>
    <row r="14" spans="1:28" s="357" customFormat="1">
      <c r="A14" s="3373" t="s">
        <v>2941</v>
      </c>
      <c r="B14" s="3374"/>
      <c r="C14" s="3374"/>
      <c r="D14" s="3374"/>
      <c r="E14" s="3374"/>
      <c r="F14" s="3374"/>
      <c r="G14" s="3374"/>
      <c r="H14" s="3374"/>
      <c r="I14" s="3374"/>
      <c r="J14" s="3374"/>
      <c r="K14" s="3374"/>
      <c r="L14" s="3374"/>
      <c r="M14" s="3375"/>
      <c r="N14" s="755"/>
      <c r="O14" s="653"/>
      <c r="P14" s="486"/>
      <c r="Q14" s="486"/>
      <c r="R14" s="486"/>
      <c r="S14" s="486"/>
      <c r="T14" s="487"/>
      <c r="U14" s="486"/>
      <c r="V14" s="486"/>
      <c r="W14" s="489"/>
      <c r="X14" s="490"/>
      <c r="Y14" s="488"/>
      <c r="Z14" s="491">
        <f>SUM(Z5:Z13)</f>
        <v>5832000</v>
      </c>
      <c r="AA14" s="492"/>
      <c r="AB14" s="939"/>
    </row>
    <row r="15" spans="1:28">
      <c r="A15" s="326">
        <v>1</v>
      </c>
      <c r="B15" s="711" t="s">
        <v>2953</v>
      </c>
      <c r="C15" s="179">
        <v>306605516840</v>
      </c>
      <c r="D15" s="386" t="s">
        <v>2953</v>
      </c>
      <c r="E15" s="47" t="s">
        <v>3123</v>
      </c>
      <c r="F15" s="126" t="s">
        <v>2795</v>
      </c>
      <c r="G15" s="167"/>
      <c r="H15" s="167"/>
      <c r="I15" s="154" t="s">
        <v>2796</v>
      </c>
      <c r="J15" s="692" t="s">
        <v>2982</v>
      </c>
      <c r="K15" s="170" t="s">
        <v>2983</v>
      </c>
      <c r="L15" s="690" t="s">
        <v>2984</v>
      </c>
      <c r="M15" s="86" t="s">
        <v>2891</v>
      </c>
      <c r="N15" s="158"/>
      <c r="O15" s="150"/>
      <c r="P15" s="248"/>
      <c r="Q15" s="248"/>
      <c r="R15" s="248"/>
      <c r="S15" s="248"/>
      <c r="T15" s="247"/>
      <c r="U15" s="248"/>
      <c r="V15" s="340">
        <f t="shared" ref="V15:V25" si="5">Q15+R15+S15+P15+U15</f>
        <v>0</v>
      </c>
      <c r="W15" s="344">
        <f t="shared" ref="W15:W25" si="6">+T15</f>
        <v>0</v>
      </c>
      <c r="X15" s="249"/>
      <c r="Y15" s="341">
        <f t="shared" si="4"/>
        <v>648000</v>
      </c>
      <c r="Z15" s="342">
        <f t="shared" si="2"/>
        <v>648000</v>
      </c>
      <c r="AA15" s="252"/>
    </row>
    <row r="16" spans="1:28">
      <c r="A16" s="326">
        <f t="shared" si="3"/>
        <v>2</v>
      </c>
      <c r="B16" s="711" t="s">
        <v>2979</v>
      </c>
      <c r="C16" s="179">
        <v>306624655650</v>
      </c>
      <c r="D16" s="46">
        <v>45506</v>
      </c>
      <c r="E16" s="47" t="s">
        <v>3123</v>
      </c>
      <c r="F16" s="126" t="s">
        <v>2795</v>
      </c>
      <c r="G16" s="167"/>
      <c r="H16" s="167"/>
      <c r="I16" s="154" t="s">
        <v>2796</v>
      </c>
      <c r="J16" s="692" t="s">
        <v>3005</v>
      </c>
      <c r="K16" s="170" t="s">
        <v>3006</v>
      </c>
      <c r="L16" s="690">
        <v>246</v>
      </c>
      <c r="M16" s="86" t="s">
        <v>2891</v>
      </c>
      <c r="N16" s="158"/>
      <c r="O16" s="150"/>
      <c r="P16" s="248"/>
      <c r="Q16" s="248"/>
      <c r="R16" s="248"/>
      <c r="S16" s="248"/>
      <c r="T16" s="247"/>
      <c r="U16" s="248"/>
      <c r="V16" s="340">
        <f t="shared" si="5"/>
        <v>0</v>
      </c>
      <c r="W16" s="344">
        <f t="shared" si="6"/>
        <v>0</v>
      </c>
      <c r="X16" s="249"/>
      <c r="Y16" s="341">
        <f t="shared" si="4"/>
        <v>648000</v>
      </c>
      <c r="Z16" s="342">
        <f t="shared" si="2"/>
        <v>648000</v>
      </c>
      <c r="AA16" s="252"/>
    </row>
    <row r="17" spans="1:28">
      <c r="A17" s="326">
        <f t="shared" si="3"/>
        <v>3</v>
      </c>
      <c r="B17" s="711" t="s">
        <v>2979</v>
      </c>
      <c r="C17" s="179">
        <v>306624514400</v>
      </c>
      <c r="D17" s="46">
        <v>45505</v>
      </c>
      <c r="E17" s="47" t="s">
        <v>3123</v>
      </c>
      <c r="F17" s="126" t="s">
        <v>2795</v>
      </c>
      <c r="G17" s="167"/>
      <c r="H17" s="167"/>
      <c r="I17" s="154" t="s">
        <v>2794</v>
      </c>
      <c r="J17" s="692" t="s">
        <v>3004</v>
      </c>
      <c r="K17" s="170" t="s">
        <v>2989</v>
      </c>
      <c r="L17" s="690">
        <v>399</v>
      </c>
      <c r="M17" s="86" t="s">
        <v>2891</v>
      </c>
      <c r="N17" s="158"/>
      <c r="O17" s="150"/>
      <c r="P17" s="248"/>
      <c r="Q17" s="248"/>
      <c r="R17" s="248"/>
      <c r="S17" s="248"/>
      <c r="T17" s="247"/>
      <c r="U17" s="248"/>
      <c r="V17" s="340">
        <f t="shared" si="5"/>
        <v>0</v>
      </c>
      <c r="W17" s="344">
        <f t="shared" si="6"/>
        <v>0</v>
      </c>
      <c r="X17" s="249"/>
      <c r="Y17" s="341">
        <f t="shared" si="4"/>
        <v>648000</v>
      </c>
      <c r="Z17" s="342">
        <f t="shared" si="2"/>
        <v>648000</v>
      </c>
      <c r="AA17" s="252"/>
    </row>
    <row r="18" spans="1:28">
      <c r="A18" s="326">
        <f t="shared" si="3"/>
        <v>4</v>
      </c>
      <c r="B18" s="713" t="s">
        <v>3007</v>
      </c>
      <c r="C18" s="179">
        <v>306634616320</v>
      </c>
      <c r="D18" s="386" t="s">
        <v>3009</v>
      </c>
      <c r="E18" s="47" t="s">
        <v>3123</v>
      </c>
      <c r="F18" s="126" t="s">
        <v>2795</v>
      </c>
      <c r="G18" s="167"/>
      <c r="H18" s="167"/>
      <c r="I18" s="154" t="s">
        <v>2796</v>
      </c>
      <c r="J18" s="692" t="s">
        <v>3029</v>
      </c>
      <c r="K18" s="170" t="s">
        <v>3019</v>
      </c>
      <c r="L18" s="690">
        <v>379</v>
      </c>
      <c r="M18" s="86" t="s">
        <v>2891</v>
      </c>
      <c r="N18" s="158"/>
      <c r="O18" s="150"/>
      <c r="P18" s="248"/>
      <c r="Q18" s="248"/>
      <c r="R18" s="248"/>
      <c r="S18" s="248"/>
      <c r="T18" s="247"/>
      <c r="U18" s="248"/>
      <c r="V18" s="340">
        <f t="shared" si="5"/>
        <v>0</v>
      </c>
      <c r="W18" s="344">
        <f t="shared" si="6"/>
        <v>0</v>
      </c>
      <c r="X18" s="249"/>
      <c r="Y18" s="341">
        <f t="shared" si="4"/>
        <v>648000</v>
      </c>
      <c r="Z18" s="342">
        <f t="shared" ref="Z18:Z25" si="7">+Y18+W18+V18</f>
        <v>648000</v>
      </c>
      <c r="AA18" s="252"/>
    </row>
    <row r="19" spans="1:28">
      <c r="A19" s="326">
        <f t="shared" si="3"/>
        <v>5</v>
      </c>
      <c r="B19" s="713" t="s">
        <v>3009</v>
      </c>
      <c r="C19" s="179">
        <v>306639318550</v>
      </c>
      <c r="D19" s="386" t="s">
        <v>3011</v>
      </c>
      <c r="E19" s="47" t="s">
        <v>3123</v>
      </c>
      <c r="F19" s="126" t="s">
        <v>2795</v>
      </c>
      <c r="G19" s="167"/>
      <c r="H19" s="167"/>
      <c r="I19" s="154" t="s">
        <v>2808</v>
      </c>
      <c r="J19" s="386" t="s">
        <v>3041</v>
      </c>
      <c r="K19" s="117" t="s">
        <v>3037</v>
      </c>
      <c r="L19" s="742">
        <v>1020</v>
      </c>
      <c r="M19" s="86" t="s">
        <v>2891</v>
      </c>
      <c r="N19" s="158"/>
      <c r="O19" s="150"/>
      <c r="P19" s="248"/>
      <c r="Q19" s="248"/>
      <c r="R19" s="248"/>
      <c r="S19" s="248"/>
      <c r="T19" s="247"/>
      <c r="U19" s="248"/>
      <c r="V19" s="340">
        <f t="shared" si="5"/>
        <v>0</v>
      </c>
      <c r="W19" s="344">
        <f t="shared" si="6"/>
        <v>0</v>
      </c>
      <c r="X19" s="249"/>
      <c r="Y19" s="341">
        <f t="shared" si="4"/>
        <v>648000</v>
      </c>
      <c r="Z19" s="342">
        <f t="shared" si="7"/>
        <v>648000</v>
      </c>
      <c r="AA19" s="252"/>
    </row>
    <row r="20" spans="1:28">
      <c r="A20" s="326">
        <f t="shared" si="3"/>
        <v>6</v>
      </c>
      <c r="B20" s="713" t="s">
        <v>3003</v>
      </c>
      <c r="C20" s="179">
        <v>306642012300</v>
      </c>
      <c r="D20" s="386" t="s">
        <v>3049</v>
      </c>
      <c r="E20" s="47" t="s">
        <v>3123</v>
      </c>
      <c r="F20" s="126" t="s">
        <v>2795</v>
      </c>
      <c r="G20" s="167"/>
      <c r="H20" s="167"/>
      <c r="I20" s="577" t="s">
        <v>3035</v>
      </c>
      <c r="J20" s="692" t="s">
        <v>3051</v>
      </c>
      <c r="K20" s="740" t="s">
        <v>3036</v>
      </c>
      <c r="L20" s="741">
        <v>488</v>
      </c>
      <c r="M20" s="86" t="s">
        <v>2891</v>
      </c>
      <c r="N20" s="158"/>
      <c r="O20" s="150"/>
      <c r="P20" s="248"/>
      <c r="Q20" s="248"/>
      <c r="R20" s="248"/>
      <c r="S20" s="248"/>
      <c r="T20" s="247"/>
      <c r="U20" s="248"/>
      <c r="V20" s="340">
        <f t="shared" si="5"/>
        <v>0</v>
      </c>
      <c r="W20" s="344">
        <f t="shared" si="6"/>
        <v>0</v>
      </c>
      <c r="X20" s="249"/>
      <c r="Y20" s="341">
        <f t="shared" si="4"/>
        <v>648000</v>
      </c>
      <c r="Z20" s="342">
        <f t="shared" si="7"/>
        <v>648000</v>
      </c>
      <c r="AA20" s="252"/>
    </row>
    <row r="21" spans="1:28">
      <c r="A21" s="326">
        <f t="shared" si="3"/>
        <v>7</v>
      </c>
      <c r="B21" s="713" t="s">
        <v>3011</v>
      </c>
      <c r="C21" s="179">
        <v>306648700060</v>
      </c>
      <c r="D21" s="386" t="s">
        <v>3016</v>
      </c>
      <c r="E21" s="47" t="s">
        <v>3123</v>
      </c>
      <c r="F21" s="126" t="s">
        <v>2795</v>
      </c>
      <c r="G21" s="167"/>
      <c r="H21" s="167"/>
      <c r="I21" s="154" t="s">
        <v>2808</v>
      </c>
      <c r="J21" s="692" t="s">
        <v>3058</v>
      </c>
      <c r="K21" s="117" t="s">
        <v>3050</v>
      </c>
      <c r="L21" s="690">
        <v>1129</v>
      </c>
      <c r="M21" s="86" t="s">
        <v>2891</v>
      </c>
      <c r="N21" s="158"/>
      <c r="O21" s="150"/>
      <c r="P21" s="248"/>
      <c r="Q21" s="248"/>
      <c r="R21" s="248"/>
      <c r="S21" s="248"/>
      <c r="T21" s="247"/>
      <c r="U21" s="248"/>
      <c r="V21" s="340">
        <f t="shared" si="5"/>
        <v>0</v>
      </c>
      <c r="W21" s="344">
        <f t="shared" si="6"/>
        <v>0</v>
      </c>
      <c r="X21" s="249"/>
      <c r="Y21" s="341">
        <f t="shared" si="4"/>
        <v>648000</v>
      </c>
      <c r="Z21" s="342">
        <f t="shared" si="7"/>
        <v>648000</v>
      </c>
      <c r="AA21" s="252"/>
    </row>
    <row r="22" spans="1:28">
      <c r="A22" s="326">
        <f t="shared" si="3"/>
        <v>8</v>
      </c>
      <c r="B22" s="713" t="s">
        <v>3059</v>
      </c>
      <c r="C22" s="745">
        <v>306656551960</v>
      </c>
      <c r="D22" s="386" t="s">
        <v>3069</v>
      </c>
      <c r="E22" s="47" t="s">
        <v>3123</v>
      </c>
      <c r="F22" s="126" t="s">
        <v>2795</v>
      </c>
      <c r="G22" s="167"/>
      <c r="H22" s="167"/>
      <c r="I22" s="154" t="s">
        <v>2796</v>
      </c>
      <c r="J22" s="692" t="s">
        <v>3081</v>
      </c>
      <c r="K22" s="170" t="s">
        <v>3082</v>
      </c>
      <c r="L22" s="690">
        <v>243</v>
      </c>
      <c r="M22" s="86" t="s">
        <v>2891</v>
      </c>
      <c r="N22" s="158"/>
      <c r="O22" s="150"/>
      <c r="P22" s="248"/>
      <c r="Q22" s="248"/>
      <c r="R22" s="248"/>
      <c r="S22" s="248"/>
      <c r="T22" s="247"/>
      <c r="U22" s="248"/>
      <c r="V22" s="340">
        <f t="shared" si="5"/>
        <v>0</v>
      </c>
      <c r="W22" s="344">
        <f t="shared" si="6"/>
        <v>0</v>
      </c>
      <c r="X22" s="249"/>
      <c r="Y22" s="341">
        <f t="shared" si="4"/>
        <v>648000</v>
      </c>
      <c r="Z22" s="342">
        <f t="shared" si="7"/>
        <v>648000</v>
      </c>
      <c r="AA22" s="252"/>
    </row>
    <row r="23" spans="1:28">
      <c r="A23" s="326">
        <f t="shared" si="3"/>
        <v>9</v>
      </c>
      <c r="B23" s="713" t="s">
        <v>3102</v>
      </c>
      <c r="C23" s="179">
        <v>306667953010</v>
      </c>
      <c r="D23" s="386" t="s">
        <v>3102</v>
      </c>
      <c r="E23" s="47" t="s">
        <v>3123</v>
      </c>
      <c r="F23" s="126" t="s">
        <v>2795</v>
      </c>
      <c r="G23" s="167"/>
      <c r="H23" s="167"/>
      <c r="I23" s="154" t="s">
        <v>2794</v>
      </c>
      <c r="J23" s="692" t="s">
        <v>3103</v>
      </c>
      <c r="K23" s="170" t="s">
        <v>3099</v>
      </c>
      <c r="L23" s="690">
        <v>171</v>
      </c>
      <c r="M23" s="86" t="s">
        <v>2891</v>
      </c>
      <c r="N23" s="158"/>
      <c r="O23" s="150"/>
      <c r="P23" s="248"/>
      <c r="Q23" s="248"/>
      <c r="R23" s="248"/>
      <c r="S23" s="248"/>
      <c r="T23" s="247"/>
      <c r="U23" s="248"/>
      <c r="V23" s="340">
        <f>Q23+R23+S23+P23+U23</f>
        <v>0</v>
      </c>
      <c r="W23" s="344">
        <f>+T23</f>
        <v>0</v>
      </c>
      <c r="X23" s="249"/>
      <c r="Y23" s="341">
        <f t="shared" si="4"/>
        <v>648000</v>
      </c>
      <c r="Z23" s="342">
        <f>+Y23+W23+V23</f>
        <v>648000</v>
      </c>
      <c r="AA23" s="252"/>
    </row>
    <row r="24" spans="1:28">
      <c r="A24" s="326">
        <f t="shared" si="3"/>
        <v>10</v>
      </c>
      <c r="B24" s="713" t="s">
        <v>3098</v>
      </c>
      <c r="C24" s="179">
        <v>306668669550</v>
      </c>
      <c r="D24" s="386" t="s">
        <v>3098</v>
      </c>
      <c r="E24" s="47" t="s">
        <v>3123</v>
      </c>
      <c r="F24" s="126" t="s">
        <v>2795</v>
      </c>
      <c r="G24" s="167"/>
      <c r="H24" s="167"/>
      <c r="I24" s="154" t="s">
        <v>2796</v>
      </c>
      <c r="J24" s="692" t="s">
        <v>3108</v>
      </c>
      <c r="K24" s="170" t="s">
        <v>3109</v>
      </c>
      <c r="L24" s="690">
        <v>665</v>
      </c>
      <c r="M24" s="86" t="s">
        <v>2891</v>
      </c>
      <c r="N24" s="158"/>
      <c r="O24" s="150"/>
      <c r="P24" s="248"/>
      <c r="Q24" s="248"/>
      <c r="R24" s="248"/>
      <c r="S24" s="248"/>
      <c r="T24" s="247"/>
      <c r="U24" s="248"/>
      <c r="V24" s="340">
        <f>Q24+R24+S24+P24+U24</f>
        <v>0</v>
      </c>
      <c r="W24" s="344">
        <f>+T24</f>
        <v>0</v>
      </c>
      <c r="X24" s="249"/>
      <c r="Y24" s="341">
        <f t="shared" si="4"/>
        <v>648000</v>
      </c>
      <c r="Z24" s="342">
        <f>+Y24+W24+V24</f>
        <v>648000</v>
      </c>
      <c r="AA24" s="252"/>
    </row>
    <row r="25" spans="1:28">
      <c r="A25" s="326">
        <f t="shared" si="3"/>
        <v>11</v>
      </c>
      <c r="B25" s="713" t="s">
        <v>3106</v>
      </c>
      <c r="C25" s="179">
        <v>306665950160</v>
      </c>
      <c r="D25" s="386" t="s">
        <v>3106</v>
      </c>
      <c r="E25" s="47" t="s">
        <v>3123</v>
      </c>
      <c r="F25" s="126" t="s">
        <v>2795</v>
      </c>
      <c r="G25" s="167"/>
      <c r="H25" s="167"/>
      <c r="I25" s="154" t="s">
        <v>2808</v>
      </c>
      <c r="J25" s="692" t="s">
        <v>3119</v>
      </c>
      <c r="K25" s="170" t="s">
        <v>3120</v>
      </c>
      <c r="L25" s="690">
        <v>639</v>
      </c>
      <c r="M25" s="86" t="s">
        <v>2891</v>
      </c>
      <c r="N25" s="158"/>
      <c r="O25" s="150"/>
      <c r="P25" s="248"/>
      <c r="Q25" s="248"/>
      <c r="R25" s="248"/>
      <c r="S25" s="248"/>
      <c r="T25" s="247"/>
      <c r="U25" s="248"/>
      <c r="V25" s="340">
        <f t="shared" si="5"/>
        <v>0</v>
      </c>
      <c r="W25" s="344">
        <f t="shared" si="6"/>
        <v>0</v>
      </c>
      <c r="X25" s="249"/>
      <c r="Y25" s="341">
        <f t="shared" si="4"/>
        <v>648000</v>
      </c>
      <c r="Z25" s="342">
        <f t="shared" si="7"/>
        <v>648000</v>
      </c>
      <c r="AA25" s="252"/>
    </row>
    <row r="26" spans="1:28">
      <c r="A26" s="326">
        <f t="shared" si="3"/>
        <v>12</v>
      </c>
      <c r="B26" s="711" t="s">
        <v>3111</v>
      </c>
      <c r="C26" s="179">
        <v>306675092860</v>
      </c>
      <c r="D26" s="386" t="s">
        <v>3111</v>
      </c>
      <c r="E26" s="47" t="s">
        <v>3123</v>
      </c>
      <c r="F26" s="126" t="s">
        <v>2795</v>
      </c>
      <c r="G26" s="167"/>
      <c r="H26" s="167"/>
      <c r="I26" s="577" t="s">
        <v>3035</v>
      </c>
      <c r="J26" s="692" t="s">
        <v>3121</v>
      </c>
      <c r="K26" s="170" t="s">
        <v>3122</v>
      </c>
      <c r="L26" s="690">
        <v>122</v>
      </c>
      <c r="M26" s="86" t="s">
        <v>2891</v>
      </c>
      <c r="N26" s="158"/>
      <c r="O26" s="150"/>
      <c r="P26" s="248"/>
      <c r="Q26" s="248"/>
      <c r="R26" s="248"/>
      <c r="S26" s="248"/>
      <c r="T26" s="247"/>
      <c r="U26" s="248"/>
      <c r="V26" s="340">
        <f>Q26+R26+S26+P26+U26</f>
        <v>0</v>
      </c>
      <c r="W26" s="344">
        <f>+T26</f>
        <v>0</v>
      </c>
      <c r="X26" s="249"/>
      <c r="Y26" s="341">
        <f t="shared" si="4"/>
        <v>648000</v>
      </c>
      <c r="Z26" s="342">
        <f>+Y26+W26+V26</f>
        <v>648000</v>
      </c>
      <c r="AA26" s="252"/>
    </row>
    <row r="27" spans="1:28">
      <c r="A27" s="3373" t="s">
        <v>3132</v>
      </c>
      <c r="B27" s="3374"/>
      <c r="C27" s="3374"/>
      <c r="D27" s="3374"/>
      <c r="E27" s="3374"/>
      <c r="F27" s="3374"/>
      <c r="G27" s="3374"/>
      <c r="H27" s="3374"/>
      <c r="I27" s="3374"/>
      <c r="J27" s="3374"/>
      <c r="K27" s="3374"/>
      <c r="L27" s="3374"/>
      <c r="M27" s="3375"/>
      <c r="N27" s="755"/>
      <c r="O27" s="653"/>
      <c r="P27" s="486"/>
      <c r="Q27" s="486"/>
      <c r="R27" s="248"/>
      <c r="S27" s="248"/>
      <c r="T27" s="247"/>
      <c r="U27" s="248"/>
      <c r="V27" s="486"/>
      <c r="W27" s="489"/>
      <c r="X27" s="490"/>
      <c r="Y27" s="488"/>
      <c r="Z27" s="491">
        <f>SUM(Z18:Z26)</f>
        <v>5832000</v>
      </c>
      <c r="AA27" s="252"/>
    </row>
    <row r="28" spans="1:28">
      <c r="A28" s="326">
        <v>1</v>
      </c>
      <c r="B28" s="713" t="s">
        <v>3133</v>
      </c>
      <c r="C28" s="179">
        <v>306680992350</v>
      </c>
      <c r="D28" s="386" t="s">
        <v>3105</v>
      </c>
      <c r="E28" s="47" t="s">
        <v>3332</v>
      </c>
      <c r="F28" s="126" t="s">
        <v>2795</v>
      </c>
      <c r="G28" s="167"/>
      <c r="H28" s="167"/>
      <c r="I28" s="154" t="s">
        <v>3383</v>
      </c>
      <c r="J28" s="692" t="s">
        <v>3142</v>
      </c>
      <c r="K28" s="170" t="s">
        <v>3134</v>
      </c>
      <c r="L28" s="690">
        <v>482</v>
      </c>
      <c r="M28" s="86" t="s">
        <v>2891</v>
      </c>
      <c r="N28" s="158"/>
      <c r="O28" s="150"/>
      <c r="P28" s="248"/>
      <c r="Q28" s="248"/>
      <c r="R28" s="248"/>
      <c r="S28" s="248"/>
      <c r="T28" s="247"/>
      <c r="U28" s="248"/>
      <c r="V28" s="340">
        <f>Q28+R28+S28+P28+U28</f>
        <v>0</v>
      </c>
      <c r="W28" s="344">
        <f>+T28</f>
        <v>0</v>
      </c>
      <c r="X28" s="249"/>
      <c r="Y28" s="341">
        <f t="shared" si="4"/>
        <v>648000</v>
      </c>
      <c r="Z28" s="342">
        <f>+Y28+W28+V28</f>
        <v>648000</v>
      </c>
      <c r="AA28" s="252"/>
    </row>
    <row r="29" spans="1:28">
      <c r="A29" s="326">
        <v>2</v>
      </c>
      <c r="B29" s="713" t="s">
        <v>3105</v>
      </c>
      <c r="C29" s="745" t="s">
        <v>3143</v>
      </c>
      <c r="D29" s="386" t="s">
        <v>3179</v>
      </c>
      <c r="E29" s="47" t="s">
        <v>3332</v>
      </c>
      <c r="F29" s="126" t="s">
        <v>2795</v>
      </c>
      <c r="G29" s="167"/>
      <c r="H29" s="167"/>
      <c r="I29" s="154" t="s">
        <v>2796</v>
      </c>
      <c r="J29" s="692" t="s">
        <v>3183</v>
      </c>
      <c r="K29" s="170" t="s">
        <v>3141</v>
      </c>
      <c r="L29" s="690">
        <v>172</v>
      </c>
      <c r="M29" s="86" t="s">
        <v>2891</v>
      </c>
      <c r="N29" s="158"/>
      <c r="O29" s="150"/>
      <c r="P29" s="248"/>
      <c r="Q29" s="248"/>
      <c r="R29" s="248"/>
      <c r="S29" s="248"/>
      <c r="T29" s="247"/>
      <c r="U29" s="248"/>
      <c r="V29" s="340">
        <f t="shared" ref="V29:V39" si="8">Q29+R29+S29+P29+U29</f>
        <v>0</v>
      </c>
      <c r="W29" s="344">
        <f t="shared" ref="W29:W39" si="9">+T29</f>
        <v>0</v>
      </c>
      <c r="X29" s="249"/>
      <c r="Y29" s="341">
        <f t="shared" si="4"/>
        <v>648000</v>
      </c>
      <c r="Z29" s="342">
        <f t="shared" ref="Z29:Z38" si="10">+Y29+W29+V29</f>
        <v>648000</v>
      </c>
      <c r="AA29" s="252"/>
    </row>
    <row r="30" spans="1:28">
      <c r="A30" s="326">
        <f t="shared" si="3"/>
        <v>3</v>
      </c>
      <c r="B30" s="711" t="s">
        <v>3203</v>
      </c>
      <c r="C30" s="772">
        <v>306707268250</v>
      </c>
      <c r="D30" s="765" t="s">
        <v>3204</v>
      </c>
      <c r="E30" s="47" t="s">
        <v>3332</v>
      </c>
      <c r="F30" s="767" t="s">
        <v>2795</v>
      </c>
      <c r="G30" s="167"/>
      <c r="H30" s="167"/>
      <c r="I30" s="127" t="s">
        <v>2794</v>
      </c>
      <c r="J30" s="691" t="s">
        <v>3205</v>
      </c>
      <c r="K30" s="768" t="s">
        <v>3201</v>
      </c>
      <c r="L30" s="773">
        <v>300</v>
      </c>
      <c r="M30" s="774" t="s">
        <v>2891</v>
      </c>
      <c r="N30" s="715"/>
      <c r="O30" s="716"/>
      <c r="P30" s="775"/>
      <c r="Q30" s="775"/>
      <c r="R30" s="775"/>
      <c r="S30" s="775"/>
      <c r="T30" s="776"/>
      <c r="U30" s="775"/>
      <c r="V30" s="340">
        <f t="shared" si="8"/>
        <v>0</v>
      </c>
      <c r="W30" s="344">
        <f t="shared" si="9"/>
        <v>0</v>
      </c>
      <c r="X30" s="777"/>
      <c r="Y30" s="341">
        <f t="shared" si="4"/>
        <v>648000</v>
      </c>
      <c r="Z30" s="342">
        <f t="shared" si="10"/>
        <v>648000</v>
      </c>
      <c r="AA30" s="778"/>
    </row>
    <row r="31" spans="1:28" s="666" customFormat="1">
      <c r="A31" s="98">
        <f t="shared" si="3"/>
        <v>4</v>
      </c>
      <c r="B31" s="98" t="s">
        <v>3203</v>
      </c>
      <c r="C31" s="179">
        <v>306707420410</v>
      </c>
      <c r="D31" s="671" t="s">
        <v>3194</v>
      </c>
      <c r="E31" s="47" t="s">
        <v>3332</v>
      </c>
      <c r="F31" s="117" t="s">
        <v>2795</v>
      </c>
      <c r="G31" s="87"/>
      <c r="H31" s="87"/>
      <c r="I31" s="46" t="s">
        <v>2796</v>
      </c>
      <c r="J31" s="691" t="s">
        <v>3217</v>
      </c>
      <c r="K31" s="117" t="s">
        <v>3200</v>
      </c>
      <c r="L31" s="784" t="s">
        <v>3218</v>
      </c>
      <c r="M31" s="774" t="s">
        <v>2891</v>
      </c>
      <c r="N31" s="158"/>
      <c r="O31" s="150"/>
      <c r="P31" s="248"/>
      <c r="Q31" s="248"/>
      <c r="R31" s="248"/>
      <c r="S31" s="248"/>
      <c r="T31" s="247"/>
      <c r="U31" s="248"/>
      <c r="V31" s="340">
        <f t="shared" si="8"/>
        <v>0</v>
      </c>
      <c r="W31" s="344">
        <f t="shared" si="9"/>
        <v>0</v>
      </c>
      <c r="X31" s="249"/>
      <c r="Y31" s="341">
        <f t="shared" si="4"/>
        <v>648000</v>
      </c>
      <c r="Z31" s="342">
        <f t="shared" si="10"/>
        <v>648000</v>
      </c>
      <c r="AA31" s="252"/>
      <c r="AB31" s="46"/>
    </row>
    <row r="32" spans="1:28">
      <c r="A32" s="658">
        <f t="shared" si="3"/>
        <v>5</v>
      </c>
      <c r="B32" s="783" t="s">
        <v>3214</v>
      </c>
      <c r="C32" s="779">
        <v>306719309540</v>
      </c>
      <c r="D32" s="684" t="s">
        <v>3208</v>
      </c>
      <c r="E32" s="47" t="s">
        <v>3332</v>
      </c>
      <c r="F32" s="661" t="s">
        <v>2795</v>
      </c>
      <c r="G32" s="445"/>
      <c r="H32" s="445"/>
      <c r="I32" s="577" t="s">
        <v>2796</v>
      </c>
      <c r="J32" s="691" t="s">
        <v>3215</v>
      </c>
      <c r="K32" s="740" t="s">
        <v>3216</v>
      </c>
      <c r="L32" s="741">
        <v>691</v>
      </c>
      <c r="M32" s="774" t="s">
        <v>2891</v>
      </c>
      <c r="N32" s="780"/>
      <c r="O32" s="781"/>
      <c r="P32" s="425"/>
      <c r="Q32" s="425"/>
      <c r="R32" s="425"/>
      <c r="S32" s="425"/>
      <c r="T32" s="426"/>
      <c r="U32" s="425"/>
      <c r="V32" s="340">
        <f t="shared" si="8"/>
        <v>0</v>
      </c>
      <c r="W32" s="344">
        <f t="shared" si="9"/>
        <v>0</v>
      </c>
      <c r="X32" s="398"/>
      <c r="Y32" s="341">
        <f t="shared" si="4"/>
        <v>648000</v>
      </c>
      <c r="Z32" s="342">
        <f t="shared" si="10"/>
        <v>648000</v>
      </c>
      <c r="AA32" s="782"/>
    </row>
    <row r="33" spans="1:27">
      <c r="A33" s="326">
        <f t="shared" si="3"/>
        <v>6</v>
      </c>
      <c r="B33" s="713" t="s">
        <v>3237</v>
      </c>
      <c r="C33" s="779">
        <v>306726678000</v>
      </c>
      <c r="D33" s="386" t="s">
        <v>3257</v>
      </c>
      <c r="E33" s="47" t="s">
        <v>3332</v>
      </c>
      <c r="F33" s="661" t="s">
        <v>2795</v>
      </c>
      <c r="G33" s="167"/>
      <c r="H33" s="167"/>
      <c r="I33" s="154" t="s">
        <v>3383</v>
      </c>
      <c r="J33" s="691" t="s">
        <v>3263</v>
      </c>
      <c r="K33" s="170" t="s">
        <v>3250</v>
      </c>
      <c r="L33" s="741">
        <v>1810</v>
      </c>
      <c r="M33" s="774" t="s">
        <v>2891</v>
      </c>
      <c r="N33" s="158"/>
      <c r="O33" s="150"/>
      <c r="P33" s="248"/>
      <c r="Q33" s="248"/>
      <c r="R33" s="248"/>
      <c r="S33" s="248"/>
      <c r="T33" s="247"/>
      <c r="U33" s="248"/>
      <c r="V33" s="340">
        <f t="shared" si="8"/>
        <v>0</v>
      </c>
      <c r="W33" s="344">
        <f t="shared" si="9"/>
        <v>0</v>
      </c>
      <c r="X33" s="249"/>
      <c r="Y33" s="341">
        <f t="shared" si="4"/>
        <v>648000</v>
      </c>
      <c r="Z33" s="342">
        <f t="shared" si="10"/>
        <v>648000</v>
      </c>
      <c r="AA33" s="252"/>
    </row>
    <row r="34" spans="1:27">
      <c r="A34" s="326">
        <f t="shared" si="3"/>
        <v>7</v>
      </c>
      <c r="B34" s="713" t="s">
        <v>3279</v>
      </c>
      <c r="C34" s="179">
        <v>306733992630</v>
      </c>
      <c r="D34" s="386" t="s">
        <v>3279</v>
      </c>
      <c r="E34" s="47" t="s">
        <v>3332</v>
      </c>
      <c r="F34" s="661" t="s">
        <v>2795</v>
      </c>
      <c r="G34" s="167"/>
      <c r="H34" s="167"/>
      <c r="I34" s="154" t="s">
        <v>3383</v>
      </c>
      <c r="J34" s="692" t="s">
        <v>3295</v>
      </c>
      <c r="K34" s="740" t="s">
        <v>3296</v>
      </c>
      <c r="L34" s="690">
        <v>486</v>
      </c>
      <c r="M34" s="774" t="s">
        <v>2891</v>
      </c>
      <c r="N34" s="158"/>
      <c r="O34" s="150"/>
      <c r="P34" s="248"/>
      <c r="Q34" s="248"/>
      <c r="R34" s="248"/>
      <c r="S34" s="248"/>
      <c r="T34" s="247"/>
      <c r="U34" s="248"/>
      <c r="V34" s="340">
        <f t="shared" si="8"/>
        <v>0</v>
      </c>
      <c r="W34" s="344">
        <f t="shared" si="9"/>
        <v>0</v>
      </c>
      <c r="X34" s="249"/>
      <c r="Y34" s="341">
        <f t="shared" si="4"/>
        <v>648000</v>
      </c>
      <c r="Z34" s="342">
        <f t="shared" si="10"/>
        <v>648000</v>
      </c>
      <c r="AA34" s="252"/>
    </row>
    <row r="35" spans="1:27">
      <c r="A35" s="326">
        <v>8</v>
      </c>
      <c r="B35" s="713" t="s">
        <v>3298</v>
      </c>
      <c r="C35" s="179">
        <v>306746391730</v>
      </c>
      <c r="D35" s="386" t="s">
        <v>3281</v>
      </c>
      <c r="E35" s="47" t="s">
        <v>3332</v>
      </c>
      <c r="F35" s="661" t="s">
        <v>2795</v>
      </c>
      <c r="G35" s="167"/>
      <c r="H35" s="167"/>
      <c r="I35" s="46" t="s">
        <v>2796</v>
      </c>
      <c r="J35" s="692" t="s">
        <v>3325</v>
      </c>
      <c r="K35" s="740" t="s">
        <v>3306</v>
      </c>
      <c r="L35" s="690">
        <v>714</v>
      </c>
      <c r="M35" s="774" t="s">
        <v>2891</v>
      </c>
      <c r="N35" s="158"/>
      <c r="O35" s="150"/>
      <c r="P35" s="248"/>
      <c r="Q35" s="248"/>
      <c r="R35" s="248"/>
      <c r="S35" s="248"/>
      <c r="T35" s="247"/>
      <c r="U35" s="248"/>
      <c r="V35" s="340">
        <f t="shared" si="8"/>
        <v>0</v>
      </c>
      <c r="W35" s="344">
        <f t="shared" si="9"/>
        <v>0</v>
      </c>
      <c r="X35" s="249"/>
      <c r="Y35" s="341">
        <f t="shared" si="4"/>
        <v>648000</v>
      </c>
      <c r="Z35" s="342">
        <f t="shared" si="10"/>
        <v>648000</v>
      </c>
      <c r="AA35" s="252"/>
    </row>
    <row r="36" spans="1:27">
      <c r="A36" s="326">
        <v>9</v>
      </c>
      <c r="B36" s="711" t="s">
        <v>3279</v>
      </c>
      <c r="C36" s="179">
        <v>306742014630</v>
      </c>
      <c r="D36" s="386" t="s">
        <v>3320</v>
      </c>
      <c r="E36" s="47" t="s">
        <v>3332</v>
      </c>
      <c r="F36" s="661" t="s">
        <v>2795</v>
      </c>
      <c r="G36" s="167"/>
      <c r="H36" s="167"/>
      <c r="I36" s="154" t="s">
        <v>3383</v>
      </c>
      <c r="J36" s="692" t="s">
        <v>3355</v>
      </c>
      <c r="K36" s="170" t="s">
        <v>3305</v>
      </c>
      <c r="L36" s="690">
        <v>1784</v>
      </c>
      <c r="M36" s="774" t="s">
        <v>2891</v>
      </c>
      <c r="N36" s="158"/>
      <c r="O36" s="150"/>
      <c r="P36" s="248"/>
      <c r="Q36" s="248"/>
      <c r="R36" s="248"/>
      <c r="S36" s="248"/>
      <c r="T36" s="247"/>
      <c r="U36" s="248"/>
      <c r="V36" s="340">
        <f t="shared" si="8"/>
        <v>0</v>
      </c>
      <c r="W36" s="344">
        <f t="shared" si="9"/>
        <v>0</v>
      </c>
      <c r="X36" s="249"/>
      <c r="Y36" s="341">
        <f t="shared" si="4"/>
        <v>648000</v>
      </c>
      <c r="Z36" s="342">
        <f t="shared" si="10"/>
        <v>648000</v>
      </c>
      <c r="AA36" s="252"/>
    </row>
    <row r="37" spans="1:27">
      <c r="A37" s="326">
        <v>10</v>
      </c>
      <c r="B37" s="713" t="s">
        <v>3315</v>
      </c>
      <c r="C37" s="179">
        <v>306752675040</v>
      </c>
      <c r="D37" s="386" t="s">
        <v>3320</v>
      </c>
      <c r="E37" s="47" t="s">
        <v>3332</v>
      </c>
      <c r="F37" s="661" t="s">
        <v>2795</v>
      </c>
      <c r="G37" s="167"/>
      <c r="H37" s="167"/>
      <c r="I37" s="154" t="s">
        <v>3383</v>
      </c>
      <c r="J37" s="692" t="s">
        <v>3354</v>
      </c>
      <c r="K37" s="170" t="s">
        <v>3339</v>
      </c>
      <c r="L37" s="690">
        <v>1204</v>
      </c>
      <c r="M37" s="774" t="s">
        <v>2891</v>
      </c>
      <c r="N37" s="158"/>
      <c r="O37" s="150"/>
      <c r="P37" s="248"/>
      <c r="Q37" s="248"/>
      <c r="R37" s="248"/>
      <c r="S37" s="248"/>
      <c r="T37" s="247"/>
      <c r="U37" s="248"/>
      <c r="V37" s="340">
        <f t="shared" si="8"/>
        <v>0</v>
      </c>
      <c r="W37" s="344">
        <f t="shared" si="9"/>
        <v>0</v>
      </c>
      <c r="X37" s="249"/>
      <c r="Y37" s="341">
        <f t="shared" si="4"/>
        <v>648000</v>
      </c>
      <c r="Z37" s="342">
        <f t="shared" si="10"/>
        <v>648000</v>
      </c>
      <c r="AA37" s="252"/>
    </row>
    <row r="38" spans="1:27">
      <c r="A38" s="818">
        <f t="shared" si="3"/>
        <v>11</v>
      </c>
      <c r="B38" s="713" t="s">
        <v>3315</v>
      </c>
      <c r="C38" s="976">
        <v>306752727100</v>
      </c>
      <c r="D38" s="947" t="s">
        <v>3320</v>
      </c>
      <c r="E38" s="872" t="s">
        <v>3332</v>
      </c>
      <c r="F38" s="661" t="s">
        <v>2795</v>
      </c>
      <c r="G38" s="167"/>
      <c r="H38" s="167"/>
      <c r="I38" s="154" t="s">
        <v>3035</v>
      </c>
      <c r="J38" s="989" t="s">
        <v>3364</v>
      </c>
      <c r="K38" s="942" t="s">
        <v>3340</v>
      </c>
      <c r="L38" s="977">
        <v>99</v>
      </c>
      <c r="M38" s="978" t="s">
        <v>2891</v>
      </c>
      <c r="N38" s="973" t="s">
        <v>3358</v>
      </c>
      <c r="O38" s="150"/>
      <c r="P38" s="248"/>
      <c r="Q38" s="248"/>
      <c r="R38" s="248"/>
      <c r="S38" s="248"/>
      <c r="T38" s="247"/>
      <c r="U38" s="248"/>
      <c r="V38" s="340">
        <f t="shared" si="8"/>
        <v>0</v>
      </c>
      <c r="W38" s="344">
        <f t="shared" si="9"/>
        <v>0</v>
      </c>
      <c r="X38" s="249"/>
      <c r="Y38" s="341">
        <f t="shared" si="4"/>
        <v>648000</v>
      </c>
      <c r="Z38" s="342">
        <f t="shared" si="10"/>
        <v>648000</v>
      </c>
      <c r="AA38" s="252"/>
    </row>
    <row r="39" spans="1:27">
      <c r="A39" s="818">
        <f t="shared" si="3"/>
        <v>12</v>
      </c>
      <c r="B39" s="713" t="s">
        <v>3345</v>
      </c>
      <c r="C39" s="976">
        <v>306758762240</v>
      </c>
      <c r="D39" s="947" t="s">
        <v>3345</v>
      </c>
      <c r="E39" s="872" t="s">
        <v>3332</v>
      </c>
      <c r="F39" s="661" t="s">
        <v>2795</v>
      </c>
      <c r="G39" s="167"/>
      <c r="H39" s="167"/>
      <c r="I39" s="154" t="s">
        <v>3035</v>
      </c>
      <c r="J39" s="651" t="s">
        <v>3364</v>
      </c>
      <c r="K39" s="942" t="s">
        <v>3340</v>
      </c>
      <c r="L39" s="977">
        <v>170</v>
      </c>
      <c r="M39" s="978" t="s">
        <v>2891</v>
      </c>
      <c r="N39" s="158"/>
      <c r="O39" s="150"/>
      <c r="P39" s="248"/>
      <c r="Q39" s="248"/>
      <c r="R39" s="248"/>
      <c r="S39" s="248"/>
      <c r="T39" s="247"/>
      <c r="U39" s="248"/>
      <c r="V39" s="340">
        <f t="shared" si="8"/>
        <v>0</v>
      </c>
      <c r="W39" s="344">
        <f t="shared" si="9"/>
        <v>0</v>
      </c>
      <c r="X39" s="249"/>
      <c r="Y39" s="341">
        <f>600000*1.08</f>
        <v>648000</v>
      </c>
      <c r="Z39" s="342">
        <f>+Y39+W39+V39</f>
        <v>648000</v>
      </c>
      <c r="AA39" s="852"/>
    </row>
    <row r="40" spans="1:27">
      <c r="A40" s="3376" t="s">
        <v>3330</v>
      </c>
      <c r="B40" s="3377"/>
      <c r="C40" s="3377"/>
      <c r="D40" s="3377"/>
      <c r="E40" s="3377"/>
      <c r="F40" s="3377"/>
      <c r="G40" s="3377"/>
      <c r="H40" s="3377"/>
      <c r="I40" s="3377"/>
      <c r="J40" s="3377"/>
      <c r="K40" s="3377"/>
      <c r="L40" s="3377"/>
      <c r="M40" s="3378"/>
      <c r="N40" s="755"/>
      <c r="O40" s="653"/>
      <c r="P40" s="486"/>
      <c r="Q40" s="486"/>
      <c r="R40" s="248"/>
      <c r="S40" s="248"/>
      <c r="T40" s="247"/>
      <c r="U40" s="248"/>
      <c r="V40" s="486"/>
      <c r="W40" s="489"/>
      <c r="X40" s="490"/>
      <c r="Y40" s="488">
        <f>SUM(Y28:Y39)</f>
        <v>7776000</v>
      </c>
      <c r="Z40" s="491">
        <f>SUM(Z28:Z38)</f>
        <v>7128000</v>
      </c>
      <c r="AA40" s="252"/>
    </row>
    <row r="41" spans="1:27">
      <c r="A41" s="658">
        <v>1</v>
      </c>
      <c r="B41" s="991" t="s">
        <v>3360</v>
      </c>
      <c r="C41" s="779">
        <v>306781693100</v>
      </c>
      <c r="D41" s="684" t="s">
        <v>3415</v>
      </c>
      <c r="E41" s="872" t="s">
        <v>3561</v>
      </c>
      <c r="F41" s="661" t="s">
        <v>2795</v>
      </c>
      <c r="G41" s="445"/>
      <c r="H41" s="445"/>
      <c r="I41" s="127" t="s">
        <v>2794</v>
      </c>
      <c r="J41" s="692" t="s">
        <v>3432</v>
      </c>
      <c r="K41" s="806" t="s">
        <v>3403</v>
      </c>
      <c r="L41" s="741">
        <v>494</v>
      </c>
      <c r="M41" s="978" t="s">
        <v>2891</v>
      </c>
      <c r="N41" s="158"/>
      <c r="O41" s="150"/>
      <c r="P41" s="248"/>
      <c r="Q41" s="248"/>
      <c r="R41" s="248"/>
      <c r="S41" s="248"/>
      <c r="T41" s="247"/>
      <c r="U41" s="248"/>
      <c r="V41" s="340">
        <f>Q41+R41+S41+P41+U41</f>
        <v>0</v>
      </c>
      <c r="W41" s="344">
        <f>+T41</f>
        <v>0</v>
      </c>
      <c r="X41" s="249"/>
      <c r="Y41" s="341">
        <f t="shared" ref="Y41:Y107" si="11">600000*1.08</f>
        <v>648000</v>
      </c>
      <c r="Z41" s="342">
        <f>+Y41+W41+V41</f>
        <v>648000</v>
      </c>
      <c r="AA41" s="252"/>
    </row>
    <row r="42" spans="1:27">
      <c r="A42" s="326">
        <f t="shared" si="3"/>
        <v>2</v>
      </c>
      <c r="B42" s="991" t="s">
        <v>3360</v>
      </c>
      <c r="C42" s="179">
        <v>306781970520</v>
      </c>
      <c r="D42" s="386" t="s">
        <v>3434</v>
      </c>
      <c r="E42" s="872" t="s">
        <v>3561</v>
      </c>
      <c r="F42" s="661" t="s">
        <v>2795</v>
      </c>
      <c r="G42" s="167"/>
      <c r="H42" s="167"/>
      <c r="I42" s="46" t="s">
        <v>2796</v>
      </c>
      <c r="J42" s="692" t="s">
        <v>3433</v>
      </c>
      <c r="K42" s="806" t="s">
        <v>3404</v>
      </c>
      <c r="L42" s="741">
        <v>753</v>
      </c>
      <c r="M42" s="978" t="s">
        <v>2891</v>
      </c>
      <c r="N42" s="158"/>
      <c r="O42" s="150"/>
      <c r="P42" s="248"/>
      <c r="Q42" s="248"/>
      <c r="R42" s="248"/>
      <c r="S42" s="248"/>
      <c r="T42" s="247"/>
      <c r="U42" s="248"/>
      <c r="V42" s="340">
        <f t="shared" ref="V42:V56" si="12">Q42+R42+S42+P42+U42</f>
        <v>0</v>
      </c>
      <c r="W42" s="344">
        <f t="shared" ref="W42:W56" si="13">+T42</f>
        <v>0</v>
      </c>
      <c r="X42" s="249"/>
      <c r="Y42" s="341">
        <f t="shared" si="11"/>
        <v>648000</v>
      </c>
      <c r="Z42" s="342">
        <f t="shared" ref="Z42:Z103" si="14">+Y42+W42+V42</f>
        <v>648000</v>
      </c>
      <c r="AA42" s="252"/>
    </row>
    <row r="43" spans="1:27">
      <c r="A43" s="326">
        <f t="shared" si="3"/>
        <v>3</v>
      </c>
      <c r="B43" s="993" t="s">
        <v>3422</v>
      </c>
      <c r="C43" s="179">
        <v>306786320210</v>
      </c>
      <c r="D43" s="386" t="s">
        <v>3434</v>
      </c>
      <c r="E43" s="872" t="s">
        <v>3561</v>
      </c>
      <c r="F43" s="661" t="s">
        <v>2795</v>
      </c>
      <c r="G43" s="167"/>
      <c r="H43" s="167"/>
      <c r="I43" s="154" t="s">
        <v>3383</v>
      </c>
      <c r="J43" s="692" t="s">
        <v>3435</v>
      </c>
      <c r="K43" s="170" t="s">
        <v>3421</v>
      </c>
      <c r="L43" s="741">
        <v>1514</v>
      </c>
      <c r="M43" s="978" t="s">
        <v>2891</v>
      </c>
      <c r="N43" s="158"/>
      <c r="O43" s="150"/>
      <c r="P43" s="248"/>
      <c r="Q43" s="248"/>
      <c r="R43" s="248"/>
      <c r="S43" s="248"/>
      <c r="T43" s="247"/>
      <c r="U43" s="248"/>
      <c r="V43" s="340">
        <f t="shared" si="12"/>
        <v>0</v>
      </c>
      <c r="W43" s="344">
        <f t="shared" si="13"/>
        <v>0</v>
      </c>
      <c r="X43" s="249"/>
      <c r="Y43" s="341">
        <f t="shared" si="11"/>
        <v>648000</v>
      </c>
      <c r="Z43" s="342">
        <f t="shared" si="14"/>
        <v>648000</v>
      </c>
      <c r="AA43" s="252"/>
    </row>
    <row r="44" spans="1:27">
      <c r="A44" s="326">
        <f t="shared" si="3"/>
        <v>4</v>
      </c>
      <c r="B44" s="713" t="s">
        <v>3412</v>
      </c>
      <c r="C44" s="179">
        <v>306798779950</v>
      </c>
      <c r="D44" s="3364" t="s">
        <v>3462</v>
      </c>
      <c r="E44" s="872" t="s">
        <v>3561</v>
      </c>
      <c r="F44" s="661" t="s">
        <v>2795</v>
      </c>
      <c r="G44" s="167"/>
      <c r="H44" s="167"/>
      <c r="I44" s="3362" t="s">
        <v>3383</v>
      </c>
      <c r="J44" s="692" t="s">
        <v>3481</v>
      </c>
      <c r="K44" s="170" t="s">
        <v>3446</v>
      </c>
      <c r="L44" s="690">
        <v>677</v>
      </c>
      <c r="M44" s="978" t="s">
        <v>2891</v>
      </c>
      <c r="N44" s="158"/>
      <c r="O44" s="150"/>
      <c r="P44" s="248"/>
      <c r="Q44" s="248"/>
      <c r="R44" s="248"/>
      <c r="S44" s="248"/>
      <c r="T44" s="247"/>
      <c r="U44" s="248"/>
      <c r="V44" s="340">
        <f t="shared" si="12"/>
        <v>0</v>
      </c>
      <c r="W44" s="344">
        <f t="shared" si="13"/>
        <v>0</v>
      </c>
      <c r="X44" s="249"/>
      <c r="Y44" s="341">
        <f t="shared" si="11"/>
        <v>648000</v>
      </c>
      <c r="Z44" s="342">
        <f t="shared" si="14"/>
        <v>648000</v>
      </c>
      <c r="AA44" s="252"/>
    </row>
    <row r="45" spans="1:27">
      <c r="A45" s="326">
        <f t="shared" si="3"/>
        <v>5</v>
      </c>
      <c r="B45" s="713" t="s">
        <v>3412</v>
      </c>
      <c r="C45" s="179">
        <v>306798808910</v>
      </c>
      <c r="D45" s="3366"/>
      <c r="E45" s="872" t="s">
        <v>3561</v>
      </c>
      <c r="F45" s="661" t="s">
        <v>2795</v>
      </c>
      <c r="G45" s="167"/>
      <c r="H45" s="167"/>
      <c r="I45" s="3363"/>
      <c r="J45" s="692" t="s">
        <v>3482</v>
      </c>
      <c r="K45" s="170" t="s">
        <v>3447</v>
      </c>
      <c r="L45" s="690">
        <v>486</v>
      </c>
      <c r="M45" s="978" t="s">
        <v>2891</v>
      </c>
      <c r="N45" s="158"/>
      <c r="O45" s="150"/>
      <c r="P45" s="248"/>
      <c r="Q45" s="248"/>
      <c r="R45" s="248"/>
      <c r="S45" s="248"/>
      <c r="T45" s="247"/>
      <c r="U45" s="248"/>
      <c r="V45" s="340">
        <f t="shared" si="12"/>
        <v>0</v>
      </c>
      <c r="W45" s="344">
        <f t="shared" si="13"/>
        <v>0</v>
      </c>
      <c r="X45" s="249"/>
      <c r="Y45" s="341">
        <f t="shared" si="11"/>
        <v>648000</v>
      </c>
      <c r="Z45" s="342">
        <f t="shared" si="14"/>
        <v>648000</v>
      </c>
      <c r="AA45" s="252"/>
    </row>
    <row r="46" spans="1:27">
      <c r="A46" s="326">
        <f t="shared" si="3"/>
        <v>6</v>
      </c>
      <c r="B46" s="713" t="s">
        <v>3424</v>
      </c>
      <c r="C46" s="179">
        <v>306799810500</v>
      </c>
      <c r="D46" s="386" t="s">
        <v>3450</v>
      </c>
      <c r="E46" s="872" t="s">
        <v>3561</v>
      </c>
      <c r="F46" s="661" t="s">
        <v>2795</v>
      </c>
      <c r="G46" s="167"/>
      <c r="H46" s="167"/>
      <c r="I46" s="46" t="s">
        <v>2796</v>
      </c>
      <c r="J46" s="692" t="s">
        <v>3483</v>
      </c>
      <c r="K46" s="806" t="s">
        <v>3448</v>
      </c>
      <c r="L46" s="741">
        <v>1115</v>
      </c>
      <c r="M46" s="978" t="s">
        <v>2891</v>
      </c>
      <c r="N46" s="158"/>
      <c r="O46" s="150"/>
      <c r="P46" s="248"/>
      <c r="Q46" s="248"/>
      <c r="R46" s="248"/>
      <c r="S46" s="248"/>
      <c r="T46" s="247"/>
      <c r="U46" s="248"/>
      <c r="V46" s="340">
        <f t="shared" si="12"/>
        <v>0</v>
      </c>
      <c r="W46" s="344">
        <f t="shared" si="13"/>
        <v>0</v>
      </c>
      <c r="X46" s="249"/>
      <c r="Y46" s="341">
        <f t="shared" si="11"/>
        <v>648000</v>
      </c>
      <c r="Z46" s="342">
        <f t="shared" si="14"/>
        <v>648000</v>
      </c>
      <c r="AA46" s="252"/>
    </row>
    <row r="47" spans="1:27">
      <c r="A47" s="326">
        <f t="shared" si="3"/>
        <v>7</v>
      </c>
      <c r="B47" s="3358" t="s">
        <v>3489</v>
      </c>
      <c r="C47" s="179">
        <v>306816248820</v>
      </c>
      <c r="D47" s="3364" t="s">
        <v>3507</v>
      </c>
      <c r="E47" s="872" t="s">
        <v>3561</v>
      </c>
      <c r="F47" s="661" t="s">
        <v>2795</v>
      </c>
      <c r="G47" s="167"/>
      <c r="H47" s="167"/>
      <c r="I47" s="3362" t="s">
        <v>3383</v>
      </c>
      <c r="J47" s="692" t="s">
        <v>3523</v>
      </c>
      <c r="K47" s="170" t="s">
        <v>3503</v>
      </c>
      <c r="L47" s="741">
        <v>270</v>
      </c>
      <c r="M47" s="978" t="s">
        <v>2891</v>
      </c>
      <c r="N47" s="158"/>
      <c r="O47" s="150"/>
      <c r="P47" s="248"/>
      <c r="Q47" s="248"/>
      <c r="R47" s="248"/>
      <c r="S47" s="248"/>
      <c r="T47" s="247"/>
      <c r="U47" s="248"/>
      <c r="V47" s="340">
        <f t="shared" si="12"/>
        <v>0</v>
      </c>
      <c r="W47" s="344">
        <f t="shared" si="13"/>
        <v>0</v>
      </c>
      <c r="X47" s="249"/>
      <c r="Y47" s="341">
        <f t="shared" si="11"/>
        <v>648000</v>
      </c>
      <c r="Z47" s="342">
        <f t="shared" si="14"/>
        <v>648000</v>
      </c>
      <c r="AA47" s="252"/>
    </row>
    <row r="48" spans="1:27">
      <c r="A48" s="326">
        <f t="shared" si="3"/>
        <v>8</v>
      </c>
      <c r="B48" s="3352"/>
      <c r="C48" s="179">
        <v>306816259910</v>
      </c>
      <c r="D48" s="3365"/>
      <c r="E48" s="872" t="s">
        <v>3561</v>
      </c>
      <c r="F48" s="661" t="s">
        <v>2795</v>
      </c>
      <c r="G48" s="167"/>
      <c r="H48" s="167"/>
      <c r="I48" s="3355"/>
      <c r="J48" s="692" t="s">
        <v>3524</v>
      </c>
      <c r="K48" s="170" t="s">
        <v>3504</v>
      </c>
      <c r="L48" s="741">
        <v>623</v>
      </c>
      <c r="M48" s="978" t="s">
        <v>2891</v>
      </c>
      <c r="N48" s="158"/>
      <c r="O48" s="150"/>
      <c r="P48" s="248"/>
      <c r="Q48" s="248"/>
      <c r="R48" s="248"/>
      <c r="S48" s="248"/>
      <c r="T48" s="247"/>
      <c r="U48" s="248"/>
      <c r="V48" s="340">
        <f t="shared" si="12"/>
        <v>0</v>
      </c>
      <c r="W48" s="344">
        <f t="shared" si="13"/>
        <v>0</v>
      </c>
      <c r="X48" s="249"/>
      <c r="Y48" s="341">
        <f t="shared" si="11"/>
        <v>648000</v>
      </c>
      <c r="Z48" s="342">
        <f t="shared" si="14"/>
        <v>648000</v>
      </c>
      <c r="AA48" s="252"/>
    </row>
    <row r="49" spans="1:28">
      <c r="A49" s="326">
        <f t="shared" si="3"/>
        <v>9</v>
      </c>
      <c r="B49" s="3353"/>
      <c r="C49" s="179">
        <v>306816269230</v>
      </c>
      <c r="D49" s="3366"/>
      <c r="E49" s="872" t="s">
        <v>3561</v>
      </c>
      <c r="F49" s="661" t="s">
        <v>2795</v>
      </c>
      <c r="G49" s="167"/>
      <c r="H49" s="167"/>
      <c r="I49" s="3363"/>
      <c r="J49" s="692" t="s">
        <v>3525</v>
      </c>
      <c r="K49" s="170" t="s">
        <v>3505</v>
      </c>
      <c r="L49" s="741">
        <v>297</v>
      </c>
      <c r="M49" s="978" t="s">
        <v>2891</v>
      </c>
      <c r="N49" s="158"/>
      <c r="O49" s="150"/>
      <c r="P49" s="248"/>
      <c r="Q49" s="248"/>
      <c r="R49" s="248"/>
      <c r="S49" s="248"/>
      <c r="T49" s="247"/>
      <c r="U49" s="248"/>
      <c r="V49" s="340">
        <f t="shared" si="12"/>
        <v>0</v>
      </c>
      <c r="W49" s="344">
        <f t="shared" si="13"/>
        <v>0</v>
      </c>
      <c r="X49" s="249"/>
      <c r="Y49" s="341">
        <f t="shared" si="11"/>
        <v>648000</v>
      </c>
      <c r="Z49" s="342">
        <f t="shared" si="14"/>
        <v>648000</v>
      </c>
      <c r="AA49" s="252"/>
    </row>
    <row r="50" spans="1:28">
      <c r="A50" s="326">
        <f t="shared" si="3"/>
        <v>10</v>
      </c>
      <c r="B50" s="713" t="s">
        <v>3490</v>
      </c>
      <c r="C50" s="179">
        <v>306817016500</v>
      </c>
      <c r="D50" s="386" t="s">
        <v>3508</v>
      </c>
      <c r="E50" s="872" t="s">
        <v>3561</v>
      </c>
      <c r="F50" s="661" t="s">
        <v>2795</v>
      </c>
      <c r="G50" s="167"/>
      <c r="H50" s="167"/>
      <c r="I50" s="127" t="s">
        <v>2794</v>
      </c>
      <c r="J50" s="692" t="s">
        <v>3510</v>
      </c>
      <c r="K50" s="806" t="s">
        <v>3509</v>
      </c>
      <c r="L50" s="741">
        <v>465</v>
      </c>
      <c r="M50" s="978" t="s">
        <v>2891</v>
      </c>
      <c r="N50" s="158"/>
      <c r="O50" s="150"/>
      <c r="P50" s="248"/>
      <c r="Q50" s="248"/>
      <c r="R50" s="248"/>
      <c r="S50" s="248"/>
      <c r="T50" s="247"/>
      <c r="U50" s="248"/>
      <c r="V50" s="340">
        <f t="shared" si="12"/>
        <v>0</v>
      </c>
      <c r="W50" s="344">
        <f t="shared" si="13"/>
        <v>0</v>
      </c>
      <c r="X50" s="249"/>
      <c r="Y50" s="341">
        <f t="shared" si="11"/>
        <v>648000</v>
      </c>
      <c r="Z50" s="342">
        <f t="shared" si="14"/>
        <v>648000</v>
      </c>
      <c r="AA50" s="252"/>
    </row>
    <row r="51" spans="1:28">
      <c r="A51" s="326">
        <f t="shared" si="3"/>
        <v>11</v>
      </c>
      <c r="B51" s="3358" t="s">
        <v>3507</v>
      </c>
      <c r="C51" s="179" t="s">
        <v>3533</v>
      </c>
      <c r="D51" s="3364" t="s">
        <v>3529</v>
      </c>
      <c r="E51" s="872" t="s">
        <v>3561</v>
      </c>
      <c r="F51" s="661" t="s">
        <v>2795</v>
      </c>
      <c r="G51" s="167"/>
      <c r="H51" s="167"/>
      <c r="I51" s="3362" t="s">
        <v>3383</v>
      </c>
      <c r="J51" s="692" t="s">
        <v>3555</v>
      </c>
      <c r="K51" s="170" t="s">
        <v>3530</v>
      </c>
      <c r="L51" s="741">
        <v>66406</v>
      </c>
      <c r="M51" s="978" t="s">
        <v>2891</v>
      </c>
      <c r="N51" s="158"/>
      <c r="O51" s="150"/>
      <c r="P51" s="248"/>
      <c r="Q51" s="248"/>
      <c r="R51" s="248"/>
      <c r="S51" s="248"/>
      <c r="T51" s="247"/>
      <c r="U51" s="248"/>
      <c r="V51" s="340">
        <f t="shared" si="12"/>
        <v>0</v>
      </c>
      <c r="W51" s="344">
        <f t="shared" si="13"/>
        <v>0</v>
      </c>
      <c r="X51" s="249"/>
      <c r="Y51" s="341">
        <f t="shared" si="11"/>
        <v>648000</v>
      </c>
      <c r="Z51" s="342">
        <f t="shared" si="14"/>
        <v>648000</v>
      </c>
      <c r="AA51" s="252"/>
    </row>
    <row r="52" spans="1:28">
      <c r="A52" s="326">
        <f t="shared" si="3"/>
        <v>12</v>
      </c>
      <c r="B52" s="3352"/>
      <c r="C52" s="179" t="s">
        <v>3534</v>
      </c>
      <c r="D52" s="3365"/>
      <c r="E52" s="872" t="s">
        <v>3561</v>
      </c>
      <c r="F52" s="661" t="s">
        <v>2795</v>
      </c>
      <c r="G52" s="167"/>
      <c r="H52" s="167"/>
      <c r="I52" s="3355"/>
      <c r="J52" s="692" t="s">
        <v>3556</v>
      </c>
      <c r="K52" s="170" t="s">
        <v>3531</v>
      </c>
      <c r="L52" s="741">
        <v>61334</v>
      </c>
      <c r="M52" s="978" t="s">
        <v>2891</v>
      </c>
      <c r="N52" s="158"/>
      <c r="O52" s="150"/>
      <c r="P52" s="248"/>
      <c r="Q52" s="248"/>
      <c r="R52" s="248"/>
      <c r="S52" s="248"/>
      <c r="T52" s="247"/>
      <c r="U52" s="248"/>
      <c r="V52" s="340">
        <f t="shared" si="12"/>
        <v>0</v>
      </c>
      <c r="W52" s="344">
        <f t="shared" si="13"/>
        <v>0</v>
      </c>
      <c r="X52" s="249"/>
      <c r="Y52" s="341">
        <f t="shared" si="11"/>
        <v>648000</v>
      </c>
      <c r="Z52" s="342">
        <f t="shared" si="14"/>
        <v>648000</v>
      </c>
      <c r="AA52" s="252"/>
    </row>
    <row r="53" spans="1:28">
      <c r="A53" s="326">
        <f t="shared" si="3"/>
        <v>13</v>
      </c>
      <c r="B53" s="3353"/>
      <c r="C53" s="179" t="s">
        <v>3535</v>
      </c>
      <c r="D53" s="3366"/>
      <c r="E53" s="872" t="s">
        <v>3561</v>
      </c>
      <c r="F53" s="661" t="s">
        <v>2795</v>
      </c>
      <c r="G53" s="167"/>
      <c r="H53" s="167"/>
      <c r="I53" s="3363"/>
      <c r="J53" s="692" t="s">
        <v>3557</v>
      </c>
      <c r="K53" s="170" t="s">
        <v>3532</v>
      </c>
      <c r="L53" s="741">
        <v>52503</v>
      </c>
      <c r="M53" s="978" t="s">
        <v>2891</v>
      </c>
      <c r="N53" s="158"/>
      <c r="O53" s="150"/>
      <c r="P53" s="248"/>
      <c r="Q53" s="248"/>
      <c r="R53" s="248"/>
      <c r="S53" s="248"/>
      <c r="T53" s="247"/>
      <c r="U53" s="248"/>
      <c r="V53" s="340">
        <f t="shared" si="12"/>
        <v>0</v>
      </c>
      <c r="W53" s="344">
        <f t="shared" si="13"/>
        <v>0</v>
      </c>
      <c r="X53" s="249"/>
      <c r="Y53" s="341">
        <f t="shared" si="11"/>
        <v>648000</v>
      </c>
      <c r="Z53" s="342">
        <f t="shared" si="14"/>
        <v>648000</v>
      </c>
      <c r="AA53" s="252"/>
    </row>
    <row r="54" spans="1:28">
      <c r="A54" s="64">
        <f>+A53+1</f>
        <v>14</v>
      </c>
      <c r="B54" s="711" t="s">
        <v>3507</v>
      </c>
      <c r="C54" s="1032">
        <v>306830800420</v>
      </c>
      <c r="D54" s="69" t="s">
        <v>3539</v>
      </c>
      <c r="E54" s="1050" t="s">
        <v>3561</v>
      </c>
      <c r="F54" s="1051" t="s">
        <v>2795</v>
      </c>
      <c r="G54" s="710"/>
      <c r="H54" s="167"/>
      <c r="I54" s="1046" t="s">
        <v>2796</v>
      </c>
      <c r="J54" s="1047" t="s">
        <v>3564</v>
      </c>
      <c r="K54" s="1031" t="s">
        <v>3548</v>
      </c>
      <c r="L54" s="1048">
        <v>358</v>
      </c>
      <c r="M54" s="1049" t="s">
        <v>2891</v>
      </c>
      <c r="N54" s="1033"/>
      <c r="O54" s="1034"/>
      <c r="P54" s="1035"/>
      <c r="Q54" s="1035"/>
      <c r="R54" s="1035"/>
      <c r="S54" s="1035"/>
      <c r="T54" s="1036"/>
      <c r="U54" s="1035"/>
      <c r="V54" s="340">
        <f t="shared" si="12"/>
        <v>0</v>
      </c>
      <c r="W54" s="344">
        <f t="shared" si="13"/>
        <v>0</v>
      </c>
      <c r="X54" s="1037"/>
      <c r="Y54" s="341">
        <f t="shared" si="11"/>
        <v>648000</v>
      </c>
      <c r="Z54" s="342">
        <f t="shared" si="14"/>
        <v>648000</v>
      </c>
      <c r="AA54" s="1038"/>
    </row>
    <row r="55" spans="1:28" s="1072" customFormat="1">
      <c r="A55" s="1069">
        <v>16</v>
      </c>
      <c r="B55" s="1069" t="s">
        <v>3539</v>
      </c>
      <c r="C55" s="1073">
        <v>306838707140</v>
      </c>
      <c r="D55" s="1071" t="s">
        <v>3542</v>
      </c>
      <c r="E55" s="1059" t="s">
        <v>3561</v>
      </c>
      <c r="F55" s="1060" t="s">
        <v>2795</v>
      </c>
      <c r="G55" s="1070"/>
      <c r="H55" s="1070"/>
      <c r="I55" s="154" t="s">
        <v>3035</v>
      </c>
      <c r="J55" s="1047" t="s">
        <v>3895</v>
      </c>
      <c r="K55" s="1062" t="s">
        <v>3894</v>
      </c>
      <c r="L55" s="1063">
        <v>114</v>
      </c>
      <c r="M55" s="1049" t="s">
        <v>2891</v>
      </c>
      <c r="N55" s="1070"/>
      <c r="O55" s="1070"/>
      <c r="P55" s="1023"/>
      <c r="Q55" s="1023"/>
      <c r="R55" s="1023"/>
      <c r="S55" s="1023"/>
      <c r="T55" s="1024"/>
      <c r="U55" s="1023"/>
      <c r="V55" s="340">
        <f t="shared" si="12"/>
        <v>0</v>
      </c>
      <c r="W55" s="344">
        <f t="shared" si="13"/>
        <v>0</v>
      </c>
      <c r="X55" s="1026"/>
      <c r="Y55" s="341">
        <f t="shared" si="11"/>
        <v>648000</v>
      </c>
      <c r="Z55" s="342">
        <f t="shared" si="14"/>
        <v>648000</v>
      </c>
      <c r="AA55" s="1027"/>
      <c r="AB55" s="1061"/>
    </row>
    <row r="56" spans="1:28" s="1068" customFormat="1">
      <c r="A56" s="1069">
        <v>15</v>
      </c>
      <c r="B56" s="1080" t="s">
        <v>3539</v>
      </c>
      <c r="C56" s="1073">
        <v>306838281540</v>
      </c>
      <c r="D56" s="1081" t="s">
        <v>3553</v>
      </c>
      <c r="E56" s="1059" t="s">
        <v>3561</v>
      </c>
      <c r="F56" s="1060" t="s">
        <v>2795</v>
      </c>
      <c r="G56" s="1070"/>
      <c r="H56" s="1070"/>
      <c r="I56" s="1061" t="s">
        <v>2796</v>
      </c>
      <c r="J56" s="1082" t="s">
        <v>3903</v>
      </c>
      <c r="K56" s="1062" t="s">
        <v>3565</v>
      </c>
      <c r="L56" s="1063">
        <v>826</v>
      </c>
      <c r="M56" s="1083" t="s">
        <v>2891</v>
      </c>
      <c r="N56" s="1070"/>
      <c r="O56" s="1070"/>
      <c r="P56" s="1064"/>
      <c r="Q56" s="1064"/>
      <c r="R56" s="1064"/>
      <c r="S56" s="1064"/>
      <c r="T56" s="1065"/>
      <c r="U56" s="1064"/>
      <c r="V56" s="340">
        <f t="shared" si="12"/>
        <v>0</v>
      </c>
      <c r="W56" s="344">
        <f t="shared" si="13"/>
        <v>0</v>
      </c>
      <c r="X56" s="1066"/>
      <c r="Y56" s="341">
        <f t="shared" si="11"/>
        <v>648000</v>
      </c>
      <c r="Z56" s="342">
        <f t="shared" si="14"/>
        <v>648000</v>
      </c>
      <c r="AA56" s="1067"/>
      <c r="AB56" s="1055"/>
    </row>
    <row r="57" spans="1:28">
      <c r="A57" s="3370" t="s">
        <v>3560</v>
      </c>
      <c r="B57" s="3371"/>
      <c r="C57" s="3371"/>
      <c r="D57" s="3371"/>
      <c r="E57" s="3371"/>
      <c r="F57" s="3371"/>
      <c r="G57" s="3371"/>
      <c r="H57" s="3371"/>
      <c r="I57" s="3371"/>
      <c r="J57" s="3371"/>
      <c r="K57" s="3371"/>
      <c r="L57" s="3371"/>
      <c r="M57" s="3372"/>
      <c r="N57" s="1039"/>
      <c r="O57" s="1040"/>
      <c r="P57" s="1041"/>
      <c r="Q57" s="1041"/>
      <c r="R57" s="425"/>
      <c r="S57" s="425"/>
      <c r="T57" s="426"/>
      <c r="U57" s="425"/>
      <c r="V57" s="1041"/>
      <c r="W57" s="1042"/>
      <c r="X57" s="1043"/>
      <c r="Y57" s="1044">
        <f>SUM(Y43:Y54)</f>
        <v>7776000</v>
      </c>
      <c r="Z57" s="1045">
        <f>SUM(Z43:Z53)</f>
        <v>7128000</v>
      </c>
      <c r="AA57" s="782"/>
    </row>
    <row r="58" spans="1:28">
      <c r="A58" s="326">
        <v>1</v>
      </c>
      <c r="B58" s="713" t="s">
        <v>3933</v>
      </c>
      <c r="C58" s="1073">
        <v>306854337000</v>
      </c>
      <c r="D58" s="46" t="s">
        <v>3921</v>
      </c>
      <c r="E58" s="47" t="s">
        <v>4036</v>
      </c>
      <c r="F58" s="1060" t="s">
        <v>2795</v>
      </c>
      <c r="G58" s="167"/>
      <c r="H58" s="167"/>
      <c r="I58" s="1061" t="s">
        <v>2796</v>
      </c>
      <c r="J58" s="1082" t="s">
        <v>3935</v>
      </c>
      <c r="K58" s="1062" t="s">
        <v>3932</v>
      </c>
      <c r="L58" s="1063">
        <v>3216</v>
      </c>
      <c r="M58" s="1083" t="s">
        <v>2891</v>
      </c>
      <c r="N58" s="158"/>
      <c r="O58" s="150"/>
      <c r="P58" s="248"/>
      <c r="Q58" s="248"/>
      <c r="R58" s="248"/>
      <c r="S58" s="248"/>
      <c r="T58" s="247"/>
      <c r="U58" s="248"/>
      <c r="V58" s="340">
        <f>Q58+R58+S58+P58+U58</f>
        <v>0</v>
      </c>
      <c r="W58" s="344">
        <f>+T58</f>
        <v>0</v>
      </c>
      <c r="X58" s="249"/>
      <c r="Y58" s="341">
        <f t="shared" si="11"/>
        <v>648000</v>
      </c>
      <c r="Z58" s="342">
        <f t="shared" si="14"/>
        <v>648000</v>
      </c>
      <c r="AA58" s="252"/>
    </row>
    <row r="59" spans="1:28">
      <c r="A59" s="326">
        <v>2</v>
      </c>
      <c r="B59" s="711" t="s">
        <v>3923</v>
      </c>
      <c r="C59" s="179">
        <v>306864047250</v>
      </c>
      <c r="D59" s="46" t="s">
        <v>3923</v>
      </c>
      <c r="E59" s="47" t="s">
        <v>4036</v>
      </c>
      <c r="F59" s="1060" t="s">
        <v>2795</v>
      </c>
      <c r="G59" s="167"/>
      <c r="H59" s="167"/>
      <c r="I59" s="127" t="s">
        <v>2794</v>
      </c>
      <c r="J59" s="1082" t="s">
        <v>3952</v>
      </c>
      <c r="K59" s="806" t="s">
        <v>3950</v>
      </c>
      <c r="L59" s="1063">
        <v>355</v>
      </c>
      <c r="M59" s="1083" t="s">
        <v>2891</v>
      </c>
      <c r="N59" s="158"/>
      <c r="O59" s="150"/>
      <c r="P59" s="248"/>
      <c r="Q59" s="248"/>
      <c r="R59" s="248"/>
      <c r="S59" s="248"/>
      <c r="T59" s="247"/>
      <c r="U59" s="248"/>
      <c r="V59" s="340">
        <f t="shared" ref="V59:V74" si="15">Q59+R59+S59+P59+U59</f>
        <v>0</v>
      </c>
      <c r="W59" s="344">
        <f t="shared" ref="W59:W74" si="16">+T59</f>
        <v>0</v>
      </c>
      <c r="X59" s="249"/>
      <c r="Y59" s="341">
        <f t="shared" si="11"/>
        <v>648000</v>
      </c>
      <c r="Z59" s="342">
        <f t="shared" si="14"/>
        <v>648000</v>
      </c>
      <c r="AA59" s="252"/>
    </row>
    <row r="60" spans="1:28">
      <c r="A60" s="326">
        <f>+A63+1</f>
        <v>6</v>
      </c>
      <c r="B60" s="711" t="s">
        <v>3934</v>
      </c>
      <c r="C60" s="179">
        <v>306866633310</v>
      </c>
      <c r="D60" s="386" t="s">
        <v>3961</v>
      </c>
      <c r="E60" s="47" t="s">
        <v>4036</v>
      </c>
      <c r="F60" s="1060" t="s">
        <v>2795</v>
      </c>
      <c r="G60" s="167"/>
      <c r="H60" s="167"/>
      <c r="I60" s="1061" t="s">
        <v>2796</v>
      </c>
      <c r="J60" s="1082" t="s">
        <v>3960</v>
      </c>
      <c r="K60" s="1062" t="s">
        <v>3951</v>
      </c>
      <c r="L60" s="1063">
        <v>1022</v>
      </c>
      <c r="M60" s="1083" t="s">
        <v>2891</v>
      </c>
      <c r="N60" s="158"/>
      <c r="O60" s="150"/>
      <c r="P60" s="248"/>
      <c r="Q60" s="248"/>
      <c r="R60" s="248"/>
      <c r="S60" s="248"/>
      <c r="T60" s="247"/>
      <c r="U60" s="248"/>
      <c r="V60" s="340">
        <f t="shared" si="15"/>
        <v>0</v>
      </c>
      <c r="W60" s="344">
        <f t="shared" si="16"/>
        <v>0</v>
      </c>
      <c r="X60" s="249"/>
      <c r="Y60" s="341">
        <f t="shared" si="11"/>
        <v>648000</v>
      </c>
      <c r="Z60" s="342">
        <f t="shared" si="14"/>
        <v>648000</v>
      </c>
      <c r="AA60" s="252"/>
    </row>
    <row r="61" spans="1:28">
      <c r="A61" s="326">
        <v>3</v>
      </c>
      <c r="B61" s="3351" t="s">
        <v>3915</v>
      </c>
      <c r="C61" s="1073">
        <v>306861229900</v>
      </c>
      <c r="D61" s="386" t="s">
        <v>3965</v>
      </c>
      <c r="E61" s="47" t="s">
        <v>4036</v>
      </c>
      <c r="F61" s="1060" t="s">
        <v>2795</v>
      </c>
      <c r="G61" s="167"/>
      <c r="H61" s="167"/>
      <c r="I61" s="3354" t="s">
        <v>3383</v>
      </c>
      <c r="J61" s="1082" t="s">
        <v>3968</v>
      </c>
      <c r="K61" s="170" t="s">
        <v>3937</v>
      </c>
      <c r="L61" s="1063">
        <v>391</v>
      </c>
      <c r="M61" s="1083" t="s">
        <v>2891</v>
      </c>
      <c r="N61" s="158"/>
      <c r="O61" s="150"/>
      <c r="P61" s="248"/>
      <c r="Q61" s="248"/>
      <c r="R61" s="248"/>
      <c r="S61" s="248"/>
      <c r="T61" s="247"/>
      <c r="U61" s="248"/>
      <c r="V61" s="340">
        <f t="shared" si="15"/>
        <v>0</v>
      </c>
      <c r="W61" s="344">
        <f t="shared" si="16"/>
        <v>0</v>
      </c>
      <c r="X61" s="249"/>
      <c r="Y61" s="341">
        <f t="shared" si="11"/>
        <v>648000</v>
      </c>
      <c r="Z61" s="342">
        <f t="shared" si="14"/>
        <v>648000</v>
      </c>
      <c r="AA61" s="252"/>
    </row>
    <row r="62" spans="1:28">
      <c r="A62" s="326">
        <f t="shared" si="3"/>
        <v>4</v>
      </c>
      <c r="B62" s="3352"/>
      <c r="C62" s="1073">
        <v>306861274660</v>
      </c>
      <c r="D62" s="386" t="s">
        <v>3965</v>
      </c>
      <c r="E62" s="47" t="s">
        <v>4036</v>
      </c>
      <c r="F62" s="1060" t="s">
        <v>2795</v>
      </c>
      <c r="G62" s="167"/>
      <c r="H62" s="167"/>
      <c r="I62" s="3355"/>
      <c r="J62" s="1082" t="s">
        <v>3969</v>
      </c>
      <c r="K62" s="170" t="s">
        <v>3938</v>
      </c>
      <c r="L62" s="1063">
        <v>351</v>
      </c>
      <c r="M62" s="1083" t="s">
        <v>2891</v>
      </c>
      <c r="N62" s="158"/>
      <c r="O62" s="150"/>
      <c r="P62" s="248"/>
      <c r="Q62" s="248"/>
      <c r="R62" s="248"/>
      <c r="S62" s="248"/>
      <c r="T62" s="247"/>
      <c r="U62" s="248"/>
      <c r="V62" s="340">
        <f t="shared" si="15"/>
        <v>0</v>
      </c>
      <c r="W62" s="344">
        <f t="shared" si="16"/>
        <v>0</v>
      </c>
      <c r="X62" s="249"/>
      <c r="Y62" s="341">
        <f t="shared" si="11"/>
        <v>648000</v>
      </c>
      <c r="Z62" s="342">
        <f t="shared" si="14"/>
        <v>648000</v>
      </c>
      <c r="AA62" s="252"/>
    </row>
    <row r="63" spans="1:28">
      <c r="A63" s="326">
        <f t="shared" si="3"/>
        <v>5</v>
      </c>
      <c r="B63" s="3353"/>
      <c r="C63" s="1073">
        <v>306861326830</v>
      </c>
      <c r="D63" s="386" t="s">
        <v>3965</v>
      </c>
      <c r="E63" s="47" t="s">
        <v>4036</v>
      </c>
      <c r="F63" s="1060" t="s">
        <v>2795</v>
      </c>
      <c r="G63" s="167"/>
      <c r="H63" s="167"/>
      <c r="I63" s="3356"/>
      <c r="J63" s="1082" t="s">
        <v>3970</v>
      </c>
      <c r="K63" s="170" t="s">
        <v>3939</v>
      </c>
      <c r="L63" s="1063">
        <v>189</v>
      </c>
      <c r="M63" s="1083" t="s">
        <v>2891</v>
      </c>
      <c r="N63" s="158"/>
      <c r="O63" s="150"/>
      <c r="P63" s="248"/>
      <c r="Q63" s="248"/>
      <c r="R63" s="248"/>
      <c r="S63" s="248"/>
      <c r="T63" s="247"/>
      <c r="U63" s="248"/>
      <c r="V63" s="340">
        <f t="shared" si="15"/>
        <v>0</v>
      </c>
      <c r="W63" s="344">
        <f t="shared" si="16"/>
        <v>0</v>
      </c>
      <c r="X63" s="249"/>
      <c r="Y63" s="341">
        <f t="shared" si="11"/>
        <v>648000</v>
      </c>
      <c r="Z63" s="342">
        <f t="shared" si="14"/>
        <v>648000</v>
      </c>
      <c r="AA63" s="252"/>
    </row>
    <row r="64" spans="1:28">
      <c r="A64" s="326">
        <f>+A60+1</f>
        <v>7</v>
      </c>
      <c r="B64" s="713" t="s">
        <v>3963</v>
      </c>
      <c r="C64" s="179">
        <v>306883487910</v>
      </c>
      <c r="D64" s="386" t="s">
        <v>3971</v>
      </c>
      <c r="E64" s="47" t="s">
        <v>4036</v>
      </c>
      <c r="F64" s="1060" t="s">
        <v>2795</v>
      </c>
      <c r="G64" s="167"/>
      <c r="H64" s="167"/>
      <c r="I64" s="1061" t="s">
        <v>2796</v>
      </c>
      <c r="J64" s="1082" t="s">
        <v>3987</v>
      </c>
      <c r="K64" s="1062" t="s">
        <v>3978</v>
      </c>
      <c r="L64" s="1099">
        <v>897</v>
      </c>
      <c r="M64" s="1083" t="s">
        <v>2891</v>
      </c>
      <c r="N64" s="158"/>
      <c r="O64" s="150"/>
      <c r="P64" s="248"/>
      <c r="Q64" s="248"/>
      <c r="R64" s="248"/>
      <c r="S64" s="248"/>
      <c r="T64" s="247"/>
      <c r="U64" s="248"/>
      <c r="V64" s="340">
        <f t="shared" si="15"/>
        <v>0</v>
      </c>
      <c r="W64" s="344">
        <f t="shared" si="16"/>
        <v>0</v>
      </c>
      <c r="X64" s="249"/>
      <c r="Y64" s="341">
        <f t="shared" si="11"/>
        <v>648000</v>
      </c>
      <c r="Z64" s="342">
        <f t="shared" si="14"/>
        <v>648000</v>
      </c>
      <c r="AA64" s="252"/>
    </row>
    <row r="65" spans="1:27">
      <c r="A65" s="326">
        <f t="shared" si="3"/>
        <v>8</v>
      </c>
      <c r="B65" s="3358" t="s">
        <v>3996</v>
      </c>
      <c r="C65" s="179">
        <v>306901610320</v>
      </c>
      <c r="D65" s="46" t="s">
        <v>4017</v>
      </c>
      <c r="E65" s="47" t="s">
        <v>4036</v>
      </c>
      <c r="F65" s="1060" t="s">
        <v>2795</v>
      </c>
      <c r="G65" s="167"/>
      <c r="H65" s="167"/>
      <c r="I65" s="3354" t="s">
        <v>3383</v>
      </c>
      <c r="J65" s="692" t="s">
        <v>4019</v>
      </c>
      <c r="K65" s="170" t="s">
        <v>4004</v>
      </c>
      <c r="L65" s="1099">
        <v>476</v>
      </c>
      <c r="M65" s="1083" t="s">
        <v>2891</v>
      </c>
      <c r="N65" s="158"/>
      <c r="O65" s="150"/>
      <c r="P65" s="248"/>
      <c r="Q65" s="248"/>
      <c r="R65" s="248"/>
      <c r="S65" s="248"/>
      <c r="T65" s="247"/>
      <c r="U65" s="248"/>
      <c r="V65" s="340">
        <f t="shared" si="15"/>
        <v>0</v>
      </c>
      <c r="W65" s="344">
        <f t="shared" si="16"/>
        <v>0</v>
      </c>
      <c r="X65" s="249"/>
      <c r="Y65" s="341">
        <f t="shared" si="11"/>
        <v>648000</v>
      </c>
      <c r="Z65" s="342">
        <f t="shared" si="14"/>
        <v>648000</v>
      </c>
      <c r="AA65" s="252"/>
    </row>
    <row r="66" spans="1:27">
      <c r="A66" s="326">
        <f t="shared" si="3"/>
        <v>9</v>
      </c>
      <c r="B66" s="3352"/>
      <c r="C66" s="179">
        <v>306901641710</v>
      </c>
      <c r="D66" s="46" t="s">
        <v>4017</v>
      </c>
      <c r="E66" s="47" t="s">
        <v>4036</v>
      </c>
      <c r="F66" s="1060" t="s">
        <v>2795</v>
      </c>
      <c r="G66" s="167"/>
      <c r="H66" s="167"/>
      <c r="I66" s="3355"/>
      <c r="J66" s="692" t="s">
        <v>4020</v>
      </c>
      <c r="K66" s="170" t="s">
        <v>4005</v>
      </c>
      <c r="L66" s="1099">
        <v>601</v>
      </c>
      <c r="M66" s="1083" t="s">
        <v>2891</v>
      </c>
      <c r="N66" s="158"/>
      <c r="O66" s="150"/>
      <c r="P66" s="248"/>
      <c r="Q66" s="248"/>
      <c r="R66" s="248"/>
      <c r="S66" s="248"/>
      <c r="T66" s="247"/>
      <c r="U66" s="248"/>
      <c r="V66" s="340">
        <f t="shared" si="15"/>
        <v>0</v>
      </c>
      <c r="W66" s="344">
        <f t="shared" si="16"/>
        <v>0</v>
      </c>
      <c r="X66" s="249"/>
      <c r="Y66" s="341">
        <f t="shared" si="11"/>
        <v>648000</v>
      </c>
      <c r="Z66" s="342">
        <f t="shared" si="14"/>
        <v>648000</v>
      </c>
      <c r="AA66" s="252"/>
    </row>
    <row r="67" spans="1:27">
      <c r="A67" s="326">
        <f t="shared" si="3"/>
        <v>10</v>
      </c>
      <c r="B67" s="3352"/>
      <c r="C67" s="179">
        <v>306901649040</v>
      </c>
      <c r="D67" s="46" t="s">
        <v>4017</v>
      </c>
      <c r="E67" s="47" t="s">
        <v>4036</v>
      </c>
      <c r="F67" s="1060" t="s">
        <v>2795</v>
      </c>
      <c r="G67" s="167"/>
      <c r="H67" s="167"/>
      <c r="I67" s="3355"/>
      <c r="J67" s="692" t="s">
        <v>4021</v>
      </c>
      <c r="K67" s="170" t="s">
        <v>4006</v>
      </c>
      <c r="L67" s="1099">
        <v>708</v>
      </c>
      <c r="M67" s="1083" t="s">
        <v>2891</v>
      </c>
      <c r="N67" s="158"/>
      <c r="O67" s="150"/>
      <c r="P67" s="248"/>
      <c r="Q67" s="248"/>
      <c r="R67" s="248"/>
      <c r="S67" s="248"/>
      <c r="T67" s="247"/>
      <c r="U67" s="248"/>
      <c r="V67" s="340">
        <f t="shared" si="15"/>
        <v>0</v>
      </c>
      <c r="W67" s="344">
        <f t="shared" si="16"/>
        <v>0</v>
      </c>
      <c r="X67" s="249"/>
      <c r="Y67" s="341">
        <f t="shared" si="11"/>
        <v>648000</v>
      </c>
      <c r="Z67" s="342">
        <f t="shared" si="14"/>
        <v>648000</v>
      </c>
      <c r="AA67" s="252"/>
    </row>
    <row r="68" spans="1:27">
      <c r="A68" s="326">
        <f t="shared" si="3"/>
        <v>11</v>
      </c>
      <c r="B68" s="3353"/>
      <c r="C68" s="179">
        <v>306901659210</v>
      </c>
      <c r="D68" s="46" t="s">
        <v>4017</v>
      </c>
      <c r="E68" s="47" t="s">
        <v>4036</v>
      </c>
      <c r="F68" s="1060" t="s">
        <v>2795</v>
      </c>
      <c r="G68" s="167"/>
      <c r="H68" s="167"/>
      <c r="I68" s="3356"/>
      <c r="J68" s="692" t="s">
        <v>4022</v>
      </c>
      <c r="K68" s="170" t="s">
        <v>4007</v>
      </c>
      <c r="L68" s="1099">
        <v>721</v>
      </c>
      <c r="M68" s="1083" t="s">
        <v>2891</v>
      </c>
      <c r="N68" s="158"/>
      <c r="O68" s="150"/>
      <c r="P68" s="248"/>
      <c r="Q68" s="248"/>
      <c r="R68" s="248"/>
      <c r="S68" s="248"/>
      <c r="T68" s="247"/>
      <c r="U68" s="248"/>
      <c r="V68" s="340">
        <f t="shared" si="15"/>
        <v>0</v>
      </c>
      <c r="W68" s="344">
        <f t="shared" si="16"/>
        <v>0</v>
      </c>
      <c r="X68" s="249"/>
      <c r="Y68" s="341">
        <f t="shared" si="11"/>
        <v>648000</v>
      </c>
      <c r="Z68" s="342">
        <f t="shared" si="14"/>
        <v>648000</v>
      </c>
      <c r="AA68" s="252"/>
    </row>
    <row r="69" spans="1:27">
      <c r="A69" s="326">
        <f>+A70+1</f>
        <v>13</v>
      </c>
      <c r="B69" s="711" t="s">
        <v>4016</v>
      </c>
      <c r="C69" s="179">
        <v>306912971100</v>
      </c>
      <c r="D69" s="46" t="s">
        <v>4024</v>
      </c>
      <c r="E69" s="47" t="s">
        <v>4036</v>
      </c>
      <c r="F69" s="1060" t="s">
        <v>2795</v>
      </c>
      <c r="G69" s="167"/>
      <c r="H69" s="167"/>
      <c r="I69" s="127" t="s">
        <v>2794</v>
      </c>
      <c r="J69" s="692" t="s">
        <v>4023</v>
      </c>
      <c r="K69" s="806" t="s">
        <v>4015</v>
      </c>
      <c r="L69" s="1099">
        <v>223</v>
      </c>
      <c r="M69" s="1083" t="s">
        <v>2891</v>
      </c>
      <c r="N69" s="158"/>
      <c r="O69" s="150"/>
      <c r="P69" s="248"/>
      <c r="Q69" s="248"/>
      <c r="R69" s="248"/>
      <c r="S69" s="248"/>
      <c r="T69" s="247"/>
      <c r="U69" s="248"/>
      <c r="V69" s="340">
        <f t="shared" si="15"/>
        <v>0</v>
      </c>
      <c r="W69" s="344">
        <f t="shared" si="16"/>
        <v>0</v>
      </c>
      <c r="X69" s="249"/>
      <c r="Y69" s="341">
        <f t="shared" si="11"/>
        <v>648000</v>
      </c>
      <c r="Z69" s="342">
        <f t="shared" si="14"/>
        <v>648000</v>
      </c>
      <c r="AA69" s="252"/>
    </row>
    <row r="70" spans="1:27">
      <c r="A70" s="326">
        <f>+A68+1</f>
        <v>12</v>
      </c>
      <c r="B70" s="711" t="s">
        <v>4016</v>
      </c>
      <c r="C70" s="179">
        <v>306913016560</v>
      </c>
      <c r="D70" s="46" t="s">
        <v>4029</v>
      </c>
      <c r="E70" s="47" t="s">
        <v>4036</v>
      </c>
      <c r="F70" s="1060" t="s">
        <v>2795</v>
      </c>
      <c r="G70" s="167"/>
      <c r="H70" s="167"/>
      <c r="I70" s="1061" t="s">
        <v>2796</v>
      </c>
      <c r="J70" s="692" t="s">
        <v>4028</v>
      </c>
      <c r="K70" s="1062" t="s">
        <v>4014</v>
      </c>
      <c r="L70" s="1099">
        <v>1076</v>
      </c>
      <c r="M70" s="1083" t="s">
        <v>2891</v>
      </c>
      <c r="N70" s="158"/>
      <c r="O70" s="150"/>
      <c r="P70" s="248"/>
      <c r="Q70" s="248"/>
      <c r="R70" s="248"/>
      <c r="S70" s="248"/>
      <c r="T70" s="247"/>
      <c r="U70" s="248"/>
      <c r="V70" s="340">
        <f t="shared" si="15"/>
        <v>0</v>
      </c>
      <c r="W70" s="344">
        <f t="shared" si="16"/>
        <v>0</v>
      </c>
      <c r="X70" s="249"/>
      <c r="Y70" s="341">
        <f t="shared" si="11"/>
        <v>648000</v>
      </c>
      <c r="Z70" s="342">
        <f t="shared" si="14"/>
        <v>648000</v>
      </c>
      <c r="AA70" s="252"/>
    </row>
    <row r="71" spans="1:27">
      <c r="A71" s="1165">
        <v>13</v>
      </c>
      <c r="B71" s="1166" t="s">
        <v>4018</v>
      </c>
      <c r="C71" s="179">
        <v>306927228110</v>
      </c>
      <c r="D71" s="46" t="s">
        <v>4018</v>
      </c>
      <c r="E71" s="47" t="s">
        <v>4036</v>
      </c>
      <c r="F71" s="126" t="s">
        <v>2795</v>
      </c>
      <c r="G71" s="167"/>
      <c r="H71" s="167"/>
      <c r="I71" s="154" t="s">
        <v>3035</v>
      </c>
      <c r="J71" s="692" t="s">
        <v>4055</v>
      </c>
      <c r="K71" s="1062" t="s">
        <v>4056</v>
      </c>
      <c r="L71" s="1099">
        <v>67</v>
      </c>
      <c r="M71" s="1083" t="s">
        <v>2891</v>
      </c>
      <c r="N71" s="158"/>
      <c r="O71" s="150"/>
      <c r="P71" s="248"/>
      <c r="Q71" s="248"/>
      <c r="R71" s="248"/>
      <c r="S71" s="248"/>
      <c r="T71" s="247"/>
      <c r="U71" s="248"/>
      <c r="V71" s="340">
        <f t="shared" si="15"/>
        <v>0</v>
      </c>
      <c r="W71" s="344">
        <f t="shared" si="16"/>
        <v>0</v>
      </c>
      <c r="X71" s="249"/>
      <c r="Y71" s="341">
        <f t="shared" si="11"/>
        <v>648000</v>
      </c>
      <c r="Z71" s="342">
        <f t="shared" si="14"/>
        <v>648000</v>
      </c>
      <c r="AA71" s="252"/>
    </row>
    <row r="72" spans="1:27">
      <c r="A72" s="326">
        <v>14</v>
      </c>
      <c r="B72" s="3351" t="s">
        <v>4029</v>
      </c>
      <c r="C72" s="179">
        <v>306922147840</v>
      </c>
      <c r="D72" s="46" t="s">
        <v>4052</v>
      </c>
      <c r="E72" s="47" t="s">
        <v>4036</v>
      </c>
      <c r="F72" s="1060" t="s">
        <v>2795</v>
      </c>
      <c r="G72" s="167"/>
      <c r="H72" s="167"/>
      <c r="I72" s="3354" t="s">
        <v>3383</v>
      </c>
      <c r="J72" s="692" t="s">
        <v>4072</v>
      </c>
      <c r="K72" s="170" t="s">
        <v>4030</v>
      </c>
      <c r="L72" s="1099">
        <v>361</v>
      </c>
      <c r="M72" s="1083" t="s">
        <v>2891</v>
      </c>
      <c r="N72" s="158"/>
      <c r="O72" s="150"/>
      <c r="P72" s="248"/>
      <c r="Q72" s="248"/>
      <c r="R72" s="248"/>
      <c r="S72" s="248"/>
      <c r="T72" s="247"/>
      <c r="U72" s="248"/>
      <c r="V72" s="340">
        <f t="shared" si="15"/>
        <v>0</v>
      </c>
      <c r="W72" s="344">
        <f t="shared" si="16"/>
        <v>0</v>
      </c>
      <c r="X72" s="249"/>
      <c r="Y72" s="341">
        <f t="shared" si="11"/>
        <v>648000</v>
      </c>
      <c r="Z72" s="342">
        <f t="shared" si="14"/>
        <v>648000</v>
      </c>
      <c r="AA72" s="252"/>
    </row>
    <row r="73" spans="1:27">
      <c r="A73" s="326">
        <v>15</v>
      </c>
      <c r="B73" s="3352"/>
      <c r="C73" s="179">
        <v>306922163020</v>
      </c>
      <c r="D73" s="46" t="s">
        <v>4052</v>
      </c>
      <c r="E73" s="47" t="s">
        <v>4036</v>
      </c>
      <c r="F73" s="1060" t="s">
        <v>2795</v>
      </c>
      <c r="G73" s="167"/>
      <c r="H73" s="167"/>
      <c r="I73" s="3355"/>
      <c r="J73" s="692" t="s">
        <v>4073</v>
      </c>
      <c r="K73" s="170" t="s">
        <v>4031</v>
      </c>
      <c r="L73" s="1099">
        <v>751</v>
      </c>
      <c r="M73" s="1083" t="s">
        <v>2891</v>
      </c>
      <c r="N73" s="158"/>
      <c r="O73" s="150"/>
      <c r="P73" s="248"/>
      <c r="Q73" s="248"/>
      <c r="R73" s="248"/>
      <c r="S73" s="248"/>
      <c r="T73" s="247"/>
      <c r="U73" s="248"/>
      <c r="V73" s="340">
        <f t="shared" si="15"/>
        <v>0</v>
      </c>
      <c r="W73" s="344">
        <f t="shared" si="16"/>
        <v>0</v>
      </c>
      <c r="X73" s="249"/>
      <c r="Y73" s="341">
        <f t="shared" si="11"/>
        <v>648000</v>
      </c>
      <c r="Z73" s="342">
        <f t="shared" si="14"/>
        <v>648000</v>
      </c>
      <c r="AA73" s="252"/>
    </row>
    <row r="74" spans="1:27">
      <c r="A74" s="1161">
        <v>16</v>
      </c>
      <c r="B74" s="3353"/>
      <c r="C74" s="179">
        <v>306922179340</v>
      </c>
      <c r="D74" s="46" t="s">
        <v>4052</v>
      </c>
      <c r="E74" s="47" t="s">
        <v>4036</v>
      </c>
      <c r="F74" s="1060" t="s">
        <v>2795</v>
      </c>
      <c r="G74" s="167"/>
      <c r="H74" s="167"/>
      <c r="I74" s="3356"/>
      <c r="J74" s="692" t="s">
        <v>4071</v>
      </c>
      <c r="K74" s="170" t="s">
        <v>4032</v>
      </c>
      <c r="L74" s="1099">
        <v>518</v>
      </c>
      <c r="M74" s="1083" t="s">
        <v>2891</v>
      </c>
      <c r="N74" s="158"/>
      <c r="O74" s="150"/>
      <c r="P74" s="248"/>
      <c r="Q74" s="248"/>
      <c r="R74" s="248"/>
      <c r="S74" s="248"/>
      <c r="T74" s="247"/>
      <c r="U74" s="248"/>
      <c r="V74" s="340">
        <f t="shared" si="15"/>
        <v>0</v>
      </c>
      <c r="W74" s="344">
        <f t="shared" si="16"/>
        <v>0</v>
      </c>
      <c r="X74" s="249"/>
      <c r="Y74" s="341">
        <f t="shared" si="11"/>
        <v>648000</v>
      </c>
      <c r="Z74" s="342">
        <f t="shared" si="14"/>
        <v>648000</v>
      </c>
      <c r="AA74" s="252"/>
    </row>
    <row r="75" spans="1:27">
      <c r="A75" s="3348" t="s">
        <v>4087</v>
      </c>
      <c r="B75" s="3349"/>
      <c r="C75" s="3349"/>
      <c r="D75" s="3349"/>
      <c r="E75" s="3349"/>
      <c r="F75" s="3349"/>
      <c r="G75" s="3349"/>
      <c r="H75" s="3349"/>
      <c r="I75" s="3349"/>
      <c r="J75" s="3349"/>
      <c r="K75" s="3349"/>
      <c r="L75" s="3349"/>
      <c r="M75" s="3350"/>
      <c r="N75" s="1039"/>
      <c r="O75" s="1040"/>
      <c r="P75" s="1041"/>
      <c r="Q75" s="1041"/>
      <c r="R75" s="425"/>
      <c r="S75" s="425"/>
      <c r="T75" s="426"/>
      <c r="U75" s="425"/>
      <c r="V75" s="1041"/>
      <c r="W75" s="1042"/>
      <c r="X75" s="1043"/>
      <c r="Y75" s="1044">
        <f>SUM(Y58:Y74)</f>
        <v>11016000</v>
      </c>
      <c r="Z75" s="1045">
        <f>SUM(Z58:Z74)</f>
        <v>11016000</v>
      </c>
      <c r="AA75" s="782"/>
    </row>
    <row r="76" spans="1:27">
      <c r="A76" s="326">
        <v>1</v>
      </c>
      <c r="B76" s="711" t="s">
        <v>4018</v>
      </c>
      <c r="C76" s="179">
        <v>306927143850</v>
      </c>
      <c r="D76" s="46" t="s">
        <v>4052</v>
      </c>
      <c r="E76" s="47" t="s">
        <v>4269</v>
      </c>
      <c r="F76" s="126" t="s">
        <v>2795</v>
      </c>
      <c r="G76" s="167"/>
      <c r="H76" s="167"/>
      <c r="I76" s="1061" t="s">
        <v>2796</v>
      </c>
      <c r="J76" s="692" t="s">
        <v>4074</v>
      </c>
      <c r="K76" s="1062" t="s">
        <v>4057</v>
      </c>
      <c r="L76" s="1099">
        <v>577</v>
      </c>
      <c r="M76" s="1083" t="s">
        <v>2891</v>
      </c>
      <c r="N76" s="158"/>
      <c r="O76" s="150"/>
      <c r="P76" s="248"/>
      <c r="Q76" s="248"/>
      <c r="R76" s="248"/>
      <c r="S76" s="248"/>
      <c r="T76" s="247"/>
      <c r="U76" s="248"/>
      <c r="V76" s="340">
        <f>Q76+R76+S76+P76+U76</f>
        <v>0</v>
      </c>
      <c r="W76" s="344">
        <f>+T76</f>
        <v>0</v>
      </c>
      <c r="X76" s="249"/>
      <c r="Y76" s="341">
        <f t="shared" si="11"/>
        <v>648000</v>
      </c>
      <c r="Z76" s="342">
        <f t="shared" si="14"/>
        <v>648000</v>
      </c>
      <c r="AA76" s="252"/>
    </row>
    <row r="77" spans="1:27">
      <c r="A77" s="326">
        <f t="shared" ref="A77:A139" si="17">+A76+1</f>
        <v>2</v>
      </c>
      <c r="B77" s="711" t="s">
        <v>4085</v>
      </c>
      <c r="C77" s="179">
        <v>306939884110</v>
      </c>
      <c r="D77" s="46" t="s">
        <v>4085</v>
      </c>
      <c r="E77" s="47" t="s">
        <v>4269</v>
      </c>
      <c r="F77" s="126" t="s">
        <v>2795</v>
      </c>
      <c r="G77" s="167"/>
      <c r="H77" s="167"/>
      <c r="I77" s="1061" t="s">
        <v>2796</v>
      </c>
      <c r="J77" s="692" t="s">
        <v>4106</v>
      </c>
      <c r="K77" s="1062" t="s">
        <v>4105</v>
      </c>
      <c r="L77" s="1099">
        <v>74</v>
      </c>
      <c r="M77" s="1083" t="s">
        <v>2891</v>
      </c>
      <c r="N77" s="158"/>
      <c r="O77" s="150"/>
      <c r="P77" s="248"/>
      <c r="Q77" s="248"/>
      <c r="R77" s="248"/>
      <c r="S77" s="248"/>
      <c r="T77" s="247"/>
      <c r="U77" s="248"/>
      <c r="V77" s="340">
        <f t="shared" ref="V77:V103" si="18">Q77+R77+S77+P77+U77</f>
        <v>0</v>
      </c>
      <c r="W77" s="344">
        <f t="shared" ref="W77:W103" si="19">+T77</f>
        <v>0</v>
      </c>
      <c r="X77" s="249"/>
      <c r="Y77" s="341">
        <f t="shared" si="11"/>
        <v>648000</v>
      </c>
      <c r="Z77" s="342">
        <f t="shared" si="14"/>
        <v>648000</v>
      </c>
      <c r="AA77" s="252"/>
    </row>
    <row r="78" spans="1:27">
      <c r="A78" s="326">
        <f t="shared" si="17"/>
        <v>3</v>
      </c>
      <c r="B78" s="711" t="s">
        <v>4068</v>
      </c>
      <c r="C78" s="179">
        <v>306950988910</v>
      </c>
      <c r="D78" s="46" t="s">
        <v>4122</v>
      </c>
      <c r="E78" s="47" t="s">
        <v>4269</v>
      </c>
      <c r="F78" s="126" t="s">
        <v>2795</v>
      </c>
      <c r="G78" s="167"/>
      <c r="H78" s="167"/>
      <c r="I78" s="127" t="s">
        <v>2794</v>
      </c>
      <c r="J78" s="692" t="s">
        <v>4123</v>
      </c>
      <c r="K78" s="806" t="s">
        <v>4120</v>
      </c>
      <c r="L78" s="1099">
        <v>306</v>
      </c>
      <c r="M78" s="1083" t="s">
        <v>2891</v>
      </c>
      <c r="N78" s="158"/>
      <c r="O78" s="150"/>
      <c r="P78" s="248"/>
      <c r="Q78" s="248"/>
      <c r="R78" s="248"/>
      <c r="S78" s="248"/>
      <c r="T78" s="247"/>
      <c r="U78" s="248"/>
      <c r="V78" s="340">
        <f t="shared" si="18"/>
        <v>0</v>
      </c>
      <c r="W78" s="344">
        <f t="shared" si="19"/>
        <v>0</v>
      </c>
      <c r="X78" s="249"/>
      <c r="Y78" s="341">
        <f t="shared" si="11"/>
        <v>648000</v>
      </c>
      <c r="Z78" s="342">
        <f t="shared" si="14"/>
        <v>648000</v>
      </c>
      <c r="AA78" s="252"/>
    </row>
    <row r="79" spans="1:27">
      <c r="A79" s="326">
        <f t="shared" si="17"/>
        <v>4</v>
      </c>
      <c r="B79" s="1208" t="s">
        <v>4130</v>
      </c>
      <c r="C79" s="179">
        <v>306956337130</v>
      </c>
      <c r="D79" s="386" t="s">
        <v>4137</v>
      </c>
      <c r="E79" s="47" t="s">
        <v>4269</v>
      </c>
      <c r="F79" s="126" t="s">
        <v>2795</v>
      </c>
      <c r="G79" s="167"/>
      <c r="H79" s="167"/>
      <c r="I79" s="1061" t="s">
        <v>2796</v>
      </c>
      <c r="J79" s="692" t="s">
        <v>4138</v>
      </c>
      <c r="K79" s="1062" t="s">
        <v>4134</v>
      </c>
      <c r="L79" s="1099">
        <v>1052</v>
      </c>
      <c r="M79" s="1083" t="s">
        <v>2891</v>
      </c>
      <c r="N79" s="158"/>
      <c r="O79" s="150"/>
      <c r="P79" s="248"/>
      <c r="Q79" s="248"/>
      <c r="R79" s="248"/>
      <c r="S79" s="248"/>
      <c r="T79" s="247"/>
      <c r="U79" s="248"/>
      <c r="V79" s="340">
        <f t="shared" si="18"/>
        <v>0</v>
      </c>
      <c r="W79" s="344">
        <f t="shared" si="19"/>
        <v>0</v>
      </c>
      <c r="X79" s="249"/>
      <c r="Y79" s="341">
        <f t="shared" si="11"/>
        <v>648000</v>
      </c>
      <c r="Z79" s="342">
        <f t="shared" si="14"/>
        <v>648000</v>
      </c>
      <c r="AA79" s="252"/>
    </row>
    <row r="80" spans="1:27">
      <c r="A80" s="326">
        <f t="shared" si="17"/>
        <v>5</v>
      </c>
      <c r="B80" s="3367" t="s">
        <v>4130</v>
      </c>
      <c r="C80" s="179">
        <v>306968450150</v>
      </c>
      <c r="D80" s="386" t="s">
        <v>4172</v>
      </c>
      <c r="E80" s="47" t="s">
        <v>4269</v>
      </c>
      <c r="F80" s="126" t="s">
        <v>2795</v>
      </c>
      <c r="G80" s="167"/>
      <c r="H80" s="167"/>
      <c r="I80" s="3357" t="s">
        <v>3383</v>
      </c>
      <c r="J80" s="692" t="s">
        <v>4199</v>
      </c>
      <c r="K80" s="170" t="s">
        <v>4167</v>
      </c>
      <c r="L80" s="1099">
        <v>721</v>
      </c>
      <c r="M80" s="1083" t="s">
        <v>2891</v>
      </c>
      <c r="N80" s="158"/>
      <c r="O80" s="150"/>
      <c r="P80" s="248"/>
      <c r="Q80" s="248"/>
      <c r="R80" s="248"/>
      <c r="S80" s="248"/>
      <c r="T80" s="247"/>
      <c r="U80" s="248"/>
      <c r="V80" s="340">
        <f t="shared" si="18"/>
        <v>0</v>
      </c>
      <c r="W80" s="344">
        <f t="shared" si="19"/>
        <v>0</v>
      </c>
      <c r="X80" s="249"/>
      <c r="Y80" s="341">
        <f t="shared" si="11"/>
        <v>648000</v>
      </c>
      <c r="Z80" s="342">
        <f t="shared" si="14"/>
        <v>648000</v>
      </c>
      <c r="AA80" s="252"/>
    </row>
    <row r="81" spans="1:27">
      <c r="A81" s="326">
        <f t="shared" si="17"/>
        <v>6</v>
      </c>
      <c r="B81" s="3368"/>
      <c r="C81" s="179">
        <v>306968464850</v>
      </c>
      <c r="D81" s="386" t="s">
        <v>4172</v>
      </c>
      <c r="E81" s="47" t="s">
        <v>4269</v>
      </c>
      <c r="F81" s="126" t="s">
        <v>2795</v>
      </c>
      <c r="G81" s="167"/>
      <c r="H81" s="167"/>
      <c r="I81" s="3355"/>
      <c r="J81" s="692" t="s">
        <v>4200</v>
      </c>
      <c r="K81" s="170" t="s">
        <v>4168</v>
      </c>
      <c r="L81" s="1099">
        <v>240</v>
      </c>
      <c r="M81" s="1083" t="s">
        <v>2891</v>
      </c>
      <c r="N81" s="158"/>
      <c r="O81" s="150"/>
      <c r="P81" s="248"/>
      <c r="Q81" s="248"/>
      <c r="R81" s="248"/>
      <c r="S81" s="248"/>
      <c r="T81" s="247"/>
      <c r="U81" s="248"/>
      <c r="V81" s="340">
        <f t="shared" si="18"/>
        <v>0</v>
      </c>
      <c r="W81" s="344">
        <f t="shared" si="19"/>
        <v>0</v>
      </c>
      <c r="X81" s="249"/>
      <c r="Y81" s="341">
        <f t="shared" si="11"/>
        <v>648000</v>
      </c>
      <c r="Z81" s="342">
        <f t="shared" si="14"/>
        <v>648000</v>
      </c>
      <c r="AA81" s="252"/>
    </row>
    <row r="82" spans="1:27">
      <c r="A82" s="326">
        <f t="shared" si="17"/>
        <v>7</v>
      </c>
      <c r="B82" s="3369"/>
      <c r="C82" s="179">
        <v>306968477230</v>
      </c>
      <c r="D82" s="386" t="s">
        <v>4172</v>
      </c>
      <c r="E82" s="47" t="s">
        <v>4269</v>
      </c>
      <c r="F82" s="126" t="s">
        <v>2795</v>
      </c>
      <c r="G82" s="167"/>
      <c r="H82" s="167"/>
      <c r="I82" s="3356"/>
      <c r="J82" s="692" t="s">
        <v>4201</v>
      </c>
      <c r="K82" s="170" t="s">
        <v>4169</v>
      </c>
      <c r="L82" s="1099">
        <v>526</v>
      </c>
      <c r="M82" s="1083" t="s">
        <v>2891</v>
      </c>
      <c r="N82" s="158"/>
      <c r="O82" s="150"/>
      <c r="P82" s="248"/>
      <c r="Q82" s="248"/>
      <c r="R82" s="248"/>
      <c r="S82" s="248"/>
      <c r="T82" s="247"/>
      <c r="U82" s="248"/>
      <c r="V82" s="340">
        <f t="shared" si="18"/>
        <v>0</v>
      </c>
      <c r="W82" s="344">
        <f t="shared" si="19"/>
        <v>0</v>
      </c>
      <c r="X82" s="249"/>
      <c r="Y82" s="341">
        <f t="shared" si="11"/>
        <v>648000</v>
      </c>
      <c r="Z82" s="342">
        <f t="shared" si="14"/>
        <v>648000</v>
      </c>
      <c r="AA82" s="252"/>
    </row>
    <row r="83" spans="1:27">
      <c r="A83" s="326">
        <f>+A84+1</f>
        <v>9</v>
      </c>
      <c r="B83" s="713" t="s">
        <v>4154</v>
      </c>
      <c r="C83" s="179">
        <v>306983428420</v>
      </c>
      <c r="D83" s="386" t="s">
        <v>4154</v>
      </c>
      <c r="E83" s="47" t="s">
        <v>4269</v>
      </c>
      <c r="F83" s="126" t="s">
        <v>2795</v>
      </c>
      <c r="G83" s="167"/>
      <c r="H83" s="167"/>
      <c r="I83" s="127" t="s">
        <v>2794</v>
      </c>
      <c r="J83" s="692" t="s">
        <v>4214</v>
      </c>
      <c r="K83" s="806" t="s">
        <v>4211</v>
      </c>
      <c r="L83" s="1099">
        <v>223</v>
      </c>
      <c r="M83" s="1083" t="s">
        <v>2891</v>
      </c>
      <c r="N83" s="158"/>
      <c r="O83" s="150"/>
      <c r="P83" s="248"/>
      <c r="Q83" s="248"/>
      <c r="R83" s="248"/>
      <c r="S83" s="248"/>
      <c r="T83" s="247"/>
      <c r="U83" s="248"/>
      <c r="V83" s="340">
        <f t="shared" si="18"/>
        <v>0</v>
      </c>
      <c r="W83" s="344">
        <f t="shared" si="19"/>
        <v>0</v>
      </c>
      <c r="X83" s="249"/>
      <c r="Y83" s="341">
        <f t="shared" si="11"/>
        <v>648000</v>
      </c>
      <c r="Z83" s="342">
        <f t="shared" si="14"/>
        <v>648000</v>
      </c>
      <c r="AA83" s="252"/>
    </row>
    <row r="84" spans="1:27">
      <c r="A84" s="326">
        <f>+A82+1</f>
        <v>8</v>
      </c>
      <c r="B84" s="711"/>
      <c r="C84" s="179">
        <v>306978697820</v>
      </c>
      <c r="D84" s="386" t="s">
        <v>2874</v>
      </c>
      <c r="E84" s="47" t="s">
        <v>4269</v>
      </c>
      <c r="F84" s="126" t="s">
        <v>2795</v>
      </c>
      <c r="G84" s="167"/>
      <c r="H84" s="167"/>
      <c r="I84" s="154" t="s">
        <v>2796</v>
      </c>
      <c r="J84" s="692" t="s">
        <v>4226</v>
      </c>
      <c r="K84" s="170" t="s">
        <v>4275</v>
      </c>
      <c r="L84" s="1099">
        <v>1103</v>
      </c>
      <c r="M84" s="1083" t="s">
        <v>2891</v>
      </c>
      <c r="N84" s="158"/>
      <c r="O84" s="150"/>
      <c r="P84" s="248"/>
      <c r="Q84" s="248"/>
      <c r="R84" s="248"/>
      <c r="S84" s="248"/>
      <c r="T84" s="247"/>
      <c r="U84" s="248"/>
      <c r="V84" s="340">
        <f t="shared" si="18"/>
        <v>0</v>
      </c>
      <c r="W84" s="344">
        <f t="shared" si="19"/>
        <v>0</v>
      </c>
      <c r="X84" s="249"/>
      <c r="Y84" s="341">
        <f t="shared" si="11"/>
        <v>648000</v>
      </c>
      <c r="Z84" s="342">
        <f t="shared" si="14"/>
        <v>648000</v>
      </c>
      <c r="AA84" s="252"/>
    </row>
    <row r="85" spans="1:27">
      <c r="A85" s="326">
        <f>+A83+1</f>
        <v>10</v>
      </c>
      <c r="B85" s="3351" t="s">
        <v>4220</v>
      </c>
      <c r="C85" s="179">
        <v>306991963150</v>
      </c>
      <c r="D85" s="386" t="s">
        <v>4221</v>
      </c>
      <c r="E85" s="47" t="s">
        <v>4269</v>
      </c>
      <c r="F85" s="126" t="s">
        <v>2795</v>
      </c>
      <c r="G85" s="167"/>
      <c r="H85" s="167"/>
      <c r="I85" s="3357" t="s">
        <v>3383</v>
      </c>
      <c r="J85" s="692" t="s">
        <v>4242</v>
      </c>
      <c r="K85" s="170" t="s">
        <v>4231</v>
      </c>
      <c r="L85" s="1099">
        <v>772</v>
      </c>
      <c r="M85" s="1083" t="s">
        <v>2891</v>
      </c>
      <c r="N85" s="158"/>
      <c r="O85" s="150"/>
      <c r="P85" s="248"/>
      <c r="Q85" s="248"/>
      <c r="R85" s="248"/>
      <c r="S85" s="248"/>
      <c r="T85" s="247"/>
      <c r="U85" s="248"/>
      <c r="V85" s="340">
        <f t="shared" si="18"/>
        <v>0</v>
      </c>
      <c r="W85" s="344">
        <f t="shared" si="19"/>
        <v>0</v>
      </c>
      <c r="X85" s="249"/>
      <c r="Y85" s="341">
        <f t="shared" si="11"/>
        <v>648000</v>
      </c>
      <c r="Z85" s="342">
        <f t="shared" si="14"/>
        <v>648000</v>
      </c>
      <c r="AA85" s="252"/>
    </row>
    <row r="86" spans="1:27">
      <c r="A86" s="326">
        <f t="shared" si="17"/>
        <v>11</v>
      </c>
      <c r="B86" s="3352"/>
      <c r="C86" s="179">
        <v>306991984520</v>
      </c>
      <c r="D86" s="386" t="s">
        <v>4221</v>
      </c>
      <c r="E86" s="47" t="s">
        <v>4269</v>
      </c>
      <c r="F86" s="126" t="s">
        <v>2795</v>
      </c>
      <c r="G86" s="167"/>
      <c r="H86" s="167"/>
      <c r="I86" s="3355"/>
      <c r="J86" s="692" t="s">
        <v>4243</v>
      </c>
      <c r="K86" s="170" t="s">
        <v>4232</v>
      </c>
      <c r="L86" s="1099">
        <v>432</v>
      </c>
      <c r="M86" s="1083" t="s">
        <v>2891</v>
      </c>
      <c r="N86" s="158"/>
      <c r="O86" s="150"/>
      <c r="P86" s="248"/>
      <c r="Q86" s="248"/>
      <c r="R86" s="248"/>
      <c r="S86" s="248"/>
      <c r="T86" s="247"/>
      <c r="U86" s="248"/>
      <c r="V86" s="340">
        <f t="shared" si="18"/>
        <v>0</v>
      </c>
      <c r="W86" s="344">
        <f t="shared" si="19"/>
        <v>0</v>
      </c>
      <c r="X86" s="249"/>
      <c r="Y86" s="341">
        <f t="shared" si="11"/>
        <v>648000</v>
      </c>
      <c r="Z86" s="342">
        <f t="shared" si="14"/>
        <v>648000</v>
      </c>
      <c r="AA86" s="252"/>
    </row>
    <row r="87" spans="1:27">
      <c r="A87" s="326">
        <f t="shared" si="17"/>
        <v>12</v>
      </c>
      <c r="B87" s="3353"/>
      <c r="C87" s="179">
        <v>306992007400</v>
      </c>
      <c r="D87" s="386" t="s">
        <v>4221</v>
      </c>
      <c r="E87" s="47" t="s">
        <v>4269</v>
      </c>
      <c r="F87" s="126" t="s">
        <v>2795</v>
      </c>
      <c r="G87" s="167"/>
      <c r="H87" s="167"/>
      <c r="I87" s="3356"/>
      <c r="J87" s="692" t="s">
        <v>4244</v>
      </c>
      <c r="K87" s="170" t="s">
        <v>4233</v>
      </c>
      <c r="L87" s="1099">
        <v>388</v>
      </c>
      <c r="M87" s="1083" t="s">
        <v>2891</v>
      </c>
      <c r="N87" s="158"/>
      <c r="O87" s="150"/>
      <c r="P87" s="248"/>
      <c r="Q87" s="248"/>
      <c r="R87" s="248"/>
      <c r="S87" s="248"/>
      <c r="T87" s="247"/>
      <c r="U87" s="248"/>
      <c r="V87" s="340">
        <f t="shared" si="18"/>
        <v>0</v>
      </c>
      <c r="W87" s="344">
        <f t="shared" si="19"/>
        <v>0</v>
      </c>
      <c r="X87" s="249"/>
      <c r="Y87" s="341">
        <f t="shared" si="11"/>
        <v>648000</v>
      </c>
      <c r="Z87" s="342">
        <f t="shared" si="14"/>
        <v>648000</v>
      </c>
      <c r="AA87" s="252"/>
    </row>
    <row r="88" spans="1:27">
      <c r="A88" s="326">
        <f t="shared" si="17"/>
        <v>13</v>
      </c>
      <c r="B88" s="3351" t="s">
        <v>4221</v>
      </c>
      <c r="C88" s="179">
        <v>306999582910</v>
      </c>
      <c r="D88" s="386" t="s">
        <v>4259</v>
      </c>
      <c r="E88" s="47" t="s">
        <v>4269</v>
      </c>
      <c r="F88" s="126" t="s">
        <v>2795</v>
      </c>
      <c r="G88" s="167"/>
      <c r="H88" s="167"/>
      <c r="I88" s="3357" t="s">
        <v>3383</v>
      </c>
      <c r="J88" s="692" t="s">
        <v>4272</v>
      </c>
      <c r="K88" s="170" t="s">
        <v>4245</v>
      </c>
      <c r="L88" s="1099">
        <v>303</v>
      </c>
      <c r="M88" s="1083" t="s">
        <v>2891</v>
      </c>
      <c r="N88" s="158"/>
      <c r="O88" s="150"/>
      <c r="P88" s="248"/>
      <c r="Q88" s="248"/>
      <c r="R88" s="248"/>
      <c r="S88" s="248"/>
      <c r="T88" s="247"/>
      <c r="U88" s="248"/>
      <c r="V88" s="340">
        <f t="shared" si="18"/>
        <v>0</v>
      </c>
      <c r="W88" s="344">
        <f t="shared" si="19"/>
        <v>0</v>
      </c>
      <c r="X88" s="249"/>
      <c r="Y88" s="341">
        <f t="shared" si="11"/>
        <v>648000</v>
      </c>
      <c r="Z88" s="342">
        <f t="shared" si="14"/>
        <v>648000</v>
      </c>
      <c r="AA88" s="252"/>
    </row>
    <row r="89" spans="1:27">
      <c r="A89" s="326">
        <f t="shared" si="17"/>
        <v>14</v>
      </c>
      <c r="B89" s="3352"/>
      <c r="C89" s="1229">
        <v>306999599710</v>
      </c>
      <c r="D89" s="386" t="s">
        <v>4259</v>
      </c>
      <c r="E89" s="47" t="s">
        <v>4269</v>
      </c>
      <c r="F89" s="126" t="s">
        <v>2795</v>
      </c>
      <c r="G89" s="167"/>
      <c r="H89" s="167"/>
      <c r="I89" s="3355"/>
      <c r="J89" s="692" t="s">
        <v>4273</v>
      </c>
      <c r="K89" s="170" t="s">
        <v>4246</v>
      </c>
      <c r="L89" s="1099">
        <v>421</v>
      </c>
      <c r="M89" s="1083" t="s">
        <v>2891</v>
      </c>
      <c r="N89" s="158"/>
      <c r="O89" s="150"/>
      <c r="P89" s="248"/>
      <c r="Q89" s="248"/>
      <c r="R89" s="248"/>
      <c r="S89" s="248"/>
      <c r="T89" s="247"/>
      <c r="U89" s="248"/>
      <c r="V89" s="340">
        <f t="shared" si="18"/>
        <v>0</v>
      </c>
      <c r="W89" s="344">
        <f t="shared" si="19"/>
        <v>0</v>
      </c>
      <c r="X89" s="249"/>
      <c r="Y89" s="341">
        <f t="shared" si="11"/>
        <v>648000</v>
      </c>
      <c r="Z89" s="342">
        <f t="shared" si="14"/>
        <v>648000</v>
      </c>
      <c r="AA89" s="252"/>
    </row>
    <row r="90" spans="1:27">
      <c r="A90" s="326">
        <f t="shared" si="17"/>
        <v>15</v>
      </c>
      <c r="B90" s="3353"/>
      <c r="C90" s="1229">
        <v>306999661900</v>
      </c>
      <c r="D90" s="386" t="s">
        <v>4259</v>
      </c>
      <c r="E90" s="47" t="s">
        <v>4269</v>
      </c>
      <c r="F90" s="126" t="s">
        <v>2795</v>
      </c>
      <c r="G90" s="167"/>
      <c r="H90" s="167"/>
      <c r="I90" s="3356"/>
      <c r="J90" s="692" t="s">
        <v>4274</v>
      </c>
      <c r="K90" s="170" t="s">
        <v>4247</v>
      </c>
      <c r="L90" s="1099">
        <v>718</v>
      </c>
      <c r="M90" s="1083" t="s">
        <v>2891</v>
      </c>
      <c r="N90" s="158"/>
      <c r="O90" s="150"/>
      <c r="P90" s="248"/>
      <c r="Q90" s="248"/>
      <c r="R90" s="248"/>
      <c r="S90" s="248"/>
      <c r="T90" s="247"/>
      <c r="U90" s="248"/>
      <c r="V90" s="340">
        <f t="shared" si="18"/>
        <v>0</v>
      </c>
      <c r="W90" s="344">
        <f t="shared" si="19"/>
        <v>0</v>
      </c>
      <c r="X90" s="249"/>
      <c r="Y90" s="341">
        <f t="shared" si="11"/>
        <v>648000</v>
      </c>
      <c r="Z90" s="342">
        <f t="shared" si="14"/>
        <v>648000</v>
      </c>
      <c r="AA90" s="252"/>
    </row>
    <row r="91" spans="1:27">
      <c r="A91" s="1230">
        <f t="shared" si="17"/>
        <v>16</v>
      </c>
      <c r="B91" s="1166" t="s">
        <v>4260</v>
      </c>
      <c r="C91" s="179">
        <v>307004514740</v>
      </c>
      <c r="D91" s="386" t="s">
        <v>4277</v>
      </c>
      <c r="E91" s="47" t="s">
        <v>4269</v>
      </c>
      <c r="F91" s="126" t="s">
        <v>2795</v>
      </c>
      <c r="G91" s="167"/>
      <c r="H91" s="167"/>
      <c r="I91" s="154" t="s">
        <v>3035</v>
      </c>
      <c r="J91" s="692" t="s">
        <v>4278</v>
      </c>
      <c r="K91" s="1062" t="s">
        <v>4262</v>
      </c>
      <c r="L91" s="1099">
        <v>38</v>
      </c>
      <c r="M91" s="1083" t="s">
        <v>2891</v>
      </c>
      <c r="N91" s="158"/>
      <c r="O91" s="150"/>
      <c r="P91" s="248"/>
      <c r="Q91" s="248"/>
      <c r="R91" s="248"/>
      <c r="S91" s="248"/>
      <c r="T91" s="247"/>
      <c r="U91" s="248"/>
      <c r="V91" s="340">
        <f t="shared" si="18"/>
        <v>0</v>
      </c>
      <c r="W91" s="344">
        <f t="shared" si="19"/>
        <v>0</v>
      </c>
      <c r="X91" s="249"/>
      <c r="Y91" s="341">
        <f t="shared" si="11"/>
        <v>648000</v>
      </c>
      <c r="Z91" s="342">
        <f t="shared" si="14"/>
        <v>648000</v>
      </c>
      <c r="AA91" s="252"/>
    </row>
    <row r="92" spans="1:27">
      <c r="A92" s="3348" t="s">
        <v>4265</v>
      </c>
      <c r="B92" s="3349"/>
      <c r="C92" s="3349"/>
      <c r="D92" s="3349"/>
      <c r="E92" s="3349"/>
      <c r="F92" s="3349"/>
      <c r="G92" s="3349"/>
      <c r="H92" s="3349"/>
      <c r="I92" s="3349"/>
      <c r="J92" s="3349"/>
      <c r="K92" s="3349"/>
      <c r="L92" s="3349"/>
      <c r="M92" s="3350"/>
      <c r="N92" s="1039"/>
      <c r="O92" s="1040"/>
      <c r="P92" s="1041"/>
      <c r="Q92" s="1041"/>
      <c r="R92" s="425"/>
      <c r="S92" s="425"/>
      <c r="T92" s="426"/>
      <c r="U92" s="425"/>
      <c r="V92" s="1041"/>
      <c r="W92" s="1042"/>
      <c r="X92" s="1043"/>
      <c r="Y92" s="1044">
        <f>SUM(Y76:Y91)</f>
        <v>10368000</v>
      </c>
      <c r="Z92" s="1045">
        <f>SUM(Z76:Z91)</f>
        <v>10368000</v>
      </c>
      <c r="AA92" s="252"/>
    </row>
    <row r="93" spans="1:27">
      <c r="A93" s="326">
        <v>1</v>
      </c>
      <c r="B93" s="713" t="s">
        <v>4277</v>
      </c>
      <c r="C93" s="179">
        <v>307009669540</v>
      </c>
      <c r="D93" s="386" t="s">
        <v>4283</v>
      </c>
      <c r="E93" s="47" t="s">
        <v>4628</v>
      </c>
      <c r="F93" s="126" t="s">
        <v>2795</v>
      </c>
      <c r="G93" s="167"/>
      <c r="H93" s="167"/>
      <c r="I93" s="154" t="s">
        <v>2796</v>
      </c>
      <c r="J93" s="692" t="s">
        <v>4290</v>
      </c>
      <c r="K93" s="170" t="s">
        <v>4276</v>
      </c>
      <c r="L93" s="1099">
        <v>977</v>
      </c>
      <c r="M93" s="1083" t="s">
        <v>2891</v>
      </c>
      <c r="N93" s="158"/>
      <c r="O93" s="150"/>
      <c r="P93" s="248"/>
      <c r="Q93" s="248"/>
      <c r="R93" s="248"/>
      <c r="S93" s="248"/>
      <c r="T93" s="247"/>
      <c r="U93" s="248"/>
      <c r="V93" s="340">
        <f t="shared" si="18"/>
        <v>0</v>
      </c>
      <c r="W93" s="344">
        <f t="shared" si="19"/>
        <v>0</v>
      </c>
      <c r="X93" s="249"/>
      <c r="Y93" s="341">
        <f t="shared" si="11"/>
        <v>648000</v>
      </c>
      <c r="Z93" s="342">
        <f t="shared" si="14"/>
        <v>648000</v>
      </c>
      <c r="AA93" s="252"/>
    </row>
    <row r="94" spans="1:27">
      <c r="A94" s="326">
        <f t="shared" si="17"/>
        <v>2</v>
      </c>
      <c r="B94" s="711" t="s">
        <v>4284</v>
      </c>
      <c r="C94" s="179">
        <v>307022927650</v>
      </c>
      <c r="D94" s="386" t="s">
        <v>4307</v>
      </c>
      <c r="E94" s="47" t="s">
        <v>4628</v>
      </c>
      <c r="F94" s="126" t="s">
        <v>2795</v>
      </c>
      <c r="G94" s="167"/>
      <c r="H94" s="167"/>
      <c r="I94" s="154" t="s">
        <v>2796</v>
      </c>
      <c r="J94" s="692" t="s">
        <v>4306</v>
      </c>
      <c r="K94" s="170" t="s">
        <v>4304</v>
      </c>
      <c r="L94" s="1099">
        <v>207</v>
      </c>
      <c r="M94" s="1083" t="s">
        <v>2891</v>
      </c>
      <c r="N94" s="158"/>
      <c r="O94" s="150"/>
      <c r="P94" s="248"/>
      <c r="Q94" s="248"/>
      <c r="R94" s="248"/>
      <c r="S94" s="248"/>
      <c r="T94" s="247"/>
      <c r="U94" s="248"/>
      <c r="V94" s="340">
        <f t="shared" si="18"/>
        <v>0</v>
      </c>
      <c r="W94" s="344">
        <f t="shared" si="19"/>
        <v>0</v>
      </c>
      <c r="X94" s="249"/>
      <c r="Y94" s="341">
        <f t="shared" si="11"/>
        <v>648000</v>
      </c>
      <c r="Z94" s="342">
        <f t="shared" si="14"/>
        <v>648000</v>
      </c>
      <c r="AA94" s="252"/>
    </row>
    <row r="95" spans="1:27">
      <c r="A95" s="326">
        <f t="shared" si="17"/>
        <v>3</v>
      </c>
      <c r="B95" s="711" t="s">
        <v>4313</v>
      </c>
      <c r="C95" s="179">
        <v>307037598620</v>
      </c>
      <c r="D95" s="386" t="s">
        <v>4334</v>
      </c>
      <c r="E95" s="47" t="s">
        <v>4628</v>
      </c>
      <c r="F95" s="126" t="s">
        <v>2795</v>
      </c>
      <c r="G95" s="167"/>
      <c r="H95" s="167"/>
      <c r="I95" s="154" t="s">
        <v>2796</v>
      </c>
      <c r="J95" s="692" t="s">
        <v>4353</v>
      </c>
      <c r="K95" s="170" t="s">
        <v>4332</v>
      </c>
      <c r="L95" s="1099">
        <v>1050</v>
      </c>
      <c r="M95" s="1083" t="s">
        <v>2891</v>
      </c>
      <c r="N95" s="158"/>
      <c r="O95" s="150"/>
      <c r="P95" s="248"/>
      <c r="Q95" s="248"/>
      <c r="R95" s="248"/>
      <c r="S95" s="248"/>
      <c r="T95" s="247"/>
      <c r="U95" s="248"/>
      <c r="V95" s="340">
        <f t="shared" si="18"/>
        <v>0</v>
      </c>
      <c r="W95" s="344">
        <f t="shared" si="19"/>
        <v>0</v>
      </c>
      <c r="X95" s="249"/>
      <c r="Y95" s="341">
        <f t="shared" si="11"/>
        <v>648000</v>
      </c>
      <c r="Z95" s="342">
        <f t="shared" si="14"/>
        <v>648000</v>
      </c>
      <c r="AA95" s="252"/>
    </row>
    <row r="96" spans="1:27">
      <c r="A96" s="326">
        <f t="shared" si="17"/>
        <v>4</v>
      </c>
      <c r="B96" s="713" t="s">
        <v>4334</v>
      </c>
      <c r="C96" s="179">
        <v>307044861340</v>
      </c>
      <c r="D96" s="386" t="s">
        <v>4391</v>
      </c>
      <c r="E96" s="47" t="s">
        <v>4628</v>
      </c>
      <c r="F96" s="126" t="s">
        <v>2795</v>
      </c>
      <c r="G96" s="167"/>
      <c r="H96" s="167"/>
      <c r="I96" s="3357" t="s">
        <v>3383</v>
      </c>
      <c r="J96" s="692" t="s">
        <v>4438</v>
      </c>
      <c r="K96" s="170" t="s">
        <v>4362</v>
      </c>
      <c r="L96" s="1099">
        <v>227</v>
      </c>
      <c r="M96" s="1083" t="s">
        <v>2891</v>
      </c>
      <c r="N96" s="158"/>
      <c r="O96" s="150"/>
      <c r="P96" s="248"/>
      <c r="Q96" s="248"/>
      <c r="R96" s="248"/>
      <c r="S96" s="248"/>
      <c r="T96" s="247"/>
      <c r="U96" s="248"/>
      <c r="V96" s="340">
        <f t="shared" si="18"/>
        <v>0</v>
      </c>
      <c r="W96" s="344">
        <f t="shared" si="19"/>
        <v>0</v>
      </c>
      <c r="X96" s="249"/>
      <c r="Y96" s="341">
        <f t="shared" si="11"/>
        <v>648000</v>
      </c>
      <c r="Z96" s="342">
        <f t="shared" si="14"/>
        <v>648000</v>
      </c>
      <c r="AA96" s="252"/>
    </row>
    <row r="97" spans="1:27">
      <c r="A97" s="326">
        <f t="shared" si="17"/>
        <v>5</v>
      </c>
      <c r="B97" s="713" t="s">
        <v>4334</v>
      </c>
      <c r="C97" s="179">
        <v>307044872210</v>
      </c>
      <c r="D97" s="386" t="s">
        <v>4391</v>
      </c>
      <c r="E97" s="47" t="s">
        <v>4628</v>
      </c>
      <c r="F97" s="126" t="s">
        <v>2795</v>
      </c>
      <c r="G97" s="167"/>
      <c r="H97" s="167"/>
      <c r="I97" s="3355"/>
      <c r="J97" s="692" t="s">
        <v>4439</v>
      </c>
      <c r="K97" s="170" t="s">
        <v>4363</v>
      </c>
      <c r="L97" s="1099">
        <v>102</v>
      </c>
      <c r="M97" s="1083" t="s">
        <v>2891</v>
      </c>
      <c r="N97" s="158"/>
      <c r="O97" s="150"/>
      <c r="P97" s="248"/>
      <c r="Q97" s="248"/>
      <c r="R97" s="248"/>
      <c r="S97" s="248"/>
      <c r="T97" s="247"/>
      <c r="U97" s="248"/>
      <c r="V97" s="340">
        <f t="shared" si="18"/>
        <v>0</v>
      </c>
      <c r="W97" s="344">
        <f t="shared" si="19"/>
        <v>0</v>
      </c>
      <c r="X97" s="249"/>
      <c r="Y97" s="341">
        <f t="shared" si="11"/>
        <v>648000</v>
      </c>
      <c r="Z97" s="342">
        <f t="shared" si="14"/>
        <v>648000</v>
      </c>
      <c r="AA97" s="252"/>
    </row>
    <row r="98" spans="1:27">
      <c r="A98" s="326">
        <f t="shared" si="17"/>
        <v>6</v>
      </c>
      <c r="B98" s="713" t="s">
        <v>4334</v>
      </c>
      <c r="C98" s="179">
        <v>307044884440</v>
      </c>
      <c r="D98" s="386" t="s">
        <v>4391</v>
      </c>
      <c r="E98" s="47" t="s">
        <v>4628</v>
      </c>
      <c r="F98" s="126" t="s">
        <v>2795</v>
      </c>
      <c r="G98" s="167"/>
      <c r="H98" s="167"/>
      <c r="I98" s="3355"/>
      <c r="J98" s="692" t="s">
        <v>4440</v>
      </c>
      <c r="K98" s="170" t="s">
        <v>4364</v>
      </c>
      <c r="L98" s="1099">
        <v>501</v>
      </c>
      <c r="M98" s="1083" t="s">
        <v>2891</v>
      </c>
      <c r="N98" s="158"/>
      <c r="O98" s="150"/>
      <c r="P98" s="248"/>
      <c r="Q98" s="248"/>
      <c r="R98" s="248"/>
      <c r="S98" s="248"/>
      <c r="T98" s="247"/>
      <c r="U98" s="248"/>
      <c r="V98" s="340">
        <f t="shared" si="18"/>
        <v>0</v>
      </c>
      <c r="W98" s="344">
        <f t="shared" si="19"/>
        <v>0</v>
      </c>
      <c r="X98" s="249"/>
      <c r="Y98" s="341">
        <f t="shared" si="11"/>
        <v>648000</v>
      </c>
      <c r="Z98" s="342">
        <f t="shared" si="14"/>
        <v>648000</v>
      </c>
      <c r="AA98" s="252"/>
    </row>
    <row r="99" spans="1:27">
      <c r="A99" s="326">
        <f t="shared" si="17"/>
        <v>7</v>
      </c>
      <c r="B99" s="713" t="s">
        <v>4334</v>
      </c>
      <c r="C99" s="179">
        <v>307044896120</v>
      </c>
      <c r="D99" s="386" t="s">
        <v>4391</v>
      </c>
      <c r="E99" s="47" t="s">
        <v>4628</v>
      </c>
      <c r="F99" s="126" t="s">
        <v>2795</v>
      </c>
      <c r="G99" s="167"/>
      <c r="H99" s="167"/>
      <c r="I99" s="3356"/>
      <c r="J99" s="692" t="s">
        <v>4441</v>
      </c>
      <c r="K99" s="170" t="s">
        <v>4365</v>
      </c>
      <c r="L99" s="1099">
        <v>903</v>
      </c>
      <c r="M99" s="1083" t="s">
        <v>2891</v>
      </c>
      <c r="N99" s="158"/>
      <c r="O99" s="150"/>
      <c r="P99" s="248"/>
      <c r="Q99" s="248"/>
      <c r="R99" s="248"/>
      <c r="S99" s="248"/>
      <c r="T99" s="247"/>
      <c r="U99" s="248"/>
      <c r="V99" s="340">
        <f t="shared" si="18"/>
        <v>0</v>
      </c>
      <c r="W99" s="344">
        <f t="shared" si="19"/>
        <v>0</v>
      </c>
      <c r="X99" s="249"/>
      <c r="Y99" s="341">
        <f t="shared" si="11"/>
        <v>648000</v>
      </c>
      <c r="Z99" s="342">
        <f t="shared" si="14"/>
        <v>648000</v>
      </c>
      <c r="AA99" s="252"/>
    </row>
    <row r="100" spans="1:27">
      <c r="A100" s="326">
        <f t="shared" si="17"/>
        <v>8</v>
      </c>
      <c r="B100" s="656" t="s">
        <v>4372</v>
      </c>
      <c r="C100" s="179">
        <v>307059117910</v>
      </c>
      <c r="D100" s="386" t="s">
        <v>4461</v>
      </c>
      <c r="E100" s="47" t="s">
        <v>4628</v>
      </c>
      <c r="F100" s="126" t="s">
        <v>2795</v>
      </c>
      <c r="G100" s="167"/>
      <c r="H100" s="167"/>
      <c r="I100" s="3361" t="s">
        <v>3383</v>
      </c>
      <c r="J100" s="692" t="s">
        <v>4459</v>
      </c>
      <c r="K100" s="170" t="s">
        <v>4442</v>
      </c>
      <c r="L100" s="1099">
        <v>302</v>
      </c>
      <c r="M100" s="1083" t="s">
        <v>2891</v>
      </c>
      <c r="N100" s="158"/>
      <c r="O100" s="150"/>
      <c r="P100" s="248"/>
      <c r="Q100" s="248"/>
      <c r="R100" s="248"/>
      <c r="S100" s="248"/>
      <c r="T100" s="247"/>
      <c r="U100" s="248"/>
      <c r="V100" s="340">
        <f t="shared" si="18"/>
        <v>0</v>
      </c>
      <c r="W100" s="344">
        <f t="shared" si="19"/>
        <v>0</v>
      </c>
      <c r="X100" s="249"/>
      <c r="Y100" s="341">
        <f t="shared" si="11"/>
        <v>648000</v>
      </c>
      <c r="Z100" s="342">
        <f t="shared" si="14"/>
        <v>648000</v>
      </c>
      <c r="AA100" s="252"/>
    </row>
    <row r="101" spans="1:27">
      <c r="A101" s="326">
        <f t="shared" si="17"/>
        <v>9</v>
      </c>
      <c r="B101" s="656" t="s">
        <v>4372</v>
      </c>
      <c r="C101" s="179">
        <v>307059126420</v>
      </c>
      <c r="D101" s="386" t="s">
        <v>4461</v>
      </c>
      <c r="E101" s="47" t="s">
        <v>4628</v>
      </c>
      <c r="F101" s="126" t="s">
        <v>2795</v>
      </c>
      <c r="G101" s="167"/>
      <c r="H101" s="167"/>
      <c r="I101" s="3356"/>
      <c r="J101" s="692" t="s">
        <v>4460</v>
      </c>
      <c r="K101" s="170" t="s">
        <v>4443</v>
      </c>
      <c r="L101" s="1099">
        <v>349</v>
      </c>
      <c r="M101" s="1083" t="s">
        <v>2891</v>
      </c>
      <c r="N101" s="158"/>
      <c r="O101" s="150"/>
      <c r="P101" s="248"/>
      <c r="Q101" s="248"/>
      <c r="R101" s="248"/>
      <c r="S101" s="248"/>
      <c r="T101" s="247"/>
      <c r="U101" s="248"/>
      <c r="V101" s="340">
        <f t="shared" si="18"/>
        <v>0</v>
      </c>
      <c r="W101" s="344">
        <f t="shared" si="19"/>
        <v>0</v>
      </c>
      <c r="X101" s="249"/>
      <c r="Y101" s="341">
        <f t="shared" si="11"/>
        <v>648000</v>
      </c>
      <c r="Z101" s="342">
        <f t="shared" si="14"/>
        <v>648000</v>
      </c>
      <c r="AA101" s="252"/>
    </row>
    <row r="102" spans="1:27">
      <c r="A102" s="326">
        <f t="shared" si="17"/>
        <v>10</v>
      </c>
      <c r="B102" s="656" t="s">
        <v>4372</v>
      </c>
      <c r="C102" s="1229">
        <v>307059107260</v>
      </c>
      <c r="D102" s="46" t="s">
        <v>4467</v>
      </c>
      <c r="E102" s="47" t="s">
        <v>4628</v>
      </c>
      <c r="F102" s="126" t="s">
        <v>2795</v>
      </c>
      <c r="G102" s="167"/>
      <c r="H102" s="167"/>
      <c r="I102" s="154" t="s">
        <v>2796</v>
      </c>
      <c r="J102" s="692" t="s">
        <v>4485</v>
      </c>
      <c r="K102" s="170" t="s">
        <v>4437</v>
      </c>
      <c r="L102" s="1099">
        <v>1108</v>
      </c>
      <c r="M102" s="1083" t="s">
        <v>2891</v>
      </c>
      <c r="N102" s="158"/>
      <c r="O102" s="150"/>
      <c r="P102" s="248"/>
      <c r="Q102" s="248"/>
      <c r="R102" s="248"/>
      <c r="S102" s="248"/>
      <c r="T102" s="247"/>
      <c r="U102" s="248"/>
      <c r="V102" s="340">
        <f t="shared" si="18"/>
        <v>0</v>
      </c>
      <c r="W102" s="344">
        <f t="shared" si="19"/>
        <v>0</v>
      </c>
      <c r="X102" s="249"/>
      <c r="Y102" s="341">
        <f t="shared" si="11"/>
        <v>648000</v>
      </c>
      <c r="Z102" s="342">
        <f t="shared" si="14"/>
        <v>648000</v>
      </c>
      <c r="AA102" s="252"/>
    </row>
    <row r="103" spans="1:27">
      <c r="A103" s="326">
        <f t="shared" si="17"/>
        <v>11</v>
      </c>
      <c r="B103" s="3358" t="s">
        <v>4429</v>
      </c>
      <c r="C103" s="179">
        <v>307072233920</v>
      </c>
      <c r="D103" s="46" t="s">
        <v>4467</v>
      </c>
      <c r="E103" s="47" t="s">
        <v>4628</v>
      </c>
      <c r="F103" s="126" t="s">
        <v>2795</v>
      </c>
      <c r="G103" s="167"/>
      <c r="H103" s="167"/>
      <c r="I103" s="3359" t="s">
        <v>3383</v>
      </c>
      <c r="J103" s="692" t="s">
        <v>4622</v>
      </c>
      <c r="K103" s="170" t="s">
        <v>4490</v>
      </c>
      <c r="L103" s="1099">
        <v>296</v>
      </c>
      <c r="M103" s="1083" t="s">
        <v>2891</v>
      </c>
      <c r="N103" s="158"/>
      <c r="O103" s="150"/>
      <c r="P103" s="248"/>
      <c r="Q103" s="248"/>
      <c r="R103" s="248"/>
      <c r="S103" s="248"/>
      <c r="T103" s="247"/>
      <c r="U103" s="248"/>
      <c r="V103" s="340">
        <f t="shared" si="18"/>
        <v>0</v>
      </c>
      <c r="W103" s="344">
        <f t="shared" si="19"/>
        <v>0</v>
      </c>
      <c r="X103" s="249"/>
      <c r="Y103" s="341">
        <f t="shared" si="11"/>
        <v>648000</v>
      </c>
      <c r="Z103" s="342">
        <f t="shared" si="14"/>
        <v>648000</v>
      </c>
      <c r="AA103" s="252"/>
    </row>
    <row r="104" spans="1:27">
      <c r="A104" s="1444">
        <f t="shared" si="17"/>
        <v>12</v>
      </c>
      <c r="B104" s="3353"/>
      <c r="C104" s="179">
        <v>307072257020</v>
      </c>
      <c r="D104" s="46" t="s">
        <v>4467</v>
      </c>
      <c r="E104" s="47" t="s">
        <v>4628</v>
      </c>
      <c r="F104" s="126" t="s">
        <v>2795</v>
      </c>
      <c r="G104" s="167"/>
      <c r="H104" s="167"/>
      <c r="I104" s="3360"/>
      <c r="J104" s="692" t="s">
        <v>4623</v>
      </c>
      <c r="K104" s="170" t="s">
        <v>4491</v>
      </c>
      <c r="L104" s="1099">
        <v>502</v>
      </c>
      <c r="M104" s="1083" t="s">
        <v>2891</v>
      </c>
      <c r="N104" s="158"/>
      <c r="O104" s="150"/>
      <c r="P104" s="248"/>
      <c r="Q104" s="248"/>
      <c r="R104" s="248"/>
      <c r="S104" s="248"/>
      <c r="T104" s="247"/>
      <c r="U104" s="248"/>
      <c r="V104" s="340">
        <f>Q104+R104+S104+P104+U104</f>
        <v>0</v>
      </c>
      <c r="W104" s="344">
        <f>+T104</f>
        <v>0</v>
      </c>
      <c r="X104" s="249"/>
      <c r="Y104" s="341">
        <f t="shared" si="11"/>
        <v>648000</v>
      </c>
      <c r="Z104" s="342">
        <f t="shared" ref="Z104:Z120" si="20">+Y104+W104+V104</f>
        <v>648000</v>
      </c>
      <c r="AA104" s="252"/>
    </row>
    <row r="105" spans="1:27">
      <c r="A105" s="3348" t="s">
        <v>4666</v>
      </c>
      <c r="B105" s="3349"/>
      <c r="C105" s="3349"/>
      <c r="D105" s="3349"/>
      <c r="E105" s="3349"/>
      <c r="F105" s="3349"/>
      <c r="G105" s="3349"/>
      <c r="H105" s="3349"/>
      <c r="I105" s="3349"/>
      <c r="J105" s="3349"/>
      <c r="K105" s="3349"/>
      <c r="L105" s="3349"/>
      <c r="M105" s="3350"/>
      <c r="N105" s="1039"/>
      <c r="O105" s="1040"/>
      <c r="P105" s="1041"/>
      <c r="Q105" s="1041"/>
      <c r="R105" s="425"/>
      <c r="S105" s="425"/>
      <c r="T105" s="426"/>
      <c r="U105" s="425"/>
      <c r="V105" s="1041"/>
      <c r="W105" s="1042"/>
      <c r="X105" s="1043"/>
      <c r="Y105" s="1044">
        <f>SUM(Y93:Y104)</f>
        <v>7776000</v>
      </c>
      <c r="Z105" s="1045">
        <f>SUM(Z93:Z104)</f>
        <v>7776000</v>
      </c>
      <c r="AA105" s="252"/>
    </row>
    <row r="106" spans="1:27">
      <c r="A106" s="326">
        <v>1</v>
      </c>
      <c r="B106" s="656" t="s">
        <v>4500</v>
      </c>
      <c r="C106" s="179">
        <v>307092827110</v>
      </c>
      <c r="D106" s="386" t="s">
        <v>4686</v>
      </c>
      <c r="E106" s="47" t="s">
        <v>4872</v>
      </c>
      <c r="F106" s="126" t="s">
        <v>2795</v>
      </c>
      <c r="G106" s="167"/>
      <c r="H106" s="167"/>
      <c r="I106" s="154" t="s">
        <v>2796</v>
      </c>
      <c r="J106" s="692" t="s">
        <v>4688</v>
      </c>
      <c r="K106" s="170" t="s">
        <v>4682</v>
      </c>
      <c r="L106" s="577">
        <v>504</v>
      </c>
      <c r="M106" s="1083" t="s">
        <v>2891</v>
      </c>
      <c r="N106" s="158"/>
      <c r="O106" s="150"/>
      <c r="P106" s="248"/>
      <c r="Q106" s="248"/>
      <c r="R106" s="248"/>
      <c r="S106" s="248"/>
      <c r="T106" s="247"/>
      <c r="U106" s="248"/>
      <c r="V106" s="340">
        <v>0</v>
      </c>
      <c r="W106" s="344">
        <v>0</v>
      </c>
      <c r="X106" s="249"/>
      <c r="Y106" s="341">
        <f t="shared" si="11"/>
        <v>648000</v>
      </c>
      <c r="Z106" s="342">
        <f t="shared" si="20"/>
        <v>648000</v>
      </c>
      <c r="AA106" s="252"/>
    </row>
    <row r="107" spans="1:27">
      <c r="A107" s="326">
        <f t="shared" si="17"/>
        <v>2</v>
      </c>
      <c r="B107" s="3383" t="s">
        <v>4717</v>
      </c>
      <c r="C107" s="179">
        <v>307109639560</v>
      </c>
      <c r="D107" s="386" t="s">
        <v>4790</v>
      </c>
      <c r="E107" s="47" t="s">
        <v>4872</v>
      </c>
      <c r="F107" s="126" t="s">
        <v>2795</v>
      </c>
      <c r="G107" s="167"/>
      <c r="H107" s="167"/>
      <c r="I107" s="3379" t="s">
        <v>3383</v>
      </c>
      <c r="J107" s="692" t="s">
        <v>4774</v>
      </c>
      <c r="K107" s="170" t="s">
        <v>4714</v>
      </c>
      <c r="L107" s="577">
        <v>144</v>
      </c>
      <c r="M107" s="1083" t="s">
        <v>2891</v>
      </c>
      <c r="N107" s="158"/>
      <c r="O107" s="150"/>
      <c r="P107" s="248"/>
      <c r="Q107" s="248"/>
      <c r="R107" s="248"/>
      <c r="S107" s="248"/>
      <c r="T107" s="247"/>
      <c r="U107" s="248"/>
      <c r="V107" s="340">
        <v>0</v>
      </c>
      <c r="W107" s="344">
        <v>0</v>
      </c>
      <c r="X107" s="249"/>
      <c r="Y107" s="341">
        <f t="shared" si="11"/>
        <v>648000</v>
      </c>
      <c r="Z107" s="342">
        <f t="shared" si="20"/>
        <v>648000</v>
      </c>
      <c r="AA107" s="252"/>
    </row>
    <row r="108" spans="1:27">
      <c r="A108" s="326">
        <f t="shared" si="17"/>
        <v>3</v>
      </c>
      <c r="B108" s="3384"/>
      <c r="C108" s="179">
        <v>307109643430</v>
      </c>
      <c r="D108" s="386" t="s">
        <v>4790</v>
      </c>
      <c r="E108" s="47" t="s">
        <v>4872</v>
      </c>
      <c r="F108" s="126" t="s">
        <v>2795</v>
      </c>
      <c r="G108" s="167"/>
      <c r="H108" s="167"/>
      <c r="I108" s="3380"/>
      <c r="J108" s="692" t="s">
        <v>4775</v>
      </c>
      <c r="K108" s="170" t="s">
        <v>4716</v>
      </c>
      <c r="L108" s="577">
        <v>384</v>
      </c>
      <c r="M108" s="1083" t="s">
        <v>2891</v>
      </c>
      <c r="N108" s="158"/>
      <c r="O108" s="150"/>
      <c r="P108" s="248"/>
      <c r="Q108" s="248"/>
      <c r="R108" s="248"/>
      <c r="S108" s="248"/>
      <c r="T108" s="247"/>
      <c r="U108" s="248"/>
      <c r="V108" s="340">
        <v>0</v>
      </c>
      <c r="W108" s="344">
        <v>0</v>
      </c>
      <c r="X108" s="249"/>
      <c r="Y108" s="341">
        <f t="shared" ref="Y108:Y171" si="21">600000*1.08</f>
        <v>648000</v>
      </c>
      <c r="Z108" s="342">
        <f t="shared" si="20"/>
        <v>648000</v>
      </c>
      <c r="AA108" s="252"/>
    </row>
    <row r="109" spans="1:27">
      <c r="A109" s="326">
        <f t="shared" si="17"/>
        <v>4</v>
      </c>
      <c r="B109" s="3385"/>
      <c r="C109" s="179">
        <v>307109646230</v>
      </c>
      <c r="D109" s="386" t="s">
        <v>4790</v>
      </c>
      <c r="E109" s="47" t="s">
        <v>4872</v>
      </c>
      <c r="F109" s="126" t="s">
        <v>2795</v>
      </c>
      <c r="G109" s="167"/>
      <c r="H109" s="167"/>
      <c r="I109" s="3382"/>
      <c r="J109" s="692" t="s">
        <v>4776</v>
      </c>
      <c r="K109" s="170" t="s">
        <v>4715</v>
      </c>
      <c r="L109" s="577">
        <v>714</v>
      </c>
      <c r="M109" s="1083" t="s">
        <v>2891</v>
      </c>
      <c r="N109" s="158"/>
      <c r="O109" s="150"/>
      <c r="P109" s="248"/>
      <c r="Q109" s="248"/>
      <c r="R109" s="248"/>
      <c r="S109" s="248"/>
      <c r="T109" s="247"/>
      <c r="U109" s="248"/>
      <c r="V109" s="340">
        <v>0</v>
      </c>
      <c r="W109" s="344">
        <v>0</v>
      </c>
      <c r="X109" s="249"/>
      <c r="Y109" s="341">
        <f t="shared" si="21"/>
        <v>648000</v>
      </c>
      <c r="Z109" s="342">
        <f t="shared" si="20"/>
        <v>648000</v>
      </c>
      <c r="AA109" s="252"/>
    </row>
    <row r="110" spans="1:27">
      <c r="A110" s="326">
        <f t="shared" si="17"/>
        <v>5</v>
      </c>
      <c r="B110" s="656" t="s">
        <v>4733</v>
      </c>
      <c r="C110" s="179">
        <v>307115778560</v>
      </c>
      <c r="D110" s="386" t="s">
        <v>4748</v>
      </c>
      <c r="E110" s="47" t="s">
        <v>4872</v>
      </c>
      <c r="F110" s="126" t="s">
        <v>2795</v>
      </c>
      <c r="G110" s="167"/>
      <c r="H110" s="167"/>
      <c r="I110" s="154" t="s">
        <v>2796</v>
      </c>
      <c r="J110" s="692" t="s">
        <v>4777</v>
      </c>
      <c r="K110" s="170" t="s">
        <v>4746</v>
      </c>
      <c r="L110" s="577">
        <v>526</v>
      </c>
      <c r="M110" s="1083" t="s">
        <v>2891</v>
      </c>
      <c r="N110" s="158"/>
      <c r="O110" s="150"/>
      <c r="P110" s="248"/>
      <c r="Q110" s="248"/>
      <c r="R110" s="248"/>
      <c r="S110" s="248"/>
      <c r="T110" s="247"/>
      <c r="U110" s="248"/>
      <c r="V110" s="340">
        <v>0</v>
      </c>
      <c r="W110" s="344">
        <v>0</v>
      </c>
      <c r="X110" s="249"/>
      <c r="Y110" s="341">
        <f t="shared" si="21"/>
        <v>648000</v>
      </c>
      <c r="Z110" s="342">
        <f t="shared" si="20"/>
        <v>648000</v>
      </c>
      <c r="AA110" s="252"/>
    </row>
    <row r="111" spans="1:27">
      <c r="A111" s="326">
        <f t="shared" si="17"/>
        <v>6</v>
      </c>
      <c r="B111" s="656" t="s">
        <v>4748</v>
      </c>
      <c r="C111" s="179">
        <v>307129944130</v>
      </c>
      <c r="D111" s="386" t="s">
        <v>4794</v>
      </c>
      <c r="E111" s="47" t="s">
        <v>4872</v>
      </c>
      <c r="F111" s="126" t="s">
        <v>2795</v>
      </c>
      <c r="G111" s="167"/>
      <c r="H111" s="167"/>
      <c r="I111" s="154" t="s">
        <v>4755</v>
      </c>
      <c r="J111" s="692" t="s">
        <v>4789</v>
      </c>
      <c r="K111" s="170" t="s">
        <v>4773</v>
      </c>
      <c r="L111" s="577">
        <v>84</v>
      </c>
      <c r="M111" s="1083" t="s">
        <v>2891</v>
      </c>
      <c r="N111" s="158"/>
      <c r="O111" s="150"/>
      <c r="P111" s="248"/>
      <c r="Q111" s="248"/>
      <c r="R111" s="248"/>
      <c r="S111" s="248"/>
      <c r="T111" s="247"/>
      <c r="U111" s="248"/>
      <c r="V111" s="340">
        <v>0</v>
      </c>
      <c r="W111" s="344">
        <v>0</v>
      </c>
      <c r="X111" s="249"/>
      <c r="Y111" s="341">
        <f t="shared" si="21"/>
        <v>648000</v>
      </c>
      <c r="Z111" s="342">
        <f t="shared" si="20"/>
        <v>648000</v>
      </c>
      <c r="AA111" s="252"/>
    </row>
    <row r="112" spans="1:27">
      <c r="A112" s="1515">
        <v>7</v>
      </c>
      <c r="B112" s="656" t="s">
        <v>4790</v>
      </c>
      <c r="C112" s="179">
        <v>307124983600</v>
      </c>
      <c r="D112" s="386" t="s">
        <v>4771</v>
      </c>
      <c r="E112" s="47" t="s">
        <v>4872</v>
      </c>
      <c r="F112" s="126" t="s">
        <v>2795</v>
      </c>
      <c r="G112" s="167"/>
      <c r="H112" s="167"/>
      <c r="I112" s="127" t="s">
        <v>2794</v>
      </c>
      <c r="J112" s="692" t="s">
        <v>4792</v>
      </c>
      <c r="K112" s="1516" t="s">
        <v>4791</v>
      </c>
      <c r="L112" s="577">
        <v>183</v>
      </c>
      <c r="M112" s="1083" t="s">
        <v>2891</v>
      </c>
      <c r="N112" s="1509"/>
      <c r="O112" s="1517"/>
      <c r="P112" s="1507"/>
      <c r="Q112" s="1507"/>
      <c r="R112" s="1507"/>
      <c r="S112" s="1507"/>
      <c r="T112" s="1508"/>
      <c r="U112" s="1507"/>
      <c r="V112" s="340">
        <v>0</v>
      </c>
      <c r="W112" s="344">
        <v>0</v>
      </c>
      <c r="X112" s="1518"/>
      <c r="Y112" s="341">
        <f t="shared" si="21"/>
        <v>648000</v>
      </c>
      <c r="Z112" s="342">
        <f t="shared" si="20"/>
        <v>648000</v>
      </c>
      <c r="AA112" s="1510"/>
    </row>
    <row r="113" spans="1:35" ht="26.4">
      <c r="A113" s="326">
        <v>8</v>
      </c>
      <c r="B113" s="656" t="s">
        <v>4771</v>
      </c>
      <c r="C113" s="179">
        <v>307129261740</v>
      </c>
      <c r="D113" s="386" t="s">
        <v>4763</v>
      </c>
      <c r="E113" s="47" t="s">
        <v>4872</v>
      </c>
      <c r="F113" s="126" t="s">
        <v>2795</v>
      </c>
      <c r="G113" s="167"/>
      <c r="H113" s="167"/>
      <c r="I113" s="154" t="s">
        <v>2796</v>
      </c>
      <c r="J113" s="1522" t="s">
        <v>4808</v>
      </c>
      <c r="K113" s="170" t="s">
        <v>4772</v>
      </c>
      <c r="L113" s="577">
        <v>966</v>
      </c>
      <c r="M113" s="1083" t="s">
        <v>2891</v>
      </c>
      <c r="N113" s="158"/>
      <c r="O113" s="150"/>
      <c r="P113" s="248"/>
      <c r="Q113" s="248"/>
      <c r="R113" s="248"/>
      <c r="S113" s="248"/>
      <c r="T113" s="247"/>
      <c r="U113" s="248"/>
      <c r="V113" s="340">
        <v>0</v>
      </c>
      <c r="W113" s="344">
        <v>0</v>
      </c>
      <c r="X113" s="249"/>
      <c r="Y113" s="341">
        <f t="shared" si="21"/>
        <v>648000</v>
      </c>
      <c r="Z113" s="342">
        <f t="shared" si="20"/>
        <v>648000</v>
      </c>
      <c r="AA113" s="252"/>
    </row>
    <row r="114" spans="1:35">
      <c r="A114" s="326">
        <f t="shared" si="17"/>
        <v>9</v>
      </c>
      <c r="B114" s="656" t="s">
        <v>4793</v>
      </c>
      <c r="C114" s="179">
        <v>307133133700</v>
      </c>
      <c r="D114" s="386" t="s">
        <v>4428</v>
      </c>
      <c r="E114" s="47" t="s">
        <v>4872</v>
      </c>
      <c r="F114" s="126" t="s">
        <v>2795</v>
      </c>
      <c r="G114" s="167"/>
      <c r="H114" s="167"/>
      <c r="I114" s="154" t="s">
        <v>3035</v>
      </c>
      <c r="J114" s="692" t="s">
        <v>4800</v>
      </c>
      <c r="K114" s="1062" t="s">
        <v>4788</v>
      </c>
      <c r="L114" s="577">
        <v>81</v>
      </c>
      <c r="M114" s="1083" t="s">
        <v>2891</v>
      </c>
      <c r="N114" s="158"/>
      <c r="O114" s="150"/>
      <c r="P114" s="248"/>
      <c r="Q114" s="248"/>
      <c r="R114" s="248"/>
      <c r="S114" s="248"/>
      <c r="T114" s="247"/>
      <c r="U114" s="248"/>
      <c r="V114" s="340">
        <v>0</v>
      </c>
      <c r="W114" s="344">
        <v>0</v>
      </c>
      <c r="X114" s="249"/>
      <c r="Y114" s="341">
        <f t="shared" si="21"/>
        <v>648000</v>
      </c>
      <c r="Z114" s="342">
        <f t="shared" si="20"/>
        <v>648000</v>
      </c>
      <c r="AA114" s="252"/>
    </row>
    <row r="115" spans="1:35">
      <c r="A115" s="326">
        <f t="shared" si="17"/>
        <v>10</v>
      </c>
      <c r="B115" s="3358" t="s">
        <v>4820</v>
      </c>
      <c r="C115" s="179">
        <v>307149082350</v>
      </c>
      <c r="D115" s="386" t="s">
        <v>4840</v>
      </c>
      <c r="E115" s="47" t="s">
        <v>4872</v>
      </c>
      <c r="F115" s="126" t="s">
        <v>2795</v>
      </c>
      <c r="G115" s="167"/>
      <c r="H115" s="167"/>
      <c r="I115" s="3379" t="s">
        <v>3383</v>
      </c>
      <c r="J115" s="692" t="s">
        <v>4921</v>
      </c>
      <c r="K115" s="170" t="s">
        <v>4832</v>
      </c>
      <c r="L115" s="522">
        <v>630</v>
      </c>
      <c r="M115" s="1494" t="s">
        <v>662</v>
      </c>
      <c r="N115" s="1495"/>
      <c r="O115" s="1496"/>
      <c r="P115" s="1497"/>
      <c r="Q115" s="1497"/>
      <c r="R115" s="1497"/>
      <c r="S115" s="1497"/>
      <c r="T115" s="1498"/>
      <c r="U115" s="1497"/>
      <c r="V115" s="340">
        <v>0</v>
      </c>
      <c r="W115" s="344">
        <v>0</v>
      </c>
      <c r="X115" s="1499"/>
      <c r="Y115" s="341">
        <f t="shared" si="21"/>
        <v>648000</v>
      </c>
      <c r="Z115" s="342">
        <f t="shared" si="20"/>
        <v>648000</v>
      </c>
      <c r="AA115" s="1500"/>
    </row>
    <row r="116" spans="1:35" ht="12.75" customHeight="1">
      <c r="A116" s="326">
        <f t="shared" si="17"/>
        <v>11</v>
      </c>
      <c r="B116" s="3386"/>
      <c r="C116" s="179">
        <v>307149089020</v>
      </c>
      <c r="D116" s="386" t="s">
        <v>4840</v>
      </c>
      <c r="E116" s="47" t="s">
        <v>4872</v>
      </c>
      <c r="F116" s="126" t="s">
        <v>2795</v>
      </c>
      <c r="G116" s="167"/>
      <c r="H116" s="167"/>
      <c r="I116" s="3380"/>
      <c r="J116" s="692" t="s">
        <v>4922</v>
      </c>
      <c r="K116" s="170" t="s">
        <v>4833</v>
      </c>
      <c r="L116" s="1533" t="s">
        <v>4854</v>
      </c>
      <c r="M116" s="1083" t="s">
        <v>2891</v>
      </c>
      <c r="N116" s="1485"/>
      <c r="O116" s="1485"/>
      <c r="P116" s="1485"/>
      <c r="Q116" s="1485"/>
      <c r="R116" s="1485"/>
      <c r="S116" s="1485"/>
      <c r="T116" s="1485"/>
      <c r="U116" s="1485"/>
      <c r="V116" s="340">
        <v>0</v>
      </c>
      <c r="W116" s="344">
        <v>0</v>
      </c>
      <c r="X116" s="1485"/>
      <c r="Y116" s="341">
        <f t="shared" si="21"/>
        <v>648000</v>
      </c>
      <c r="Z116" s="342">
        <f t="shared" si="20"/>
        <v>648000</v>
      </c>
      <c r="AA116" s="1485"/>
      <c r="AB116" s="1485"/>
      <c r="AC116" s="1485"/>
      <c r="AD116" s="1485"/>
      <c r="AE116" s="1485"/>
      <c r="AF116" s="1485"/>
      <c r="AG116" s="1485"/>
      <c r="AH116" s="1485"/>
      <c r="AI116" s="1485"/>
    </row>
    <row r="117" spans="1:35">
      <c r="A117" s="326">
        <f t="shared" si="17"/>
        <v>12</v>
      </c>
      <c r="B117" s="3386"/>
      <c r="C117" s="179">
        <v>307149093440</v>
      </c>
      <c r="D117" s="386" t="s">
        <v>4840</v>
      </c>
      <c r="E117" s="47" t="s">
        <v>4872</v>
      </c>
      <c r="F117" s="126" t="s">
        <v>2795</v>
      </c>
      <c r="G117" s="167"/>
      <c r="H117" s="167"/>
      <c r="I117" s="3380"/>
      <c r="J117" s="692" t="s">
        <v>4923</v>
      </c>
      <c r="K117" s="170" t="s">
        <v>4834</v>
      </c>
      <c r="L117" s="1533" t="s">
        <v>4855</v>
      </c>
      <c r="M117" s="1083" t="s">
        <v>2891</v>
      </c>
      <c r="N117" s="1485"/>
      <c r="O117" s="1485"/>
      <c r="P117" s="1485"/>
      <c r="Q117" s="1485"/>
      <c r="R117" s="1485"/>
      <c r="S117" s="1485"/>
      <c r="T117" s="1485"/>
      <c r="U117" s="1485"/>
      <c r="V117" s="340">
        <v>0</v>
      </c>
      <c r="W117" s="344">
        <v>0</v>
      </c>
      <c r="X117" s="1485"/>
      <c r="Y117" s="341">
        <f t="shared" si="21"/>
        <v>648000</v>
      </c>
      <c r="Z117" s="342">
        <f t="shared" si="20"/>
        <v>648000</v>
      </c>
      <c r="AA117" s="1485"/>
      <c r="AB117" s="1485"/>
      <c r="AC117" s="1485"/>
      <c r="AD117" s="1485"/>
      <c r="AE117" s="1485"/>
      <c r="AF117" s="1485"/>
      <c r="AG117" s="1485"/>
      <c r="AH117" s="1485"/>
      <c r="AI117" s="1485"/>
    </row>
    <row r="118" spans="1:35">
      <c r="A118" s="326">
        <f t="shared" si="17"/>
        <v>13</v>
      </c>
      <c r="B118" s="3387"/>
      <c r="C118" s="179">
        <v>307149096610</v>
      </c>
      <c r="D118" s="386" t="s">
        <v>4840</v>
      </c>
      <c r="E118" s="47" t="s">
        <v>4872</v>
      </c>
      <c r="F118" s="126" t="s">
        <v>2795</v>
      </c>
      <c r="G118" s="167"/>
      <c r="H118" s="167"/>
      <c r="I118" s="3381"/>
      <c r="J118" s="692" t="s">
        <v>4924</v>
      </c>
      <c r="K118" s="170" t="s">
        <v>4835</v>
      </c>
      <c r="L118" s="1533">
        <v>694</v>
      </c>
      <c r="M118" s="1083" t="s">
        <v>2891</v>
      </c>
      <c r="N118" s="1501"/>
      <c r="O118" s="1501"/>
      <c r="P118" s="1501"/>
      <c r="Q118" s="1501"/>
      <c r="R118" s="1501"/>
      <c r="S118" s="1501"/>
      <c r="T118" s="1501"/>
      <c r="U118" s="1501"/>
      <c r="V118" s="340">
        <v>0</v>
      </c>
      <c r="W118" s="344">
        <v>0</v>
      </c>
      <c r="X118" s="1501"/>
      <c r="Y118" s="341">
        <f t="shared" si="21"/>
        <v>648000</v>
      </c>
      <c r="Z118" s="342">
        <f t="shared" si="20"/>
        <v>648000</v>
      </c>
      <c r="AA118" s="1501"/>
      <c r="AB118" s="1501"/>
      <c r="AC118" s="1501"/>
      <c r="AD118" s="1501"/>
      <c r="AE118" s="1501"/>
      <c r="AF118" s="1501"/>
      <c r="AG118" s="1501"/>
    </row>
    <row r="119" spans="1:35">
      <c r="A119" s="326">
        <f t="shared" si="17"/>
        <v>14</v>
      </c>
      <c r="B119" s="713" t="s">
        <v>4820</v>
      </c>
      <c r="C119" s="1229">
        <v>307149114220</v>
      </c>
      <c r="D119" s="386" t="s">
        <v>4885</v>
      </c>
      <c r="E119" s="47" t="s">
        <v>4872</v>
      </c>
      <c r="F119" s="126" t="s">
        <v>2795</v>
      </c>
      <c r="G119" s="167"/>
      <c r="H119" s="167"/>
      <c r="I119" s="154" t="s">
        <v>4755</v>
      </c>
      <c r="J119" s="692" t="s">
        <v>4886</v>
      </c>
      <c r="K119" s="170" t="s">
        <v>4836</v>
      </c>
      <c r="L119" s="577">
        <v>43</v>
      </c>
      <c r="M119" s="1083" t="s">
        <v>2891</v>
      </c>
      <c r="N119" s="780"/>
      <c r="O119" s="781"/>
      <c r="P119" s="425"/>
      <c r="Q119" s="425"/>
      <c r="R119" s="425"/>
      <c r="S119" s="425"/>
      <c r="T119" s="426"/>
      <c r="U119" s="425"/>
      <c r="V119" s="340">
        <v>0</v>
      </c>
      <c r="W119" s="344">
        <v>0</v>
      </c>
      <c r="X119" s="398"/>
      <c r="Y119" s="341">
        <f t="shared" si="21"/>
        <v>648000</v>
      </c>
      <c r="Z119" s="342">
        <f t="shared" si="20"/>
        <v>648000</v>
      </c>
      <c r="AA119" s="782"/>
    </row>
    <row r="120" spans="1:35">
      <c r="A120" s="1515">
        <f t="shared" si="17"/>
        <v>15</v>
      </c>
      <c r="B120" s="656" t="s">
        <v>4826</v>
      </c>
      <c r="C120" s="1623">
        <v>307153408130</v>
      </c>
      <c r="D120" s="1624" t="s">
        <v>4840</v>
      </c>
      <c r="E120" s="1625" t="s">
        <v>4872</v>
      </c>
      <c r="F120" s="1626" t="s">
        <v>2795</v>
      </c>
      <c r="G120" s="167"/>
      <c r="H120" s="167"/>
      <c r="I120" s="127" t="s">
        <v>2796</v>
      </c>
      <c r="J120" s="651" t="s">
        <v>4920</v>
      </c>
      <c r="K120" s="1627" t="s">
        <v>4853</v>
      </c>
      <c r="L120" s="522">
        <v>456</v>
      </c>
      <c r="M120" s="1628" t="s">
        <v>2891</v>
      </c>
      <c r="N120" s="158"/>
      <c r="O120" s="150"/>
      <c r="P120" s="248"/>
      <c r="Q120" s="248"/>
      <c r="R120" s="248"/>
      <c r="S120" s="248"/>
      <c r="T120" s="247"/>
      <c r="U120" s="248"/>
      <c r="V120" s="340">
        <v>0</v>
      </c>
      <c r="W120" s="344">
        <v>0</v>
      </c>
      <c r="X120" s="249"/>
      <c r="Y120" s="341">
        <f t="shared" si="21"/>
        <v>648000</v>
      </c>
      <c r="Z120" s="342">
        <f t="shared" si="20"/>
        <v>648000</v>
      </c>
      <c r="AA120" s="252"/>
    </row>
    <row r="121" spans="1:35">
      <c r="A121" s="3347" t="s">
        <v>5136</v>
      </c>
      <c r="B121" s="3347"/>
      <c r="C121" s="3347"/>
      <c r="D121" s="3347"/>
      <c r="E121" s="3347"/>
      <c r="F121" s="3347"/>
      <c r="G121" s="3347"/>
      <c r="H121" s="3347"/>
      <c r="I121" s="3347"/>
      <c r="J121" s="3347"/>
      <c r="K121" s="3347"/>
      <c r="L121" s="3347"/>
      <c r="M121" s="3347"/>
      <c r="N121" s="1039"/>
      <c r="O121" s="1040"/>
      <c r="P121" s="1041"/>
      <c r="Q121" s="1041"/>
      <c r="R121" s="425"/>
      <c r="S121" s="425"/>
      <c r="T121" s="426"/>
      <c r="U121" s="425"/>
      <c r="V121" s="1041"/>
      <c r="W121" s="1042"/>
      <c r="X121" s="1043"/>
      <c r="Y121" s="1044">
        <f>SUM(Y106:Y120)</f>
        <v>9720000</v>
      </c>
      <c r="Z121" s="1044">
        <f>SUM(Z106:Z120)</f>
        <v>9720000</v>
      </c>
      <c r="AA121" s="252"/>
    </row>
    <row r="122" spans="1:35">
      <c r="A122" s="658">
        <v>1</v>
      </c>
      <c r="B122" s="857"/>
      <c r="C122" s="779">
        <v>307172272910</v>
      </c>
      <c r="D122" s="684" t="s">
        <v>4931</v>
      </c>
      <c r="E122" s="660" t="s">
        <v>5150</v>
      </c>
      <c r="F122" s="661" t="s">
        <v>2795</v>
      </c>
      <c r="G122" s="445"/>
      <c r="H122" s="445"/>
      <c r="I122" s="577" t="s">
        <v>2796</v>
      </c>
      <c r="J122" s="692" t="s">
        <v>4949</v>
      </c>
      <c r="K122" s="740" t="s">
        <v>4948</v>
      </c>
      <c r="L122" s="577">
        <v>912</v>
      </c>
      <c r="M122" s="685" t="s">
        <v>2891</v>
      </c>
      <c r="N122" s="158"/>
      <c r="O122" s="150"/>
      <c r="P122" s="248"/>
      <c r="Q122" s="248"/>
      <c r="R122" s="248"/>
      <c r="S122" s="248"/>
      <c r="T122" s="247"/>
      <c r="U122" s="248"/>
      <c r="V122" s="340">
        <v>0</v>
      </c>
      <c r="W122" s="344">
        <v>0</v>
      </c>
      <c r="X122" s="249"/>
      <c r="Y122" s="341">
        <f t="shared" si="21"/>
        <v>648000</v>
      </c>
      <c r="Z122" s="342">
        <f>+Y122+W122+V122</f>
        <v>648000</v>
      </c>
      <c r="AA122" s="252"/>
    </row>
    <row r="123" spans="1:35" ht="24" customHeight="1">
      <c r="A123" s="326">
        <f t="shared" si="17"/>
        <v>2</v>
      </c>
      <c r="B123" s="295"/>
      <c r="C123" s="179">
        <v>307186172110</v>
      </c>
      <c r="D123" s="386" t="s">
        <v>4936</v>
      </c>
      <c r="E123" s="660" t="s">
        <v>5150</v>
      </c>
      <c r="F123" s="126" t="s">
        <v>2795</v>
      </c>
      <c r="G123" s="167"/>
      <c r="H123" s="167"/>
      <c r="I123" s="154" t="s">
        <v>2796</v>
      </c>
      <c r="J123" s="1522" t="s">
        <v>4989</v>
      </c>
      <c r="K123" s="170" t="s">
        <v>4966</v>
      </c>
      <c r="L123" s="577">
        <v>649</v>
      </c>
      <c r="M123" s="1083" t="s">
        <v>2891</v>
      </c>
      <c r="N123" s="158"/>
      <c r="O123" s="150"/>
      <c r="P123" s="248"/>
      <c r="Q123" s="248"/>
      <c r="R123" s="248"/>
      <c r="S123" s="248"/>
      <c r="T123" s="247"/>
      <c r="U123" s="248"/>
      <c r="V123" s="340">
        <v>0</v>
      </c>
      <c r="W123" s="344">
        <v>0</v>
      </c>
      <c r="X123" s="249"/>
      <c r="Y123" s="341">
        <f t="shared" si="21"/>
        <v>648000</v>
      </c>
      <c r="Z123" s="342">
        <f t="shared" ref="Z123:Z135" si="22">+Y123+W123+V123</f>
        <v>648000</v>
      </c>
      <c r="AA123" s="252"/>
    </row>
    <row r="124" spans="1:35">
      <c r="A124" s="326">
        <f t="shared" si="17"/>
        <v>3</v>
      </c>
      <c r="B124" s="295"/>
      <c r="C124" s="179">
        <v>307186659050</v>
      </c>
      <c r="D124" s="386" t="s">
        <v>4936</v>
      </c>
      <c r="E124" s="660" t="s">
        <v>5150</v>
      </c>
      <c r="F124" s="126" t="s">
        <v>2795</v>
      </c>
      <c r="G124" s="167"/>
      <c r="H124" s="167"/>
      <c r="I124" s="154" t="s">
        <v>2794</v>
      </c>
      <c r="J124" s="692" t="s">
        <v>4979</v>
      </c>
      <c r="K124" s="170" t="s">
        <v>4967</v>
      </c>
      <c r="L124" s="577">
        <v>321</v>
      </c>
      <c r="M124" s="1083" t="s">
        <v>2891</v>
      </c>
      <c r="N124" s="158"/>
      <c r="O124" s="150"/>
      <c r="P124" s="248"/>
      <c r="Q124" s="248"/>
      <c r="R124" s="248"/>
      <c r="S124" s="248"/>
      <c r="T124" s="247"/>
      <c r="U124" s="248"/>
      <c r="V124" s="340">
        <v>0</v>
      </c>
      <c r="W124" s="344">
        <v>0</v>
      </c>
      <c r="X124" s="249"/>
      <c r="Y124" s="341">
        <f t="shared" si="21"/>
        <v>648000</v>
      </c>
      <c r="Z124" s="342">
        <f t="shared" si="22"/>
        <v>648000</v>
      </c>
      <c r="AA124" s="252"/>
    </row>
    <row r="125" spans="1:35">
      <c r="A125" s="326">
        <f t="shared" si="17"/>
        <v>4</v>
      </c>
      <c r="B125" s="295"/>
      <c r="C125" s="179">
        <v>307187644540</v>
      </c>
      <c r="D125" s="386" t="s">
        <v>4936</v>
      </c>
      <c r="E125" s="660" t="s">
        <v>5150</v>
      </c>
      <c r="F125" s="126" t="s">
        <v>2795</v>
      </c>
      <c r="G125" s="167"/>
      <c r="H125" s="167"/>
      <c r="I125" s="154" t="s">
        <v>4755</v>
      </c>
      <c r="J125" s="692" t="s">
        <v>4988</v>
      </c>
      <c r="K125" s="170" t="s">
        <v>4980</v>
      </c>
      <c r="L125" s="577">
        <v>15</v>
      </c>
      <c r="M125" s="1083" t="s">
        <v>2891</v>
      </c>
      <c r="N125" s="158"/>
      <c r="O125" s="150"/>
      <c r="P125" s="248"/>
      <c r="Q125" s="248"/>
      <c r="R125" s="248"/>
      <c r="S125" s="248"/>
      <c r="T125" s="247"/>
      <c r="U125" s="248"/>
      <c r="V125" s="340">
        <v>0</v>
      </c>
      <c r="W125" s="344">
        <v>0</v>
      </c>
      <c r="X125" s="249"/>
      <c r="Y125" s="341">
        <f t="shared" si="21"/>
        <v>648000</v>
      </c>
      <c r="Z125" s="342">
        <f t="shared" si="22"/>
        <v>648000</v>
      </c>
      <c r="AA125" s="252"/>
    </row>
    <row r="126" spans="1:35">
      <c r="A126" s="326">
        <f t="shared" si="17"/>
        <v>5</v>
      </c>
      <c r="B126" s="295"/>
      <c r="C126" s="179">
        <v>307196235860</v>
      </c>
      <c r="D126" s="386" t="s">
        <v>4944</v>
      </c>
      <c r="E126" s="660" t="s">
        <v>5150</v>
      </c>
      <c r="F126" s="126" t="s">
        <v>2795</v>
      </c>
      <c r="G126" s="167"/>
      <c r="H126" s="167"/>
      <c r="I126" s="154" t="s">
        <v>4755</v>
      </c>
      <c r="J126" s="692" t="s">
        <v>5018</v>
      </c>
      <c r="K126" s="170" t="s">
        <v>5010</v>
      </c>
      <c r="L126" s="577">
        <v>1687</v>
      </c>
      <c r="M126" s="1083" t="s">
        <v>2891</v>
      </c>
      <c r="N126" s="158"/>
      <c r="O126" s="150"/>
      <c r="P126" s="248"/>
      <c r="Q126" s="248"/>
      <c r="R126" s="248"/>
      <c r="S126" s="248"/>
      <c r="T126" s="247"/>
      <c r="U126" s="248"/>
      <c r="V126" s="340">
        <v>0</v>
      </c>
      <c r="W126" s="344">
        <v>0</v>
      </c>
      <c r="X126" s="249"/>
      <c r="Y126" s="341">
        <f t="shared" si="21"/>
        <v>648000</v>
      </c>
      <c r="Z126" s="342">
        <f t="shared" si="22"/>
        <v>648000</v>
      </c>
      <c r="AA126" s="252"/>
    </row>
    <row r="127" spans="1:35">
      <c r="A127" s="326">
        <f t="shared" si="17"/>
        <v>6</v>
      </c>
      <c r="B127" s="295"/>
      <c r="C127" s="179">
        <v>307205461900</v>
      </c>
      <c r="D127" s="386" t="s">
        <v>5037</v>
      </c>
      <c r="E127" s="660" t="s">
        <v>5150</v>
      </c>
      <c r="F127" s="126" t="s">
        <v>2795</v>
      </c>
      <c r="G127" s="167"/>
      <c r="H127" s="167"/>
      <c r="I127" s="3379" t="s">
        <v>3383</v>
      </c>
      <c r="J127" s="692" t="s">
        <v>5071</v>
      </c>
      <c r="K127" s="170" t="s">
        <v>5028</v>
      </c>
      <c r="L127" s="577">
        <v>221</v>
      </c>
      <c r="M127" s="1083" t="s">
        <v>2891</v>
      </c>
      <c r="N127" s="158"/>
      <c r="O127" s="150"/>
      <c r="P127" s="248"/>
      <c r="Q127" s="248"/>
      <c r="R127" s="248"/>
      <c r="S127" s="248"/>
      <c r="T127" s="247"/>
      <c r="U127" s="248"/>
      <c r="V127" s="340">
        <v>0</v>
      </c>
      <c r="W127" s="344">
        <v>0</v>
      </c>
      <c r="X127" s="249"/>
      <c r="Y127" s="341">
        <f t="shared" si="21"/>
        <v>648000</v>
      </c>
      <c r="Z127" s="342">
        <f t="shared" si="22"/>
        <v>648000</v>
      </c>
      <c r="AA127" s="252"/>
    </row>
    <row r="128" spans="1:35">
      <c r="A128" s="326">
        <f t="shared" si="17"/>
        <v>7</v>
      </c>
      <c r="B128" s="295"/>
      <c r="C128" s="179">
        <v>307205510050</v>
      </c>
      <c r="D128" s="386" t="s">
        <v>5037</v>
      </c>
      <c r="E128" s="660" t="s">
        <v>5150</v>
      </c>
      <c r="F128" s="126" t="s">
        <v>2795</v>
      </c>
      <c r="G128" s="167"/>
      <c r="H128" s="167"/>
      <c r="I128" s="3380"/>
      <c r="J128" s="692" t="s">
        <v>5072</v>
      </c>
      <c r="K128" s="170" t="s">
        <v>5029</v>
      </c>
      <c r="L128" s="577">
        <v>134</v>
      </c>
      <c r="M128" s="1083" t="s">
        <v>2891</v>
      </c>
      <c r="N128" s="158"/>
      <c r="O128" s="150"/>
      <c r="P128" s="248"/>
      <c r="Q128" s="248"/>
      <c r="R128" s="248"/>
      <c r="S128" s="248"/>
      <c r="T128" s="247"/>
      <c r="U128" s="248"/>
      <c r="V128" s="340">
        <v>0</v>
      </c>
      <c r="W128" s="344">
        <v>0</v>
      </c>
      <c r="X128" s="249"/>
      <c r="Y128" s="341">
        <f t="shared" si="21"/>
        <v>648000</v>
      </c>
      <c r="Z128" s="342">
        <f t="shared" si="22"/>
        <v>648000</v>
      </c>
      <c r="AA128" s="252"/>
    </row>
    <row r="129" spans="1:27">
      <c r="A129" s="326">
        <f t="shared" si="17"/>
        <v>8</v>
      </c>
      <c r="B129" s="295"/>
      <c r="C129" s="179">
        <v>307205531530</v>
      </c>
      <c r="D129" s="386" t="s">
        <v>5037</v>
      </c>
      <c r="E129" s="660" t="s">
        <v>5150</v>
      </c>
      <c r="F129" s="126" t="s">
        <v>2795</v>
      </c>
      <c r="G129" s="167"/>
      <c r="H129" s="167"/>
      <c r="I129" s="3380"/>
      <c r="J129" s="692" t="s">
        <v>5073</v>
      </c>
      <c r="K129" s="170" t="s">
        <v>5030</v>
      </c>
      <c r="L129" s="577">
        <v>1039</v>
      </c>
      <c r="M129" s="1083" t="s">
        <v>2891</v>
      </c>
      <c r="N129" s="158"/>
      <c r="O129" s="150"/>
      <c r="P129" s="248"/>
      <c r="Q129" s="248"/>
      <c r="R129" s="248"/>
      <c r="S129" s="248"/>
      <c r="T129" s="247"/>
      <c r="U129" s="248"/>
      <c r="V129" s="340">
        <v>0</v>
      </c>
      <c r="W129" s="344">
        <v>0</v>
      </c>
      <c r="X129" s="249"/>
      <c r="Y129" s="341">
        <f t="shared" si="21"/>
        <v>648000</v>
      </c>
      <c r="Z129" s="342">
        <f t="shared" si="22"/>
        <v>648000</v>
      </c>
      <c r="AA129" s="252"/>
    </row>
    <row r="130" spans="1:27">
      <c r="A130" s="326">
        <f t="shared" si="17"/>
        <v>9</v>
      </c>
      <c r="B130" s="295"/>
      <c r="C130" s="179">
        <v>307205549620</v>
      </c>
      <c r="D130" s="386" t="s">
        <v>5037</v>
      </c>
      <c r="E130" s="660" t="s">
        <v>5150</v>
      </c>
      <c r="F130" s="126" t="s">
        <v>2795</v>
      </c>
      <c r="G130" s="167"/>
      <c r="H130" s="167"/>
      <c r="I130" s="3381"/>
      <c r="J130" s="692" t="s">
        <v>5074</v>
      </c>
      <c r="K130" s="170" t="s">
        <v>5031</v>
      </c>
      <c r="L130" s="577">
        <v>867</v>
      </c>
      <c r="M130" s="1083" t="s">
        <v>2891</v>
      </c>
      <c r="N130" s="158"/>
      <c r="O130" s="150"/>
      <c r="P130" s="248"/>
      <c r="Q130" s="248"/>
      <c r="R130" s="248"/>
      <c r="S130" s="248"/>
      <c r="T130" s="247"/>
      <c r="U130" s="248"/>
      <c r="V130" s="340">
        <v>0</v>
      </c>
      <c r="W130" s="344">
        <v>0</v>
      </c>
      <c r="X130" s="249"/>
      <c r="Y130" s="341">
        <f t="shared" si="21"/>
        <v>648000</v>
      </c>
      <c r="Z130" s="342">
        <f t="shared" si="22"/>
        <v>648000</v>
      </c>
      <c r="AA130" s="252"/>
    </row>
    <row r="131" spans="1:27">
      <c r="A131" s="326">
        <f t="shared" si="17"/>
        <v>10</v>
      </c>
      <c r="B131" s="295"/>
      <c r="C131" s="179">
        <v>307207811100</v>
      </c>
      <c r="D131" s="386" t="s">
        <v>4952</v>
      </c>
      <c r="E131" s="660" t="s">
        <v>5150</v>
      </c>
      <c r="F131" s="126" t="s">
        <v>2795</v>
      </c>
      <c r="G131" s="167"/>
      <c r="H131" s="167"/>
      <c r="I131" s="154" t="s">
        <v>2796</v>
      </c>
      <c r="J131" s="692" t="s">
        <v>5059</v>
      </c>
      <c r="K131" s="170" t="s">
        <v>5043</v>
      </c>
      <c r="L131" s="577">
        <v>1349</v>
      </c>
      <c r="M131" s="1083" t="s">
        <v>2891</v>
      </c>
      <c r="N131" s="158"/>
      <c r="O131" s="150"/>
      <c r="P131" s="248"/>
      <c r="Q131" s="248"/>
      <c r="R131" s="248"/>
      <c r="S131" s="248"/>
      <c r="T131" s="247"/>
      <c r="U131" s="248"/>
      <c r="V131" s="340">
        <v>0</v>
      </c>
      <c r="W131" s="344">
        <v>0</v>
      </c>
      <c r="X131" s="249"/>
      <c r="Y131" s="341">
        <f t="shared" si="21"/>
        <v>648000</v>
      </c>
      <c r="Z131" s="342">
        <f t="shared" si="22"/>
        <v>648000</v>
      </c>
      <c r="AA131" s="252"/>
    </row>
    <row r="132" spans="1:27">
      <c r="A132" s="326">
        <f t="shared" si="17"/>
        <v>11</v>
      </c>
      <c r="B132" s="295"/>
      <c r="C132" s="179">
        <v>307210291640</v>
      </c>
      <c r="D132" s="386" t="s">
        <v>4952</v>
      </c>
      <c r="E132" s="660" t="s">
        <v>5150</v>
      </c>
      <c r="F132" s="126" t="s">
        <v>2795</v>
      </c>
      <c r="G132" s="167"/>
      <c r="H132" s="167"/>
      <c r="I132" s="154" t="s">
        <v>2794</v>
      </c>
      <c r="J132" s="692" t="s">
        <v>5060</v>
      </c>
      <c r="K132" s="170" t="s">
        <v>5058</v>
      </c>
      <c r="L132" s="577">
        <v>382</v>
      </c>
      <c r="M132" s="1083" t="s">
        <v>2891</v>
      </c>
      <c r="N132" s="158"/>
      <c r="O132" s="150"/>
      <c r="P132" s="248"/>
      <c r="Q132" s="248"/>
      <c r="R132" s="248"/>
      <c r="S132" s="248"/>
      <c r="T132" s="247"/>
      <c r="U132" s="248"/>
      <c r="V132" s="340">
        <v>0</v>
      </c>
      <c r="W132" s="344">
        <v>0</v>
      </c>
      <c r="X132" s="249"/>
      <c r="Y132" s="341">
        <f t="shared" si="21"/>
        <v>648000</v>
      </c>
      <c r="Z132" s="342">
        <f t="shared" si="22"/>
        <v>648000</v>
      </c>
      <c r="AA132" s="252"/>
    </row>
    <row r="133" spans="1:27">
      <c r="A133" s="326">
        <f t="shared" si="17"/>
        <v>12</v>
      </c>
      <c r="B133" s="295"/>
      <c r="C133" s="179">
        <v>307222745710</v>
      </c>
      <c r="D133" s="386" t="s">
        <v>5094</v>
      </c>
      <c r="E133" s="660" t="s">
        <v>5150</v>
      </c>
      <c r="F133" s="126" t="s">
        <v>2795</v>
      </c>
      <c r="G133" s="167"/>
      <c r="H133" s="167"/>
      <c r="I133" s="3379" t="s">
        <v>3383</v>
      </c>
      <c r="J133" s="692" t="s">
        <v>5120</v>
      </c>
      <c r="K133" s="170" t="s">
        <v>5099</v>
      </c>
      <c r="L133" s="577">
        <v>409</v>
      </c>
      <c r="M133" s="1083" t="s">
        <v>2891</v>
      </c>
      <c r="N133" s="158"/>
      <c r="O133" s="150"/>
      <c r="P133" s="248"/>
      <c r="Q133" s="248"/>
      <c r="R133" s="248"/>
      <c r="S133" s="248"/>
      <c r="T133" s="247"/>
      <c r="U133" s="248"/>
      <c r="V133" s="340">
        <v>0</v>
      </c>
      <c r="W133" s="344">
        <v>0</v>
      </c>
      <c r="X133" s="249"/>
      <c r="Y133" s="341">
        <f t="shared" si="21"/>
        <v>648000</v>
      </c>
      <c r="Z133" s="342">
        <f t="shared" si="22"/>
        <v>648000</v>
      </c>
      <c r="AA133" s="252"/>
    </row>
    <row r="134" spans="1:27">
      <c r="A134" s="326">
        <f t="shared" si="17"/>
        <v>13</v>
      </c>
      <c r="B134" s="295"/>
      <c r="C134" s="179">
        <v>307222773710</v>
      </c>
      <c r="D134" s="386" t="s">
        <v>5094</v>
      </c>
      <c r="E134" s="660" t="s">
        <v>5150</v>
      </c>
      <c r="F134" s="126" t="s">
        <v>2795</v>
      </c>
      <c r="G134" s="167"/>
      <c r="H134" s="167"/>
      <c r="I134" s="3380"/>
      <c r="J134" s="692" t="s">
        <v>5121</v>
      </c>
      <c r="K134" s="170" t="s">
        <v>5100</v>
      </c>
      <c r="L134" s="577">
        <v>997</v>
      </c>
      <c r="M134" s="1083" t="s">
        <v>2891</v>
      </c>
      <c r="N134" s="158"/>
      <c r="O134" s="150"/>
      <c r="P134" s="248"/>
      <c r="Q134" s="248"/>
      <c r="R134" s="248"/>
      <c r="S134" s="248"/>
      <c r="T134" s="247"/>
      <c r="U134" s="248"/>
      <c r="V134" s="340">
        <v>0</v>
      </c>
      <c r="W134" s="344">
        <v>0</v>
      </c>
      <c r="X134" s="249"/>
      <c r="Y134" s="341">
        <f t="shared" si="21"/>
        <v>648000</v>
      </c>
      <c r="Z134" s="342">
        <f t="shared" si="22"/>
        <v>648000</v>
      </c>
      <c r="AA134" s="252"/>
    </row>
    <row r="135" spans="1:27">
      <c r="A135" s="326">
        <f t="shared" si="17"/>
        <v>14</v>
      </c>
      <c r="B135" s="295"/>
      <c r="C135" s="179">
        <v>307222805650</v>
      </c>
      <c r="D135" s="386" t="s">
        <v>5094</v>
      </c>
      <c r="E135" s="660" t="s">
        <v>5150</v>
      </c>
      <c r="F135" s="126" t="s">
        <v>2795</v>
      </c>
      <c r="G135" s="167"/>
      <c r="H135" s="167"/>
      <c r="I135" s="3380"/>
      <c r="J135" s="692" t="s">
        <v>5122</v>
      </c>
      <c r="K135" s="170" t="s">
        <v>5101</v>
      </c>
      <c r="L135" s="577">
        <v>921</v>
      </c>
      <c r="M135" s="1083" t="s">
        <v>2891</v>
      </c>
      <c r="N135" s="158"/>
      <c r="O135" s="150"/>
      <c r="P135" s="248"/>
      <c r="Q135" s="248"/>
      <c r="R135" s="248"/>
      <c r="S135" s="248"/>
      <c r="T135" s="247"/>
      <c r="U135" s="248"/>
      <c r="V135" s="340">
        <v>0</v>
      </c>
      <c r="W135" s="344">
        <v>0</v>
      </c>
      <c r="X135" s="249"/>
      <c r="Y135" s="341">
        <f t="shared" si="21"/>
        <v>648000</v>
      </c>
      <c r="Z135" s="342">
        <f t="shared" si="22"/>
        <v>648000</v>
      </c>
      <c r="AA135" s="252"/>
    </row>
    <row r="136" spans="1:27">
      <c r="A136" s="3347" t="s">
        <v>5172</v>
      </c>
      <c r="B136" s="3347"/>
      <c r="C136" s="3347"/>
      <c r="D136" s="3347"/>
      <c r="E136" s="3347"/>
      <c r="F136" s="3347"/>
      <c r="G136" s="3347"/>
      <c r="H136" s="3347"/>
      <c r="I136" s="3347"/>
      <c r="J136" s="3347"/>
      <c r="K136" s="3347"/>
      <c r="L136" s="3347"/>
      <c r="M136" s="3347"/>
      <c r="N136" s="1039"/>
      <c r="O136" s="1040"/>
      <c r="P136" s="1041"/>
      <c r="Q136" s="1041"/>
      <c r="R136" s="425"/>
      <c r="S136" s="425"/>
      <c r="T136" s="426"/>
      <c r="U136" s="425"/>
      <c r="V136" s="1041"/>
      <c r="W136" s="1042"/>
      <c r="X136" s="1043"/>
      <c r="Y136" s="1044">
        <f>SUM(Y122:Y135)</f>
        <v>9072000</v>
      </c>
      <c r="Z136" s="1044">
        <f>SUM(Z122:Z135)</f>
        <v>9072000</v>
      </c>
      <c r="AA136" s="252"/>
    </row>
    <row r="137" spans="1:27">
      <c r="A137" s="326">
        <v>1</v>
      </c>
      <c r="B137" s="295"/>
      <c r="C137" s="179">
        <v>307238205060</v>
      </c>
      <c r="D137" s="386" t="s">
        <v>5157</v>
      </c>
      <c r="E137" s="47" t="s">
        <v>5440</v>
      </c>
      <c r="F137" s="126" t="s">
        <v>2795</v>
      </c>
      <c r="G137" s="167"/>
      <c r="H137" s="167"/>
      <c r="I137" s="154" t="s">
        <v>2796</v>
      </c>
      <c r="J137" s="692" t="s">
        <v>5171</v>
      </c>
      <c r="K137" s="170" t="s">
        <v>5156</v>
      </c>
      <c r="L137" s="577">
        <v>3014</v>
      </c>
      <c r="M137" s="1083" t="s">
        <v>2891</v>
      </c>
      <c r="N137" s="158"/>
      <c r="O137" s="150"/>
      <c r="P137" s="248"/>
      <c r="Q137" s="248"/>
      <c r="R137" s="248"/>
      <c r="S137" s="248"/>
      <c r="T137" s="247"/>
      <c r="U137" s="248"/>
      <c r="V137" s="340">
        <v>0</v>
      </c>
      <c r="W137" s="344">
        <v>0</v>
      </c>
      <c r="X137" s="249"/>
      <c r="Y137" s="341">
        <f t="shared" si="21"/>
        <v>648000</v>
      </c>
      <c r="Z137" s="342">
        <f>+Y137+W137+V137</f>
        <v>648000</v>
      </c>
      <c r="AA137" s="252"/>
    </row>
    <row r="138" spans="1:27">
      <c r="A138" s="326">
        <f t="shared" si="17"/>
        <v>2</v>
      </c>
      <c r="B138" s="295"/>
      <c r="C138" s="179">
        <v>307267454600</v>
      </c>
      <c r="D138" s="386" t="s">
        <v>5212</v>
      </c>
      <c r="E138" s="47" t="s">
        <v>5440</v>
      </c>
      <c r="F138" s="126" t="s">
        <v>2795</v>
      </c>
      <c r="G138" s="167"/>
      <c r="H138" s="167"/>
      <c r="I138" s="154" t="s">
        <v>2796</v>
      </c>
      <c r="J138" s="692" t="s">
        <v>5267</v>
      </c>
      <c r="K138" s="170" t="s">
        <v>5248</v>
      </c>
      <c r="L138" s="968">
        <v>975</v>
      </c>
      <c r="M138" s="1083" t="s">
        <v>2891</v>
      </c>
      <c r="N138" s="158"/>
      <c r="O138" s="150"/>
      <c r="P138" s="248"/>
      <c r="Q138" s="248"/>
      <c r="R138" s="248"/>
      <c r="S138" s="248"/>
      <c r="T138" s="247"/>
      <c r="U138" s="248"/>
      <c r="V138" s="340">
        <v>0</v>
      </c>
      <c r="W138" s="344">
        <v>0</v>
      </c>
      <c r="X138" s="249"/>
      <c r="Y138" s="341">
        <f t="shared" si="21"/>
        <v>648000</v>
      </c>
      <c r="Z138" s="342">
        <f t="shared" ref="Z138:Z149" si="23">+Y138+W138+V138</f>
        <v>648000</v>
      </c>
      <c r="AA138" s="252"/>
    </row>
    <row r="139" spans="1:27">
      <c r="A139" s="326">
        <f t="shared" si="17"/>
        <v>3</v>
      </c>
      <c r="B139" s="295"/>
      <c r="C139" s="179">
        <v>307268997620</v>
      </c>
      <c r="D139" s="386" t="s">
        <v>5221</v>
      </c>
      <c r="E139" s="47" t="s">
        <v>5440</v>
      </c>
      <c r="F139" s="126" t="s">
        <v>2795</v>
      </c>
      <c r="G139" s="167"/>
      <c r="H139" s="167"/>
      <c r="I139" s="154" t="s">
        <v>4755</v>
      </c>
      <c r="J139" s="692" t="s">
        <v>5268</v>
      </c>
      <c r="K139" s="170" t="s">
        <v>5250</v>
      </c>
      <c r="L139" s="577">
        <v>13</v>
      </c>
      <c r="M139" s="1083" t="s">
        <v>2891</v>
      </c>
      <c r="N139" s="158"/>
      <c r="O139" s="150"/>
      <c r="P139" s="248"/>
      <c r="Q139" s="248"/>
      <c r="R139" s="248"/>
      <c r="S139" s="248"/>
      <c r="T139" s="247"/>
      <c r="U139" s="248"/>
      <c r="V139" s="340">
        <v>0</v>
      </c>
      <c r="W139" s="344">
        <v>0</v>
      </c>
      <c r="X139" s="249"/>
      <c r="Y139" s="341">
        <f t="shared" si="21"/>
        <v>648000</v>
      </c>
      <c r="Z139" s="342">
        <f t="shared" si="23"/>
        <v>648000</v>
      </c>
      <c r="AA139" s="252"/>
    </row>
    <row r="140" spans="1:27">
      <c r="A140" s="326">
        <f t="shared" ref="A140:A164" si="24">+A139+1</f>
        <v>4</v>
      </c>
      <c r="B140" s="295"/>
      <c r="C140" s="179">
        <v>307282966120</v>
      </c>
      <c r="D140" s="386" t="s">
        <v>5274</v>
      </c>
      <c r="E140" s="47" t="s">
        <v>5440</v>
      </c>
      <c r="F140" s="126" t="s">
        <v>2795</v>
      </c>
      <c r="G140" s="167"/>
      <c r="H140" s="167"/>
      <c r="I140" s="154" t="s">
        <v>2794</v>
      </c>
      <c r="J140" s="692" t="s">
        <v>5289</v>
      </c>
      <c r="K140" s="170" t="s">
        <v>5288</v>
      </c>
      <c r="L140" s="577">
        <v>415</v>
      </c>
      <c r="M140" s="1083" t="s">
        <v>2891</v>
      </c>
      <c r="N140" s="158"/>
      <c r="O140" s="150"/>
      <c r="P140" s="248"/>
      <c r="Q140" s="248"/>
      <c r="R140" s="248"/>
      <c r="S140" s="248"/>
      <c r="T140" s="247"/>
      <c r="U140" s="248"/>
      <c r="V140" s="340">
        <v>0</v>
      </c>
      <c r="W140" s="344">
        <v>0</v>
      </c>
      <c r="X140" s="249"/>
      <c r="Y140" s="341">
        <f t="shared" si="21"/>
        <v>648000</v>
      </c>
      <c r="Z140" s="342">
        <f t="shared" si="23"/>
        <v>648000</v>
      </c>
      <c r="AA140" s="252"/>
    </row>
    <row r="141" spans="1:27">
      <c r="A141" s="326">
        <f t="shared" si="24"/>
        <v>5</v>
      </c>
      <c r="B141" s="295"/>
      <c r="C141" s="179">
        <v>307293278040</v>
      </c>
      <c r="D141" s="386" t="s">
        <v>5351</v>
      </c>
      <c r="E141" s="47" t="s">
        <v>5440</v>
      </c>
      <c r="F141" s="126" t="s">
        <v>2795</v>
      </c>
      <c r="G141" s="167"/>
      <c r="H141" s="167"/>
      <c r="I141" s="3379" t="s">
        <v>3383</v>
      </c>
      <c r="J141" s="692" t="s">
        <v>5367</v>
      </c>
      <c r="K141" s="170" t="s">
        <v>5317</v>
      </c>
      <c r="L141" s="577">
        <v>761</v>
      </c>
      <c r="M141" s="1083" t="s">
        <v>2891</v>
      </c>
      <c r="N141" s="158"/>
      <c r="O141" s="150"/>
      <c r="P141" s="248"/>
      <c r="Q141" s="248"/>
      <c r="R141" s="248"/>
      <c r="S141" s="248"/>
      <c r="T141" s="247"/>
      <c r="U141" s="248"/>
      <c r="V141" s="340">
        <v>0</v>
      </c>
      <c r="W141" s="344">
        <v>0</v>
      </c>
      <c r="X141" s="249"/>
      <c r="Y141" s="341">
        <f t="shared" si="21"/>
        <v>648000</v>
      </c>
      <c r="Z141" s="342">
        <f t="shared" si="23"/>
        <v>648000</v>
      </c>
      <c r="AA141" s="252"/>
    </row>
    <row r="142" spans="1:27">
      <c r="A142" s="326">
        <f t="shared" si="24"/>
        <v>6</v>
      </c>
      <c r="B142" s="295"/>
      <c r="C142" s="179">
        <v>307293317830</v>
      </c>
      <c r="D142" s="386" t="s">
        <v>5351</v>
      </c>
      <c r="E142" s="47" t="s">
        <v>5440</v>
      </c>
      <c r="F142" s="126" t="s">
        <v>2795</v>
      </c>
      <c r="G142" s="167"/>
      <c r="H142" s="167"/>
      <c r="I142" s="3380"/>
      <c r="J142" s="692" t="s">
        <v>5368</v>
      </c>
      <c r="K142" s="170" t="s">
        <v>5318</v>
      </c>
      <c r="L142" s="577">
        <v>157</v>
      </c>
      <c r="M142" s="1083" t="s">
        <v>2891</v>
      </c>
      <c r="N142" s="158"/>
      <c r="O142" s="150"/>
      <c r="P142" s="248"/>
      <c r="Q142" s="248"/>
      <c r="R142" s="248"/>
      <c r="S142" s="248"/>
      <c r="T142" s="247"/>
      <c r="U142" s="248"/>
      <c r="V142" s="340">
        <v>0</v>
      </c>
      <c r="W142" s="344">
        <v>0</v>
      </c>
      <c r="X142" s="249"/>
      <c r="Y142" s="341">
        <f t="shared" si="21"/>
        <v>648000</v>
      </c>
      <c r="Z142" s="342">
        <f t="shared" si="23"/>
        <v>648000</v>
      </c>
      <c r="AA142" s="252"/>
    </row>
    <row r="143" spans="1:27">
      <c r="A143" s="326">
        <f t="shared" si="24"/>
        <v>7</v>
      </c>
      <c r="B143" s="295"/>
      <c r="C143" s="179">
        <v>307293342550</v>
      </c>
      <c r="D143" s="386" t="s">
        <v>5351</v>
      </c>
      <c r="E143" s="47" t="s">
        <v>5440</v>
      </c>
      <c r="F143" s="126" t="s">
        <v>2795</v>
      </c>
      <c r="G143" s="167"/>
      <c r="H143" s="167"/>
      <c r="I143" s="3380"/>
      <c r="J143" s="692" t="s">
        <v>5369</v>
      </c>
      <c r="K143" s="170" t="s">
        <v>5319</v>
      </c>
      <c r="L143" s="577">
        <v>692</v>
      </c>
      <c r="M143" s="1083" t="s">
        <v>2891</v>
      </c>
      <c r="N143" s="158"/>
      <c r="O143" s="150"/>
      <c r="P143" s="248"/>
      <c r="Q143" s="248"/>
      <c r="R143" s="248"/>
      <c r="S143" s="248"/>
      <c r="T143" s="247"/>
      <c r="U143" s="248"/>
      <c r="V143" s="340">
        <v>0</v>
      </c>
      <c r="W143" s="344">
        <v>0</v>
      </c>
      <c r="X143" s="249"/>
      <c r="Y143" s="341">
        <f t="shared" si="21"/>
        <v>648000</v>
      </c>
      <c r="Z143" s="342">
        <f t="shared" si="23"/>
        <v>648000</v>
      </c>
      <c r="AA143" s="252"/>
    </row>
    <row r="144" spans="1:27">
      <c r="A144" s="326">
        <f t="shared" si="24"/>
        <v>8</v>
      </c>
      <c r="B144" s="295"/>
      <c r="C144" s="179">
        <v>307293365800</v>
      </c>
      <c r="D144" s="386" t="s">
        <v>5351</v>
      </c>
      <c r="E144" s="47" t="s">
        <v>5440</v>
      </c>
      <c r="F144" s="126" t="s">
        <v>2795</v>
      </c>
      <c r="G144" s="167"/>
      <c r="H144" s="167"/>
      <c r="I144" s="3382"/>
      <c r="J144" s="692" t="s">
        <v>5370</v>
      </c>
      <c r="K144" s="170" t="s">
        <v>5320</v>
      </c>
      <c r="L144" s="577">
        <v>735</v>
      </c>
      <c r="M144" s="1083" t="s">
        <v>2891</v>
      </c>
      <c r="N144" s="158"/>
      <c r="O144" s="150"/>
      <c r="P144" s="248"/>
      <c r="Q144" s="248"/>
      <c r="R144" s="248"/>
      <c r="S144" s="248"/>
      <c r="T144" s="247"/>
      <c r="U144" s="248"/>
      <c r="V144" s="340">
        <v>0</v>
      </c>
      <c r="W144" s="344">
        <v>0</v>
      </c>
      <c r="X144" s="249"/>
      <c r="Y144" s="341">
        <f t="shared" si="21"/>
        <v>648000</v>
      </c>
      <c r="Z144" s="342">
        <f t="shared" si="23"/>
        <v>648000</v>
      </c>
      <c r="AA144" s="252"/>
    </row>
    <row r="145" spans="1:27">
      <c r="A145" s="326">
        <f t="shared" si="24"/>
        <v>9</v>
      </c>
      <c r="B145" s="295"/>
      <c r="C145" s="179">
        <v>307300702020</v>
      </c>
      <c r="D145" s="386" t="s">
        <v>5351</v>
      </c>
      <c r="E145" s="47" t="s">
        <v>5440</v>
      </c>
      <c r="F145" s="126" t="s">
        <v>2795</v>
      </c>
      <c r="G145" s="167"/>
      <c r="H145" s="167"/>
      <c r="I145" s="154" t="s">
        <v>2796</v>
      </c>
      <c r="J145" s="692" t="s">
        <v>5372</v>
      </c>
      <c r="K145" s="170" t="s">
        <v>5360</v>
      </c>
      <c r="L145" s="1941" t="s">
        <v>5361</v>
      </c>
      <c r="M145" s="1083" t="s">
        <v>2891</v>
      </c>
      <c r="N145" s="158"/>
      <c r="O145" s="150"/>
      <c r="P145" s="248"/>
      <c r="Q145" s="248"/>
      <c r="R145" s="248"/>
      <c r="S145" s="248"/>
      <c r="T145" s="247"/>
      <c r="U145" s="248"/>
      <c r="V145" s="340">
        <v>0</v>
      </c>
      <c r="W145" s="344">
        <v>0</v>
      </c>
      <c r="X145" s="249"/>
      <c r="Y145" s="341">
        <f t="shared" si="21"/>
        <v>648000</v>
      </c>
      <c r="Z145" s="342">
        <f t="shared" si="23"/>
        <v>648000</v>
      </c>
      <c r="AA145" s="252"/>
    </row>
    <row r="146" spans="1:27">
      <c r="A146" s="326">
        <f t="shared" si="24"/>
        <v>10</v>
      </c>
      <c r="B146" s="295"/>
      <c r="C146" s="179">
        <v>307320337720</v>
      </c>
      <c r="D146" s="386" t="s">
        <v>5393</v>
      </c>
      <c r="E146" s="47" t="s">
        <v>5440</v>
      </c>
      <c r="F146" s="126" t="s">
        <v>2795</v>
      </c>
      <c r="G146" s="167"/>
      <c r="H146" s="167"/>
      <c r="I146" s="3379" t="s">
        <v>3383</v>
      </c>
      <c r="J146" s="692" t="s">
        <v>5445</v>
      </c>
      <c r="K146" s="170" t="s">
        <v>5408</v>
      </c>
      <c r="L146" s="1941" t="s">
        <v>5412</v>
      </c>
      <c r="M146" s="1083" t="s">
        <v>2891</v>
      </c>
      <c r="N146" s="158"/>
      <c r="O146" s="150"/>
      <c r="P146" s="248"/>
      <c r="Q146" s="248"/>
      <c r="R146" s="248"/>
      <c r="S146" s="248"/>
      <c r="T146" s="247"/>
      <c r="U146" s="248"/>
      <c r="V146" s="340">
        <v>0</v>
      </c>
      <c r="W146" s="344">
        <v>0</v>
      </c>
      <c r="X146" s="249"/>
      <c r="Y146" s="341">
        <f t="shared" si="21"/>
        <v>648000</v>
      </c>
      <c r="Z146" s="342">
        <f t="shared" si="23"/>
        <v>648000</v>
      </c>
      <c r="AA146" s="252"/>
    </row>
    <row r="147" spans="1:27">
      <c r="A147" s="326">
        <f t="shared" si="24"/>
        <v>11</v>
      </c>
      <c r="B147" s="295"/>
      <c r="C147" s="179">
        <v>307320357540</v>
      </c>
      <c r="D147" s="386" t="s">
        <v>5393</v>
      </c>
      <c r="E147" s="47" t="s">
        <v>5440</v>
      </c>
      <c r="F147" s="126" t="s">
        <v>2795</v>
      </c>
      <c r="G147" s="167"/>
      <c r="H147" s="167"/>
      <c r="I147" s="3380"/>
      <c r="J147" s="692" t="s">
        <v>5446</v>
      </c>
      <c r="K147" s="170" t="s">
        <v>5409</v>
      </c>
      <c r="L147" s="1941" t="s">
        <v>4854</v>
      </c>
      <c r="M147" s="1083" t="s">
        <v>2891</v>
      </c>
      <c r="N147" s="1944"/>
      <c r="O147" s="1944"/>
      <c r="P147" s="248"/>
      <c r="Q147" s="248"/>
      <c r="R147" s="248"/>
      <c r="S147" s="248"/>
      <c r="T147" s="247"/>
      <c r="U147" s="248"/>
      <c r="V147" s="340">
        <v>0</v>
      </c>
      <c r="W147" s="344">
        <v>0</v>
      </c>
      <c r="X147" s="249"/>
      <c r="Y147" s="341">
        <f t="shared" si="21"/>
        <v>648000</v>
      </c>
      <c r="Z147" s="342">
        <f t="shared" si="23"/>
        <v>648000</v>
      </c>
      <c r="AA147" s="252"/>
    </row>
    <row r="148" spans="1:27">
      <c r="A148" s="326">
        <f t="shared" si="24"/>
        <v>12</v>
      </c>
      <c r="B148" s="295"/>
      <c r="C148" s="179">
        <v>307320372130</v>
      </c>
      <c r="D148" s="386" t="s">
        <v>5393</v>
      </c>
      <c r="E148" s="47" t="s">
        <v>5440</v>
      </c>
      <c r="F148" s="126" t="s">
        <v>2795</v>
      </c>
      <c r="G148" s="167"/>
      <c r="H148" s="167"/>
      <c r="I148" s="3380"/>
      <c r="J148" s="692" t="s">
        <v>5447</v>
      </c>
      <c r="K148" s="170" t="s">
        <v>5410</v>
      </c>
      <c r="L148" s="1941" t="s">
        <v>5413</v>
      </c>
      <c r="M148" s="1083" t="s">
        <v>2891</v>
      </c>
      <c r="N148" s="1945"/>
      <c r="O148" s="1945"/>
      <c r="P148" s="248"/>
      <c r="Q148" s="248"/>
      <c r="R148" s="248"/>
      <c r="S148" s="248"/>
      <c r="T148" s="247"/>
      <c r="U148" s="248"/>
      <c r="V148" s="340">
        <v>0</v>
      </c>
      <c r="W148" s="344">
        <v>0</v>
      </c>
      <c r="X148" s="249"/>
      <c r="Y148" s="341">
        <f t="shared" si="21"/>
        <v>648000</v>
      </c>
      <c r="Z148" s="342">
        <f t="shared" si="23"/>
        <v>648000</v>
      </c>
      <c r="AA148" s="252"/>
    </row>
    <row r="149" spans="1:27">
      <c r="A149" s="326">
        <f t="shared" si="24"/>
        <v>13</v>
      </c>
      <c r="B149" s="295"/>
      <c r="C149" s="179">
        <v>307320392320</v>
      </c>
      <c r="D149" s="386" t="s">
        <v>5393</v>
      </c>
      <c r="E149" s="47" t="s">
        <v>5440</v>
      </c>
      <c r="F149" s="126" t="s">
        <v>2795</v>
      </c>
      <c r="G149" s="167"/>
      <c r="H149" s="167"/>
      <c r="I149" s="3382"/>
      <c r="J149" s="692" t="s">
        <v>2895</v>
      </c>
      <c r="K149" s="170" t="s">
        <v>5411</v>
      </c>
      <c r="L149" s="1941">
        <v>733</v>
      </c>
      <c r="M149" s="1083" t="s">
        <v>2891</v>
      </c>
      <c r="N149" s="780"/>
      <c r="O149" s="781"/>
      <c r="P149" s="248"/>
      <c r="Q149" s="248"/>
      <c r="R149" s="248"/>
      <c r="S149" s="248"/>
      <c r="T149" s="247"/>
      <c r="U149" s="248"/>
      <c r="V149" s="340">
        <v>0</v>
      </c>
      <c r="W149" s="344">
        <v>0</v>
      </c>
      <c r="X149" s="249"/>
      <c r="Y149" s="341">
        <f t="shared" si="21"/>
        <v>648000</v>
      </c>
      <c r="Z149" s="342">
        <f t="shared" si="23"/>
        <v>648000</v>
      </c>
      <c r="AA149" s="252"/>
    </row>
    <row r="150" spans="1:27">
      <c r="A150" s="3347" t="s">
        <v>5739</v>
      </c>
      <c r="B150" s="3347"/>
      <c r="C150" s="3347"/>
      <c r="D150" s="3347"/>
      <c r="E150" s="3347"/>
      <c r="F150" s="3347"/>
      <c r="G150" s="3347"/>
      <c r="H150" s="3347"/>
      <c r="I150" s="3347"/>
      <c r="J150" s="3347"/>
      <c r="K150" s="3347"/>
      <c r="L150" s="3347"/>
      <c r="M150" s="3347"/>
      <c r="N150" s="1039"/>
      <c r="O150" s="1040"/>
      <c r="P150" s="1041"/>
      <c r="Q150" s="1041"/>
      <c r="R150" s="425"/>
      <c r="S150" s="425"/>
      <c r="T150" s="426"/>
      <c r="U150" s="425"/>
      <c r="V150" s="1041"/>
      <c r="W150" s="1042"/>
      <c r="X150" s="1043"/>
      <c r="Y150" s="1044">
        <f>SUM(Y137:Y149)</f>
        <v>8424000</v>
      </c>
      <c r="Z150" s="1044">
        <f>SUM(Z137:Z149)</f>
        <v>8424000</v>
      </c>
      <c r="AA150" s="252"/>
    </row>
    <row r="151" spans="1:27">
      <c r="A151" s="1503">
        <v>1</v>
      </c>
      <c r="B151" s="1911"/>
      <c r="C151" s="179">
        <v>307328604020</v>
      </c>
      <c r="D151" s="2016" t="s">
        <v>5501</v>
      </c>
      <c r="E151" s="47" t="s">
        <v>5725</v>
      </c>
      <c r="F151" s="126" t="s">
        <v>2795</v>
      </c>
      <c r="G151" s="1642"/>
      <c r="H151" s="1642"/>
      <c r="I151" s="154" t="s">
        <v>2796</v>
      </c>
      <c r="J151" s="1913" t="s">
        <v>2892</v>
      </c>
      <c r="K151" s="170" t="s">
        <v>5470</v>
      </c>
      <c r="L151" s="1492">
        <v>347</v>
      </c>
      <c r="M151" s="1083" t="s">
        <v>2891</v>
      </c>
      <c r="N151" s="1910"/>
      <c r="O151" s="150"/>
      <c r="P151" s="248"/>
      <c r="Q151" s="248"/>
      <c r="R151" s="248"/>
      <c r="S151" s="248"/>
      <c r="T151" s="247"/>
      <c r="U151" s="248"/>
      <c r="V151" s="340">
        <v>0</v>
      </c>
      <c r="W151" s="344">
        <v>0</v>
      </c>
      <c r="X151" s="249"/>
      <c r="Y151" s="341">
        <f t="shared" si="21"/>
        <v>648000</v>
      </c>
      <c r="Z151" s="342">
        <f>+Y151/1.08</f>
        <v>600000</v>
      </c>
      <c r="AA151" s="252"/>
    </row>
    <row r="152" spans="1:27">
      <c r="A152" s="326">
        <f t="shared" si="24"/>
        <v>2</v>
      </c>
      <c r="B152" s="1549"/>
      <c r="C152" s="179">
        <v>307337421110</v>
      </c>
      <c r="D152" s="2016" t="s">
        <v>5460</v>
      </c>
      <c r="E152" s="47" t="s">
        <v>5725</v>
      </c>
      <c r="F152" s="126" t="s">
        <v>2795</v>
      </c>
      <c r="G152" s="1549"/>
      <c r="H152" s="1549"/>
      <c r="I152" s="154" t="s">
        <v>2794</v>
      </c>
      <c r="J152" s="692" t="s">
        <v>2894</v>
      </c>
      <c r="K152" s="170" t="s">
        <v>5471</v>
      </c>
      <c r="L152" s="1941" t="s">
        <v>5469</v>
      </c>
      <c r="M152" s="1083" t="s">
        <v>2891</v>
      </c>
      <c r="P152" s="248"/>
      <c r="Q152" s="248"/>
      <c r="R152" s="248"/>
      <c r="S152" s="248"/>
      <c r="T152" s="247"/>
      <c r="U152" s="248"/>
      <c r="V152" s="340">
        <v>0</v>
      </c>
      <c r="W152" s="344">
        <v>0</v>
      </c>
      <c r="X152" s="249"/>
      <c r="Y152" s="341">
        <f t="shared" si="21"/>
        <v>648000</v>
      </c>
      <c r="Z152" s="342">
        <f t="shared" ref="Z152:Z164" si="25">+Y152/1.08</f>
        <v>600000</v>
      </c>
      <c r="AA152" s="252"/>
    </row>
    <row r="153" spans="1:27">
      <c r="A153" s="326">
        <f t="shared" si="24"/>
        <v>3</v>
      </c>
      <c r="B153" s="1549"/>
      <c r="C153" s="179">
        <v>307390996310</v>
      </c>
      <c r="D153" s="2016" t="s">
        <v>5638</v>
      </c>
      <c r="E153" s="47" t="s">
        <v>5725</v>
      </c>
      <c r="F153" s="126" t="s">
        <v>2795</v>
      </c>
      <c r="G153" s="1549"/>
      <c r="H153" s="1549"/>
      <c r="I153" s="154" t="s">
        <v>4755</v>
      </c>
      <c r="J153" s="1504">
        <v>66</v>
      </c>
      <c r="K153" s="170" t="s">
        <v>5521</v>
      </c>
      <c r="L153" s="1941">
        <v>2320</v>
      </c>
      <c r="M153" s="1083" t="s">
        <v>2891</v>
      </c>
      <c r="P153" s="248"/>
      <c r="Q153" s="248"/>
      <c r="R153" s="248"/>
      <c r="S153" s="248"/>
      <c r="T153" s="247"/>
      <c r="U153" s="248"/>
      <c r="V153" s="340">
        <v>0</v>
      </c>
      <c r="W153" s="344">
        <v>0</v>
      </c>
      <c r="X153" s="249"/>
      <c r="Y153" s="341">
        <f t="shared" si="21"/>
        <v>648000</v>
      </c>
      <c r="Z153" s="342">
        <f t="shared" si="25"/>
        <v>600000</v>
      </c>
      <c r="AA153" s="252"/>
    </row>
    <row r="154" spans="1:27">
      <c r="A154" s="326">
        <f t="shared" si="24"/>
        <v>4</v>
      </c>
      <c r="B154" s="1549"/>
      <c r="C154" s="179">
        <v>307359472400</v>
      </c>
      <c r="D154" s="2016" t="s">
        <v>5552</v>
      </c>
      <c r="E154" s="47" t="s">
        <v>5725</v>
      </c>
      <c r="F154" s="126" t="s">
        <v>2795</v>
      </c>
      <c r="G154" s="1549"/>
      <c r="H154" s="1549"/>
      <c r="I154" s="154" t="s">
        <v>2796</v>
      </c>
      <c r="J154" s="692" t="s">
        <v>2896</v>
      </c>
      <c r="K154" s="170" t="s">
        <v>5522</v>
      </c>
      <c r="L154" s="1492">
        <v>2104</v>
      </c>
      <c r="M154" s="1083" t="s">
        <v>2891</v>
      </c>
      <c r="P154" s="248"/>
      <c r="Q154" s="248"/>
      <c r="R154" s="248"/>
      <c r="S154" s="248"/>
      <c r="T154" s="247"/>
      <c r="U154" s="248"/>
      <c r="V154" s="340">
        <v>0</v>
      </c>
      <c r="W154" s="344">
        <v>0</v>
      </c>
      <c r="X154" s="249"/>
      <c r="Y154" s="341">
        <f t="shared" si="21"/>
        <v>648000</v>
      </c>
      <c r="Z154" s="342">
        <f t="shared" si="25"/>
        <v>600000</v>
      </c>
      <c r="AA154" s="252"/>
    </row>
    <row r="155" spans="1:27">
      <c r="A155" s="326">
        <f t="shared" si="24"/>
        <v>5</v>
      </c>
      <c r="B155" s="1549"/>
      <c r="C155" s="179">
        <v>307362421940</v>
      </c>
      <c r="D155" s="2016" t="s">
        <v>5575</v>
      </c>
      <c r="E155" s="47" t="s">
        <v>5725</v>
      </c>
      <c r="F155" s="126" t="s">
        <v>2795</v>
      </c>
      <c r="G155" s="1549"/>
      <c r="H155" s="1549"/>
      <c r="I155" s="3379" t="s">
        <v>3383</v>
      </c>
      <c r="J155" s="692" t="s">
        <v>2908</v>
      </c>
      <c r="K155" s="170" t="s">
        <v>5529</v>
      </c>
      <c r="L155" s="1492">
        <v>680</v>
      </c>
      <c r="M155" s="1083" t="s">
        <v>2891</v>
      </c>
      <c r="P155" s="248"/>
      <c r="Q155" s="248"/>
      <c r="R155" s="248"/>
      <c r="S155" s="248"/>
      <c r="T155" s="247"/>
      <c r="U155" s="248"/>
      <c r="V155" s="340">
        <v>0</v>
      </c>
      <c r="W155" s="344">
        <v>0</v>
      </c>
      <c r="X155" s="249"/>
      <c r="Y155" s="341">
        <f t="shared" si="21"/>
        <v>648000</v>
      </c>
      <c r="Z155" s="342">
        <f t="shared" si="25"/>
        <v>600000</v>
      </c>
      <c r="AA155" s="252"/>
    </row>
    <row r="156" spans="1:27">
      <c r="A156" s="326">
        <f t="shared" si="24"/>
        <v>6</v>
      </c>
      <c r="B156" s="1549"/>
      <c r="C156" s="179">
        <v>307362543740</v>
      </c>
      <c r="D156" s="2016" t="s">
        <v>5575</v>
      </c>
      <c r="E156" s="47" t="s">
        <v>5725</v>
      </c>
      <c r="F156" s="126" t="s">
        <v>2795</v>
      </c>
      <c r="G156" s="1549"/>
      <c r="H156" s="1549"/>
      <c r="I156" s="3380"/>
      <c r="J156" s="692" t="s">
        <v>2924</v>
      </c>
      <c r="K156" s="170" t="s">
        <v>5530</v>
      </c>
      <c r="L156" s="1492">
        <v>201</v>
      </c>
      <c r="M156" s="1083" t="s">
        <v>2891</v>
      </c>
      <c r="P156" s="248"/>
      <c r="Q156" s="248"/>
      <c r="R156" s="248"/>
      <c r="S156" s="248"/>
      <c r="T156" s="247"/>
      <c r="U156" s="248"/>
      <c r="V156" s="340">
        <v>0</v>
      </c>
      <c r="W156" s="344">
        <v>0</v>
      </c>
      <c r="X156" s="249"/>
      <c r="Y156" s="341">
        <f t="shared" si="21"/>
        <v>648000</v>
      </c>
      <c r="Z156" s="342">
        <f t="shared" si="25"/>
        <v>600000</v>
      </c>
      <c r="AA156" s="252"/>
    </row>
    <row r="157" spans="1:27">
      <c r="A157" s="326">
        <f t="shared" si="24"/>
        <v>7</v>
      </c>
      <c r="B157" s="1549"/>
      <c r="C157" s="179">
        <v>307362565000</v>
      </c>
      <c r="D157" s="2016" t="s">
        <v>5575</v>
      </c>
      <c r="E157" s="47" t="s">
        <v>5725</v>
      </c>
      <c r="F157" s="126" t="s">
        <v>2795</v>
      </c>
      <c r="G157" s="1549"/>
      <c r="H157" s="1549"/>
      <c r="I157" s="3380"/>
      <c r="J157" s="692" t="s">
        <v>2939</v>
      </c>
      <c r="K157" s="170" t="s">
        <v>5531</v>
      </c>
      <c r="L157" s="1492">
        <v>1301</v>
      </c>
      <c r="M157" s="1083" t="s">
        <v>2891</v>
      </c>
      <c r="P157" s="248"/>
      <c r="Q157" s="248"/>
      <c r="R157" s="248"/>
      <c r="S157" s="248"/>
      <c r="T157" s="247"/>
      <c r="U157" s="248"/>
      <c r="V157" s="340">
        <v>0</v>
      </c>
      <c r="W157" s="344">
        <v>0</v>
      </c>
      <c r="X157" s="249"/>
      <c r="Y157" s="341">
        <f t="shared" si="21"/>
        <v>648000</v>
      </c>
      <c r="Z157" s="342">
        <f t="shared" si="25"/>
        <v>600000</v>
      </c>
      <c r="AA157" s="252"/>
    </row>
    <row r="158" spans="1:27">
      <c r="A158" s="326">
        <f t="shared" si="24"/>
        <v>8</v>
      </c>
      <c r="B158" s="1549"/>
      <c r="C158" s="179">
        <v>307362607810</v>
      </c>
      <c r="D158" s="2016" t="s">
        <v>5575</v>
      </c>
      <c r="E158" s="47" t="s">
        <v>5725</v>
      </c>
      <c r="F158" s="126" t="s">
        <v>2795</v>
      </c>
      <c r="G158" s="1549"/>
      <c r="H158" s="1549"/>
      <c r="I158" s="3382"/>
      <c r="J158" s="692" t="s">
        <v>2982</v>
      </c>
      <c r="K158" s="170" t="s">
        <v>5532</v>
      </c>
      <c r="L158" s="1492">
        <v>338</v>
      </c>
      <c r="M158" s="1083" t="s">
        <v>2891</v>
      </c>
      <c r="P158" s="248"/>
      <c r="Q158" s="248"/>
      <c r="R158" s="248"/>
      <c r="S158" s="248"/>
      <c r="T158" s="247"/>
      <c r="U158" s="248"/>
      <c r="V158" s="340">
        <v>0</v>
      </c>
      <c r="W158" s="344">
        <v>0</v>
      </c>
      <c r="X158" s="249"/>
      <c r="Y158" s="341">
        <f t="shared" si="21"/>
        <v>648000</v>
      </c>
      <c r="Z158" s="342">
        <f t="shared" si="25"/>
        <v>600000</v>
      </c>
      <c r="AA158" s="252"/>
    </row>
    <row r="159" spans="1:27">
      <c r="A159" s="326">
        <f t="shared" si="24"/>
        <v>9</v>
      </c>
      <c r="B159" s="1549"/>
      <c r="C159" s="179">
        <v>307363255200</v>
      </c>
      <c r="D159" s="2016" t="s">
        <v>5552</v>
      </c>
      <c r="E159" s="47" t="s">
        <v>5725</v>
      </c>
      <c r="F159" s="126" t="s">
        <v>2795</v>
      </c>
      <c r="G159" s="1549"/>
      <c r="H159" s="1549"/>
      <c r="I159" s="154" t="s">
        <v>2794</v>
      </c>
      <c r="J159" s="692" t="s">
        <v>2893</v>
      </c>
      <c r="K159" s="170" t="s">
        <v>5551</v>
      </c>
      <c r="L159" s="1492">
        <v>510</v>
      </c>
      <c r="M159" s="1083" t="s">
        <v>2891</v>
      </c>
      <c r="P159" s="248"/>
      <c r="Q159" s="248"/>
      <c r="R159" s="248"/>
      <c r="S159" s="248"/>
      <c r="T159" s="247"/>
      <c r="U159" s="248"/>
      <c r="V159" s="340">
        <v>0</v>
      </c>
      <c r="W159" s="344">
        <v>0</v>
      </c>
      <c r="X159" s="249"/>
      <c r="Y159" s="341">
        <f t="shared" si="21"/>
        <v>648000</v>
      </c>
      <c r="Z159" s="342">
        <f t="shared" si="25"/>
        <v>600000</v>
      </c>
      <c r="AA159" s="252"/>
    </row>
    <row r="160" spans="1:27">
      <c r="A160" s="326">
        <f t="shared" si="24"/>
        <v>10</v>
      </c>
      <c r="B160" s="1549"/>
      <c r="C160" s="1229">
        <v>307366903560</v>
      </c>
      <c r="D160" s="2016" t="s">
        <v>5565</v>
      </c>
      <c r="E160" s="47" t="s">
        <v>5725</v>
      </c>
      <c r="F160" s="126" t="s">
        <v>2795</v>
      </c>
      <c r="G160" s="1549"/>
      <c r="H160" s="1549"/>
      <c r="I160" s="154" t="s">
        <v>3035</v>
      </c>
      <c r="J160" s="692" t="s">
        <v>2890</v>
      </c>
      <c r="K160" s="1062" t="s">
        <v>5891</v>
      </c>
      <c r="L160" s="1492">
        <v>125</v>
      </c>
      <c r="M160" s="1083" t="s">
        <v>2891</v>
      </c>
      <c r="P160" s="248"/>
      <c r="Q160" s="248"/>
      <c r="R160" s="248"/>
      <c r="S160" s="248"/>
      <c r="T160" s="247"/>
      <c r="U160" s="248"/>
      <c r="V160" s="340">
        <v>0</v>
      </c>
      <c r="W160" s="344">
        <v>0</v>
      </c>
      <c r="X160" s="249"/>
      <c r="Y160" s="341">
        <f t="shared" si="21"/>
        <v>648000</v>
      </c>
      <c r="Z160" s="342">
        <f t="shared" si="25"/>
        <v>600000</v>
      </c>
      <c r="AA160" s="252"/>
    </row>
    <row r="161" spans="1:27">
      <c r="A161" s="326">
        <f t="shared" si="24"/>
        <v>11</v>
      </c>
      <c r="B161" s="1549"/>
      <c r="C161" s="179">
        <v>307399230740</v>
      </c>
      <c r="D161" s="2016" t="s">
        <v>5685</v>
      </c>
      <c r="E161" s="47" t="s">
        <v>5725</v>
      </c>
      <c r="F161" s="126" t="s">
        <v>2795</v>
      </c>
      <c r="G161" s="1549"/>
      <c r="H161" s="1549"/>
      <c r="I161" s="3344" t="s">
        <v>3383</v>
      </c>
      <c r="J161" s="692" t="s">
        <v>5720</v>
      </c>
      <c r="K161" s="170" t="s">
        <v>5676</v>
      </c>
      <c r="L161" s="1492">
        <v>935</v>
      </c>
      <c r="M161" s="1083" t="s">
        <v>2891</v>
      </c>
      <c r="P161" s="248"/>
      <c r="Q161" s="248"/>
      <c r="R161" s="248"/>
      <c r="S161" s="248"/>
      <c r="T161" s="247"/>
      <c r="U161" s="248"/>
      <c r="V161" s="340">
        <v>0</v>
      </c>
      <c r="W161" s="344">
        <v>0</v>
      </c>
      <c r="X161" s="249"/>
      <c r="Y161" s="341">
        <f t="shared" si="21"/>
        <v>648000</v>
      </c>
      <c r="Z161" s="342">
        <f t="shared" si="25"/>
        <v>600000</v>
      </c>
      <c r="AA161" s="252"/>
    </row>
    <row r="162" spans="1:27">
      <c r="A162" s="326">
        <f t="shared" si="24"/>
        <v>12</v>
      </c>
      <c r="B162" s="1549"/>
      <c r="C162" s="179">
        <v>307399253140</v>
      </c>
      <c r="D162" s="2016" t="s">
        <v>5685</v>
      </c>
      <c r="E162" s="47" t="s">
        <v>5725</v>
      </c>
      <c r="F162" s="126" t="s">
        <v>2795</v>
      </c>
      <c r="G162" s="1549"/>
      <c r="H162" s="1549"/>
      <c r="I162" s="3345"/>
      <c r="J162" s="692" t="s">
        <v>3005</v>
      </c>
      <c r="K162" s="170" t="s">
        <v>5677</v>
      </c>
      <c r="L162" s="1492">
        <v>1509</v>
      </c>
      <c r="M162" s="1083" t="s">
        <v>2891</v>
      </c>
      <c r="P162" s="248"/>
      <c r="Q162" s="248"/>
      <c r="R162" s="248"/>
      <c r="S162" s="248"/>
      <c r="T162" s="247"/>
      <c r="U162" s="248"/>
      <c r="V162" s="340">
        <v>0</v>
      </c>
      <c r="W162" s="344">
        <v>0</v>
      </c>
      <c r="X162" s="249"/>
      <c r="Y162" s="341">
        <f t="shared" si="21"/>
        <v>648000</v>
      </c>
      <c r="Z162" s="342">
        <f t="shared" si="25"/>
        <v>600000</v>
      </c>
      <c r="AA162" s="252"/>
    </row>
    <row r="163" spans="1:27">
      <c r="A163" s="326">
        <f t="shared" si="24"/>
        <v>13</v>
      </c>
      <c r="B163" s="1549"/>
      <c r="C163" s="179">
        <v>307399270200</v>
      </c>
      <c r="D163" s="2016" t="s">
        <v>5685</v>
      </c>
      <c r="E163" s="47" t="s">
        <v>5725</v>
      </c>
      <c r="F163" s="126" t="s">
        <v>2795</v>
      </c>
      <c r="G163" s="1549"/>
      <c r="H163" s="1549"/>
      <c r="I163" s="3346"/>
      <c r="J163" s="692" t="s">
        <v>3029</v>
      </c>
      <c r="K163" s="170" t="s">
        <v>5678</v>
      </c>
      <c r="L163" s="1492">
        <v>1207</v>
      </c>
      <c r="M163" s="1083" t="s">
        <v>2891</v>
      </c>
      <c r="P163" s="248"/>
      <c r="Q163" s="248"/>
      <c r="R163" s="248"/>
      <c r="S163" s="248"/>
      <c r="T163" s="247"/>
      <c r="U163" s="248"/>
      <c r="V163" s="340">
        <v>0</v>
      </c>
      <c r="W163" s="344">
        <v>0</v>
      </c>
      <c r="X163" s="249"/>
      <c r="Y163" s="341">
        <f t="shared" si="21"/>
        <v>648000</v>
      </c>
      <c r="Z163" s="342">
        <f t="shared" si="25"/>
        <v>600000</v>
      </c>
      <c r="AA163" s="252"/>
    </row>
    <row r="164" spans="1:27">
      <c r="A164" s="326">
        <f t="shared" si="24"/>
        <v>14</v>
      </c>
      <c r="B164" s="1549"/>
      <c r="C164" s="1229">
        <v>307414073910</v>
      </c>
      <c r="D164" s="2016" t="s">
        <v>5714</v>
      </c>
      <c r="E164" s="47" t="s">
        <v>5725</v>
      </c>
      <c r="F164" s="126" t="s">
        <v>2795</v>
      </c>
      <c r="G164" s="1549"/>
      <c r="H164" s="1549"/>
      <c r="I164" s="154" t="s">
        <v>2796</v>
      </c>
      <c r="J164" s="692" t="s">
        <v>3041</v>
      </c>
      <c r="K164" s="170" t="s">
        <v>5721</v>
      </c>
      <c r="L164" s="1492">
        <v>853</v>
      </c>
      <c r="M164" s="1083" t="s">
        <v>2891</v>
      </c>
      <c r="P164" s="248"/>
      <c r="Q164" s="248"/>
      <c r="R164" s="248"/>
      <c r="S164" s="248"/>
      <c r="T164" s="247"/>
      <c r="U164" s="248"/>
      <c r="V164" s="340">
        <v>0</v>
      </c>
      <c r="W164" s="344">
        <v>0</v>
      </c>
      <c r="X164" s="249"/>
      <c r="Y164" s="341">
        <f t="shared" si="21"/>
        <v>648000</v>
      </c>
      <c r="Z164" s="342">
        <f t="shared" si="25"/>
        <v>600000</v>
      </c>
      <c r="AA164" s="252"/>
    </row>
    <row r="165" spans="1:27">
      <c r="A165" s="3347" t="s">
        <v>5740</v>
      </c>
      <c r="B165" s="3347"/>
      <c r="C165" s="3347"/>
      <c r="D165" s="3347"/>
      <c r="E165" s="3347"/>
      <c r="F165" s="3347"/>
      <c r="G165" s="3347"/>
      <c r="H165" s="3347"/>
      <c r="I165" s="3347"/>
      <c r="J165" s="3347"/>
      <c r="K165" s="3347"/>
      <c r="L165" s="3347"/>
      <c r="M165" s="3347"/>
      <c r="N165" s="1039"/>
      <c r="O165" s="1040"/>
      <c r="P165" s="1041"/>
      <c r="Q165" s="1041"/>
      <c r="R165" s="425"/>
      <c r="S165" s="425"/>
      <c r="T165" s="426"/>
      <c r="U165" s="425"/>
      <c r="V165" s="1041"/>
      <c r="W165" s="1042"/>
      <c r="X165" s="1043"/>
      <c r="Y165" s="1044">
        <f>SUM(Y151:Y164)</f>
        <v>9072000</v>
      </c>
      <c r="Z165" s="1044">
        <f>SUM(Z151:Z164)</f>
        <v>8400000</v>
      </c>
      <c r="AA165" s="252"/>
    </row>
    <row r="166" spans="1:27">
      <c r="A166" s="1515">
        <v>1</v>
      </c>
      <c r="B166" s="1549"/>
      <c r="C166" s="2029">
        <v>307416481100</v>
      </c>
      <c r="D166" s="2016" t="s">
        <v>5714</v>
      </c>
      <c r="E166" s="1942" t="s">
        <v>6071</v>
      </c>
      <c r="F166" s="126" t="s">
        <v>2795</v>
      </c>
      <c r="G166" s="1549"/>
      <c r="H166" s="1549"/>
      <c r="I166" s="154" t="s">
        <v>2794</v>
      </c>
      <c r="J166" s="692" t="s">
        <v>3051</v>
      </c>
      <c r="K166" s="170" t="s">
        <v>5738</v>
      </c>
      <c r="L166" s="2329">
        <v>266</v>
      </c>
      <c r="M166" s="1083" t="s">
        <v>2891</v>
      </c>
      <c r="P166" s="425"/>
      <c r="Q166" s="425"/>
      <c r="R166" s="425"/>
      <c r="S166" s="425"/>
      <c r="T166" s="426"/>
      <c r="U166" s="425"/>
      <c r="V166" s="340">
        <v>0</v>
      </c>
      <c r="W166" s="344">
        <v>0</v>
      </c>
      <c r="X166" s="249"/>
      <c r="Y166" s="341">
        <f t="shared" si="21"/>
        <v>648000</v>
      </c>
      <c r="Z166" s="342">
        <f>+Y166/1.08</f>
        <v>600000</v>
      </c>
      <c r="AA166" s="1510"/>
    </row>
    <row r="167" spans="1:27">
      <c r="A167" s="1503">
        <f>+A166+1</f>
        <v>2</v>
      </c>
      <c r="B167" s="1549"/>
      <c r="C167" s="2029">
        <v>307426376740</v>
      </c>
      <c r="D167" s="2016" t="s">
        <v>5848</v>
      </c>
      <c r="E167" s="1942" t="s">
        <v>6071</v>
      </c>
      <c r="F167" s="126" t="s">
        <v>2795</v>
      </c>
      <c r="G167" s="1549"/>
      <c r="H167" s="1549"/>
      <c r="I167" s="154" t="s">
        <v>4755</v>
      </c>
      <c r="J167" s="1520" t="s">
        <v>3081</v>
      </c>
      <c r="K167" s="1805" t="s">
        <v>5853</v>
      </c>
      <c r="L167" s="1520" t="s">
        <v>5869</v>
      </c>
      <c r="M167" s="1083" t="s">
        <v>2891</v>
      </c>
      <c r="P167" s="248"/>
      <c r="Q167" s="248"/>
      <c r="R167" s="248"/>
      <c r="S167" s="248"/>
      <c r="T167" s="247"/>
      <c r="U167" s="248"/>
      <c r="V167" s="340">
        <v>0</v>
      </c>
      <c r="W167" s="344">
        <v>0</v>
      </c>
      <c r="X167" s="249"/>
      <c r="Y167" s="341">
        <f t="shared" si="21"/>
        <v>648000</v>
      </c>
      <c r="Z167" s="342">
        <f t="shared" ref="Z167:Z181" si="26">+Y167/1.08</f>
        <v>600000</v>
      </c>
      <c r="AA167" s="252"/>
    </row>
    <row r="168" spans="1:27">
      <c r="A168" s="1503">
        <f t="shared" ref="A168:A231" si="27">+A167+1</f>
        <v>3</v>
      </c>
      <c r="B168" s="1549"/>
      <c r="C168" s="2029">
        <v>307432254900</v>
      </c>
      <c r="D168" s="2016" t="s">
        <v>5848</v>
      </c>
      <c r="E168" s="1942" t="s">
        <v>6071</v>
      </c>
      <c r="F168" s="126" t="s">
        <v>2795</v>
      </c>
      <c r="G168" s="1549"/>
      <c r="H168" s="1549"/>
      <c r="I168" s="154" t="s">
        <v>4755</v>
      </c>
      <c r="J168" s="1520" t="s">
        <v>3103</v>
      </c>
      <c r="K168" s="1805" t="s">
        <v>5854</v>
      </c>
      <c r="L168" s="1520" t="s">
        <v>5869</v>
      </c>
      <c r="M168" s="1083" t="s">
        <v>2891</v>
      </c>
      <c r="P168" s="248"/>
      <c r="Q168" s="248"/>
      <c r="R168" s="248"/>
      <c r="S168" s="248"/>
      <c r="T168" s="247"/>
      <c r="U168" s="248"/>
      <c r="V168" s="340">
        <v>0</v>
      </c>
      <c r="W168" s="344">
        <v>0</v>
      </c>
      <c r="X168" s="249"/>
      <c r="Y168" s="341">
        <f t="shared" si="21"/>
        <v>648000</v>
      </c>
      <c r="Z168" s="342">
        <f t="shared" si="26"/>
        <v>600000</v>
      </c>
      <c r="AA168" s="252"/>
    </row>
    <row r="169" spans="1:27">
      <c r="A169" s="1503">
        <f t="shared" si="27"/>
        <v>4</v>
      </c>
      <c r="B169" s="1549"/>
      <c r="C169" s="2029">
        <v>307445235220</v>
      </c>
      <c r="D169" s="2016" t="s">
        <v>5734</v>
      </c>
      <c r="E169" s="1942" t="s">
        <v>6071</v>
      </c>
      <c r="F169" s="126" t="s">
        <v>2795</v>
      </c>
      <c r="G169" s="1549"/>
      <c r="H169" s="1549"/>
      <c r="I169" s="154" t="s">
        <v>2794</v>
      </c>
      <c r="J169" s="1520" t="s">
        <v>3108</v>
      </c>
      <c r="K169" s="170" t="s">
        <v>5855</v>
      </c>
      <c r="L169" s="2192">
        <v>549</v>
      </c>
      <c r="M169" s="1083" t="s">
        <v>2891</v>
      </c>
      <c r="P169" s="248"/>
      <c r="Q169" s="248"/>
      <c r="R169" s="248"/>
      <c r="S169" s="248"/>
      <c r="T169" s="247"/>
      <c r="U169" s="248"/>
      <c r="V169" s="340">
        <v>0</v>
      </c>
      <c r="W169" s="344">
        <v>0</v>
      </c>
      <c r="X169" s="249"/>
      <c r="Y169" s="341">
        <f t="shared" si="21"/>
        <v>648000</v>
      </c>
      <c r="Z169" s="342">
        <f t="shared" si="26"/>
        <v>600000</v>
      </c>
      <c r="AA169" s="252"/>
    </row>
    <row r="170" spans="1:27">
      <c r="A170" s="1503">
        <f t="shared" si="27"/>
        <v>5</v>
      </c>
      <c r="B170" s="1549"/>
      <c r="C170" s="2029">
        <v>307446556340</v>
      </c>
      <c r="D170" s="2016" t="s">
        <v>5875</v>
      </c>
      <c r="E170" s="1942" t="s">
        <v>6071</v>
      </c>
      <c r="F170" s="126" t="s">
        <v>2795</v>
      </c>
      <c r="G170" s="1549"/>
      <c r="H170" s="1549"/>
      <c r="I170" s="3344" t="s">
        <v>3383</v>
      </c>
      <c r="J170" s="2327" t="s">
        <v>3119</v>
      </c>
      <c r="K170" s="170" t="s">
        <v>5856</v>
      </c>
      <c r="L170" s="2328" t="s">
        <v>5915</v>
      </c>
      <c r="M170" s="1083" t="s">
        <v>2891</v>
      </c>
      <c r="P170" s="248"/>
      <c r="Q170" s="248"/>
      <c r="R170" s="248"/>
      <c r="S170" s="248"/>
      <c r="T170" s="247"/>
      <c r="U170" s="248"/>
      <c r="V170" s="340">
        <v>0</v>
      </c>
      <c r="W170" s="344">
        <v>0</v>
      </c>
      <c r="X170" s="249"/>
      <c r="Y170" s="341">
        <f t="shared" si="21"/>
        <v>648000</v>
      </c>
      <c r="Z170" s="342">
        <f t="shared" si="26"/>
        <v>600000</v>
      </c>
      <c r="AA170" s="252"/>
    </row>
    <row r="171" spans="1:27">
      <c r="A171" s="1503">
        <f t="shared" si="27"/>
        <v>6</v>
      </c>
      <c r="B171" s="1549"/>
      <c r="C171" s="2029">
        <v>307446566030</v>
      </c>
      <c r="D171" s="2016" t="s">
        <v>5875</v>
      </c>
      <c r="E171" s="1942" t="s">
        <v>6071</v>
      </c>
      <c r="F171" s="126" t="s">
        <v>2795</v>
      </c>
      <c r="G171" s="1549"/>
      <c r="H171" s="1549"/>
      <c r="I171" s="3345"/>
      <c r="J171" s="2327" t="s">
        <v>3121</v>
      </c>
      <c r="K171" s="170" t="s">
        <v>5857</v>
      </c>
      <c r="L171" s="2192">
        <v>1205</v>
      </c>
      <c r="M171" s="1083" t="s">
        <v>2891</v>
      </c>
      <c r="P171" s="248"/>
      <c r="Q171" s="248"/>
      <c r="R171" s="248"/>
      <c r="S171" s="248"/>
      <c r="T171" s="247"/>
      <c r="U171" s="248"/>
      <c r="V171" s="340">
        <v>0</v>
      </c>
      <c r="W171" s="344">
        <v>0</v>
      </c>
      <c r="X171" s="249"/>
      <c r="Y171" s="341">
        <f t="shared" si="21"/>
        <v>648000</v>
      </c>
      <c r="Z171" s="342">
        <f t="shared" si="26"/>
        <v>600000</v>
      </c>
      <c r="AA171" s="252"/>
    </row>
    <row r="172" spans="1:27">
      <c r="A172" s="1503">
        <f t="shared" si="27"/>
        <v>7</v>
      </c>
      <c r="B172" s="1549"/>
      <c r="C172" s="2029">
        <v>307446570120</v>
      </c>
      <c r="D172" s="2016" t="s">
        <v>5875</v>
      </c>
      <c r="E172" s="1942" t="s">
        <v>6071</v>
      </c>
      <c r="F172" s="126" t="s">
        <v>2795</v>
      </c>
      <c r="G172" s="1549"/>
      <c r="H172" s="1549"/>
      <c r="I172" s="3346"/>
      <c r="J172" s="2327" t="s">
        <v>3142</v>
      </c>
      <c r="K172" s="170" t="s">
        <v>5858</v>
      </c>
      <c r="L172" s="2192">
        <v>618</v>
      </c>
      <c r="M172" s="1083" t="s">
        <v>2891</v>
      </c>
      <c r="P172" s="248"/>
      <c r="Q172" s="248"/>
      <c r="R172" s="248"/>
      <c r="S172" s="248"/>
      <c r="T172" s="247"/>
      <c r="U172" s="248"/>
      <c r="V172" s="340">
        <v>0</v>
      </c>
      <c r="W172" s="344">
        <v>0</v>
      </c>
      <c r="X172" s="249"/>
      <c r="Y172" s="341">
        <f t="shared" ref="Y172:Y183" si="28">600000*1.08</f>
        <v>648000</v>
      </c>
      <c r="Z172" s="342">
        <f t="shared" si="26"/>
        <v>600000</v>
      </c>
      <c r="AA172" s="252"/>
    </row>
    <row r="173" spans="1:27">
      <c r="A173" s="1503">
        <f t="shared" si="27"/>
        <v>8</v>
      </c>
      <c r="B173" s="1549"/>
      <c r="C173" s="2029">
        <v>307457460830</v>
      </c>
      <c r="D173" s="2016" t="s">
        <v>5876</v>
      </c>
      <c r="E173" s="1942" t="s">
        <v>6071</v>
      </c>
      <c r="F173" s="126" t="s">
        <v>2795</v>
      </c>
      <c r="G173" s="1549"/>
      <c r="H173" s="1549"/>
      <c r="I173" s="1504" t="s">
        <v>5914</v>
      </c>
      <c r="J173" s="2327" t="s">
        <v>3183</v>
      </c>
      <c r="K173" s="1805" t="s">
        <v>6058</v>
      </c>
      <c r="L173" s="2192">
        <v>1726</v>
      </c>
      <c r="M173" s="1083" t="s">
        <v>2891</v>
      </c>
      <c r="P173" s="248"/>
      <c r="Q173" s="248"/>
      <c r="R173" s="248"/>
      <c r="S173" s="248"/>
      <c r="T173" s="247"/>
      <c r="U173" s="248"/>
      <c r="V173" s="340">
        <v>0</v>
      </c>
      <c r="W173" s="344">
        <v>0</v>
      </c>
      <c r="X173" s="249"/>
      <c r="Y173" s="341">
        <f t="shared" si="28"/>
        <v>648000</v>
      </c>
      <c r="Z173" s="342">
        <f t="shared" si="26"/>
        <v>600000</v>
      </c>
      <c r="AA173" s="252"/>
    </row>
    <row r="174" spans="1:27">
      <c r="A174" s="1503">
        <f t="shared" si="27"/>
        <v>9</v>
      </c>
      <c r="B174" s="1549"/>
      <c r="C174" s="2029">
        <v>307472215910</v>
      </c>
      <c r="D174" s="2016" t="s">
        <v>5887</v>
      </c>
      <c r="E174" s="1942" t="s">
        <v>6071</v>
      </c>
      <c r="F174" s="126" t="s">
        <v>2795</v>
      </c>
      <c r="G174" s="1549"/>
      <c r="H174" s="1549"/>
      <c r="I174" s="154" t="s">
        <v>2794</v>
      </c>
      <c r="J174" s="2327" t="s">
        <v>3217</v>
      </c>
      <c r="K174" s="1805" t="s">
        <v>5940</v>
      </c>
      <c r="L174" s="2192">
        <v>510</v>
      </c>
      <c r="M174" s="1083" t="s">
        <v>2891</v>
      </c>
      <c r="P174" s="248"/>
      <c r="Q174" s="248"/>
      <c r="R174" s="248"/>
      <c r="S174" s="248"/>
      <c r="T174" s="247"/>
      <c r="U174" s="248"/>
      <c r="V174" s="340">
        <v>0</v>
      </c>
      <c r="W174" s="344">
        <v>0</v>
      </c>
      <c r="X174" s="249"/>
      <c r="Y174" s="341">
        <f t="shared" si="28"/>
        <v>648000</v>
      </c>
      <c r="Z174" s="342">
        <f t="shared" si="26"/>
        <v>600000</v>
      </c>
      <c r="AA174" s="252"/>
    </row>
    <row r="175" spans="1:27">
      <c r="A175" s="1503">
        <f t="shared" si="27"/>
        <v>10</v>
      </c>
      <c r="B175" s="1549"/>
      <c r="C175" s="2029">
        <v>307473944650</v>
      </c>
      <c r="D175" s="2016" t="s">
        <v>5887</v>
      </c>
      <c r="E175" s="1942" t="s">
        <v>6071</v>
      </c>
      <c r="F175" s="126" t="s">
        <v>2795</v>
      </c>
      <c r="G175" s="1549"/>
      <c r="H175" s="1549"/>
      <c r="I175" s="154" t="s">
        <v>3035</v>
      </c>
      <c r="J175" s="2327" t="s">
        <v>3205</v>
      </c>
      <c r="K175" s="1062" t="s">
        <v>5891</v>
      </c>
      <c r="L175" s="2192">
        <v>125</v>
      </c>
      <c r="M175" s="1083" t="s">
        <v>2891</v>
      </c>
      <c r="P175" s="248"/>
      <c r="Q175" s="248"/>
      <c r="R175" s="248"/>
      <c r="S175" s="248"/>
      <c r="T175" s="247"/>
      <c r="U175" s="248"/>
      <c r="V175" s="340">
        <v>0</v>
      </c>
      <c r="W175" s="344">
        <v>0</v>
      </c>
      <c r="X175" s="249"/>
      <c r="Y175" s="341">
        <f t="shared" si="28"/>
        <v>648000</v>
      </c>
      <c r="Z175" s="342">
        <f t="shared" si="26"/>
        <v>600000</v>
      </c>
      <c r="AA175" s="252"/>
    </row>
    <row r="176" spans="1:27">
      <c r="A176" s="1503">
        <f t="shared" si="27"/>
        <v>11</v>
      </c>
      <c r="B176" s="1549"/>
      <c r="C176" s="2029">
        <v>307480087740</v>
      </c>
      <c r="D176" s="2016" t="s">
        <v>6018</v>
      </c>
      <c r="E176" s="1942" t="s">
        <v>6071</v>
      </c>
      <c r="F176" s="126" t="s">
        <v>2795</v>
      </c>
      <c r="G176" s="1549"/>
      <c r="H176" s="1549"/>
      <c r="I176" s="3344" t="s">
        <v>3383</v>
      </c>
      <c r="J176" s="2327" t="s">
        <v>3215</v>
      </c>
      <c r="K176" s="170" t="s">
        <v>5973</v>
      </c>
      <c r="L176" s="2192">
        <v>1087</v>
      </c>
      <c r="M176" s="1083" t="s">
        <v>2891</v>
      </c>
      <c r="P176" s="248"/>
      <c r="Q176" s="248"/>
      <c r="R176" s="248"/>
      <c r="S176" s="248"/>
      <c r="T176" s="247"/>
      <c r="U176" s="248"/>
      <c r="V176" s="340">
        <v>0</v>
      </c>
      <c r="W176" s="344">
        <v>0</v>
      </c>
      <c r="X176" s="249"/>
      <c r="Y176" s="341">
        <f t="shared" si="28"/>
        <v>648000</v>
      </c>
      <c r="Z176" s="342">
        <f t="shared" si="26"/>
        <v>600000</v>
      </c>
      <c r="AA176" s="252"/>
    </row>
    <row r="177" spans="1:27">
      <c r="A177" s="1503">
        <f t="shared" si="27"/>
        <v>12</v>
      </c>
      <c r="B177" s="1549"/>
      <c r="C177" s="2029">
        <v>307480337530</v>
      </c>
      <c r="D177" s="2016" t="s">
        <v>6018</v>
      </c>
      <c r="E177" s="1942" t="s">
        <v>6071</v>
      </c>
      <c r="F177" s="126" t="s">
        <v>2795</v>
      </c>
      <c r="G177" s="1549"/>
      <c r="H177" s="1549"/>
      <c r="I177" s="3345"/>
      <c r="J177" s="2327" t="s">
        <v>3263</v>
      </c>
      <c r="K177" s="170" t="s">
        <v>5974</v>
      </c>
      <c r="L177" s="2192">
        <v>69</v>
      </c>
      <c r="M177" s="1083" t="s">
        <v>2891</v>
      </c>
      <c r="P177" s="248"/>
      <c r="Q177" s="248"/>
      <c r="R177" s="248"/>
      <c r="S177" s="248"/>
      <c r="T177" s="247"/>
      <c r="U177" s="248"/>
      <c r="V177" s="340">
        <v>0</v>
      </c>
      <c r="W177" s="344">
        <v>0</v>
      </c>
      <c r="X177" s="249"/>
      <c r="Y177" s="341">
        <f t="shared" si="28"/>
        <v>648000</v>
      </c>
      <c r="Z177" s="342">
        <f t="shared" si="26"/>
        <v>600000</v>
      </c>
      <c r="AA177" s="252"/>
    </row>
    <row r="178" spans="1:27">
      <c r="A178" s="1503">
        <f t="shared" si="27"/>
        <v>13</v>
      </c>
      <c r="B178" s="1549"/>
      <c r="C178" s="2029">
        <v>307480359560</v>
      </c>
      <c r="D178" s="2016" t="s">
        <v>6018</v>
      </c>
      <c r="E178" s="1942" t="s">
        <v>6071</v>
      </c>
      <c r="F178" s="126" t="s">
        <v>2795</v>
      </c>
      <c r="G178" s="1549"/>
      <c r="H178" s="1549"/>
      <c r="I178" s="3345"/>
      <c r="J178" s="2327" t="s">
        <v>3295</v>
      </c>
      <c r="K178" s="170" t="s">
        <v>5975</v>
      </c>
      <c r="L178" s="2192">
        <v>1534</v>
      </c>
      <c r="M178" s="1083" t="s">
        <v>2891</v>
      </c>
      <c r="P178" s="248"/>
      <c r="Q178" s="248"/>
      <c r="R178" s="248"/>
      <c r="S178" s="248"/>
      <c r="T178" s="247"/>
      <c r="U178" s="248"/>
      <c r="V178" s="340">
        <v>0</v>
      </c>
      <c r="W178" s="344">
        <v>0</v>
      </c>
      <c r="X178" s="249"/>
      <c r="Y178" s="341">
        <f t="shared" si="28"/>
        <v>648000</v>
      </c>
      <c r="Z178" s="342">
        <f t="shared" si="26"/>
        <v>600000</v>
      </c>
      <c r="AA178" s="252"/>
    </row>
    <row r="179" spans="1:27">
      <c r="A179" s="1503">
        <f t="shared" si="27"/>
        <v>14</v>
      </c>
      <c r="B179" s="1549"/>
      <c r="C179" s="2029">
        <v>307480400750</v>
      </c>
      <c r="D179" s="2016" t="s">
        <v>6018</v>
      </c>
      <c r="E179" s="1942" t="s">
        <v>6071</v>
      </c>
      <c r="F179" s="126" t="s">
        <v>2795</v>
      </c>
      <c r="G179" s="1549"/>
      <c r="H179" s="1549"/>
      <c r="I179" s="3346"/>
      <c r="J179" s="2327" t="s">
        <v>3325</v>
      </c>
      <c r="K179" s="170" t="s">
        <v>5976</v>
      </c>
      <c r="L179" s="2192">
        <v>1840</v>
      </c>
      <c r="M179" s="1083" t="s">
        <v>2891</v>
      </c>
      <c r="P179" s="248"/>
      <c r="Q179" s="248"/>
      <c r="R179" s="248"/>
      <c r="S179" s="248"/>
      <c r="T179" s="247"/>
      <c r="U179" s="248"/>
      <c r="V179" s="340">
        <v>0</v>
      </c>
      <c r="W179" s="344">
        <v>0</v>
      </c>
      <c r="X179" s="249"/>
      <c r="Y179" s="341">
        <f t="shared" si="28"/>
        <v>648000</v>
      </c>
      <c r="Z179" s="342">
        <f t="shared" si="26"/>
        <v>600000</v>
      </c>
      <c r="AA179" s="252"/>
    </row>
    <row r="180" spans="1:27">
      <c r="A180" s="1503">
        <f t="shared" si="27"/>
        <v>15</v>
      </c>
      <c r="B180" s="1549"/>
      <c r="C180" s="2029">
        <v>307497568840</v>
      </c>
      <c r="D180" s="2016" t="s">
        <v>6073</v>
      </c>
      <c r="E180" s="1942" t="s">
        <v>6071</v>
      </c>
      <c r="F180" s="126" t="s">
        <v>2795</v>
      </c>
      <c r="G180" s="1549"/>
      <c r="H180" s="1549"/>
      <c r="I180" s="1504" t="s">
        <v>5914</v>
      </c>
      <c r="J180" s="1520" t="s">
        <v>6084</v>
      </c>
      <c r="K180" s="1805" t="s">
        <v>6051</v>
      </c>
      <c r="L180" s="1520" t="s">
        <v>6052</v>
      </c>
      <c r="M180" s="1083" t="s">
        <v>2891</v>
      </c>
      <c r="P180" s="248"/>
      <c r="Q180" s="248"/>
      <c r="R180" s="248"/>
      <c r="S180" s="248"/>
      <c r="T180" s="247"/>
      <c r="U180" s="248"/>
      <c r="V180" s="340">
        <v>0</v>
      </c>
      <c r="W180" s="344">
        <v>0</v>
      </c>
      <c r="X180" s="249"/>
      <c r="Y180" s="341">
        <f t="shared" si="28"/>
        <v>648000</v>
      </c>
      <c r="Z180" s="342">
        <f t="shared" si="26"/>
        <v>600000</v>
      </c>
      <c r="AA180" s="252"/>
    </row>
    <row r="181" spans="1:27">
      <c r="A181" s="1503">
        <f t="shared" si="27"/>
        <v>16</v>
      </c>
      <c r="B181" s="1549"/>
      <c r="C181" s="2029">
        <v>307497459530</v>
      </c>
      <c r="D181" s="2016" t="s">
        <v>6073</v>
      </c>
      <c r="E181" s="1942" t="s">
        <v>6071</v>
      </c>
      <c r="F181" s="126" t="s">
        <v>2795</v>
      </c>
      <c r="G181" s="1549"/>
      <c r="H181" s="1549"/>
      <c r="I181" s="154" t="s">
        <v>2794</v>
      </c>
      <c r="J181" s="1520" t="s">
        <v>3355</v>
      </c>
      <c r="K181" s="1805" t="s">
        <v>6259</v>
      </c>
      <c r="L181" s="1520" t="s">
        <v>6050</v>
      </c>
      <c r="M181" s="1083" t="s">
        <v>2891</v>
      </c>
      <c r="P181" s="248"/>
      <c r="Q181" s="248"/>
      <c r="R181" s="248"/>
      <c r="S181" s="248"/>
      <c r="T181" s="247"/>
      <c r="U181" s="248"/>
      <c r="V181" s="340">
        <v>0</v>
      </c>
      <c r="W181" s="344">
        <v>0</v>
      </c>
      <c r="X181" s="249"/>
      <c r="Y181" s="341">
        <f t="shared" si="28"/>
        <v>648000</v>
      </c>
      <c r="Z181" s="342">
        <f t="shared" si="26"/>
        <v>600000</v>
      </c>
      <c r="AA181" s="252"/>
    </row>
    <row r="182" spans="1:27">
      <c r="A182" s="3347" t="s">
        <v>6147</v>
      </c>
      <c r="B182" s="3347"/>
      <c r="C182" s="3347"/>
      <c r="D182" s="3347"/>
      <c r="E182" s="3347"/>
      <c r="F182" s="3347"/>
      <c r="G182" s="3347"/>
      <c r="H182" s="3347"/>
      <c r="I182" s="3347"/>
      <c r="J182" s="3347"/>
      <c r="K182" s="3347"/>
      <c r="L182" s="3347"/>
      <c r="M182" s="3347"/>
      <c r="N182" s="1039"/>
      <c r="O182" s="1040"/>
      <c r="P182" s="1041"/>
      <c r="Q182" s="1041"/>
      <c r="R182" s="425"/>
      <c r="S182" s="425"/>
      <c r="T182" s="426"/>
      <c r="U182" s="425"/>
      <c r="V182" s="1041"/>
      <c r="W182" s="1042"/>
      <c r="X182" s="1043"/>
      <c r="Y182" s="1044">
        <f>SUM(Y166:Y181)</f>
        <v>10368000</v>
      </c>
      <c r="Z182" s="1044">
        <f>SUM(Z166:Z181)</f>
        <v>9600000</v>
      </c>
      <c r="AA182" s="252"/>
    </row>
    <row r="183" spans="1:27">
      <c r="A183" s="1503">
        <v>1</v>
      </c>
      <c r="B183" s="1549"/>
      <c r="C183" s="2029">
        <v>307523400610</v>
      </c>
      <c r="D183" s="2016" t="s">
        <v>6122</v>
      </c>
      <c r="E183" s="1915"/>
      <c r="F183" s="126" t="s">
        <v>2795</v>
      </c>
      <c r="G183" s="1549"/>
      <c r="H183" s="1549"/>
      <c r="I183" s="1504" t="s">
        <v>5914</v>
      </c>
      <c r="J183" s="1520" t="s">
        <v>3364</v>
      </c>
      <c r="K183" s="1805" t="s">
        <v>6146</v>
      </c>
      <c r="L183" s="2192">
        <v>1203</v>
      </c>
      <c r="M183" s="1083" t="s">
        <v>2891</v>
      </c>
      <c r="P183" s="248"/>
      <c r="Q183" s="248"/>
      <c r="R183" s="248"/>
      <c r="S183" s="248"/>
      <c r="T183" s="247"/>
      <c r="U183" s="248"/>
      <c r="V183" s="340">
        <v>0</v>
      </c>
      <c r="W183" s="344">
        <v>0</v>
      </c>
      <c r="X183" s="249"/>
      <c r="Y183" s="341">
        <f t="shared" si="28"/>
        <v>648000</v>
      </c>
      <c r="Z183" s="342">
        <f t="shared" ref="Z183" si="29">+Y183/1.08</f>
        <v>600000</v>
      </c>
      <c r="AA183" s="252"/>
    </row>
    <row r="184" spans="1:27">
      <c r="A184" s="1503">
        <f t="shared" si="27"/>
        <v>2</v>
      </c>
      <c r="B184" s="1549"/>
      <c r="C184" s="2029">
        <v>307533152050</v>
      </c>
      <c r="D184" s="2016" t="s">
        <v>6192</v>
      </c>
      <c r="E184" s="1915"/>
      <c r="F184" s="126" t="s">
        <v>2795</v>
      </c>
      <c r="G184" s="1549"/>
      <c r="H184" s="1549"/>
      <c r="I184" s="154" t="s">
        <v>3035</v>
      </c>
      <c r="J184" s="1520" t="s">
        <v>3432</v>
      </c>
      <c r="K184" s="1062" t="s">
        <v>6237</v>
      </c>
      <c r="L184" s="2192">
        <v>232</v>
      </c>
      <c r="M184" s="1083" t="s">
        <v>2891</v>
      </c>
      <c r="P184" s="248"/>
      <c r="Q184" s="248"/>
      <c r="R184" s="248"/>
      <c r="S184" s="248"/>
      <c r="T184" s="247"/>
      <c r="U184" s="248"/>
      <c r="V184" s="340">
        <v>0</v>
      </c>
      <c r="W184" s="344">
        <v>0</v>
      </c>
      <c r="X184" s="249"/>
      <c r="Y184" s="341">
        <f t="shared" ref="Y184:Y193" si="30">600000*1.08</f>
        <v>648000</v>
      </c>
      <c r="Z184" s="342">
        <f t="shared" ref="Z184:Z193" si="31">+Y184/1.08</f>
        <v>600000</v>
      </c>
      <c r="AA184" s="252"/>
    </row>
    <row r="185" spans="1:27">
      <c r="A185" s="1503">
        <f t="shared" si="27"/>
        <v>3</v>
      </c>
      <c r="B185" s="1549"/>
      <c r="C185" s="2029">
        <v>307539617620</v>
      </c>
      <c r="D185" s="2016" t="s">
        <v>6208</v>
      </c>
      <c r="E185" s="1915"/>
      <c r="F185" s="126" t="s">
        <v>2795</v>
      </c>
      <c r="G185" s="1549"/>
      <c r="H185" s="1549"/>
      <c r="I185" s="154" t="s">
        <v>4755</v>
      </c>
      <c r="J185" s="1520" t="s">
        <v>3481</v>
      </c>
      <c r="K185" s="1805" t="s">
        <v>6238</v>
      </c>
      <c r="L185" s="2192">
        <v>309</v>
      </c>
      <c r="M185" s="1083" t="s">
        <v>2891</v>
      </c>
      <c r="P185" s="248"/>
      <c r="Q185" s="248"/>
      <c r="R185" s="248"/>
      <c r="S185" s="248"/>
      <c r="T185" s="247"/>
      <c r="U185" s="248"/>
      <c r="V185" s="340">
        <v>0</v>
      </c>
      <c r="W185" s="344">
        <v>0</v>
      </c>
      <c r="X185" s="249"/>
      <c r="Y185" s="341">
        <f t="shared" si="30"/>
        <v>648000</v>
      </c>
      <c r="Z185" s="342">
        <f t="shared" si="31"/>
        <v>600000</v>
      </c>
      <c r="AA185" s="252"/>
    </row>
    <row r="186" spans="1:27">
      <c r="A186" s="1503">
        <f t="shared" si="27"/>
        <v>4</v>
      </c>
      <c r="B186" s="1549"/>
      <c r="C186" s="2029">
        <v>307550099310</v>
      </c>
      <c r="D186" s="2016" t="s">
        <v>6208</v>
      </c>
      <c r="E186" s="1915"/>
      <c r="F186" s="126" t="s">
        <v>2795</v>
      </c>
      <c r="G186" s="1549"/>
      <c r="H186" s="1549"/>
      <c r="I186" s="1504" t="s">
        <v>5914</v>
      </c>
      <c r="J186" s="1520" t="s">
        <v>3433</v>
      </c>
      <c r="K186" s="1805" t="s">
        <v>6258</v>
      </c>
      <c r="L186" s="2192">
        <v>973</v>
      </c>
      <c r="M186" s="1083" t="s">
        <v>2891</v>
      </c>
      <c r="P186" s="248"/>
      <c r="Q186" s="248"/>
      <c r="R186" s="248"/>
      <c r="S186" s="248"/>
      <c r="T186" s="247"/>
      <c r="U186" s="248"/>
      <c r="V186" s="340">
        <v>0</v>
      </c>
      <c r="W186" s="344">
        <v>0</v>
      </c>
      <c r="X186" s="249"/>
      <c r="Y186" s="341">
        <f t="shared" si="30"/>
        <v>648000</v>
      </c>
      <c r="Z186" s="342">
        <f t="shared" si="31"/>
        <v>600000</v>
      </c>
      <c r="AA186" s="252"/>
    </row>
    <row r="187" spans="1:27">
      <c r="A187" s="1503">
        <f t="shared" si="27"/>
        <v>5</v>
      </c>
      <c r="B187" s="1549"/>
      <c r="C187" s="2029">
        <v>307550093010</v>
      </c>
      <c r="D187" s="2016" t="s">
        <v>6208</v>
      </c>
      <c r="E187" s="1915"/>
      <c r="F187" s="126" t="s">
        <v>2795</v>
      </c>
      <c r="G187" s="1549"/>
      <c r="H187" s="1549"/>
      <c r="I187" s="154" t="s">
        <v>2794</v>
      </c>
      <c r="J187" s="1520" t="s">
        <v>3435</v>
      </c>
      <c r="K187" s="1805" t="s">
        <v>6260</v>
      </c>
      <c r="L187" s="2192">
        <v>518</v>
      </c>
      <c r="M187" s="1083" t="s">
        <v>2891</v>
      </c>
      <c r="P187" s="248"/>
      <c r="Q187" s="248"/>
      <c r="R187" s="248"/>
      <c r="S187" s="248"/>
      <c r="T187" s="247"/>
      <c r="U187" s="248"/>
      <c r="V187" s="340">
        <v>0</v>
      </c>
      <c r="W187" s="344">
        <v>0</v>
      </c>
      <c r="X187" s="249"/>
      <c r="Y187" s="341">
        <f t="shared" si="30"/>
        <v>648000</v>
      </c>
      <c r="Z187" s="342">
        <f t="shared" si="31"/>
        <v>600000</v>
      </c>
      <c r="AA187" s="252"/>
    </row>
    <row r="188" spans="1:27">
      <c r="A188" s="1503">
        <f t="shared" si="27"/>
        <v>6</v>
      </c>
      <c r="C188" s="2029">
        <v>307553481010</v>
      </c>
      <c r="D188" s="2016" t="s">
        <v>6158</v>
      </c>
      <c r="E188" s="1915"/>
      <c r="F188" s="126" t="s">
        <v>2795</v>
      </c>
      <c r="G188" s="1549"/>
      <c r="H188" s="1549"/>
      <c r="I188" s="3344" t="s">
        <v>3383</v>
      </c>
      <c r="J188" s="1520" t="s">
        <v>3482</v>
      </c>
      <c r="K188" s="170" t="s">
        <v>6267</v>
      </c>
      <c r="L188" s="2192">
        <v>1068</v>
      </c>
      <c r="M188" s="1083" t="s">
        <v>2891</v>
      </c>
      <c r="P188" s="248"/>
      <c r="Q188" s="248"/>
      <c r="R188" s="248"/>
      <c r="S188" s="248"/>
      <c r="T188" s="247"/>
      <c r="U188" s="248"/>
      <c r="V188" s="340">
        <v>0</v>
      </c>
      <c r="W188" s="344">
        <v>0</v>
      </c>
      <c r="X188" s="249"/>
      <c r="Y188" s="341">
        <f t="shared" si="30"/>
        <v>648000</v>
      </c>
      <c r="Z188" s="342">
        <f t="shared" si="31"/>
        <v>600000</v>
      </c>
      <c r="AA188" s="252"/>
    </row>
    <row r="189" spans="1:27">
      <c r="A189" s="1503">
        <f t="shared" si="27"/>
        <v>7</v>
      </c>
      <c r="C189" s="2029">
        <v>307553508640</v>
      </c>
      <c r="D189" s="2016" t="s">
        <v>6158</v>
      </c>
      <c r="E189" s="1915"/>
      <c r="F189" s="126" t="s">
        <v>2795</v>
      </c>
      <c r="G189" s="1549"/>
      <c r="H189" s="1549"/>
      <c r="I189" s="3345"/>
      <c r="J189" s="1520" t="s">
        <v>3483</v>
      </c>
      <c r="K189" s="170" t="s">
        <v>6268</v>
      </c>
      <c r="L189" s="2192">
        <v>46</v>
      </c>
      <c r="M189" s="1083" t="s">
        <v>2891</v>
      </c>
      <c r="P189" s="248"/>
      <c r="Q189" s="248"/>
      <c r="R189" s="248"/>
      <c r="S189" s="248"/>
      <c r="T189" s="247"/>
      <c r="U189" s="248"/>
      <c r="V189" s="340">
        <v>0</v>
      </c>
      <c r="W189" s="344">
        <v>0</v>
      </c>
      <c r="X189" s="249"/>
      <c r="Y189" s="341">
        <f t="shared" si="30"/>
        <v>648000</v>
      </c>
      <c r="Z189" s="342">
        <f t="shared" si="31"/>
        <v>600000</v>
      </c>
      <c r="AA189" s="252"/>
    </row>
    <row r="190" spans="1:27">
      <c r="A190" s="1503">
        <f t="shared" si="27"/>
        <v>8</v>
      </c>
      <c r="C190" s="2029">
        <v>307553531740</v>
      </c>
      <c r="D190" s="2016" t="s">
        <v>6158</v>
      </c>
      <c r="E190" s="1915"/>
      <c r="F190" s="126" t="s">
        <v>2795</v>
      </c>
      <c r="G190" s="1549"/>
      <c r="H190" s="1549"/>
      <c r="I190" s="3345"/>
      <c r="J190" s="1520" t="s">
        <v>3510</v>
      </c>
      <c r="K190" s="170" t="s">
        <v>6269</v>
      </c>
      <c r="L190" s="2192">
        <v>469</v>
      </c>
      <c r="M190" s="1083" t="s">
        <v>2891</v>
      </c>
      <c r="P190" s="248"/>
      <c r="Q190" s="248"/>
      <c r="R190" s="248"/>
      <c r="S190" s="248"/>
      <c r="T190" s="247"/>
      <c r="U190" s="248"/>
      <c r="V190" s="340">
        <v>0</v>
      </c>
      <c r="W190" s="344">
        <v>0</v>
      </c>
      <c r="X190" s="249"/>
      <c r="Y190" s="341">
        <f t="shared" si="30"/>
        <v>648000</v>
      </c>
      <c r="Z190" s="342">
        <f t="shared" si="31"/>
        <v>600000</v>
      </c>
      <c r="AA190" s="252"/>
    </row>
    <row r="191" spans="1:27">
      <c r="A191" s="1503">
        <f t="shared" si="27"/>
        <v>9</v>
      </c>
      <c r="C191" s="2029">
        <v>307553557640</v>
      </c>
      <c r="D191" s="2016" t="s">
        <v>6158</v>
      </c>
      <c r="E191" s="1915"/>
      <c r="F191" s="126" t="s">
        <v>2795</v>
      </c>
      <c r="G191" s="1549"/>
      <c r="H191" s="1549"/>
      <c r="I191" s="3346"/>
      <c r="J191" s="1520" t="s">
        <v>3523</v>
      </c>
      <c r="K191" s="170" t="s">
        <v>6270</v>
      </c>
      <c r="L191" s="2192">
        <v>683</v>
      </c>
      <c r="M191" s="1083" t="s">
        <v>2891</v>
      </c>
      <c r="P191" s="248"/>
      <c r="Q191" s="248"/>
      <c r="R191" s="248"/>
      <c r="S191" s="248"/>
      <c r="T191" s="247"/>
      <c r="U191" s="248"/>
      <c r="V191" s="340">
        <v>0</v>
      </c>
      <c r="W191" s="344">
        <v>0</v>
      </c>
      <c r="X191" s="249"/>
      <c r="Y191" s="341">
        <f t="shared" si="30"/>
        <v>648000</v>
      </c>
      <c r="Z191" s="342">
        <f t="shared" si="31"/>
        <v>600000</v>
      </c>
      <c r="AA191" s="252"/>
    </row>
    <row r="192" spans="1:27">
      <c r="A192" s="1503">
        <f t="shared" si="27"/>
        <v>10</v>
      </c>
      <c r="C192" s="1912"/>
      <c r="D192" s="1805"/>
      <c r="E192" s="1915"/>
      <c r="F192" s="126" t="s">
        <v>2795</v>
      </c>
      <c r="G192" s="1549"/>
      <c r="H192" s="1549"/>
      <c r="I192" s="154" t="s">
        <v>4755</v>
      </c>
      <c r="J192" s="1504"/>
      <c r="K192" s="1916"/>
      <c r="L192" s="1504"/>
      <c r="M192" s="1917"/>
      <c r="P192" s="248"/>
      <c r="Q192" s="248"/>
      <c r="R192" s="248"/>
      <c r="S192" s="248"/>
      <c r="T192" s="247"/>
      <c r="U192" s="248"/>
      <c r="V192" s="340">
        <v>0</v>
      </c>
      <c r="W192" s="344">
        <v>0</v>
      </c>
      <c r="X192" s="249"/>
      <c r="Y192" s="341">
        <f t="shared" si="30"/>
        <v>648000</v>
      </c>
      <c r="Z192" s="342">
        <f t="shared" si="31"/>
        <v>600000</v>
      </c>
      <c r="AA192" s="252"/>
    </row>
    <row r="193" spans="1:27">
      <c r="A193" s="1503">
        <f t="shared" si="27"/>
        <v>11</v>
      </c>
      <c r="C193" s="1912"/>
      <c r="D193" s="1805"/>
      <c r="E193" s="1915"/>
      <c r="F193" s="1915"/>
      <c r="G193" s="1549"/>
      <c r="H193" s="1549"/>
      <c r="I193" s="1504"/>
      <c r="J193" s="1504"/>
      <c r="K193" s="1916"/>
      <c r="L193" s="1504"/>
      <c r="M193" s="1917"/>
      <c r="P193" s="248"/>
      <c r="Q193" s="248"/>
      <c r="R193" s="248"/>
      <c r="S193" s="248"/>
      <c r="T193" s="247"/>
      <c r="U193" s="248"/>
      <c r="V193" s="340">
        <v>0</v>
      </c>
      <c r="W193" s="344">
        <v>0</v>
      </c>
      <c r="X193" s="249"/>
      <c r="Y193" s="341">
        <f t="shared" si="30"/>
        <v>648000</v>
      </c>
      <c r="Z193" s="342">
        <f t="shared" si="31"/>
        <v>600000</v>
      </c>
      <c r="AA193" s="252"/>
    </row>
    <row r="194" spans="1:27">
      <c r="A194" s="1503">
        <f t="shared" si="27"/>
        <v>12</v>
      </c>
      <c r="C194" s="1912"/>
      <c r="D194" s="1805"/>
      <c r="E194" s="1915"/>
      <c r="F194" s="1915"/>
      <c r="G194" s="1549"/>
      <c r="H194" s="1549"/>
      <c r="I194" s="1504"/>
      <c r="J194" s="1504"/>
      <c r="K194" s="1916"/>
      <c r="L194" s="1504"/>
      <c r="M194" s="1917"/>
      <c r="P194" s="248"/>
      <c r="Q194" s="248"/>
      <c r="R194" s="248"/>
      <c r="S194" s="248"/>
      <c r="T194" s="247"/>
      <c r="U194" s="248"/>
      <c r="V194" s="248"/>
      <c r="W194" s="194"/>
      <c r="X194" s="249"/>
      <c r="Y194" s="250"/>
      <c r="Z194" s="251"/>
      <c r="AA194" s="252"/>
    </row>
    <row r="195" spans="1:27">
      <c r="A195" s="1503">
        <f t="shared" si="27"/>
        <v>13</v>
      </c>
      <c r="C195" s="1912"/>
      <c r="D195" s="1805"/>
      <c r="E195" s="1915"/>
      <c r="F195" s="1915"/>
      <c r="G195" s="1549"/>
      <c r="H195" s="1549"/>
      <c r="I195" s="1504"/>
      <c r="J195" s="1504"/>
      <c r="K195" s="1916"/>
      <c r="L195" s="1504"/>
      <c r="M195" s="1917"/>
      <c r="P195" s="248"/>
      <c r="Q195" s="248"/>
      <c r="R195" s="248"/>
      <c r="S195" s="248"/>
      <c r="T195" s="247"/>
      <c r="U195" s="248"/>
      <c r="V195" s="248"/>
      <c r="W195" s="194"/>
      <c r="X195" s="249"/>
      <c r="Y195" s="250"/>
      <c r="Z195" s="251"/>
      <c r="AA195" s="252"/>
    </row>
    <row r="196" spans="1:27">
      <c r="A196" s="1503">
        <f t="shared" si="27"/>
        <v>14</v>
      </c>
      <c r="C196" s="1912"/>
      <c r="D196" s="1805"/>
      <c r="E196" s="1915"/>
      <c r="F196" s="1915"/>
      <c r="G196" s="1549"/>
      <c r="H196" s="1549"/>
      <c r="I196" s="1504"/>
      <c r="J196" s="1504"/>
      <c r="K196" s="1916"/>
      <c r="L196" s="1504"/>
      <c r="M196" s="1917"/>
      <c r="P196" s="248"/>
      <c r="Q196" s="248"/>
      <c r="R196" s="248"/>
      <c r="S196" s="248"/>
      <c r="T196" s="247"/>
      <c r="U196" s="248"/>
      <c r="V196" s="248"/>
      <c r="W196" s="194"/>
      <c r="X196" s="249"/>
      <c r="Y196" s="250"/>
      <c r="Z196" s="251"/>
      <c r="AA196" s="252"/>
    </row>
    <row r="197" spans="1:27">
      <c r="A197" s="1503">
        <f t="shared" si="27"/>
        <v>15</v>
      </c>
      <c r="C197" s="1912"/>
      <c r="D197" s="1805"/>
      <c r="E197" s="1915"/>
      <c r="F197" s="1915"/>
      <c r="G197" s="1549"/>
      <c r="H197" s="1549"/>
      <c r="I197" s="1504"/>
      <c r="J197" s="1504"/>
      <c r="K197" s="1916"/>
      <c r="L197" s="1504"/>
      <c r="M197" s="1917"/>
      <c r="P197" s="248"/>
      <c r="Q197" s="248"/>
      <c r="R197" s="248"/>
      <c r="S197" s="248"/>
      <c r="T197" s="247"/>
      <c r="U197" s="248"/>
      <c r="V197" s="248"/>
      <c r="W197" s="194"/>
      <c r="X197" s="249"/>
      <c r="Y197" s="250"/>
      <c r="Z197" s="251"/>
      <c r="AA197" s="252"/>
    </row>
    <row r="198" spans="1:27">
      <c r="A198" s="1503">
        <f t="shared" si="27"/>
        <v>16</v>
      </c>
      <c r="C198" s="1912"/>
      <c r="D198" s="1805"/>
      <c r="E198" s="1915"/>
      <c r="F198" s="1915"/>
      <c r="G198" s="1549"/>
      <c r="H198" s="1549"/>
      <c r="I198" s="1504"/>
      <c r="J198" s="1504"/>
      <c r="K198" s="1916"/>
      <c r="L198" s="1504"/>
      <c r="M198" s="1917"/>
      <c r="P198" s="248"/>
      <c r="Q198" s="248"/>
      <c r="R198" s="248"/>
      <c r="S198" s="248"/>
      <c r="T198" s="247"/>
      <c r="U198" s="248"/>
      <c r="V198" s="248"/>
      <c r="W198" s="194"/>
      <c r="X198" s="249"/>
      <c r="Y198" s="250"/>
      <c r="Z198" s="251"/>
      <c r="AA198" s="252"/>
    </row>
    <row r="199" spans="1:27">
      <c r="A199" s="1503">
        <f t="shared" si="27"/>
        <v>17</v>
      </c>
      <c r="C199" s="1912"/>
      <c r="D199" s="1805"/>
      <c r="E199" s="1915"/>
      <c r="F199" s="1915"/>
      <c r="G199" s="1549"/>
      <c r="H199" s="1549"/>
      <c r="I199" s="1504"/>
      <c r="J199" s="1504"/>
      <c r="K199" s="1916"/>
      <c r="L199" s="1504"/>
      <c r="M199" s="1917"/>
      <c r="P199" s="248"/>
      <c r="Q199" s="248"/>
      <c r="R199" s="248"/>
      <c r="S199" s="248"/>
      <c r="T199" s="247"/>
      <c r="U199" s="248"/>
      <c r="V199" s="248"/>
      <c r="W199" s="194"/>
      <c r="X199" s="249"/>
      <c r="Y199" s="250"/>
      <c r="Z199" s="251"/>
      <c r="AA199" s="252"/>
    </row>
    <row r="200" spans="1:27">
      <c r="A200" s="1503">
        <f t="shared" si="27"/>
        <v>18</v>
      </c>
      <c r="C200" s="1912"/>
      <c r="D200" s="1805"/>
      <c r="E200" s="1915"/>
      <c r="F200" s="1915"/>
      <c r="G200" s="1549"/>
      <c r="H200" s="1549"/>
      <c r="I200" s="1504"/>
      <c r="J200" s="1504"/>
      <c r="K200" s="1916"/>
      <c r="L200" s="1504"/>
      <c r="M200" s="1917"/>
      <c r="P200" s="248"/>
      <c r="Q200" s="248"/>
      <c r="R200" s="248"/>
      <c r="S200" s="248"/>
      <c r="T200" s="247"/>
      <c r="U200" s="248"/>
      <c r="V200" s="248"/>
      <c r="W200" s="194"/>
      <c r="X200" s="249"/>
      <c r="Y200" s="250"/>
      <c r="Z200" s="251"/>
      <c r="AA200" s="252"/>
    </row>
    <row r="201" spans="1:27">
      <c r="A201" s="1503">
        <f t="shared" si="27"/>
        <v>19</v>
      </c>
      <c r="C201" s="1912"/>
      <c r="D201" s="1805"/>
      <c r="E201" s="1915"/>
      <c r="F201" s="1915"/>
      <c r="G201" s="1549"/>
      <c r="H201" s="1549"/>
      <c r="I201" s="1504"/>
      <c r="J201" s="1504"/>
      <c r="K201" s="1916"/>
      <c r="L201" s="1504"/>
      <c r="M201" s="1917"/>
      <c r="P201" s="248"/>
      <c r="Q201" s="248"/>
      <c r="R201" s="248"/>
      <c r="S201" s="248"/>
      <c r="T201" s="247"/>
      <c r="U201" s="248"/>
      <c r="V201" s="248"/>
      <c r="W201" s="194"/>
      <c r="X201" s="249"/>
      <c r="Y201" s="250"/>
      <c r="Z201" s="251"/>
      <c r="AA201" s="252"/>
    </row>
    <row r="202" spans="1:27">
      <c r="A202" s="1503">
        <f t="shared" si="27"/>
        <v>20</v>
      </c>
      <c r="C202" s="1912"/>
      <c r="D202" s="1805"/>
      <c r="E202" s="1915"/>
      <c r="F202" s="1915"/>
      <c r="G202" s="1549"/>
      <c r="H202" s="1549"/>
      <c r="I202" s="1504"/>
      <c r="J202" s="1504"/>
      <c r="K202" s="1916"/>
      <c r="L202" s="1504"/>
      <c r="M202" s="1917"/>
      <c r="P202" s="248"/>
      <c r="Q202" s="248"/>
      <c r="R202" s="248"/>
      <c r="S202" s="248"/>
      <c r="T202" s="247"/>
      <c r="U202" s="248"/>
      <c r="V202" s="248"/>
      <c r="W202" s="194"/>
      <c r="X202" s="249"/>
      <c r="Y202" s="250"/>
      <c r="Z202" s="251"/>
      <c r="AA202" s="252"/>
    </row>
    <row r="203" spans="1:27">
      <c r="A203" s="1503">
        <f t="shared" si="27"/>
        <v>21</v>
      </c>
      <c r="C203" s="1912"/>
      <c r="D203" s="1805"/>
      <c r="E203" s="1915"/>
      <c r="F203" s="1915"/>
      <c r="G203" s="1549"/>
      <c r="H203" s="1549"/>
      <c r="I203" s="1504"/>
      <c r="J203" s="1504"/>
      <c r="K203" s="1916"/>
      <c r="L203" s="1504"/>
      <c r="M203" s="1917"/>
      <c r="P203" s="248"/>
      <c r="Q203" s="248"/>
      <c r="R203" s="248"/>
      <c r="S203" s="248"/>
      <c r="T203" s="247"/>
      <c r="U203" s="248"/>
      <c r="V203" s="248"/>
      <c r="W203" s="194"/>
      <c r="X203" s="249"/>
      <c r="Y203" s="250"/>
      <c r="Z203" s="251"/>
      <c r="AA203" s="252"/>
    </row>
    <row r="204" spans="1:27">
      <c r="A204" s="1503">
        <f t="shared" si="27"/>
        <v>22</v>
      </c>
      <c r="C204" s="1912"/>
      <c r="D204" s="1805"/>
      <c r="E204" s="1915"/>
      <c r="F204" s="1915"/>
      <c r="G204" s="1549"/>
      <c r="H204" s="1549"/>
      <c r="I204" s="1504"/>
      <c r="J204" s="1504"/>
      <c r="K204" s="1916"/>
      <c r="L204" s="1504"/>
      <c r="M204" s="1917"/>
      <c r="P204" s="248"/>
      <c r="Q204" s="248"/>
      <c r="R204" s="248"/>
      <c r="S204" s="248"/>
      <c r="T204" s="247"/>
      <c r="U204" s="248"/>
      <c r="V204" s="248"/>
      <c r="W204" s="194"/>
      <c r="X204" s="249"/>
      <c r="Y204" s="250"/>
      <c r="Z204" s="251"/>
      <c r="AA204" s="252"/>
    </row>
    <row r="205" spans="1:27">
      <c r="A205" s="1503">
        <f t="shared" si="27"/>
        <v>23</v>
      </c>
      <c r="C205" s="1912"/>
      <c r="D205" s="1805"/>
      <c r="E205" s="1915"/>
      <c r="F205" s="1915"/>
      <c r="G205" s="1549"/>
      <c r="H205" s="1549"/>
      <c r="I205" s="1504"/>
      <c r="J205" s="1504"/>
      <c r="K205" s="1916"/>
      <c r="L205" s="1504"/>
      <c r="M205" s="1917"/>
      <c r="P205" s="248"/>
      <c r="Q205" s="248"/>
      <c r="R205" s="248"/>
      <c r="S205" s="248"/>
      <c r="T205" s="247"/>
      <c r="U205" s="248"/>
      <c r="V205" s="248"/>
      <c r="W205" s="194"/>
      <c r="X205" s="249"/>
      <c r="Y205" s="250"/>
      <c r="Z205" s="251"/>
      <c r="AA205" s="252"/>
    </row>
    <row r="206" spans="1:27">
      <c r="A206" s="1503">
        <f t="shared" si="27"/>
        <v>24</v>
      </c>
      <c r="C206" s="1912"/>
      <c r="D206" s="1805"/>
      <c r="E206" s="1915"/>
      <c r="F206" s="1915"/>
      <c r="G206" s="1549"/>
      <c r="H206" s="1549"/>
      <c r="I206" s="1504"/>
      <c r="J206" s="1504"/>
      <c r="K206" s="1916"/>
      <c r="L206" s="1504"/>
      <c r="M206" s="1917"/>
      <c r="P206" s="248"/>
      <c r="Q206" s="248"/>
      <c r="R206" s="248"/>
      <c r="S206" s="248"/>
      <c r="T206" s="247"/>
      <c r="U206" s="248"/>
      <c r="V206" s="248"/>
      <c r="W206" s="194"/>
      <c r="X206" s="249"/>
      <c r="Y206" s="250"/>
      <c r="Z206" s="251"/>
      <c r="AA206" s="252"/>
    </row>
    <row r="207" spans="1:27">
      <c r="A207" s="1503">
        <f t="shared" si="27"/>
        <v>25</v>
      </c>
      <c r="C207" s="1912"/>
      <c r="D207" s="1805"/>
      <c r="E207" s="1915"/>
      <c r="F207" s="1915"/>
      <c r="G207" s="1549"/>
      <c r="H207" s="1549"/>
      <c r="I207" s="1504"/>
      <c r="J207" s="1504"/>
      <c r="K207" s="1916"/>
      <c r="L207" s="1504"/>
      <c r="M207" s="1917"/>
      <c r="P207" s="248"/>
      <c r="Q207" s="248"/>
      <c r="R207" s="248"/>
      <c r="S207" s="248"/>
      <c r="T207" s="247"/>
      <c r="U207" s="248"/>
      <c r="V207" s="248"/>
      <c r="W207" s="194"/>
      <c r="X207" s="249"/>
      <c r="Y207" s="250"/>
      <c r="Z207" s="251"/>
      <c r="AA207" s="252"/>
    </row>
    <row r="208" spans="1:27">
      <c r="A208" s="1503">
        <f t="shared" si="27"/>
        <v>26</v>
      </c>
      <c r="C208" s="1912"/>
      <c r="D208" s="1805"/>
      <c r="E208" s="1915"/>
      <c r="F208" s="1915"/>
      <c r="G208" s="1549"/>
      <c r="H208" s="1549"/>
      <c r="I208" s="1504"/>
      <c r="J208" s="1504"/>
      <c r="K208" s="1916"/>
      <c r="L208" s="1504"/>
      <c r="M208" s="1917"/>
      <c r="P208" s="248"/>
      <c r="Q208" s="248"/>
      <c r="R208" s="248"/>
      <c r="S208" s="248"/>
      <c r="T208" s="247"/>
      <c r="U208" s="248"/>
      <c r="V208" s="248"/>
      <c r="W208" s="194"/>
      <c r="X208" s="249"/>
      <c r="Y208" s="250"/>
      <c r="Z208" s="251"/>
      <c r="AA208" s="252"/>
    </row>
    <row r="209" spans="1:27">
      <c r="A209" s="1503">
        <f t="shared" si="27"/>
        <v>27</v>
      </c>
      <c r="C209" s="1912"/>
      <c r="D209" s="1805"/>
      <c r="E209" s="1915"/>
      <c r="F209" s="1915"/>
      <c r="G209" s="1549"/>
      <c r="H209" s="1549"/>
      <c r="I209" s="1504"/>
      <c r="J209" s="1504"/>
      <c r="K209" s="1916"/>
      <c r="L209" s="1504"/>
      <c r="M209" s="1917"/>
      <c r="P209" s="248"/>
      <c r="Q209" s="248"/>
      <c r="R209" s="248"/>
      <c r="S209" s="248"/>
      <c r="T209" s="247"/>
      <c r="U209" s="248"/>
      <c r="V209" s="248"/>
      <c r="W209" s="194"/>
      <c r="X209" s="249"/>
      <c r="Y209" s="250"/>
      <c r="Z209" s="251"/>
      <c r="AA209" s="252"/>
    </row>
    <row r="210" spans="1:27">
      <c r="A210" s="1503">
        <f t="shared" si="27"/>
        <v>28</v>
      </c>
      <c r="C210" s="1912"/>
      <c r="D210" s="1805"/>
      <c r="E210" s="1915"/>
      <c r="F210" s="1915"/>
      <c r="G210" s="1549"/>
      <c r="H210" s="1549"/>
      <c r="I210" s="1504"/>
      <c r="J210" s="1504"/>
      <c r="K210" s="1916"/>
      <c r="L210" s="1504"/>
      <c r="M210" s="1917"/>
      <c r="P210" s="248"/>
      <c r="Q210" s="248"/>
      <c r="R210" s="248"/>
      <c r="S210" s="248"/>
      <c r="T210" s="247"/>
      <c r="U210" s="248"/>
      <c r="V210" s="248"/>
      <c r="W210" s="194"/>
      <c r="X210" s="249"/>
      <c r="Y210" s="250"/>
      <c r="Z210" s="251"/>
      <c r="AA210" s="252"/>
    </row>
    <row r="211" spans="1:27">
      <c r="A211" s="1503">
        <f t="shared" si="27"/>
        <v>29</v>
      </c>
      <c r="C211" s="1912"/>
      <c r="D211" s="1805"/>
      <c r="E211" s="1915"/>
      <c r="F211" s="1915"/>
      <c r="G211" s="1549"/>
      <c r="H211" s="1549"/>
      <c r="I211" s="1504"/>
      <c r="J211" s="1504"/>
      <c r="K211" s="1916"/>
      <c r="L211" s="1504"/>
      <c r="M211" s="1917"/>
      <c r="P211" s="248"/>
      <c r="Q211" s="248"/>
      <c r="R211" s="248"/>
      <c r="S211" s="248"/>
      <c r="T211" s="247"/>
      <c r="U211" s="248"/>
      <c r="V211" s="248"/>
      <c r="W211" s="194"/>
      <c r="X211" s="249"/>
      <c r="Y211" s="250"/>
      <c r="Z211" s="251"/>
      <c r="AA211" s="252"/>
    </row>
    <row r="212" spans="1:27">
      <c r="A212" s="1503">
        <f t="shared" si="27"/>
        <v>30</v>
      </c>
      <c r="C212" s="1912"/>
      <c r="D212" s="1805"/>
      <c r="E212" s="1915"/>
      <c r="F212" s="1915"/>
      <c r="G212" s="1549"/>
      <c r="H212" s="1549"/>
      <c r="I212" s="1504"/>
      <c r="J212" s="1504"/>
      <c r="K212" s="1916"/>
      <c r="L212" s="1504"/>
      <c r="M212" s="1917"/>
      <c r="P212" s="248"/>
      <c r="Q212" s="248"/>
      <c r="R212" s="248"/>
      <c r="S212" s="248"/>
      <c r="T212" s="247"/>
      <c r="U212" s="248"/>
      <c r="V212" s="248"/>
      <c r="W212" s="194"/>
      <c r="X212" s="249"/>
      <c r="Y212" s="250"/>
      <c r="Z212" s="251"/>
      <c r="AA212" s="252"/>
    </row>
    <row r="213" spans="1:27">
      <c r="A213" s="1503">
        <f t="shared" si="27"/>
        <v>31</v>
      </c>
      <c r="C213" s="1912"/>
      <c r="D213" s="1805"/>
      <c r="E213" s="1915"/>
      <c r="F213" s="1915"/>
      <c r="G213" s="1549"/>
      <c r="H213" s="1549"/>
      <c r="I213" s="1504"/>
      <c r="J213" s="1504"/>
      <c r="K213" s="1916"/>
      <c r="L213" s="1504"/>
      <c r="M213" s="1917"/>
      <c r="P213" s="248"/>
      <c r="Q213" s="248"/>
      <c r="R213" s="248"/>
      <c r="S213" s="248"/>
      <c r="T213" s="247"/>
      <c r="U213" s="248"/>
      <c r="V213" s="248"/>
      <c r="W213" s="194"/>
      <c r="X213" s="249"/>
      <c r="Y213" s="250"/>
      <c r="Z213" s="251"/>
      <c r="AA213" s="252"/>
    </row>
    <row r="214" spans="1:27">
      <c r="A214" s="1503">
        <f t="shared" si="27"/>
        <v>32</v>
      </c>
      <c r="C214" s="1912"/>
      <c r="D214" s="1805"/>
      <c r="E214" s="1915"/>
      <c r="F214" s="1915"/>
      <c r="G214" s="1549"/>
      <c r="H214" s="1549"/>
      <c r="I214" s="1504"/>
      <c r="J214" s="1504"/>
      <c r="K214" s="1916"/>
      <c r="L214" s="1504"/>
      <c r="M214" s="1917"/>
      <c r="P214" s="248"/>
      <c r="Q214" s="248"/>
      <c r="R214" s="248"/>
      <c r="S214" s="248"/>
      <c r="T214" s="247"/>
      <c r="U214" s="248"/>
      <c r="V214" s="248"/>
      <c r="W214" s="194"/>
      <c r="X214" s="249"/>
      <c r="Y214" s="250"/>
      <c r="Z214" s="251"/>
      <c r="AA214" s="252"/>
    </row>
    <row r="215" spans="1:27">
      <c r="A215" s="1503">
        <f t="shared" si="27"/>
        <v>33</v>
      </c>
      <c r="C215" s="1912"/>
      <c r="D215" s="1805"/>
      <c r="E215" s="1915"/>
      <c r="F215" s="1915"/>
      <c r="G215" s="1549"/>
      <c r="H215" s="1549"/>
      <c r="I215" s="1504"/>
      <c r="J215" s="1504"/>
      <c r="K215" s="1916"/>
      <c r="L215" s="1504"/>
      <c r="M215" s="1917"/>
      <c r="P215" s="248"/>
      <c r="Q215" s="248"/>
      <c r="R215" s="248"/>
      <c r="S215" s="248"/>
      <c r="T215" s="247"/>
      <c r="U215" s="248"/>
      <c r="V215" s="248"/>
      <c r="W215" s="194"/>
      <c r="X215" s="249"/>
      <c r="Y215" s="250"/>
      <c r="Z215" s="251"/>
      <c r="AA215" s="252"/>
    </row>
    <row r="216" spans="1:27">
      <c r="A216" s="1503">
        <f t="shared" si="27"/>
        <v>34</v>
      </c>
      <c r="C216" s="1912"/>
      <c r="D216" s="1805"/>
      <c r="E216" s="1915"/>
      <c r="F216" s="1915"/>
      <c r="G216" s="1549"/>
      <c r="H216" s="1549"/>
      <c r="I216" s="1504"/>
      <c r="J216" s="1504"/>
      <c r="K216" s="1916"/>
      <c r="L216" s="1504"/>
      <c r="M216" s="1917"/>
      <c r="P216" s="248"/>
      <c r="Q216" s="248"/>
      <c r="R216" s="248"/>
      <c r="S216" s="248"/>
      <c r="T216" s="247"/>
      <c r="U216" s="248"/>
      <c r="V216" s="248"/>
      <c r="W216" s="194"/>
      <c r="X216" s="249"/>
      <c r="Y216" s="250"/>
      <c r="Z216" s="251"/>
      <c r="AA216" s="252"/>
    </row>
    <row r="217" spans="1:27">
      <c r="A217" s="1503">
        <f t="shared" si="27"/>
        <v>35</v>
      </c>
      <c r="C217" s="1912"/>
      <c r="D217" s="1805"/>
      <c r="E217" s="1915"/>
      <c r="F217" s="1915"/>
      <c r="G217" s="1549"/>
      <c r="H217" s="1549"/>
      <c r="I217" s="1504"/>
      <c r="J217" s="1504"/>
      <c r="K217" s="1916"/>
      <c r="L217" s="1504"/>
      <c r="M217" s="1917"/>
      <c r="P217" s="248"/>
      <c r="Q217" s="248"/>
      <c r="R217" s="248"/>
      <c r="S217" s="248"/>
      <c r="T217" s="247"/>
      <c r="U217" s="248"/>
      <c r="V217" s="248"/>
      <c r="W217" s="194"/>
      <c r="X217" s="249"/>
      <c r="Y217" s="250"/>
      <c r="Z217" s="251"/>
      <c r="AA217" s="252"/>
    </row>
    <row r="218" spans="1:27">
      <c r="A218" s="1503">
        <f t="shared" si="27"/>
        <v>36</v>
      </c>
      <c r="C218" s="1912"/>
      <c r="D218" s="1805"/>
      <c r="E218" s="1915"/>
      <c r="F218" s="1915"/>
      <c r="G218" s="1549"/>
      <c r="H218" s="1549"/>
      <c r="I218" s="1504"/>
      <c r="J218" s="1504"/>
      <c r="K218" s="1916"/>
      <c r="L218" s="1504"/>
      <c r="M218" s="1917"/>
      <c r="P218" s="248"/>
      <c r="Q218" s="248"/>
      <c r="R218" s="248"/>
      <c r="S218" s="248"/>
      <c r="T218" s="247"/>
      <c r="U218" s="248"/>
      <c r="V218" s="248"/>
      <c r="W218" s="194"/>
      <c r="X218" s="249"/>
      <c r="Y218" s="250"/>
      <c r="Z218" s="251"/>
      <c r="AA218" s="252"/>
    </row>
    <row r="219" spans="1:27">
      <c r="A219" s="1503">
        <f t="shared" si="27"/>
        <v>37</v>
      </c>
      <c r="C219" s="1912"/>
      <c r="D219" s="1805"/>
      <c r="E219" s="1915"/>
      <c r="F219" s="1915"/>
      <c r="G219" s="1549"/>
      <c r="H219" s="1549"/>
      <c r="I219" s="1504"/>
      <c r="J219" s="1504"/>
      <c r="K219" s="1916"/>
      <c r="L219" s="1504"/>
      <c r="M219" s="1917"/>
      <c r="P219" s="248"/>
      <c r="Q219" s="248"/>
      <c r="R219" s="248"/>
      <c r="S219" s="248"/>
      <c r="T219" s="247"/>
      <c r="U219" s="248"/>
      <c r="V219" s="248"/>
      <c r="W219" s="194"/>
      <c r="X219" s="249"/>
      <c r="Y219" s="250"/>
      <c r="Z219" s="251"/>
      <c r="AA219" s="252"/>
    </row>
    <row r="220" spans="1:27">
      <c r="A220" s="1503">
        <f t="shared" si="27"/>
        <v>38</v>
      </c>
      <c r="C220" s="1912"/>
      <c r="D220" s="1805"/>
      <c r="E220" s="1915"/>
      <c r="F220" s="1915"/>
      <c r="G220" s="1549"/>
      <c r="H220" s="1549"/>
      <c r="I220" s="1504"/>
      <c r="J220" s="1504"/>
      <c r="K220" s="1916"/>
      <c r="L220" s="1504"/>
      <c r="M220" s="1917"/>
      <c r="P220" s="248"/>
      <c r="Q220" s="248"/>
      <c r="R220" s="248"/>
      <c r="S220" s="248"/>
      <c r="T220" s="247"/>
      <c r="U220" s="248"/>
      <c r="V220" s="248"/>
      <c r="W220" s="194"/>
      <c r="X220" s="249"/>
      <c r="Y220" s="250"/>
      <c r="Z220" s="251"/>
      <c r="AA220" s="252"/>
    </row>
    <row r="221" spans="1:27">
      <c r="A221" s="1503">
        <f t="shared" si="27"/>
        <v>39</v>
      </c>
      <c r="C221" s="1912"/>
      <c r="D221" s="1805"/>
      <c r="E221" s="1915"/>
      <c r="F221" s="1915"/>
      <c r="G221" s="1549"/>
      <c r="H221" s="1549"/>
      <c r="I221" s="1504"/>
      <c r="J221" s="1504"/>
      <c r="K221" s="1916"/>
      <c r="L221" s="1504"/>
      <c r="M221" s="1917"/>
      <c r="P221" s="248"/>
      <c r="Q221" s="248"/>
      <c r="R221" s="248"/>
      <c r="S221" s="248"/>
      <c r="T221" s="247"/>
      <c r="U221" s="248"/>
      <c r="V221" s="248"/>
      <c r="W221" s="194"/>
      <c r="X221" s="249"/>
      <c r="Y221" s="250"/>
      <c r="Z221" s="251"/>
      <c r="AA221" s="252"/>
    </row>
    <row r="222" spans="1:27">
      <c r="A222" s="1503">
        <f t="shared" si="27"/>
        <v>40</v>
      </c>
      <c r="C222" s="1912"/>
      <c r="D222" s="1805"/>
      <c r="E222" s="1915"/>
      <c r="F222" s="1915"/>
      <c r="G222" s="1549"/>
      <c r="H222" s="1549"/>
      <c r="I222" s="1504"/>
      <c r="J222" s="1504"/>
      <c r="K222" s="1916"/>
      <c r="L222" s="1504"/>
      <c r="M222" s="1917"/>
      <c r="P222" s="248"/>
      <c r="Q222" s="248"/>
      <c r="R222" s="248"/>
      <c r="S222" s="248"/>
      <c r="T222" s="247"/>
      <c r="U222" s="248"/>
      <c r="V222" s="248"/>
      <c r="W222" s="194"/>
      <c r="X222" s="249"/>
      <c r="Y222" s="250"/>
      <c r="Z222" s="251"/>
      <c r="AA222" s="252"/>
    </row>
    <row r="223" spans="1:27">
      <c r="A223" s="1503">
        <f t="shared" si="27"/>
        <v>41</v>
      </c>
      <c r="C223" s="1912"/>
      <c r="D223" s="1805"/>
      <c r="E223" s="1915"/>
      <c r="F223" s="1915"/>
      <c r="G223" s="1549"/>
      <c r="H223" s="1549"/>
      <c r="I223" s="1504"/>
      <c r="J223" s="1504"/>
      <c r="K223" s="1916"/>
      <c r="L223" s="1504"/>
      <c r="M223" s="1917"/>
      <c r="P223" s="248"/>
      <c r="Q223" s="248"/>
      <c r="R223" s="248"/>
      <c r="S223" s="248"/>
      <c r="T223" s="247"/>
      <c r="U223" s="248"/>
      <c r="V223" s="248"/>
      <c r="W223" s="194"/>
      <c r="X223" s="249"/>
      <c r="Y223" s="250"/>
      <c r="Z223" s="251"/>
      <c r="AA223" s="252"/>
    </row>
    <row r="224" spans="1:27">
      <c r="A224" s="1503">
        <f t="shared" si="27"/>
        <v>42</v>
      </c>
      <c r="C224" s="1912"/>
      <c r="D224" s="1805"/>
      <c r="E224" s="1915"/>
      <c r="F224" s="1915"/>
      <c r="G224" s="1549"/>
      <c r="H224" s="1549"/>
      <c r="I224" s="1504"/>
      <c r="J224" s="1504"/>
      <c r="K224" s="1916"/>
      <c r="L224" s="1504"/>
      <c r="M224" s="1917"/>
      <c r="P224" s="248"/>
      <c r="Q224" s="248"/>
      <c r="R224" s="248"/>
      <c r="S224" s="248"/>
      <c r="T224" s="247"/>
      <c r="U224" s="248"/>
      <c r="V224" s="248"/>
      <c r="W224" s="194"/>
      <c r="X224" s="249"/>
      <c r="Y224" s="250"/>
      <c r="Z224" s="251"/>
      <c r="AA224" s="252"/>
    </row>
    <row r="225" spans="1:27">
      <c r="A225" s="1503">
        <f t="shared" si="27"/>
        <v>43</v>
      </c>
      <c r="C225" s="1912"/>
      <c r="D225" s="1805"/>
      <c r="E225" s="1915"/>
      <c r="F225" s="1915"/>
      <c r="G225" s="1549"/>
      <c r="H225" s="1549"/>
      <c r="I225" s="1504"/>
      <c r="J225" s="1504"/>
      <c r="K225" s="1916"/>
      <c r="L225" s="1504"/>
      <c r="M225" s="1917"/>
      <c r="P225" s="248"/>
      <c r="Q225" s="248"/>
      <c r="R225" s="248"/>
      <c r="S225" s="248"/>
      <c r="T225" s="247"/>
      <c r="U225" s="248"/>
      <c r="V225" s="248"/>
      <c r="W225" s="194"/>
      <c r="X225" s="249"/>
      <c r="Y225" s="250"/>
      <c r="Z225" s="251"/>
      <c r="AA225" s="252"/>
    </row>
    <row r="226" spans="1:27">
      <c r="A226" s="1503">
        <f t="shared" si="27"/>
        <v>44</v>
      </c>
      <c r="C226" s="1912"/>
      <c r="D226" s="1805"/>
      <c r="E226" s="1915"/>
      <c r="F226" s="1915"/>
      <c r="G226" s="1549"/>
      <c r="H226" s="1549"/>
      <c r="I226" s="1504"/>
      <c r="J226" s="1504"/>
      <c r="K226" s="1916"/>
      <c r="L226" s="1504"/>
      <c r="M226" s="1917"/>
      <c r="P226" s="248"/>
      <c r="Q226" s="248"/>
      <c r="R226" s="248"/>
      <c r="S226" s="248"/>
      <c r="T226" s="247"/>
      <c r="U226" s="248"/>
      <c r="V226" s="248"/>
      <c r="W226" s="194"/>
      <c r="X226" s="249"/>
      <c r="Y226" s="250"/>
      <c r="Z226" s="251"/>
      <c r="AA226" s="252"/>
    </row>
    <row r="227" spans="1:27">
      <c r="A227" s="1503">
        <f t="shared" si="27"/>
        <v>45</v>
      </c>
      <c r="C227" s="1912"/>
      <c r="D227" s="1805"/>
      <c r="E227" s="1915"/>
      <c r="F227" s="1915"/>
      <c r="G227" s="1549"/>
      <c r="H227" s="1549"/>
      <c r="I227" s="1504"/>
      <c r="J227" s="1504"/>
      <c r="K227" s="1916"/>
      <c r="L227" s="1504"/>
      <c r="M227" s="1917"/>
      <c r="P227" s="248"/>
      <c r="Q227" s="248"/>
      <c r="R227" s="248"/>
      <c r="S227" s="248"/>
      <c r="T227" s="247"/>
      <c r="U227" s="248"/>
      <c r="V227" s="248"/>
      <c r="W227" s="194"/>
      <c r="X227" s="249"/>
      <c r="Y227" s="250"/>
      <c r="Z227" s="251"/>
      <c r="AA227" s="252"/>
    </row>
    <row r="228" spans="1:27">
      <c r="A228" s="1503">
        <f t="shared" si="27"/>
        <v>46</v>
      </c>
      <c r="C228" s="1912"/>
      <c r="D228" s="1805"/>
      <c r="E228" s="1915"/>
      <c r="F228" s="1915"/>
      <c r="G228" s="1549"/>
      <c r="H228" s="1549"/>
      <c r="I228" s="1504"/>
      <c r="J228" s="1504"/>
      <c r="K228" s="1916"/>
      <c r="L228" s="1504"/>
      <c r="M228" s="1917"/>
      <c r="P228" s="248"/>
      <c r="Q228" s="248"/>
      <c r="R228" s="248"/>
      <c r="S228" s="248"/>
      <c r="T228" s="247"/>
      <c r="U228" s="248"/>
      <c r="V228" s="248"/>
      <c r="W228" s="194"/>
      <c r="X228" s="249"/>
      <c r="Y228" s="250"/>
      <c r="Z228" s="251"/>
      <c r="AA228" s="252"/>
    </row>
    <row r="229" spans="1:27">
      <c r="A229" s="1503">
        <f t="shared" si="27"/>
        <v>47</v>
      </c>
      <c r="C229" s="1912"/>
      <c r="D229" s="1805"/>
      <c r="E229" s="1915"/>
      <c r="F229" s="1915"/>
      <c r="G229" s="1549"/>
      <c r="H229" s="1549"/>
      <c r="I229" s="1504"/>
      <c r="J229" s="1504"/>
      <c r="K229" s="1916"/>
      <c r="L229" s="1504"/>
      <c r="M229" s="1917"/>
      <c r="P229" s="248"/>
      <c r="Q229" s="248"/>
      <c r="R229" s="248"/>
      <c r="S229" s="248"/>
      <c r="T229" s="247"/>
      <c r="U229" s="248"/>
      <c r="V229" s="248"/>
      <c r="W229" s="194"/>
      <c r="X229" s="249"/>
      <c r="Y229" s="250"/>
      <c r="Z229" s="251"/>
      <c r="AA229" s="252"/>
    </row>
    <row r="230" spans="1:27">
      <c r="A230" s="1503">
        <f t="shared" si="27"/>
        <v>48</v>
      </c>
      <c r="C230" s="1912"/>
      <c r="D230" s="1805"/>
      <c r="E230" s="1915"/>
      <c r="F230" s="1915"/>
      <c r="G230" s="1549"/>
      <c r="H230" s="1549"/>
      <c r="I230" s="1504"/>
      <c r="J230" s="1504"/>
      <c r="K230" s="1916"/>
      <c r="L230" s="1504"/>
      <c r="M230" s="1917"/>
      <c r="P230" s="248"/>
      <c r="Q230" s="248"/>
      <c r="R230" s="248"/>
      <c r="S230" s="248"/>
      <c r="T230" s="247"/>
      <c r="U230" s="248"/>
      <c r="V230" s="248"/>
      <c r="W230" s="194"/>
      <c r="X230" s="249"/>
      <c r="Y230" s="250"/>
      <c r="Z230" s="251"/>
      <c r="AA230" s="252"/>
    </row>
    <row r="231" spans="1:27">
      <c r="A231" s="1503">
        <f t="shared" si="27"/>
        <v>49</v>
      </c>
      <c r="C231" s="1912"/>
      <c r="D231" s="1805"/>
      <c r="E231" s="1915"/>
      <c r="F231" s="1915"/>
      <c r="G231" s="1549"/>
      <c r="H231" s="1549"/>
      <c r="I231" s="1504"/>
      <c r="J231" s="1504"/>
      <c r="K231" s="1916"/>
      <c r="L231" s="1504"/>
      <c r="M231" s="1917"/>
      <c r="P231" s="248"/>
      <c r="Q231" s="248"/>
      <c r="R231" s="248"/>
      <c r="S231" s="248"/>
      <c r="T231" s="247"/>
      <c r="U231" s="248"/>
      <c r="V231" s="248"/>
      <c r="W231" s="194"/>
      <c r="X231" s="249"/>
      <c r="Y231" s="250"/>
      <c r="Z231" s="251"/>
      <c r="AA231" s="252"/>
    </row>
    <row r="232" spans="1:27">
      <c r="A232" s="1503">
        <f t="shared" ref="A232:A295" si="32">+A231+1</f>
        <v>50</v>
      </c>
      <c r="C232" s="1912"/>
      <c r="D232" s="1805"/>
      <c r="E232" s="1915"/>
      <c r="F232" s="1915"/>
      <c r="G232" s="1549"/>
      <c r="H232" s="1549"/>
      <c r="I232" s="1504"/>
      <c r="J232" s="1504"/>
      <c r="K232" s="1916"/>
      <c r="L232" s="1504"/>
      <c r="M232" s="1917"/>
      <c r="P232" s="248"/>
      <c r="Q232" s="248"/>
      <c r="R232" s="248"/>
      <c r="S232" s="248"/>
      <c r="T232" s="247"/>
      <c r="U232" s="248"/>
      <c r="V232" s="248"/>
      <c r="W232" s="194"/>
      <c r="X232" s="249"/>
      <c r="Y232" s="250"/>
      <c r="Z232" s="251"/>
      <c r="AA232" s="252"/>
    </row>
    <row r="233" spans="1:27">
      <c r="A233" s="1503">
        <f t="shared" si="32"/>
        <v>51</v>
      </c>
      <c r="C233" s="1912"/>
      <c r="D233" s="1805"/>
      <c r="E233" s="1915"/>
      <c r="F233" s="1915"/>
      <c r="G233" s="1549"/>
      <c r="H233" s="1549"/>
      <c r="I233" s="1504"/>
      <c r="J233" s="1504"/>
      <c r="K233" s="1916"/>
      <c r="L233" s="1504"/>
      <c r="M233" s="1917"/>
      <c r="P233" s="248"/>
      <c r="Q233" s="248"/>
      <c r="R233" s="248"/>
      <c r="S233" s="248"/>
      <c r="T233" s="247"/>
      <c r="U233" s="248"/>
      <c r="V233" s="248"/>
      <c r="W233" s="194"/>
      <c r="X233" s="249"/>
      <c r="Y233" s="250"/>
      <c r="Z233" s="251"/>
      <c r="AA233" s="252"/>
    </row>
    <row r="234" spans="1:27">
      <c r="A234" s="1503">
        <f t="shared" si="32"/>
        <v>52</v>
      </c>
      <c r="C234" s="1912"/>
      <c r="D234" s="1805"/>
      <c r="E234" s="1915"/>
      <c r="F234" s="1915"/>
      <c r="G234" s="1549"/>
      <c r="H234" s="1549"/>
      <c r="I234" s="1504"/>
      <c r="J234" s="1504"/>
      <c r="K234" s="1916"/>
      <c r="L234" s="1504"/>
      <c r="M234" s="1917"/>
      <c r="P234" s="248"/>
      <c r="Q234" s="248"/>
      <c r="R234" s="248"/>
      <c r="S234" s="248"/>
      <c r="T234" s="247"/>
      <c r="U234" s="248"/>
      <c r="V234" s="248"/>
      <c r="W234" s="194"/>
      <c r="X234" s="249"/>
      <c r="Y234" s="250"/>
      <c r="Z234" s="251"/>
      <c r="AA234" s="252"/>
    </row>
    <row r="235" spans="1:27">
      <c r="A235" s="1503">
        <f t="shared" si="32"/>
        <v>53</v>
      </c>
      <c r="C235" s="1912"/>
      <c r="D235" s="1805"/>
      <c r="E235" s="1915"/>
      <c r="F235" s="1915"/>
      <c r="G235" s="1549"/>
      <c r="H235" s="1549"/>
      <c r="I235" s="1504"/>
      <c r="J235" s="1504"/>
      <c r="K235" s="1916"/>
      <c r="L235" s="1504"/>
      <c r="M235" s="1917"/>
      <c r="P235" s="248"/>
      <c r="Q235" s="248"/>
      <c r="R235" s="248"/>
      <c r="S235" s="248"/>
      <c r="T235" s="247"/>
      <c r="U235" s="248"/>
      <c r="V235" s="248"/>
      <c r="W235" s="194"/>
      <c r="X235" s="249"/>
      <c r="Y235" s="250"/>
      <c r="Z235" s="251"/>
      <c r="AA235" s="252"/>
    </row>
    <row r="236" spans="1:27">
      <c r="A236" s="1503">
        <f t="shared" si="32"/>
        <v>54</v>
      </c>
      <c r="C236" s="1912"/>
      <c r="D236" s="1805"/>
      <c r="E236" s="1915"/>
      <c r="F236" s="1915"/>
      <c r="G236" s="1549"/>
      <c r="H236" s="1549"/>
      <c r="I236" s="1504"/>
      <c r="J236" s="1504"/>
      <c r="K236" s="1916"/>
      <c r="L236" s="1504"/>
      <c r="M236" s="1917"/>
      <c r="P236" s="248"/>
      <c r="Q236" s="248"/>
      <c r="R236" s="248"/>
      <c r="S236" s="248"/>
      <c r="T236" s="247"/>
      <c r="U236" s="248"/>
      <c r="V236" s="248"/>
      <c r="W236" s="194"/>
      <c r="X236" s="249"/>
      <c r="Y236" s="250"/>
      <c r="Z236" s="251"/>
      <c r="AA236" s="252"/>
    </row>
    <row r="237" spans="1:27">
      <c r="A237" s="1503">
        <f t="shared" si="32"/>
        <v>55</v>
      </c>
      <c r="C237" s="1912"/>
      <c r="D237" s="1805"/>
      <c r="E237" s="1915"/>
      <c r="F237" s="1915"/>
      <c r="G237" s="1549"/>
      <c r="H237" s="1549"/>
      <c r="I237" s="1504"/>
      <c r="J237" s="1504"/>
      <c r="K237" s="1916"/>
      <c r="L237" s="1504"/>
      <c r="M237" s="1917"/>
      <c r="P237" s="248"/>
      <c r="Q237" s="248"/>
      <c r="R237" s="248"/>
      <c r="S237" s="248"/>
      <c r="T237" s="247"/>
      <c r="U237" s="248"/>
      <c r="V237" s="248"/>
      <c r="W237" s="194"/>
      <c r="X237" s="249"/>
      <c r="Y237" s="250"/>
      <c r="Z237" s="251"/>
      <c r="AA237" s="252"/>
    </row>
    <row r="238" spans="1:27">
      <c r="A238" s="1503">
        <f t="shared" si="32"/>
        <v>56</v>
      </c>
      <c r="C238" s="1912"/>
      <c r="D238" s="1805"/>
      <c r="E238" s="1915"/>
      <c r="F238" s="1915"/>
      <c r="G238" s="1549"/>
      <c r="H238" s="1549"/>
      <c r="I238" s="1504"/>
      <c r="J238" s="1504"/>
      <c r="K238" s="1916"/>
      <c r="L238" s="1504"/>
      <c r="M238" s="1917"/>
      <c r="P238" s="248"/>
      <c r="Q238" s="248"/>
      <c r="R238" s="248"/>
      <c r="S238" s="248"/>
      <c r="T238" s="247"/>
      <c r="U238" s="248"/>
      <c r="V238" s="248"/>
      <c r="W238" s="194"/>
      <c r="X238" s="249"/>
      <c r="Y238" s="250"/>
      <c r="Z238" s="251"/>
      <c r="AA238" s="252"/>
    </row>
    <row r="239" spans="1:27">
      <c r="A239" s="1503">
        <f t="shared" si="32"/>
        <v>57</v>
      </c>
      <c r="C239" s="1912"/>
      <c r="D239" s="1805"/>
      <c r="E239" s="1915"/>
      <c r="F239" s="1915"/>
      <c r="G239" s="1549"/>
      <c r="H239" s="1549"/>
      <c r="I239" s="1504"/>
      <c r="J239" s="1504"/>
      <c r="K239" s="1916"/>
      <c r="L239" s="1504"/>
      <c r="M239" s="1917"/>
      <c r="P239" s="248"/>
      <c r="Q239" s="248"/>
      <c r="R239" s="248"/>
      <c r="S239" s="248"/>
      <c r="T239" s="247"/>
      <c r="U239" s="248"/>
      <c r="V239" s="248"/>
      <c r="W239" s="194"/>
      <c r="X239" s="249"/>
      <c r="Y239" s="250"/>
      <c r="Z239" s="251"/>
      <c r="AA239" s="252"/>
    </row>
    <row r="240" spans="1:27">
      <c r="A240" s="1503">
        <f t="shared" si="32"/>
        <v>58</v>
      </c>
      <c r="C240" s="1912"/>
      <c r="D240" s="1805"/>
      <c r="E240" s="1915"/>
      <c r="F240" s="1915"/>
      <c r="G240" s="1549"/>
      <c r="H240" s="1549"/>
      <c r="I240" s="1504"/>
      <c r="J240" s="1504"/>
      <c r="K240" s="1916"/>
      <c r="L240" s="1504"/>
      <c r="M240" s="1917"/>
      <c r="P240" s="248"/>
      <c r="Q240" s="248"/>
      <c r="R240" s="248"/>
      <c r="S240" s="248"/>
      <c r="T240" s="247"/>
      <c r="U240" s="248"/>
      <c r="V240" s="248"/>
      <c r="W240" s="194"/>
      <c r="X240" s="249"/>
      <c r="Y240" s="250"/>
      <c r="Z240" s="251"/>
      <c r="AA240" s="252"/>
    </row>
    <row r="241" spans="1:27">
      <c r="A241" s="1503">
        <f t="shared" si="32"/>
        <v>59</v>
      </c>
      <c r="C241" s="1912"/>
      <c r="D241" s="1805"/>
      <c r="E241" s="1915"/>
      <c r="F241" s="1915"/>
      <c r="G241" s="1549"/>
      <c r="H241" s="1549"/>
      <c r="I241" s="1504"/>
      <c r="J241" s="1504"/>
      <c r="K241" s="1916"/>
      <c r="L241" s="1504"/>
      <c r="M241" s="1917"/>
      <c r="P241" s="248"/>
      <c r="Q241" s="248"/>
      <c r="R241" s="248"/>
      <c r="S241" s="248"/>
      <c r="T241" s="247"/>
      <c r="U241" s="248"/>
      <c r="V241" s="248"/>
      <c r="W241" s="194"/>
      <c r="X241" s="249"/>
      <c r="Y241" s="250"/>
      <c r="Z241" s="251"/>
      <c r="AA241" s="252"/>
    </row>
    <row r="242" spans="1:27">
      <c r="A242" s="1503">
        <f t="shared" si="32"/>
        <v>60</v>
      </c>
      <c r="C242" s="1912"/>
      <c r="D242" s="1805"/>
      <c r="E242" s="1915"/>
      <c r="F242" s="1915"/>
      <c r="G242" s="1549"/>
      <c r="H242" s="1549"/>
      <c r="I242" s="1504"/>
      <c r="J242" s="1504"/>
      <c r="K242" s="1916"/>
      <c r="L242" s="1504"/>
      <c r="M242" s="1917"/>
      <c r="P242" s="248"/>
      <c r="Q242" s="248"/>
      <c r="R242" s="248"/>
      <c r="S242" s="248"/>
      <c r="T242" s="247"/>
      <c r="U242" s="248"/>
      <c r="V242" s="248"/>
      <c r="W242" s="194"/>
      <c r="X242" s="249"/>
      <c r="Y242" s="250"/>
      <c r="Z242" s="251"/>
      <c r="AA242" s="252"/>
    </row>
    <row r="243" spans="1:27">
      <c r="A243" s="1503">
        <f t="shared" si="32"/>
        <v>61</v>
      </c>
      <c r="C243" s="1912"/>
      <c r="D243" s="1805"/>
      <c r="E243" s="1915"/>
      <c r="F243" s="1915"/>
      <c r="G243" s="1549"/>
      <c r="H243" s="1549"/>
      <c r="I243" s="1504"/>
      <c r="J243" s="1504"/>
      <c r="K243" s="1916"/>
      <c r="L243" s="1504"/>
      <c r="M243" s="1917"/>
      <c r="P243" s="248"/>
      <c r="Q243" s="248"/>
      <c r="R243" s="248"/>
      <c r="S243" s="248"/>
      <c r="T243" s="247"/>
      <c r="U243" s="248"/>
      <c r="V243" s="248"/>
      <c r="W243" s="194"/>
      <c r="X243" s="249"/>
      <c r="Y243" s="250"/>
      <c r="Z243" s="251"/>
      <c r="AA243" s="252"/>
    </row>
    <row r="244" spans="1:27">
      <c r="A244" s="1503">
        <f t="shared" si="32"/>
        <v>62</v>
      </c>
      <c r="C244" s="1912"/>
      <c r="D244" s="1805"/>
      <c r="E244" s="1915"/>
      <c r="F244" s="1915"/>
      <c r="G244" s="1549"/>
      <c r="H244" s="1549"/>
      <c r="I244" s="1504"/>
      <c r="J244" s="1504"/>
      <c r="K244" s="1916"/>
      <c r="L244" s="1504"/>
      <c r="M244" s="1917"/>
      <c r="P244" s="248"/>
      <c r="Q244" s="248"/>
      <c r="R244" s="248"/>
      <c r="S244" s="248"/>
      <c r="T244" s="247"/>
      <c r="U244" s="248"/>
      <c r="V244" s="248"/>
      <c r="W244" s="194"/>
      <c r="X244" s="249"/>
      <c r="Y244" s="250"/>
      <c r="Z244" s="251"/>
      <c r="AA244" s="252"/>
    </row>
    <row r="245" spans="1:27">
      <c r="A245" s="1503">
        <f t="shared" si="32"/>
        <v>63</v>
      </c>
      <c r="C245" s="1912"/>
      <c r="D245" s="1805"/>
      <c r="E245" s="1915"/>
      <c r="F245" s="1915"/>
      <c r="G245" s="1549"/>
      <c r="H245" s="1549"/>
      <c r="I245" s="1504"/>
      <c r="J245" s="1504"/>
      <c r="K245" s="1916"/>
      <c r="L245" s="1504"/>
      <c r="M245" s="1917"/>
      <c r="P245" s="248"/>
      <c r="Q245" s="248"/>
      <c r="R245" s="248"/>
      <c r="S245" s="248"/>
      <c r="T245" s="247"/>
      <c r="U245" s="248"/>
      <c r="V245" s="248"/>
      <c r="W245" s="194"/>
      <c r="X245" s="249"/>
      <c r="Y245" s="250"/>
      <c r="Z245" s="251"/>
      <c r="AA245" s="252"/>
    </row>
    <row r="246" spans="1:27">
      <c r="A246" s="1503">
        <f t="shared" si="32"/>
        <v>64</v>
      </c>
      <c r="C246" s="1912"/>
      <c r="D246" s="1805"/>
      <c r="E246" s="1915"/>
      <c r="F246" s="1915"/>
      <c r="G246" s="1549"/>
      <c r="H246" s="1549"/>
      <c r="I246" s="1504"/>
      <c r="J246" s="1504"/>
      <c r="K246" s="1916"/>
      <c r="L246" s="1504"/>
      <c r="M246" s="1917"/>
      <c r="P246" s="248"/>
      <c r="Q246" s="248"/>
      <c r="R246" s="248"/>
      <c r="S246" s="248"/>
      <c r="T246" s="247"/>
      <c r="U246" s="248"/>
      <c r="V246" s="248"/>
      <c r="W246" s="194"/>
      <c r="X246" s="249"/>
      <c r="Y246" s="250"/>
      <c r="Z246" s="251"/>
      <c r="AA246" s="252"/>
    </row>
    <row r="247" spans="1:27">
      <c r="A247" s="1503">
        <f t="shared" si="32"/>
        <v>65</v>
      </c>
      <c r="C247" s="1912"/>
      <c r="D247" s="1805"/>
      <c r="E247" s="1915"/>
      <c r="F247" s="1915"/>
      <c r="G247" s="1549"/>
      <c r="H247" s="1549"/>
      <c r="I247" s="1504"/>
      <c r="J247" s="1504"/>
      <c r="K247" s="1916"/>
      <c r="L247" s="1504"/>
      <c r="M247" s="1917"/>
      <c r="P247" s="248"/>
      <c r="Q247" s="248"/>
      <c r="R247" s="248"/>
      <c r="S247" s="248"/>
      <c r="T247" s="247"/>
      <c r="U247" s="248"/>
      <c r="V247" s="248"/>
      <c r="W247" s="194"/>
      <c r="X247" s="249"/>
      <c r="Y247" s="250"/>
      <c r="Z247" s="251"/>
      <c r="AA247" s="252"/>
    </row>
    <row r="248" spans="1:27">
      <c r="A248" s="1503">
        <f t="shared" si="32"/>
        <v>66</v>
      </c>
      <c r="C248" s="1912"/>
      <c r="D248" s="1805"/>
      <c r="E248" s="1915"/>
      <c r="F248" s="1915"/>
      <c r="G248" s="1549"/>
      <c r="H248" s="1549"/>
      <c r="I248" s="1504"/>
      <c r="J248" s="1504"/>
      <c r="K248" s="1916"/>
      <c r="L248" s="1504"/>
      <c r="M248" s="1917"/>
      <c r="P248" s="248"/>
      <c r="Q248" s="248"/>
      <c r="R248" s="248"/>
      <c r="S248" s="248"/>
      <c r="T248" s="247"/>
      <c r="U248" s="248"/>
      <c r="V248" s="248"/>
      <c r="W248" s="194"/>
      <c r="X248" s="249"/>
      <c r="Y248" s="250"/>
      <c r="Z248" s="251"/>
      <c r="AA248" s="252"/>
    </row>
    <row r="249" spans="1:27">
      <c r="A249" s="1503">
        <f t="shared" si="32"/>
        <v>67</v>
      </c>
      <c r="C249" s="1912"/>
      <c r="D249" s="1805"/>
      <c r="E249" s="1915"/>
      <c r="F249" s="1915"/>
      <c r="G249" s="1549"/>
      <c r="H249" s="1549"/>
      <c r="I249" s="1504"/>
      <c r="J249" s="1504"/>
      <c r="K249" s="1916"/>
      <c r="L249" s="1504"/>
      <c r="M249" s="1917"/>
      <c r="P249" s="248"/>
      <c r="Q249" s="248"/>
      <c r="R249" s="248"/>
      <c r="S249" s="248"/>
      <c r="T249" s="247"/>
      <c r="U249" s="248"/>
      <c r="V249" s="248"/>
      <c r="W249" s="194"/>
      <c r="X249" s="249"/>
      <c r="Y249" s="250"/>
      <c r="Z249" s="251"/>
      <c r="AA249" s="252"/>
    </row>
    <row r="250" spans="1:27">
      <c r="A250" s="1503">
        <f t="shared" si="32"/>
        <v>68</v>
      </c>
      <c r="C250" s="1912"/>
      <c r="D250" s="1805"/>
      <c r="E250" s="1915"/>
      <c r="F250" s="1915"/>
      <c r="G250" s="1549"/>
      <c r="H250" s="1549"/>
      <c r="I250" s="1504"/>
      <c r="J250" s="1504"/>
      <c r="K250" s="1916"/>
      <c r="L250" s="1504"/>
      <c r="M250" s="1917"/>
      <c r="P250" s="248"/>
      <c r="Q250" s="248"/>
      <c r="R250" s="248"/>
      <c r="S250" s="248"/>
      <c r="T250" s="247"/>
      <c r="U250" s="248"/>
      <c r="V250" s="248"/>
      <c r="W250" s="194"/>
      <c r="X250" s="249"/>
      <c r="Y250" s="250"/>
      <c r="Z250" s="251"/>
      <c r="AA250" s="252"/>
    </row>
    <row r="251" spans="1:27">
      <c r="A251" s="1503">
        <f t="shared" si="32"/>
        <v>69</v>
      </c>
      <c r="C251" s="1912"/>
      <c r="D251" s="1805"/>
      <c r="E251" s="1915"/>
      <c r="F251" s="1915"/>
      <c r="G251" s="1549"/>
      <c r="H251" s="1549"/>
      <c r="I251" s="1504"/>
      <c r="J251" s="1504"/>
      <c r="K251" s="1916"/>
      <c r="L251" s="1504"/>
      <c r="M251" s="1917"/>
      <c r="P251" s="248"/>
      <c r="Q251" s="248"/>
      <c r="R251" s="248"/>
      <c r="S251" s="248"/>
      <c r="T251" s="247"/>
      <c r="U251" s="248"/>
      <c r="V251" s="248"/>
      <c r="W251" s="194"/>
      <c r="X251" s="249"/>
      <c r="Y251" s="250"/>
      <c r="Z251" s="251"/>
      <c r="AA251" s="252"/>
    </row>
    <row r="252" spans="1:27">
      <c r="A252" s="1503">
        <f t="shared" si="32"/>
        <v>70</v>
      </c>
      <c r="C252" s="1912"/>
      <c r="D252" s="1805"/>
      <c r="E252" s="1915"/>
      <c r="F252" s="1915"/>
      <c r="G252" s="1549"/>
      <c r="H252" s="1549"/>
      <c r="I252" s="1504"/>
      <c r="J252" s="1504"/>
      <c r="K252" s="1916"/>
      <c r="L252" s="1504"/>
      <c r="M252" s="1917"/>
      <c r="P252" s="248"/>
      <c r="Q252" s="248"/>
      <c r="R252" s="248"/>
      <c r="S252" s="248"/>
      <c r="T252" s="247"/>
      <c r="U252" s="248"/>
      <c r="V252" s="248"/>
      <c r="W252" s="194"/>
      <c r="X252" s="249"/>
      <c r="Y252" s="250"/>
      <c r="Z252" s="251"/>
      <c r="AA252" s="252"/>
    </row>
    <row r="253" spans="1:27">
      <c r="A253" s="1503">
        <f t="shared" si="32"/>
        <v>71</v>
      </c>
      <c r="C253" s="1912"/>
      <c r="D253" s="1805"/>
      <c r="E253" s="1915"/>
      <c r="F253" s="1915"/>
      <c r="G253" s="1549"/>
      <c r="H253" s="1549"/>
      <c r="I253" s="1504"/>
      <c r="J253" s="1504"/>
      <c r="K253" s="1916"/>
      <c r="L253" s="1504"/>
      <c r="M253" s="1917"/>
      <c r="P253" s="248"/>
      <c r="Q253" s="248"/>
      <c r="R253" s="248"/>
      <c r="S253" s="248"/>
      <c r="T253" s="247"/>
      <c r="U253" s="248"/>
      <c r="V253" s="248"/>
      <c r="W253" s="194"/>
      <c r="X253" s="249"/>
      <c r="Y253" s="250"/>
      <c r="Z253" s="251"/>
      <c r="AA253" s="252"/>
    </row>
    <row r="254" spans="1:27">
      <c r="A254" s="1503">
        <f t="shared" si="32"/>
        <v>72</v>
      </c>
      <c r="C254" s="1912"/>
      <c r="D254" s="1805"/>
      <c r="E254" s="1915"/>
      <c r="F254" s="1915"/>
      <c r="G254" s="1549"/>
      <c r="H254" s="1549"/>
      <c r="I254" s="1504"/>
      <c r="J254" s="1504"/>
      <c r="K254" s="1916"/>
      <c r="L254" s="1504"/>
      <c r="M254" s="1917"/>
      <c r="P254" s="248"/>
      <c r="Q254" s="248"/>
      <c r="R254" s="248"/>
      <c r="S254" s="248"/>
      <c r="T254" s="247"/>
      <c r="U254" s="248"/>
      <c r="V254" s="248"/>
      <c r="W254" s="194"/>
      <c r="X254" s="249"/>
      <c r="Y254" s="250"/>
      <c r="Z254" s="251"/>
      <c r="AA254" s="252"/>
    </row>
    <row r="255" spans="1:27">
      <c r="A255" s="1503">
        <f t="shared" si="32"/>
        <v>73</v>
      </c>
      <c r="C255" s="1912"/>
      <c r="D255" s="1805"/>
      <c r="E255" s="1915"/>
      <c r="F255" s="1915"/>
      <c r="G255" s="1549"/>
      <c r="H255" s="1549"/>
      <c r="I255" s="1504"/>
      <c r="J255" s="1504"/>
      <c r="K255" s="1916"/>
      <c r="L255" s="1504"/>
      <c r="M255" s="1917"/>
      <c r="P255" s="248"/>
      <c r="Q255" s="248"/>
      <c r="R255" s="248"/>
      <c r="S255" s="248"/>
      <c r="T255" s="247"/>
      <c r="U255" s="248"/>
      <c r="V255" s="248"/>
      <c r="W255" s="194"/>
      <c r="X255" s="249"/>
      <c r="Y255" s="250"/>
      <c r="Z255" s="251"/>
      <c r="AA255" s="252"/>
    </row>
    <row r="256" spans="1:27">
      <c r="A256" s="1503">
        <f t="shared" si="32"/>
        <v>74</v>
      </c>
      <c r="C256" s="1912"/>
      <c r="D256" s="1805"/>
      <c r="E256" s="1915"/>
      <c r="F256" s="1915"/>
      <c r="G256" s="1549"/>
      <c r="H256" s="1549"/>
      <c r="I256" s="1504"/>
      <c r="J256" s="1504"/>
      <c r="K256" s="1916"/>
      <c r="L256" s="1504"/>
      <c r="M256" s="1917"/>
      <c r="P256" s="248"/>
      <c r="Q256" s="248"/>
      <c r="R256" s="248"/>
      <c r="S256" s="248"/>
      <c r="T256" s="247"/>
      <c r="U256" s="248"/>
      <c r="V256" s="248"/>
      <c r="W256" s="194"/>
      <c r="X256" s="249"/>
      <c r="Y256" s="250"/>
      <c r="Z256" s="251"/>
      <c r="AA256" s="252"/>
    </row>
    <row r="257" spans="1:27">
      <c r="A257" s="1503">
        <f t="shared" si="32"/>
        <v>75</v>
      </c>
      <c r="C257" s="1912"/>
      <c r="D257" s="1805"/>
      <c r="E257" s="1915"/>
      <c r="F257" s="1915"/>
      <c r="G257" s="1549"/>
      <c r="H257" s="1549"/>
      <c r="I257" s="1504"/>
      <c r="J257" s="1504"/>
      <c r="K257" s="1916"/>
      <c r="L257" s="1504"/>
      <c r="M257" s="1917"/>
      <c r="P257" s="248"/>
      <c r="Q257" s="248"/>
      <c r="R257" s="248"/>
      <c r="S257" s="248"/>
      <c r="T257" s="247"/>
      <c r="U257" s="248"/>
      <c r="V257" s="248"/>
      <c r="W257" s="194"/>
      <c r="X257" s="249"/>
      <c r="Y257" s="250"/>
      <c r="Z257" s="251"/>
      <c r="AA257" s="252"/>
    </row>
    <row r="258" spans="1:27">
      <c r="A258" s="1503">
        <f t="shared" si="32"/>
        <v>76</v>
      </c>
      <c r="C258" s="1912"/>
      <c r="D258" s="1805"/>
      <c r="E258" s="1915"/>
      <c r="F258" s="1915"/>
      <c r="G258" s="1549"/>
      <c r="H258" s="1549"/>
      <c r="I258" s="1504"/>
      <c r="J258" s="1504"/>
      <c r="K258" s="1916"/>
      <c r="L258" s="1504"/>
      <c r="M258" s="1917"/>
      <c r="P258" s="248"/>
      <c r="Q258" s="248"/>
      <c r="R258" s="248"/>
      <c r="S258" s="248"/>
      <c r="T258" s="247"/>
      <c r="U258" s="248"/>
      <c r="V258" s="248"/>
      <c r="W258" s="194"/>
      <c r="X258" s="249"/>
      <c r="Y258" s="250"/>
      <c r="Z258" s="251"/>
      <c r="AA258" s="252"/>
    </row>
    <row r="259" spans="1:27">
      <c r="A259" s="1503">
        <f t="shared" si="32"/>
        <v>77</v>
      </c>
      <c r="C259" s="1912"/>
      <c r="D259" s="1805"/>
      <c r="E259" s="1915"/>
      <c r="F259" s="1915"/>
      <c r="G259" s="1549"/>
      <c r="H259" s="1549"/>
      <c r="I259" s="1504"/>
      <c r="J259" s="1504"/>
      <c r="K259" s="1916"/>
      <c r="L259" s="1504"/>
      <c r="M259" s="1917"/>
      <c r="P259" s="248"/>
      <c r="Q259" s="248"/>
      <c r="R259" s="248"/>
      <c r="S259" s="248"/>
      <c r="T259" s="247"/>
      <c r="U259" s="248"/>
      <c r="V259" s="248"/>
      <c r="W259" s="194"/>
      <c r="X259" s="249"/>
      <c r="Y259" s="250"/>
      <c r="Z259" s="251"/>
      <c r="AA259" s="252"/>
    </row>
    <row r="260" spans="1:27">
      <c r="A260" s="1503">
        <f t="shared" si="32"/>
        <v>78</v>
      </c>
      <c r="C260" s="1912"/>
      <c r="D260" s="1805"/>
      <c r="E260" s="1915"/>
      <c r="F260" s="1915"/>
      <c r="G260" s="1549"/>
      <c r="H260" s="1549"/>
      <c r="I260" s="1504"/>
      <c r="J260" s="1504"/>
      <c r="K260" s="1916"/>
      <c r="L260" s="1504"/>
      <c r="M260" s="1917"/>
      <c r="P260" s="248"/>
      <c r="Q260" s="248"/>
      <c r="R260" s="248"/>
      <c r="S260" s="248"/>
      <c r="T260" s="247"/>
      <c r="U260" s="248"/>
      <c r="V260" s="248"/>
      <c r="W260" s="194"/>
      <c r="X260" s="249"/>
      <c r="Y260" s="250"/>
      <c r="Z260" s="251"/>
      <c r="AA260" s="252"/>
    </row>
    <row r="261" spans="1:27">
      <c r="A261" s="1503">
        <f t="shared" si="32"/>
        <v>79</v>
      </c>
      <c r="C261" s="1912"/>
      <c r="D261" s="1805"/>
      <c r="E261" s="1915"/>
      <c r="F261" s="1915"/>
      <c r="G261" s="1549"/>
      <c r="H261" s="1549"/>
      <c r="I261" s="1504"/>
      <c r="J261" s="1504"/>
      <c r="K261" s="1916"/>
      <c r="L261" s="1504"/>
      <c r="M261" s="1917"/>
      <c r="P261" s="248"/>
      <c r="Q261" s="248"/>
      <c r="R261" s="248"/>
      <c r="S261" s="248"/>
      <c r="T261" s="247"/>
      <c r="U261" s="248"/>
      <c r="V261" s="248"/>
      <c r="W261" s="194"/>
      <c r="X261" s="249"/>
      <c r="Y261" s="250"/>
      <c r="Z261" s="251"/>
      <c r="AA261" s="252"/>
    </row>
    <row r="262" spans="1:27">
      <c r="A262" s="1503">
        <f t="shared" si="32"/>
        <v>80</v>
      </c>
      <c r="C262" s="1912"/>
      <c r="D262" s="1805"/>
      <c r="E262" s="1915"/>
      <c r="F262" s="1915"/>
      <c r="G262" s="1549"/>
      <c r="H262" s="1549"/>
      <c r="I262" s="1504"/>
      <c r="J262" s="1504"/>
      <c r="K262" s="1916"/>
      <c r="L262" s="1504"/>
      <c r="M262" s="1917"/>
      <c r="P262" s="248"/>
      <c r="Q262" s="248"/>
      <c r="R262" s="248"/>
      <c r="S262" s="248"/>
      <c r="T262" s="247"/>
      <c r="U262" s="248"/>
      <c r="V262" s="248"/>
      <c r="W262" s="194"/>
      <c r="X262" s="249"/>
      <c r="Y262" s="250"/>
      <c r="Z262" s="251"/>
      <c r="AA262" s="252"/>
    </row>
    <row r="263" spans="1:27">
      <c r="A263" s="1503">
        <f t="shared" si="32"/>
        <v>81</v>
      </c>
      <c r="C263" s="1912"/>
      <c r="D263" s="1805"/>
      <c r="E263" s="1915"/>
      <c r="F263" s="1915"/>
      <c r="G263" s="1549"/>
      <c r="H263" s="1549"/>
      <c r="I263" s="1504"/>
      <c r="J263" s="1504"/>
      <c r="K263" s="1916"/>
      <c r="L263" s="1504"/>
      <c r="M263" s="1917"/>
      <c r="P263" s="248"/>
      <c r="Q263" s="248"/>
      <c r="R263" s="248"/>
      <c r="S263" s="248"/>
      <c r="T263" s="247"/>
      <c r="U263" s="248"/>
      <c r="V263" s="248"/>
      <c r="W263" s="194"/>
      <c r="X263" s="249"/>
      <c r="Y263" s="250"/>
      <c r="Z263" s="251"/>
      <c r="AA263" s="252"/>
    </row>
    <row r="264" spans="1:27">
      <c r="A264" s="1503">
        <f t="shared" si="32"/>
        <v>82</v>
      </c>
      <c r="C264" s="1912"/>
      <c r="D264" s="1805"/>
      <c r="E264" s="1915"/>
      <c r="F264" s="1915"/>
      <c r="G264" s="1549"/>
      <c r="H264" s="1549"/>
      <c r="I264" s="1504"/>
      <c r="J264" s="1504"/>
      <c r="K264" s="1916"/>
      <c r="L264" s="1504"/>
      <c r="M264" s="1917"/>
      <c r="P264" s="248"/>
      <c r="Q264" s="248"/>
      <c r="R264" s="248"/>
      <c r="S264" s="248"/>
      <c r="T264" s="247"/>
      <c r="U264" s="248"/>
      <c r="V264" s="248"/>
      <c r="W264" s="194"/>
      <c r="X264" s="249"/>
      <c r="Y264" s="250"/>
      <c r="Z264" s="251"/>
      <c r="AA264" s="252"/>
    </row>
    <row r="265" spans="1:27">
      <c r="A265" s="1503">
        <f t="shared" si="32"/>
        <v>83</v>
      </c>
      <c r="C265" s="1912"/>
      <c r="D265" s="1805"/>
      <c r="E265" s="1915"/>
      <c r="F265" s="1915"/>
      <c r="G265" s="1549"/>
      <c r="H265" s="1549"/>
      <c r="I265" s="1504"/>
      <c r="J265" s="1504"/>
      <c r="K265" s="1916"/>
      <c r="L265" s="1504"/>
      <c r="M265" s="1917"/>
      <c r="P265" s="248"/>
      <c r="Q265" s="248"/>
      <c r="R265" s="248"/>
      <c r="S265" s="248"/>
      <c r="T265" s="247"/>
      <c r="U265" s="248"/>
      <c r="V265" s="248"/>
      <c r="W265" s="194"/>
      <c r="X265" s="249"/>
      <c r="Y265" s="250"/>
      <c r="Z265" s="251"/>
      <c r="AA265" s="252"/>
    </row>
    <row r="266" spans="1:27">
      <c r="A266" s="1503">
        <f t="shared" si="32"/>
        <v>84</v>
      </c>
      <c r="C266" s="1912"/>
      <c r="D266" s="1805"/>
      <c r="E266" s="1915"/>
      <c r="F266" s="1915"/>
      <c r="G266" s="1549"/>
      <c r="H266" s="1549"/>
      <c r="I266" s="1504"/>
      <c r="J266" s="1504"/>
      <c r="K266" s="1916"/>
      <c r="L266" s="1504"/>
      <c r="M266" s="1917"/>
      <c r="P266" s="248"/>
      <c r="Q266" s="248"/>
      <c r="R266" s="248"/>
      <c r="S266" s="248"/>
      <c r="T266" s="247"/>
      <c r="U266" s="248"/>
      <c r="V266" s="248"/>
      <c r="W266" s="194"/>
      <c r="X266" s="249"/>
      <c r="Y266" s="250"/>
      <c r="Z266" s="251"/>
      <c r="AA266" s="252"/>
    </row>
    <row r="267" spans="1:27">
      <c r="A267" s="1503">
        <f t="shared" si="32"/>
        <v>85</v>
      </c>
      <c r="C267" s="1912"/>
      <c r="D267" s="1805"/>
      <c r="E267" s="1915"/>
      <c r="F267" s="1915"/>
      <c r="G267" s="1549"/>
      <c r="H267" s="1549"/>
      <c r="I267" s="1504"/>
      <c r="J267" s="1504"/>
      <c r="K267" s="1916"/>
      <c r="L267" s="1504"/>
      <c r="M267" s="1917"/>
      <c r="P267" s="248"/>
      <c r="Q267" s="248"/>
      <c r="R267" s="248"/>
      <c r="S267" s="248"/>
      <c r="T267" s="247"/>
      <c r="U267" s="248"/>
      <c r="V267" s="248"/>
      <c r="W267" s="194"/>
      <c r="X267" s="249"/>
      <c r="Y267" s="250"/>
      <c r="Z267" s="251"/>
      <c r="AA267" s="252"/>
    </row>
    <row r="268" spans="1:27">
      <c r="A268" s="1503">
        <f t="shared" si="32"/>
        <v>86</v>
      </c>
      <c r="C268" s="1912"/>
      <c r="D268" s="1805"/>
      <c r="E268" s="1915"/>
      <c r="F268" s="1915"/>
      <c r="G268" s="1549"/>
      <c r="H268" s="1549"/>
      <c r="I268" s="1504"/>
      <c r="J268" s="1504"/>
      <c r="K268" s="1916"/>
      <c r="L268" s="1504"/>
      <c r="M268" s="1917"/>
      <c r="P268" s="248"/>
      <c r="Q268" s="248"/>
      <c r="R268" s="248"/>
      <c r="S268" s="248"/>
      <c r="T268" s="247"/>
      <c r="U268" s="248"/>
      <c r="V268" s="248"/>
      <c r="W268" s="194"/>
      <c r="X268" s="249"/>
      <c r="Y268" s="250"/>
      <c r="Z268" s="251"/>
      <c r="AA268" s="252"/>
    </row>
    <row r="269" spans="1:27">
      <c r="A269" s="1503">
        <f t="shared" si="32"/>
        <v>87</v>
      </c>
      <c r="C269" s="1912"/>
      <c r="D269" s="1805"/>
      <c r="E269" s="1915"/>
      <c r="F269" s="1915"/>
      <c r="G269" s="1549"/>
      <c r="H269" s="1549"/>
      <c r="I269" s="1504"/>
      <c r="J269" s="1504"/>
      <c r="K269" s="1916"/>
      <c r="L269" s="1504"/>
      <c r="M269" s="1917"/>
      <c r="P269" s="248"/>
      <c r="Q269" s="248"/>
      <c r="R269" s="248"/>
      <c r="S269" s="248"/>
      <c r="T269" s="247"/>
      <c r="U269" s="248"/>
      <c r="V269" s="248"/>
      <c r="W269" s="194"/>
      <c r="X269" s="249"/>
      <c r="Y269" s="250"/>
      <c r="Z269" s="251"/>
      <c r="AA269" s="252"/>
    </row>
    <row r="270" spans="1:27">
      <c r="A270" s="1503">
        <f t="shared" si="32"/>
        <v>88</v>
      </c>
      <c r="C270" s="1912"/>
      <c r="D270" s="1805"/>
      <c r="E270" s="1915"/>
      <c r="F270" s="1915"/>
      <c r="G270" s="1549"/>
      <c r="H270" s="1549"/>
      <c r="I270" s="1504"/>
      <c r="J270" s="1504"/>
      <c r="K270" s="1916"/>
      <c r="L270" s="1504"/>
      <c r="M270" s="1917"/>
      <c r="P270" s="248"/>
      <c r="Q270" s="248"/>
      <c r="R270" s="248"/>
      <c r="S270" s="248"/>
      <c r="T270" s="247"/>
      <c r="U270" s="248"/>
      <c r="V270" s="248"/>
      <c r="W270" s="194"/>
      <c r="X270" s="249"/>
      <c r="Y270" s="250"/>
      <c r="Z270" s="251"/>
      <c r="AA270" s="252"/>
    </row>
    <row r="271" spans="1:27">
      <c r="A271" s="1503">
        <f t="shared" si="32"/>
        <v>89</v>
      </c>
      <c r="C271" s="1912"/>
      <c r="D271" s="1805"/>
      <c r="E271" s="1915"/>
      <c r="F271" s="1915"/>
      <c r="G271" s="1549"/>
      <c r="H271" s="1549"/>
      <c r="I271" s="1504"/>
      <c r="J271" s="1504"/>
      <c r="K271" s="1916"/>
      <c r="L271" s="1504"/>
      <c r="M271" s="1917"/>
      <c r="P271" s="248"/>
      <c r="Q271" s="248"/>
      <c r="R271" s="248"/>
      <c r="S271" s="248"/>
      <c r="T271" s="247"/>
      <c r="U271" s="248"/>
      <c r="V271" s="248"/>
      <c r="W271" s="194"/>
      <c r="X271" s="249"/>
      <c r="Y271" s="250"/>
      <c r="Z271" s="251"/>
      <c r="AA271" s="252"/>
    </row>
    <row r="272" spans="1:27">
      <c r="A272" s="1503">
        <f t="shared" si="32"/>
        <v>90</v>
      </c>
      <c r="C272" s="1912"/>
      <c r="D272" s="1805"/>
      <c r="E272" s="1915"/>
      <c r="F272" s="1915"/>
      <c r="G272" s="1549"/>
      <c r="H272" s="1549"/>
      <c r="I272" s="1504"/>
      <c r="J272" s="1504"/>
      <c r="K272" s="1916"/>
      <c r="L272" s="1504"/>
      <c r="M272" s="1917"/>
      <c r="P272" s="248"/>
      <c r="Q272" s="248"/>
      <c r="R272" s="248"/>
      <c r="S272" s="248"/>
      <c r="T272" s="247"/>
      <c r="U272" s="248"/>
      <c r="V272" s="248"/>
      <c r="W272" s="194"/>
      <c r="X272" s="249"/>
      <c r="Y272" s="250"/>
      <c r="Z272" s="251"/>
      <c r="AA272" s="252"/>
    </row>
    <row r="273" spans="1:27">
      <c r="A273" s="1503">
        <f t="shared" si="32"/>
        <v>91</v>
      </c>
      <c r="C273" s="1912"/>
      <c r="D273" s="1805"/>
      <c r="E273" s="1915"/>
      <c r="F273" s="1915"/>
      <c r="G273" s="1549"/>
      <c r="H273" s="1549"/>
      <c r="I273" s="1504"/>
      <c r="J273" s="1504"/>
      <c r="K273" s="1916"/>
      <c r="L273" s="1504"/>
      <c r="M273" s="1917"/>
      <c r="P273" s="248"/>
      <c r="Q273" s="248"/>
      <c r="R273" s="248"/>
      <c r="S273" s="248"/>
      <c r="T273" s="247"/>
      <c r="U273" s="248"/>
      <c r="V273" s="248"/>
      <c r="W273" s="194"/>
      <c r="X273" s="249"/>
      <c r="Y273" s="250"/>
      <c r="Z273" s="251"/>
      <c r="AA273" s="252"/>
    </row>
    <row r="274" spans="1:27">
      <c r="A274" s="1503">
        <f t="shared" si="32"/>
        <v>92</v>
      </c>
      <c r="C274" s="1912"/>
      <c r="D274" s="1805"/>
      <c r="E274" s="1915"/>
      <c r="F274" s="1915"/>
      <c r="G274" s="1549"/>
      <c r="H274" s="1549"/>
      <c r="I274" s="1504"/>
      <c r="J274" s="1504"/>
      <c r="K274" s="1916"/>
      <c r="L274" s="1504"/>
      <c r="M274" s="1917"/>
      <c r="P274" s="248"/>
      <c r="Q274" s="248"/>
      <c r="R274" s="248"/>
      <c r="S274" s="248"/>
      <c r="T274" s="247"/>
      <c r="U274" s="248"/>
      <c r="V274" s="248"/>
      <c r="W274" s="194"/>
      <c r="X274" s="249"/>
      <c r="Y274" s="250"/>
      <c r="Z274" s="251"/>
      <c r="AA274" s="252"/>
    </row>
    <row r="275" spans="1:27">
      <c r="A275" s="1503">
        <f t="shared" si="32"/>
        <v>93</v>
      </c>
      <c r="C275" s="1912"/>
      <c r="D275" s="1805"/>
      <c r="E275" s="1915"/>
      <c r="F275" s="1915"/>
      <c r="G275" s="1549"/>
      <c r="H275" s="1549"/>
      <c r="I275" s="1504"/>
      <c r="J275" s="1504"/>
      <c r="K275" s="1916"/>
      <c r="L275" s="1504"/>
      <c r="M275" s="1917"/>
      <c r="P275" s="248"/>
      <c r="Q275" s="248"/>
      <c r="R275" s="248"/>
      <c r="S275" s="248"/>
      <c r="T275" s="247"/>
      <c r="U275" s="248"/>
      <c r="V275" s="248"/>
      <c r="W275" s="194"/>
      <c r="X275" s="249"/>
      <c r="Y275" s="250"/>
      <c r="Z275" s="251"/>
      <c r="AA275" s="252"/>
    </row>
    <row r="276" spans="1:27">
      <c r="A276" s="1503">
        <f t="shared" si="32"/>
        <v>94</v>
      </c>
      <c r="C276" s="1912"/>
      <c r="D276" s="1805"/>
      <c r="E276" s="1915"/>
      <c r="F276" s="1915"/>
      <c r="G276" s="1549"/>
      <c r="H276" s="1549"/>
      <c r="I276" s="1504"/>
      <c r="J276" s="1504"/>
      <c r="K276" s="1916"/>
      <c r="L276" s="1504"/>
      <c r="M276" s="1917"/>
      <c r="P276" s="248"/>
      <c r="Q276" s="248"/>
      <c r="R276" s="248"/>
      <c r="S276" s="248"/>
      <c r="T276" s="247"/>
      <c r="U276" s="248"/>
      <c r="V276" s="248"/>
      <c r="W276" s="194"/>
      <c r="X276" s="249"/>
      <c r="Y276" s="250"/>
      <c r="Z276" s="251"/>
      <c r="AA276" s="252"/>
    </row>
    <row r="277" spans="1:27">
      <c r="A277" s="1503">
        <f t="shared" si="32"/>
        <v>95</v>
      </c>
      <c r="C277" s="1912"/>
      <c r="D277" s="1805"/>
      <c r="E277" s="1915"/>
      <c r="F277" s="1915"/>
      <c r="G277" s="1549"/>
      <c r="H277" s="1549"/>
      <c r="I277" s="1504"/>
      <c r="J277" s="1504"/>
      <c r="K277" s="1916"/>
      <c r="L277" s="1504"/>
      <c r="M277" s="1917"/>
      <c r="P277" s="248"/>
      <c r="Q277" s="248"/>
      <c r="R277" s="248"/>
      <c r="S277" s="248"/>
      <c r="T277" s="247"/>
      <c r="U277" s="248"/>
      <c r="V277" s="248"/>
      <c r="W277" s="194"/>
      <c r="X277" s="249"/>
      <c r="Y277" s="250"/>
      <c r="Z277" s="251"/>
      <c r="AA277" s="252"/>
    </row>
    <row r="278" spans="1:27">
      <c r="A278" s="1503">
        <f t="shared" si="32"/>
        <v>96</v>
      </c>
      <c r="C278" s="1912"/>
      <c r="D278" s="1805"/>
      <c r="E278" s="1915"/>
      <c r="F278" s="1915"/>
      <c r="G278" s="1549"/>
      <c r="H278" s="1549"/>
      <c r="I278" s="1504"/>
      <c r="J278" s="1504"/>
      <c r="K278" s="1916"/>
      <c r="L278" s="1504"/>
      <c r="M278" s="1917"/>
      <c r="P278" s="248"/>
      <c r="Q278" s="248"/>
      <c r="R278" s="248"/>
      <c r="S278" s="248"/>
      <c r="T278" s="247"/>
      <c r="U278" s="248"/>
      <c r="V278" s="248"/>
      <c r="W278" s="194"/>
      <c r="X278" s="249"/>
      <c r="Y278" s="250"/>
      <c r="Z278" s="251"/>
      <c r="AA278" s="252"/>
    </row>
    <row r="279" spans="1:27">
      <c r="A279" s="1503">
        <f t="shared" si="32"/>
        <v>97</v>
      </c>
      <c r="C279" s="1912"/>
      <c r="D279" s="1805"/>
      <c r="E279" s="1915"/>
      <c r="F279" s="1915"/>
      <c r="G279" s="1549"/>
      <c r="H279" s="1549"/>
      <c r="I279" s="1504"/>
      <c r="J279" s="1504"/>
      <c r="K279" s="1916"/>
      <c r="L279" s="1504"/>
      <c r="M279" s="1917"/>
      <c r="P279" s="248"/>
      <c r="Q279" s="248"/>
      <c r="R279" s="248"/>
      <c r="S279" s="248"/>
      <c r="T279" s="247"/>
      <c r="U279" s="248"/>
      <c r="V279" s="248"/>
      <c r="W279" s="194"/>
      <c r="X279" s="249"/>
      <c r="Y279" s="250"/>
      <c r="Z279" s="251"/>
      <c r="AA279" s="252"/>
    </row>
    <row r="280" spans="1:27">
      <c r="A280" s="1503">
        <f t="shared" si="32"/>
        <v>98</v>
      </c>
      <c r="C280" s="1912"/>
      <c r="D280" s="1805"/>
      <c r="E280" s="1915"/>
      <c r="F280" s="1915"/>
      <c r="G280" s="1549"/>
      <c r="H280" s="1549"/>
      <c r="I280" s="1504"/>
      <c r="J280" s="1504"/>
      <c r="K280" s="1916"/>
      <c r="L280" s="1504"/>
      <c r="M280" s="1917"/>
      <c r="P280" s="248"/>
      <c r="Q280" s="248"/>
      <c r="R280" s="248"/>
      <c r="S280" s="248"/>
      <c r="T280" s="247"/>
      <c r="U280" s="248"/>
      <c r="V280" s="248"/>
      <c r="W280" s="194"/>
      <c r="X280" s="249"/>
      <c r="Y280" s="250"/>
      <c r="Z280" s="251"/>
      <c r="AA280" s="252"/>
    </row>
    <row r="281" spans="1:27">
      <c r="A281" s="1503">
        <f t="shared" si="32"/>
        <v>99</v>
      </c>
      <c r="C281" s="1912"/>
      <c r="D281" s="1805"/>
      <c r="E281" s="1915"/>
      <c r="F281" s="1915"/>
      <c r="G281" s="1549"/>
      <c r="H281" s="1549"/>
      <c r="I281" s="1504"/>
      <c r="J281" s="1504"/>
      <c r="K281" s="1916"/>
      <c r="L281" s="1504"/>
      <c r="M281" s="1917"/>
      <c r="P281" s="248"/>
      <c r="Q281" s="248"/>
      <c r="R281" s="248"/>
      <c r="S281" s="248"/>
      <c r="T281" s="247"/>
      <c r="U281" s="248"/>
      <c r="V281" s="248"/>
      <c r="W281" s="194"/>
      <c r="X281" s="249"/>
      <c r="Y281" s="250"/>
      <c r="Z281" s="251"/>
      <c r="AA281" s="252"/>
    </row>
    <row r="282" spans="1:27">
      <c r="A282" s="1503">
        <f t="shared" si="32"/>
        <v>100</v>
      </c>
      <c r="C282" s="1912"/>
      <c r="D282" s="1805"/>
      <c r="E282" s="1915"/>
      <c r="F282" s="1915"/>
      <c r="G282" s="1549"/>
      <c r="H282" s="1549"/>
      <c r="I282" s="1504"/>
      <c r="J282" s="1504"/>
      <c r="K282" s="1916"/>
      <c r="L282" s="1504"/>
      <c r="M282" s="1917"/>
      <c r="P282" s="248"/>
      <c r="Q282" s="248"/>
      <c r="R282" s="248"/>
      <c r="S282" s="248"/>
      <c r="T282" s="247"/>
      <c r="U282" s="248"/>
      <c r="V282" s="248"/>
      <c r="W282" s="194"/>
      <c r="X282" s="249"/>
      <c r="Y282" s="250"/>
      <c r="Z282" s="251"/>
      <c r="AA282" s="252"/>
    </row>
    <row r="283" spans="1:27">
      <c r="A283" s="1503">
        <f t="shared" si="32"/>
        <v>101</v>
      </c>
      <c r="C283" s="1912"/>
      <c r="D283" s="1805"/>
      <c r="E283" s="1915"/>
      <c r="F283" s="1915"/>
      <c r="G283" s="1549"/>
      <c r="H283" s="1549"/>
      <c r="I283" s="1504"/>
      <c r="J283" s="1504"/>
      <c r="K283" s="1916"/>
      <c r="L283" s="1504"/>
      <c r="M283" s="1917"/>
      <c r="P283" s="248"/>
      <c r="Q283" s="248"/>
      <c r="R283" s="248"/>
      <c r="S283" s="248"/>
      <c r="T283" s="247"/>
      <c r="U283" s="248"/>
      <c r="V283" s="248"/>
      <c r="W283" s="194"/>
      <c r="X283" s="249"/>
      <c r="Y283" s="250"/>
      <c r="Z283" s="251"/>
      <c r="AA283" s="252"/>
    </row>
    <row r="284" spans="1:27">
      <c r="A284" s="1503">
        <f t="shared" si="32"/>
        <v>102</v>
      </c>
      <c r="C284" s="1912"/>
      <c r="D284" s="1805"/>
      <c r="E284" s="1915"/>
      <c r="F284" s="1915"/>
      <c r="G284" s="1549"/>
      <c r="H284" s="1549"/>
      <c r="I284" s="1504"/>
      <c r="J284" s="1504"/>
      <c r="K284" s="1916"/>
      <c r="L284" s="1504"/>
      <c r="M284" s="1917"/>
      <c r="P284" s="248"/>
      <c r="Q284" s="248"/>
      <c r="R284" s="248"/>
      <c r="S284" s="248"/>
      <c r="T284" s="247"/>
      <c r="U284" s="248"/>
      <c r="V284" s="248"/>
      <c r="W284" s="194"/>
      <c r="X284" s="249"/>
      <c r="Y284" s="250"/>
      <c r="Z284" s="251"/>
      <c r="AA284" s="252"/>
    </row>
    <row r="285" spans="1:27">
      <c r="A285" s="1503">
        <f t="shared" si="32"/>
        <v>103</v>
      </c>
      <c r="C285" s="1912"/>
      <c r="D285" s="1805"/>
      <c r="E285" s="1915"/>
      <c r="F285" s="1915"/>
      <c r="G285" s="1549"/>
      <c r="H285" s="1549"/>
      <c r="I285" s="1504"/>
      <c r="J285" s="1504"/>
      <c r="K285" s="1916"/>
      <c r="L285" s="1504"/>
      <c r="M285" s="1917"/>
      <c r="P285" s="248"/>
      <c r="Q285" s="248"/>
      <c r="R285" s="248"/>
      <c r="S285" s="248"/>
      <c r="T285" s="247"/>
      <c r="U285" s="248"/>
      <c r="V285" s="248"/>
      <c r="W285" s="194"/>
      <c r="X285" s="249"/>
      <c r="Y285" s="250"/>
      <c r="Z285" s="251"/>
      <c r="AA285" s="252"/>
    </row>
    <row r="286" spans="1:27">
      <c r="A286" s="1503">
        <f t="shared" si="32"/>
        <v>104</v>
      </c>
      <c r="C286" s="1912"/>
      <c r="D286" s="1805"/>
      <c r="E286" s="1915"/>
      <c r="F286" s="1915"/>
      <c r="G286" s="1549"/>
      <c r="H286" s="1549"/>
      <c r="I286" s="1504"/>
      <c r="J286" s="1504"/>
      <c r="K286" s="1916"/>
      <c r="L286" s="1504"/>
      <c r="M286" s="1917"/>
      <c r="P286" s="248"/>
      <c r="Q286" s="248"/>
      <c r="R286" s="248"/>
      <c r="S286" s="248"/>
      <c r="T286" s="247"/>
      <c r="U286" s="248"/>
      <c r="V286" s="248"/>
      <c r="W286" s="194"/>
      <c r="X286" s="249"/>
      <c r="Y286" s="250"/>
      <c r="Z286" s="251"/>
      <c r="AA286" s="252"/>
    </row>
    <row r="287" spans="1:27">
      <c r="A287" s="1503">
        <f t="shared" si="32"/>
        <v>105</v>
      </c>
      <c r="C287" s="1912"/>
      <c r="D287" s="1805"/>
      <c r="E287" s="1915"/>
      <c r="F287" s="1915"/>
      <c r="G287" s="1549"/>
      <c r="H287" s="1549"/>
      <c r="I287" s="1504"/>
      <c r="J287" s="1504"/>
      <c r="K287" s="1916"/>
      <c r="L287" s="1504"/>
      <c r="M287" s="1917"/>
      <c r="P287" s="248"/>
      <c r="Q287" s="248"/>
      <c r="R287" s="248"/>
      <c r="S287" s="248"/>
      <c r="T287" s="247"/>
      <c r="U287" s="248"/>
      <c r="V287" s="248"/>
      <c r="W287" s="194"/>
      <c r="X287" s="249"/>
      <c r="Y287" s="250"/>
      <c r="Z287" s="251"/>
      <c r="AA287" s="252"/>
    </row>
    <row r="288" spans="1:27">
      <c r="A288" s="1503">
        <f t="shared" si="32"/>
        <v>106</v>
      </c>
      <c r="C288" s="1912"/>
      <c r="D288" s="1805"/>
      <c r="E288" s="1915"/>
      <c r="F288" s="1915"/>
      <c r="G288" s="1549"/>
      <c r="H288" s="1549"/>
      <c r="I288" s="1504"/>
      <c r="J288" s="1504"/>
      <c r="K288" s="1916"/>
      <c r="L288" s="1504"/>
      <c r="M288" s="1917"/>
      <c r="P288" s="248"/>
      <c r="Q288" s="248"/>
      <c r="R288" s="248"/>
      <c r="S288" s="248"/>
      <c r="T288" s="247"/>
      <c r="U288" s="248"/>
      <c r="V288" s="248"/>
      <c r="W288" s="194"/>
      <c r="X288" s="249"/>
      <c r="Y288" s="250"/>
      <c r="Z288" s="251"/>
      <c r="AA288" s="252"/>
    </row>
    <row r="289" spans="1:27">
      <c r="A289" s="1503">
        <f t="shared" si="32"/>
        <v>107</v>
      </c>
      <c r="C289" s="1912"/>
      <c r="D289" s="1805"/>
      <c r="E289" s="1915"/>
      <c r="F289" s="1915"/>
      <c r="G289" s="1549"/>
      <c r="H289" s="1549"/>
      <c r="I289" s="1504"/>
      <c r="J289" s="1504"/>
      <c r="K289" s="1916"/>
      <c r="L289" s="1504"/>
      <c r="M289" s="1917"/>
      <c r="P289" s="248"/>
      <c r="Q289" s="248"/>
      <c r="R289" s="248"/>
      <c r="S289" s="248"/>
      <c r="T289" s="247"/>
      <c r="U289" s="248"/>
      <c r="V289" s="248"/>
      <c r="W289" s="194"/>
      <c r="X289" s="249"/>
      <c r="Y289" s="250"/>
      <c r="Z289" s="251"/>
      <c r="AA289" s="252"/>
    </row>
    <row r="290" spans="1:27">
      <c r="A290" s="1503">
        <f t="shared" si="32"/>
        <v>108</v>
      </c>
      <c r="C290" s="1912"/>
      <c r="D290" s="1805"/>
      <c r="E290" s="1915"/>
      <c r="F290" s="1915"/>
      <c r="G290" s="1549"/>
      <c r="H290" s="1549"/>
      <c r="I290" s="1504"/>
      <c r="J290" s="1504"/>
      <c r="K290" s="1916"/>
      <c r="L290" s="1504"/>
      <c r="M290" s="1917"/>
      <c r="P290" s="248"/>
      <c r="Q290" s="248"/>
      <c r="R290" s="248"/>
      <c r="S290" s="248"/>
      <c r="T290" s="247"/>
      <c r="U290" s="248"/>
      <c r="V290" s="248"/>
      <c r="W290" s="194"/>
      <c r="X290" s="249"/>
      <c r="Y290" s="250"/>
      <c r="Z290" s="251"/>
      <c r="AA290" s="252"/>
    </row>
    <row r="291" spans="1:27">
      <c r="A291" s="1503">
        <f t="shared" si="32"/>
        <v>109</v>
      </c>
      <c r="C291" s="1912"/>
      <c r="D291" s="1805"/>
      <c r="E291" s="1915"/>
      <c r="F291" s="1915"/>
      <c r="G291" s="1549"/>
      <c r="H291" s="1549"/>
      <c r="I291" s="1504"/>
      <c r="J291" s="1504"/>
      <c r="K291" s="1916"/>
      <c r="L291" s="1504"/>
      <c r="M291" s="1917"/>
      <c r="P291" s="248"/>
      <c r="Q291" s="248"/>
      <c r="R291" s="248"/>
      <c r="S291" s="248"/>
      <c r="T291" s="247"/>
      <c r="U291" s="248"/>
      <c r="V291" s="248"/>
      <c r="W291" s="194"/>
      <c r="X291" s="249"/>
      <c r="Y291" s="250"/>
      <c r="Z291" s="251"/>
      <c r="AA291" s="252"/>
    </row>
    <row r="292" spans="1:27">
      <c r="A292" s="1503">
        <f t="shared" si="32"/>
        <v>110</v>
      </c>
      <c r="C292" s="1912"/>
      <c r="D292" s="1805"/>
      <c r="E292" s="1915"/>
      <c r="F292" s="1915"/>
      <c r="G292" s="1549"/>
      <c r="H292" s="1549"/>
      <c r="I292" s="1504"/>
      <c r="J292" s="1504"/>
      <c r="K292" s="1916"/>
      <c r="L292" s="1504"/>
      <c r="M292" s="1917"/>
      <c r="P292" s="248"/>
      <c r="Q292" s="248"/>
      <c r="R292" s="248"/>
      <c r="S292" s="248"/>
      <c r="T292" s="247"/>
      <c r="U292" s="248"/>
      <c r="V292" s="248"/>
      <c r="W292" s="194"/>
      <c r="X292" s="249"/>
      <c r="Y292" s="250"/>
      <c r="Z292" s="251"/>
      <c r="AA292" s="252"/>
    </row>
    <row r="293" spans="1:27">
      <c r="A293" s="1503">
        <f t="shared" si="32"/>
        <v>111</v>
      </c>
      <c r="C293" s="1912"/>
      <c r="D293" s="1805"/>
      <c r="E293" s="1915"/>
      <c r="F293" s="1915"/>
      <c r="G293" s="1549"/>
      <c r="H293" s="1549"/>
      <c r="I293" s="1504"/>
      <c r="J293" s="1504"/>
      <c r="K293" s="1916"/>
      <c r="L293" s="1504"/>
      <c r="M293" s="1917"/>
      <c r="P293" s="248"/>
      <c r="Q293" s="248"/>
      <c r="R293" s="248"/>
      <c r="S293" s="248"/>
      <c r="T293" s="247"/>
      <c r="U293" s="248"/>
      <c r="V293" s="248"/>
      <c r="W293" s="194"/>
      <c r="X293" s="249"/>
      <c r="Y293" s="250"/>
      <c r="Z293" s="251"/>
      <c r="AA293" s="252"/>
    </row>
    <row r="294" spans="1:27">
      <c r="A294" s="1503">
        <f t="shared" si="32"/>
        <v>112</v>
      </c>
      <c r="C294" s="1912"/>
      <c r="D294" s="1805"/>
      <c r="E294" s="1915"/>
      <c r="F294" s="1915"/>
      <c r="G294" s="1549"/>
      <c r="H294" s="1549"/>
      <c r="I294" s="1504"/>
      <c r="J294" s="1504"/>
      <c r="K294" s="1916"/>
      <c r="L294" s="1504"/>
      <c r="M294" s="1917"/>
      <c r="P294" s="248"/>
      <c r="Q294" s="248"/>
      <c r="R294" s="248"/>
      <c r="S294" s="248"/>
      <c r="T294" s="247"/>
      <c r="U294" s="248"/>
      <c r="V294" s="248"/>
      <c r="W294" s="194"/>
      <c r="X294" s="249"/>
      <c r="Y294" s="250"/>
      <c r="Z294" s="251"/>
      <c r="AA294" s="252"/>
    </row>
    <row r="295" spans="1:27">
      <c r="A295" s="1503">
        <f t="shared" si="32"/>
        <v>113</v>
      </c>
      <c r="C295" s="1912"/>
      <c r="D295" s="1805"/>
      <c r="E295" s="1915"/>
      <c r="F295" s="1915"/>
      <c r="G295" s="1549"/>
      <c r="H295" s="1549"/>
      <c r="I295" s="1504"/>
      <c r="J295" s="1504"/>
      <c r="K295" s="1916"/>
      <c r="L295" s="1504"/>
      <c r="M295" s="1917"/>
      <c r="P295" s="248"/>
      <c r="Q295" s="248"/>
      <c r="R295" s="248"/>
      <c r="S295" s="248"/>
      <c r="T295" s="247"/>
      <c r="U295" s="248"/>
      <c r="V295" s="248"/>
      <c r="W295" s="194"/>
      <c r="X295" s="249"/>
      <c r="Y295" s="250"/>
      <c r="Z295" s="251"/>
      <c r="AA295" s="252"/>
    </row>
    <row r="296" spans="1:27">
      <c r="A296" s="1503">
        <f t="shared" ref="A296:A342" si="33">+A295+1</f>
        <v>114</v>
      </c>
      <c r="C296" s="1912"/>
      <c r="D296" s="1805"/>
      <c r="E296" s="1915"/>
      <c r="F296" s="1915"/>
      <c r="G296" s="1549"/>
      <c r="H296" s="1549"/>
      <c r="I296" s="1504"/>
      <c r="J296" s="1504"/>
      <c r="K296" s="1916"/>
      <c r="L296" s="1504"/>
      <c r="M296" s="1917"/>
      <c r="P296" s="248"/>
      <c r="Q296" s="248"/>
      <c r="R296" s="248"/>
      <c r="S296" s="248"/>
      <c r="T296" s="247"/>
      <c r="U296" s="248"/>
      <c r="V296" s="248"/>
      <c r="W296" s="194"/>
      <c r="X296" s="249"/>
      <c r="Y296" s="250"/>
      <c r="Z296" s="251"/>
      <c r="AA296" s="252"/>
    </row>
    <row r="297" spans="1:27">
      <c r="A297" s="1503">
        <f t="shared" si="33"/>
        <v>115</v>
      </c>
      <c r="C297" s="1912"/>
      <c r="D297" s="1805"/>
      <c r="E297" s="1915"/>
      <c r="F297" s="1915"/>
      <c r="G297" s="1549"/>
      <c r="H297" s="1549"/>
      <c r="I297" s="1504"/>
      <c r="J297" s="1504"/>
      <c r="K297" s="1916"/>
      <c r="L297" s="1504"/>
      <c r="M297" s="1917"/>
      <c r="P297" s="248"/>
      <c r="Q297" s="248"/>
      <c r="R297" s="248"/>
      <c r="S297" s="248"/>
      <c r="T297" s="247"/>
      <c r="U297" s="248"/>
      <c r="V297" s="248"/>
      <c r="W297" s="194"/>
      <c r="X297" s="249"/>
      <c r="Y297" s="250"/>
      <c r="Z297" s="251"/>
      <c r="AA297" s="252"/>
    </row>
    <row r="298" spans="1:27">
      <c r="A298" s="1503">
        <f t="shared" si="33"/>
        <v>116</v>
      </c>
      <c r="C298" s="1912"/>
      <c r="D298" s="1805"/>
      <c r="E298" s="1915"/>
      <c r="F298" s="1915"/>
      <c r="G298" s="1549"/>
      <c r="H298" s="1549"/>
      <c r="I298" s="1504"/>
      <c r="J298" s="1504"/>
      <c r="K298" s="1916"/>
      <c r="L298" s="1504"/>
      <c r="M298" s="1917"/>
      <c r="P298" s="248"/>
      <c r="Q298" s="248"/>
      <c r="R298" s="248"/>
      <c r="S298" s="248"/>
      <c r="T298" s="247"/>
      <c r="U298" s="248"/>
      <c r="V298" s="248"/>
      <c r="W298" s="194"/>
      <c r="X298" s="249"/>
      <c r="Y298" s="250"/>
      <c r="Z298" s="251"/>
      <c r="AA298" s="252"/>
    </row>
    <row r="299" spans="1:27">
      <c r="A299" s="1503">
        <f t="shared" si="33"/>
        <v>117</v>
      </c>
      <c r="C299" s="1912"/>
      <c r="D299" s="1805"/>
      <c r="E299" s="1915"/>
      <c r="F299" s="1915"/>
      <c r="G299" s="1549"/>
      <c r="H299" s="1549"/>
      <c r="I299" s="1504"/>
      <c r="J299" s="1504"/>
      <c r="K299" s="1916"/>
      <c r="L299" s="1504"/>
      <c r="M299" s="1917"/>
      <c r="P299" s="248"/>
      <c r="Q299" s="248"/>
      <c r="R299" s="248"/>
      <c r="S299" s="248"/>
      <c r="T299" s="247"/>
      <c r="U299" s="248"/>
      <c r="V299" s="248"/>
      <c r="W299" s="194"/>
      <c r="X299" s="249"/>
      <c r="Y299" s="250"/>
      <c r="Z299" s="251"/>
      <c r="AA299" s="252"/>
    </row>
    <row r="300" spans="1:27">
      <c r="A300" s="1503">
        <f t="shared" si="33"/>
        <v>118</v>
      </c>
      <c r="C300" s="1912"/>
      <c r="D300" s="1805"/>
      <c r="E300" s="1915"/>
      <c r="F300" s="1915"/>
      <c r="G300" s="1549"/>
      <c r="H300" s="1549"/>
      <c r="I300" s="1504"/>
      <c r="J300" s="1504"/>
      <c r="K300" s="1916"/>
      <c r="L300" s="1504"/>
      <c r="M300" s="1917"/>
      <c r="P300" s="248"/>
      <c r="Q300" s="248"/>
      <c r="R300" s="248"/>
      <c r="S300" s="248"/>
      <c r="T300" s="247"/>
      <c r="U300" s="248"/>
      <c r="V300" s="248"/>
      <c r="W300" s="194"/>
      <c r="X300" s="249"/>
      <c r="Y300" s="250"/>
      <c r="Z300" s="251"/>
      <c r="AA300" s="252"/>
    </row>
    <row r="301" spans="1:27">
      <c r="A301" s="1503">
        <f t="shared" si="33"/>
        <v>119</v>
      </c>
      <c r="C301" s="1912"/>
      <c r="D301" s="1805"/>
      <c r="E301" s="1915"/>
      <c r="F301" s="1915"/>
      <c r="G301" s="1549"/>
      <c r="H301" s="1549"/>
      <c r="I301" s="1504"/>
      <c r="J301" s="1504"/>
      <c r="K301" s="1916"/>
      <c r="L301" s="1504"/>
      <c r="M301" s="1917"/>
      <c r="P301" s="248"/>
      <c r="Q301" s="248"/>
      <c r="R301" s="248"/>
      <c r="S301" s="248"/>
      <c r="T301" s="247"/>
      <c r="U301" s="248"/>
      <c r="V301" s="248"/>
      <c r="W301" s="194"/>
      <c r="X301" s="249"/>
      <c r="Y301" s="250"/>
      <c r="Z301" s="251"/>
      <c r="AA301" s="252"/>
    </row>
    <row r="302" spans="1:27">
      <c r="A302" s="1503">
        <f t="shared" si="33"/>
        <v>120</v>
      </c>
      <c r="C302" s="1912"/>
      <c r="D302" s="1805"/>
      <c r="E302" s="1915"/>
      <c r="F302" s="1915"/>
      <c r="G302" s="1549"/>
      <c r="H302" s="1549"/>
      <c r="I302" s="1504"/>
      <c r="J302" s="1504"/>
      <c r="K302" s="1916"/>
      <c r="L302" s="1504"/>
      <c r="M302" s="1917"/>
      <c r="P302" s="248"/>
      <c r="Q302" s="248"/>
      <c r="R302" s="248"/>
      <c r="S302" s="248"/>
      <c r="T302" s="247"/>
      <c r="U302" s="248"/>
      <c r="V302" s="248"/>
      <c r="W302" s="194"/>
      <c r="X302" s="249"/>
      <c r="Y302" s="250"/>
      <c r="Z302" s="251"/>
      <c r="AA302" s="252"/>
    </row>
    <row r="303" spans="1:27">
      <c r="A303" s="1503">
        <f t="shared" si="33"/>
        <v>121</v>
      </c>
      <c r="C303" s="1912"/>
      <c r="D303" s="1805"/>
      <c r="E303" s="1915"/>
      <c r="F303" s="1915"/>
      <c r="G303" s="1549"/>
      <c r="H303" s="1549"/>
      <c r="I303" s="1504"/>
      <c r="J303" s="1504"/>
      <c r="K303" s="1916"/>
      <c r="L303" s="1504"/>
      <c r="M303" s="1917"/>
      <c r="P303" s="248"/>
      <c r="Q303" s="248"/>
      <c r="R303" s="248"/>
      <c r="S303" s="248"/>
      <c r="T303" s="247"/>
      <c r="U303" s="248"/>
      <c r="V303" s="248"/>
      <c r="W303" s="194"/>
      <c r="X303" s="249"/>
      <c r="Y303" s="250"/>
      <c r="Z303" s="251"/>
      <c r="AA303" s="252"/>
    </row>
    <row r="304" spans="1:27">
      <c r="A304" s="1503">
        <f t="shared" si="33"/>
        <v>122</v>
      </c>
      <c r="C304" s="1912"/>
      <c r="D304" s="1805"/>
      <c r="E304" s="1915"/>
      <c r="F304" s="1915"/>
      <c r="G304" s="1549"/>
      <c r="H304" s="1549"/>
      <c r="I304" s="1504"/>
      <c r="J304" s="1504"/>
      <c r="K304" s="1916"/>
      <c r="L304" s="1504"/>
      <c r="M304" s="1917"/>
      <c r="P304" s="248"/>
      <c r="Q304" s="248"/>
      <c r="R304" s="248"/>
      <c r="S304" s="248"/>
      <c r="T304" s="247"/>
      <c r="U304" s="248"/>
      <c r="V304" s="248"/>
      <c r="W304" s="194"/>
      <c r="X304" s="249"/>
      <c r="Y304" s="250"/>
      <c r="Z304" s="251"/>
      <c r="AA304" s="252"/>
    </row>
    <row r="305" spans="1:27">
      <c r="A305" s="1503">
        <f t="shared" si="33"/>
        <v>123</v>
      </c>
      <c r="C305" s="1912"/>
      <c r="D305" s="1805"/>
      <c r="E305" s="1915"/>
      <c r="F305" s="1915"/>
      <c r="G305" s="1549"/>
      <c r="H305" s="1549"/>
      <c r="I305" s="1504"/>
      <c r="J305" s="1504"/>
      <c r="K305" s="1916"/>
      <c r="L305" s="1504"/>
      <c r="M305" s="1917"/>
      <c r="P305" s="248"/>
      <c r="Q305" s="248"/>
      <c r="R305" s="248"/>
      <c r="S305" s="248"/>
      <c r="T305" s="247"/>
      <c r="U305" s="248"/>
      <c r="V305" s="248"/>
      <c r="W305" s="194"/>
      <c r="X305" s="249"/>
      <c r="Y305" s="250"/>
      <c r="Z305" s="251"/>
      <c r="AA305" s="252"/>
    </row>
    <row r="306" spans="1:27">
      <c r="A306" s="1503">
        <f t="shared" si="33"/>
        <v>124</v>
      </c>
      <c r="C306" s="1912"/>
      <c r="D306" s="1805"/>
      <c r="E306" s="1915"/>
      <c r="F306" s="1915"/>
      <c r="G306" s="1549"/>
      <c r="H306" s="1549"/>
      <c r="I306" s="1504"/>
      <c r="J306" s="1504"/>
      <c r="K306" s="1916"/>
      <c r="L306" s="1504"/>
      <c r="M306" s="1917"/>
      <c r="P306" s="248"/>
      <c r="Q306" s="248"/>
      <c r="R306" s="248"/>
      <c r="S306" s="248"/>
      <c r="T306" s="247"/>
      <c r="U306" s="248"/>
      <c r="V306" s="248"/>
      <c r="W306" s="194"/>
      <c r="X306" s="249"/>
      <c r="Y306" s="250"/>
      <c r="Z306" s="251"/>
      <c r="AA306" s="252"/>
    </row>
    <row r="307" spans="1:27">
      <c r="A307" s="1503">
        <f t="shared" si="33"/>
        <v>125</v>
      </c>
      <c r="C307" s="1912"/>
      <c r="D307" s="1805"/>
      <c r="E307" s="1915"/>
      <c r="F307" s="1915"/>
      <c r="G307" s="1549"/>
      <c r="H307" s="1549"/>
      <c r="I307" s="1504"/>
      <c r="J307" s="1504"/>
      <c r="K307" s="1916"/>
      <c r="L307" s="1504"/>
      <c r="M307" s="1917"/>
      <c r="P307" s="248"/>
      <c r="Q307" s="248"/>
      <c r="R307" s="248"/>
      <c r="S307" s="248"/>
      <c r="T307" s="247"/>
      <c r="U307" s="248"/>
      <c r="V307" s="248"/>
      <c r="W307" s="194"/>
      <c r="X307" s="249"/>
      <c r="Y307" s="250"/>
      <c r="Z307" s="251"/>
      <c r="AA307" s="252"/>
    </row>
    <row r="308" spans="1:27">
      <c r="A308" s="1503">
        <f t="shared" si="33"/>
        <v>126</v>
      </c>
      <c r="C308" s="1912"/>
      <c r="D308" s="1805"/>
      <c r="E308" s="1915"/>
      <c r="F308" s="1915"/>
      <c r="G308" s="1549"/>
      <c r="H308" s="1549"/>
      <c r="I308" s="1504"/>
      <c r="J308" s="1504"/>
      <c r="K308" s="1916"/>
      <c r="L308" s="1504"/>
      <c r="M308" s="1917"/>
      <c r="P308" s="248"/>
      <c r="Q308" s="248"/>
      <c r="R308" s="248"/>
      <c r="S308" s="248"/>
      <c r="T308" s="247"/>
      <c r="U308" s="248"/>
      <c r="V308" s="248"/>
      <c r="W308" s="194"/>
      <c r="X308" s="249"/>
      <c r="Y308" s="250"/>
      <c r="Z308" s="251"/>
      <c r="AA308" s="252"/>
    </row>
    <row r="309" spans="1:27">
      <c r="A309" s="1503">
        <f t="shared" si="33"/>
        <v>127</v>
      </c>
      <c r="C309" s="1912"/>
      <c r="D309" s="1805"/>
      <c r="E309" s="1915"/>
      <c r="F309" s="1915"/>
      <c r="G309" s="1549"/>
      <c r="H309" s="1549"/>
      <c r="I309" s="1504"/>
      <c r="J309" s="1504"/>
      <c r="K309" s="1916"/>
      <c r="L309" s="1504"/>
      <c r="M309" s="1917"/>
      <c r="P309" s="248"/>
      <c r="Q309" s="248"/>
      <c r="R309" s="248"/>
      <c r="S309" s="248"/>
      <c r="T309" s="247"/>
      <c r="U309" s="248"/>
      <c r="V309" s="248"/>
      <c r="W309" s="194"/>
      <c r="X309" s="249"/>
      <c r="Y309" s="250"/>
      <c r="Z309" s="251"/>
      <c r="AA309" s="252"/>
    </row>
    <row r="310" spans="1:27">
      <c r="A310" s="1503">
        <f t="shared" si="33"/>
        <v>128</v>
      </c>
      <c r="C310" s="1912"/>
      <c r="D310" s="1805"/>
      <c r="E310" s="1915"/>
      <c r="F310" s="1915"/>
      <c r="G310" s="1549"/>
      <c r="H310" s="1549"/>
      <c r="I310" s="1504"/>
      <c r="J310" s="1504"/>
      <c r="K310" s="1916"/>
      <c r="L310" s="1504"/>
      <c r="M310" s="1917"/>
      <c r="P310" s="248"/>
      <c r="Q310" s="248"/>
      <c r="R310" s="248"/>
      <c r="S310" s="248"/>
      <c r="T310" s="247"/>
      <c r="U310" s="248"/>
      <c r="V310" s="248"/>
      <c r="W310" s="194"/>
      <c r="X310" s="249"/>
      <c r="Y310" s="250"/>
      <c r="Z310" s="251"/>
      <c r="AA310" s="252"/>
    </row>
    <row r="311" spans="1:27">
      <c r="A311" s="1503">
        <f t="shared" si="33"/>
        <v>129</v>
      </c>
      <c r="C311" s="1912"/>
      <c r="D311" s="1805"/>
      <c r="E311" s="1915"/>
      <c r="F311" s="1915"/>
      <c r="G311" s="1549"/>
      <c r="H311" s="1549"/>
      <c r="I311" s="1504"/>
      <c r="J311" s="1504"/>
      <c r="K311" s="1916"/>
      <c r="L311" s="1504"/>
      <c r="M311" s="1917"/>
      <c r="P311" s="248"/>
      <c r="Q311" s="248"/>
      <c r="R311" s="248"/>
      <c r="S311" s="248"/>
      <c r="T311" s="247"/>
      <c r="U311" s="248"/>
      <c r="V311" s="248"/>
      <c r="W311" s="194"/>
      <c r="X311" s="249"/>
      <c r="Y311" s="250"/>
      <c r="Z311" s="251"/>
      <c r="AA311" s="252"/>
    </row>
    <row r="312" spans="1:27">
      <c r="A312" s="1503">
        <f t="shared" si="33"/>
        <v>130</v>
      </c>
      <c r="C312" s="1912"/>
      <c r="D312" s="1805"/>
      <c r="E312" s="1915"/>
      <c r="F312" s="1915"/>
      <c r="G312" s="1549"/>
      <c r="H312" s="1549"/>
      <c r="I312" s="1504"/>
      <c r="J312" s="1504"/>
      <c r="K312" s="1916"/>
      <c r="L312" s="1504"/>
      <c r="M312" s="1917"/>
      <c r="P312" s="248"/>
      <c r="Q312" s="248"/>
      <c r="R312" s="248"/>
      <c r="S312" s="248"/>
      <c r="T312" s="247"/>
      <c r="U312" s="248"/>
      <c r="V312" s="248"/>
      <c r="W312" s="194"/>
      <c r="X312" s="249"/>
      <c r="Y312" s="250"/>
      <c r="Z312" s="251"/>
      <c r="AA312" s="252"/>
    </row>
    <row r="313" spans="1:27">
      <c r="A313" s="1503">
        <f t="shared" si="33"/>
        <v>131</v>
      </c>
      <c r="C313" s="1912"/>
      <c r="D313" s="1805"/>
      <c r="E313" s="1915"/>
      <c r="F313" s="1915"/>
      <c r="G313" s="1549"/>
      <c r="H313" s="1549"/>
      <c r="I313" s="1504"/>
      <c r="J313" s="1504"/>
      <c r="K313" s="1916"/>
      <c r="L313" s="1504"/>
      <c r="M313" s="1917"/>
      <c r="P313" s="248"/>
      <c r="Q313" s="248"/>
      <c r="R313" s="248"/>
      <c r="S313" s="248"/>
      <c r="T313" s="247"/>
      <c r="U313" s="248"/>
      <c r="V313" s="248"/>
      <c r="W313" s="194"/>
      <c r="X313" s="249"/>
      <c r="Y313" s="250"/>
      <c r="Z313" s="251"/>
      <c r="AA313" s="252"/>
    </row>
    <row r="314" spans="1:27">
      <c r="A314" s="1503">
        <f t="shared" si="33"/>
        <v>132</v>
      </c>
      <c r="C314" s="1912"/>
      <c r="D314" s="1805"/>
      <c r="E314" s="1915"/>
      <c r="F314" s="1915"/>
      <c r="G314" s="1549"/>
      <c r="H314" s="1549"/>
      <c r="I314" s="1504"/>
      <c r="J314" s="1504"/>
      <c r="K314" s="1916"/>
      <c r="L314" s="1504"/>
      <c r="M314" s="1917"/>
      <c r="P314" s="248"/>
      <c r="Q314" s="248"/>
      <c r="R314" s="248"/>
      <c r="S314" s="248"/>
      <c r="T314" s="247"/>
      <c r="U314" s="248"/>
      <c r="V314" s="248"/>
      <c r="W314" s="194"/>
      <c r="X314" s="249"/>
      <c r="Y314" s="250"/>
      <c r="Z314" s="251"/>
      <c r="AA314" s="252"/>
    </row>
    <row r="315" spans="1:27">
      <c r="A315" s="1503">
        <f t="shared" si="33"/>
        <v>133</v>
      </c>
      <c r="C315" s="1912"/>
      <c r="D315" s="1805"/>
      <c r="E315" s="1915"/>
      <c r="F315" s="1915"/>
      <c r="G315" s="1549"/>
      <c r="H315" s="1549"/>
      <c r="I315" s="1504"/>
      <c r="J315" s="1504"/>
      <c r="K315" s="1916"/>
      <c r="L315" s="1504"/>
      <c r="M315" s="1917"/>
      <c r="P315" s="248"/>
      <c r="Q315" s="248"/>
      <c r="R315" s="248"/>
      <c r="S315" s="248"/>
      <c r="T315" s="247"/>
      <c r="U315" s="248"/>
      <c r="V315" s="248"/>
      <c r="W315" s="194"/>
      <c r="X315" s="249"/>
      <c r="Y315" s="250"/>
      <c r="Z315" s="251"/>
      <c r="AA315" s="252"/>
    </row>
    <row r="316" spans="1:27">
      <c r="A316" s="1503">
        <f t="shared" si="33"/>
        <v>134</v>
      </c>
      <c r="C316" s="1912"/>
      <c r="D316" s="1805"/>
      <c r="E316" s="1915"/>
      <c r="F316" s="1915"/>
      <c r="G316" s="1549"/>
      <c r="H316" s="1549"/>
      <c r="I316" s="1504"/>
      <c r="J316" s="1504"/>
      <c r="K316" s="1916"/>
      <c r="L316" s="1504"/>
      <c r="M316" s="1917"/>
      <c r="P316" s="248"/>
      <c r="Q316" s="248"/>
      <c r="R316" s="248"/>
      <c r="S316" s="248"/>
      <c r="T316" s="247"/>
      <c r="U316" s="248"/>
      <c r="V316" s="248"/>
      <c r="W316" s="194"/>
      <c r="X316" s="249"/>
      <c r="Y316" s="250"/>
      <c r="Z316" s="251"/>
      <c r="AA316" s="252"/>
    </row>
    <row r="317" spans="1:27">
      <c r="A317" s="1503">
        <f t="shared" si="33"/>
        <v>135</v>
      </c>
      <c r="C317" s="1912"/>
      <c r="D317" s="1805"/>
      <c r="E317" s="1915"/>
      <c r="F317" s="1915"/>
      <c r="G317" s="1549"/>
      <c r="H317" s="1549"/>
      <c r="I317" s="1504"/>
      <c r="J317" s="1504"/>
      <c r="K317" s="1916"/>
      <c r="L317" s="1504"/>
      <c r="M317" s="1917"/>
      <c r="P317" s="248"/>
      <c r="Q317" s="248"/>
      <c r="R317" s="248"/>
      <c r="S317" s="248"/>
      <c r="T317" s="247"/>
      <c r="U317" s="248"/>
      <c r="V317" s="248"/>
      <c r="W317" s="194"/>
      <c r="X317" s="249"/>
      <c r="Y317" s="250"/>
      <c r="Z317" s="251"/>
      <c r="AA317" s="252"/>
    </row>
    <row r="318" spans="1:27">
      <c r="A318" s="1503">
        <f t="shared" si="33"/>
        <v>136</v>
      </c>
      <c r="C318" s="1912"/>
      <c r="D318" s="1805"/>
      <c r="E318" s="1915"/>
      <c r="F318" s="1915"/>
      <c r="G318" s="1549"/>
      <c r="H318" s="1549"/>
      <c r="I318" s="1504"/>
      <c r="J318" s="1504"/>
      <c r="K318" s="1916"/>
      <c r="L318" s="1504"/>
      <c r="M318" s="1917"/>
      <c r="P318" s="248"/>
      <c r="Q318" s="248"/>
      <c r="R318" s="248"/>
      <c r="S318" s="248"/>
      <c r="T318" s="247"/>
      <c r="U318" s="248"/>
      <c r="V318" s="248"/>
      <c r="W318" s="194"/>
      <c r="X318" s="249"/>
      <c r="Y318" s="250"/>
      <c r="Z318" s="251"/>
      <c r="AA318" s="252"/>
    </row>
    <row r="319" spans="1:27">
      <c r="A319" s="1503">
        <f t="shared" si="33"/>
        <v>137</v>
      </c>
      <c r="C319" s="1912"/>
      <c r="D319" s="1805"/>
      <c r="E319" s="1915"/>
      <c r="F319" s="1915"/>
      <c r="G319" s="1549"/>
      <c r="H319" s="1549"/>
      <c r="I319" s="1504"/>
      <c r="J319" s="1504"/>
      <c r="K319" s="1916"/>
      <c r="L319" s="1504"/>
      <c r="M319" s="1917"/>
      <c r="P319" s="248"/>
      <c r="Q319" s="248"/>
      <c r="R319" s="248"/>
      <c r="S319" s="248"/>
      <c r="T319" s="247"/>
      <c r="U319" s="248"/>
      <c r="V319" s="248"/>
      <c r="W319" s="194"/>
      <c r="X319" s="249"/>
      <c r="Y319" s="250"/>
      <c r="Z319" s="251"/>
      <c r="AA319" s="252"/>
    </row>
    <row r="320" spans="1:27">
      <c r="A320" s="1503">
        <f t="shared" si="33"/>
        <v>138</v>
      </c>
      <c r="C320" s="1912"/>
      <c r="D320" s="1805"/>
      <c r="E320" s="1915"/>
      <c r="F320" s="1915"/>
      <c r="G320" s="1549"/>
      <c r="H320" s="1549"/>
      <c r="I320" s="1504"/>
      <c r="J320" s="1504"/>
      <c r="K320" s="1916"/>
      <c r="L320" s="1504"/>
      <c r="M320" s="1917"/>
      <c r="P320" s="248"/>
      <c r="Q320" s="248"/>
      <c r="R320" s="248"/>
      <c r="S320" s="248"/>
      <c r="T320" s="247"/>
      <c r="U320" s="248"/>
      <c r="V320" s="248"/>
      <c r="W320" s="194"/>
      <c r="X320" s="249"/>
      <c r="Y320" s="250"/>
      <c r="Z320" s="251"/>
      <c r="AA320" s="252"/>
    </row>
    <row r="321" spans="1:27">
      <c r="A321" s="1503">
        <f t="shared" si="33"/>
        <v>139</v>
      </c>
      <c r="C321" s="1912"/>
      <c r="D321" s="1805"/>
      <c r="E321" s="1915"/>
      <c r="F321" s="1915"/>
      <c r="G321" s="1549"/>
      <c r="H321" s="1549"/>
      <c r="I321" s="1504"/>
      <c r="J321" s="1504"/>
      <c r="K321" s="1916"/>
      <c r="L321" s="1504"/>
      <c r="M321" s="1917"/>
      <c r="P321" s="248"/>
      <c r="Q321" s="248"/>
      <c r="R321" s="248"/>
      <c r="S321" s="248"/>
      <c r="T321" s="247"/>
      <c r="U321" s="248"/>
      <c r="V321" s="248"/>
      <c r="W321" s="194"/>
      <c r="X321" s="249"/>
      <c r="Y321" s="250"/>
      <c r="Z321" s="251"/>
      <c r="AA321" s="252"/>
    </row>
    <row r="322" spans="1:27">
      <c r="A322" s="1503">
        <f t="shared" si="33"/>
        <v>140</v>
      </c>
      <c r="C322" s="1912"/>
      <c r="D322" s="1805"/>
      <c r="E322" s="1915"/>
      <c r="F322" s="1915"/>
      <c r="G322" s="1549"/>
      <c r="H322" s="1549"/>
      <c r="I322" s="1504"/>
      <c r="J322" s="1504"/>
      <c r="K322" s="1916"/>
      <c r="L322" s="1504"/>
      <c r="M322" s="1917"/>
      <c r="P322" s="248"/>
      <c r="Q322" s="248"/>
      <c r="R322" s="248"/>
      <c r="S322" s="248"/>
      <c r="T322" s="247"/>
      <c r="U322" s="248"/>
      <c r="V322" s="248"/>
      <c r="W322" s="194"/>
      <c r="X322" s="249"/>
      <c r="Y322" s="250"/>
      <c r="Z322" s="251"/>
      <c r="AA322" s="252"/>
    </row>
    <row r="323" spans="1:27">
      <c r="A323" s="1503">
        <f t="shared" si="33"/>
        <v>141</v>
      </c>
      <c r="C323" s="1912"/>
      <c r="D323" s="1805"/>
      <c r="E323" s="1915"/>
      <c r="F323" s="1915"/>
      <c r="G323" s="1549"/>
      <c r="H323" s="1549"/>
      <c r="I323" s="1504"/>
      <c r="J323" s="1504"/>
      <c r="K323" s="1916"/>
      <c r="L323" s="1504"/>
      <c r="M323" s="1917"/>
      <c r="P323" s="248"/>
      <c r="Q323" s="248"/>
      <c r="R323" s="248"/>
      <c r="S323" s="248"/>
      <c r="T323" s="247"/>
      <c r="U323" s="248"/>
      <c r="V323" s="248"/>
      <c r="W323" s="194"/>
      <c r="X323" s="249"/>
      <c r="Y323" s="250"/>
      <c r="Z323" s="251"/>
      <c r="AA323" s="252"/>
    </row>
    <row r="324" spans="1:27">
      <c r="A324" s="1503">
        <f t="shared" si="33"/>
        <v>142</v>
      </c>
      <c r="C324" s="1912"/>
      <c r="D324" s="1805"/>
      <c r="E324" s="1915"/>
      <c r="F324" s="1915"/>
      <c r="G324" s="1549"/>
      <c r="H324" s="1549"/>
      <c r="I324" s="1504"/>
      <c r="J324" s="1504"/>
      <c r="K324" s="1916"/>
      <c r="L324" s="1504"/>
      <c r="M324" s="1917"/>
      <c r="P324" s="248"/>
      <c r="Q324" s="248"/>
      <c r="R324" s="248"/>
      <c r="S324" s="248"/>
      <c r="T324" s="247"/>
      <c r="U324" s="248"/>
      <c r="V324" s="248"/>
      <c r="W324" s="194"/>
      <c r="X324" s="249"/>
      <c r="Y324" s="250"/>
      <c r="Z324" s="251"/>
      <c r="AA324" s="252"/>
    </row>
    <row r="325" spans="1:27">
      <c r="A325" s="1503">
        <f t="shared" si="33"/>
        <v>143</v>
      </c>
      <c r="C325" s="1912"/>
      <c r="D325" s="1805"/>
      <c r="E325" s="1915"/>
      <c r="F325" s="1915"/>
      <c r="G325" s="1549"/>
      <c r="H325" s="1549"/>
      <c r="I325" s="1504"/>
      <c r="J325" s="1504"/>
      <c r="K325" s="1916"/>
      <c r="L325" s="1504"/>
      <c r="M325" s="1917"/>
      <c r="P325" s="248"/>
      <c r="Q325" s="248"/>
      <c r="R325" s="248"/>
      <c r="S325" s="248"/>
      <c r="T325" s="247"/>
      <c r="U325" s="248"/>
      <c r="V325" s="248"/>
      <c r="W325" s="194"/>
      <c r="X325" s="249"/>
      <c r="Y325" s="250"/>
      <c r="Z325" s="251"/>
      <c r="AA325" s="252"/>
    </row>
    <row r="326" spans="1:27">
      <c r="A326" s="1503">
        <f t="shared" si="33"/>
        <v>144</v>
      </c>
      <c r="C326" s="1912"/>
      <c r="D326" s="1805"/>
      <c r="E326" s="1915"/>
      <c r="F326" s="1915"/>
      <c r="G326" s="1549"/>
      <c r="H326" s="1549"/>
      <c r="I326" s="1504"/>
      <c r="J326" s="1504"/>
      <c r="K326" s="1916"/>
      <c r="L326" s="1504"/>
      <c r="M326" s="1917"/>
      <c r="P326" s="248"/>
      <c r="Q326" s="248"/>
      <c r="R326" s="248"/>
      <c r="S326" s="248"/>
      <c r="T326" s="247"/>
      <c r="U326" s="248"/>
      <c r="V326" s="248"/>
      <c r="W326" s="194"/>
      <c r="X326" s="249"/>
      <c r="Y326" s="250"/>
      <c r="Z326" s="251"/>
      <c r="AA326" s="252"/>
    </row>
    <row r="327" spans="1:27">
      <c r="A327" s="1503">
        <f t="shared" si="33"/>
        <v>145</v>
      </c>
      <c r="C327" s="1912"/>
      <c r="D327" s="1805"/>
      <c r="E327" s="1915"/>
      <c r="F327" s="1915"/>
      <c r="G327" s="1549"/>
      <c r="H327" s="1549"/>
      <c r="I327" s="1504"/>
      <c r="J327" s="1504"/>
      <c r="K327" s="1916"/>
      <c r="L327" s="1504"/>
      <c r="M327" s="1917"/>
      <c r="P327" s="248"/>
      <c r="Q327" s="248"/>
      <c r="R327" s="248"/>
      <c r="S327" s="248"/>
      <c r="T327" s="247"/>
      <c r="U327" s="248"/>
      <c r="V327" s="248"/>
      <c r="W327" s="194"/>
      <c r="X327" s="249"/>
      <c r="Y327" s="250"/>
      <c r="Z327" s="251"/>
      <c r="AA327" s="252"/>
    </row>
    <row r="328" spans="1:27">
      <c r="A328" s="1503">
        <f t="shared" si="33"/>
        <v>146</v>
      </c>
      <c r="C328" s="1912"/>
      <c r="D328" s="1805"/>
      <c r="E328" s="1915"/>
      <c r="F328" s="1915"/>
      <c r="G328" s="1549"/>
      <c r="H328" s="1549"/>
      <c r="I328" s="1504"/>
      <c r="J328" s="1504"/>
      <c r="K328" s="1916"/>
      <c r="L328" s="1504"/>
      <c r="M328" s="1917"/>
      <c r="P328" s="248"/>
      <c r="Q328" s="248"/>
      <c r="R328" s="248"/>
      <c r="S328" s="248"/>
      <c r="T328" s="247"/>
      <c r="U328" s="248"/>
      <c r="V328" s="248"/>
      <c r="W328" s="194"/>
      <c r="X328" s="249"/>
      <c r="Y328" s="250"/>
      <c r="Z328" s="251"/>
      <c r="AA328" s="252"/>
    </row>
    <row r="329" spans="1:27">
      <c r="A329" s="1503">
        <f t="shared" si="33"/>
        <v>147</v>
      </c>
      <c r="C329" s="1912"/>
      <c r="D329" s="1805"/>
      <c r="E329" s="1915"/>
      <c r="F329" s="1915"/>
      <c r="G329" s="1549"/>
      <c r="H329" s="1549"/>
      <c r="I329" s="1504"/>
      <c r="J329" s="1504"/>
      <c r="K329" s="1916"/>
      <c r="L329" s="1504"/>
      <c r="M329" s="1917"/>
      <c r="P329" s="248"/>
      <c r="Q329" s="248"/>
      <c r="R329" s="248"/>
      <c r="S329" s="248"/>
      <c r="T329" s="247"/>
      <c r="U329" s="248"/>
      <c r="V329" s="248"/>
      <c r="W329" s="194"/>
      <c r="X329" s="249"/>
      <c r="Y329" s="250"/>
      <c r="Z329" s="251"/>
      <c r="AA329" s="252"/>
    </row>
    <row r="330" spans="1:27">
      <c r="A330" s="1503">
        <f t="shared" si="33"/>
        <v>148</v>
      </c>
      <c r="C330" s="1912"/>
      <c r="D330" s="1805"/>
      <c r="E330" s="1915"/>
      <c r="F330" s="1915"/>
      <c r="G330" s="1549"/>
      <c r="H330" s="1549"/>
      <c r="I330" s="1504"/>
      <c r="J330" s="1504"/>
      <c r="K330" s="1916"/>
      <c r="L330" s="1504"/>
      <c r="M330" s="1917"/>
      <c r="P330" s="248"/>
      <c r="Q330" s="248"/>
      <c r="R330" s="248"/>
      <c r="S330" s="248"/>
      <c r="T330" s="247"/>
      <c r="U330" s="248"/>
      <c r="V330" s="248"/>
      <c r="W330" s="194"/>
      <c r="X330" s="249"/>
      <c r="Y330" s="250"/>
      <c r="Z330" s="251"/>
      <c r="AA330" s="252"/>
    </row>
    <row r="331" spans="1:27">
      <c r="A331" s="1503">
        <f t="shared" si="33"/>
        <v>149</v>
      </c>
      <c r="C331" s="1912"/>
      <c r="D331" s="1805"/>
      <c r="E331" s="1915"/>
      <c r="F331" s="1915"/>
      <c r="G331" s="1549"/>
      <c r="H331" s="1549"/>
      <c r="I331" s="1504"/>
      <c r="J331" s="1504"/>
      <c r="K331" s="1916"/>
      <c r="L331" s="1504"/>
      <c r="M331" s="1917"/>
      <c r="P331" s="248"/>
      <c r="Q331" s="248"/>
      <c r="R331" s="248"/>
      <c r="S331" s="248"/>
      <c r="T331" s="247"/>
      <c r="U331" s="248"/>
      <c r="V331" s="248"/>
      <c r="W331" s="194"/>
      <c r="X331" s="249"/>
      <c r="Y331" s="250"/>
      <c r="Z331" s="251"/>
      <c r="AA331" s="252"/>
    </row>
    <row r="332" spans="1:27">
      <c r="A332" s="1503">
        <f t="shared" si="33"/>
        <v>150</v>
      </c>
      <c r="C332" s="1912"/>
      <c r="D332" s="1805"/>
      <c r="E332" s="1915"/>
      <c r="F332" s="1915"/>
      <c r="G332" s="1549"/>
      <c r="H332" s="1549"/>
      <c r="I332" s="1504"/>
      <c r="J332" s="1504"/>
      <c r="K332" s="1916"/>
      <c r="L332" s="1504"/>
      <c r="M332" s="1917"/>
      <c r="P332" s="248"/>
      <c r="Q332" s="248"/>
      <c r="R332" s="248"/>
      <c r="S332" s="248"/>
      <c r="T332" s="247"/>
      <c r="U332" s="248"/>
      <c r="V332" s="248"/>
      <c r="W332" s="194"/>
      <c r="X332" s="249"/>
      <c r="Y332" s="250"/>
      <c r="Z332" s="251"/>
      <c r="AA332" s="252"/>
    </row>
    <row r="333" spans="1:27">
      <c r="A333" s="1503">
        <f t="shared" si="33"/>
        <v>151</v>
      </c>
      <c r="C333" s="1912"/>
      <c r="D333" s="1805"/>
      <c r="E333" s="1915"/>
      <c r="F333" s="1915"/>
      <c r="G333" s="1549"/>
      <c r="H333" s="1549"/>
      <c r="I333" s="1504"/>
      <c r="J333" s="1504"/>
      <c r="K333" s="1916"/>
      <c r="L333" s="1504"/>
      <c r="M333" s="1917"/>
      <c r="P333" s="248"/>
      <c r="Q333" s="248"/>
      <c r="R333" s="248"/>
      <c r="S333" s="248"/>
      <c r="T333" s="247"/>
      <c r="U333" s="248"/>
      <c r="V333" s="248"/>
      <c r="W333" s="194"/>
      <c r="X333" s="249"/>
      <c r="Y333" s="250"/>
      <c r="Z333" s="251"/>
      <c r="AA333" s="252"/>
    </row>
    <row r="334" spans="1:27">
      <c r="A334" s="1503">
        <f t="shared" si="33"/>
        <v>152</v>
      </c>
      <c r="C334" s="1912"/>
      <c r="D334" s="1805"/>
      <c r="E334" s="1915"/>
      <c r="F334" s="1915"/>
      <c r="G334" s="1549"/>
      <c r="H334" s="1549"/>
      <c r="I334" s="1504"/>
      <c r="J334" s="1504"/>
      <c r="K334" s="1916"/>
      <c r="L334" s="1504"/>
      <c r="M334" s="1917"/>
      <c r="P334" s="248"/>
      <c r="Q334" s="248"/>
      <c r="R334" s="248"/>
      <c r="S334" s="248"/>
      <c r="T334" s="247"/>
      <c r="U334" s="248"/>
      <c r="V334" s="248"/>
      <c r="W334" s="194"/>
      <c r="X334" s="249"/>
      <c r="Y334" s="250"/>
      <c r="Z334" s="251"/>
      <c r="AA334" s="252"/>
    </row>
    <row r="335" spans="1:27">
      <c r="A335" s="1503">
        <f t="shared" si="33"/>
        <v>153</v>
      </c>
      <c r="C335" s="1912"/>
      <c r="D335" s="1805"/>
      <c r="E335" s="1915"/>
      <c r="F335" s="1915"/>
      <c r="G335" s="1549"/>
      <c r="H335" s="1549"/>
      <c r="I335" s="1504"/>
      <c r="J335" s="1504"/>
      <c r="K335" s="1916"/>
      <c r="L335" s="1504"/>
      <c r="M335" s="1917"/>
      <c r="P335" s="248"/>
      <c r="Q335" s="248"/>
      <c r="R335" s="248"/>
      <c r="S335" s="248"/>
      <c r="T335" s="247"/>
      <c r="U335" s="248"/>
      <c r="V335" s="248"/>
      <c r="W335" s="194"/>
      <c r="X335" s="249"/>
      <c r="Y335" s="250"/>
      <c r="Z335" s="251"/>
      <c r="AA335" s="252"/>
    </row>
    <row r="336" spans="1:27">
      <c r="A336" s="1503">
        <f t="shared" si="33"/>
        <v>154</v>
      </c>
      <c r="C336" s="1912"/>
      <c r="D336" s="1805"/>
      <c r="E336" s="1915"/>
      <c r="F336" s="1915"/>
      <c r="G336" s="1549"/>
      <c r="H336" s="1549"/>
      <c r="I336" s="1504"/>
      <c r="J336" s="1504"/>
      <c r="K336" s="1916"/>
      <c r="L336" s="1504"/>
      <c r="M336" s="1917"/>
      <c r="P336" s="248"/>
      <c r="Q336" s="248"/>
      <c r="R336" s="248"/>
      <c r="S336" s="248"/>
      <c r="T336" s="247"/>
      <c r="U336" s="248"/>
      <c r="V336" s="248"/>
      <c r="W336" s="194"/>
      <c r="X336" s="249"/>
      <c r="Y336" s="250"/>
      <c r="Z336" s="251"/>
      <c r="AA336" s="252"/>
    </row>
    <row r="337" spans="1:27">
      <c r="A337" s="1503">
        <f t="shared" si="33"/>
        <v>155</v>
      </c>
      <c r="C337" s="1912"/>
      <c r="D337" s="1805"/>
      <c r="E337" s="1915"/>
      <c r="F337" s="1915"/>
      <c r="G337" s="1549"/>
      <c r="H337" s="1549"/>
      <c r="I337" s="1504"/>
      <c r="J337" s="1504"/>
      <c r="K337" s="1916"/>
      <c r="L337" s="1504"/>
      <c r="M337" s="1917"/>
      <c r="P337" s="248"/>
      <c r="Q337" s="248"/>
      <c r="R337" s="248"/>
      <c r="S337" s="248"/>
      <c r="T337" s="247"/>
      <c r="U337" s="248"/>
      <c r="V337" s="248"/>
      <c r="W337" s="194"/>
      <c r="X337" s="249"/>
      <c r="Y337" s="250"/>
      <c r="Z337" s="251"/>
      <c r="AA337" s="252"/>
    </row>
    <row r="338" spans="1:27">
      <c r="A338" s="1503">
        <f t="shared" si="33"/>
        <v>156</v>
      </c>
      <c r="C338" s="1912"/>
      <c r="D338" s="1805"/>
      <c r="E338" s="1915"/>
      <c r="F338" s="1915"/>
      <c r="G338" s="1549"/>
      <c r="H338" s="1549"/>
      <c r="I338" s="1504"/>
      <c r="J338" s="1504"/>
      <c r="K338" s="1916"/>
      <c r="L338" s="1504"/>
      <c r="M338" s="1917"/>
      <c r="P338" s="248"/>
      <c r="Q338" s="248"/>
      <c r="R338" s="248"/>
      <c r="S338" s="248"/>
      <c r="T338" s="247"/>
      <c r="U338" s="248"/>
      <c r="V338" s="248"/>
      <c r="W338" s="194"/>
      <c r="X338" s="249"/>
      <c r="Y338" s="250"/>
      <c r="Z338" s="251"/>
      <c r="AA338" s="252"/>
    </row>
    <row r="339" spans="1:27">
      <c r="A339" s="1503">
        <f t="shared" si="33"/>
        <v>157</v>
      </c>
      <c r="C339" s="1912"/>
      <c r="D339" s="1805"/>
      <c r="E339" s="1915"/>
      <c r="F339" s="1915"/>
      <c r="G339" s="1549"/>
      <c r="H339" s="1549"/>
      <c r="I339" s="1504"/>
      <c r="J339" s="1504"/>
      <c r="K339" s="1916"/>
      <c r="L339" s="1504"/>
      <c r="M339" s="1917"/>
      <c r="P339" s="248"/>
      <c r="Q339" s="248"/>
      <c r="R339" s="248"/>
      <c r="S339" s="248"/>
      <c r="T339" s="247"/>
      <c r="U339" s="248"/>
      <c r="V339" s="248"/>
      <c r="W339" s="194"/>
      <c r="X339" s="249"/>
      <c r="Y339" s="250"/>
      <c r="Z339" s="251"/>
      <c r="AA339" s="252"/>
    </row>
    <row r="340" spans="1:27">
      <c r="A340" s="1503">
        <f t="shared" si="33"/>
        <v>158</v>
      </c>
      <c r="C340" s="1912"/>
      <c r="D340" s="1805"/>
      <c r="E340" s="1915"/>
      <c r="F340" s="1915"/>
      <c r="G340" s="1549"/>
      <c r="H340" s="1549"/>
      <c r="I340" s="1504"/>
      <c r="J340" s="1504"/>
      <c r="K340" s="1916"/>
      <c r="L340" s="1504"/>
      <c r="M340" s="1917"/>
      <c r="P340" s="248"/>
      <c r="Q340" s="248"/>
      <c r="R340" s="248"/>
      <c r="S340" s="248"/>
      <c r="T340" s="247"/>
      <c r="U340" s="248"/>
      <c r="V340" s="248"/>
      <c r="W340" s="194"/>
      <c r="X340" s="249"/>
      <c r="Y340" s="250"/>
      <c r="Z340" s="251"/>
      <c r="AA340" s="252"/>
    </row>
    <row r="341" spans="1:27">
      <c r="A341" s="1503">
        <f t="shared" si="33"/>
        <v>159</v>
      </c>
      <c r="C341" s="1912"/>
      <c r="D341" s="1805"/>
      <c r="E341" s="1915"/>
      <c r="F341" s="1915"/>
      <c r="G341" s="1549"/>
      <c r="H341" s="1549"/>
      <c r="I341" s="1504"/>
      <c r="J341" s="1504"/>
      <c r="K341" s="1916"/>
      <c r="L341" s="1504"/>
      <c r="M341" s="1917"/>
      <c r="P341" s="248"/>
      <c r="Q341" s="248"/>
      <c r="R341" s="248"/>
      <c r="S341" s="248"/>
      <c r="T341" s="247"/>
      <c r="U341" s="248"/>
      <c r="V341" s="248"/>
      <c r="W341" s="194"/>
      <c r="X341" s="249"/>
      <c r="Y341" s="250"/>
      <c r="Z341" s="251"/>
      <c r="AA341" s="252"/>
    </row>
    <row r="342" spans="1:27">
      <c r="A342" s="1503">
        <f t="shared" si="33"/>
        <v>160</v>
      </c>
      <c r="C342" s="1912"/>
      <c r="D342" s="1805"/>
      <c r="E342" s="1915"/>
      <c r="F342" s="1915"/>
      <c r="G342" s="1549"/>
      <c r="H342" s="1549"/>
      <c r="I342" s="1504"/>
      <c r="J342" s="1504"/>
      <c r="K342" s="1916"/>
      <c r="L342" s="1504"/>
      <c r="M342" s="1917"/>
      <c r="P342" s="248"/>
      <c r="Q342" s="248"/>
      <c r="R342" s="248"/>
      <c r="S342" s="248"/>
      <c r="T342" s="247"/>
      <c r="U342" s="248"/>
      <c r="V342" s="248"/>
      <c r="W342" s="194"/>
      <c r="X342" s="249"/>
      <c r="Y342" s="250"/>
      <c r="Z342" s="251"/>
      <c r="AA342" s="252"/>
    </row>
  </sheetData>
  <mergeCells count="50">
    <mergeCell ref="I188:I191"/>
    <mergeCell ref="A182:M182"/>
    <mergeCell ref="I176:I179"/>
    <mergeCell ref="I161:I163"/>
    <mergeCell ref="A150:M150"/>
    <mergeCell ref="A136:M136"/>
    <mergeCell ref="I127:I130"/>
    <mergeCell ref="I107:I109"/>
    <mergeCell ref="I155:I158"/>
    <mergeCell ref="I146:I149"/>
    <mergeCell ref="I141:I144"/>
    <mergeCell ref="I133:I135"/>
    <mergeCell ref="B107:B109"/>
    <mergeCell ref="A121:M121"/>
    <mergeCell ref="I115:I118"/>
    <mergeCell ref="B115:B118"/>
    <mergeCell ref="A14:M14"/>
    <mergeCell ref="A27:M27"/>
    <mergeCell ref="A40:M40"/>
    <mergeCell ref="D44:D45"/>
    <mergeCell ref="I47:I49"/>
    <mergeCell ref="B47:B49"/>
    <mergeCell ref="D47:D49"/>
    <mergeCell ref="I44:I45"/>
    <mergeCell ref="A92:M92"/>
    <mergeCell ref="I100:I101"/>
    <mergeCell ref="I51:I53"/>
    <mergeCell ref="D51:D53"/>
    <mergeCell ref="I80:I82"/>
    <mergeCell ref="B80:B82"/>
    <mergeCell ref="B51:B53"/>
    <mergeCell ref="I61:I63"/>
    <mergeCell ref="B61:B63"/>
    <mergeCell ref="A57:M57"/>
    <mergeCell ref="A2:K2"/>
    <mergeCell ref="I170:I172"/>
    <mergeCell ref="A165:M165"/>
    <mergeCell ref="A105:M105"/>
    <mergeCell ref="B72:B74"/>
    <mergeCell ref="I65:I68"/>
    <mergeCell ref="I85:I87"/>
    <mergeCell ref="B65:B68"/>
    <mergeCell ref="I72:I74"/>
    <mergeCell ref="A75:M75"/>
    <mergeCell ref="B85:B87"/>
    <mergeCell ref="I88:I90"/>
    <mergeCell ref="B88:B90"/>
    <mergeCell ref="I103:I104"/>
    <mergeCell ref="B103:B104"/>
    <mergeCell ref="I96:I99"/>
  </mergeCells>
  <hyperlinks>
    <hyperlink ref="E41" r:id="rId1" display="javascript:void(0)" xr:uid="{B41B97B7-C14A-449F-9D72-F5AD4704645D}"/>
    <hyperlink ref="E42:E54" r:id="rId2" display="javascript:void(0)" xr:uid="{A340DF73-11EA-46BD-AD3E-6FEF5422C3B2}"/>
    <hyperlink ref="E56" r:id="rId3" display="javascript:void(0)" xr:uid="{BA42D880-412A-497C-918C-744D9BE68933}"/>
    <hyperlink ref="E55" r:id="rId4" display="javascript:void(0)" xr:uid="{592A7499-0578-4B56-B6BD-3CD79FE308D3}"/>
  </hyperlinks>
  <pageMargins left="0.7" right="0.7" top="0.75" bottom="0.75" header="0.3" footer="0.3"/>
  <pageSetup paperSize="9" orientation="portrait" r:id="rId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87341-3DBE-4DF7-95BE-BEF6C77DABEE}">
  <dimension ref="A1:AA415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sqref="A1:XFD1048576"/>
    </sheetView>
  </sheetViews>
  <sheetFormatPr defaultColWidth="10.33203125" defaultRowHeight="15.6"/>
  <cols>
    <col min="1" max="1" width="7" style="1" customWidth="1"/>
    <col min="2" max="2" width="19.109375" style="2" customWidth="1"/>
    <col min="3" max="3" width="14.109375" style="3" customWidth="1"/>
    <col min="4" max="4" width="14.88671875" style="4" customWidth="1"/>
    <col min="5" max="5" width="11.109375" style="4" customWidth="1"/>
    <col min="6" max="7" width="5.109375" style="6" customWidth="1"/>
    <col min="8" max="8" width="17.33203125" style="6" customWidth="1"/>
    <col min="9" max="9" width="14.44140625" style="7" customWidth="1"/>
    <col min="10" max="10" width="10.33203125" style="11"/>
    <col min="11" max="11" width="14.5546875" style="5" customWidth="1"/>
    <col min="12" max="12" width="9.6640625" style="6" hidden="1" customWidth="1"/>
    <col min="13" max="13" width="13.44140625" style="6" hidden="1" customWidth="1"/>
    <col min="14" max="14" width="9.88671875" style="1" hidden="1" customWidth="1"/>
    <col min="15" max="15" width="17" style="6" hidden="1" customWidth="1"/>
    <col min="16" max="16" width="12.5546875" style="268" customWidth="1"/>
    <col min="17" max="17" width="12.6640625" style="268" customWidth="1"/>
    <col min="18" max="18" width="14" style="268" customWidth="1"/>
    <col min="19" max="19" width="15.6640625" style="264" customWidth="1"/>
    <col min="20" max="20" width="14.44140625" style="268" customWidth="1"/>
    <col min="21" max="21" width="19.44140625" style="268" customWidth="1"/>
    <col min="22" max="22" width="15.5546875" style="269" customWidth="1"/>
    <col min="23" max="23" width="34.33203125" style="270" customWidth="1"/>
    <col min="24" max="24" width="18.6640625" style="271" customWidth="1"/>
    <col min="25" max="25" width="16.6640625" style="272" customWidth="1"/>
    <col min="26" max="26" width="15.109375" style="273" customWidth="1"/>
    <col min="27" max="27" width="37.109375" style="5" customWidth="1"/>
    <col min="28" max="191" width="10.33203125" style="13"/>
    <col min="192" max="192" width="7" style="13" customWidth="1"/>
    <col min="193" max="193" width="13" style="13" customWidth="1"/>
    <col min="194" max="194" width="14.109375" style="13" customWidth="1"/>
    <col min="195" max="195" width="17.33203125" style="13" customWidth="1"/>
    <col min="196" max="196" width="18.88671875" style="13" customWidth="1"/>
    <col min="197" max="197" width="14.109375" style="13" customWidth="1"/>
    <col min="198" max="198" width="21.5546875" style="13" customWidth="1"/>
    <col min="199" max="200" width="14.109375" style="13" customWidth="1"/>
    <col min="201" max="201" width="15" style="13" customWidth="1"/>
    <col min="202" max="202" width="13.33203125" style="13" customWidth="1"/>
    <col min="203" max="203" width="17" style="13" customWidth="1"/>
    <col min="204" max="204" width="24.88671875" style="13" customWidth="1"/>
    <col min="205" max="205" width="14.44140625" style="13" customWidth="1"/>
    <col min="206" max="206" width="23.109375" style="13" customWidth="1"/>
    <col min="207" max="207" width="13.109375" style="13" customWidth="1"/>
    <col min="208" max="211" width="0" style="13" hidden="1" customWidth="1"/>
    <col min="212" max="447" width="10.33203125" style="13"/>
    <col min="448" max="448" width="7" style="13" customWidth="1"/>
    <col min="449" max="449" width="13" style="13" customWidth="1"/>
    <col min="450" max="450" width="14.109375" style="13" customWidth="1"/>
    <col min="451" max="451" width="17.33203125" style="13" customWidth="1"/>
    <col min="452" max="452" width="18.88671875" style="13" customWidth="1"/>
    <col min="453" max="453" width="14.109375" style="13" customWidth="1"/>
    <col min="454" max="454" width="21.5546875" style="13" customWidth="1"/>
    <col min="455" max="456" width="14.109375" style="13" customWidth="1"/>
    <col min="457" max="457" width="15" style="13" customWidth="1"/>
    <col min="458" max="458" width="13.33203125" style="13" customWidth="1"/>
    <col min="459" max="459" width="17" style="13" customWidth="1"/>
    <col min="460" max="460" width="24.88671875" style="13" customWidth="1"/>
    <col min="461" max="461" width="14.44140625" style="13" customWidth="1"/>
    <col min="462" max="462" width="23.109375" style="13" customWidth="1"/>
    <col min="463" max="463" width="13.109375" style="13" customWidth="1"/>
    <col min="464" max="467" width="0" style="13" hidden="1" customWidth="1"/>
    <col min="468" max="703" width="10.33203125" style="13"/>
    <col min="704" max="704" width="7" style="13" customWidth="1"/>
    <col min="705" max="705" width="13" style="13" customWidth="1"/>
    <col min="706" max="706" width="14.109375" style="13" customWidth="1"/>
    <col min="707" max="707" width="17.33203125" style="13" customWidth="1"/>
    <col min="708" max="708" width="18.88671875" style="13" customWidth="1"/>
    <col min="709" max="709" width="14.109375" style="13" customWidth="1"/>
    <col min="710" max="710" width="21.5546875" style="13" customWidth="1"/>
    <col min="711" max="712" width="14.109375" style="13" customWidth="1"/>
    <col min="713" max="713" width="15" style="13" customWidth="1"/>
    <col min="714" max="714" width="13.33203125" style="13" customWidth="1"/>
    <col min="715" max="715" width="17" style="13" customWidth="1"/>
    <col min="716" max="716" width="24.88671875" style="13" customWidth="1"/>
    <col min="717" max="717" width="14.44140625" style="13" customWidth="1"/>
    <col min="718" max="718" width="23.109375" style="13" customWidth="1"/>
    <col min="719" max="719" width="13.109375" style="13" customWidth="1"/>
    <col min="720" max="723" width="0" style="13" hidden="1" customWidth="1"/>
    <col min="724" max="959" width="10.33203125" style="13"/>
    <col min="960" max="960" width="7" style="13" customWidth="1"/>
    <col min="961" max="961" width="13" style="13" customWidth="1"/>
    <col min="962" max="962" width="14.109375" style="13" customWidth="1"/>
    <col min="963" max="963" width="17.33203125" style="13" customWidth="1"/>
    <col min="964" max="964" width="18.88671875" style="13" customWidth="1"/>
    <col min="965" max="965" width="14.109375" style="13" customWidth="1"/>
    <col min="966" max="966" width="21.5546875" style="13" customWidth="1"/>
    <col min="967" max="968" width="14.109375" style="13" customWidth="1"/>
    <col min="969" max="969" width="15" style="13" customWidth="1"/>
    <col min="970" max="970" width="13.33203125" style="13" customWidth="1"/>
    <col min="971" max="971" width="17" style="13" customWidth="1"/>
    <col min="972" max="972" width="24.88671875" style="13" customWidth="1"/>
    <col min="973" max="973" width="14.44140625" style="13" customWidth="1"/>
    <col min="974" max="974" width="23.109375" style="13" customWidth="1"/>
    <col min="975" max="975" width="13.109375" style="13" customWidth="1"/>
    <col min="976" max="979" width="0" style="13" hidden="1" customWidth="1"/>
    <col min="980" max="1215" width="10.33203125" style="13"/>
    <col min="1216" max="1216" width="7" style="13" customWidth="1"/>
    <col min="1217" max="1217" width="13" style="13" customWidth="1"/>
    <col min="1218" max="1218" width="14.109375" style="13" customWidth="1"/>
    <col min="1219" max="1219" width="17.33203125" style="13" customWidth="1"/>
    <col min="1220" max="1220" width="18.88671875" style="13" customWidth="1"/>
    <col min="1221" max="1221" width="14.109375" style="13" customWidth="1"/>
    <col min="1222" max="1222" width="21.5546875" style="13" customWidth="1"/>
    <col min="1223" max="1224" width="14.109375" style="13" customWidth="1"/>
    <col min="1225" max="1225" width="15" style="13" customWidth="1"/>
    <col min="1226" max="1226" width="13.33203125" style="13" customWidth="1"/>
    <col min="1227" max="1227" width="17" style="13" customWidth="1"/>
    <col min="1228" max="1228" width="24.88671875" style="13" customWidth="1"/>
    <col min="1229" max="1229" width="14.44140625" style="13" customWidth="1"/>
    <col min="1230" max="1230" width="23.109375" style="13" customWidth="1"/>
    <col min="1231" max="1231" width="13.109375" style="13" customWidth="1"/>
    <col min="1232" max="1235" width="0" style="13" hidden="1" customWidth="1"/>
    <col min="1236" max="1471" width="10.33203125" style="13"/>
    <col min="1472" max="1472" width="7" style="13" customWidth="1"/>
    <col min="1473" max="1473" width="13" style="13" customWidth="1"/>
    <col min="1474" max="1474" width="14.109375" style="13" customWidth="1"/>
    <col min="1475" max="1475" width="17.33203125" style="13" customWidth="1"/>
    <col min="1476" max="1476" width="18.88671875" style="13" customWidth="1"/>
    <col min="1477" max="1477" width="14.109375" style="13" customWidth="1"/>
    <col min="1478" max="1478" width="21.5546875" style="13" customWidth="1"/>
    <col min="1479" max="1480" width="14.109375" style="13" customWidth="1"/>
    <col min="1481" max="1481" width="15" style="13" customWidth="1"/>
    <col min="1482" max="1482" width="13.33203125" style="13" customWidth="1"/>
    <col min="1483" max="1483" width="17" style="13" customWidth="1"/>
    <col min="1484" max="1484" width="24.88671875" style="13" customWidth="1"/>
    <col min="1485" max="1485" width="14.44140625" style="13" customWidth="1"/>
    <col min="1486" max="1486" width="23.109375" style="13" customWidth="1"/>
    <col min="1487" max="1487" width="13.109375" style="13" customWidth="1"/>
    <col min="1488" max="1491" width="0" style="13" hidden="1" customWidth="1"/>
    <col min="1492" max="1727" width="10.33203125" style="13"/>
    <col min="1728" max="1728" width="7" style="13" customWidth="1"/>
    <col min="1729" max="1729" width="13" style="13" customWidth="1"/>
    <col min="1730" max="1730" width="14.109375" style="13" customWidth="1"/>
    <col min="1731" max="1731" width="17.33203125" style="13" customWidth="1"/>
    <col min="1732" max="1732" width="18.88671875" style="13" customWidth="1"/>
    <col min="1733" max="1733" width="14.109375" style="13" customWidth="1"/>
    <col min="1734" max="1734" width="21.5546875" style="13" customWidth="1"/>
    <col min="1735" max="1736" width="14.109375" style="13" customWidth="1"/>
    <col min="1737" max="1737" width="15" style="13" customWidth="1"/>
    <col min="1738" max="1738" width="13.33203125" style="13" customWidth="1"/>
    <col min="1739" max="1739" width="17" style="13" customWidth="1"/>
    <col min="1740" max="1740" width="24.88671875" style="13" customWidth="1"/>
    <col min="1741" max="1741" width="14.44140625" style="13" customWidth="1"/>
    <col min="1742" max="1742" width="23.109375" style="13" customWidth="1"/>
    <col min="1743" max="1743" width="13.109375" style="13" customWidth="1"/>
    <col min="1744" max="1747" width="0" style="13" hidden="1" customWidth="1"/>
    <col min="1748" max="1983" width="10.33203125" style="13"/>
    <col min="1984" max="1984" width="7" style="13" customWidth="1"/>
    <col min="1985" max="1985" width="13" style="13" customWidth="1"/>
    <col min="1986" max="1986" width="14.109375" style="13" customWidth="1"/>
    <col min="1987" max="1987" width="17.33203125" style="13" customWidth="1"/>
    <col min="1988" max="1988" width="18.88671875" style="13" customWidth="1"/>
    <col min="1989" max="1989" width="14.109375" style="13" customWidth="1"/>
    <col min="1990" max="1990" width="21.5546875" style="13" customWidth="1"/>
    <col min="1991" max="1992" width="14.109375" style="13" customWidth="1"/>
    <col min="1993" max="1993" width="15" style="13" customWidth="1"/>
    <col min="1994" max="1994" width="13.33203125" style="13" customWidth="1"/>
    <col min="1995" max="1995" width="17" style="13" customWidth="1"/>
    <col min="1996" max="1996" width="24.88671875" style="13" customWidth="1"/>
    <col min="1997" max="1997" width="14.44140625" style="13" customWidth="1"/>
    <col min="1998" max="1998" width="23.109375" style="13" customWidth="1"/>
    <col min="1999" max="1999" width="13.109375" style="13" customWidth="1"/>
    <col min="2000" max="2003" width="0" style="13" hidden="1" customWidth="1"/>
    <col min="2004" max="2239" width="10.33203125" style="13"/>
    <col min="2240" max="2240" width="7" style="13" customWidth="1"/>
    <col min="2241" max="2241" width="13" style="13" customWidth="1"/>
    <col min="2242" max="2242" width="14.109375" style="13" customWidth="1"/>
    <col min="2243" max="2243" width="17.33203125" style="13" customWidth="1"/>
    <col min="2244" max="2244" width="18.88671875" style="13" customWidth="1"/>
    <col min="2245" max="2245" width="14.109375" style="13" customWidth="1"/>
    <col min="2246" max="2246" width="21.5546875" style="13" customWidth="1"/>
    <col min="2247" max="2248" width="14.109375" style="13" customWidth="1"/>
    <col min="2249" max="2249" width="15" style="13" customWidth="1"/>
    <col min="2250" max="2250" width="13.33203125" style="13" customWidth="1"/>
    <col min="2251" max="2251" width="17" style="13" customWidth="1"/>
    <col min="2252" max="2252" width="24.88671875" style="13" customWidth="1"/>
    <col min="2253" max="2253" width="14.44140625" style="13" customWidth="1"/>
    <col min="2254" max="2254" width="23.109375" style="13" customWidth="1"/>
    <col min="2255" max="2255" width="13.109375" style="13" customWidth="1"/>
    <col min="2256" max="2259" width="0" style="13" hidden="1" customWidth="1"/>
    <col min="2260" max="2495" width="10.33203125" style="13"/>
    <col min="2496" max="2496" width="7" style="13" customWidth="1"/>
    <col min="2497" max="2497" width="13" style="13" customWidth="1"/>
    <col min="2498" max="2498" width="14.109375" style="13" customWidth="1"/>
    <col min="2499" max="2499" width="17.33203125" style="13" customWidth="1"/>
    <col min="2500" max="2500" width="18.88671875" style="13" customWidth="1"/>
    <col min="2501" max="2501" width="14.109375" style="13" customWidth="1"/>
    <col min="2502" max="2502" width="21.5546875" style="13" customWidth="1"/>
    <col min="2503" max="2504" width="14.109375" style="13" customWidth="1"/>
    <col min="2505" max="2505" width="15" style="13" customWidth="1"/>
    <col min="2506" max="2506" width="13.33203125" style="13" customWidth="1"/>
    <col min="2507" max="2507" width="17" style="13" customWidth="1"/>
    <col min="2508" max="2508" width="24.88671875" style="13" customWidth="1"/>
    <col min="2509" max="2509" width="14.44140625" style="13" customWidth="1"/>
    <col min="2510" max="2510" width="23.109375" style="13" customWidth="1"/>
    <col min="2511" max="2511" width="13.109375" style="13" customWidth="1"/>
    <col min="2512" max="2515" width="0" style="13" hidden="1" customWidth="1"/>
    <col min="2516" max="2751" width="10.33203125" style="13"/>
    <col min="2752" max="2752" width="7" style="13" customWidth="1"/>
    <col min="2753" max="2753" width="13" style="13" customWidth="1"/>
    <col min="2754" max="2754" width="14.109375" style="13" customWidth="1"/>
    <col min="2755" max="2755" width="17.33203125" style="13" customWidth="1"/>
    <col min="2756" max="2756" width="18.88671875" style="13" customWidth="1"/>
    <col min="2757" max="2757" width="14.109375" style="13" customWidth="1"/>
    <col min="2758" max="2758" width="21.5546875" style="13" customWidth="1"/>
    <col min="2759" max="2760" width="14.109375" style="13" customWidth="1"/>
    <col min="2761" max="2761" width="15" style="13" customWidth="1"/>
    <col min="2762" max="2762" width="13.33203125" style="13" customWidth="1"/>
    <col min="2763" max="2763" width="17" style="13" customWidth="1"/>
    <col min="2764" max="2764" width="24.88671875" style="13" customWidth="1"/>
    <col min="2765" max="2765" width="14.44140625" style="13" customWidth="1"/>
    <col min="2766" max="2766" width="23.109375" style="13" customWidth="1"/>
    <col min="2767" max="2767" width="13.109375" style="13" customWidth="1"/>
    <col min="2768" max="2771" width="0" style="13" hidden="1" customWidth="1"/>
    <col min="2772" max="3007" width="10.33203125" style="13"/>
    <col min="3008" max="3008" width="7" style="13" customWidth="1"/>
    <col min="3009" max="3009" width="13" style="13" customWidth="1"/>
    <col min="3010" max="3010" width="14.109375" style="13" customWidth="1"/>
    <col min="3011" max="3011" width="17.33203125" style="13" customWidth="1"/>
    <col min="3012" max="3012" width="18.88671875" style="13" customWidth="1"/>
    <col min="3013" max="3013" width="14.109375" style="13" customWidth="1"/>
    <col min="3014" max="3014" width="21.5546875" style="13" customWidth="1"/>
    <col min="3015" max="3016" width="14.109375" style="13" customWidth="1"/>
    <col min="3017" max="3017" width="15" style="13" customWidth="1"/>
    <col min="3018" max="3018" width="13.33203125" style="13" customWidth="1"/>
    <col min="3019" max="3019" width="17" style="13" customWidth="1"/>
    <col min="3020" max="3020" width="24.88671875" style="13" customWidth="1"/>
    <col min="3021" max="3021" width="14.44140625" style="13" customWidth="1"/>
    <col min="3022" max="3022" width="23.109375" style="13" customWidth="1"/>
    <col min="3023" max="3023" width="13.109375" style="13" customWidth="1"/>
    <col min="3024" max="3027" width="0" style="13" hidden="1" customWidth="1"/>
    <col min="3028" max="3263" width="10.33203125" style="13"/>
    <col min="3264" max="3264" width="7" style="13" customWidth="1"/>
    <col min="3265" max="3265" width="13" style="13" customWidth="1"/>
    <col min="3266" max="3266" width="14.109375" style="13" customWidth="1"/>
    <col min="3267" max="3267" width="17.33203125" style="13" customWidth="1"/>
    <col min="3268" max="3268" width="18.88671875" style="13" customWidth="1"/>
    <col min="3269" max="3269" width="14.109375" style="13" customWidth="1"/>
    <col min="3270" max="3270" width="21.5546875" style="13" customWidth="1"/>
    <col min="3271" max="3272" width="14.109375" style="13" customWidth="1"/>
    <col min="3273" max="3273" width="15" style="13" customWidth="1"/>
    <col min="3274" max="3274" width="13.33203125" style="13" customWidth="1"/>
    <col min="3275" max="3275" width="17" style="13" customWidth="1"/>
    <col min="3276" max="3276" width="24.88671875" style="13" customWidth="1"/>
    <col min="3277" max="3277" width="14.44140625" style="13" customWidth="1"/>
    <col min="3278" max="3278" width="23.109375" style="13" customWidth="1"/>
    <col min="3279" max="3279" width="13.109375" style="13" customWidth="1"/>
    <col min="3280" max="3283" width="0" style="13" hidden="1" customWidth="1"/>
    <col min="3284" max="3519" width="10.33203125" style="13"/>
    <col min="3520" max="3520" width="7" style="13" customWidth="1"/>
    <col min="3521" max="3521" width="13" style="13" customWidth="1"/>
    <col min="3522" max="3522" width="14.109375" style="13" customWidth="1"/>
    <col min="3523" max="3523" width="17.33203125" style="13" customWidth="1"/>
    <col min="3524" max="3524" width="18.88671875" style="13" customWidth="1"/>
    <col min="3525" max="3525" width="14.109375" style="13" customWidth="1"/>
    <col min="3526" max="3526" width="21.5546875" style="13" customWidth="1"/>
    <col min="3527" max="3528" width="14.109375" style="13" customWidth="1"/>
    <col min="3529" max="3529" width="15" style="13" customWidth="1"/>
    <col min="3530" max="3530" width="13.33203125" style="13" customWidth="1"/>
    <col min="3531" max="3531" width="17" style="13" customWidth="1"/>
    <col min="3532" max="3532" width="24.88671875" style="13" customWidth="1"/>
    <col min="3533" max="3533" width="14.44140625" style="13" customWidth="1"/>
    <col min="3534" max="3534" width="23.109375" style="13" customWidth="1"/>
    <col min="3535" max="3535" width="13.109375" style="13" customWidth="1"/>
    <col min="3536" max="3539" width="0" style="13" hidden="1" customWidth="1"/>
    <col min="3540" max="3775" width="10.33203125" style="13"/>
    <col min="3776" max="3776" width="7" style="13" customWidth="1"/>
    <col min="3777" max="3777" width="13" style="13" customWidth="1"/>
    <col min="3778" max="3778" width="14.109375" style="13" customWidth="1"/>
    <col min="3779" max="3779" width="17.33203125" style="13" customWidth="1"/>
    <col min="3780" max="3780" width="18.88671875" style="13" customWidth="1"/>
    <col min="3781" max="3781" width="14.109375" style="13" customWidth="1"/>
    <col min="3782" max="3782" width="21.5546875" style="13" customWidth="1"/>
    <col min="3783" max="3784" width="14.109375" style="13" customWidth="1"/>
    <col min="3785" max="3785" width="15" style="13" customWidth="1"/>
    <col min="3786" max="3786" width="13.33203125" style="13" customWidth="1"/>
    <col min="3787" max="3787" width="17" style="13" customWidth="1"/>
    <col min="3788" max="3788" width="24.88671875" style="13" customWidth="1"/>
    <col min="3789" max="3789" width="14.44140625" style="13" customWidth="1"/>
    <col min="3790" max="3790" width="23.109375" style="13" customWidth="1"/>
    <col min="3791" max="3791" width="13.109375" style="13" customWidth="1"/>
    <col min="3792" max="3795" width="0" style="13" hidden="1" customWidth="1"/>
    <col min="3796" max="4031" width="10.33203125" style="13"/>
    <col min="4032" max="4032" width="7" style="13" customWidth="1"/>
    <col min="4033" max="4033" width="13" style="13" customWidth="1"/>
    <col min="4034" max="4034" width="14.109375" style="13" customWidth="1"/>
    <col min="4035" max="4035" width="17.33203125" style="13" customWidth="1"/>
    <col min="4036" max="4036" width="18.88671875" style="13" customWidth="1"/>
    <col min="4037" max="4037" width="14.109375" style="13" customWidth="1"/>
    <col min="4038" max="4038" width="21.5546875" style="13" customWidth="1"/>
    <col min="4039" max="4040" width="14.109375" style="13" customWidth="1"/>
    <col min="4041" max="4041" width="15" style="13" customWidth="1"/>
    <col min="4042" max="4042" width="13.33203125" style="13" customWidth="1"/>
    <col min="4043" max="4043" width="17" style="13" customWidth="1"/>
    <col min="4044" max="4044" width="24.88671875" style="13" customWidth="1"/>
    <col min="4045" max="4045" width="14.44140625" style="13" customWidth="1"/>
    <col min="4046" max="4046" width="23.109375" style="13" customWidth="1"/>
    <col min="4047" max="4047" width="13.109375" style="13" customWidth="1"/>
    <col min="4048" max="4051" width="0" style="13" hidden="1" customWidth="1"/>
    <col min="4052" max="4287" width="10.33203125" style="13"/>
    <col min="4288" max="4288" width="7" style="13" customWidth="1"/>
    <col min="4289" max="4289" width="13" style="13" customWidth="1"/>
    <col min="4290" max="4290" width="14.109375" style="13" customWidth="1"/>
    <col min="4291" max="4291" width="17.33203125" style="13" customWidth="1"/>
    <col min="4292" max="4292" width="18.88671875" style="13" customWidth="1"/>
    <col min="4293" max="4293" width="14.109375" style="13" customWidth="1"/>
    <col min="4294" max="4294" width="21.5546875" style="13" customWidth="1"/>
    <col min="4295" max="4296" width="14.109375" style="13" customWidth="1"/>
    <col min="4297" max="4297" width="15" style="13" customWidth="1"/>
    <col min="4298" max="4298" width="13.33203125" style="13" customWidth="1"/>
    <col min="4299" max="4299" width="17" style="13" customWidth="1"/>
    <col min="4300" max="4300" width="24.88671875" style="13" customWidth="1"/>
    <col min="4301" max="4301" width="14.44140625" style="13" customWidth="1"/>
    <col min="4302" max="4302" width="23.109375" style="13" customWidth="1"/>
    <col min="4303" max="4303" width="13.109375" style="13" customWidth="1"/>
    <col min="4304" max="4307" width="0" style="13" hidden="1" customWidth="1"/>
    <col min="4308" max="4543" width="10.33203125" style="13"/>
    <col min="4544" max="4544" width="7" style="13" customWidth="1"/>
    <col min="4545" max="4545" width="13" style="13" customWidth="1"/>
    <col min="4546" max="4546" width="14.109375" style="13" customWidth="1"/>
    <col min="4547" max="4547" width="17.33203125" style="13" customWidth="1"/>
    <col min="4548" max="4548" width="18.88671875" style="13" customWidth="1"/>
    <col min="4549" max="4549" width="14.109375" style="13" customWidth="1"/>
    <col min="4550" max="4550" width="21.5546875" style="13" customWidth="1"/>
    <col min="4551" max="4552" width="14.109375" style="13" customWidth="1"/>
    <col min="4553" max="4553" width="15" style="13" customWidth="1"/>
    <col min="4554" max="4554" width="13.33203125" style="13" customWidth="1"/>
    <col min="4555" max="4555" width="17" style="13" customWidth="1"/>
    <col min="4556" max="4556" width="24.88671875" style="13" customWidth="1"/>
    <col min="4557" max="4557" width="14.44140625" style="13" customWidth="1"/>
    <col min="4558" max="4558" width="23.109375" style="13" customWidth="1"/>
    <col min="4559" max="4559" width="13.109375" style="13" customWidth="1"/>
    <col min="4560" max="4563" width="0" style="13" hidden="1" customWidth="1"/>
    <col min="4564" max="4799" width="10.33203125" style="13"/>
    <col min="4800" max="4800" width="7" style="13" customWidth="1"/>
    <col min="4801" max="4801" width="13" style="13" customWidth="1"/>
    <col min="4802" max="4802" width="14.109375" style="13" customWidth="1"/>
    <col min="4803" max="4803" width="17.33203125" style="13" customWidth="1"/>
    <col min="4804" max="4804" width="18.88671875" style="13" customWidth="1"/>
    <col min="4805" max="4805" width="14.109375" style="13" customWidth="1"/>
    <col min="4806" max="4806" width="21.5546875" style="13" customWidth="1"/>
    <col min="4807" max="4808" width="14.109375" style="13" customWidth="1"/>
    <col min="4809" max="4809" width="15" style="13" customWidth="1"/>
    <col min="4810" max="4810" width="13.33203125" style="13" customWidth="1"/>
    <col min="4811" max="4811" width="17" style="13" customWidth="1"/>
    <col min="4812" max="4812" width="24.88671875" style="13" customWidth="1"/>
    <col min="4813" max="4813" width="14.44140625" style="13" customWidth="1"/>
    <col min="4814" max="4814" width="23.109375" style="13" customWidth="1"/>
    <col min="4815" max="4815" width="13.109375" style="13" customWidth="1"/>
    <col min="4816" max="4819" width="0" style="13" hidden="1" customWidth="1"/>
    <col min="4820" max="5055" width="10.33203125" style="13"/>
    <col min="5056" max="5056" width="7" style="13" customWidth="1"/>
    <col min="5057" max="5057" width="13" style="13" customWidth="1"/>
    <col min="5058" max="5058" width="14.109375" style="13" customWidth="1"/>
    <col min="5059" max="5059" width="17.33203125" style="13" customWidth="1"/>
    <col min="5060" max="5060" width="18.88671875" style="13" customWidth="1"/>
    <col min="5061" max="5061" width="14.109375" style="13" customWidth="1"/>
    <col min="5062" max="5062" width="21.5546875" style="13" customWidth="1"/>
    <col min="5063" max="5064" width="14.109375" style="13" customWidth="1"/>
    <col min="5065" max="5065" width="15" style="13" customWidth="1"/>
    <col min="5066" max="5066" width="13.33203125" style="13" customWidth="1"/>
    <col min="5067" max="5067" width="17" style="13" customWidth="1"/>
    <col min="5068" max="5068" width="24.88671875" style="13" customWidth="1"/>
    <col min="5069" max="5069" width="14.44140625" style="13" customWidth="1"/>
    <col min="5070" max="5070" width="23.109375" style="13" customWidth="1"/>
    <col min="5071" max="5071" width="13.109375" style="13" customWidth="1"/>
    <col min="5072" max="5075" width="0" style="13" hidden="1" customWidth="1"/>
    <col min="5076" max="5311" width="10.33203125" style="13"/>
    <col min="5312" max="5312" width="7" style="13" customWidth="1"/>
    <col min="5313" max="5313" width="13" style="13" customWidth="1"/>
    <col min="5314" max="5314" width="14.109375" style="13" customWidth="1"/>
    <col min="5315" max="5315" width="17.33203125" style="13" customWidth="1"/>
    <col min="5316" max="5316" width="18.88671875" style="13" customWidth="1"/>
    <col min="5317" max="5317" width="14.109375" style="13" customWidth="1"/>
    <col min="5318" max="5318" width="21.5546875" style="13" customWidth="1"/>
    <col min="5319" max="5320" width="14.109375" style="13" customWidth="1"/>
    <col min="5321" max="5321" width="15" style="13" customWidth="1"/>
    <col min="5322" max="5322" width="13.33203125" style="13" customWidth="1"/>
    <col min="5323" max="5323" width="17" style="13" customWidth="1"/>
    <col min="5324" max="5324" width="24.88671875" style="13" customWidth="1"/>
    <col min="5325" max="5325" width="14.44140625" style="13" customWidth="1"/>
    <col min="5326" max="5326" width="23.109375" style="13" customWidth="1"/>
    <col min="5327" max="5327" width="13.109375" style="13" customWidth="1"/>
    <col min="5328" max="5331" width="0" style="13" hidden="1" customWidth="1"/>
    <col min="5332" max="5567" width="10.33203125" style="13"/>
    <col min="5568" max="5568" width="7" style="13" customWidth="1"/>
    <col min="5569" max="5569" width="13" style="13" customWidth="1"/>
    <col min="5570" max="5570" width="14.109375" style="13" customWidth="1"/>
    <col min="5571" max="5571" width="17.33203125" style="13" customWidth="1"/>
    <col min="5572" max="5572" width="18.88671875" style="13" customWidth="1"/>
    <col min="5573" max="5573" width="14.109375" style="13" customWidth="1"/>
    <col min="5574" max="5574" width="21.5546875" style="13" customWidth="1"/>
    <col min="5575" max="5576" width="14.109375" style="13" customWidth="1"/>
    <col min="5577" max="5577" width="15" style="13" customWidth="1"/>
    <col min="5578" max="5578" width="13.33203125" style="13" customWidth="1"/>
    <col min="5579" max="5579" width="17" style="13" customWidth="1"/>
    <col min="5580" max="5580" width="24.88671875" style="13" customWidth="1"/>
    <col min="5581" max="5581" width="14.44140625" style="13" customWidth="1"/>
    <col min="5582" max="5582" width="23.109375" style="13" customWidth="1"/>
    <col min="5583" max="5583" width="13.109375" style="13" customWidth="1"/>
    <col min="5584" max="5587" width="0" style="13" hidden="1" customWidth="1"/>
    <col min="5588" max="5823" width="10.33203125" style="13"/>
    <col min="5824" max="5824" width="7" style="13" customWidth="1"/>
    <col min="5825" max="5825" width="13" style="13" customWidth="1"/>
    <col min="5826" max="5826" width="14.109375" style="13" customWidth="1"/>
    <col min="5827" max="5827" width="17.33203125" style="13" customWidth="1"/>
    <col min="5828" max="5828" width="18.88671875" style="13" customWidth="1"/>
    <col min="5829" max="5829" width="14.109375" style="13" customWidth="1"/>
    <col min="5830" max="5830" width="21.5546875" style="13" customWidth="1"/>
    <col min="5831" max="5832" width="14.109375" style="13" customWidth="1"/>
    <col min="5833" max="5833" width="15" style="13" customWidth="1"/>
    <col min="5834" max="5834" width="13.33203125" style="13" customWidth="1"/>
    <col min="5835" max="5835" width="17" style="13" customWidth="1"/>
    <col min="5836" max="5836" width="24.88671875" style="13" customWidth="1"/>
    <col min="5837" max="5837" width="14.44140625" style="13" customWidth="1"/>
    <col min="5838" max="5838" width="23.109375" style="13" customWidth="1"/>
    <col min="5839" max="5839" width="13.109375" style="13" customWidth="1"/>
    <col min="5840" max="5843" width="0" style="13" hidden="1" customWidth="1"/>
    <col min="5844" max="6079" width="10.33203125" style="13"/>
    <col min="6080" max="6080" width="7" style="13" customWidth="1"/>
    <col min="6081" max="6081" width="13" style="13" customWidth="1"/>
    <col min="6082" max="6082" width="14.109375" style="13" customWidth="1"/>
    <col min="6083" max="6083" width="17.33203125" style="13" customWidth="1"/>
    <col min="6084" max="6084" width="18.88671875" style="13" customWidth="1"/>
    <col min="6085" max="6085" width="14.109375" style="13" customWidth="1"/>
    <col min="6086" max="6086" width="21.5546875" style="13" customWidth="1"/>
    <col min="6087" max="6088" width="14.109375" style="13" customWidth="1"/>
    <col min="6089" max="6089" width="15" style="13" customWidth="1"/>
    <col min="6090" max="6090" width="13.33203125" style="13" customWidth="1"/>
    <col min="6091" max="6091" width="17" style="13" customWidth="1"/>
    <col min="6092" max="6092" width="24.88671875" style="13" customWidth="1"/>
    <col min="6093" max="6093" width="14.44140625" style="13" customWidth="1"/>
    <col min="6094" max="6094" width="23.109375" style="13" customWidth="1"/>
    <col min="6095" max="6095" width="13.109375" style="13" customWidth="1"/>
    <col min="6096" max="6099" width="0" style="13" hidden="1" customWidth="1"/>
    <col min="6100" max="6335" width="10.33203125" style="13"/>
    <col min="6336" max="6336" width="7" style="13" customWidth="1"/>
    <col min="6337" max="6337" width="13" style="13" customWidth="1"/>
    <col min="6338" max="6338" width="14.109375" style="13" customWidth="1"/>
    <col min="6339" max="6339" width="17.33203125" style="13" customWidth="1"/>
    <col min="6340" max="6340" width="18.88671875" style="13" customWidth="1"/>
    <col min="6341" max="6341" width="14.109375" style="13" customWidth="1"/>
    <col min="6342" max="6342" width="21.5546875" style="13" customWidth="1"/>
    <col min="6343" max="6344" width="14.109375" style="13" customWidth="1"/>
    <col min="6345" max="6345" width="15" style="13" customWidth="1"/>
    <col min="6346" max="6346" width="13.33203125" style="13" customWidth="1"/>
    <col min="6347" max="6347" width="17" style="13" customWidth="1"/>
    <col min="6348" max="6348" width="24.88671875" style="13" customWidth="1"/>
    <col min="6349" max="6349" width="14.44140625" style="13" customWidth="1"/>
    <col min="6350" max="6350" width="23.109375" style="13" customWidth="1"/>
    <col min="6351" max="6351" width="13.109375" style="13" customWidth="1"/>
    <col min="6352" max="6355" width="0" style="13" hidden="1" customWidth="1"/>
    <col min="6356" max="6591" width="10.33203125" style="13"/>
    <col min="6592" max="6592" width="7" style="13" customWidth="1"/>
    <col min="6593" max="6593" width="13" style="13" customWidth="1"/>
    <col min="6594" max="6594" width="14.109375" style="13" customWidth="1"/>
    <col min="6595" max="6595" width="17.33203125" style="13" customWidth="1"/>
    <col min="6596" max="6596" width="18.88671875" style="13" customWidth="1"/>
    <col min="6597" max="6597" width="14.109375" style="13" customWidth="1"/>
    <col min="6598" max="6598" width="21.5546875" style="13" customWidth="1"/>
    <col min="6599" max="6600" width="14.109375" style="13" customWidth="1"/>
    <col min="6601" max="6601" width="15" style="13" customWidth="1"/>
    <col min="6602" max="6602" width="13.33203125" style="13" customWidth="1"/>
    <col min="6603" max="6603" width="17" style="13" customWidth="1"/>
    <col min="6604" max="6604" width="24.88671875" style="13" customWidth="1"/>
    <col min="6605" max="6605" width="14.44140625" style="13" customWidth="1"/>
    <col min="6606" max="6606" width="23.109375" style="13" customWidth="1"/>
    <col min="6607" max="6607" width="13.109375" style="13" customWidth="1"/>
    <col min="6608" max="6611" width="0" style="13" hidden="1" customWidth="1"/>
    <col min="6612" max="6847" width="10.33203125" style="13"/>
    <col min="6848" max="6848" width="7" style="13" customWidth="1"/>
    <col min="6849" max="6849" width="13" style="13" customWidth="1"/>
    <col min="6850" max="6850" width="14.109375" style="13" customWidth="1"/>
    <col min="6851" max="6851" width="17.33203125" style="13" customWidth="1"/>
    <col min="6852" max="6852" width="18.88671875" style="13" customWidth="1"/>
    <col min="6853" max="6853" width="14.109375" style="13" customWidth="1"/>
    <col min="6854" max="6854" width="21.5546875" style="13" customWidth="1"/>
    <col min="6855" max="6856" width="14.109375" style="13" customWidth="1"/>
    <col min="6857" max="6857" width="15" style="13" customWidth="1"/>
    <col min="6858" max="6858" width="13.33203125" style="13" customWidth="1"/>
    <col min="6859" max="6859" width="17" style="13" customWidth="1"/>
    <col min="6860" max="6860" width="24.88671875" style="13" customWidth="1"/>
    <col min="6861" max="6861" width="14.44140625" style="13" customWidth="1"/>
    <col min="6862" max="6862" width="23.109375" style="13" customWidth="1"/>
    <col min="6863" max="6863" width="13.109375" style="13" customWidth="1"/>
    <col min="6864" max="6867" width="0" style="13" hidden="1" customWidth="1"/>
    <col min="6868" max="7103" width="10.33203125" style="13"/>
    <col min="7104" max="7104" width="7" style="13" customWidth="1"/>
    <col min="7105" max="7105" width="13" style="13" customWidth="1"/>
    <col min="7106" max="7106" width="14.109375" style="13" customWidth="1"/>
    <col min="7107" max="7107" width="17.33203125" style="13" customWidth="1"/>
    <col min="7108" max="7108" width="18.88671875" style="13" customWidth="1"/>
    <col min="7109" max="7109" width="14.109375" style="13" customWidth="1"/>
    <col min="7110" max="7110" width="21.5546875" style="13" customWidth="1"/>
    <col min="7111" max="7112" width="14.109375" style="13" customWidth="1"/>
    <col min="7113" max="7113" width="15" style="13" customWidth="1"/>
    <col min="7114" max="7114" width="13.33203125" style="13" customWidth="1"/>
    <col min="7115" max="7115" width="17" style="13" customWidth="1"/>
    <col min="7116" max="7116" width="24.88671875" style="13" customWidth="1"/>
    <col min="7117" max="7117" width="14.44140625" style="13" customWidth="1"/>
    <col min="7118" max="7118" width="23.109375" style="13" customWidth="1"/>
    <col min="7119" max="7119" width="13.109375" style="13" customWidth="1"/>
    <col min="7120" max="7123" width="0" style="13" hidden="1" customWidth="1"/>
    <col min="7124" max="7359" width="10.33203125" style="13"/>
    <col min="7360" max="7360" width="7" style="13" customWidth="1"/>
    <col min="7361" max="7361" width="13" style="13" customWidth="1"/>
    <col min="7362" max="7362" width="14.109375" style="13" customWidth="1"/>
    <col min="7363" max="7363" width="17.33203125" style="13" customWidth="1"/>
    <col min="7364" max="7364" width="18.88671875" style="13" customWidth="1"/>
    <col min="7365" max="7365" width="14.109375" style="13" customWidth="1"/>
    <col min="7366" max="7366" width="21.5546875" style="13" customWidth="1"/>
    <col min="7367" max="7368" width="14.109375" style="13" customWidth="1"/>
    <col min="7369" max="7369" width="15" style="13" customWidth="1"/>
    <col min="7370" max="7370" width="13.33203125" style="13" customWidth="1"/>
    <col min="7371" max="7371" width="17" style="13" customWidth="1"/>
    <col min="7372" max="7372" width="24.88671875" style="13" customWidth="1"/>
    <col min="7373" max="7373" width="14.44140625" style="13" customWidth="1"/>
    <col min="7374" max="7374" width="23.109375" style="13" customWidth="1"/>
    <col min="7375" max="7375" width="13.109375" style="13" customWidth="1"/>
    <col min="7376" max="7379" width="0" style="13" hidden="1" customWidth="1"/>
    <col min="7380" max="7615" width="10.33203125" style="13"/>
    <col min="7616" max="7616" width="7" style="13" customWidth="1"/>
    <col min="7617" max="7617" width="13" style="13" customWidth="1"/>
    <col min="7618" max="7618" width="14.109375" style="13" customWidth="1"/>
    <col min="7619" max="7619" width="17.33203125" style="13" customWidth="1"/>
    <col min="7620" max="7620" width="18.88671875" style="13" customWidth="1"/>
    <col min="7621" max="7621" width="14.109375" style="13" customWidth="1"/>
    <col min="7622" max="7622" width="21.5546875" style="13" customWidth="1"/>
    <col min="7623" max="7624" width="14.109375" style="13" customWidth="1"/>
    <col min="7625" max="7625" width="15" style="13" customWidth="1"/>
    <col min="7626" max="7626" width="13.33203125" style="13" customWidth="1"/>
    <col min="7627" max="7627" width="17" style="13" customWidth="1"/>
    <col min="7628" max="7628" width="24.88671875" style="13" customWidth="1"/>
    <col min="7629" max="7629" width="14.44140625" style="13" customWidth="1"/>
    <col min="7630" max="7630" width="23.109375" style="13" customWidth="1"/>
    <col min="7631" max="7631" width="13.109375" style="13" customWidth="1"/>
    <col min="7632" max="7635" width="0" style="13" hidden="1" customWidth="1"/>
    <col min="7636" max="7871" width="10.33203125" style="13"/>
    <col min="7872" max="7872" width="7" style="13" customWidth="1"/>
    <col min="7873" max="7873" width="13" style="13" customWidth="1"/>
    <col min="7874" max="7874" width="14.109375" style="13" customWidth="1"/>
    <col min="7875" max="7875" width="17.33203125" style="13" customWidth="1"/>
    <col min="7876" max="7876" width="18.88671875" style="13" customWidth="1"/>
    <col min="7877" max="7877" width="14.109375" style="13" customWidth="1"/>
    <col min="7878" max="7878" width="21.5546875" style="13" customWidth="1"/>
    <col min="7879" max="7880" width="14.109375" style="13" customWidth="1"/>
    <col min="7881" max="7881" width="15" style="13" customWidth="1"/>
    <col min="7882" max="7882" width="13.33203125" style="13" customWidth="1"/>
    <col min="7883" max="7883" width="17" style="13" customWidth="1"/>
    <col min="7884" max="7884" width="24.88671875" style="13" customWidth="1"/>
    <col min="7885" max="7885" width="14.44140625" style="13" customWidth="1"/>
    <col min="7886" max="7886" width="23.109375" style="13" customWidth="1"/>
    <col min="7887" max="7887" width="13.109375" style="13" customWidth="1"/>
    <col min="7888" max="7891" width="0" style="13" hidden="1" customWidth="1"/>
    <col min="7892" max="8127" width="10.33203125" style="13"/>
    <col min="8128" max="8128" width="7" style="13" customWidth="1"/>
    <col min="8129" max="8129" width="13" style="13" customWidth="1"/>
    <col min="8130" max="8130" width="14.109375" style="13" customWidth="1"/>
    <col min="8131" max="8131" width="17.33203125" style="13" customWidth="1"/>
    <col min="8132" max="8132" width="18.88671875" style="13" customWidth="1"/>
    <col min="8133" max="8133" width="14.109375" style="13" customWidth="1"/>
    <col min="8134" max="8134" width="21.5546875" style="13" customWidth="1"/>
    <col min="8135" max="8136" width="14.109375" style="13" customWidth="1"/>
    <col min="8137" max="8137" width="15" style="13" customWidth="1"/>
    <col min="8138" max="8138" width="13.33203125" style="13" customWidth="1"/>
    <col min="8139" max="8139" width="17" style="13" customWidth="1"/>
    <col min="8140" max="8140" width="24.88671875" style="13" customWidth="1"/>
    <col min="8141" max="8141" width="14.44140625" style="13" customWidth="1"/>
    <col min="8142" max="8142" width="23.109375" style="13" customWidth="1"/>
    <col min="8143" max="8143" width="13.109375" style="13" customWidth="1"/>
    <col min="8144" max="8147" width="0" style="13" hidden="1" customWidth="1"/>
    <col min="8148" max="8383" width="10.33203125" style="13"/>
    <col min="8384" max="8384" width="7" style="13" customWidth="1"/>
    <col min="8385" max="8385" width="13" style="13" customWidth="1"/>
    <col min="8386" max="8386" width="14.109375" style="13" customWidth="1"/>
    <col min="8387" max="8387" width="17.33203125" style="13" customWidth="1"/>
    <col min="8388" max="8388" width="18.88671875" style="13" customWidth="1"/>
    <col min="8389" max="8389" width="14.109375" style="13" customWidth="1"/>
    <col min="8390" max="8390" width="21.5546875" style="13" customWidth="1"/>
    <col min="8391" max="8392" width="14.109375" style="13" customWidth="1"/>
    <col min="8393" max="8393" width="15" style="13" customWidth="1"/>
    <col min="8394" max="8394" width="13.33203125" style="13" customWidth="1"/>
    <col min="8395" max="8395" width="17" style="13" customWidth="1"/>
    <col min="8396" max="8396" width="24.88671875" style="13" customWidth="1"/>
    <col min="8397" max="8397" width="14.44140625" style="13" customWidth="1"/>
    <col min="8398" max="8398" width="23.109375" style="13" customWidth="1"/>
    <col min="8399" max="8399" width="13.109375" style="13" customWidth="1"/>
    <col min="8400" max="8403" width="0" style="13" hidden="1" customWidth="1"/>
    <col min="8404" max="8639" width="10.33203125" style="13"/>
    <col min="8640" max="8640" width="7" style="13" customWidth="1"/>
    <col min="8641" max="8641" width="13" style="13" customWidth="1"/>
    <col min="8642" max="8642" width="14.109375" style="13" customWidth="1"/>
    <col min="8643" max="8643" width="17.33203125" style="13" customWidth="1"/>
    <col min="8644" max="8644" width="18.88671875" style="13" customWidth="1"/>
    <col min="8645" max="8645" width="14.109375" style="13" customWidth="1"/>
    <col min="8646" max="8646" width="21.5546875" style="13" customWidth="1"/>
    <col min="8647" max="8648" width="14.109375" style="13" customWidth="1"/>
    <col min="8649" max="8649" width="15" style="13" customWidth="1"/>
    <col min="8650" max="8650" width="13.33203125" style="13" customWidth="1"/>
    <col min="8651" max="8651" width="17" style="13" customWidth="1"/>
    <col min="8652" max="8652" width="24.88671875" style="13" customWidth="1"/>
    <col min="8653" max="8653" width="14.44140625" style="13" customWidth="1"/>
    <col min="8654" max="8654" width="23.109375" style="13" customWidth="1"/>
    <col min="8655" max="8655" width="13.109375" style="13" customWidth="1"/>
    <col min="8656" max="8659" width="0" style="13" hidden="1" customWidth="1"/>
    <col min="8660" max="8895" width="10.33203125" style="13"/>
    <col min="8896" max="8896" width="7" style="13" customWidth="1"/>
    <col min="8897" max="8897" width="13" style="13" customWidth="1"/>
    <col min="8898" max="8898" width="14.109375" style="13" customWidth="1"/>
    <col min="8899" max="8899" width="17.33203125" style="13" customWidth="1"/>
    <col min="8900" max="8900" width="18.88671875" style="13" customWidth="1"/>
    <col min="8901" max="8901" width="14.109375" style="13" customWidth="1"/>
    <col min="8902" max="8902" width="21.5546875" style="13" customWidth="1"/>
    <col min="8903" max="8904" width="14.109375" style="13" customWidth="1"/>
    <col min="8905" max="8905" width="15" style="13" customWidth="1"/>
    <col min="8906" max="8906" width="13.33203125" style="13" customWidth="1"/>
    <col min="8907" max="8907" width="17" style="13" customWidth="1"/>
    <col min="8908" max="8908" width="24.88671875" style="13" customWidth="1"/>
    <col min="8909" max="8909" width="14.44140625" style="13" customWidth="1"/>
    <col min="8910" max="8910" width="23.109375" style="13" customWidth="1"/>
    <col min="8911" max="8911" width="13.109375" style="13" customWidth="1"/>
    <col min="8912" max="8915" width="0" style="13" hidden="1" customWidth="1"/>
    <col min="8916" max="9151" width="10.33203125" style="13"/>
    <col min="9152" max="9152" width="7" style="13" customWidth="1"/>
    <col min="9153" max="9153" width="13" style="13" customWidth="1"/>
    <col min="9154" max="9154" width="14.109375" style="13" customWidth="1"/>
    <col min="9155" max="9155" width="17.33203125" style="13" customWidth="1"/>
    <col min="9156" max="9156" width="18.88671875" style="13" customWidth="1"/>
    <col min="9157" max="9157" width="14.109375" style="13" customWidth="1"/>
    <col min="9158" max="9158" width="21.5546875" style="13" customWidth="1"/>
    <col min="9159" max="9160" width="14.109375" style="13" customWidth="1"/>
    <col min="9161" max="9161" width="15" style="13" customWidth="1"/>
    <col min="9162" max="9162" width="13.33203125" style="13" customWidth="1"/>
    <col min="9163" max="9163" width="17" style="13" customWidth="1"/>
    <col min="9164" max="9164" width="24.88671875" style="13" customWidth="1"/>
    <col min="9165" max="9165" width="14.44140625" style="13" customWidth="1"/>
    <col min="9166" max="9166" width="23.109375" style="13" customWidth="1"/>
    <col min="9167" max="9167" width="13.109375" style="13" customWidth="1"/>
    <col min="9168" max="9171" width="0" style="13" hidden="1" customWidth="1"/>
    <col min="9172" max="9407" width="10.33203125" style="13"/>
    <col min="9408" max="9408" width="7" style="13" customWidth="1"/>
    <col min="9409" max="9409" width="13" style="13" customWidth="1"/>
    <col min="9410" max="9410" width="14.109375" style="13" customWidth="1"/>
    <col min="9411" max="9411" width="17.33203125" style="13" customWidth="1"/>
    <col min="9412" max="9412" width="18.88671875" style="13" customWidth="1"/>
    <col min="9413" max="9413" width="14.109375" style="13" customWidth="1"/>
    <col min="9414" max="9414" width="21.5546875" style="13" customWidth="1"/>
    <col min="9415" max="9416" width="14.109375" style="13" customWidth="1"/>
    <col min="9417" max="9417" width="15" style="13" customWidth="1"/>
    <col min="9418" max="9418" width="13.33203125" style="13" customWidth="1"/>
    <col min="9419" max="9419" width="17" style="13" customWidth="1"/>
    <col min="9420" max="9420" width="24.88671875" style="13" customWidth="1"/>
    <col min="9421" max="9421" width="14.44140625" style="13" customWidth="1"/>
    <col min="9422" max="9422" width="23.109375" style="13" customWidth="1"/>
    <col min="9423" max="9423" width="13.109375" style="13" customWidth="1"/>
    <col min="9424" max="9427" width="0" style="13" hidden="1" customWidth="1"/>
    <col min="9428" max="9663" width="10.33203125" style="13"/>
    <col min="9664" max="9664" width="7" style="13" customWidth="1"/>
    <col min="9665" max="9665" width="13" style="13" customWidth="1"/>
    <col min="9666" max="9666" width="14.109375" style="13" customWidth="1"/>
    <col min="9667" max="9667" width="17.33203125" style="13" customWidth="1"/>
    <col min="9668" max="9668" width="18.88671875" style="13" customWidth="1"/>
    <col min="9669" max="9669" width="14.109375" style="13" customWidth="1"/>
    <col min="9670" max="9670" width="21.5546875" style="13" customWidth="1"/>
    <col min="9671" max="9672" width="14.109375" style="13" customWidth="1"/>
    <col min="9673" max="9673" width="15" style="13" customWidth="1"/>
    <col min="9674" max="9674" width="13.33203125" style="13" customWidth="1"/>
    <col min="9675" max="9675" width="17" style="13" customWidth="1"/>
    <col min="9676" max="9676" width="24.88671875" style="13" customWidth="1"/>
    <col min="9677" max="9677" width="14.44140625" style="13" customWidth="1"/>
    <col min="9678" max="9678" width="23.109375" style="13" customWidth="1"/>
    <col min="9679" max="9679" width="13.109375" style="13" customWidth="1"/>
    <col min="9680" max="9683" width="0" style="13" hidden="1" customWidth="1"/>
    <col min="9684" max="9919" width="10.33203125" style="13"/>
    <col min="9920" max="9920" width="7" style="13" customWidth="1"/>
    <col min="9921" max="9921" width="13" style="13" customWidth="1"/>
    <col min="9922" max="9922" width="14.109375" style="13" customWidth="1"/>
    <col min="9923" max="9923" width="17.33203125" style="13" customWidth="1"/>
    <col min="9924" max="9924" width="18.88671875" style="13" customWidth="1"/>
    <col min="9925" max="9925" width="14.109375" style="13" customWidth="1"/>
    <col min="9926" max="9926" width="21.5546875" style="13" customWidth="1"/>
    <col min="9927" max="9928" width="14.109375" style="13" customWidth="1"/>
    <col min="9929" max="9929" width="15" style="13" customWidth="1"/>
    <col min="9930" max="9930" width="13.33203125" style="13" customWidth="1"/>
    <col min="9931" max="9931" width="17" style="13" customWidth="1"/>
    <col min="9932" max="9932" width="24.88671875" style="13" customWidth="1"/>
    <col min="9933" max="9933" width="14.44140625" style="13" customWidth="1"/>
    <col min="9934" max="9934" width="23.109375" style="13" customWidth="1"/>
    <col min="9935" max="9935" width="13.109375" style="13" customWidth="1"/>
    <col min="9936" max="9939" width="0" style="13" hidden="1" customWidth="1"/>
    <col min="9940" max="10175" width="10.33203125" style="13"/>
    <col min="10176" max="10176" width="7" style="13" customWidth="1"/>
    <col min="10177" max="10177" width="13" style="13" customWidth="1"/>
    <col min="10178" max="10178" width="14.109375" style="13" customWidth="1"/>
    <col min="10179" max="10179" width="17.33203125" style="13" customWidth="1"/>
    <col min="10180" max="10180" width="18.88671875" style="13" customWidth="1"/>
    <col min="10181" max="10181" width="14.109375" style="13" customWidth="1"/>
    <col min="10182" max="10182" width="21.5546875" style="13" customWidth="1"/>
    <col min="10183" max="10184" width="14.109375" style="13" customWidth="1"/>
    <col min="10185" max="10185" width="15" style="13" customWidth="1"/>
    <col min="10186" max="10186" width="13.33203125" style="13" customWidth="1"/>
    <col min="10187" max="10187" width="17" style="13" customWidth="1"/>
    <col min="10188" max="10188" width="24.88671875" style="13" customWidth="1"/>
    <col min="10189" max="10189" width="14.44140625" style="13" customWidth="1"/>
    <col min="10190" max="10190" width="23.109375" style="13" customWidth="1"/>
    <col min="10191" max="10191" width="13.109375" style="13" customWidth="1"/>
    <col min="10192" max="10195" width="0" style="13" hidden="1" customWidth="1"/>
    <col min="10196" max="10431" width="10.33203125" style="13"/>
    <col min="10432" max="10432" width="7" style="13" customWidth="1"/>
    <col min="10433" max="10433" width="13" style="13" customWidth="1"/>
    <col min="10434" max="10434" width="14.109375" style="13" customWidth="1"/>
    <col min="10435" max="10435" width="17.33203125" style="13" customWidth="1"/>
    <col min="10436" max="10436" width="18.88671875" style="13" customWidth="1"/>
    <col min="10437" max="10437" width="14.109375" style="13" customWidth="1"/>
    <col min="10438" max="10438" width="21.5546875" style="13" customWidth="1"/>
    <col min="10439" max="10440" width="14.109375" style="13" customWidth="1"/>
    <col min="10441" max="10441" width="15" style="13" customWidth="1"/>
    <col min="10442" max="10442" width="13.33203125" style="13" customWidth="1"/>
    <col min="10443" max="10443" width="17" style="13" customWidth="1"/>
    <col min="10444" max="10444" width="24.88671875" style="13" customWidth="1"/>
    <col min="10445" max="10445" width="14.44140625" style="13" customWidth="1"/>
    <col min="10446" max="10446" width="23.109375" style="13" customWidth="1"/>
    <col min="10447" max="10447" width="13.109375" style="13" customWidth="1"/>
    <col min="10448" max="10451" width="0" style="13" hidden="1" customWidth="1"/>
    <col min="10452" max="10687" width="10.33203125" style="13"/>
    <col min="10688" max="10688" width="7" style="13" customWidth="1"/>
    <col min="10689" max="10689" width="13" style="13" customWidth="1"/>
    <col min="10690" max="10690" width="14.109375" style="13" customWidth="1"/>
    <col min="10691" max="10691" width="17.33203125" style="13" customWidth="1"/>
    <col min="10692" max="10692" width="18.88671875" style="13" customWidth="1"/>
    <col min="10693" max="10693" width="14.109375" style="13" customWidth="1"/>
    <col min="10694" max="10694" width="21.5546875" style="13" customWidth="1"/>
    <col min="10695" max="10696" width="14.109375" style="13" customWidth="1"/>
    <col min="10697" max="10697" width="15" style="13" customWidth="1"/>
    <col min="10698" max="10698" width="13.33203125" style="13" customWidth="1"/>
    <col min="10699" max="10699" width="17" style="13" customWidth="1"/>
    <col min="10700" max="10700" width="24.88671875" style="13" customWidth="1"/>
    <col min="10701" max="10701" width="14.44140625" style="13" customWidth="1"/>
    <col min="10702" max="10702" width="23.109375" style="13" customWidth="1"/>
    <col min="10703" max="10703" width="13.109375" style="13" customWidth="1"/>
    <col min="10704" max="10707" width="0" style="13" hidden="1" customWidth="1"/>
    <col min="10708" max="10943" width="10.33203125" style="13"/>
    <col min="10944" max="10944" width="7" style="13" customWidth="1"/>
    <col min="10945" max="10945" width="13" style="13" customWidth="1"/>
    <col min="10946" max="10946" width="14.109375" style="13" customWidth="1"/>
    <col min="10947" max="10947" width="17.33203125" style="13" customWidth="1"/>
    <col min="10948" max="10948" width="18.88671875" style="13" customWidth="1"/>
    <col min="10949" max="10949" width="14.109375" style="13" customWidth="1"/>
    <col min="10950" max="10950" width="21.5546875" style="13" customWidth="1"/>
    <col min="10951" max="10952" width="14.109375" style="13" customWidth="1"/>
    <col min="10953" max="10953" width="15" style="13" customWidth="1"/>
    <col min="10954" max="10954" width="13.33203125" style="13" customWidth="1"/>
    <col min="10955" max="10955" width="17" style="13" customWidth="1"/>
    <col min="10956" max="10956" width="24.88671875" style="13" customWidth="1"/>
    <col min="10957" max="10957" width="14.44140625" style="13" customWidth="1"/>
    <col min="10958" max="10958" width="23.109375" style="13" customWidth="1"/>
    <col min="10959" max="10959" width="13.109375" style="13" customWidth="1"/>
    <col min="10960" max="10963" width="0" style="13" hidden="1" customWidth="1"/>
    <col min="10964" max="11199" width="10.33203125" style="13"/>
    <col min="11200" max="11200" width="7" style="13" customWidth="1"/>
    <col min="11201" max="11201" width="13" style="13" customWidth="1"/>
    <col min="11202" max="11202" width="14.109375" style="13" customWidth="1"/>
    <col min="11203" max="11203" width="17.33203125" style="13" customWidth="1"/>
    <col min="11204" max="11204" width="18.88671875" style="13" customWidth="1"/>
    <col min="11205" max="11205" width="14.109375" style="13" customWidth="1"/>
    <col min="11206" max="11206" width="21.5546875" style="13" customWidth="1"/>
    <col min="11207" max="11208" width="14.109375" style="13" customWidth="1"/>
    <col min="11209" max="11209" width="15" style="13" customWidth="1"/>
    <col min="11210" max="11210" width="13.33203125" style="13" customWidth="1"/>
    <col min="11211" max="11211" width="17" style="13" customWidth="1"/>
    <col min="11212" max="11212" width="24.88671875" style="13" customWidth="1"/>
    <col min="11213" max="11213" width="14.44140625" style="13" customWidth="1"/>
    <col min="11214" max="11214" width="23.109375" style="13" customWidth="1"/>
    <col min="11215" max="11215" width="13.109375" style="13" customWidth="1"/>
    <col min="11216" max="11219" width="0" style="13" hidden="1" customWidth="1"/>
    <col min="11220" max="11455" width="10.33203125" style="13"/>
    <col min="11456" max="11456" width="7" style="13" customWidth="1"/>
    <col min="11457" max="11457" width="13" style="13" customWidth="1"/>
    <col min="11458" max="11458" width="14.109375" style="13" customWidth="1"/>
    <col min="11459" max="11459" width="17.33203125" style="13" customWidth="1"/>
    <col min="11460" max="11460" width="18.88671875" style="13" customWidth="1"/>
    <col min="11461" max="11461" width="14.109375" style="13" customWidth="1"/>
    <col min="11462" max="11462" width="21.5546875" style="13" customWidth="1"/>
    <col min="11463" max="11464" width="14.109375" style="13" customWidth="1"/>
    <col min="11465" max="11465" width="15" style="13" customWidth="1"/>
    <col min="11466" max="11466" width="13.33203125" style="13" customWidth="1"/>
    <col min="11467" max="11467" width="17" style="13" customWidth="1"/>
    <col min="11468" max="11468" width="24.88671875" style="13" customWidth="1"/>
    <col min="11469" max="11469" width="14.44140625" style="13" customWidth="1"/>
    <col min="11470" max="11470" width="23.109375" style="13" customWidth="1"/>
    <col min="11471" max="11471" width="13.109375" style="13" customWidth="1"/>
    <col min="11472" max="11475" width="0" style="13" hidden="1" customWidth="1"/>
    <col min="11476" max="11711" width="10.33203125" style="13"/>
    <col min="11712" max="11712" width="7" style="13" customWidth="1"/>
    <col min="11713" max="11713" width="13" style="13" customWidth="1"/>
    <col min="11714" max="11714" width="14.109375" style="13" customWidth="1"/>
    <col min="11715" max="11715" width="17.33203125" style="13" customWidth="1"/>
    <col min="11716" max="11716" width="18.88671875" style="13" customWidth="1"/>
    <col min="11717" max="11717" width="14.109375" style="13" customWidth="1"/>
    <col min="11718" max="11718" width="21.5546875" style="13" customWidth="1"/>
    <col min="11719" max="11720" width="14.109375" style="13" customWidth="1"/>
    <col min="11721" max="11721" width="15" style="13" customWidth="1"/>
    <col min="11722" max="11722" width="13.33203125" style="13" customWidth="1"/>
    <col min="11723" max="11723" width="17" style="13" customWidth="1"/>
    <col min="11724" max="11724" width="24.88671875" style="13" customWidth="1"/>
    <col min="11725" max="11725" width="14.44140625" style="13" customWidth="1"/>
    <col min="11726" max="11726" width="23.109375" style="13" customWidth="1"/>
    <col min="11727" max="11727" width="13.109375" style="13" customWidth="1"/>
    <col min="11728" max="11731" width="0" style="13" hidden="1" customWidth="1"/>
    <col min="11732" max="11967" width="10.33203125" style="13"/>
    <col min="11968" max="11968" width="7" style="13" customWidth="1"/>
    <col min="11969" max="11969" width="13" style="13" customWidth="1"/>
    <col min="11970" max="11970" width="14.109375" style="13" customWidth="1"/>
    <col min="11971" max="11971" width="17.33203125" style="13" customWidth="1"/>
    <col min="11972" max="11972" width="18.88671875" style="13" customWidth="1"/>
    <col min="11973" max="11973" width="14.109375" style="13" customWidth="1"/>
    <col min="11974" max="11974" width="21.5546875" style="13" customWidth="1"/>
    <col min="11975" max="11976" width="14.109375" style="13" customWidth="1"/>
    <col min="11977" max="11977" width="15" style="13" customWidth="1"/>
    <col min="11978" max="11978" width="13.33203125" style="13" customWidth="1"/>
    <col min="11979" max="11979" width="17" style="13" customWidth="1"/>
    <col min="11980" max="11980" width="24.88671875" style="13" customWidth="1"/>
    <col min="11981" max="11981" width="14.44140625" style="13" customWidth="1"/>
    <col min="11982" max="11982" width="23.109375" style="13" customWidth="1"/>
    <col min="11983" max="11983" width="13.109375" style="13" customWidth="1"/>
    <col min="11984" max="11987" width="0" style="13" hidden="1" customWidth="1"/>
    <col min="11988" max="12223" width="10.33203125" style="13"/>
    <col min="12224" max="12224" width="7" style="13" customWidth="1"/>
    <col min="12225" max="12225" width="13" style="13" customWidth="1"/>
    <col min="12226" max="12226" width="14.109375" style="13" customWidth="1"/>
    <col min="12227" max="12227" width="17.33203125" style="13" customWidth="1"/>
    <col min="12228" max="12228" width="18.88671875" style="13" customWidth="1"/>
    <col min="12229" max="12229" width="14.109375" style="13" customWidth="1"/>
    <col min="12230" max="12230" width="21.5546875" style="13" customWidth="1"/>
    <col min="12231" max="12232" width="14.109375" style="13" customWidth="1"/>
    <col min="12233" max="12233" width="15" style="13" customWidth="1"/>
    <col min="12234" max="12234" width="13.33203125" style="13" customWidth="1"/>
    <col min="12235" max="12235" width="17" style="13" customWidth="1"/>
    <col min="12236" max="12236" width="24.88671875" style="13" customWidth="1"/>
    <col min="12237" max="12237" width="14.44140625" style="13" customWidth="1"/>
    <col min="12238" max="12238" width="23.109375" style="13" customWidth="1"/>
    <col min="12239" max="12239" width="13.109375" style="13" customWidth="1"/>
    <col min="12240" max="12243" width="0" style="13" hidden="1" customWidth="1"/>
    <col min="12244" max="12479" width="10.33203125" style="13"/>
    <col min="12480" max="12480" width="7" style="13" customWidth="1"/>
    <col min="12481" max="12481" width="13" style="13" customWidth="1"/>
    <col min="12482" max="12482" width="14.109375" style="13" customWidth="1"/>
    <col min="12483" max="12483" width="17.33203125" style="13" customWidth="1"/>
    <col min="12484" max="12484" width="18.88671875" style="13" customWidth="1"/>
    <col min="12485" max="12485" width="14.109375" style="13" customWidth="1"/>
    <col min="12486" max="12486" width="21.5546875" style="13" customWidth="1"/>
    <col min="12487" max="12488" width="14.109375" style="13" customWidth="1"/>
    <col min="12489" max="12489" width="15" style="13" customWidth="1"/>
    <col min="12490" max="12490" width="13.33203125" style="13" customWidth="1"/>
    <col min="12491" max="12491" width="17" style="13" customWidth="1"/>
    <col min="12492" max="12492" width="24.88671875" style="13" customWidth="1"/>
    <col min="12493" max="12493" width="14.44140625" style="13" customWidth="1"/>
    <col min="12494" max="12494" width="23.109375" style="13" customWidth="1"/>
    <col min="12495" max="12495" width="13.109375" style="13" customWidth="1"/>
    <col min="12496" max="12499" width="0" style="13" hidden="1" customWidth="1"/>
    <col min="12500" max="12735" width="10.33203125" style="13"/>
    <col min="12736" max="12736" width="7" style="13" customWidth="1"/>
    <col min="12737" max="12737" width="13" style="13" customWidth="1"/>
    <col min="12738" max="12738" width="14.109375" style="13" customWidth="1"/>
    <col min="12739" max="12739" width="17.33203125" style="13" customWidth="1"/>
    <col min="12740" max="12740" width="18.88671875" style="13" customWidth="1"/>
    <col min="12741" max="12741" width="14.109375" style="13" customWidth="1"/>
    <col min="12742" max="12742" width="21.5546875" style="13" customWidth="1"/>
    <col min="12743" max="12744" width="14.109375" style="13" customWidth="1"/>
    <col min="12745" max="12745" width="15" style="13" customWidth="1"/>
    <col min="12746" max="12746" width="13.33203125" style="13" customWidth="1"/>
    <col min="12747" max="12747" width="17" style="13" customWidth="1"/>
    <col min="12748" max="12748" width="24.88671875" style="13" customWidth="1"/>
    <col min="12749" max="12749" width="14.44140625" style="13" customWidth="1"/>
    <col min="12750" max="12750" width="23.109375" style="13" customWidth="1"/>
    <col min="12751" max="12751" width="13.109375" style="13" customWidth="1"/>
    <col min="12752" max="12755" width="0" style="13" hidden="1" customWidth="1"/>
    <col min="12756" max="12991" width="10.33203125" style="13"/>
    <col min="12992" max="12992" width="7" style="13" customWidth="1"/>
    <col min="12993" max="12993" width="13" style="13" customWidth="1"/>
    <col min="12994" max="12994" width="14.109375" style="13" customWidth="1"/>
    <col min="12995" max="12995" width="17.33203125" style="13" customWidth="1"/>
    <col min="12996" max="12996" width="18.88671875" style="13" customWidth="1"/>
    <col min="12997" max="12997" width="14.109375" style="13" customWidth="1"/>
    <col min="12998" max="12998" width="21.5546875" style="13" customWidth="1"/>
    <col min="12999" max="13000" width="14.109375" style="13" customWidth="1"/>
    <col min="13001" max="13001" width="15" style="13" customWidth="1"/>
    <col min="13002" max="13002" width="13.33203125" style="13" customWidth="1"/>
    <col min="13003" max="13003" width="17" style="13" customWidth="1"/>
    <col min="13004" max="13004" width="24.88671875" style="13" customWidth="1"/>
    <col min="13005" max="13005" width="14.44140625" style="13" customWidth="1"/>
    <col min="13006" max="13006" width="23.109375" style="13" customWidth="1"/>
    <col min="13007" max="13007" width="13.109375" style="13" customWidth="1"/>
    <col min="13008" max="13011" width="0" style="13" hidden="1" customWidth="1"/>
    <col min="13012" max="13247" width="10.33203125" style="13"/>
    <col min="13248" max="13248" width="7" style="13" customWidth="1"/>
    <col min="13249" max="13249" width="13" style="13" customWidth="1"/>
    <col min="13250" max="13250" width="14.109375" style="13" customWidth="1"/>
    <col min="13251" max="13251" width="17.33203125" style="13" customWidth="1"/>
    <col min="13252" max="13252" width="18.88671875" style="13" customWidth="1"/>
    <col min="13253" max="13253" width="14.109375" style="13" customWidth="1"/>
    <col min="13254" max="13254" width="21.5546875" style="13" customWidth="1"/>
    <col min="13255" max="13256" width="14.109375" style="13" customWidth="1"/>
    <col min="13257" max="13257" width="15" style="13" customWidth="1"/>
    <col min="13258" max="13258" width="13.33203125" style="13" customWidth="1"/>
    <col min="13259" max="13259" width="17" style="13" customWidth="1"/>
    <col min="13260" max="13260" width="24.88671875" style="13" customWidth="1"/>
    <col min="13261" max="13261" width="14.44140625" style="13" customWidth="1"/>
    <col min="13262" max="13262" width="23.109375" style="13" customWidth="1"/>
    <col min="13263" max="13263" width="13.109375" style="13" customWidth="1"/>
    <col min="13264" max="13267" width="0" style="13" hidden="1" customWidth="1"/>
    <col min="13268" max="13503" width="10.33203125" style="13"/>
    <col min="13504" max="13504" width="7" style="13" customWidth="1"/>
    <col min="13505" max="13505" width="13" style="13" customWidth="1"/>
    <col min="13506" max="13506" width="14.109375" style="13" customWidth="1"/>
    <col min="13507" max="13507" width="17.33203125" style="13" customWidth="1"/>
    <col min="13508" max="13508" width="18.88671875" style="13" customWidth="1"/>
    <col min="13509" max="13509" width="14.109375" style="13" customWidth="1"/>
    <col min="13510" max="13510" width="21.5546875" style="13" customWidth="1"/>
    <col min="13511" max="13512" width="14.109375" style="13" customWidth="1"/>
    <col min="13513" max="13513" width="15" style="13" customWidth="1"/>
    <col min="13514" max="13514" width="13.33203125" style="13" customWidth="1"/>
    <col min="13515" max="13515" width="17" style="13" customWidth="1"/>
    <col min="13516" max="13516" width="24.88671875" style="13" customWidth="1"/>
    <col min="13517" max="13517" width="14.44140625" style="13" customWidth="1"/>
    <col min="13518" max="13518" width="23.109375" style="13" customWidth="1"/>
    <col min="13519" max="13519" width="13.109375" style="13" customWidth="1"/>
    <col min="13520" max="13523" width="0" style="13" hidden="1" customWidth="1"/>
    <col min="13524" max="13759" width="10.33203125" style="13"/>
    <col min="13760" max="13760" width="7" style="13" customWidth="1"/>
    <col min="13761" max="13761" width="13" style="13" customWidth="1"/>
    <col min="13762" max="13762" width="14.109375" style="13" customWidth="1"/>
    <col min="13763" max="13763" width="17.33203125" style="13" customWidth="1"/>
    <col min="13764" max="13764" width="18.88671875" style="13" customWidth="1"/>
    <col min="13765" max="13765" width="14.109375" style="13" customWidth="1"/>
    <col min="13766" max="13766" width="21.5546875" style="13" customWidth="1"/>
    <col min="13767" max="13768" width="14.109375" style="13" customWidth="1"/>
    <col min="13769" max="13769" width="15" style="13" customWidth="1"/>
    <col min="13770" max="13770" width="13.33203125" style="13" customWidth="1"/>
    <col min="13771" max="13771" width="17" style="13" customWidth="1"/>
    <col min="13772" max="13772" width="24.88671875" style="13" customWidth="1"/>
    <col min="13773" max="13773" width="14.44140625" style="13" customWidth="1"/>
    <col min="13774" max="13774" width="23.109375" style="13" customWidth="1"/>
    <col min="13775" max="13775" width="13.109375" style="13" customWidth="1"/>
    <col min="13776" max="13779" width="0" style="13" hidden="1" customWidth="1"/>
    <col min="13780" max="14015" width="10.33203125" style="13"/>
    <col min="14016" max="14016" width="7" style="13" customWidth="1"/>
    <col min="14017" max="14017" width="13" style="13" customWidth="1"/>
    <col min="14018" max="14018" width="14.109375" style="13" customWidth="1"/>
    <col min="14019" max="14019" width="17.33203125" style="13" customWidth="1"/>
    <col min="14020" max="14020" width="18.88671875" style="13" customWidth="1"/>
    <col min="14021" max="14021" width="14.109375" style="13" customWidth="1"/>
    <col min="14022" max="14022" width="21.5546875" style="13" customWidth="1"/>
    <col min="14023" max="14024" width="14.109375" style="13" customWidth="1"/>
    <col min="14025" max="14025" width="15" style="13" customWidth="1"/>
    <col min="14026" max="14026" width="13.33203125" style="13" customWidth="1"/>
    <col min="14027" max="14027" width="17" style="13" customWidth="1"/>
    <col min="14028" max="14028" width="24.88671875" style="13" customWidth="1"/>
    <col min="14029" max="14029" width="14.44140625" style="13" customWidth="1"/>
    <col min="14030" max="14030" width="23.109375" style="13" customWidth="1"/>
    <col min="14031" max="14031" width="13.109375" style="13" customWidth="1"/>
    <col min="14032" max="14035" width="0" style="13" hidden="1" customWidth="1"/>
    <col min="14036" max="14271" width="10.33203125" style="13"/>
    <col min="14272" max="14272" width="7" style="13" customWidth="1"/>
    <col min="14273" max="14273" width="13" style="13" customWidth="1"/>
    <col min="14274" max="14274" width="14.109375" style="13" customWidth="1"/>
    <col min="14275" max="14275" width="17.33203125" style="13" customWidth="1"/>
    <col min="14276" max="14276" width="18.88671875" style="13" customWidth="1"/>
    <col min="14277" max="14277" width="14.109375" style="13" customWidth="1"/>
    <col min="14278" max="14278" width="21.5546875" style="13" customWidth="1"/>
    <col min="14279" max="14280" width="14.109375" style="13" customWidth="1"/>
    <col min="14281" max="14281" width="15" style="13" customWidth="1"/>
    <col min="14282" max="14282" width="13.33203125" style="13" customWidth="1"/>
    <col min="14283" max="14283" width="17" style="13" customWidth="1"/>
    <col min="14284" max="14284" width="24.88671875" style="13" customWidth="1"/>
    <col min="14285" max="14285" width="14.44140625" style="13" customWidth="1"/>
    <col min="14286" max="14286" width="23.109375" style="13" customWidth="1"/>
    <col min="14287" max="14287" width="13.109375" style="13" customWidth="1"/>
    <col min="14288" max="14291" width="0" style="13" hidden="1" customWidth="1"/>
    <col min="14292" max="14527" width="10.33203125" style="13"/>
    <col min="14528" max="14528" width="7" style="13" customWidth="1"/>
    <col min="14529" max="14529" width="13" style="13" customWidth="1"/>
    <col min="14530" max="14530" width="14.109375" style="13" customWidth="1"/>
    <col min="14531" max="14531" width="17.33203125" style="13" customWidth="1"/>
    <col min="14532" max="14532" width="18.88671875" style="13" customWidth="1"/>
    <col min="14533" max="14533" width="14.109375" style="13" customWidth="1"/>
    <col min="14534" max="14534" width="21.5546875" style="13" customWidth="1"/>
    <col min="14535" max="14536" width="14.109375" style="13" customWidth="1"/>
    <col min="14537" max="14537" width="15" style="13" customWidth="1"/>
    <col min="14538" max="14538" width="13.33203125" style="13" customWidth="1"/>
    <col min="14539" max="14539" width="17" style="13" customWidth="1"/>
    <col min="14540" max="14540" width="24.88671875" style="13" customWidth="1"/>
    <col min="14541" max="14541" width="14.44140625" style="13" customWidth="1"/>
    <col min="14542" max="14542" width="23.109375" style="13" customWidth="1"/>
    <col min="14543" max="14543" width="13.109375" style="13" customWidth="1"/>
    <col min="14544" max="14547" width="0" style="13" hidden="1" customWidth="1"/>
    <col min="14548" max="14783" width="10.33203125" style="13"/>
    <col min="14784" max="14784" width="7" style="13" customWidth="1"/>
    <col min="14785" max="14785" width="13" style="13" customWidth="1"/>
    <col min="14786" max="14786" width="14.109375" style="13" customWidth="1"/>
    <col min="14787" max="14787" width="17.33203125" style="13" customWidth="1"/>
    <col min="14788" max="14788" width="18.88671875" style="13" customWidth="1"/>
    <col min="14789" max="14789" width="14.109375" style="13" customWidth="1"/>
    <col min="14790" max="14790" width="21.5546875" style="13" customWidth="1"/>
    <col min="14791" max="14792" width="14.109375" style="13" customWidth="1"/>
    <col min="14793" max="14793" width="15" style="13" customWidth="1"/>
    <col min="14794" max="14794" width="13.33203125" style="13" customWidth="1"/>
    <col min="14795" max="14795" width="17" style="13" customWidth="1"/>
    <col min="14796" max="14796" width="24.88671875" style="13" customWidth="1"/>
    <col min="14797" max="14797" width="14.44140625" style="13" customWidth="1"/>
    <col min="14798" max="14798" width="23.109375" style="13" customWidth="1"/>
    <col min="14799" max="14799" width="13.109375" style="13" customWidth="1"/>
    <col min="14800" max="14803" width="0" style="13" hidden="1" customWidth="1"/>
    <col min="14804" max="15039" width="10.33203125" style="13"/>
    <col min="15040" max="15040" width="7" style="13" customWidth="1"/>
    <col min="15041" max="15041" width="13" style="13" customWidth="1"/>
    <col min="15042" max="15042" width="14.109375" style="13" customWidth="1"/>
    <col min="15043" max="15043" width="17.33203125" style="13" customWidth="1"/>
    <col min="15044" max="15044" width="18.88671875" style="13" customWidth="1"/>
    <col min="15045" max="15045" width="14.109375" style="13" customWidth="1"/>
    <col min="15046" max="15046" width="21.5546875" style="13" customWidth="1"/>
    <col min="15047" max="15048" width="14.109375" style="13" customWidth="1"/>
    <col min="15049" max="15049" width="15" style="13" customWidth="1"/>
    <col min="15050" max="15050" width="13.33203125" style="13" customWidth="1"/>
    <col min="15051" max="15051" width="17" style="13" customWidth="1"/>
    <col min="15052" max="15052" width="24.88671875" style="13" customWidth="1"/>
    <col min="15053" max="15053" width="14.44140625" style="13" customWidth="1"/>
    <col min="15054" max="15054" width="23.109375" style="13" customWidth="1"/>
    <col min="15055" max="15055" width="13.109375" style="13" customWidth="1"/>
    <col min="15056" max="15059" width="0" style="13" hidden="1" customWidth="1"/>
    <col min="15060" max="15295" width="10.33203125" style="13"/>
    <col min="15296" max="15296" width="7" style="13" customWidth="1"/>
    <col min="15297" max="15297" width="13" style="13" customWidth="1"/>
    <col min="15298" max="15298" width="14.109375" style="13" customWidth="1"/>
    <col min="15299" max="15299" width="17.33203125" style="13" customWidth="1"/>
    <col min="15300" max="15300" width="18.88671875" style="13" customWidth="1"/>
    <col min="15301" max="15301" width="14.109375" style="13" customWidth="1"/>
    <col min="15302" max="15302" width="21.5546875" style="13" customWidth="1"/>
    <col min="15303" max="15304" width="14.109375" style="13" customWidth="1"/>
    <col min="15305" max="15305" width="15" style="13" customWidth="1"/>
    <col min="15306" max="15306" width="13.33203125" style="13" customWidth="1"/>
    <col min="15307" max="15307" width="17" style="13" customWidth="1"/>
    <col min="15308" max="15308" width="24.88671875" style="13" customWidth="1"/>
    <col min="15309" max="15309" width="14.44140625" style="13" customWidth="1"/>
    <col min="15310" max="15310" width="23.109375" style="13" customWidth="1"/>
    <col min="15311" max="15311" width="13.109375" style="13" customWidth="1"/>
    <col min="15312" max="15315" width="0" style="13" hidden="1" customWidth="1"/>
    <col min="15316" max="15551" width="10.33203125" style="13"/>
    <col min="15552" max="15552" width="7" style="13" customWidth="1"/>
    <col min="15553" max="15553" width="13" style="13" customWidth="1"/>
    <col min="15554" max="15554" width="14.109375" style="13" customWidth="1"/>
    <col min="15555" max="15555" width="17.33203125" style="13" customWidth="1"/>
    <col min="15556" max="15556" width="18.88671875" style="13" customWidth="1"/>
    <col min="15557" max="15557" width="14.109375" style="13" customWidth="1"/>
    <col min="15558" max="15558" width="21.5546875" style="13" customWidth="1"/>
    <col min="15559" max="15560" width="14.109375" style="13" customWidth="1"/>
    <col min="15561" max="15561" width="15" style="13" customWidth="1"/>
    <col min="15562" max="15562" width="13.33203125" style="13" customWidth="1"/>
    <col min="15563" max="15563" width="17" style="13" customWidth="1"/>
    <col min="15564" max="15564" width="24.88671875" style="13" customWidth="1"/>
    <col min="15565" max="15565" width="14.44140625" style="13" customWidth="1"/>
    <col min="15566" max="15566" width="23.109375" style="13" customWidth="1"/>
    <col min="15567" max="15567" width="13.109375" style="13" customWidth="1"/>
    <col min="15568" max="15571" width="0" style="13" hidden="1" customWidth="1"/>
    <col min="15572" max="15807" width="10.33203125" style="13"/>
    <col min="15808" max="15808" width="7" style="13" customWidth="1"/>
    <col min="15809" max="15809" width="13" style="13" customWidth="1"/>
    <col min="15810" max="15810" width="14.109375" style="13" customWidth="1"/>
    <col min="15811" max="15811" width="17.33203125" style="13" customWidth="1"/>
    <col min="15812" max="15812" width="18.88671875" style="13" customWidth="1"/>
    <col min="15813" max="15813" width="14.109375" style="13" customWidth="1"/>
    <col min="15814" max="15814" width="21.5546875" style="13" customWidth="1"/>
    <col min="15815" max="15816" width="14.109375" style="13" customWidth="1"/>
    <col min="15817" max="15817" width="15" style="13" customWidth="1"/>
    <col min="15818" max="15818" width="13.33203125" style="13" customWidth="1"/>
    <col min="15819" max="15819" width="17" style="13" customWidth="1"/>
    <col min="15820" max="15820" width="24.88671875" style="13" customWidth="1"/>
    <col min="15821" max="15821" width="14.44140625" style="13" customWidth="1"/>
    <col min="15822" max="15822" width="23.109375" style="13" customWidth="1"/>
    <col min="15823" max="15823" width="13.109375" style="13" customWidth="1"/>
    <col min="15824" max="15827" width="0" style="13" hidden="1" customWidth="1"/>
    <col min="15828" max="16063" width="10.33203125" style="13"/>
    <col min="16064" max="16064" width="7" style="13" customWidth="1"/>
    <col min="16065" max="16065" width="13" style="13" customWidth="1"/>
    <col min="16066" max="16066" width="14.109375" style="13" customWidth="1"/>
    <col min="16067" max="16067" width="17.33203125" style="13" customWidth="1"/>
    <col min="16068" max="16068" width="18.88671875" style="13" customWidth="1"/>
    <col min="16069" max="16069" width="14.109375" style="13" customWidth="1"/>
    <col min="16070" max="16070" width="21.5546875" style="13" customWidth="1"/>
    <col min="16071" max="16072" width="14.109375" style="13" customWidth="1"/>
    <col min="16073" max="16073" width="15" style="13" customWidth="1"/>
    <col min="16074" max="16074" width="13.33203125" style="13" customWidth="1"/>
    <col min="16075" max="16075" width="17" style="13" customWidth="1"/>
    <col min="16076" max="16076" width="24.88671875" style="13" customWidth="1"/>
    <col min="16077" max="16077" width="14.44140625" style="13" customWidth="1"/>
    <col min="16078" max="16078" width="23.109375" style="13" customWidth="1"/>
    <col min="16079" max="16079" width="13.109375" style="13" customWidth="1"/>
    <col min="16080" max="16083" width="0" style="13" hidden="1" customWidth="1"/>
    <col min="16084" max="16384" width="10.33203125" style="13"/>
  </cols>
  <sheetData>
    <row r="1" spans="1:27" ht="15" customHeight="1">
      <c r="L1" s="125"/>
      <c r="M1" s="125"/>
      <c r="N1" s="125"/>
      <c r="O1" s="125"/>
      <c r="P1" s="277"/>
      <c r="Q1" s="277"/>
      <c r="R1" s="277"/>
      <c r="S1" s="278"/>
      <c r="T1" s="278"/>
      <c r="U1" s="278"/>
      <c r="V1" s="278"/>
      <c r="W1" s="282"/>
      <c r="X1" s="278"/>
      <c r="Y1" s="278"/>
      <c r="Z1" s="283"/>
    </row>
    <row r="2" spans="1:27" ht="20.25" customHeight="1">
      <c r="A2" s="3314" t="s">
        <v>755</v>
      </c>
      <c r="B2" s="3315"/>
      <c r="C2" s="3315"/>
      <c r="D2" s="3315"/>
      <c r="E2" s="3315"/>
      <c r="F2" s="3315"/>
      <c r="G2" s="3315"/>
      <c r="H2" s="3315"/>
      <c r="I2" s="3315"/>
      <c r="K2" s="294"/>
      <c r="L2" s="294"/>
      <c r="M2" s="294"/>
      <c r="N2" s="294"/>
      <c r="O2" s="294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13"/>
    </row>
    <row r="3" spans="1:27">
      <c r="B3" s="2" t="s">
        <v>658</v>
      </c>
      <c r="K3" s="3282" t="s">
        <v>0</v>
      </c>
      <c r="L3" s="3282"/>
      <c r="M3" s="3282"/>
      <c r="N3" s="3282"/>
      <c r="O3" s="3282"/>
    </row>
    <row r="4" spans="1:27" ht="39.6">
      <c r="A4" s="29" t="s">
        <v>2</v>
      </c>
      <c r="B4" s="30" t="s">
        <v>3</v>
      </c>
      <c r="C4" s="31" t="s">
        <v>4</v>
      </c>
      <c r="D4" s="30" t="s">
        <v>5</v>
      </c>
      <c r="E4" s="30" t="s">
        <v>401</v>
      </c>
      <c r="F4" s="33" t="s">
        <v>8</v>
      </c>
      <c r="G4" s="33" t="s">
        <v>9</v>
      </c>
      <c r="H4" s="29" t="s">
        <v>15</v>
      </c>
      <c r="I4" s="323" t="s">
        <v>290</v>
      </c>
      <c r="J4" s="40" t="s">
        <v>63</v>
      </c>
      <c r="K4" s="32" t="s">
        <v>7</v>
      </c>
      <c r="L4" s="35" t="s">
        <v>11</v>
      </c>
      <c r="M4" s="35" t="s">
        <v>12</v>
      </c>
      <c r="N4" s="33" t="s">
        <v>13</v>
      </c>
      <c r="O4" s="33" t="s">
        <v>14</v>
      </c>
      <c r="P4" s="217" t="s">
        <v>190</v>
      </c>
      <c r="Q4" s="217" t="s">
        <v>191</v>
      </c>
      <c r="R4" s="218" t="s">
        <v>192</v>
      </c>
      <c r="S4" s="218" t="s">
        <v>193</v>
      </c>
      <c r="T4" s="219" t="s">
        <v>194</v>
      </c>
      <c r="U4" s="219" t="s">
        <v>195</v>
      </c>
      <c r="V4" s="220" t="s">
        <v>196</v>
      </c>
      <c r="W4" s="221" t="s">
        <v>197</v>
      </c>
      <c r="X4" s="218" t="s">
        <v>198</v>
      </c>
      <c r="Y4" s="219" t="s">
        <v>199</v>
      </c>
      <c r="Z4" s="222" t="s">
        <v>200</v>
      </c>
      <c r="AA4" s="36" t="s">
        <v>204</v>
      </c>
    </row>
    <row r="5" spans="1:27" ht="22.5" customHeight="1">
      <c r="A5" s="326">
        <v>1</v>
      </c>
      <c r="B5" s="45">
        <v>105388065160</v>
      </c>
      <c r="C5" s="386" t="s">
        <v>773</v>
      </c>
      <c r="D5" s="47" t="s">
        <v>869</v>
      </c>
      <c r="E5" s="126" t="s">
        <v>206</v>
      </c>
      <c r="F5" s="167"/>
      <c r="G5" s="167">
        <v>1</v>
      </c>
      <c r="H5" s="329" t="s">
        <v>756</v>
      </c>
      <c r="I5" s="327" t="s">
        <v>757</v>
      </c>
      <c r="J5" s="53" t="s">
        <v>108</v>
      </c>
      <c r="K5" s="127" t="s">
        <v>972</v>
      </c>
      <c r="L5" s="295"/>
      <c r="M5" s="136"/>
      <c r="N5" s="137"/>
      <c r="O5" s="328"/>
      <c r="P5" s="285">
        <v>709500</v>
      </c>
      <c r="Q5" s="438">
        <v>1250000</v>
      </c>
      <c r="R5" s="248"/>
      <c r="S5" s="247"/>
      <c r="T5" s="248"/>
      <c r="U5" s="340">
        <f t="shared" ref="U5:U41" si="0">+L5+P5+Q5+R5</f>
        <v>1959500</v>
      </c>
      <c r="V5" s="344">
        <f t="shared" ref="V5:V41" si="1">+S5</f>
        <v>0</v>
      </c>
      <c r="W5" s="249"/>
      <c r="X5" s="341">
        <f>4600000*1.1</f>
        <v>5060000</v>
      </c>
      <c r="Y5" s="342">
        <f t="shared" ref="Y5:Y41" si="2">+X5+V5+U5</f>
        <v>7019500</v>
      </c>
      <c r="Z5" s="252"/>
      <c r="AA5" s="130"/>
    </row>
    <row r="6" spans="1:27" ht="22.5" customHeight="1">
      <c r="A6" s="326">
        <f>+A5+1</f>
        <v>2</v>
      </c>
      <c r="B6" s="45"/>
      <c r="C6" s="46"/>
      <c r="D6" s="47"/>
      <c r="E6" s="126"/>
      <c r="F6" s="167"/>
      <c r="G6" s="167"/>
      <c r="H6" s="329"/>
      <c r="I6" s="327"/>
      <c r="J6" s="53"/>
      <c r="K6" s="127"/>
      <c r="L6" s="295"/>
      <c r="M6" s="136"/>
      <c r="N6" s="137"/>
      <c r="O6" s="328"/>
      <c r="P6" s="248"/>
      <c r="Q6" s="248"/>
      <c r="R6" s="248"/>
      <c r="S6" s="247"/>
      <c r="T6" s="248"/>
      <c r="U6" s="340">
        <f t="shared" si="0"/>
        <v>0</v>
      </c>
      <c r="V6" s="344">
        <f t="shared" si="1"/>
        <v>0</v>
      </c>
      <c r="W6" s="249"/>
      <c r="X6" s="341"/>
      <c r="Y6" s="342">
        <f t="shared" si="2"/>
        <v>0</v>
      </c>
      <c r="Z6" s="252"/>
      <c r="AA6" s="130"/>
    </row>
    <row r="7" spans="1:27" ht="22.5" customHeight="1">
      <c r="A7" s="326">
        <f t="shared" ref="A7:A41" si="3">+A6+1</f>
        <v>3</v>
      </c>
      <c r="B7" s="45"/>
      <c r="C7" s="46"/>
      <c r="D7" s="47"/>
      <c r="E7" s="126"/>
      <c r="F7" s="167"/>
      <c r="G7" s="167"/>
      <c r="H7" s="163"/>
      <c r="I7" s="139"/>
      <c r="J7" s="89"/>
      <c r="K7" s="127"/>
      <c r="L7" s="295"/>
      <c r="M7" s="136"/>
      <c r="N7" s="137"/>
      <c r="O7" s="328"/>
      <c r="P7" s="248"/>
      <c r="Q7" s="248"/>
      <c r="R7" s="248"/>
      <c r="S7" s="247"/>
      <c r="T7" s="248"/>
      <c r="U7" s="340">
        <f t="shared" si="0"/>
        <v>0</v>
      </c>
      <c r="V7" s="344">
        <f t="shared" si="1"/>
        <v>0</v>
      </c>
      <c r="W7" s="249"/>
      <c r="X7" s="341"/>
      <c r="Y7" s="342">
        <f t="shared" si="2"/>
        <v>0</v>
      </c>
      <c r="Z7" s="252"/>
      <c r="AA7" s="141"/>
    </row>
    <row r="8" spans="1:27" ht="22.5" customHeight="1">
      <c r="A8" s="326">
        <f t="shared" si="3"/>
        <v>4</v>
      </c>
      <c r="B8" s="45"/>
      <c r="C8" s="46"/>
      <c r="D8" s="47"/>
      <c r="E8" s="126"/>
      <c r="F8" s="167"/>
      <c r="G8" s="167"/>
      <c r="H8" s="163"/>
      <c r="I8" s="139"/>
      <c r="J8" s="89"/>
      <c r="K8" s="127"/>
      <c r="L8" s="295"/>
      <c r="M8" s="136"/>
      <c r="N8" s="137"/>
      <c r="O8" s="328"/>
      <c r="P8" s="248"/>
      <c r="Q8" s="248"/>
      <c r="R8" s="248"/>
      <c r="S8" s="247"/>
      <c r="T8" s="248"/>
      <c r="U8" s="340">
        <f t="shared" si="0"/>
        <v>0</v>
      </c>
      <c r="V8" s="344">
        <f t="shared" si="1"/>
        <v>0</v>
      </c>
      <c r="W8" s="249"/>
      <c r="X8" s="341"/>
      <c r="Y8" s="342">
        <f t="shared" si="2"/>
        <v>0</v>
      </c>
      <c r="Z8" s="252"/>
      <c r="AA8" s="142"/>
    </row>
    <row r="9" spans="1:27" ht="22.5" customHeight="1">
      <c r="A9" s="326">
        <f t="shared" si="3"/>
        <v>5</v>
      </c>
      <c r="B9" s="45"/>
      <c r="C9" s="46"/>
      <c r="D9" s="47"/>
      <c r="E9" s="126"/>
      <c r="F9" s="167"/>
      <c r="G9" s="167"/>
      <c r="H9" s="164"/>
      <c r="I9" s="162"/>
      <c r="J9" s="92"/>
      <c r="K9" s="127"/>
      <c r="L9" s="295"/>
      <c r="M9" s="136"/>
      <c r="N9" s="137"/>
      <c r="O9" s="328"/>
      <c r="P9" s="248"/>
      <c r="Q9" s="248"/>
      <c r="R9" s="248"/>
      <c r="S9" s="247"/>
      <c r="T9" s="248"/>
      <c r="U9" s="340">
        <f t="shared" si="0"/>
        <v>0</v>
      </c>
      <c r="V9" s="344">
        <f t="shared" si="1"/>
        <v>0</v>
      </c>
      <c r="W9" s="249"/>
      <c r="X9" s="341"/>
      <c r="Y9" s="342">
        <f t="shared" si="2"/>
        <v>0</v>
      </c>
      <c r="Z9" s="252"/>
      <c r="AA9" s="142"/>
    </row>
    <row r="10" spans="1:27" ht="22.5" customHeight="1">
      <c r="A10" s="326">
        <f t="shared" si="3"/>
        <v>6</v>
      </c>
      <c r="B10" s="45"/>
      <c r="C10" s="46"/>
      <c r="D10" s="47"/>
      <c r="E10" s="126"/>
      <c r="F10" s="167"/>
      <c r="G10" s="167"/>
      <c r="H10" s="164"/>
      <c r="I10" s="162"/>
      <c r="J10" s="92"/>
      <c r="K10" s="127"/>
      <c r="L10" s="295"/>
      <c r="M10" s="136"/>
      <c r="N10" s="137"/>
      <c r="O10" s="328"/>
      <c r="P10" s="248"/>
      <c r="Q10" s="248"/>
      <c r="R10" s="248"/>
      <c r="S10" s="247"/>
      <c r="T10" s="248"/>
      <c r="U10" s="340">
        <f t="shared" si="0"/>
        <v>0</v>
      </c>
      <c r="V10" s="344">
        <f t="shared" si="1"/>
        <v>0</v>
      </c>
      <c r="W10" s="249"/>
      <c r="X10" s="341"/>
      <c r="Y10" s="342">
        <f t="shared" si="2"/>
        <v>0</v>
      </c>
      <c r="Z10" s="252"/>
      <c r="AA10" s="142"/>
    </row>
    <row r="11" spans="1:27" ht="22.5" customHeight="1">
      <c r="A11" s="326">
        <f t="shared" si="3"/>
        <v>7</v>
      </c>
      <c r="B11" s="45"/>
      <c r="C11" s="46"/>
      <c r="D11" s="47"/>
      <c r="E11" s="126"/>
      <c r="F11" s="167"/>
      <c r="G11" s="167"/>
      <c r="H11" s="164"/>
      <c r="I11" s="162"/>
      <c r="J11" s="92"/>
      <c r="K11" s="127"/>
      <c r="L11" s="295"/>
      <c r="M11" s="136"/>
      <c r="N11" s="137"/>
      <c r="O11" s="328"/>
      <c r="P11" s="248"/>
      <c r="Q11" s="248"/>
      <c r="R11" s="248"/>
      <c r="S11" s="247"/>
      <c r="T11" s="248"/>
      <c r="U11" s="340">
        <f t="shared" si="0"/>
        <v>0</v>
      </c>
      <c r="V11" s="344">
        <f t="shared" si="1"/>
        <v>0</v>
      </c>
      <c r="W11" s="249"/>
      <c r="X11" s="341"/>
      <c r="Y11" s="342">
        <f t="shared" si="2"/>
        <v>0</v>
      </c>
      <c r="Z11" s="252"/>
      <c r="AA11" s="142"/>
    </row>
    <row r="12" spans="1:27" ht="22.5" customHeight="1">
      <c r="A12" s="326">
        <f t="shared" si="3"/>
        <v>8</v>
      </c>
      <c r="B12" s="45"/>
      <c r="C12" s="46"/>
      <c r="D12" s="47"/>
      <c r="E12" s="126"/>
      <c r="F12" s="167"/>
      <c r="G12" s="167"/>
      <c r="H12" s="164"/>
      <c r="I12" s="162"/>
      <c r="J12" s="92"/>
      <c r="K12" s="127"/>
      <c r="L12" s="295"/>
      <c r="M12" s="136"/>
      <c r="N12" s="137"/>
      <c r="O12" s="328"/>
      <c r="P12" s="248"/>
      <c r="Q12" s="248"/>
      <c r="R12" s="248"/>
      <c r="S12" s="247"/>
      <c r="T12" s="248"/>
      <c r="U12" s="340">
        <f t="shared" si="0"/>
        <v>0</v>
      </c>
      <c r="V12" s="344">
        <f t="shared" si="1"/>
        <v>0</v>
      </c>
      <c r="W12" s="249"/>
      <c r="X12" s="341"/>
      <c r="Y12" s="342">
        <f t="shared" si="2"/>
        <v>0</v>
      </c>
      <c r="Z12" s="252"/>
      <c r="AA12" s="142"/>
    </row>
    <row r="13" spans="1:27" ht="22.5" customHeight="1">
      <c r="A13" s="326">
        <f t="shared" si="3"/>
        <v>9</v>
      </c>
      <c r="B13" s="45"/>
      <c r="C13" s="46"/>
      <c r="D13" s="47"/>
      <c r="E13" s="146"/>
      <c r="F13" s="167"/>
      <c r="G13" s="167"/>
      <c r="H13" s="164"/>
      <c r="I13" s="143"/>
      <c r="J13" s="92"/>
      <c r="K13" s="127"/>
      <c r="L13" s="295"/>
      <c r="M13" s="136"/>
      <c r="N13" s="137"/>
      <c r="O13" s="328"/>
      <c r="P13" s="248"/>
      <c r="Q13" s="248"/>
      <c r="R13" s="248"/>
      <c r="S13" s="247"/>
      <c r="T13" s="248"/>
      <c r="U13" s="340">
        <f t="shared" si="0"/>
        <v>0</v>
      </c>
      <c r="V13" s="344">
        <f t="shared" si="1"/>
        <v>0</v>
      </c>
      <c r="W13" s="249"/>
      <c r="X13" s="341"/>
      <c r="Y13" s="342">
        <f t="shared" si="2"/>
        <v>0</v>
      </c>
      <c r="Z13" s="252"/>
      <c r="AA13" s="142"/>
    </row>
    <row r="14" spans="1:27" ht="22.5" customHeight="1">
      <c r="A14" s="326">
        <f t="shared" si="3"/>
        <v>10</v>
      </c>
      <c r="B14" s="330"/>
      <c r="C14" s="331"/>
      <c r="D14" s="332"/>
      <c r="E14" s="126"/>
      <c r="F14" s="167"/>
      <c r="G14" s="167"/>
      <c r="H14" s="334"/>
      <c r="I14" s="333"/>
      <c r="J14" s="335"/>
      <c r="K14" s="127"/>
      <c r="L14" s="295"/>
      <c r="M14" s="136"/>
      <c r="N14" s="137"/>
      <c r="O14" s="328"/>
      <c r="P14" s="248"/>
      <c r="Q14" s="248"/>
      <c r="R14" s="248"/>
      <c r="S14" s="247"/>
      <c r="T14" s="248"/>
      <c r="U14" s="340">
        <f t="shared" si="0"/>
        <v>0</v>
      </c>
      <c r="V14" s="344">
        <f t="shared" si="1"/>
        <v>0</v>
      </c>
      <c r="W14" s="249"/>
      <c r="X14" s="341"/>
      <c r="Y14" s="342">
        <f t="shared" si="2"/>
        <v>0</v>
      </c>
      <c r="Z14" s="252"/>
      <c r="AA14" s="336"/>
    </row>
    <row r="15" spans="1:27" ht="22.5" customHeight="1">
      <c r="A15" s="326">
        <f t="shared" si="3"/>
        <v>11</v>
      </c>
      <c r="B15" s="45"/>
      <c r="C15" s="46"/>
      <c r="D15" s="47"/>
      <c r="E15" s="126"/>
      <c r="F15" s="167"/>
      <c r="G15" s="167"/>
      <c r="H15" s="164"/>
      <c r="I15" s="143"/>
      <c r="J15" s="92"/>
      <c r="K15" s="127"/>
      <c r="L15" s="295"/>
      <c r="M15" s="136"/>
      <c r="N15" s="137"/>
      <c r="O15" s="328"/>
      <c r="P15" s="248"/>
      <c r="Q15" s="248"/>
      <c r="R15" s="248"/>
      <c r="S15" s="247"/>
      <c r="T15" s="248"/>
      <c r="U15" s="340">
        <f t="shared" si="0"/>
        <v>0</v>
      </c>
      <c r="V15" s="344">
        <f t="shared" si="1"/>
        <v>0</v>
      </c>
      <c r="W15" s="249"/>
      <c r="X15" s="341"/>
      <c r="Y15" s="342">
        <f t="shared" si="2"/>
        <v>0</v>
      </c>
      <c r="Z15" s="252"/>
      <c r="AA15" s="141"/>
    </row>
    <row r="16" spans="1:27" ht="22.5" customHeight="1">
      <c r="A16" s="326">
        <f t="shared" si="3"/>
        <v>12</v>
      </c>
      <c r="B16" s="45"/>
      <c r="C16" s="46"/>
      <c r="D16" s="47"/>
      <c r="E16" s="126"/>
      <c r="F16" s="167"/>
      <c r="G16" s="167"/>
      <c r="H16" s="165"/>
      <c r="I16" s="149"/>
      <c r="J16" s="92"/>
      <c r="K16" s="127"/>
      <c r="L16" s="295"/>
      <c r="M16" s="136"/>
      <c r="N16" s="137"/>
      <c r="O16" s="328"/>
      <c r="P16" s="248"/>
      <c r="Q16" s="248"/>
      <c r="R16" s="248"/>
      <c r="S16" s="247"/>
      <c r="T16" s="248"/>
      <c r="U16" s="340">
        <f t="shared" si="0"/>
        <v>0</v>
      </c>
      <c r="V16" s="344">
        <f t="shared" si="1"/>
        <v>0</v>
      </c>
      <c r="W16" s="249"/>
      <c r="X16" s="341"/>
      <c r="Y16" s="342">
        <f t="shared" si="2"/>
        <v>0</v>
      </c>
      <c r="Z16" s="252"/>
      <c r="AA16" s="141"/>
    </row>
    <row r="17" spans="1:27" ht="22.5" customHeight="1">
      <c r="A17" s="326">
        <f t="shared" si="3"/>
        <v>13</v>
      </c>
      <c r="B17" s="45"/>
      <c r="C17" s="46"/>
      <c r="D17" s="47"/>
      <c r="E17" s="126"/>
      <c r="F17" s="167"/>
      <c r="G17" s="167"/>
      <c r="H17" s="165"/>
      <c r="I17" s="144"/>
      <c r="J17" s="92"/>
      <c r="K17" s="127"/>
      <c r="L17" s="295"/>
      <c r="M17" s="136"/>
      <c r="N17" s="137"/>
      <c r="O17" s="328"/>
      <c r="P17" s="248"/>
      <c r="Q17" s="248"/>
      <c r="R17" s="248"/>
      <c r="S17" s="247"/>
      <c r="T17" s="248"/>
      <c r="U17" s="340">
        <f t="shared" si="0"/>
        <v>0</v>
      </c>
      <c r="V17" s="344">
        <f t="shared" si="1"/>
        <v>0</v>
      </c>
      <c r="W17" s="249"/>
      <c r="X17" s="341"/>
      <c r="Y17" s="342">
        <f t="shared" si="2"/>
        <v>0</v>
      </c>
      <c r="Z17" s="252"/>
      <c r="AA17" s="141"/>
    </row>
    <row r="18" spans="1:27" ht="22.5" customHeight="1">
      <c r="A18" s="326">
        <f t="shared" si="3"/>
        <v>14</v>
      </c>
      <c r="B18" s="45"/>
      <c r="C18" s="110"/>
      <c r="D18" s="47"/>
      <c r="E18" s="126"/>
      <c r="F18" s="167"/>
      <c r="G18" s="167"/>
      <c r="H18" s="150"/>
      <c r="I18" s="144"/>
      <c r="J18" s="92"/>
      <c r="K18" s="127"/>
      <c r="L18" s="295"/>
      <c r="M18" s="136"/>
      <c r="N18" s="137"/>
      <c r="O18" s="328"/>
      <c r="P18" s="248"/>
      <c r="Q18" s="248"/>
      <c r="R18" s="248"/>
      <c r="S18" s="247"/>
      <c r="T18" s="248"/>
      <c r="U18" s="340">
        <f t="shared" si="0"/>
        <v>0</v>
      </c>
      <c r="V18" s="344">
        <f t="shared" si="1"/>
        <v>0</v>
      </c>
      <c r="W18" s="249"/>
      <c r="X18" s="341"/>
      <c r="Y18" s="342">
        <f t="shared" si="2"/>
        <v>0</v>
      </c>
      <c r="Z18" s="252"/>
      <c r="AA18" s="141"/>
    </row>
    <row r="19" spans="1:27" ht="22.5" customHeight="1">
      <c r="A19" s="326">
        <f t="shared" si="3"/>
        <v>15</v>
      </c>
      <c r="B19" s="45"/>
      <c r="C19" s="46"/>
      <c r="D19" s="47"/>
      <c r="E19" s="126"/>
      <c r="F19" s="167"/>
      <c r="G19" s="167"/>
      <c r="H19" s="150"/>
      <c r="I19" s="140"/>
      <c r="J19" s="79"/>
      <c r="K19" s="127"/>
      <c r="L19" s="295"/>
      <c r="M19" s="136"/>
      <c r="N19" s="137"/>
      <c r="O19" s="328"/>
      <c r="P19" s="248"/>
      <c r="Q19" s="248"/>
      <c r="R19" s="248"/>
      <c r="S19" s="247"/>
      <c r="T19" s="248"/>
      <c r="U19" s="340">
        <f t="shared" si="0"/>
        <v>0</v>
      </c>
      <c r="V19" s="344">
        <f t="shared" si="1"/>
        <v>0</v>
      </c>
      <c r="W19" s="249"/>
      <c r="X19" s="341"/>
      <c r="Y19" s="342">
        <f t="shared" si="2"/>
        <v>0</v>
      </c>
      <c r="Z19" s="252"/>
      <c r="AA19" s="141"/>
    </row>
    <row r="20" spans="1:27" ht="22.5" customHeight="1">
      <c r="A20" s="326">
        <f t="shared" si="3"/>
        <v>16</v>
      </c>
      <c r="B20" s="45"/>
      <c r="C20" s="46"/>
      <c r="D20" s="47"/>
      <c r="E20" s="126"/>
      <c r="F20" s="167"/>
      <c r="G20" s="167"/>
      <c r="H20" s="150"/>
      <c r="I20" s="140"/>
      <c r="J20" s="79"/>
      <c r="K20" s="127"/>
      <c r="L20" s="295"/>
      <c r="M20" s="136"/>
      <c r="N20" s="137"/>
      <c r="O20" s="328"/>
      <c r="P20" s="248"/>
      <c r="Q20" s="248"/>
      <c r="R20" s="248"/>
      <c r="S20" s="247"/>
      <c r="T20" s="248"/>
      <c r="U20" s="340">
        <f t="shared" si="0"/>
        <v>0</v>
      </c>
      <c r="V20" s="344">
        <f t="shared" si="1"/>
        <v>0</v>
      </c>
      <c r="W20" s="249"/>
      <c r="X20" s="341"/>
      <c r="Y20" s="342">
        <f t="shared" si="2"/>
        <v>0</v>
      </c>
      <c r="Z20" s="252"/>
      <c r="AA20" s="141"/>
    </row>
    <row r="21" spans="1:27" ht="22.5" customHeight="1">
      <c r="A21" s="326">
        <f t="shared" si="3"/>
        <v>17</v>
      </c>
      <c r="B21" s="45"/>
      <c r="C21" s="46"/>
      <c r="D21" s="47"/>
      <c r="E21" s="126"/>
      <c r="F21" s="167"/>
      <c r="G21" s="167"/>
      <c r="H21" s="150"/>
      <c r="I21" s="140"/>
      <c r="J21" s="79"/>
      <c r="K21" s="127"/>
      <c r="L21" s="295"/>
      <c r="M21" s="136"/>
      <c r="N21" s="137"/>
      <c r="O21" s="328"/>
      <c r="P21" s="248"/>
      <c r="Q21" s="248"/>
      <c r="R21" s="248"/>
      <c r="S21" s="247"/>
      <c r="T21" s="248"/>
      <c r="U21" s="340">
        <f t="shared" si="0"/>
        <v>0</v>
      </c>
      <c r="V21" s="344">
        <f t="shared" si="1"/>
        <v>0</v>
      </c>
      <c r="W21" s="249"/>
      <c r="X21" s="341"/>
      <c r="Y21" s="342">
        <f t="shared" si="2"/>
        <v>0</v>
      </c>
      <c r="Z21" s="252"/>
      <c r="AA21" s="141"/>
    </row>
    <row r="22" spans="1:27" ht="22.5" customHeight="1">
      <c r="A22" s="326">
        <f t="shared" si="3"/>
        <v>18</v>
      </c>
      <c r="B22" s="45"/>
      <c r="C22" s="46"/>
      <c r="D22" s="47"/>
      <c r="E22" s="126"/>
      <c r="F22" s="167"/>
      <c r="G22" s="167"/>
      <c r="H22" s="150"/>
      <c r="I22" s="151"/>
      <c r="J22" s="79"/>
      <c r="K22" s="127"/>
      <c r="L22" s="295"/>
      <c r="M22" s="136"/>
      <c r="N22" s="137"/>
      <c r="O22" s="328"/>
      <c r="P22" s="248"/>
      <c r="Q22" s="248"/>
      <c r="R22" s="248"/>
      <c r="S22" s="247"/>
      <c r="T22" s="248"/>
      <c r="U22" s="340">
        <f t="shared" si="0"/>
        <v>0</v>
      </c>
      <c r="V22" s="344">
        <f t="shared" si="1"/>
        <v>0</v>
      </c>
      <c r="W22" s="249"/>
      <c r="X22" s="341"/>
      <c r="Y22" s="342">
        <f t="shared" si="2"/>
        <v>0</v>
      </c>
      <c r="Z22" s="252"/>
      <c r="AA22" s="141"/>
    </row>
    <row r="23" spans="1:27" ht="22.5" customHeight="1">
      <c r="A23" s="326">
        <f t="shared" si="3"/>
        <v>19</v>
      </c>
      <c r="B23" s="45"/>
      <c r="C23" s="46"/>
      <c r="D23" s="47"/>
      <c r="E23" s="126"/>
      <c r="F23" s="167"/>
      <c r="G23" s="167"/>
      <c r="H23" s="150"/>
      <c r="I23" s="140"/>
      <c r="J23" s="79"/>
      <c r="K23" s="127"/>
      <c r="L23" s="295"/>
      <c r="M23" s="136"/>
      <c r="N23" s="137"/>
      <c r="O23" s="328"/>
      <c r="P23" s="248"/>
      <c r="Q23" s="248"/>
      <c r="R23" s="248"/>
      <c r="S23" s="247"/>
      <c r="T23" s="248"/>
      <c r="U23" s="340">
        <f t="shared" si="0"/>
        <v>0</v>
      </c>
      <c r="V23" s="344">
        <f t="shared" si="1"/>
        <v>0</v>
      </c>
      <c r="W23" s="249"/>
      <c r="X23" s="341"/>
      <c r="Y23" s="342">
        <f t="shared" si="2"/>
        <v>0</v>
      </c>
      <c r="Z23" s="252"/>
      <c r="AA23" s="141"/>
    </row>
    <row r="24" spans="1:27" ht="22.5" customHeight="1">
      <c r="A24" s="326">
        <f t="shared" si="3"/>
        <v>20</v>
      </c>
      <c r="B24" s="330"/>
      <c r="C24" s="46"/>
      <c r="D24" s="47"/>
      <c r="E24" s="126"/>
      <c r="F24" s="167"/>
      <c r="G24" s="167"/>
      <c r="H24" s="150"/>
      <c r="I24" s="151"/>
      <c r="J24" s="79"/>
      <c r="K24" s="127"/>
      <c r="L24" s="295"/>
      <c r="M24" s="136"/>
      <c r="N24" s="137"/>
      <c r="O24" s="328"/>
      <c r="P24" s="248"/>
      <c r="Q24" s="248"/>
      <c r="R24" s="248"/>
      <c r="S24" s="247"/>
      <c r="T24" s="248"/>
      <c r="U24" s="340">
        <f t="shared" si="0"/>
        <v>0</v>
      </c>
      <c r="V24" s="344">
        <f t="shared" si="1"/>
        <v>0</v>
      </c>
      <c r="W24" s="249"/>
      <c r="X24" s="341"/>
      <c r="Y24" s="342">
        <f t="shared" si="2"/>
        <v>0</v>
      </c>
      <c r="Z24" s="252"/>
      <c r="AA24" s="141"/>
    </row>
    <row r="25" spans="1:27" ht="22.5" customHeight="1">
      <c r="A25" s="326">
        <f t="shared" si="3"/>
        <v>21</v>
      </c>
      <c r="B25" s="330"/>
      <c r="C25" s="46"/>
      <c r="D25" s="47"/>
      <c r="E25" s="126"/>
      <c r="F25" s="167"/>
      <c r="G25" s="167"/>
      <c r="H25" s="150"/>
      <c r="I25" s="151"/>
      <c r="J25" s="79"/>
      <c r="K25" s="127"/>
      <c r="L25" s="295"/>
      <c r="M25" s="136"/>
      <c r="N25" s="137"/>
      <c r="O25" s="328"/>
      <c r="P25" s="248"/>
      <c r="Q25" s="248"/>
      <c r="R25" s="248"/>
      <c r="S25" s="247"/>
      <c r="T25" s="248"/>
      <c r="U25" s="340">
        <f t="shared" si="0"/>
        <v>0</v>
      </c>
      <c r="V25" s="344">
        <f t="shared" si="1"/>
        <v>0</v>
      </c>
      <c r="W25" s="249"/>
      <c r="X25" s="341"/>
      <c r="Y25" s="342">
        <f t="shared" si="2"/>
        <v>0</v>
      </c>
      <c r="Z25" s="252"/>
      <c r="AA25" s="141"/>
    </row>
    <row r="26" spans="1:27" ht="22.5" customHeight="1">
      <c r="A26" s="326">
        <f t="shared" si="3"/>
        <v>22</v>
      </c>
      <c r="B26" s="330"/>
      <c r="C26" s="46"/>
      <c r="D26" s="47"/>
      <c r="E26" s="126"/>
      <c r="F26" s="167"/>
      <c r="G26" s="167"/>
      <c r="H26" s="338"/>
      <c r="I26" s="337"/>
      <c r="J26" s="79"/>
      <c r="K26" s="127"/>
      <c r="L26" s="295"/>
      <c r="M26" s="136"/>
      <c r="N26" s="137"/>
      <c r="O26" s="328"/>
      <c r="P26" s="248"/>
      <c r="Q26" s="248"/>
      <c r="R26" s="248"/>
      <c r="S26" s="247"/>
      <c r="T26" s="248"/>
      <c r="U26" s="340">
        <f t="shared" si="0"/>
        <v>0</v>
      </c>
      <c r="V26" s="344">
        <f t="shared" si="1"/>
        <v>0</v>
      </c>
      <c r="W26" s="249"/>
      <c r="X26" s="341"/>
      <c r="Y26" s="342">
        <f t="shared" si="2"/>
        <v>0</v>
      </c>
      <c r="Z26" s="252"/>
      <c r="AA26" s="141"/>
    </row>
    <row r="27" spans="1:27" ht="22.5" customHeight="1">
      <c r="A27" s="326">
        <f t="shared" si="3"/>
        <v>23</v>
      </c>
      <c r="B27" s="330"/>
      <c r="C27" s="46"/>
      <c r="D27" s="47"/>
      <c r="E27" s="126"/>
      <c r="F27" s="167"/>
      <c r="G27" s="167"/>
      <c r="H27" s="150"/>
      <c r="I27" s="151"/>
      <c r="J27" s="79"/>
      <c r="K27" s="127"/>
      <c r="L27" s="295"/>
      <c r="M27" s="136"/>
      <c r="N27" s="137"/>
      <c r="O27" s="328"/>
      <c r="P27" s="248"/>
      <c r="Q27" s="248"/>
      <c r="R27" s="248"/>
      <c r="S27" s="247"/>
      <c r="T27" s="248"/>
      <c r="U27" s="340">
        <f t="shared" si="0"/>
        <v>0</v>
      </c>
      <c r="V27" s="344">
        <f t="shared" si="1"/>
        <v>0</v>
      </c>
      <c r="W27" s="249"/>
      <c r="X27" s="341"/>
      <c r="Y27" s="342">
        <f t="shared" si="2"/>
        <v>0</v>
      </c>
      <c r="Z27" s="252"/>
      <c r="AA27" s="141"/>
    </row>
    <row r="28" spans="1:27" ht="22.5" customHeight="1">
      <c r="A28" s="326">
        <f t="shared" si="3"/>
        <v>24</v>
      </c>
      <c r="B28" s="330"/>
      <c r="C28" s="46"/>
      <c r="D28" s="47"/>
      <c r="E28" s="126"/>
      <c r="F28" s="167"/>
      <c r="G28" s="167"/>
      <c r="H28" s="150"/>
      <c r="I28" s="151"/>
      <c r="J28" s="79"/>
      <c r="K28" s="127"/>
      <c r="L28" s="295"/>
      <c r="M28" s="136"/>
      <c r="N28" s="137"/>
      <c r="O28" s="328"/>
      <c r="P28" s="248"/>
      <c r="Q28" s="248"/>
      <c r="R28" s="248"/>
      <c r="S28" s="247"/>
      <c r="T28" s="248"/>
      <c r="U28" s="340">
        <f t="shared" si="0"/>
        <v>0</v>
      </c>
      <c r="V28" s="344">
        <f t="shared" si="1"/>
        <v>0</v>
      </c>
      <c r="W28" s="249"/>
      <c r="X28" s="341"/>
      <c r="Y28" s="342">
        <f t="shared" si="2"/>
        <v>0</v>
      </c>
      <c r="Z28" s="252"/>
      <c r="AA28" s="141"/>
    </row>
    <row r="29" spans="1:27" ht="22.5" customHeight="1">
      <c r="A29" s="326">
        <f t="shared" si="3"/>
        <v>25</v>
      </c>
      <c r="B29" s="330"/>
      <c r="C29" s="46"/>
      <c r="D29" s="47"/>
      <c r="E29" s="126"/>
      <c r="F29" s="167"/>
      <c r="G29" s="167"/>
      <c r="H29" s="150"/>
      <c r="I29" s="151"/>
      <c r="J29" s="79"/>
      <c r="K29" s="127"/>
      <c r="L29" s="295"/>
      <c r="M29" s="136"/>
      <c r="N29" s="152"/>
      <c r="O29" s="328"/>
      <c r="P29" s="248"/>
      <c r="Q29" s="248"/>
      <c r="R29" s="248"/>
      <c r="S29" s="247"/>
      <c r="T29" s="248"/>
      <c r="U29" s="340">
        <f t="shared" si="0"/>
        <v>0</v>
      </c>
      <c r="V29" s="344">
        <f t="shared" si="1"/>
        <v>0</v>
      </c>
      <c r="W29" s="249"/>
      <c r="X29" s="341"/>
      <c r="Y29" s="342">
        <f t="shared" si="2"/>
        <v>0</v>
      </c>
      <c r="Z29" s="252"/>
      <c r="AA29" s="141"/>
    </row>
    <row r="30" spans="1:27" ht="22.5" customHeight="1">
      <c r="A30" s="326">
        <f t="shared" si="3"/>
        <v>26</v>
      </c>
      <c r="B30" s="45"/>
      <c r="C30" s="46"/>
      <c r="D30" s="47"/>
      <c r="E30" s="126"/>
      <c r="F30" s="167"/>
      <c r="G30" s="167"/>
      <c r="H30" s="150"/>
      <c r="I30" s="151"/>
      <c r="J30" s="79"/>
      <c r="K30" s="127"/>
      <c r="L30" s="295"/>
      <c r="M30" s="136"/>
      <c r="N30" s="152"/>
      <c r="O30" s="328"/>
      <c r="P30" s="248"/>
      <c r="Q30" s="248"/>
      <c r="R30" s="248"/>
      <c r="S30" s="247"/>
      <c r="T30" s="248"/>
      <c r="U30" s="340">
        <f t="shared" si="0"/>
        <v>0</v>
      </c>
      <c r="V30" s="344">
        <f t="shared" si="1"/>
        <v>0</v>
      </c>
      <c r="W30" s="249"/>
      <c r="X30" s="341"/>
      <c r="Y30" s="342">
        <f t="shared" si="2"/>
        <v>0</v>
      </c>
      <c r="Z30" s="252"/>
      <c r="AA30" s="141"/>
    </row>
    <row r="31" spans="1:27" ht="22.5" customHeight="1">
      <c r="A31" s="326">
        <f t="shared" si="3"/>
        <v>27</v>
      </c>
      <c r="B31" s="45"/>
      <c r="C31" s="46"/>
      <c r="D31" s="47"/>
      <c r="E31" s="126"/>
      <c r="F31" s="167"/>
      <c r="G31" s="167"/>
      <c r="H31" s="150"/>
      <c r="I31" s="151"/>
      <c r="J31" s="79"/>
      <c r="K31" s="127"/>
      <c r="L31" s="295"/>
      <c r="M31" s="136"/>
      <c r="N31" s="152"/>
      <c r="O31" s="328"/>
      <c r="P31" s="248"/>
      <c r="Q31" s="248"/>
      <c r="R31" s="248"/>
      <c r="S31" s="247"/>
      <c r="T31" s="248"/>
      <c r="U31" s="340">
        <f t="shared" si="0"/>
        <v>0</v>
      </c>
      <c r="V31" s="344">
        <f t="shared" si="1"/>
        <v>0</v>
      </c>
      <c r="W31" s="249"/>
      <c r="X31" s="341"/>
      <c r="Y31" s="342">
        <f t="shared" si="2"/>
        <v>0</v>
      </c>
      <c r="Z31" s="252"/>
      <c r="AA31" s="141"/>
    </row>
    <row r="32" spans="1:27" ht="22.5" customHeight="1">
      <c r="A32" s="326">
        <f t="shared" si="3"/>
        <v>28</v>
      </c>
      <c r="B32" s="45"/>
      <c r="C32" s="46"/>
      <c r="D32" s="47"/>
      <c r="E32" s="153"/>
      <c r="F32" s="167"/>
      <c r="G32" s="167"/>
      <c r="H32" s="150"/>
      <c r="I32" s="151"/>
      <c r="J32" s="79"/>
      <c r="K32" s="127"/>
      <c r="L32" s="295"/>
      <c r="M32" s="136"/>
      <c r="N32" s="152"/>
      <c r="O32" s="328"/>
      <c r="P32" s="248"/>
      <c r="Q32" s="248"/>
      <c r="R32" s="248"/>
      <c r="S32" s="247"/>
      <c r="T32" s="248"/>
      <c r="U32" s="340">
        <f t="shared" si="0"/>
        <v>0</v>
      </c>
      <c r="V32" s="344">
        <f t="shared" si="1"/>
        <v>0</v>
      </c>
      <c r="W32" s="249"/>
      <c r="X32" s="341"/>
      <c r="Y32" s="342">
        <f t="shared" si="2"/>
        <v>0</v>
      </c>
      <c r="Z32" s="252"/>
      <c r="AA32" s="141"/>
    </row>
    <row r="33" spans="1:27" ht="22.5" customHeight="1">
      <c r="A33" s="326">
        <f t="shared" si="3"/>
        <v>29</v>
      </c>
      <c r="B33" s="45"/>
      <c r="C33" s="46"/>
      <c r="D33" s="47"/>
      <c r="E33" s="126"/>
      <c r="F33" s="167"/>
      <c r="G33" s="167"/>
      <c r="H33" s="150"/>
      <c r="I33" s="151"/>
      <c r="J33" s="79"/>
      <c r="K33" s="127"/>
      <c r="L33" s="295"/>
      <c r="M33" s="136"/>
      <c r="N33" s="137"/>
      <c r="O33" s="339"/>
      <c r="P33" s="248"/>
      <c r="Q33" s="248"/>
      <c r="R33" s="248"/>
      <c r="S33" s="247"/>
      <c r="T33" s="248"/>
      <c r="U33" s="340">
        <f t="shared" si="0"/>
        <v>0</v>
      </c>
      <c r="V33" s="344">
        <f t="shared" si="1"/>
        <v>0</v>
      </c>
      <c r="W33" s="249"/>
      <c r="X33" s="341"/>
      <c r="Y33" s="342">
        <f t="shared" si="2"/>
        <v>0</v>
      </c>
      <c r="Z33" s="252"/>
      <c r="AA33" s="141"/>
    </row>
    <row r="34" spans="1:27" ht="22.5" customHeight="1">
      <c r="A34" s="326">
        <f t="shared" si="3"/>
        <v>30</v>
      </c>
      <c r="B34" s="45"/>
      <c r="C34" s="46"/>
      <c r="D34" s="47"/>
      <c r="E34" s="126"/>
      <c r="F34" s="167"/>
      <c r="G34" s="167"/>
      <c r="H34" s="150"/>
      <c r="I34" s="151"/>
      <c r="J34" s="79"/>
      <c r="K34" s="154"/>
      <c r="L34" s="295"/>
      <c r="M34" s="156"/>
      <c r="N34" s="157"/>
      <c r="O34" s="158"/>
      <c r="P34" s="248"/>
      <c r="Q34" s="248"/>
      <c r="R34" s="248"/>
      <c r="S34" s="247"/>
      <c r="T34" s="248"/>
      <c r="U34" s="340">
        <f t="shared" si="0"/>
        <v>0</v>
      </c>
      <c r="V34" s="344">
        <f t="shared" si="1"/>
        <v>0</v>
      </c>
      <c r="W34" s="249"/>
      <c r="X34" s="341"/>
      <c r="Y34" s="342">
        <f t="shared" si="2"/>
        <v>0</v>
      </c>
      <c r="Z34" s="252"/>
      <c r="AA34" s="141"/>
    </row>
    <row r="35" spans="1:27" ht="22.5" customHeight="1">
      <c r="A35" s="326">
        <f t="shared" si="3"/>
        <v>31</v>
      </c>
      <c r="B35" s="330"/>
      <c r="C35" s="46"/>
      <c r="D35" s="47"/>
      <c r="E35" s="126"/>
      <c r="F35" s="167"/>
      <c r="G35" s="167"/>
      <c r="H35" s="150"/>
      <c r="I35" s="151"/>
      <c r="J35" s="79"/>
      <c r="K35" s="154"/>
      <c r="L35" s="295"/>
      <c r="M35" s="156"/>
      <c r="N35" s="157"/>
      <c r="O35" s="158"/>
      <c r="P35" s="248"/>
      <c r="Q35" s="248"/>
      <c r="R35" s="248"/>
      <c r="S35" s="247"/>
      <c r="T35" s="248"/>
      <c r="U35" s="340">
        <f t="shared" si="0"/>
        <v>0</v>
      </c>
      <c r="V35" s="344">
        <f t="shared" si="1"/>
        <v>0</v>
      </c>
      <c r="W35" s="249"/>
      <c r="X35" s="341"/>
      <c r="Y35" s="342">
        <f t="shared" si="2"/>
        <v>0</v>
      </c>
      <c r="Z35" s="252"/>
      <c r="AA35" s="141"/>
    </row>
    <row r="36" spans="1:27" ht="22.5" customHeight="1">
      <c r="A36" s="326">
        <f t="shared" si="3"/>
        <v>32</v>
      </c>
      <c r="B36" s="45"/>
      <c r="C36" s="46"/>
      <c r="D36" s="47"/>
      <c r="E36" s="159"/>
      <c r="F36" s="167"/>
      <c r="G36" s="167"/>
      <c r="H36" s="150"/>
      <c r="I36" s="151"/>
      <c r="J36" s="79"/>
      <c r="K36" s="154"/>
      <c r="L36" s="295"/>
      <c r="M36" s="156"/>
      <c r="N36" s="157"/>
      <c r="O36" s="158"/>
      <c r="P36" s="248"/>
      <c r="Q36" s="248"/>
      <c r="R36" s="248"/>
      <c r="S36" s="247"/>
      <c r="T36" s="248"/>
      <c r="U36" s="340">
        <f t="shared" si="0"/>
        <v>0</v>
      </c>
      <c r="V36" s="344">
        <f t="shared" si="1"/>
        <v>0</v>
      </c>
      <c r="W36" s="249"/>
      <c r="X36" s="341"/>
      <c r="Y36" s="342">
        <f t="shared" si="2"/>
        <v>0</v>
      </c>
      <c r="Z36" s="252"/>
      <c r="AA36" s="141"/>
    </row>
    <row r="37" spans="1:27" ht="22.5" customHeight="1">
      <c r="A37" s="326">
        <f t="shared" si="3"/>
        <v>33</v>
      </c>
      <c r="B37" s="45"/>
      <c r="C37" s="46"/>
      <c r="D37" s="47"/>
      <c r="E37" s="126"/>
      <c r="F37" s="167"/>
      <c r="G37" s="167"/>
      <c r="H37" s="150"/>
      <c r="I37" s="151"/>
      <c r="J37" s="79"/>
      <c r="K37" s="154"/>
      <c r="L37" s="295"/>
      <c r="M37" s="156"/>
      <c r="N37" s="157"/>
      <c r="O37" s="158"/>
      <c r="P37" s="248"/>
      <c r="Q37" s="248"/>
      <c r="R37" s="248"/>
      <c r="S37" s="247"/>
      <c r="T37" s="248"/>
      <c r="U37" s="340">
        <f t="shared" si="0"/>
        <v>0</v>
      </c>
      <c r="V37" s="344">
        <f t="shared" si="1"/>
        <v>0</v>
      </c>
      <c r="W37" s="249"/>
      <c r="X37" s="341"/>
      <c r="Y37" s="342">
        <f t="shared" si="2"/>
        <v>0</v>
      </c>
      <c r="Z37" s="252"/>
      <c r="AA37" s="141"/>
    </row>
    <row r="38" spans="1:27" ht="22.5" customHeight="1">
      <c r="A38" s="326">
        <f t="shared" si="3"/>
        <v>34</v>
      </c>
      <c r="B38" s="330"/>
      <c r="C38" s="46"/>
      <c r="D38" s="47"/>
      <c r="E38" s="126"/>
      <c r="F38" s="167"/>
      <c r="G38" s="167"/>
      <c r="H38" s="150"/>
      <c r="I38" s="151"/>
      <c r="J38" s="79"/>
      <c r="K38" s="154"/>
      <c r="L38" s="295"/>
      <c r="M38" s="156"/>
      <c r="N38" s="157"/>
      <c r="O38" s="158"/>
      <c r="P38" s="248"/>
      <c r="Q38" s="248"/>
      <c r="R38" s="248"/>
      <c r="S38" s="247"/>
      <c r="T38" s="248"/>
      <c r="U38" s="340">
        <f t="shared" si="0"/>
        <v>0</v>
      </c>
      <c r="V38" s="344">
        <f t="shared" si="1"/>
        <v>0</v>
      </c>
      <c r="W38" s="249"/>
      <c r="X38" s="341"/>
      <c r="Y38" s="342">
        <f t="shared" si="2"/>
        <v>0</v>
      </c>
      <c r="Z38" s="252"/>
      <c r="AA38" s="141"/>
    </row>
    <row r="39" spans="1:27" ht="22.5" customHeight="1">
      <c r="A39" s="326">
        <f t="shared" si="3"/>
        <v>35</v>
      </c>
      <c r="B39" s="330"/>
      <c r="C39" s="46"/>
      <c r="D39" s="47"/>
      <c r="E39" s="126"/>
      <c r="F39" s="167"/>
      <c r="G39" s="167"/>
      <c r="H39" s="150"/>
      <c r="I39" s="151"/>
      <c r="J39" s="79"/>
      <c r="K39" s="154"/>
      <c r="L39" s="295"/>
      <c r="M39" s="156"/>
      <c r="N39" s="157"/>
      <c r="O39" s="158"/>
      <c r="P39" s="248"/>
      <c r="Q39" s="248"/>
      <c r="R39" s="248"/>
      <c r="S39" s="247"/>
      <c r="T39" s="248"/>
      <c r="U39" s="340">
        <f t="shared" si="0"/>
        <v>0</v>
      </c>
      <c r="V39" s="344">
        <f t="shared" si="1"/>
        <v>0</v>
      </c>
      <c r="W39" s="249"/>
      <c r="X39" s="341"/>
      <c r="Y39" s="342">
        <f t="shared" si="2"/>
        <v>0</v>
      </c>
      <c r="Z39" s="252"/>
      <c r="AA39" s="141"/>
    </row>
    <row r="40" spans="1:27" ht="22.5" customHeight="1">
      <c r="A40" s="326">
        <f t="shared" si="3"/>
        <v>36</v>
      </c>
      <c r="B40" s="330"/>
      <c r="C40" s="46"/>
      <c r="D40" s="47"/>
      <c r="E40" s="126"/>
      <c r="F40" s="167"/>
      <c r="G40" s="167"/>
      <c r="H40" s="150"/>
      <c r="I40" s="151"/>
      <c r="J40" s="79"/>
      <c r="K40" s="154"/>
      <c r="L40" s="295"/>
      <c r="M40" s="156"/>
      <c r="N40" s="157"/>
      <c r="O40" s="158"/>
      <c r="P40" s="248"/>
      <c r="Q40" s="248"/>
      <c r="R40" s="248"/>
      <c r="S40" s="247"/>
      <c r="T40" s="248"/>
      <c r="U40" s="340">
        <f t="shared" si="0"/>
        <v>0</v>
      </c>
      <c r="V40" s="344">
        <f t="shared" si="1"/>
        <v>0</v>
      </c>
      <c r="W40" s="249"/>
      <c r="X40" s="341"/>
      <c r="Y40" s="342">
        <f t="shared" si="2"/>
        <v>0</v>
      </c>
      <c r="Z40" s="252"/>
      <c r="AA40" s="141"/>
    </row>
    <row r="41" spans="1:27" ht="22.5" customHeight="1">
      <c r="A41" s="326">
        <f t="shared" si="3"/>
        <v>37</v>
      </c>
      <c r="B41" s="45"/>
      <c r="C41" s="46"/>
      <c r="D41" s="47"/>
      <c r="E41" s="126"/>
      <c r="F41" s="167"/>
      <c r="G41" s="167"/>
      <c r="H41" s="150"/>
      <c r="I41" s="151"/>
      <c r="J41" s="79"/>
      <c r="K41" s="154"/>
      <c r="L41" s="295"/>
      <c r="M41" s="156"/>
      <c r="N41" s="157"/>
      <c r="O41" s="158"/>
      <c r="P41" s="248"/>
      <c r="Q41" s="248"/>
      <c r="R41" s="248"/>
      <c r="S41" s="247"/>
      <c r="T41" s="248"/>
      <c r="U41" s="340">
        <f t="shared" si="0"/>
        <v>0</v>
      </c>
      <c r="V41" s="344">
        <f t="shared" si="1"/>
        <v>0</v>
      </c>
      <c r="W41" s="249"/>
      <c r="X41" s="341"/>
      <c r="Y41" s="342">
        <f t="shared" si="2"/>
        <v>0</v>
      </c>
      <c r="Z41" s="252"/>
      <c r="AA41" s="141"/>
    </row>
    <row r="42" spans="1:27">
      <c r="C42" s="5"/>
      <c r="D42" s="15"/>
      <c r="E42" s="111"/>
      <c r="F42" s="16"/>
      <c r="G42" s="16"/>
      <c r="H42" s="18"/>
      <c r="I42" s="17"/>
      <c r="J42" s="19"/>
      <c r="K42" s="112"/>
      <c r="L42" s="113"/>
      <c r="M42" s="113"/>
      <c r="N42" s="14"/>
      <c r="O42" s="114"/>
      <c r="P42" s="248"/>
      <c r="Q42" s="248"/>
      <c r="R42" s="248"/>
      <c r="S42" s="247"/>
      <c r="T42" s="248"/>
      <c r="U42" s="248"/>
      <c r="V42" s="194"/>
      <c r="W42" s="249"/>
      <c r="X42" s="250"/>
      <c r="Y42" s="251"/>
      <c r="Z42" s="252"/>
    </row>
    <row r="43" spans="1:27">
      <c r="C43" s="5"/>
      <c r="D43" s="15"/>
      <c r="E43" s="111"/>
      <c r="F43" s="16"/>
      <c r="G43" s="16"/>
      <c r="H43" s="18"/>
      <c r="I43" s="17"/>
      <c r="J43" s="19"/>
      <c r="K43" s="112"/>
      <c r="L43" s="113"/>
      <c r="M43" s="113"/>
      <c r="N43" s="14"/>
      <c r="O43" s="114"/>
      <c r="P43" s="248"/>
      <c r="Q43" s="248"/>
      <c r="R43" s="248"/>
      <c r="S43" s="247"/>
      <c r="T43" s="248"/>
      <c r="U43" s="248"/>
      <c r="V43" s="194"/>
      <c r="W43" s="249"/>
      <c r="X43" s="250"/>
      <c r="Y43" s="251"/>
      <c r="Z43" s="252"/>
    </row>
    <row r="44" spans="1:27">
      <c r="C44" s="5"/>
      <c r="D44" s="15"/>
      <c r="E44" s="111"/>
      <c r="F44" s="16"/>
      <c r="G44" s="16"/>
      <c r="H44" s="18"/>
      <c r="I44" s="17"/>
      <c r="J44" s="19"/>
      <c r="K44" s="112"/>
      <c r="L44" s="113"/>
      <c r="M44" s="113"/>
      <c r="N44" s="14"/>
      <c r="O44" s="114"/>
      <c r="P44" s="248"/>
      <c r="Q44" s="248"/>
      <c r="R44" s="248"/>
      <c r="S44" s="247"/>
      <c r="T44" s="248"/>
      <c r="U44" s="248"/>
      <c r="V44" s="194"/>
      <c r="W44" s="249"/>
      <c r="X44" s="250"/>
      <c r="Y44" s="251"/>
      <c r="Z44" s="252"/>
    </row>
    <row r="45" spans="1:27">
      <c r="C45" s="5"/>
      <c r="D45" s="15"/>
      <c r="E45" s="111"/>
      <c r="F45" s="16"/>
      <c r="G45" s="16"/>
      <c r="H45" s="18"/>
      <c r="I45" s="17"/>
      <c r="J45" s="19"/>
      <c r="K45" s="112"/>
      <c r="L45" s="113"/>
      <c r="M45" s="113"/>
      <c r="N45" s="14"/>
      <c r="O45" s="114"/>
      <c r="P45" s="248"/>
      <c r="Q45" s="248"/>
      <c r="R45" s="248"/>
      <c r="S45" s="247"/>
      <c r="T45" s="248"/>
      <c r="U45" s="248"/>
      <c r="V45" s="194"/>
      <c r="W45" s="249"/>
      <c r="X45" s="250"/>
      <c r="Y45" s="251"/>
      <c r="Z45" s="252"/>
    </row>
    <row r="46" spans="1:27">
      <c r="C46" s="5"/>
      <c r="D46" s="15"/>
      <c r="E46" s="111"/>
      <c r="F46" s="16"/>
      <c r="G46" s="16"/>
      <c r="H46" s="18"/>
      <c r="I46" s="17"/>
      <c r="J46" s="19"/>
      <c r="K46" s="112"/>
      <c r="L46" s="113"/>
      <c r="M46" s="113"/>
      <c r="N46" s="14"/>
      <c r="O46" s="114"/>
      <c r="P46" s="248"/>
      <c r="Q46" s="248"/>
      <c r="R46" s="248"/>
      <c r="S46" s="247"/>
      <c r="T46" s="248"/>
      <c r="U46" s="248"/>
      <c r="V46" s="194"/>
      <c r="W46" s="249"/>
      <c r="X46" s="250"/>
      <c r="Y46" s="251"/>
      <c r="Z46" s="252"/>
    </row>
    <row r="47" spans="1:27">
      <c r="C47" s="5"/>
      <c r="D47" s="15"/>
      <c r="E47" s="111"/>
      <c r="F47" s="16"/>
      <c r="G47" s="16"/>
      <c r="H47" s="18"/>
      <c r="I47" s="17"/>
      <c r="J47" s="19"/>
      <c r="K47" s="112"/>
      <c r="L47" s="113"/>
      <c r="M47" s="113"/>
      <c r="N47" s="14"/>
      <c r="O47" s="114"/>
      <c r="P47" s="248"/>
      <c r="Q47" s="248"/>
      <c r="R47" s="248"/>
      <c r="S47" s="247"/>
      <c r="T47" s="248"/>
      <c r="U47" s="248"/>
      <c r="V47" s="194"/>
      <c r="W47" s="249"/>
      <c r="X47" s="250"/>
      <c r="Y47" s="251"/>
      <c r="Z47" s="252"/>
    </row>
    <row r="48" spans="1:27">
      <c r="C48" s="5"/>
      <c r="D48" s="15"/>
      <c r="E48" s="111"/>
      <c r="F48" s="16"/>
      <c r="G48" s="16"/>
      <c r="H48" s="18"/>
      <c r="I48" s="17"/>
      <c r="J48" s="19"/>
      <c r="K48" s="112"/>
      <c r="L48" s="113"/>
      <c r="M48" s="26"/>
      <c r="N48" s="14"/>
      <c r="O48" s="114"/>
      <c r="P48" s="248"/>
      <c r="Q48" s="248"/>
      <c r="R48" s="248"/>
      <c r="S48" s="247"/>
      <c r="T48" s="248"/>
      <c r="U48" s="248"/>
      <c r="V48" s="194"/>
      <c r="W48" s="249"/>
      <c r="X48" s="250"/>
      <c r="Y48" s="251"/>
      <c r="Z48" s="252"/>
    </row>
    <row r="49" spans="2:27">
      <c r="B49" s="27"/>
      <c r="F49" s="4"/>
      <c r="G49" s="4"/>
      <c r="H49" s="4"/>
      <c r="I49" s="115"/>
      <c r="K49" s="28"/>
      <c r="L49" s="115"/>
      <c r="M49" s="4"/>
      <c r="N49" s="4"/>
      <c r="O49" s="4"/>
      <c r="P49" s="248"/>
      <c r="Q49" s="248"/>
      <c r="R49" s="248"/>
      <c r="S49" s="247"/>
      <c r="T49" s="248"/>
      <c r="U49" s="248"/>
      <c r="V49" s="194"/>
      <c r="W49" s="249"/>
      <c r="X49" s="250"/>
      <c r="Y49" s="251"/>
      <c r="Z49" s="252"/>
      <c r="AA49" s="4"/>
    </row>
    <row r="50" spans="2:27">
      <c r="F50" s="4"/>
      <c r="G50" s="4"/>
      <c r="H50" s="4"/>
      <c r="I50" s="115"/>
      <c r="K50" s="28"/>
      <c r="L50" s="115"/>
      <c r="M50" s="17"/>
      <c r="N50" s="4"/>
      <c r="O50" s="4"/>
      <c r="P50" s="248"/>
      <c r="Q50" s="248"/>
      <c r="R50" s="248"/>
      <c r="S50" s="247"/>
      <c r="T50" s="248"/>
      <c r="U50" s="248"/>
      <c r="V50" s="194"/>
      <c r="W50" s="249"/>
      <c r="X50" s="250"/>
      <c r="Y50" s="251"/>
      <c r="Z50" s="252"/>
      <c r="AA50" s="4"/>
    </row>
    <row r="51" spans="2:27">
      <c r="P51" s="248"/>
      <c r="Q51" s="248"/>
      <c r="R51" s="248"/>
      <c r="S51" s="247"/>
      <c r="T51" s="248"/>
      <c r="U51" s="248"/>
      <c r="V51" s="194"/>
      <c r="W51" s="249"/>
      <c r="X51" s="250"/>
      <c r="Y51" s="251"/>
      <c r="Z51" s="252"/>
    </row>
    <row r="52" spans="2:27">
      <c r="P52" s="248"/>
      <c r="Q52" s="248"/>
      <c r="R52" s="248"/>
      <c r="S52" s="247"/>
      <c r="T52" s="248"/>
      <c r="U52" s="248"/>
      <c r="V52" s="194"/>
      <c r="W52" s="249"/>
      <c r="X52" s="250"/>
      <c r="Y52" s="251"/>
      <c r="Z52" s="252"/>
    </row>
    <row r="53" spans="2:27">
      <c r="P53" s="248"/>
      <c r="Q53" s="248"/>
      <c r="R53" s="248"/>
      <c r="S53" s="247"/>
      <c r="T53" s="248"/>
      <c r="U53" s="248"/>
      <c r="V53" s="194"/>
      <c r="W53" s="249"/>
      <c r="X53" s="250"/>
      <c r="Y53" s="251"/>
      <c r="Z53" s="252"/>
    </row>
    <row r="54" spans="2:27">
      <c r="P54" s="248"/>
      <c r="Q54" s="248"/>
      <c r="R54" s="248"/>
      <c r="S54" s="247"/>
      <c r="T54" s="248"/>
      <c r="U54" s="248"/>
      <c r="V54" s="194"/>
      <c r="W54" s="249"/>
      <c r="X54" s="250"/>
      <c r="Y54" s="251"/>
      <c r="Z54" s="252"/>
    </row>
    <row r="55" spans="2:27">
      <c r="P55" s="248"/>
      <c r="Q55" s="248"/>
      <c r="R55" s="248"/>
      <c r="S55" s="247"/>
      <c r="T55" s="248"/>
      <c r="U55" s="248"/>
      <c r="V55" s="194"/>
      <c r="W55" s="249"/>
      <c r="X55" s="250"/>
      <c r="Y55" s="251"/>
      <c r="Z55" s="252"/>
    </row>
    <row r="56" spans="2:27">
      <c r="P56" s="248"/>
      <c r="Q56" s="248"/>
      <c r="R56" s="248"/>
      <c r="S56" s="247"/>
      <c r="T56" s="248"/>
      <c r="U56" s="248"/>
      <c r="V56" s="194"/>
      <c r="W56" s="249"/>
      <c r="X56" s="250"/>
      <c r="Y56" s="251"/>
      <c r="Z56" s="252"/>
    </row>
    <row r="57" spans="2:27">
      <c r="P57" s="248"/>
      <c r="Q57" s="248"/>
      <c r="R57" s="248"/>
      <c r="S57" s="247"/>
      <c r="T57" s="248"/>
      <c r="U57" s="248"/>
      <c r="V57" s="194"/>
      <c r="W57" s="249"/>
      <c r="X57" s="250"/>
      <c r="Y57" s="251"/>
      <c r="Z57" s="252"/>
    </row>
    <row r="58" spans="2:27">
      <c r="P58" s="248"/>
      <c r="Q58" s="248"/>
      <c r="R58" s="248"/>
      <c r="S58" s="247"/>
      <c r="T58" s="248"/>
      <c r="U58" s="248"/>
      <c r="V58" s="194"/>
      <c r="W58" s="249"/>
      <c r="X58" s="250"/>
      <c r="Y58" s="251"/>
      <c r="Z58" s="252"/>
    </row>
    <row r="59" spans="2:27">
      <c r="P59" s="248"/>
      <c r="Q59" s="248"/>
      <c r="R59" s="248"/>
      <c r="S59" s="247"/>
      <c r="T59" s="248"/>
      <c r="U59" s="248"/>
      <c r="V59" s="194"/>
      <c r="W59" s="249"/>
      <c r="X59" s="250"/>
      <c r="Y59" s="251"/>
      <c r="Z59" s="252"/>
    </row>
    <row r="60" spans="2:27">
      <c r="P60" s="248"/>
      <c r="Q60" s="248"/>
      <c r="R60" s="248"/>
      <c r="S60" s="247"/>
      <c r="T60" s="248"/>
      <c r="U60" s="248"/>
      <c r="V60" s="194"/>
      <c r="W60" s="249"/>
      <c r="X60" s="250"/>
      <c r="Y60" s="251"/>
      <c r="Z60" s="252"/>
    </row>
    <row r="61" spans="2:27">
      <c r="P61" s="248"/>
      <c r="Q61" s="248"/>
      <c r="R61" s="248"/>
      <c r="S61" s="247"/>
      <c r="T61" s="248"/>
      <c r="U61" s="248"/>
      <c r="V61" s="194"/>
      <c r="W61" s="249"/>
      <c r="X61" s="250"/>
      <c r="Y61" s="251"/>
      <c r="Z61" s="252"/>
    </row>
    <row r="62" spans="2:27">
      <c r="P62" s="248"/>
      <c r="Q62" s="248"/>
      <c r="R62" s="248"/>
      <c r="S62" s="247"/>
      <c r="T62" s="248"/>
      <c r="U62" s="248"/>
      <c r="V62" s="194"/>
      <c r="W62" s="249"/>
      <c r="X62" s="250"/>
      <c r="Y62" s="251"/>
      <c r="Z62" s="252"/>
    </row>
    <row r="63" spans="2:27">
      <c r="P63" s="248"/>
      <c r="Q63" s="248"/>
      <c r="R63" s="248"/>
      <c r="S63" s="247"/>
      <c r="T63" s="248"/>
      <c r="U63" s="248"/>
      <c r="V63" s="194"/>
      <c r="W63" s="249"/>
      <c r="X63" s="250"/>
      <c r="Y63" s="251"/>
      <c r="Z63" s="252"/>
    </row>
    <row r="64" spans="2:27">
      <c r="P64" s="248"/>
      <c r="Q64" s="248"/>
      <c r="R64" s="248"/>
      <c r="S64" s="247"/>
      <c r="T64" s="248"/>
      <c r="U64" s="248"/>
      <c r="V64" s="194"/>
      <c r="W64" s="249"/>
      <c r="X64" s="250"/>
      <c r="Y64" s="251"/>
      <c r="Z64" s="252"/>
    </row>
    <row r="65" spans="16:26">
      <c r="P65" s="248"/>
      <c r="Q65" s="248"/>
      <c r="R65" s="248"/>
      <c r="S65" s="247"/>
      <c r="T65" s="248"/>
      <c r="U65" s="248"/>
      <c r="V65" s="194"/>
      <c r="W65" s="249"/>
      <c r="X65" s="250"/>
      <c r="Y65" s="251"/>
      <c r="Z65" s="252"/>
    </row>
    <row r="66" spans="16:26">
      <c r="P66" s="248"/>
      <c r="Q66" s="248"/>
      <c r="R66" s="248"/>
      <c r="S66" s="247"/>
      <c r="T66" s="248"/>
      <c r="U66" s="248"/>
      <c r="V66" s="194"/>
      <c r="W66" s="249"/>
      <c r="X66" s="250"/>
      <c r="Y66" s="251"/>
      <c r="Z66" s="252"/>
    </row>
    <row r="67" spans="16:26">
      <c r="P67" s="248"/>
      <c r="Q67" s="248"/>
      <c r="R67" s="248"/>
      <c r="S67" s="247"/>
      <c r="T67" s="248"/>
      <c r="U67" s="248"/>
      <c r="V67" s="194"/>
      <c r="W67" s="249"/>
      <c r="X67" s="250"/>
      <c r="Y67" s="251"/>
      <c r="Z67" s="252"/>
    </row>
    <row r="68" spans="16:26">
      <c r="P68" s="248"/>
      <c r="Q68" s="248"/>
      <c r="R68" s="248"/>
      <c r="S68" s="247"/>
      <c r="T68" s="248"/>
      <c r="U68" s="248"/>
      <c r="V68" s="194"/>
      <c r="W68" s="249"/>
      <c r="X68" s="250"/>
      <c r="Y68" s="251"/>
      <c r="Z68" s="252"/>
    </row>
    <row r="69" spans="16:26">
      <c r="P69" s="248"/>
      <c r="Q69" s="248"/>
      <c r="R69" s="248"/>
      <c r="S69" s="247"/>
      <c r="T69" s="248"/>
      <c r="U69" s="248"/>
      <c r="V69" s="194"/>
      <c r="W69" s="249"/>
      <c r="X69" s="250"/>
      <c r="Y69" s="251"/>
      <c r="Z69" s="252"/>
    </row>
    <row r="70" spans="16:26">
      <c r="P70" s="248"/>
      <c r="Q70" s="248"/>
      <c r="R70" s="248"/>
      <c r="S70" s="247"/>
      <c r="T70" s="248"/>
      <c r="U70" s="248"/>
      <c r="V70" s="194"/>
      <c r="W70" s="249"/>
      <c r="X70" s="250"/>
      <c r="Y70" s="251"/>
      <c r="Z70" s="252"/>
    </row>
    <row r="71" spans="16:26">
      <c r="P71" s="248"/>
      <c r="Q71" s="248"/>
      <c r="R71" s="248"/>
      <c r="S71" s="247"/>
      <c r="T71" s="248"/>
      <c r="U71" s="248"/>
      <c r="V71" s="194"/>
      <c r="W71" s="249"/>
      <c r="X71" s="250"/>
      <c r="Y71" s="251"/>
      <c r="Z71" s="252"/>
    </row>
    <row r="72" spans="16:26">
      <c r="P72" s="248"/>
      <c r="Q72" s="248"/>
      <c r="R72" s="248"/>
      <c r="S72" s="247"/>
      <c r="T72" s="248"/>
      <c r="U72" s="248"/>
      <c r="V72" s="194"/>
      <c r="W72" s="249"/>
      <c r="X72" s="250"/>
      <c r="Y72" s="251"/>
      <c r="Z72" s="252"/>
    </row>
    <row r="73" spans="16:26">
      <c r="P73" s="248"/>
      <c r="Q73" s="248"/>
      <c r="R73" s="248"/>
      <c r="S73" s="247"/>
      <c r="T73" s="248"/>
      <c r="U73" s="248"/>
      <c r="V73" s="194"/>
      <c r="W73" s="249"/>
      <c r="X73" s="250"/>
      <c r="Y73" s="251"/>
      <c r="Z73" s="252"/>
    </row>
    <row r="74" spans="16:26">
      <c r="P74" s="248"/>
      <c r="Q74" s="248"/>
      <c r="R74" s="248"/>
      <c r="S74" s="247"/>
      <c r="T74" s="248"/>
      <c r="U74" s="248"/>
      <c r="V74" s="194"/>
      <c r="W74" s="249"/>
      <c r="X74" s="250"/>
      <c r="Y74" s="251"/>
      <c r="Z74" s="252"/>
    </row>
    <row r="75" spans="16:26">
      <c r="P75" s="248"/>
      <c r="Q75" s="248"/>
      <c r="R75" s="248"/>
      <c r="S75" s="247"/>
      <c r="T75" s="248"/>
      <c r="U75" s="248"/>
      <c r="V75" s="194"/>
      <c r="W75" s="249"/>
      <c r="X75" s="250"/>
      <c r="Y75" s="251"/>
      <c r="Z75" s="252"/>
    </row>
    <row r="76" spans="16:26">
      <c r="P76" s="248"/>
      <c r="Q76" s="248"/>
      <c r="R76" s="248"/>
      <c r="S76" s="247"/>
      <c r="T76" s="248"/>
      <c r="U76" s="248"/>
      <c r="V76" s="194"/>
      <c r="W76" s="249"/>
      <c r="X76" s="250"/>
      <c r="Y76" s="251"/>
      <c r="Z76" s="252"/>
    </row>
    <row r="77" spans="16:26">
      <c r="P77" s="248"/>
      <c r="Q77" s="248"/>
      <c r="R77" s="248"/>
      <c r="S77" s="247"/>
      <c r="T77" s="248"/>
      <c r="U77" s="248"/>
      <c r="V77" s="194"/>
      <c r="W77" s="249"/>
      <c r="X77" s="250"/>
      <c r="Y77" s="251"/>
      <c r="Z77" s="252"/>
    </row>
    <row r="78" spans="16:26">
      <c r="P78" s="248"/>
      <c r="Q78" s="248"/>
      <c r="R78" s="248"/>
      <c r="S78" s="247"/>
      <c r="T78" s="248"/>
      <c r="U78" s="248"/>
      <c r="V78" s="194"/>
      <c r="W78" s="249"/>
      <c r="X78" s="250"/>
      <c r="Y78" s="251"/>
      <c r="Z78" s="252"/>
    </row>
    <row r="79" spans="16:26">
      <c r="P79" s="248"/>
      <c r="Q79" s="248"/>
      <c r="R79" s="248"/>
      <c r="S79" s="247"/>
      <c r="T79" s="248"/>
      <c r="U79" s="248"/>
      <c r="V79" s="194"/>
      <c r="W79" s="249"/>
      <c r="X79" s="250"/>
      <c r="Y79" s="251"/>
      <c r="Z79" s="252"/>
    </row>
    <row r="80" spans="16:26">
      <c r="P80" s="248"/>
      <c r="Q80" s="248"/>
      <c r="R80" s="248"/>
      <c r="S80" s="247"/>
      <c r="T80" s="248"/>
      <c r="U80" s="248"/>
      <c r="V80" s="194"/>
      <c r="W80" s="249"/>
      <c r="X80" s="250"/>
      <c r="Y80" s="251"/>
      <c r="Z80" s="252"/>
    </row>
    <row r="81" spans="16:26">
      <c r="P81" s="248"/>
      <c r="Q81" s="248"/>
      <c r="R81" s="248"/>
      <c r="S81" s="247"/>
      <c r="T81" s="248"/>
      <c r="U81" s="248"/>
      <c r="V81" s="194"/>
      <c r="W81" s="249"/>
      <c r="X81" s="250"/>
      <c r="Y81" s="251"/>
      <c r="Z81" s="252"/>
    </row>
    <row r="82" spans="16:26">
      <c r="P82" s="248"/>
      <c r="Q82" s="248"/>
      <c r="R82" s="248"/>
      <c r="S82" s="247"/>
      <c r="T82" s="248"/>
      <c r="U82" s="248"/>
      <c r="V82" s="194"/>
      <c r="W82" s="249"/>
      <c r="X82" s="250"/>
      <c r="Y82" s="251"/>
      <c r="Z82" s="252"/>
    </row>
    <row r="83" spans="16:26">
      <c r="P83" s="248"/>
      <c r="Q83" s="248"/>
      <c r="R83" s="248"/>
      <c r="S83" s="247"/>
      <c r="T83" s="248"/>
      <c r="U83" s="248"/>
      <c r="V83" s="194"/>
      <c r="W83" s="249"/>
      <c r="X83" s="250"/>
      <c r="Y83" s="251"/>
      <c r="Z83" s="252"/>
    </row>
    <row r="84" spans="16:26">
      <c r="P84" s="248"/>
      <c r="Q84" s="248"/>
      <c r="R84" s="248"/>
      <c r="S84" s="247"/>
      <c r="T84" s="248"/>
      <c r="U84" s="248"/>
      <c r="V84" s="194"/>
      <c r="W84" s="249"/>
      <c r="X84" s="250"/>
      <c r="Y84" s="251"/>
      <c r="Z84" s="252"/>
    </row>
    <row r="85" spans="16:26">
      <c r="P85" s="248"/>
      <c r="Q85" s="248"/>
      <c r="R85" s="248"/>
      <c r="S85" s="247"/>
      <c r="T85" s="248"/>
      <c r="U85" s="248"/>
      <c r="V85" s="194"/>
      <c r="W85" s="249"/>
      <c r="X85" s="250"/>
      <c r="Y85" s="251"/>
      <c r="Z85" s="252"/>
    </row>
    <row r="86" spans="16:26">
      <c r="P86" s="248"/>
      <c r="Q86" s="248"/>
      <c r="R86" s="248"/>
      <c r="S86" s="247"/>
      <c r="T86" s="248"/>
      <c r="U86" s="248"/>
      <c r="V86" s="194"/>
      <c r="W86" s="249"/>
      <c r="X86" s="250"/>
      <c r="Y86" s="251"/>
      <c r="Z86" s="252"/>
    </row>
    <row r="87" spans="16:26">
      <c r="P87" s="248"/>
      <c r="Q87" s="248"/>
      <c r="R87" s="248"/>
      <c r="S87" s="247"/>
      <c r="T87" s="248"/>
      <c r="U87" s="248"/>
      <c r="V87" s="194"/>
      <c r="W87" s="249"/>
      <c r="X87" s="250"/>
      <c r="Y87" s="251"/>
      <c r="Z87" s="252"/>
    </row>
    <row r="88" spans="16:26">
      <c r="P88" s="248"/>
      <c r="Q88" s="248"/>
      <c r="R88" s="248"/>
      <c r="S88" s="247"/>
      <c r="T88" s="248"/>
      <c r="U88" s="248"/>
      <c r="V88" s="194"/>
      <c r="W88" s="249"/>
      <c r="X88" s="250"/>
      <c r="Y88" s="251"/>
      <c r="Z88" s="252"/>
    </row>
    <row r="89" spans="16:26">
      <c r="P89" s="248"/>
      <c r="Q89" s="248"/>
      <c r="R89" s="248"/>
      <c r="S89" s="247"/>
      <c r="T89" s="248"/>
      <c r="U89" s="248"/>
      <c r="V89" s="194"/>
      <c r="W89" s="249"/>
      <c r="X89" s="250"/>
      <c r="Y89" s="251"/>
      <c r="Z89" s="252"/>
    </row>
    <row r="90" spans="16:26">
      <c r="P90" s="248"/>
      <c r="Q90" s="248"/>
      <c r="R90" s="248"/>
      <c r="S90" s="247"/>
      <c r="T90" s="248"/>
      <c r="U90" s="248"/>
      <c r="V90" s="194"/>
      <c r="W90" s="249"/>
      <c r="X90" s="250"/>
      <c r="Y90" s="251"/>
      <c r="Z90" s="252"/>
    </row>
    <row r="91" spans="16:26">
      <c r="P91" s="248"/>
      <c r="Q91" s="248"/>
      <c r="R91" s="248"/>
      <c r="S91" s="247"/>
      <c r="T91" s="248"/>
      <c r="U91" s="248"/>
      <c r="V91" s="194"/>
      <c r="W91" s="249"/>
      <c r="X91" s="250"/>
      <c r="Y91" s="251"/>
      <c r="Z91" s="252"/>
    </row>
    <row r="92" spans="16:26">
      <c r="P92" s="248"/>
      <c r="Q92" s="248"/>
      <c r="R92" s="248"/>
      <c r="S92" s="247"/>
      <c r="T92" s="248"/>
      <c r="U92" s="248"/>
      <c r="V92" s="194"/>
      <c r="W92" s="249"/>
      <c r="X92" s="250"/>
      <c r="Y92" s="251"/>
      <c r="Z92" s="252"/>
    </row>
    <row r="93" spans="16:26">
      <c r="P93" s="248"/>
      <c r="Q93" s="248"/>
      <c r="R93" s="248"/>
      <c r="S93" s="247"/>
      <c r="T93" s="248"/>
      <c r="U93" s="248"/>
      <c r="V93" s="194"/>
      <c r="W93" s="249"/>
      <c r="X93" s="250"/>
      <c r="Y93" s="251"/>
      <c r="Z93" s="252"/>
    </row>
    <row r="94" spans="16:26">
      <c r="P94" s="248"/>
      <c r="Q94" s="248"/>
      <c r="R94" s="248"/>
      <c r="S94" s="247"/>
      <c r="T94" s="248"/>
      <c r="U94" s="248"/>
      <c r="V94" s="194"/>
      <c r="W94" s="249"/>
      <c r="X94" s="250"/>
      <c r="Y94" s="251"/>
      <c r="Z94" s="252"/>
    </row>
    <row r="95" spans="16:26">
      <c r="P95" s="248"/>
      <c r="Q95" s="248"/>
      <c r="R95" s="248"/>
      <c r="S95" s="247"/>
      <c r="T95" s="248"/>
      <c r="U95" s="248"/>
      <c r="V95" s="194"/>
      <c r="W95" s="249"/>
      <c r="X95" s="250"/>
      <c r="Y95" s="251"/>
      <c r="Z95" s="252"/>
    </row>
    <row r="96" spans="16:26">
      <c r="P96" s="248"/>
      <c r="Q96" s="248"/>
      <c r="R96" s="248"/>
      <c r="S96" s="247"/>
      <c r="T96" s="248"/>
      <c r="U96" s="248"/>
      <c r="V96" s="194"/>
      <c r="W96" s="249"/>
      <c r="X96" s="250"/>
      <c r="Y96" s="251"/>
      <c r="Z96" s="252"/>
    </row>
    <row r="97" spans="16:26">
      <c r="P97" s="248"/>
      <c r="Q97" s="248"/>
      <c r="R97" s="248"/>
      <c r="S97" s="247"/>
      <c r="T97" s="248"/>
      <c r="U97" s="248"/>
      <c r="V97" s="194"/>
      <c r="W97" s="249"/>
      <c r="X97" s="250"/>
      <c r="Y97" s="251"/>
      <c r="Z97" s="252"/>
    </row>
    <row r="98" spans="16:26">
      <c r="P98" s="248"/>
      <c r="Q98" s="248"/>
      <c r="R98" s="248"/>
      <c r="S98" s="247"/>
      <c r="T98" s="248"/>
      <c r="U98" s="248"/>
      <c r="V98" s="194"/>
      <c r="W98" s="249"/>
      <c r="X98" s="250"/>
      <c r="Y98" s="251"/>
      <c r="Z98" s="252"/>
    </row>
    <row r="99" spans="16:26">
      <c r="P99" s="248"/>
      <c r="Q99" s="248"/>
      <c r="R99" s="248"/>
      <c r="S99" s="247"/>
      <c r="T99" s="248"/>
      <c r="U99" s="248"/>
      <c r="V99" s="194"/>
      <c r="W99" s="249"/>
      <c r="X99" s="250"/>
      <c r="Y99" s="251"/>
      <c r="Z99" s="252"/>
    </row>
    <row r="100" spans="16:26">
      <c r="P100" s="248"/>
      <c r="Q100" s="248"/>
      <c r="R100" s="248"/>
      <c r="S100" s="247"/>
      <c r="T100" s="248"/>
      <c r="U100" s="248"/>
      <c r="V100" s="194"/>
      <c r="W100" s="249"/>
      <c r="X100" s="250"/>
      <c r="Y100" s="251"/>
      <c r="Z100" s="252"/>
    </row>
    <row r="101" spans="16:26">
      <c r="P101" s="248"/>
      <c r="Q101" s="248"/>
      <c r="R101" s="248"/>
      <c r="S101" s="247"/>
      <c r="T101" s="248"/>
      <c r="U101" s="248"/>
      <c r="V101" s="194"/>
      <c r="W101" s="249"/>
      <c r="X101" s="250"/>
      <c r="Y101" s="251"/>
      <c r="Z101" s="252"/>
    </row>
    <row r="102" spans="16:26">
      <c r="P102" s="248"/>
      <c r="Q102" s="248"/>
      <c r="R102" s="248"/>
      <c r="S102" s="247"/>
      <c r="T102" s="248"/>
      <c r="U102" s="248"/>
      <c r="V102" s="194"/>
      <c r="W102" s="249"/>
      <c r="X102" s="250"/>
      <c r="Y102" s="251"/>
      <c r="Z102" s="252"/>
    </row>
    <row r="103" spans="16:26">
      <c r="P103" s="248"/>
      <c r="Q103" s="248"/>
      <c r="R103" s="248"/>
      <c r="S103" s="247"/>
      <c r="T103" s="248"/>
      <c r="U103" s="248"/>
      <c r="V103" s="194"/>
      <c r="W103" s="249"/>
      <c r="X103" s="250"/>
      <c r="Y103" s="251"/>
      <c r="Z103" s="252"/>
    </row>
    <row r="104" spans="16:26">
      <c r="P104" s="248"/>
      <c r="Q104" s="248"/>
      <c r="R104" s="248"/>
      <c r="S104" s="247"/>
      <c r="T104" s="248"/>
      <c r="U104" s="248"/>
      <c r="V104" s="194"/>
      <c r="W104" s="249"/>
      <c r="X104" s="250"/>
      <c r="Y104" s="251"/>
      <c r="Z104" s="252"/>
    </row>
    <row r="105" spans="16:26">
      <c r="P105" s="248"/>
      <c r="Q105" s="248"/>
      <c r="R105" s="248"/>
      <c r="S105" s="247"/>
      <c r="T105" s="248"/>
      <c r="U105" s="248"/>
      <c r="V105" s="194"/>
      <c r="W105" s="249"/>
      <c r="X105" s="250"/>
      <c r="Y105" s="251"/>
      <c r="Z105" s="252"/>
    </row>
    <row r="106" spans="16:26">
      <c r="P106" s="248"/>
      <c r="Q106" s="248"/>
      <c r="R106" s="248"/>
      <c r="S106" s="247"/>
      <c r="T106" s="248"/>
      <c r="U106" s="248"/>
      <c r="V106" s="194"/>
      <c r="W106" s="249"/>
      <c r="X106" s="250"/>
      <c r="Y106" s="251"/>
      <c r="Z106" s="252"/>
    </row>
    <row r="107" spans="16:26">
      <c r="P107" s="248"/>
      <c r="Q107" s="248"/>
      <c r="R107" s="248"/>
      <c r="S107" s="247"/>
      <c r="T107" s="248"/>
      <c r="U107" s="248"/>
      <c r="V107" s="194"/>
      <c r="W107" s="249"/>
      <c r="X107" s="250"/>
      <c r="Y107" s="251"/>
      <c r="Z107" s="252"/>
    </row>
    <row r="108" spans="16:26">
      <c r="P108" s="248"/>
      <c r="Q108" s="248"/>
      <c r="R108" s="248"/>
      <c r="S108" s="247"/>
      <c r="T108" s="248"/>
      <c r="U108" s="248"/>
      <c r="V108" s="194"/>
      <c r="W108" s="249"/>
      <c r="X108" s="250"/>
      <c r="Y108" s="251"/>
      <c r="Z108" s="252"/>
    </row>
    <row r="109" spans="16:26">
      <c r="P109" s="248"/>
      <c r="Q109" s="248"/>
      <c r="R109" s="248"/>
      <c r="S109" s="247"/>
      <c r="T109" s="248"/>
      <c r="U109" s="248"/>
      <c r="V109" s="194"/>
      <c r="W109" s="249"/>
      <c r="X109" s="250"/>
      <c r="Y109" s="251"/>
      <c r="Z109" s="252"/>
    </row>
    <row r="110" spans="16:26">
      <c r="P110" s="248"/>
      <c r="Q110" s="248"/>
      <c r="R110" s="248"/>
      <c r="S110" s="247"/>
      <c r="T110" s="248"/>
      <c r="U110" s="248"/>
      <c r="V110" s="194"/>
      <c r="W110" s="249"/>
      <c r="X110" s="250"/>
      <c r="Y110" s="251"/>
      <c r="Z110" s="252"/>
    </row>
    <row r="111" spans="16:26">
      <c r="P111" s="248"/>
      <c r="Q111" s="248"/>
      <c r="R111" s="248"/>
      <c r="S111" s="247"/>
      <c r="T111" s="248"/>
      <c r="U111" s="248"/>
      <c r="V111" s="194"/>
      <c r="W111" s="249"/>
      <c r="X111" s="250"/>
      <c r="Y111" s="251"/>
      <c r="Z111" s="252"/>
    </row>
    <row r="112" spans="16:26">
      <c r="P112" s="248"/>
      <c r="Q112" s="248"/>
      <c r="R112" s="248"/>
      <c r="S112" s="247"/>
      <c r="T112" s="248"/>
      <c r="U112" s="248"/>
      <c r="V112" s="194"/>
      <c r="W112" s="249"/>
      <c r="X112" s="250"/>
      <c r="Y112" s="251"/>
      <c r="Z112" s="252"/>
    </row>
    <row r="113" spans="16:26">
      <c r="P113" s="248"/>
      <c r="Q113" s="248"/>
      <c r="R113" s="248"/>
      <c r="S113" s="247"/>
      <c r="T113" s="248"/>
      <c r="U113" s="248"/>
      <c r="V113" s="194"/>
      <c r="W113" s="249"/>
      <c r="X113" s="250"/>
      <c r="Y113" s="251"/>
      <c r="Z113" s="252"/>
    </row>
    <row r="114" spans="16:26">
      <c r="P114" s="248"/>
      <c r="Q114" s="248"/>
      <c r="R114" s="248"/>
      <c r="S114" s="247"/>
      <c r="T114" s="248"/>
      <c r="U114" s="248"/>
      <c r="V114" s="194"/>
      <c r="W114" s="249"/>
      <c r="X114" s="250"/>
      <c r="Y114" s="251"/>
      <c r="Z114" s="252"/>
    </row>
    <row r="115" spans="16:26">
      <c r="P115" s="248"/>
      <c r="Q115" s="248"/>
      <c r="R115" s="248"/>
      <c r="S115" s="247"/>
      <c r="T115" s="248"/>
      <c r="U115" s="248"/>
      <c r="V115" s="194"/>
      <c r="W115" s="249"/>
      <c r="X115" s="250"/>
      <c r="Y115" s="251"/>
      <c r="Z115" s="252"/>
    </row>
    <row r="116" spans="16:26">
      <c r="P116" s="248"/>
      <c r="Q116" s="248"/>
      <c r="R116" s="248"/>
      <c r="S116" s="247"/>
      <c r="T116" s="248"/>
      <c r="U116" s="248"/>
      <c r="V116" s="194"/>
      <c r="W116" s="249"/>
      <c r="X116" s="250"/>
      <c r="Y116" s="251"/>
      <c r="Z116" s="252"/>
    </row>
    <row r="117" spans="16:26">
      <c r="P117" s="248"/>
      <c r="Q117" s="248"/>
      <c r="R117" s="248"/>
      <c r="S117" s="247"/>
      <c r="T117" s="248"/>
      <c r="U117" s="248"/>
      <c r="V117" s="194"/>
      <c r="W117" s="249"/>
      <c r="X117" s="250"/>
      <c r="Y117" s="251"/>
      <c r="Z117" s="252"/>
    </row>
    <row r="118" spans="16:26">
      <c r="P118" s="248"/>
      <c r="Q118" s="248"/>
      <c r="R118" s="248"/>
      <c r="S118" s="247"/>
      <c r="T118" s="248"/>
      <c r="U118" s="248"/>
      <c r="V118" s="194"/>
      <c r="W118" s="249"/>
      <c r="X118" s="250"/>
      <c r="Y118" s="251"/>
      <c r="Z118" s="252"/>
    </row>
    <row r="119" spans="16:26">
      <c r="P119" s="248"/>
      <c r="Q119" s="248"/>
      <c r="R119" s="248"/>
      <c r="S119" s="247"/>
      <c r="T119" s="248"/>
      <c r="U119" s="248"/>
      <c r="V119" s="194"/>
      <c r="W119" s="249"/>
      <c r="X119" s="250"/>
      <c r="Y119" s="251"/>
      <c r="Z119" s="252"/>
    </row>
    <row r="120" spans="16:26">
      <c r="P120" s="248"/>
      <c r="Q120" s="248"/>
      <c r="R120" s="248"/>
      <c r="S120" s="247"/>
      <c r="T120" s="248"/>
      <c r="U120" s="248"/>
      <c r="V120" s="194"/>
      <c r="W120" s="249"/>
      <c r="X120" s="250"/>
      <c r="Y120" s="251"/>
      <c r="Z120" s="252"/>
    </row>
    <row r="121" spans="16:26">
      <c r="P121" s="248"/>
      <c r="Q121" s="248"/>
      <c r="R121" s="248"/>
      <c r="S121" s="247"/>
      <c r="T121" s="248"/>
      <c r="U121" s="248"/>
      <c r="V121" s="194"/>
      <c r="W121" s="249"/>
      <c r="X121" s="250"/>
      <c r="Y121" s="251"/>
      <c r="Z121" s="252"/>
    </row>
    <row r="122" spans="16:26">
      <c r="P122" s="248"/>
      <c r="Q122" s="248"/>
      <c r="R122" s="248"/>
      <c r="S122" s="247"/>
      <c r="T122" s="248"/>
      <c r="U122" s="248"/>
      <c r="V122" s="194"/>
      <c r="W122" s="249"/>
      <c r="X122" s="250"/>
      <c r="Y122" s="251"/>
      <c r="Z122" s="252"/>
    </row>
    <row r="123" spans="16:26">
      <c r="P123" s="248"/>
      <c r="Q123" s="248"/>
      <c r="R123" s="248"/>
      <c r="S123" s="247"/>
      <c r="T123" s="248"/>
      <c r="U123" s="248"/>
      <c r="V123" s="194"/>
      <c r="W123" s="249"/>
      <c r="X123" s="250"/>
      <c r="Y123" s="251"/>
      <c r="Z123" s="252"/>
    </row>
    <row r="124" spans="16:26">
      <c r="P124" s="248"/>
      <c r="Q124" s="248"/>
      <c r="R124" s="248"/>
      <c r="S124" s="247"/>
      <c r="T124" s="248"/>
      <c r="U124" s="248"/>
      <c r="V124" s="194"/>
      <c r="W124" s="249"/>
      <c r="X124" s="250"/>
      <c r="Y124" s="251"/>
      <c r="Z124" s="252"/>
    </row>
    <row r="125" spans="16:26">
      <c r="P125" s="248"/>
      <c r="Q125" s="248"/>
      <c r="R125" s="248"/>
      <c r="S125" s="247"/>
      <c r="T125" s="248"/>
      <c r="U125" s="248"/>
      <c r="V125" s="194"/>
      <c r="W125" s="249"/>
      <c r="X125" s="250"/>
      <c r="Y125" s="251"/>
      <c r="Z125" s="252"/>
    </row>
    <row r="126" spans="16:26">
      <c r="P126" s="248"/>
      <c r="Q126" s="248"/>
      <c r="R126" s="248"/>
      <c r="S126" s="247"/>
      <c r="T126" s="248"/>
      <c r="U126" s="248"/>
      <c r="V126" s="194"/>
      <c r="W126" s="249"/>
      <c r="X126" s="250"/>
      <c r="Y126" s="251"/>
      <c r="Z126" s="252"/>
    </row>
    <row r="127" spans="16:26">
      <c r="P127" s="248"/>
      <c r="Q127" s="248"/>
      <c r="R127" s="248"/>
      <c r="S127" s="247"/>
      <c r="T127" s="248"/>
      <c r="U127" s="248"/>
      <c r="V127" s="194"/>
      <c r="W127" s="249"/>
      <c r="X127" s="250"/>
      <c r="Y127" s="251"/>
      <c r="Z127" s="252"/>
    </row>
    <row r="128" spans="16:26">
      <c r="P128" s="248"/>
      <c r="Q128" s="248"/>
      <c r="R128" s="248"/>
      <c r="S128" s="247"/>
      <c r="T128" s="248"/>
      <c r="U128" s="248"/>
      <c r="V128" s="194"/>
      <c r="W128" s="249"/>
      <c r="X128" s="250"/>
      <c r="Y128" s="251"/>
      <c r="Z128" s="252"/>
    </row>
    <row r="129" spans="16:26">
      <c r="P129" s="248"/>
      <c r="Q129" s="248"/>
      <c r="R129" s="248"/>
      <c r="S129" s="247"/>
      <c r="T129" s="248"/>
      <c r="U129" s="248"/>
      <c r="V129" s="194"/>
      <c r="W129" s="249"/>
      <c r="X129" s="250"/>
      <c r="Y129" s="251"/>
      <c r="Z129" s="252"/>
    </row>
    <row r="130" spans="16:26">
      <c r="P130" s="248"/>
      <c r="Q130" s="248"/>
      <c r="R130" s="248"/>
      <c r="S130" s="247"/>
      <c r="T130" s="248"/>
      <c r="U130" s="248"/>
      <c r="V130" s="194"/>
      <c r="W130" s="249"/>
      <c r="X130" s="250"/>
      <c r="Y130" s="251"/>
      <c r="Z130" s="252"/>
    </row>
    <row r="131" spans="16:26">
      <c r="P131" s="248"/>
      <c r="Q131" s="248"/>
      <c r="R131" s="248"/>
      <c r="S131" s="247"/>
      <c r="T131" s="248"/>
      <c r="U131" s="248"/>
      <c r="V131" s="194"/>
      <c r="W131" s="249"/>
      <c r="X131" s="250"/>
      <c r="Y131" s="251"/>
      <c r="Z131" s="252"/>
    </row>
    <row r="132" spans="16:26">
      <c r="P132" s="248"/>
      <c r="Q132" s="248"/>
      <c r="R132" s="248"/>
      <c r="S132" s="247"/>
      <c r="T132" s="248"/>
      <c r="U132" s="248"/>
      <c r="V132" s="194"/>
      <c r="W132" s="249"/>
      <c r="X132" s="250"/>
      <c r="Y132" s="251"/>
      <c r="Z132" s="252"/>
    </row>
    <row r="133" spans="16:26">
      <c r="P133" s="248"/>
      <c r="Q133" s="248"/>
      <c r="R133" s="248"/>
      <c r="S133" s="247"/>
      <c r="T133" s="248"/>
      <c r="U133" s="248"/>
      <c r="V133" s="194"/>
      <c r="W133" s="249"/>
      <c r="X133" s="250"/>
      <c r="Y133" s="251"/>
      <c r="Z133" s="252"/>
    </row>
    <row r="134" spans="16:26">
      <c r="P134" s="248"/>
      <c r="Q134" s="248"/>
      <c r="R134" s="248"/>
      <c r="S134" s="247"/>
      <c r="T134" s="248"/>
      <c r="U134" s="248"/>
      <c r="V134" s="194"/>
      <c r="W134" s="249"/>
      <c r="X134" s="250"/>
      <c r="Y134" s="251"/>
      <c r="Z134" s="252"/>
    </row>
    <row r="135" spans="16:26">
      <c r="P135" s="248"/>
      <c r="Q135" s="248"/>
      <c r="R135" s="248"/>
      <c r="S135" s="247"/>
      <c r="T135" s="248"/>
      <c r="U135" s="248"/>
      <c r="V135" s="194"/>
      <c r="W135" s="249"/>
      <c r="X135" s="250"/>
      <c r="Y135" s="251"/>
      <c r="Z135" s="252"/>
    </row>
    <row r="136" spans="16:26">
      <c r="P136" s="248"/>
      <c r="Q136" s="248"/>
      <c r="R136" s="248"/>
      <c r="S136" s="247"/>
      <c r="T136" s="248"/>
      <c r="U136" s="248"/>
      <c r="V136" s="194"/>
      <c r="W136" s="249"/>
      <c r="X136" s="250"/>
      <c r="Y136" s="251"/>
      <c r="Z136" s="252"/>
    </row>
    <row r="137" spans="16:26">
      <c r="P137" s="248"/>
      <c r="Q137" s="248"/>
      <c r="R137" s="248"/>
      <c r="S137" s="247"/>
      <c r="T137" s="248"/>
      <c r="U137" s="248"/>
      <c r="V137" s="194"/>
      <c r="W137" s="249"/>
      <c r="X137" s="250"/>
      <c r="Y137" s="251"/>
      <c r="Z137" s="252"/>
    </row>
    <row r="138" spans="16:26">
      <c r="P138" s="248"/>
      <c r="Q138" s="248"/>
      <c r="R138" s="248"/>
      <c r="S138" s="247"/>
      <c r="T138" s="248"/>
      <c r="U138" s="248"/>
      <c r="V138" s="194"/>
      <c r="W138" s="249"/>
      <c r="X138" s="250"/>
      <c r="Y138" s="251"/>
      <c r="Z138" s="252"/>
    </row>
    <row r="139" spans="16:26">
      <c r="P139" s="248"/>
      <c r="Q139" s="248"/>
      <c r="R139" s="248"/>
      <c r="S139" s="247"/>
      <c r="T139" s="248"/>
      <c r="U139" s="248"/>
      <c r="V139" s="194"/>
      <c r="W139" s="249"/>
      <c r="X139" s="250"/>
      <c r="Y139" s="251"/>
      <c r="Z139" s="252"/>
    </row>
    <row r="140" spans="16:26">
      <c r="P140" s="248"/>
      <c r="Q140" s="248"/>
      <c r="R140" s="248"/>
      <c r="S140" s="247"/>
      <c r="T140" s="248"/>
      <c r="U140" s="248"/>
      <c r="V140" s="194"/>
      <c r="W140" s="249"/>
      <c r="X140" s="250"/>
      <c r="Y140" s="251"/>
      <c r="Z140" s="252"/>
    </row>
    <row r="141" spans="16:26">
      <c r="P141" s="248"/>
      <c r="Q141" s="248"/>
      <c r="R141" s="248"/>
      <c r="S141" s="247"/>
      <c r="T141" s="248"/>
      <c r="U141" s="248"/>
      <c r="V141" s="194"/>
      <c r="W141" s="249"/>
      <c r="X141" s="250"/>
      <c r="Y141" s="251"/>
      <c r="Z141" s="252"/>
    </row>
    <row r="142" spans="16:26">
      <c r="P142" s="248"/>
      <c r="Q142" s="248"/>
      <c r="R142" s="248"/>
      <c r="S142" s="247"/>
      <c r="T142" s="248"/>
      <c r="U142" s="248"/>
      <c r="V142" s="194"/>
      <c r="W142" s="249"/>
      <c r="X142" s="250"/>
      <c r="Y142" s="251"/>
      <c r="Z142" s="252"/>
    </row>
    <row r="143" spans="16:26">
      <c r="P143" s="248"/>
      <c r="Q143" s="248"/>
      <c r="R143" s="248"/>
      <c r="S143" s="247"/>
      <c r="T143" s="248"/>
      <c r="U143" s="248"/>
      <c r="V143" s="194"/>
      <c r="W143" s="249"/>
      <c r="X143" s="250"/>
      <c r="Y143" s="251"/>
      <c r="Z143" s="252"/>
    </row>
    <row r="144" spans="16:26">
      <c r="P144" s="248"/>
      <c r="Q144" s="248"/>
      <c r="R144" s="248"/>
      <c r="S144" s="247"/>
      <c r="T144" s="248"/>
      <c r="U144" s="248"/>
      <c r="V144" s="194"/>
      <c r="W144" s="249"/>
      <c r="X144" s="250"/>
      <c r="Y144" s="251"/>
      <c r="Z144" s="252"/>
    </row>
    <row r="145" spans="16:26">
      <c r="P145" s="248"/>
      <c r="Q145" s="248"/>
      <c r="R145" s="248"/>
      <c r="S145" s="247"/>
      <c r="T145" s="248"/>
      <c r="U145" s="248"/>
      <c r="V145" s="194"/>
      <c r="W145" s="249"/>
      <c r="X145" s="250"/>
      <c r="Y145" s="251"/>
      <c r="Z145" s="252"/>
    </row>
    <row r="146" spans="16:26">
      <c r="P146" s="248"/>
      <c r="Q146" s="248"/>
      <c r="R146" s="248"/>
      <c r="S146" s="247"/>
      <c r="T146" s="248"/>
      <c r="U146" s="248"/>
      <c r="V146" s="194"/>
      <c r="W146" s="249"/>
      <c r="X146" s="250"/>
      <c r="Y146" s="251"/>
      <c r="Z146" s="252"/>
    </row>
    <row r="147" spans="16:26">
      <c r="P147" s="248"/>
      <c r="Q147" s="248"/>
      <c r="R147" s="248"/>
      <c r="S147" s="247"/>
      <c r="T147" s="248"/>
      <c r="U147" s="248"/>
      <c r="V147" s="194"/>
      <c r="W147" s="249"/>
      <c r="X147" s="250"/>
      <c r="Y147" s="251"/>
      <c r="Z147" s="252"/>
    </row>
    <row r="148" spans="16:26">
      <c r="P148" s="248"/>
      <c r="Q148" s="248"/>
      <c r="R148" s="248"/>
      <c r="S148" s="247"/>
      <c r="T148" s="248"/>
      <c r="U148" s="248"/>
      <c r="V148" s="194"/>
      <c r="W148" s="249"/>
      <c r="X148" s="250"/>
      <c r="Y148" s="251"/>
      <c r="Z148" s="252"/>
    </row>
    <row r="149" spans="16:26">
      <c r="P149" s="248"/>
      <c r="Q149" s="248"/>
      <c r="R149" s="248"/>
      <c r="S149" s="247"/>
      <c r="T149" s="248"/>
      <c r="U149" s="248"/>
      <c r="V149" s="194"/>
      <c r="W149" s="249"/>
      <c r="X149" s="250"/>
      <c r="Y149" s="251"/>
      <c r="Z149" s="252"/>
    </row>
    <row r="150" spans="16:26">
      <c r="P150" s="248"/>
      <c r="Q150" s="248"/>
      <c r="R150" s="248"/>
      <c r="S150" s="247"/>
      <c r="T150" s="248"/>
      <c r="U150" s="248"/>
      <c r="V150" s="194"/>
      <c r="W150" s="249"/>
      <c r="X150" s="250"/>
      <c r="Y150" s="251"/>
      <c r="Z150" s="252"/>
    </row>
    <row r="151" spans="16:26">
      <c r="P151" s="248"/>
      <c r="Q151" s="248"/>
      <c r="R151" s="248"/>
      <c r="S151" s="247"/>
      <c r="T151" s="248"/>
      <c r="U151" s="248"/>
      <c r="V151" s="194"/>
      <c r="W151" s="249"/>
      <c r="X151" s="250"/>
      <c r="Y151" s="251"/>
      <c r="Z151" s="252"/>
    </row>
    <row r="152" spans="16:26">
      <c r="P152" s="248"/>
      <c r="Q152" s="248"/>
      <c r="R152" s="248"/>
      <c r="S152" s="247"/>
      <c r="T152" s="248"/>
      <c r="U152" s="248"/>
      <c r="V152" s="194"/>
      <c r="W152" s="249"/>
      <c r="X152" s="250"/>
      <c r="Y152" s="251"/>
      <c r="Z152" s="252"/>
    </row>
    <row r="153" spans="16:26">
      <c r="P153" s="248"/>
      <c r="Q153" s="248"/>
      <c r="R153" s="248"/>
      <c r="S153" s="247"/>
      <c r="T153" s="248"/>
      <c r="U153" s="248"/>
      <c r="V153" s="194"/>
      <c r="W153" s="249"/>
      <c r="X153" s="250"/>
      <c r="Y153" s="251"/>
      <c r="Z153" s="252"/>
    </row>
    <row r="154" spans="16:26">
      <c r="P154" s="248"/>
      <c r="Q154" s="248"/>
      <c r="R154" s="248"/>
      <c r="S154" s="247"/>
      <c r="T154" s="248"/>
      <c r="U154" s="248"/>
      <c r="V154" s="194"/>
      <c r="W154" s="249"/>
      <c r="X154" s="250"/>
      <c r="Y154" s="251"/>
      <c r="Z154" s="252"/>
    </row>
    <row r="155" spans="16:26">
      <c r="P155" s="248"/>
      <c r="Q155" s="248"/>
      <c r="R155" s="248"/>
      <c r="S155" s="247"/>
      <c r="T155" s="248"/>
      <c r="U155" s="248"/>
      <c r="V155" s="194"/>
      <c r="W155" s="249"/>
      <c r="X155" s="250"/>
      <c r="Y155" s="251"/>
      <c r="Z155" s="252"/>
    </row>
    <row r="156" spans="16:26">
      <c r="P156" s="248"/>
      <c r="Q156" s="248"/>
      <c r="R156" s="248"/>
      <c r="S156" s="247"/>
      <c r="T156" s="248"/>
      <c r="U156" s="248"/>
      <c r="V156" s="194"/>
      <c r="W156" s="249"/>
      <c r="X156" s="250"/>
      <c r="Y156" s="251"/>
      <c r="Z156" s="252"/>
    </row>
    <row r="157" spans="16:26">
      <c r="P157" s="248"/>
      <c r="Q157" s="248"/>
      <c r="R157" s="248"/>
      <c r="S157" s="247"/>
      <c r="T157" s="248"/>
      <c r="U157" s="248"/>
      <c r="V157" s="194"/>
      <c r="W157" s="249"/>
      <c r="X157" s="250"/>
      <c r="Y157" s="251"/>
      <c r="Z157" s="252"/>
    </row>
    <row r="158" spans="16:26">
      <c r="P158" s="248"/>
      <c r="Q158" s="248"/>
      <c r="R158" s="248"/>
      <c r="S158" s="247"/>
      <c r="T158" s="248"/>
      <c r="U158" s="248"/>
      <c r="V158" s="194"/>
      <c r="W158" s="249"/>
      <c r="X158" s="250"/>
      <c r="Y158" s="251"/>
      <c r="Z158" s="252"/>
    </row>
    <row r="159" spans="16:26">
      <c r="P159" s="248"/>
      <c r="Q159" s="248"/>
      <c r="R159" s="248"/>
      <c r="S159" s="247"/>
      <c r="T159" s="248"/>
      <c r="U159" s="248"/>
      <c r="V159" s="194"/>
      <c r="W159" s="249"/>
      <c r="X159" s="250"/>
      <c r="Y159" s="251"/>
      <c r="Z159" s="252"/>
    </row>
    <row r="160" spans="16:26">
      <c r="P160" s="248"/>
      <c r="Q160" s="248"/>
      <c r="R160" s="248"/>
      <c r="S160" s="247"/>
      <c r="T160" s="248"/>
      <c r="U160" s="248"/>
      <c r="V160" s="194"/>
      <c r="W160" s="249"/>
      <c r="X160" s="250"/>
      <c r="Y160" s="251"/>
      <c r="Z160" s="252"/>
    </row>
    <row r="161" spans="16:26">
      <c r="P161" s="248"/>
      <c r="Q161" s="248"/>
      <c r="R161" s="248"/>
      <c r="S161" s="247"/>
      <c r="T161" s="248"/>
      <c r="U161" s="248"/>
      <c r="V161" s="194"/>
      <c r="W161" s="249"/>
      <c r="X161" s="250"/>
      <c r="Y161" s="251"/>
      <c r="Z161" s="252"/>
    </row>
    <row r="162" spans="16:26">
      <c r="P162" s="248"/>
      <c r="Q162" s="248"/>
      <c r="R162" s="248"/>
      <c r="S162" s="247"/>
      <c r="T162" s="248"/>
      <c r="U162" s="248"/>
      <c r="V162" s="194"/>
      <c r="W162" s="249"/>
      <c r="X162" s="250"/>
      <c r="Y162" s="251"/>
      <c r="Z162" s="252"/>
    </row>
    <row r="163" spans="16:26">
      <c r="P163" s="248"/>
      <c r="Q163" s="248"/>
      <c r="R163" s="248"/>
      <c r="S163" s="247"/>
      <c r="T163" s="248"/>
      <c r="U163" s="248"/>
      <c r="V163" s="194"/>
      <c r="W163" s="249"/>
      <c r="X163" s="250"/>
      <c r="Y163" s="251"/>
      <c r="Z163" s="252"/>
    </row>
    <row r="164" spans="16:26">
      <c r="P164" s="248"/>
      <c r="Q164" s="248"/>
      <c r="R164" s="248"/>
      <c r="S164" s="247"/>
      <c r="T164" s="248"/>
      <c r="U164" s="248"/>
      <c r="V164" s="194"/>
      <c r="W164" s="249"/>
      <c r="X164" s="250"/>
      <c r="Y164" s="251"/>
      <c r="Z164" s="252"/>
    </row>
    <row r="165" spans="16:26">
      <c r="P165" s="248"/>
      <c r="Q165" s="248"/>
      <c r="R165" s="248"/>
      <c r="S165" s="247"/>
      <c r="T165" s="248"/>
      <c r="U165" s="248"/>
      <c r="V165" s="194"/>
      <c r="W165" s="249"/>
      <c r="X165" s="250"/>
      <c r="Y165" s="251"/>
      <c r="Z165" s="252"/>
    </row>
    <row r="166" spans="16:26">
      <c r="P166" s="248"/>
      <c r="Q166" s="248"/>
      <c r="R166" s="248"/>
      <c r="S166" s="247"/>
      <c r="T166" s="248"/>
      <c r="U166" s="248"/>
      <c r="V166" s="194"/>
      <c r="W166" s="249"/>
      <c r="X166" s="250"/>
      <c r="Y166" s="251"/>
      <c r="Z166" s="252"/>
    </row>
    <row r="167" spans="16:26">
      <c r="P167" s="248"/>
      <c r="Q167" s="248"/>
      <c r="R167" s="248"/>
      <c r="S167" s="247"/>
      <c r="T167" s="248"/>
      <c r="U167" s="248"/>
      <c r="V167" s="194"/>
      <c r="W167" s="249"/>
      <c r="X167" s="250"/>
      <c r="Y167" s="251"/>
      <c r="Z167" s="252"/>
    </row>
    <row r="168" spans="16:26">
      <c r="P168" s="248"/>
      <c r="Q168" s="248"/>
      <c r="R168" s="248"/>
      <c r="S168" s="247"/>
      <c r="T168" s="248"/>
      <c r="U168" s="248"/>
      <c r="V168" s="194"/>
      <c r="W168" s="249"/>
      <c r="X168" s="250"/>
      <c r="Y168" s="251"/>
      <c r="Z168" s="252"/>
    </row>
    <row r="169" spans="16:26">
      <c r="P169" s="248"/>
      <c r="Q169" s="248"/>
      <c r="R169" s="248"/>
      <c r="S169" s="247"/>
      <c r="T169" s="248"/>
      <c r="U169" s="248"/>
      <c r="V169" s="194"/>
      <c r="W169" s="249"/>
      <c r="X169" s="250"/>
      <c r="Y169" s="251"/>
      <c r="Z169" s="252"/>
    </row>
    <row r="170" spans="16:26">
      <c r="P170" s="248"/>
      <c r="Q170" s="248"/>
      <c r="R170" s="248"/>
      <c r="S170" s="247"/>
      <c r="T170" s="248"/>
      <c r="U170" s="248"/>
      <c r="V170" s="194"/>
      <c r="W170" s="249"/>
      <c r="X170" s="250"/>
      <c r="Y170" s="251"/>
      <c r="Z170" s="252"/>
    </row>
    <row r="171" spans="16:26">
      <c r="P171" s="248"/>
      <c r="Q171" s="248"/>
      <c r="R171" s="248"/>
      <c r="S171" s="247"/>
      <c r="T171" s="248"/>
      <c r="U171" s="248"/>
      <c r="V171" s="194"/>
      <c r="W171" s="249"/>
      <c r="X171" s="250"/>
      <c r="Y171" s="251"/>
      <c r="Z171" s="252"/>
    </row>
    <row r="172" spans="16:26">
      <c r="P172" s="248"/>
      <c r="Q172" s="248"/>
      <c r="R172" s="248"/>
      <c r="S172" s="247"/>
      <c r="T172" s="248"/>
      <c r="U172" s="248"/>
      <c r="V172" s="194"/>
      <c r="W172" s="249"/>
      <c r="X172" s="250"/>
      <c r="Y172" s="251"/>
      <c r="Z172" s="252"/>
    </row>
    <row r="173" spans="16:26">
      <c r="P173" s="248"/>
      <c r="Q173" s="248"/>
      <c r="R173" s="248"/>
      <c r="S173" s="247"/>
      <c r="T173" s="248"/>
      <c r="U173" s="248"/>
      <c r="V173" s="194"/>
      <c r="W173" s="249"/>
      <c r="X173" s="250"/>
      <c r="Y173" s="251"/>
      <c r="Z173" s="252"/>
    </row>
    <row r="174" spans="16:26">
      <c r="P174" s="248"/>
      <c r="Q174" s="248"/>
      <c r="R174" s="248"/>
      <c r="S174" s="247"/>
      <c r="T174" s="248"/>
      <c r="U174" s="248"/>
      <c r="V174" s="194"/>
      <c r="W174" s="249"/>
      <c r="X174" s="250"/>
      <c r="Y174" s="251"/>
      <c r="Z174" s="252"/>
    </row>
    <row r="175" spans="16:26">
      <c r="P175" s="248"/>
      <c r="Q175" s="248"/>
      <c r="R175" s="248"/>
      <c r="S175" s="247"/>
      <c r="T175" s="248"/>
      <c r="U175" s="248"/>
      <c r="V175" s="194"/>
      <c r="W175" s="249"/>
      <c r="X175" s="250"/>
      <c r="Y175" s="251"/>
      <c r="Z175" s="252"/>
    </row>
    <row r="176" spans="16:26">
      <c r="P176" s="248"/>
      <c r="Q176" s="248"/>
      <c r="R176" s="248"/>
      <c r="S176" s="247"/>
      <c r="T176" s="248"/>
      <c r="U176" s="248"/>
      <c r="V176" s="194"/>
      <c r="W176" s="249"/>
      <c r="X176" s="250"/>
      <c r="Y176" s="251"/>
      <c r="Z176" s="252"/>
    </row>
    <row r="177" spans="16:26">
      <c r="P177" s="248"/>
      <c r="Q177" s="248"/>
      <c r="R177" s="248"/>
      <c r="S177" s="247"/>
      <c r="T177" s="248"/>
      <c r="U177" s="248"/>
      <c r="V177" s="194"/>
      <c r="W177" s="249"/>
      <c r="X177" s="250"/>
      <c r="Y177" s="251"/>
      <c r="Z177" s="252"/>
    </row>
    <row r="178" spans="16:26">
      <c r="P178" s="248"/>
      <c r="Q178" s="248"/>
      <c r="R178" s="248"/>
      <c r="S178" s="247"/>
      <c r="T178" s="248"/>
      <c r="U178" s="248"/>
      <c r="V178" s="194"/>
      <c r="W178" s="249"/>
      <c r="X178" s="250"/>
      <c r="Y178" s="251"/>
      <c r="Z178" s="252"/>
    </row>
    <row r="179" spans="16:26">
      <c r="P179" s="248"/>
      <c r="Q179" s="248"/>
      <c r="R179" s="248"/>
      <c r="S179" s="247"/>
      <c r="T179" s="248"/>
      <c r="U179" s="248"/>
      <c r="V179" s="194"/>
      <c r="W179" s="249"/>
      <c r="X179" s="250"/>
      <c r="Y179" s="251"/>
      <c r="Z179" s="252"/>
    </row>
    <row r="180" spans="16:26">
      <c r="P180" s="248"/>
      <c r="Q180" s="248"/>
      <c r="R180" s="248"/>
      <c r="S180" s="247"/>
      <c r="T180" s="248"/>
      <c r="U180" s="248"/>
      <c r="V180" s="194"/>
      <c r="W180" s="249"/>
      <c r="X180" s="250"/>
      <c r="Y180" s="251"/>
      <c r="Z180" s="252"/>
    </row>
    <row r="181" spans="16:26">
      <c r="P181" s="248"/>
      <c r="Q181" s="248"/>
      <c r="R181" s="248"/>
      <c r="S181" s="247"/>
      <c r="T181" s="248"/>
      <c r="U181" s="248"/>
      <c r="V181" s="194"/>
      <c r="W181" s="249"/>
      <c r="X181" s="250"/>
      <c r="Y181" s="251"/>
      <c r="Z181" s="252"/>
    </row>
    <row r="182" spans="16:26">
      <c r="P182" s="248"/>
      <c r="Q182" s="248"/>
      <c r="R182" s="248"/>
      <c r="S182" s="247"/>
      <c r="T182" s="248"/>
      <c r="U182" s="248"/>
      <c r="V182" s="194"/>
      <c r="W182" s="249"/>
      <c r="X182" s="250"/>
      <c r="Y182" s="251"/>
      <c r="Z182" s="252"/>
    </row>
    <row r="183" spans="16:26">
      <c r="P183" s="248"/>
      <c r="Q183" s="248"/>
      <c r="R183" s="248"/>
      <c r="S183" s="247"/>
      <c r="T183" s="248"/>
      <c r="U183" s="248"/>
      <c r="V183" s="194"/>
      <c r="W183" s="249"/>
      <c r="X183" s="250"/>
      <c r="Y183" s="251"/>
      <c r="Z183" s="252"/>
    </row>
    <row r="184" spans="16:26">
      <c r="P184" s="248"/>
      <c r="Q184" s="248"/>
      <c r="R184" s="248"/>
      <c r="S184" s="247"/>
      <c r="T184" s="248"/>
      <c r="U184" s="248"/>
      <c r="V184" s="194"/>
      <c r="W184" s="249"/>
      <c r="X184" s="250"/>
      <c r="Y184" s="251"/>
      <c r="Z184" s="252"/>
    </row>
    <row r="185" spans="16:26">
      <c r="P185" s="248"/>
      <c r="Q185" s="248"/>
      <c r="R185" s="248"/>
      <c r="S185" s="247"/>
      <c r="T185" s="248"/>
      <c r="U185" s="248"/>
      <c r="V185" s="194"/>
      <c r="W185" s="249"/>
      <c r="X185" s="250"/>
      <c r="Y185" s="251"/>
      <c r="Z185" s="252"/>
    </row>
    <row r="186" spans="16:26">
      <c r="P186" s="248"/>
      <c r="Q186" s="248"/>
      <c r="R186" s="248"/>
      <c r="S186" s="247"/>
      <c r="T186" s="248"/>
      <c r="U186" s="248"/>
      <c r="V186" s="194"/>
      <c r="W186" s="249"/>
      <c r="X186" s="250"/>
      <c r="Y186" s="251"/>
      <c r="Z186" s="252"/>
    </row>
    <row r="187" spans="16:26">
      <c r="P187" s="248"/>
      <c r="Q187" s="248"/>
      <c r="R187" s="248"/>
      <c r="S187" s="247"/>
      <c r="T187" s="248"/>
      <c r="U187" s="248"/>
      <c r="V187" s="194"/>
      <c r="W187" s="249"/>
      <c r="X187" s="250"/>
      <c r="Y187" s="251"/>
      <c r="Z187" s="252"/>
    </row>
    <row r="188" spans="16:26">
      <c r="P188" s="248"/>
      <c r="Q188" s="248"/>
      <c r="R188" s="248"/>
      <c r="S188" s="247"/>
      <c r="T188" s="248"/>
      <c r="U188" s="248"/>
      <c r="V188" s="194"/>
      <c r="W188" s="249"/>
      <c r="X188" s="250"/>
      <c r="Y188" s="251"/>
      <c r="Z188" s="252"/>
    </row>
    <row r="189" spans="16:26">
      <c r="P189" s="248"/>
      <c r="Q189" s="248"/>
      <c r="R189" s="248"/>
      <c r="S189" s="247"/>
      <c r="T189" s="248"/>
      <c r="U189" s="248"/>
      <c r="V189" s="194"/>
      <c r="W189" s="249"/>
      <c r="X189" s="250"/>
      <c r="Y189" s="251"/>
      <c r="Z189" s="252"/>
    </row>
    <row r="190" spans="16:26">
      <c r="P190" s="248"/>
      <c r="Q190" s="248"/>
      <c r="R190" s="248"/>
      <c r="S190" s="247"/>
      <c r="T190" s="248"/>
      <c r="U190" s="248"/>
      <c r="V190" s="194"/>
      <c r="W190" s="249"/>
      <c r="X190" s="250"/>
      <c r="Y190" s="251"/>
      <c r="Z190" s="252"/>
    </row>
    <row r="191" spans="16:26">
      <c r="P191" s="248"/>
      <c r="Q191" s="248"/>
      <c r="R191" s="248"/>
      <c r="S191" s="247"/>
      <c r="T191" s="248"/>
      <c r="U191" s="248"/>
      <c r="V191" s="194"/>
      <c r="W191" s="249"/>
      <c r="X191" s="250"/>
      <c r="Y191" s="251"/>
      <c r="Z191" s="252"/>
    </row>
    <row r="192" spans="16:26">
      <c r="P192" s="248"/>
      <c r="Q192" s="248"/>
      <c r="R192" s="248"/>
      <c r="S192" s="247"/>
      <c r="T192" s="248"/>
      <c r="U192" s="248"/>
      <c r="V192" s="194"/>
      <c r="W192" s="249"/>
      <c r="X192" s="250"/>
      <c r="Y192" s="251"/>
      <c r="Z192" s="252"/>
    </row>
    <row r="193" spans="16:26">
      <c r="P193" s="248"/>
      <c r="Q193" s="248"/>
      <c r="R193" s="248"/>
      <c r="S193" s="247"/>
      <c r="T193" s="248"/>
      <c r="U193" s="248"/>
      <c r="V193" s="194"/>
      <c r="W193" s="249"/>
      <c r="X193" s="250"/>
      <c r="Y193" s="251"/>
      <c r="Z193" s="252"/>
    </row>
    <row r="194" spans="16:26">
      <c r="P194" s="248"/>
      <c r="Q194" s="248"/>
      <c r="R194" s="248"/>
      <c r="S194" s="247"/>
      <c r="T194" s="248"/>
      <c r="U194" s="248"/>
      <c r="V194" s="194"/>
      <c r="W194" s="249"/>
      <c r="X194" s="250"/>
      <c r="Y194" s="251"/>
      <c r="Z194" s="252"/>
    </row>
    <row r="195" spans="16:26">
      <c r="P195" s="248"/>
      <c r="Q195" s="248"/>
      <c r="R195" s="248"/>
      <c r="S195" s="247"/>
      <c r="T195" s="248"/>
      <c r="U195" s="248"/>
      <c r="V195" s="194"/>
      <c r="W195" s="249"/>
      <c r="X195" s="250"/>
      <c r="Y195" s="251"/>
      <c r="Z195" s="252"/>
    </row>
    <row r="196" spans="16:26">
      <c r="P196" s="248"/>
      <c r="Q196" s="248"/>
      <c r="R196" s="248"/>
      <c r="S196" s="247"/>
      <c r="T196" s="248"/>
      <c r="U196" s="248"/>
      <c r="V196" s="194"/>
      <c r="W196" s="249"/>
      <c r="X196" s="250"/>
      <c r="Y196" s="251"/>
      <c r="Z196" s="252"/>
    </row>
    <row r="197" spans="16:26">
      <c r="P197" s="248"/>
      <c r="Q197" s="248"/>
      <c r="R197" s="248"/>
      <c r="S197" s="247"/>
      <c r="T197" s="248"/>
      <c r="U197" s="248"/>
      <c r="V197" s="194"/>
      <c r="W197" s="249"/>
      <c r="X197" s="250"/>
      <c r="Y197" s="251"/>
      <c r="Z197" s="252"/>
    </row>
    <row r="198" spans="16:26">
      <c r="P198" s="248"/>
      <c r="Q198" s="248"/>
      <c r="R198" s="248"/>
      <c r="S198" s="247"/>
      <c r="T198" s="248"/>
      <c r="U198" s="248"/>
      <c r="V198" s="194"/>
      <c r="W198" s="249"/>
      <c r="X198" s="250"/>
      <c r="Y198" s="251"/>
      <c r="Z198" s="252"/>
    </row>
    <row r="199" spans="16:26">
      <c r="P199" s="248"/>
      <c r="Q199" s="248"/>
      <c r="R199" s="248"/>
      <c r="S199" s="247"/>
      <c r="T199" s="248"/>
      <c r="U199" s="248"/>
      <c r="V199" s="194"/>
      <c r="W199" s="249"/>
      <c r="X199" s="250"/>
      <c r="Y199" s="251"/>
      <c r="Z199" s="252"/>
    </row>
    <row r="200" spans="16:26">
      <c r="P200" s="248"/>
      <c r="Q200" s="248"/>
      <c r="R200" s="248"/>
      <c r="S200" s="247"/>
      <c r="T200" s="248"/>
      <c r="U200" s="248"/>
      <c r="V200" s="194"/>
      <c r="W200" s="249"/>
      <c r="X200" s="250"/>
      <c r="Y200" s="251"/>
      <c r="Z200" s="252"/>
    </row>
    <row r="201" spans="16:26">
      <c r="P201" s="248"/>
      <c r="Q201" s="248"/>
      <c r="R201" s="248"/>
      <c r="S201" s="247"/>
      <c r="T201" s="248"/>
      <c r="U201" s="248"/>
      <c r="V201" s="194"/>
      <c r="W201" s="249"/>
      <c r="X201" s="250"/>
      <c r="Y201" s="251"/>
      <c r="Z201" s="252"/>
    </row>
    <row r="202" spans="16:26">
      <c r="P202" s="248"/>
      <c r="Q202" s="248"/>
      <c r="R202" s="248"/>
      <c r="S202" s="247"/>
      <c r="T202" s="248"/>
      <c r="U202" s="248"/>
      <c r="V202" s="194"/>
      <c r="W202" s="249"/>
      <c r="X202" s="250"/>
      <c r="Y202" s="251"/>
      <c r="Z202" s="252"/>
    </row>
    <row r="203" spans="16:26">
      <c r="P203" s="248"/>
      <c r="Q203" s="248"/>
      <c r="R203" s="248"/>
      <c r="S203" s="247"/>
      <c r="T203" s="248"/>
      <c r="U203" s="248"/>
      <c r="V203" s="194"/>
      <c r="W203" s="249"/>
      <c r="X203" s="250"/>
      <c r="Y203" s="251"/>
      <c r="Z203" s="252"/>
    </row>
    <row r="204" spans="16:26">
      <c r="P204" s="248"/>
      <c r="Q204" s="248"/>
      <c r="R204" s="248"/>
      <c r="S204" s="247"/>
      <c r="T204" s="248"/>
      <c r="U204" s="248"/>
      <c r="V204" s="194"/>
      <c r="W204" s="249"/>
      <c r="X204" s="250"/>
      <c r="Y204" s="251"/>
      <c r="Z204" s="252"/>
    </row>
    <row r="205" spans="16:26">
      <c r="P205" s="248"/>
      <c r="Q205" s="248"/>
      <c r="R205" s="248"/>
      <c r="S205" s="247"/>
      <c r="T205" s="248"/>
      <c r="U205" s="248"/>
      <c r="V205" s="194"/>
      <c r="W205" s="249"/>
      <c r="X205" s="250"/>
      <c r="Y205" s="251"/>
      <c r="Z205" s="252"/>
    </row>
    <row r="206" spans="16:26">
      <c r="P206" s="248"/>
      <c r="Q206" s="248"/>
      <c r="R206" s="248"/>
      <c r="S206" s="247"/>
      <c r="T206" s="248"/>
      <c r="U206" s="248"/>
      <c r="V206" s="194"/>
      <c r="W206" s="249"/>
      <c r="X206" s="250"/>
      <c r="Y206" s="251"/>
      <c r="Z206" s="252"/>
    </row>
    <row r="207" spans="16:26">
      <c r="P207" s="248"/>
      <c r="Q207" s="248"/>
      <c r="R207" s="248"/>
      <c r="S207" s="247"/>
      <c r="T207" s="248"/>
      <c r="U207" s="248"/>
      <c r="V207" s="194"/>
      <c r="W207" s="249"/>
      <c r="X207" s="250"/>
      <c r="Y207" s="251"/>
      <c r="Z207" s="252"/>
    </row>
    <row r="208" spans="16:26">
      <c r="P208" s="248"/>
      <c r="Q208" s="248"/>
      <c r="R208" s="248"/>
      <c r="S208" s="247"/>
      <c r="T208" s="248"/>
      <c r="U208" s="248"/>
      <c r="V208" s="194"/>
      <c r="W208" s="249"/>
      <c r="X208" s="250"/>
      <c r="Y208" s="251"/>
      <c r="Z208" s="252"/>
    </row>
    <row r="209" spans="16:26">
      <c r="P209" s="248"/>
      <c r="Q209" s="248"/>
      <c r="R209" s="248"/>
      <c r="S209" s="247"/>
      <c r="T209" s="248"/>
      <c r="U209" s="248"/>
      <c r="V209" s="194"/>
      <c r="W209" s="249"/>
      <c r="X209" s="250"/>
      <c r="Y209" s="251"/>
      <c r="Z209" s="252"/>
    </row>
    <row r="210" spans="16:26">
      <c r="P210" s="248"/>
      <c r="Q210" s="248"/>
      <c r="R210" s="248"/>
      <c r="S210" s="247"/>
      <c r="T210" s="248"/>
      <c r="U210" s="248"/>
      <c r="V210" s="194"/>
      <c r="W210" s="249"/>
      <c r="X210" s="250"/>
      <c r="Y210" s="251"/>
      <c r="Z210" s="252"/>
    </row>
    <row r="211" spans="16:26">
      <c r="P211" s="248"/>
      <c r="Q211" s="248"/>
      <c r="R211" s="248"/>
      <c r="S211" s="247"/>
      <c r="T211" s="248"/>
      <c r="U211" s="248"/>
      <c r="V211" s="194"/>
      <c r="W211" s="249"/>
      <c r="X211" s="250"/>
      <c r="Y211" s="251"/>
      <c r="Z211" s="252"/>
    </row>
    <row r="212" spans="16:26">
      <c r="P212" s="248"/>
      <c r="Q212" s="248"/>
      <c r="R212" s="248"/>
      <c r="S212" s="247"/>
      <c r="T212" s="248"/>
      <c r="U212" s="248"/>
      <c r="V212" s="194"/>
      <c r="W212" s="249"/>
      <c r="X212" s="250"/>
      <c r="Y212" s="251"/>
      <c r="Z212" s="252"/>
    </row>
    <row r="213" spans="16:26">
      <c r="P213" s="248"/>
      <c r="Q213" s="248"/>
      <c r="R213" s="248"/>
      <c r="S213" s="247"/>
      <c r="T213" s="248"/>
      <c r="U213" s="248"/>
      <c r="V213" s="194"/>
      <c r="W213" s="249"/>
      <c r="X213" s="250"/>
      <c r="Y213" s="251"/>
      <c r="Z213" s="252"/>
    </row>
    <row r="214" spans="16:26">
      <c r="P214" s="248"/>
      <c r="Q214" s="248"/>
      <c r="R214" s="248"/>
      <c r="S214" s="247"/>
      <c r="T214" s="248"/>
      <c r="U214" s="248"/>
      <c r="V214" s="194"/>
      <c r="W214" s="249"/>
      <c r="X214" s="250"/>
      <c r="Y214" s="251"/>
      <c r="Z214" s="252"/>
    </row>
    <row r="215" spans="16:26">
      <c r="P215" s="248"/>
      <c r="Q215" s="248"/>
      <c r="R215" s="248"/>
      <c r="S215" s="247"/>
      <c r="T215" s="248"/>
      <c r="U215" s="248"/>
      <c r="V215" s="194"/>
      <c r="W215" s="249"/>
      <c r="X215" s="250"/>
      <c r="Y215" s="251"/>
      <c r="Z215" s="252"/>
    </row>
    <row r="216" spans="16:26">
      <c r="P216" s="248"/>
      <c r="Q216" s="248"/>
      <c r="R216" s="248"/>
      <c r="S216" s="247"/>
      <c r="T216" s="248"/>
      <c r="U216" s="248"/>
      <c r="V216" s="194"/>
      <c r="W216" s="249"/>
      <c r="X216" s="250"/>
      <c r="Y216" s="251"/>
      <c r="Z216" s="252"/>
    </row>
    <row r="217" spans="16:26">
      <c r="P217" s="248"/>
      <c r="Q217" s="248"/>
      <c r="R217" s="248"/>
      <c r="S217" s="247"/>
      <c r="T217" s="248"/>
      <c r="U217" s="248"/>
      <c r="V217" s="194"/>
      <c r="W217" s="249"/>
      <c r="X217" s="250"/>
      <c r="Y217" s="251"/>
      <c r="Z217" s="252"/>
    </row>
    <row r="218" spans="16:26">
      <c r="P218" s="248"/>
      <c r="Q218" s="248"/>
      <c r="R218" s="248"/>
      <c r="S218" s="247"/>
      <c r="T218" s="248"/>
      <c r="U218" s="248"/>
      <c r="V218" s="194"/>
      <c r="W218" s="249"/>
      <c r="X218" s="250"/>
      <c r="Y218" s="251"/>
      <c r="Z218" s="252"/>
    </row>
    <row r="219" spans="16:26">
      <c r="P219" s="248"/>
      <c r="Q219" s="248"/>
      <c r="R219" s="248"/>
      <c r="S219" s="247"/>
      <c r="T219" s="248"/>
      <c r="U219" s="248"/>
      <c r="V219" s="194"/>
      <c r="W219" s="249"/>
      <c r="X219" s="250"/>
      <c r="Y219" s="251"/>
      <c r="Z219" s="252"/>
    </row>
    <row r="220" spans="16:26">
      <c r="P220" s="248"/>
      <c r="Q220" s="248"/>
      <c r="R220" s="248"/>
      <c r="S220" s="247"/>
      <c r="T220" s="248"/>
      <c r="U220" s="248"/>
      <c r="V220" s="194"/>
      <c r="W220" s="249"/>
      <c r="X220" s="250"/>
      <c r="Y220" s="251"/>
      <c r="Z220" s="252"/>
    </row>
    <row r="221" spans="16:26">
      <c r="P221" s="248"/>
      <c r="Q221" s="248"/>
      <c r="R221" s="248"/>
      <c r="S221" s="247"/>
      <c r="T221" s="248"/>
      <c r="U221" s="248"/>
      <c r="V221" s="194"/>
      <c r="W221" s="249"/>
      <c r="X221" s="250"/>
      <c r="Y221" s="251"/>
      <c r="Z221" s="252"/>
    </row>
    <row r="222" spans="16:26">
      <c r="P222" s="248"/>
      <c r="Q222" s="248"/>
      <c r="R222" s="248"/>
      <c r="S222" s="247"/>
      <c r="T222" s="248"/>
      <c r="U222" s="248"/>
      <c r="V222" s="194"/>
      <c r="W222" s="249"/>
      <c r="X222" s="250"/>
      <c r="Y222" s="251"/>
      <c r="Z222" s="252"/>
    </row>
    <row r="223" spans="16:26">
      <c r="P223" s="248"/>
      <c r="Q223" s="248"/>
      <c r="R223" s="248"/>
      <c r="S223" s="247"/>
      <c r="T223" s="248"/>
      <c r="U223" s="248"/>
      <c r="V223" s="194"/>
      <c r="W223" s="249"/>
      <c r="X223" s="250"/>
      <c r="Y223" s="251"/>
      <c r="Z223" s="252"/>
    </row>
    <row r="224" spans="16:26">
      <c r="P224" s="248"/>
      <c r="Q224" s="248"/>
      <c r="R224" s="248"/>
      <c r="S224" s="247"/>
      <c r="T224" s="248"/>
      <c r="U224" s="248"/>
      <c r="V224" s="194"/>
      <c r="W224" s="249"/>
      <c r="X224" s="250"/>
      <c r="Y224" s="251"/>
      <c r="Z224" s="252"/>
    </row>
    <row r="225" spans="16:26">
      <c r="P225" s="248"/>
      <c r="Q225" s="248"/>
      <c r="R225" s="248"/>
      <c r="S225" s="247"/>
      <c r="T225" s="248"/>
      <c r="U225" s="248"/>
      <c r="V225" s="194"/>
      <c r="W225" s="249"/>
      <c r="X225" s="250"/>
      <c r="Y225" s="251"/>
      <c r="Z225" s="252"/>
    </row>
    <row r="226" spans="16:26">
      <c r="P226" s="248"/>
      <c r="Q226" s="248"/>
      <c r="R226" s="248"/>
      <c r="S226" s="247"/>
      <c r="T226" s="248"/>
      <c r="U226" s="248"/>
      <c r="V226" s="194"/>
      <c r="W226" s="249"/>
      <c r="X226" s="250"/>
      <c r="Y226" s="251"/>
      <c r="Z226" s="252"/>
    </row>
    <row r="227" spans="16:26">
      <c r="P227" s="248"/>
      <c r="Q227" s="248"/>
      <c r="R227" s="248"/>
      <c r="S227" s="247"/>
      <c r="T227" s="248"/>
      <c r="U227" s="248"/>
      <c r="V227" s="194"/>
      <c r="W227" s="249"/>
      <c r="X227" s="250"/>
      <c r="Y227" s="251"/>
      <c r="Z227" s="252"/>
    </row>
    <row r="228" spans="16:26">
      <c r="P228" s="248"/>
      <c r="Q228" s="248"/>
      <c r="R228" s="248"/>
      <c r="S228" s="247"/>
      <c r="T228" s="248"/>
      <c r="U228" s="248"/>
      <c r="V228" s="194"/>
      <c r="W228" s="249"/>
      <c r="X228" s="250"/>
      <c r="Y228" s="251"/>
      <c r="Z228" s="252"/>
    </row>
    <row r="229" spans="16:26">
      <c r="P229" s="248"/>
      <c r="Q229" s="248"/>
      <c r="R229" s="248"/>
      <c r="S229" s="247"/>
      <c r="T229" s="248"/>
      <c r="U229" s="248"/>
      <c r="V229" s="194"/>
      <c r="W229" s="249"/>
      <c r="X229" s="250"/>
      <c r="Y229" s="251"/>
      <c r="Z229" s="252"/>
    </row>
    <row r="230" spans="16:26">
      <c r="P230" s="248"/>
      <c r="Q230" s="248"/>
      <c r="R230" s="248"/>
      <c r="S230" s="247"/>
      <c r="T230" s="248"/>
      <c r="U230" s="248"/>
      <c r="V230" s="194"/>
      <c r="W230" s="249"/>
      <c r="X230" s="250"/>
      <c r="Y230" s="251"/>
      <c r="Z230" s="252"/>
    </row>
    <row r="231" spans="16:26">
      <c r="P231" s="248"/>
      <c r="Q231" s="248"/>
      <c r="R231" s="248"/>
      <c r="S231" s="247"/>
      <c r="T231" s="248"/>
      <c r="U231" s="248"/>
      <c r="V231" s="194"/>
      <c r="W231" s="249"/>
      <c r="X231" s="250"/>
      <c r="Y231" s="251"/>
      <c r="Z231" s="252"/>
    </row>
    <row r="232" spans="16:26">
      <c r="P232" s="248"/>
      <c r="Q232" s="248"/>
      <c r="R232" s="248"/>
      <c r="S232" s="247"/>
      <c r="T232" s="248"/>
      <c r="U232" s="248"/>
      <c r="V232" s="194"/>
      <c r="W232" s="249"/>
      <c r="X232" s="250"/>
      <c r="Y232" s="251"/>
      <c r="Z232" s="252"/>
    </row>
    <row r="233" spans="16:26">
      <c r="P233" s="248"/>
      <c r="Q233" s="248"/>
      <c r="R233" s="248"/>
      <c r="S233" s="247"/>
      <c r="T233" s="248"/>
      <c r="U233" s="248"/>
      <c r="V233" s="194"/>
      <c r="W233" s="249"/>
      <c r="X233" s="250"/>
      <c r="Y233" s="251"/>
      <c r="Z233" s="252"/>
    </row>
    <row r="234" spans="16:26">
      <c r="P234" s="248"/>
      <c r="Q234" s="248"/>
      <c r="R234" s="248"/>
      <c r="S234" s="247"/>
      <c r="T234" s="248"/>
      <c r="U234" s="248"/>
      <c r="V234" s="194"/>
      <c r="W234" s="249"/>
      <c r="X234" s="250"/>
      <c r="Y234" s="251"/>
      <c r="Z234" s="252"/>
    </row>
    <row r="235" spans="16:26">
      <c r="P235" s="248"/>
      <c r="Q235" s="248"/>
      <c r="R235" s="248"/>
      <c r="S235" s="247"/>
      <c r="T235" s="248"/>
      <c r="U235" s="248"/>
      <c r="V235" s="194"/>
      <c r="W235" s="249"/>
      <c r="X235" s="250"/>
      <c r="Y235" s="251"/>
      <c r="Z235" s="252"/>
    </row>
    <row r="236" spans="16:26">
      <c r="P236" s="248"/>
      <c r="Q236" s="248"/>
      <c r="R236" s="248"/>
      <c r="S236" s="247"/>
      <c r="T236" s="248"/>
      <c r="U236" s="248"/>
      <c r="V236" s="194"/>
      <c r="W236" s="249"/>
      <c r="X236" s="250"/>
      <c r="Y236" s="251"/>
      <c r="Z236" s="252"/>
    </row>
    <row r="237" spans="16:26">
      <c r="P237" s="248"/>
      <c r="Q237" s="248"/>
      <c r="R237" s="248"/>
      <c r="S237" s="247"/>
      <c r="T237" s="248"/>
      <c r="U237" s="248"/>
      <c r="V237" s="194"/>
      <c r="W237" s="249"/>
      <c r="X237" s="250"/>
      <c r="Y237" s="251"/>
      <c r="Z237" s="252"/>
    </row>
    <row r="238" spans="16:26">
      <c r="P238" s="248"/>
      <c r="Q238" s="248"/>
      <c r="R238" s="248"/>
      <c r="S238" s="247"/>
      <c r="T238" s="248"/>
      <c r="U238" s="248"/>
      <c r="V238" s="194"/>
      <c r="W238" s="249"/>
      <c r="X238" s="250"/>
      <c r="Y238" s="251"/>
      <c r="Z238" s="252"/>
    </row>
    <row r="239" spans="16:26">
      <c r="P239" s="248"/>
      <c r="Q239" s="248"/>
      <c r="R239" s="248"/>
      <c r="S239" s="247"/>
      <c r="T239" s="248"/>
      <c r="U239" s="248"/>
      <c r="V239" s="194"/>
      <c r="W239" s="249"/>
      <c r="X239" s="250"/>
      <c r="Y239" s="251"/>
      <c r="Z239" s="252"/>
    </row>
    <row r="240" spans="16:26">
      <c r="P240" s="248"/>
      <c r="Q240" s="248"/>
      <c r="R240" s="248"/>
      <c r="S240" s="247"/>
      <c r="T240" s="248"/>
      <c r="U240" s="248"/>
      <c r="V240" s="194"/>
      <c r="W240" s="249"/>
      <c r="X240" s="250"/>
      <c r="Y240" s="251"/>
      <c r="Z240" s="252"/>
    </row>
    <row r="241" spans="16:26">
      <c r="P241" s="248"/>
      <c r="Q241" s="248"/>
      <c r="R241" s="248"/>
      <c r="S241" s="247"/>
      <c r="T241" s="248"/>
      <c r="U241" s="248"/>
      <c r="V241" s="194"/>
      <c r="W241" s="249"/>
      <c r="X241" s="250"/>
      <c r="Y241" s="251"/>
      <c r="Z241" s="252"/>
    </row>
    <row r="242" spans="16:26">
      <c r="P242" s="248"/>
      <c r="Q242" s="248"/>
      <c r="R242" s="248"/>
      <c r="S242" s="247"/>
      <c r="T242" s="248"/>
      <c r="U242" s="248"/>
      <c r="V242" s="194"/>
      <c r="W242" s="249"/>
      <c r="X242" s="250"/>
      <c r="Y242" s="251"/>
      <c r="Z242" s="252"/>
    </row>
    <row r="243" spans="16:26">
      <c r="P243" s="248"/>
      <c r="Q243" s="248"/>
      <c r="R243" s="248"/>
      <c r="S243" s="247"/>
      <c r="T243" s="248"/>
      <c r="U243" s="248"/>
      <c r="V243" s="194"/>
      <c r="W243" s="249"/>
      <c r="X243" s="250"/>
      <c r="Y243" s="251"/>
      <c r="Z243" s="252"/>
    </row>
    <row r="244" spans="16:26">
      <c r="P244" s="248"/>
      <c r="Q244" s="248"/>
      <c r="R244" s="248"/>
      <c r="S244" s="247"/>
      <c r="T244" s="248"/>
      <c r="U244" s="248"/>
      <c r="V244" s="194"/>
      <c r="W244" s="249"/>
      <c r="X244" s="250"/>
      <c r="Y244" s="251"/>
      <c r="Z244" s="252"/>
    </row>
    <row r="245" spans="16:26">
      <c r="P245" s="248"/>
      <c r="Q245" s="248"/>
      <c r="R245" s="248"/>
      <c r="S245" s="247"/>
      <c r="T245" s="248"/>
      <c r="U245" s="248"/>
      <c r="V245" s="194"/>
      <c r="W245" s="249"/>
      <c r="X245" s="250"/>
      <c r="Y245" s="251"/>
      <c r="Z245" s="252"/>
    </row>
    <row r="246" spans="16:26">
      <c r="P246" s="248"/>
      <c r="Q246" s="248"/>
      <c r="R246" s="248"/>
      <c r="S246" s="247"/>
      <c r="T246" s="248"/>
      <c r="U246" s="248"/>
      <c r="V246" s="194"/>
      <c r="W246" s="249"/>
      <c r="X246" s="250"/>
      <c r="Y246" s="251"/>
      <c r="Z246" s="252"/>
    </row>
    <row r="247" spans="16:26">
      <c r="P247" s="248"/>
      <c r="Q247" s="248"/>
      <c r="R247" s="248"/>
      <c r="S247" s="247"/>
      <c r="T247" s="248"/>
      <c r="U247" s="248"/>
      <c r="V247" s="194"/>
      <c r="W247" s="249"/>
      <c r="X247" s="250"/>
      <c r="Y247" s="251"/>
      <c r="Z247" s="252"/>
    </row>
    <row r="248" spans="16:26">
      <c r="P248" s="248"/>
      <c r="Q248" s="248"/>
      <c r="R248" s="248"/>
      <c r="S248" s="247"/>
      <c r="T248" s="248"/>
      <c r="U248" s="248"/>
      <c r="V248" s="194"/>
      <c r="W248" s="249"/>
      <c r="X248" s="250"/>
      <c r="Y248" s="251"/>
      <c r="Z248" s="252"/>
    </row>
    <row r="249" spans="16:26">
      <c r="P249" s="248"/>
      <c r="Q249" s="248"/>
      <c r="R249" s="248"/>
      <c r="S249" s="247"/>
      <c r="T249" s="248"/>
      <c r="U249" s="248"/>
      <c r="V249" s="194"/>
      <c r="W249" s="249"/>
      <c r="X249" s="250"/>
      <c r="Y249" s="251"/>
      <c r="Z249" s="252"/>
    </row>
    <row r="250" spans="16:26">
      <c r="P250" s="248"/>
      <c r="Q250" s="248"/>
      <c r="R250" s="248"/>
      <c r="S250" s="247"/>
      <c r="T250" s="248"/>
      <c r="U250" s="248"/>
      <c r="V250" s="194"/>
      <c r="W250" s="249"/>
      <c r="X250" s="250"/>
      <c r="Y250" s="251"/>
      <c r="Z250" s="252"/>
    </row>
    <row r="251" spans="16:26">
      <c r="P251" s="248"/>
      <c r="Q251" s="248"/>
      <c r="R251" s="248"/>
      <c r="S251" s="247"/>
      <c r="T251" s="248"/>
      <c r="U251" s="248"/>
      <c r="V251" s="194"/>
      <c r="W251" s="249"/>
      <c r="X251" s="250"/>
      <c r="Y251" s="251"/>
      <c r="Z251" s="252"/>
    </row>
    <row r="252" spans="16:26">
      <c r="P252" s="248"/>
      <c r="Q252" s="248"/>
      <c r="R252" s="248"/>
      <c r="S252" s="247"/>
      <c r="T252" s="248"/>
      <c r="U252" s="248"/>
      <c r="V252" s="194"/>
      <c r="W252" s="249"/>
      <c r="X252" s="250"/>
      <c r="Y252" s="251"/>
      <c r="Z252" s="252"/>
    </row>
    <row r="253" spans="16:26">
      <c r="P253" s="248"/>
      <c r="Q253" s="248"/>
      <c r="R253" s="248"/>
      <c r="S253" s="247"/>
      <c r="T253" s="248"/>
      <c r="U253" s="248"/>
      <c r="V253" s="194"/>
      <c r="W253" s="249"/>
      <c r="X253" s="250"/>
      <c r="Y253" s="251"/>
      <c r="Z253" s="252"/>
    </row>
    <row r="254" spans="16:26">
      <c r="P254" s="248"/>
      <c r="Q254" s="248"/>
      <c r="R254" s="248"/>
      <c r="S254" s="247"/>
      <c r="T254" s="248"/>
      <c r="U254" s="248"/>
      <c r="V254" s="194"/>
      <c r="W254" s="249"/>
      <c r="X254" s="250"/>
      <c r="Y254" s="251"/>
      <c r="Z254" s="252"/>
    </row>
    <row r="255" spans="16:26">
      <c r="P255" s="248"/>
      <c r="Q255" s="248"/>
      <c r="R255" s="248"/>
      <c r="S255" s="247"/>
      <c r="T255" s="248"/>
      <c r="U255" s="248"/>
      <c r="V255" s="194"/>
      <c r="W255" s="249"/>
      <c r="X255" s="250"/>
      <c r="Y255" s="251"/>
      <c r="Z255" s="252"/>
    </row>
    <row r="256" spans="16:26">
      <c r="P256" s="248"/>
      <c r="Q256" s="248"/>
      <c r="R256" s="248"/>
      <c r="S256" s="247"/>
      <c r="T256" s="248"/>
      <c r="U256" s="248"/>
      <c r="V256" s="194"/>
      <c r="W256" s="249"/>
      <c r="X256" s="250"/>
      <c r="Y256" s="251"/>
      <c r="Z256" s="252"/>
    </row>
    <row r="257" spans="16:26">
      <c r="P257" s="248"/>
      <c r="Q257" s="248"/>
      <c r="R257" s="248"/>
      <c r="S257" s="247"/>
      <c r="T257" s="248"/>
      <c r="U257" s="248"/>
      <c r="V257" s="194"/>
      <c r="W257" s="249"/>
      <c r="X257" s="250"/>
      <c r="Y257" s="251"/>
      <c r="Z257" s="252"/>
    </row>
    <row r="258" spans="16:26">
      <c r="P258" s="248"/>
      <c r="Q258" s="248"/>
      <c r="R258" s="248"/>
      <c r="S258" s="247"/>
      <c r="T258" s="248"/>
      <c r="U258" s="248"/>
      <c r="V258" s="194"/>
      <c r="W258" s="249"/>
      <c r="X258" s="250"/>
      <c r="Y258" s="251"/>
      <c r="Z258" s="252"/>
    </row>
    <row r="259" spans="16:26">
      <c r="P259" s="248"/>
      <c r="Q259" s="248"/>
      <c r="R259" s="248"/>
      <c r="S259" s="247"/>
      <c r="T259" s="248"/>
      <c r="U259" s="248"/>
      <c r="V259" s="194"/>
      <c r="W259" s="249"/>
      <c r="X259" s="250"/>
      <c r="Y259" s="251"/>
      <c r="Z259" s="252"/>
    </row>
    <row r="260" spans="16:26">
      <c r="P260" s="248"/>
      <c r="Q260" s="248"/>
      <c r="R260" s="248"/>
      <c r="S260" s="247"/>
      <c r="T260" s="248"/>
      <c r="U260" s="248"/>
      <c r="V260" s="194"/>
      <c r="W260" s="249"/>
      <c r="X260" s="250"/>
      <c r="Y260" s="251"/>
      <c r="Z260" s="252"/>
    </row>
    <row r="261" spans="16:26">
      <c r="P261" s="248"/>
      <c r="Q261" s="248"/>
      <c r="R261" s="248"/>
      <c r="S261" s="247"/>
      <c r="T261" s="248"/>
      <c r="U261" s="248"/>
      <c r="V261" s="194"/>
      <c r="W261" s="249"/>
      <c r="X261" s="250"/>
      <c r="Y261" s="251"/>
      <c r="Z261" s="252"/>
    </row>
    <row r="262" spans="16:26">
      <c r="P262" s="248"/>
      <c r="Q262" s="248"/>
      <c r="R262" s="248"/>
      <c r="S262" s="247"/>
      <c r="T262" s="248"/>
      <c r="U262" s="248"/>
      <c r="V262" s="194"/>
      <c r="W262" s="249"/>
      <c r="X262" s="250"/>
      <c r="Y262" s="251"/>
      <c r="Z262" s="252"/>
    </row>
    <row r="263" spans="16:26">
      <c r="P263" s="248"/>
      <c r="Q263" s="248"/>
      <c r="R263" s="248"/>
      <c r="S263" s="247"/>
      <c r="T263" s="248"/>
      <c r="U263" s="248"/>
      <c r="V263" s="194"/>
      <c r="W263" s="249"/>
      <c r="X263" s="250"/>
      <c r="Y263" s="251"/>
      <c r="Z263" s="252"/>
    </row>
    <row r="264" spans="16:26">
      <c r="P264" s="248"/>
      <c r="Q264" s="248"/>
      <c r="R264" s="248"/>
      <c r="S264" s="247"/>
      <c r="T264" s="248"/>
      <c r="U264" s="248"/>
      <c r="V264" s="194"/>
      <c r="W264" s="249"/>
      <c r="X264" s="250"/>
      <c r="Y264" s="251"/>
      <c r="Z264" s="252"/>
    </row>
    <row r="265" spans="16:26">
      <c r="P265" s="248"/>
      <c r="Q265" s="248"/>
      <c r="R265" s="248"/>
      <c r="S265" s="247"/>
      <c r="T265" s="248"/>
      <c r="U265" s="248"/>
      <c r="V265" s="194"/>
      <c r="W265" s="249"/>
      <c r="X265" s="250"/>
      <c r="Y265" s="251"/>
      <c r="Z265" s="252"/>
    </row>
    <row r="266" spans="16:26">
      <c r="P266" s="248"/>
      <c r="Q266" s="248"/>
      <c r="R266" s="248"/>
      <c r="S266" s="247"/>
      <c r="T266" s="248"/>
      <c r="U266" s="248"/>
      <c r="V266" s="194"/>
      <c r="W266" s="249"/>
      <c r="X266" s="250"/>
      <c r="Y266" s="251"/>
      <c r="Z266" s="252"/>
    </row>
    <row r="267" spans="16:26">
      <c r="P267" s="248"/>
      <c r="Q267" s="248"/>
      <c r="R267" s="248"/>
      <c r="S267" s="247"/>
      <c r="T267" s="248"/>
      <c r="U267" s="248"/>
      <c r="V267" s="194"/>
      <c r="W267" s="249"/>
      <c r="X267" s="250"/>
      <c r="Y267" s="251"/>
      <c r="Z267" s="252"/>
    </row>
    <row r="268" spans="16:26">
      <c r="P268" s="248"/>
      <c r="Q268" s="248"/>
      <c r="R268" s="248"/>
      <c r="S268" s="247"/>
      <c r="T268" s="248"/>
      <c r="U268" s="248"/>
      <c r="V268" s="194"/>
      <c r="W268" s="249"/>
      <c r="X268" s="250"/>
      <c r="Y268" s="251"/>
      <c r="Z268" s="252"/>
    </row>
    <row r="269" spans="16:26">
      <c r="P269" s="248"/>
      <c r="Q269" s="248"/>
      <c r="R269" s="248"/>
      <c r="S269" s="247"/>
      <c r="T269" s="248"/>
      <c r="U269" s="248"/>
      <c r="V269" s="194"/>
      <c r="W269" s="249"/>
      <c r="X269" s="250"/>
      <c r="Y269" s="251"/>
      <c r="Z269" s="252"/>
    </row>
    <row r="270" spans="16:26">
      <c r="P270" s="248"/>
      <c r="Q270" s="248"/>
      <c r="R270" s="248"/>
      <c r="S270" s="247"/>
      <c r="T270" s="248"/>
      <c r="U270" s="248"/>
      <c r="V270" s="194"/>
      <c r="W270" s="249"/>
      <c r="X270" s="250"/>
      <c r="Y270" s="251"/>
      <c r="Z270" s="252"/>
    </row>
    <row r="271" spans="16:26">
      <c r="P271" s="248"/>
      <c r="Q271" s="248"/>
      <c r="R271" s="248"/>
      <c r="S271" s="247"/>
      <c r="T271" s="248"/>
      <c r="U271" s="248"/>
      <c r="V271" s="194"/>
      <c r="W271" s="249"/>
      <c r="X271" s="250"/>
      <c r="Y271" s="251"/>
      <c r="Z271" s="252"/>
    </row>
    <row r="272" spans="16:26">
      <c r="P272" s="248"/>
      <c r="Q272" s="248"/>
      <c r="R272" s="248"/>
      <c r="S272" s="247"/>
      <c r="T272" s="248"/>
      <c r="U272" s="248"/>
      <c r="V272" s="194"/>
      <c r="W272" s="249"/>
      <c r="X272" s="250"/>
      <c r="Y272" s="251"/>
      <c r="Z272" s="252"/>
    </row>
    <row r="273" spans="16:26">
      <c r="P273" s="248"/>
      <c r="Q273" s="248"/>
      <c r="R273" s="248"/>
      <c r="S273" s="247"/>
      <c r="T273" s="248"/>
      <c r="U273" s="248"/>
      <c r="V273" s="194"/>
      <c r="W273" s="249"/>
      <c r="X273" s="250"/>
      <c r="Y273" s="251"/>
      <c r="Z273" s="252"/>
    </row>
    <row r="274" spans="16:26">
      <c r="P274" s="248"/>
      <c r="Q274" s="248"/>
      <c r="R274" s="248"/>
      <c r="S274" s="247"/>
      <c r="T274" s="248"/>
      <c r="U274" s="248"/>
      <c r="V274" s="194"/>
      <c r="W274" s="249"/>
      <c r="X274" s="250"/>
      <c r="Y274" s="251"/>
      <c r="Z274" s="252"/>
    </row>
    <row r="275" spans="16:26">
      <c r="P275" s="248"/>
      <c r="Q275" s="248"/>
      <c r="R275" s="248"/>
      <c r="S275" s="247"/>
      <c r="T275" s="248"/>
      <c r="U275" s="248"/>
      <c r="V275" s="194"/>
      <c r="W275" s="249"/>
      <c r="X275" s="250"/>
      <c r="Y275" s="251"/>
      <c r="Z275" s="252"/>
    </row>
    <row r="276" spans="16:26">
      <c r="P276" s="248"/>
      <c r="Q276" s="248"/>
      <c r="R276" s="248"/>
      <c r="S276" s="247"/>
      <c r="T276" s="248"/>
      <c r="U276" s="248"/>
      <c r="V276" s="194"/>
      <c r="W276" s="249"/>
      <c r="X276" s="250"/>
      <c r="Y276" s="251"/>
      <c r="Z276" s="252"/>
    </row>
    <row r="277" spans="16:26">
      <c r="P277" s="248"/>
      <c r="Q277" s="248"/>
      <c r="R277" s="248"/>
      <c r="S277" s="247"/>
      <c r="T277" s="248"/>
      <c r="U277" s="248"/>
      <c r="V277" s="194"/>
      <c r="W277" s="249"/>
      <c r="X277" s="250"/>
      <c r="Y277" s="251"/>
      <c r="Z277" s="252"/>
    </row>
    <row r="278" spans="16:26">
      <c r="P278" s="248"/>
      <c r="Q278" s="248"/>
      <c r="R278" s="248"/>
      <c r="S278" s="247"/>
      <c r="T278" s="248"/>
      <c r="U278" s="248"/>
      <c r="V278" s="194"/>
      <c r="W278" s="249"/>
      <c r="X278" s="250"/>
      <c r="Y278" s="251"/>
      <c r="Z278" s="252"/>
    </row>
    <row r="279" spans="16:26">
      <c r="P279" s="248"/>
      <c r="Q279" s="248"/>
      <c r="R279" s="248"/>
      <c r="S279" s="247"/>
      <c r="T279" s="248"/>
      <c r="U279" s="248"/>
      <c r="V279" s="194"/>
      <c r="W279" s="249"/>
      <c r="X279" s="250"/>
      <c r="Y279" s="251"/>
      <c r="Z279" s="252"/>
    </row>
    <row r="280" spans="16:26">
      <c r="P280" s="248"/>
      <c r="Q280" s="248"/>
      <c r="R280" s="248"/>
      <c r="S280" s="247"/>
      <c r="T280" s="248"/>
      <c r="U280" s="248"/>
      <c r="V280" s="194"/>
      <c r="W280" s="249"/>
      <c r="X280" s="250"/>
      <c r="Y280" s="251"/>
      <c r="Z280" s="252"/>
    </row>
    <row r="281" spans="16:26">
      <c r="P281" s="248"/>
      <c r="Q281" s="248"/>
      <c r="R281" s="248"/>
      <c r="S281" s="247"/>
      <c r="T281" s="248"/>
      <c r="U281" s="248"/>
      <c r="V281" s="194"/>
      <c r="W281" s="249"/>
      <c r="X281" s="250"/>
      <c r="Y281" s="251"/>
      <c r="Z281" s="252"/>
    </row>
    <row r="282" spans="16:26">
      <c r="P282" s="248"/>
      <c r="Q282" s="248"/>
      <c r="R282" s="248"/>
      <c r="S282" s="247"/>
      <c r="T282" s="248"/>
      <c r="U282" s="248"/>
      <c r="V282" s="194"/>
      <c r="W282" s="249"/>
      <c r="X282" s="250"/>
      <c r="Y282" s="251"/>
      <c r="Z282" s="252"/>
    </row>
    <row r="283" spans="16:26">
      <c r="P283" s="248"/>
      <c r="Q283" s="248"/>
      <c r="R283" s="248"/>
      <c r="S283" s="247"/>
      <c r="T283" s="248"/>
      <c r="U283" s="248"/>
      <c r="V283" s="194"/>
      <c r="W283" s="249"/>
      <c r="X283" s="250"/>
      <c r="Y283" s="251"/>
      <c r="Z283" s="252"/>
    </row>
    <row r="284" spans="16:26">
      <c r="P284" s="248"/>
      <c r="Q284" s="248"/>
      <c r="R284" s="248"/>
      <c r="S284" s="247"/>
      <c r="T284" s="248"/>
      <c r="U284" s="248"/>
      <c r="V284" s="194"/>
      <c r="W284" s="249"/>
      <c r="X284" s="250"/>
      <c r="Y284" s="251"/>
      <c r="Z284" s="252"/>
    </row>
    <row r="285" spans="16:26">
      <c r="P285" s="248"/>
      <c r="Q285" s="248"/>
      <c r="R285" s="248"/>
      <c r="S285" s="247"/>
      <c r="T285" s="248"/>
      <c r="U285" s="248"/>
      <c r="V285" s="194"/>
      <c r="W285" s="249"/>
      <c r="X285" s="250"/>
      <c r="Y285" s="251"/>
      <c r="Z285" s="252"/>
    </row>
    <row r="286" spans="16:26">
      <c r="P286" s="248"/>
      <c r="Q286" s="248"/>
      <c r="R286" s="248"/>
      <c r="S286" s="247"/>
      <c r="T286" s="248"/>
      <c r="U286" s="248"/>
      <c r="V286" s="194"/>
      <c r="W286" s="249"/>
      <c r="X286" s="250"/>
      <c r="Y286" s="251"/>
      <c r="Z286" s="252"/>
    </row>
    <row r="287" spans="16:26">
      <c r="P287" s="248"/>
      <c r="Q287" s="248"/>
      <c r="R287" s="248"/>
      <c r="S287" s="247"/>
      <c r="T287" s="248"/>
      <c r="U287" s="248"/>
      <c r="V287" s="194"/>
      <c r="W287" s="249"/>
      <c r="X287" s="250"/>
      <c r="Y287" s="251"/>
      <c r="Z287" s="252"/>
    </row>
    <row r="288" spans="16:26">
      <c r="P288" s="248"/>
      <c r="Q288" s="248"/>
      <c r="R288" s="248"/>
      <c r="S288" s="247"/>
      <c r="T288" s="248"/>
      <c r="U288" s="248"/>
      <c r="V288" s="194"/>
      <c r="W288" s="249"/>
      <c r="X288" s="250"/>
      <c r="Y288" s="251"/>
      <c r="Z288" s="252"/>
    </row>
    <row r="289" spans="16:26">
      <c r="P289" s="248"/>
      <c r="Q289" s="248"/>
      <c r="R289" s="248"/>
      <c r="S289" s="247"/>
      <c r="T289" s="248"/>
      <c r="U289" s="248"/>
      <c r="V289" s="194"/>
      <c r="W289" s="249"/>
      <c r="X289" s="250"/>
      <c r="Y289" s="251"/>
      <c r="Z289" s="252"/>
    </row>
    <row r="290" spans="16:26">
      <c r="P290" s="248"/>
      <c r="Q290" s="248"/>
      <c r="R290" s="248"/>
      <c r="S290" s="247"/>
      <c r="T290" s="248"/>
      <c r="U290" s="248"/>
      <c r="V290" s="194"/>
      <c r="W290" s="249"/>
      <c r="X290" s="250"/>
      <c r="Y290" s="251"/>
      <c r="Z290" s="252"/>
    </row>
    <row r="291" spans="16:26">
      <c r="P291" s="248"/>
      <c r="Q291" s="248"/>
      <c r="R291" s="248"/>
      <c r="S291" s="247"/>
      <c r="T291" s="248"/>
      <c r="U291" s="248"/>
      <c r="V291" s="194"/>
      <c r="W291" s="249"/>
      <c r="X291" s="250"/>
      <c r="Y291" s="251"/>
      <c r="Z291" s="252"/>
    </row>
    <row r="292" spans="16:26">
      <c r="P292" s="248"/>
      <c r="Q292" s="248"/>
      <c r="R292" s="248"/>
      <c r="S292" s="247"/>
      <c r="T292" s="248"/>
      <c r="U292" s="248"/>
      <c r="V292" s="194"/>
      <c r="W292" s="249"/>
      <c r="X292" s="250"/>
      <c r="Y292" s="251"/>
      <c r="Z292" s="252"/>
    </row>
    <row r="293" spans="16:26">
      <c r="P293" s="248"/>
      <c r="Q293" s="248"/>
      <c r="R293" s="248"/>
      <c r="S293" s="247"/>
      <c r="T293" s="248"/>
      <c r="U293" s="248"/>
      <c r="V293" s="194"/>
      <c r="W293" s="249"/>
      <c r="X293" s="250"/>
      <c r="Y293" s="251"/>
      <c r="Z293" s="252"/>
    </row>
    <row r="294" spans="16:26">
      <c r="P294" s="248"/>
      <c r="Q294" s="248"/>
      <c r="R294" s="248"/>
      <c r="S294" s="247"/>
      <c r="T294" s="248"/>
      <c r="U294" s="248"/>
      <c r="V294" s="194"/>
      <c r="W294" s="249"/>
      <c r="X294" s="250"/>
      <c r="Y294" s="251"/>
      <c r="Z294" s="252"/>
    </row>
    <row r="295" spans="16:26">
      <c r="P295" s="248"/>
      <c r="Q295" s="248"/>
      <c r="R295" s="248"/>
      <c r="S295" s="247"/>
      <c r="T295" s="248"/>
      <c r="U295" s="248"/>
      <c r="V295" s="194"/>
      <c r="W295" s="249"/>
      <c r="X295" s="250"/>
      <c r="Y295" s="251"/>
      <c r="Z295" s="252"/>
    </row>
    <row r="296" spans="16:26">
      <c r="P296" s="248"/>
      <c r="Q296" s="248"/>
      <c r="R296" s="248"/>
      <c r="S296" s="247"/>
      <c r="T296" s="248"/>
      <c r="U296" s="248"/>
      <c r="V296" s="194"/>
      <c r="W296" s="249"/>
      <c r="X296" s="250"/>
      <c r="Y296" s="251"/>
      <c r="Z296" s="252"/>
    </row>
    <row r="297" spans="16:26">
      <c r="P297" s="248"/>
      <c r="Q297" s="248"/>
      <c r="R297" s="248"/>
      <c r="S297" s="247"/>
      <c r="T297" s="248"/>
      <c r="U297" s="248"/>
      <c r="V297" s="194"/>
      <c r="W297" s="249"/>
      <c r="X297" s="250"/>
      <c r="Y297" s="251"/>
      <c r="Z297" s="252"/>
    </row>
    <row r="298" spans="16:26">
      <c r="P298" s="248"/>
      <c r="Q298" s="248"/>
      <c r="R298" s="248"/>
      <c r="S298" s="247"/>
      <c r="T298" s="248"/>
      <c r="U298" s="248"/>
      <c r="V298" s="194"/>
      <c r="W298" s="249"/>
      <c r="X298" s="250"/>
      <c r="Y298" s="251"/>
      <c r="Z298" s="252"/>
    </row>
    <row r="299" spans="16:26">
      <c r="P299" s="248"/>
      <c r="Q299" s="248"/>
      <c r="R299" s="248"/>
      <c r="S299" s="247"/>
      <c r="T299" s="248"/>
      <c r="U299" s="248"/>
      <c r="V299" s="194"/>
      <c r="W299" s="249"/>
      <c r="X299" s="250"/>
      <c r="Y299" s="251"/>
      <c r="Z299" s="252"/>
    </row>
    <row r="300" spans="16:26">
      <c r="P300" s="248"/>
      <c r="Q300" s="248"/>
      <c r="R300" s="248"/>
      <c r="S300" s="247"/>
      <c r="T300" s="248"/>
      <c r="U300" s="248"/>
      <c r="V300" s="194"/>
      <c r="W300" s="249"/>
      <c r="X300" s="250"/>
      <c r="Y300" s="251"/>
      <c r="Z300" s="252"/>
    </row>
    <row r="301" spans="16:26">
      <c r="P301" s="248"/>
      <c r="Q301" s="248"/>
      <c r="R301" s="248"/>
      <c r="S301" s="247"/>
      <c r="T301" s="248"/>
      <c r="U301" s="248"/>
      <c r="V301" s="194"/>
      <c r="W301" s="249"/>
      <c r="X301" s="250"/>
      <c r="Y301" s="251"/>
      <c r="Z301" s="252"/>
    </row>
    <row r="302" spans="16:26">
      <c r="P302" s="248"/>
      <c r="Q302" s="248"/>
      <c r="R302" s="248"/>
      <c r="S302" s="247"/>
      <c r="T302" s="248"/>
      <c r="U302" s="248"/>
      <c r="V302" s="194"/>
      <c r="W302" s="249"/>
      <c r="X302" s="250"/>
      <c r="Y302" s="251"/>
      <c r="Z302" s="252"/>
    </row>
    <row r="303" spans="16:26">
      <c r="P303" s="248"/>
      <c r="Q303" s="248"/>
      <c r="R303" s="248"/>
      <c r="S303" s="247"/>
      <c r="T303" s="248"/>
      <c r="U303" s="248"/>
      <c r="V303" s="194"/>
      <c r="W303" s="249"/>
      <c r="X303" s="250"/>
      <c r="Y303" s="251"/>
      <c r="Z303" s="252"/>
    </row>
    <row r="304" spans="16:26">
      <c r="P304" s="248"/>
      <c r="Q304" s="248"/>
      <c r="R304" s="248"/>
      <c r="S304" s="247"/>
      <c r="T304" s="248"/>
      <c r="U304" s="248"/>
      <c r="V304" s="194"/>
      <c r="W304" s="249"/>
      <c r="X304" s="250"/>
      <c r="Y304" s="251"/>
      <c r="Z304" s="252"/>
    </row>
    <row r="305" spans="16:26">
      <c r="P305" s="248"/>
      <c r="Q305" s="248"/>
      <c r="R305" s="248"/>
      <c r="S305" s="247"/>
      <c r="T305" s="248"/>
      <c r="U305" s="248"/>
      <c r="V305" s="194"/>
      <c r="W305" s="249"/>
      <c r="X305" s="250"/>
      <c r="Y305" s="251"/>
      <c r="Z305" s="252"/>
    </row>
    <row r="306" spans="16:26">
      <c r="P306" s="248"/>
      <c r="Q306" s="248"/>
      <c r="R306" s="248"/>
      <c r="S306" s="247"/>
      <c r="T306" s="248"/>
      <c r="U306" s="248"/>
      <c r="V306" s="194"/>
      <c r="W306" s="249"/>
      <c r="X306" s="250"/>
      <c r="Y306" s="251"/>
      <c r="Z306" s="252"/>
    </row>
    <row r="307" spans="16:26">
      <c r="P307" s="248"/>
      <c r="Q307" s="248"/>
      <c r="R307" s="248"/>
      <c r="S307" s="247"/>
      <c r="T307" s="248"/>
      <c r="U307" s="248"/>
      <c r="V307" s="194"/>
      <c r="W307" s="249"/>
      <c r="X307" s="250"/>
      <c r="Y307" s="251"/>
      <c r="Z307" s="252"/>
    </row>
    <row r="308" spans="16:26">
      <c r="P308" s="248"/>
      <c r="Q308" s="248"/>
      <c r="R308" s="248"/>
      <c r="S308" s="247"/>
      <c r="T308" s="248"/>
      <c r="U308" s="248"/>
      <c r="V308" s="194"/>
      <c r="W308" s="249"/>
      <c r="X308" s="250"/>
      <c r="Y308" s="251"/>
      <c r="Z308" s="252"/>
    </row>
    <row r="309" spans="16:26">
      <c r="P309" s="248"/>
      <c r="Q309" s="248"/>
      <c r="R309" s="248"/>
      <c r="S309" s="247"/>
      <c r="T309" s="248"/>
      <c r="U309" s="248"/>
      <c r="V309" s="194"/>
      <c r="W309" s="249"/>
      <c r="X309" s="250"/>
      <c r="Y309" s="251"/>
      <c r="Z309" s="252"/>
    </row>
    <row r="310" spans="16:26">
      <c r="P310" s="248"/>
      <c r="Q310" s="248"/>
      <c r="R310" s="248"/>
      <c r="S310" s="247"/>
      <c r="T310" s="248"/>
      <c r="U310" s="248"/>
      <c r="V310" s="194"/>
      <c r="W310" s="249"/>
      <c r="X310" s="250"/>
      <c r="Y310" s="251"/>
      <c r="Z310" s="252"/>
    </row>
    <row r="311" spans="16:26">
      <c r="P311" s="248"/>
      <c r="Q311" s="248"/>
      <c r="R311" s="248"/>
      <c r="S311" s="247"/>
      <c r="T311" s="248"/>
      <c r="U311" s="248"/>
      <c r="V311" s="194"/>
      <c r="W311" s="249"/>
      <c r="X311" s="250"/>
      <c r="Y311" s="251"/>
      <c r="Z311" s="252"/>
    </row>
    <row r="312" spans="16:26">
      <c r="P312" s="248"/>
      <c r="Q312" s="248"/>
      <c r="R312" s="248"/>
      <c r="S312" s="247"/>
      <c r="T312" s="248"/>
      <c r="U312" s="248"/>
      <c r="V312" s="194"/>
      <c r="W312" s="249"/>
      <c r="X312" s="250"/>
      <c r="Y312" s="251"/>
      <c r="Z312" s="252"/>
    </row>
    <row r="313" spans="16:26">
      <c r="P313" s="248"/>
      <c r="Q313" s="248"/>
      <c r="R313" s="248"/>
      <c r="S313" s="247"/>
      <c r="T313" s="248"/>
      <c r="U313" s="248"/>
      <c r="V313" s="194"/>
      <c r="W313" s="249"/>
      <c r="X313" s="250"/>
      <c r="Y313" s="251"/>
      <c r="Z313" s="252"/>
    </row>
    <row r="314" spans="16:26">
      <c r="P314" s="248"/>
      <c r="Q314" s="248"/>
      <c r="R314" s="248"/>
      <c r="S314" s="247"/>
      <c r="T314" s="248"/>
      <c r="U314" s="248"/>
      <c r="V314" s="194"/>
      <c r="W314" s="249"/>
      <c r="X314" s="250"/>
      <c r="Y314" s="251"/>
      <c r="Z314" s="252"/>
    </row>
    <row r="315" spans="16:26">
      <c r="P315" s="248"/>
      <c r="Q315" s="248"/>
      <c r="R315" s="248"/>
      <c r="S315" s="247"/>
      <c r="T315" s="248"/>
      <c r="U315" s="248"/>
      <c r="V315" s="194"/>
      <c r="W315" s="249"/>
      <c r="X315" s="250"/>
      <c r="Y315" s="251"/>
      <c r="Z315" s="252"/>
    </row>
    <row r="316" spans="16:26">
      <c r="P316" s="248"/>
      <c r="Q316" s="248"/>
      <c r="R316" s="248"/>
      <c r="S316" s="247"/>
      <c r="T316" s="248"/>
      <c r="U316" s="248"/>
      <c r="V316" s="194"/>
      <c r="W316" s="249"/>
      <c r="X316" s="250"/>
      <c r="Y316" s="251"/>
      <c r="Z316" s="252"/>
    </row>
    <row r="317" spans="16:26">
      <c r="P317" s="248"/>
      <c r="Q317" s="248"/>
      <c r="R317" s="248"/>
      <c r="S317" s="247"/>
      <c r="T317" s="248"/>
      <c r="U317" s="248"/>
      <c r="V317" s="194"/>
      <c r="W317" s="249"/>
      <c r="X317" s="250"/>
      <c r="Y317" s="251"/>
      <c r="Z317" s="252"/>
    </row>
    <row r="318" spans="16:26">
      <c r="P318" s="248"/>
      <c r="Q318" s="248"/>
      <c r="R318" s="248"/>
      <c r="S318" s="247"/>
      <c r="T318" s="248"/>
      <c r="U318" s="248"/>
      <c r="V318" s="194"/>
      <c r="W318" s="249"/>
      <c r="X318" s="250"/>
      <c r="Y318" s="251"/>
      <c r="Z318" s="252"/>
    </row>
    <row r="319" spans="16:26">
      <c r="P319" s="248"/>
      <c r="Q319" s="248"/>
      <c r="R319" s="248"/>
      <c r="S319" s="247"/>
      <c r="T319" s="248"/>
      <c r="U319" s="248"/>
      <c r="V319" s="194"/>
      <c r="W319" s="249"/>
      <c r="X319" s="250"/>
      <c r="Y319" s="251"/>
      <c r="Z319" s="252"/>
    </row>
    <row r="320" spans="16:26">
      <c r="P320" s="248"/>
      <c r="Q320" s="248"/>
      <c r="R320" s="248"/>
      <c r="S320" s="247"/>
      <c r="T320" s="248"/>
      <c r="U320" s="248"/>
      <c r="V320" s="194"/>
      <c r="W320" s="249"/>
      <c r="X320" s="250"/>
      <c r="Y320" s="251"/>
      <c r="Z320" s="252"/>
    </row>
    <row r="321" spans="16:26">
      <c r="P321" s="248"/>
      <c r="Q321" s="248"/>
      <c r="R321" s="248"/>
      <c r="S321" s="247"/>
      <c r="T321" s="248"/>
      <c r="U321" s="248"/>
      <c r="V321" s="194"/>
      <c r="W321" s="249"/>
      <c r="X321" s="250"/>
      <c r="Y321" s="251"/>
      <c r="Z321" s="252"/>
    </row>
    <row r="322" spans="16:26">
      <c r="P322" s="248"/>
      <c r="Q322" s="248"/>
      <c r="R322" s="248"/>
      <c r="S322" s="247"/>
      <c r="T322" s="248"/>
      <c r="U322" s="248"/>
      <c r="V322" s="194"/>
      <c r="W322" s="249"/>
      <c r="X322" s="250"/>
      <c r="Y322" s="251"/>
      <c r="Z322" s="252"/>
    </row>
    <row r="323" spans="16:26">
      <c r="P323" s="248"/>
      <c r="Q323" s="248"/>
      <c r="R323" s="248"/>
      <c r="S323" s="247"/>
      <c r="T323" s="248"/>
      <c r="U323" s="248"/>
      <c r="V323" s="194"/>
      <c r="W323" s="249"/>
      <c r="X323" s="250"/>
      <c r="Y323" s="251"/>
      <c r="Z323" s="252"/>
    </row>
    <row r="324" spans="16:26">
      <c r="P324" s="248"/>
      <c r="Q324" s="248"/>
      <c r="R324" s="248"/>
      <c r="S324" s="247"/>
      <c r="T324" s="248"/>
      <c r="U324" s="248"/>
      <c r="V324" s="194"/>
      <c r="W324" s="249"/>
      <c r="X324" s="250"/>
      <c r="Y324" s="251"/>
      <c r="Z324" s="252"/>
    </row>
    <row r="325" spans="16:26">
      <c r="P325" s="248"/>
      <c r="Q325" s="248"/>
      <c r="R325" s="248"/>
      <c r="S325" s="247"/>
      <c r="T325" s="248"/>
      <c r="U325" s="248"/>
      <c r="V325" s="194"/>
      <c r="W325" s="249"/>
      <c r="X325" s="250"/>
      <c r="Y325" s="251"/>
      <c r="Z325" s="252"/>
    </row>
    <row r="326" spans="16:26">
      <c r="P326" s="248"/>
      <c r="Q326" s="248"/>
      <c r="R326" s="248"/>
      <c r="S326" s="247"/>
      <c r="T326" s="248"/>
      <c r="U326" s="248"/>
      <c r="V326" s="194"/>
      <c r="W326" s="249"/>
      <c r="X326" s="250"/>
      <c r="Y326" s="251"/>
      <c r="Z326" s="252"/>
    </row>
    <row r="327" spans="16:26">
      <c r="P327" s="248"/>
      <c r="Q327" s="248"/>
      <c r="R327" s="248"/>
      <c r="S327" s="247"/>
      <c r="T327" s="248"/>
      <c r="U327" s="248"/>
      <c r="V327" s="194"/>
      <c r="W327" s="249"/>
      <c r="X327" s="250"/>
      <c r="Y327" s="251"/>
      <c r="Z327" s="252"/>
    </row>
    <row r="328" spans="16:26">
      <c r="P328" s="248"/>
      <c r="Q328" s="248"/>
      <c r="R328" s="248"/>
      <c r="S328" s="247"/>
      <c r="T328" s="248"/>
      <c r="U328" s="248"/>
      <c r="V328" s="194"/>
      <c r="W328" s="249"/>
      <c r="X328" s="250"/>
      <c r="Y328" s="251"/>
      <c r="Z328" s="252"/>
    </row>
    <row r="329" spans="16:26">
      <c r="P329" s="248"/>
      <c r="Q329" s="248"/>
      <c r="R329" s="248"/>
      <c r="S329" s="247"/>
      <c r="T329" s="248"/>
      <c r="U329" s="248"/>
      <c r="V329" s="194"/>
      <c r="W329" s="249"/>
      <c r="X329" s="250"/>
      <c r="Y329" s="251"/>
      <c r="Z329" s="252"/>
    </row>
    <row r="330" spans="16:26">
      <c r="P330" s="248"/>
      <c r="Q330" s="248"/>
      <c r="R330" s="248"/>
      <c r="S330" s="247"/>
      <c r="T330" s="248"/>
      <c r="U330" s="248"/>
      <c r="V330" s="194"/>
      <c r="W330" s="249"/>
      <c r="X330" s="250"/>
      <c r="Y330" s="251"/>
      <c r="Z330" s="252"/>
    </row>
    <row r="331" spans="16:26">
      <c r="P331" s="248"/>
      <c r="Q331" s="248"/>
      <c r="R331" s="248"/>
      <c r="S331" s="247"/>
      <c r="T331" s="248"/>
      <c r="U331" s="248"/>
      <c r="V331" s="194"/>
      <c r="W331" s="249"/>
      <c r="X331" s="250"/>
      <c r="Y331" s="251"/>
      <c r="Z331" s="252"/>
    </row>
    <row r="332" spans="16:26">
      <c r="P332" s="248"/>
      <c r="Q332" s="248"/>
      <c r="R332" s="248"/>
      <c r="S332" s="247"/>
      <c r="T332" s="248"/>
      <c r="U332" s="248"/>
      <c r="V332" s="194"/>
      <c r="W332" s="249"/>
      <c r="X332" s="250"/>
      <c r="Y332" s="251"/>
      <c r="Z332" s="252"/>
    </row>
    <row r="333" spans="16:26">
      <c r="P333" s="248"/>
      <c r="Q333" s="248"/>
      <c r="R333" s="248"/>
      <c r="S333" s="247"/>
      <c r="T333" s="248"/>
      <c r="U333" s="248"/>
      <c r="V333" s="194"/>
      <c r="W333" s="249"/>
      <c r="X333" s="250"/>
      <c r="Y333" s="251"/>
      <c r="Z333" s="252"/>
    </row>
    <row r="334" spans="16:26">
      <c r="P334" s="248"/>
      <c r="Q334" s="248"/>
      <c r="R334" s="248"/>
      <c r="S334" s="247"/>
      <c r="T334" s="248"/>
      <c r="U334" s="248"/>
      <c r="V334" s="194"/>
      <c r="W334" s="249"/>
      <c r="X334" s="250"/>
      <c r="Y334" s="251"/>
      <c r="Z334" s="252"/>
    </row>
    <row r="335" spans="16:26">
      <c r="P335" s="248"/>
      <c r="Q335" s="248"/>
      <c r="R335" s="248"/>
      <c r="S335" s="247"/>
      <c r="T335" s="248"/>
      <c r="U335" s="248"/>
      <c r="V335" s="194"/>
      <c r="W335" s="249"/>
      <c r="X335" s="250"/>
      <c r="Y335" s="251"/>
      <c r="Z335" s="252"/>
    </row>
    <row r="336" spans="16:26">
      <c r="P336" s="248"/>
      <c r="Q336" s="248"/>
      <c r="R336" s="248"/>
      <c r="S336" s="247"/>
      <c r="T336" s="248"/>
      <c r="U336" s="248"/>
      <c r="V336" s="194"/>
      <c r="W336" s="249"/>
      <c r="X336" s="250"/>
      <c r="Y336" s="251"/>
      <c r="Z336" s="252"/>
    </row>
    <row r="337" spans="16:26">
      <c r="P337" s="248"/>
      <c r="Q337" s="248"/>
      <c r="R337" s="248"/>
      <c r="S337" s="247"/>
      <c r="T337" s="248"/>
      <c r="U337" s="248"/>
      <c r="V337" s="194"/>
      <c r="W337" s="249"/>
      <c r="X337" s="250"/>
      <c r="Y337" s="251"/>
      <c r="Z337" s="252"/>
    </row>
    <row r="338" spans="16:26">
      <c r="P338" s="248"/>
      <c r="Q338" s="248"/>
      <c r="R338" s="248"/>
      <c r="S338" s="247"/>
      <c r="T338" s="248"/>
      <c r="U338" s="248"/>
      <c r="V338" s="194"/>
      <c r="W338" s="249"/>
      <c r="X338" s="250"/>
      <c r="Y338" s="251"/>
      <c r="Z338" s="252"/>
    </row>
    <row r="339" spans="16:26">
      <c r="P339" s="248"/>
      <c r="Q339" s="248"/>
      <c r="R339" s="248"/>
      <c r="S339" s="247"/>
      <c r="T339" s="248"/>
      <c r="U339" s="248"/>
      <c r="V339" s="194"/>
      <c r="W339" s="249"/>
      <c r="X339" s="250"/>
      <c r="Y339" s="251"/>
      <c r="Z339" s="252"/>
    </row>
    <row r="340" spans="16:26">
      <c r="P340" s="248"/>
      <c r="Q340" s="248"/>
      <c r="R340" s="248"/>
      <c r="S340" s="247"/>
      <c r="T340" s="248"/>
      <c r="U340" s="248"/>
      <c r="V340" s="194"/>
      <c r="W340" s="249"/>
      <c r="X340" s="250"/>
      <c r="Y340" s="251"/>
      <c r="Z340" s="252"/>
    </row>
    <row r="341" spans="16:26">
      <c r="P341" s="248"/>
      <c r="Q341" s="248"/>
      <c r="R341" s="248"/>
      <c r="S341" s="247"/>
      <c r="T341" s="248"/>
      <c r="U341" s="248"/>
      <c r="V341" s="194"/>
      <c r="W341" s="249"/>
      <c r="X341" s="250"/>
      <c r="Y341" s="251"/>
      <c r="Z341" s="252"/>
    </row>
    <row r="342" spans="16:26">
      <c r="P342" s="248"/>
      <c r="Q342" s="248"/>
      <c r="R342" s="248"/>
      <c r="S342" s="247"/>
      <c r="T342" s="248"/>
      <c r="U342" s="248"/>
      <c r="V342" s="194"/>
      <c r="W342" s="249"/>
      <c r="X342" s="250"/>
      <c r="Y342" s="251"/>
      <c r="Z342" s="252"/>
    </row>
    <row r="343" spans="16:26">
      <c r="P343" s="248"/>
      <c r="Q343" s="248"/>
      <c r="R343" s="248"/>
      <c r="S343" s="247"/>
      <c r="T343" s="248"/>
      <c r="U343" s="248"/>
      <c r="V343" s="194"/>
      <c r="W343" s="249"/>
      <c r="X343" s="250"/>
      <c r="Y343" s="251"/>
      <c r="Z343" s="252"/>
    </row>
    <row r="344" spans="16:26">
      <c r="P344" s="248"/>
      <c r="Q344" s="248"/>
      <c r="R344" s="248"/>
      <c r="S344" s="247"/>
      <c r="T344" s="248"/>
      <c r="U344" s="248"/>
      <c r="V344" s="194"/>
      <c r="W344" s="249"/>
      <c r="X344" s="250"/>
      <c r="Y344" s="251"/>
      <c r="Z344" s="252"/>
    </row>
    <row r="345" spans="16:26">
      <c r="P345" s="248"/>
      <c r="Q345" s="248"/>
      <c r="R345" s="248"/>
      <c r="S345" s="247"/>
      <c r="T345" s="248"/>
      <c r="U345" s="248"/>
      <c r="V345" s="194"/>
      <c r="W345" s="249"/>
      <c r="X345" s="250"/>
      <c r="Y345" s="251"/>
      <c r="Z345" s="252"/>
    </row>
    <row r="346" spans="16:26">
      <c r="P346" s="248"/>
      <c r="Q346" s="248"/>
      <c r="R346" s="248"/>
      <c r="S346" s="247"/>
      <c r="T346" s="248"/>
      <c r="U346" s="248"/>
      <c r="V346" s="194"/>
      <c r="W346" s="249"/>
      <c r="X346" s="250"/>
      <c r="Y346" s="251"/>
      <c r="Z346" s="252"/>
    </row>
    <row r="347" spans="16:26">
      <c r="P347" s="248"/>
      <c r="Q347" s="248"/>
      <c r="R347" s="248"/>
      <c r="S347" s="247"/>
      <c r="T347" s="248"/>
      <c r="U347" s="248"/>
      <c r="V347" s="194"/>
      <c r="W347" s="249"/>
      <c r="X347" s="250"/>
      <c r="Y347" s="251"/>
      <c r="Z347" s="252"/>
    </row>
    <row r="348" spans="16:26">
      <c r="P348" s="248"/>
      <c r="Q348" s="248"/>
      <c r="R348" s="248"/>
      <c r="S348" s="247"/>
      <c r="T348" s="248"/>
      <c r="U348" s="248"/>
      <c r="V348" s="194"/>
      <c r="W348" s="249"/>
      <c r="X348" s="250"/>
      <c r="Y348" s="251"/>
      <c r="Z348" s="252"/>
    </row>
    <row r="349" spans="16:26">
      <c r="P349" s="248"/>
      <c r="Q349" s="248"/>
      <c r="R349" s="248"/>
      <c r="S349" s="247"/>
      <c r="T349" s="248"/>
      <c r="U349" s="248"/>
      <c r="V349" s="194"/>
      <c r="W349" s="249"/>
      <c r="X349" s="250"/>
      <c r="Y349" s="251"/>
      <c r="Z349" s="252"/>
    </row>
    <row r="350" spans="16:26">
      <c r="P350" s="248"/>
      <c r="Q350" s="248"/>
      <c r="R350" s="248"/>
      <c r="S350" s="247"/>
      <c r="T350" s="248"/>
      <c r="U350" s="248"/>
      <c r="V350" s="194"/>
      <c r="W350" s="249"/>
      <c r="X350" s="250"/>
      <c r="Y350" s="251"/>
      <c r="Z350" s="252"/>
    </row>
    <row r="351" spans="16:26">
      <c r="P351" s="248"/>
      <c r="Q351" s="248"/>
      <c r="R351" s="248"/>
      <c r="S351" s="247"/>
      <c r="T351" s="248"/>
      <c r="U351" s="248"/>
      <c r="V351" s="194"/>
      <c r="W351" s="249"/>
      <c r="X351" s="250"/>
      <c r="Y351" s="251"/>
      <c r="Z351" s="252"/>
    </row>
    <row r="352" spans="16:26">
      <c r="P352" s="248"/>
      <c r="Q352" s="248"/>
      <c r="R352" s="248"/>
      <c r="S352" s="247"/>
      <c r="T352" s="248"/>
      <c r="U352" s="248"/>
      <c r="V352" s="194"/>
      <c r="W352" s="249"/>
      <c r="X352" s="250"/>
      <c r="Y352" s="251"/>
      <c r="Z352" s="252"/>
    </row>
    <row r="353" spans="16:26">
      <c r="P353" s="248"/>
      <c r="Q353" s="248"/>
      <c r="R353" s="248"/>
      <c r="S353" s="247"/>
      <c r="T353" s="248"/>
      <c r="U353" s="248"/>
      <c r="V353" s="194"/>
      <c r="W353" s="249"/>
      <c r="X353" s="250"/>
      <c r="Y353" s="251"/>
      <c r="Z353" s="252"/>
    </row>
    <row r="354" spans="16:26">
      <c r="P354" s="248"/>
      <c r="Q354" s="248"/>
      <c r="R354" s="248"/>
      <c r="S354" s="247"/>
      <c r="T354" s="248"/>
      <c r="U354" s="248"/>
      <c r="V354" s="194"/>
      <c r="W354" s="249"/>
      <c r="X354" s="250"/>
      <c r="Y354" s="251"/>
      <c r="Z354" s="252"/>
    </row>
    <row r="355" spans="16:26">
      <c r="P355" s="248"/>
      <c r="Q355" s="248"/>
      <c r="R355" s="248"/>
      <c r="S355" s="247"/>
      <c r="T355" s="248"/>
      <c r="U355" s="248"/>
      <c r="V355" s="194"/>
      <c r="W355" s="249"/>
      <c r="X355" s="250"/>
      <c r="Y355" s="251"/>
      <c r="Z355" s="252"/>
    </row>
    <row r="356" spans="16:26">
      <c r="P356" s="248"/>
      <c r="Q356" s="248"/>
      <c r="R356" s="248"/>
      <c r="S356" s="247"/>
      <c r="T356" s="248"/>
      <c r="U356" s="248"/>
      <c r="V356" s="194"/>
      <c r="W356" s="249"/>
      <c r="X356" s="250"/>
      <c r="Y356" s="251"/>
      <c r="Z356" s="252"/>
    </row>
    <row r="357" spans="16:26">
      <c r="P357" s="248"/>
      <c r="Q357" s="248"/>
      <c r="R357" s="248"/>
      <c r="S357" s="247"/>
      <c r="T357" s="248"/>
      <c r="U357" s="248"/>
      <c r="V357" s="194"/>
      <c r="W357" s="249"/>
      <c r="X357" s="250"/>
      <c r="Y357" s="251"/>
      <c r="Z357" s="252"/>
    </row>
    <row r="358" spans="16:26">
      <c r="P358" s="248"/>
      <c r="Q358" s="248"/>
      <c r="R358" s="248"/>
      <c r="S358" s="247"/>
      <c r="T358" s="248"/>
      <c r="U358" s="248"/>
      <c r="V358" s="194"/>
      <c r="W358" s="249"/>
      <c r="X358" s="250"/>
      <c r="Y358" s="251"/>
      <c r="Z358" s="252"/>
    </row>
    <row r="359" spans="16:26">
      <c r="P359" s="248"/>
      <c r="Q359" s="248"/>
      <c r="R359" s="248"/>
      <c r="S359" s="247"/>
      <c r="T359" s="248"/>
      <c r="U359" s="248"/>
      <c r="V359" s="194"/>
      <c r="W359" s="249"/>
      <c r="X359" s="250"/>
      <c r="Y359" s="251"/>
      <c r="Z359" s="252"/>
    </row>
    <row r="360" spans="16:26">
      <c r="P360" s="248"/>
      <c r="Q360" s="248"/>
      <c r="R360" s="248"/>
      <c r="S360" s="247"/>
      <c r="T360" s="248"/>
      <c r="U360" s="248"/>
      <c r="V360" s="194"/>
      <c r="W360" s="249"/>
      <c r="X360" s="250"/>
      <c r="Y360" s="251"/>
      <c r="Z360" s="252"/>
    </row>
    <row r="361" spans="16:26">
      <c r="P361" s="248"/>
      <c r="Q361" s="248"/>
      <c r="R361" s="248"/>
      <c r="S361" s="247"/>
      <c r="T361" s="248"/>
      <c r="U361" s="248"/>
      <c r="V361" s="194"/>
      <c r="W361" s="249"/>
      <c r="X361" s="250"/>
      <c r="Y361" s="251"/>
      <c r="Z361" s="252"/>
    </row>
    <row r="362" spans="16:26">
      <c r="P362" s="248"/>
      <c r="Q362" s="248"/>
      <c r="R362" s="248"/>
      <c r="S362" s="247"/>
      <c r="T362" s="248"/>
      <c r="U362" s="248"/>
      <c r="V362" s="194"/>
      <c r="W362" s="249"/>
      <c r="X362" s="250"/>
      <c r="Y362" s="251"/>
      <c r="Z362" s="252"/>
    </row>
    <row r="363" spans="16:26">
      <c r="P363" s="248"/>
      <c r="Q363" s="248"/>
      <c r="R363" s="248"/>
      <c r="S363" s="247"/>
      <c r="T363" s="248"/>
      <c r="U363" s="248"/>
      <c r="V363" s="194"/>
      <c r="W363" s="249"/>
      <c r="X363" s="250"/>
      <c r="Y363" s="251"/>
      <c r="Z363" s="252"/>
    </row>
    <row r="364" spans="16:26">
      <c r="P364" s="248"/>
      <c r="Q364" s="248"/>
      <c r="R364" s="248"/>
      <c r="S364" s="247"/>
      <c r="T364" s="248"/>
      <c r="U364" s="248"/>
      <c r="V364" s="194"/>
      <c r="W364" s="249"/>
      <c r="X364" s="250"/>
      <c r="Y364" s="251"/>
      <c r="Z364" s="252"/>
    </row>
    <row r="365" spans="16:26">
      <c r="P365" s="248"/>
      <c r="Q365" s="248"/>
      <c r="R365" s="248"/>
      <c r="S365" s="247"/>
      <c r="T365" s="248"/>
      <c r="U365" s="248"/>
      <c r="V365" s="194"/>
      <c r="W365" s="249"/>
      <c r="X365" s="250"/>
      <c r="Y365" s="251"/>
      <c r="Z365" s="252"/>
    </row>
    <row r="366" spans="16:26">
      <c r="P366" s="248"/>
      <c r="Q366" s="248"/>
      <c r="R366" s="248"/>
      <c r="S366" s="247"/>
      <c r="T366" s="248"/>
      <c r="U366" s="248"/>
      <c r="V366" s="194"/>
      <c r="W366" s="249"/>
      <c r="X366" s="250"/>
      <c r="Y366" s="251"/>
      <c r="Z366" s="252"/>
    </row>
    <row r="367" spans="16:26">
      <c r="P367" s="248"/>
      <c r="Q367" s="248"/>
      <c r="R367" s="248"/>
      <c r="S367" s="247"/>
      <c r="T367" s="248"/>
      <c r="U367" s="248"/>
      <c r="V367" s="194"/>
      <c r="W367" s="249"/>
      <c r="X367" s="250"/>
      <c r="Y367" s="251"/>
      <c r="Z367" s="252"/>
    </row>
    <row r="368" spans="16:26">
      <c r="P368" s="248"/>
      <c r="Q368" s="248"/>
      <c r="R368" s="248"/>
      <c r="S368" s="247"/>
      <c r="T368" s="248"/>
      <c r="U368" s="248"/>
      <c r="V368" s="194"/>
      <c r="W368" s="249"/>
      <c r="X368" s="250"/>
      <c r="Y368" s="251"/>
      <c r="Z368" s="252"/>
    </row>
    <row r="369" spans="16:26">
      <c r="P369" s="248"/>
      <c r="Q369" s="248"/>
      <c r="R369" s="248"/>
      <c r="S369" s="247"/>
      <c r="T369" s="248"/>
      <c r="U369" s="248"/>
      <c r="V369" s="194"/>
      <c r="W369" s="249"/>
      <c r="X369" s="250"/>
      <c r="Y369" s="251"/>
      <c r="Z369" s="252"/>
    </row>
    <row r="370" spans="16:26">
      <c r="P370" s="248"/>
      <c r="Q370" s="248"/>
      <c r="R370" s="248"/>
      <c r="S370" s="247"/>
      <c r="T370" s="248"/>
      <c r="U370" s="248"/>
      <c r="V370" s="194"/>
      <c r="W370" s="249"/>
      <c r="X370" s="250"/>
      <c r="Y370" s="251"/>
      <c r="Z370" s="252"/>
    </row>
    <row r="371" spans="16:26">
      <c r="P371" s="248"/>
      <c r="Q371" s="248"/>
      <c r="R371" s="248"/>
      <c r="S371" s="247"/>
      <c r="T371" s="248"/>
      <c r="U371" s="248"/>
      <c r="V371" s="194"/>
      <c r="W371" s="249"/>
      <c r="X371" s="250"/>
      <c r="Y371" s="251"/>
      <c r="Z371" s="252"/>
    </row>
    <row r="372" spans="16:26">
      <c r="P372" s="248"/>
      <c r="Q372" s="248"/>
      <c r="R372" s="248"/>
      <c r="S372" s="247"/>
      <c r="T372" s="248"/>
      <c r="U372" s="248"/>
      <c r="V372" s="194"/>
      <c r="W372" s="249"/>
      <c r="X372" s="250"/>
      <c r="Y372" s="251"/>
      <c r="Z372" s="252"/>
    </row>
    <row r="373" spans="16:26">
      <c r="P373" s="248"/>
      <c r="Q373" s="248"/>
      <c r="R373" s="248"/>
      <c r="S373" s="247"/>
      <c r="T373" s="248"/>
      <c r="U373" s="248"/>
      <c r="V373" s="194"/>
      <c r="W373" s="249"/>
      <c r="X373" s="250"/>
      <c r="Y373" s="251"/>
      <c r="Z373" s="252"/>
    </row>
    <row r="374" spans="16:26">
      <c r="P374" s="248"/>
      <c r="Q374" s="248"/>
      <c r="R374" s="248"/>
      <c r="S374" s="247"/>
      <c r="T374" s="248"/>
      <c r="U374" s="248"/>
      <c r="V374" s="194"/>
      <c r="W374" s="249"/>
      <c r="X374" s="250"/>
      <c r="Y374" s="251"/>
      <c r="Z374" s="252"/>
    </row>
    <row r="375" spans="16:26">
      <c r="P375" s="248"/>
      <c r="Q375" s="248"/>
      <c r="R375" s="248"/>
      <c r="S375" s="247"/>
      <c r="T375" s="248"/>
      <c r="U375" s="248"/>
      <c r="V375" s="194"/>
      <c r="W375" s="249"/>
      <c r="X375" s="250"/>
      <c r="Y375" s="251"/>
      <c r="Z375" s="252"/>
    </row>
    <row r="376" spans="16:26">
      <c r="P376" s="248"/>
      <c r="Q376" s="248"/>
      <c r="R376" s="248"/>
      <c r="S376" s="247"/>
      <c r="T376" s="248"/>
      <c r="U376" s="248"/>
      <c r="V376" s="194"/>
      <c r="W376" s="249"/>
      <c r="X376" s="250"/>
      <c r="Y376" s="251"/>
      <c r="Z376" s="252"/>
    </row>
    <row r="377" spans="16:26">
      <c r="P377" s="248"/>
      <c r="Q377" s="248"/>
      <c r="R377" s="248"/>
      <c r="S377" s="247"/>
      <c r="T377" s="248"/>
      <c r="U377" s="248"/>
      <c r="V377" s="194"/>
      <c r="W377" s="249"/>
      <c r="X377" s="250"/>
      <c r="Y377" s="251"/>
      <c r="Z377" s="252"/>
    </row>
    <row r="378" spans="16:26">
      <c r="P378" s="248"/>
      <c r="Q378" s="248"/>
      <c r="R378" s="248"/>
      <c r="S378" s="247"/>
      <c r="T378" s="248"/>
      <c r="U378" s="248"/>
      <c r="V378" s="194"/>
      <c r="W378" s="249"/>
      <c r="X378" s="250"/>
      <c r="Y378" s="251"/>
      <c r="Z378" s="252"/>
    </row>
    <row r="379" spans="16:26">
      <c r="P379" s="248"/>
      <c r="Q379" s="248"/>
      <c r="R379" s="248"/>
      <c r="S379" s="247"/>
      <c r="T379" s="248"/>
      <c r="U379" s="248"/>
      <c r="V379" s="194"/>
      <c r="W379" s="249"/>
      <c r="X379" s="250"/>
      <c r="Y379" s="251"/>
      <c r="Z379" s="252"/>
    </row>
    <row r="380" spans="16:26">
      <c r="P380" s="248"/>
      <c r="Q380" s="248"/>
      <c r="R380" s="248"/>
      <c r="S380" s="247"/>
      <c r="T380" s="248"/>
      <c r="U380" s="248"/>
      <c r="V380" s="194"/>
      <c r="W380" s="249"/>
      <c r="X380" s="250"/>
      <c r="Y380" s="251"/>
      <c r="Z380" s="252"/>
    </row>
    <row r="381" spans="16:26">
      <c r="P381" s="248"/>
      <c r="Q381" s="248"/>
      <c r="R381" s="248"/>
      <c r="S381" s="247"/>
      <c r="T381" s="248"/>
      <c r="U381" s="248"/>
      <c r="V381" s="194"/>
      <c r="W381" s="249"/>
      <c r="X381" s="250"/>
      <c r="Y381" s="251"/>
      <c r="Z381" s="252"/>
    </row>
    <row r="382" spans="16:26">
      <c r="P382" s="248"/>
      <c r="Q382" s="248"/>
      <c r="R382" s="248"/>
      <c r="S382" s="247"/>
      <c r="T382" s="248"/>
      <c r="U382" s="248"/>
      <c r="V382" s="194"/>
      <c r="W382" s="249"/>
      <c r="X382" s="250"/>
      <c r="Y382" s="251"/>
      <c r="Z382" s="252"/>
    </row>
    <row r="383" spans="16:26">
      <c r="P383" s="248"/>
      <c r="Q383" s="248"/>
      <c r="R383" s="248"/>
      <c r="S383" s="247"/>
      <c r="T383" s="248"/>
      <c r="U383" s="248"/>
      <c r="V383" s="194"/>
      <c r="W383" s="249"/>
      <c r="X383" s="250"/>
      <c r="Y383" s="251"/>
      <c r="Z383" s="252"/>
    </row>
    <row r="384" spans="16:26">
      <c r="P384" s="248"/>
      <c r="Q384" s="248"/>
      <c r="R384" s="248"/>
      <c r="S384" s="247"/>
      <c r="T384" s="248"/>
      <c r="U384" s="248"/>
      <c r="V384" s="194"/>
      <c r="W384" s="249"/>
      <c r="X384" s="250"/>
      <c r="Y384" s="251"/>
      <c r="Z384" s="252"/>
    </row>
    <row r="385" spans="16:26">
      <c r="P385" s="248"/>
      <c r="Q385" s="248"/>
      <c r="R385" s="248"/>
      <c r="S385" s="247"/>
      <c r="T385" s="248"/>
      <c r="U385" s="248"/>
      <c r="V385" s="194"/>
      <c r="W385" s="249"/>
      <c r="X385" s="250"/>
      <c r="Y385" s="251"/>
      <c r="Z385" s="252"/>
    </row>
    <row r="386" spans="16:26">
      <c r="P386" s="248"/>
      <c r="Q386" s="248"/>
      <c r="R386" s="248"/>
      <c r="S386" s="247"/>
      <c r="T386" s="248"/>
      <c r="U386" s="248"/>
      <c r="V386" s="194"/>
      <c r="W386" s="249"/>
      <c r="X386" s="250"/>
      <c r="Y386" s="251"/>
      <c r="Z386" s="252"/>
    </row>
    <row r="387" spans="16:26">
      <c r="P387" s="248"/>
      <c r="Q387" s="248"/>
      <c r="R387" s="248"/>
      <c r="S387" s="247"/>
      <c r="T387" s="248"/>
      <c r="U387" s="248"/>
      <c r="V387" s="194"/>
      <c r="W387" s="249"/>
      <c r="X387" s="250"/>
      <c r="Y387" s="251"/>
      <c r="Z387" s="252"/>
    </row>
    <row r="388" spans="16:26">
      <c r="P388" s="248"/>
      <c r="Q388" s="248"/>
      <c r="R388" s="248"/>
      <c r="S388" s="247"/>
      <c r="T388" s="248"/>
      <c r="U388" s="248"/>
      <c r="V388" s="194"/>
      <c r="W388" s="249"/>
      <c r="X388" s="250"/>
      <c r="Y388" s="251"/>
      <c r="Z388" s="252"/>
    </row>
    <row r="389" spans="16:26">
      <c r="P389" s="248"/>
      <c r="Q389" s="248"/>
      <c r="R389" s="248"/>
      <c r="S389" s="247"/>
      <c r="T389" s="248"/>
      <c r="U389" s="248"/>
      <c r="V389" s="194"/>
      <c r="W389" s="249"/>
      <c r="X389" s="250"/>
      <c r="Y389" s="251"/>
      <c r="Z389" s="252"/>
    </row>
    <row r="390" spans="16:26">
      <c r="P390" s="248"/>
      <c r="Q390" s="248"/>
      <c r="R390" s="248"/>
      <c r="S390" s="247"/>
      <c r="T390" s="248"/>
      <c r="U390" s="248"/>
      <c r="V390" s="194"/>
      <c r="W390" s="249"/>
      <c r="X390" s="250"/>
      <c r="Y390" s="251"/>
      <c r="Z390" s="252"/>
    </row>
    <row r="391" spans="16:26">
      <c r="P391" s="248"/>
      <c r="Q391" s="248"/>
      <c r="R391" s="248"/>
      <c r="S391" s="247"/>
      <c r="T391" s="248"/>
      <c r="U391" s="248"/>
      <c r="V391" s="194"/>
      <c r="W391" s="249"/>
      <c r="X391" s="250"/>
      <c r="Y391" s="251"/>
      <c r="Z391" s="252"/>
    </row>
    <row r="392" spans="16:26">
      <c r="P392" s="248"/>
      <c r="Q392" s="248"/>
      <c r="R392" s="248"/>
      <c r="S392" s="247"/>
      <c r="T392" s="248"/>
      <c r="U392" s="248"/>
      <c r="V392" s="194"/>
      <c r="W392" s="249"/>
      <c r="X392" s="250"/>
      <c r="Y392" s="251"/>
      <c r="Z392" s="252"/>
    </row>
    <row r="393" spans="16:26">
      <c r="P393" s="248"/>
      <c r="Q393" s="248"/>
      <c r="R393" s="248"/>
      <c r="S393" s="247"/>
      <c r="T393" s="248"/>
      <c r="U393" s="248"/>
      <c r="V393" s="194"/>
      <c r="W393" s="249"/>
      <c r="X393" s="250"/>
      <c r="Y393" s="251"/>
      <c r="Z393" s="252"/>
    </row>
    <row r="394" spans="16:26">
      <c r="P394" s="248"/>
      <c r="Q394" s="248"/>
      <c r="R394" s="248"/>
      <c r="S394" s="247"/>
      <c r="T394" s="248"/>
      <c r="U394" s="248"/>
      <c r="V394" s="194"/>
      <c r="W394" s="249"/>
      <c r="X394" s="250"/>
      <c r="Y394" s="251"/>
      <c r="Z394" s="252"/>
    </row>
    <row r="395" spans="16:26">
      <c r="P395" s="248"/>
      <c r="Q395" s="248"/>
      <c r="R395" s="248"/>
      <c r="S395" s="247"/>
      <c r="T395" s="248"/>
      <c r="U395" s="248"/>
      <c r="V395" s="194"/>
      <c r="W395" s="249"/>
      <c r="X395" s="250"/>
      <c r="Y395" s="251"/>
      <c r="Z395" s="252"/>
    </row>
    <row r="396" spans="16:26">
      <c r="P396" s="248"/>
      <c r="Q396" s="248"/>
      <c r="R396" s="248"/>
      <c r="S396" s="247"/>
      <c r="T396" s="248"/>
      <c r="U396" s="248"/>
      <c r="V396" s="194"/>
      <c r="W396" s="249"/>
      <c r="X396" s="250"/>
      <c r="Y396" s="251"/>
      <c r="Z396" s="252"/>
    </row>
    <row r="397" spans="16:26">
      <c r="P397" s="248"/>
      <c r="Q397" s="248"/>
      <c r="R397" s="248"/>
      <c r="S397" s="247"/>
      <c r="T397" s="248"/>
      <c r="U397" s="248"/>
      <c r="V397" s="194"/>
      <c r="W397" s="249"/>
      <c r="X397" s="250"/>
      <c r="Y397" s="251"/>
      <c r="Z397" s="252"/>
    </row>
    <row r="398" spans="16:26">
      <c r="P398" s="248"/>
      <c r="Q398" s="248"/>
      <c r="R398" s="248"/>
      <c r="S398" s="247"/>
      <c r="T398" s="248"/>
      <c r="U398" s="248"/>
      <c r="V398" s="194"/>
      <c r="W398" s="249"/>
      <c r="X398" s="250"/>
      <c r="Y398" s="251"/>
      <c r="Z398" s="252"/>
    </row>
    <row r="399" spans="16:26">
      <c r="P399" s="248"/>
      <c r="Q399" s="248"/>
      <c r="R399" s="248"/>
      <c r="S399" s="247"/>
      <c r="T399" s="248"/>
      <c r="U399" s="248"/>
      <c r="V399" s="194"/>
      <c r="W399" s="249"/>
      <c r="X399" s="250"/>
      <c r="Y399" s="251"/>
      <c r="Z399" s="252"/>
    </row>
    <row r="400" spans="16:26">
      <c r="P400" s="248"/>
      <c r="Q400" s="248"/>
      <c r="R400" s="248"/>
      <c r="S400" s="247"/>
      <c r="T400" s="248"/>
      <c r="U400" s="248"/>
      <c r="V400" s="194"/>
      <c r="W400" s="249"/>
      <c r="X400" s="250"/>
      <c r="Y400" s="251"/>
      <c r="Z400" s="252"/>
    </row>
    <row r="401" spans="16:26">
      <c r="P401" s="248"/>
      <c r="Q401" s="248"/>
      <c r="R401" s="248"/>
      <c r="S401" s="247"/>
      <c r="T401" s="248"/>
      <c r="U401" s="248"/>
      <c r="V401" s="194"/>
      <c r="W401" s="249"/>
      <c r="X401" s="250"/>
      <c r="Y401" s="251"/>
      <c r="Z401" s="252"/>
    </row>
    <row r="402" spans="16:26">
      <c r="P402" s="248"/>
      <c r="Q402" s="248"/>
      <c r="R402" s="248"/>
      <c r="S402" s="247"/>
      <c r="T402" s="248"/>
      <c r="U402" s="248"/>
      <c r="V402" s="194"/>
      <c r="W402" s="249"/>
      <c r="X402" s="250"/>
      <c r="Y402" s="251"/>
      <c r="Z402" s="252"/>
    </row>
    <row r="403" spans="16:26">
      <c r="P403" s="248"/>
      <c r="Q403" s="248"/>
      <c r="R403" s="248"/>
      <c r="S403" s="247"/>
      <c r="T403" s="248"/>
      <c r="U403" s="248"/>
      <c r="V403" s="194"/>
      <c r="W403" s="249"/>
      <c r="X403" s="250"/>
      <c r="Y403" s="251"/>
      <c r="Z403" s="252"/>
    </row>
    <row r="404" spans="16:26">
      <c r="P404" s="248"/>
      <c r="Q404" s="248"/>
      <c r="R404" s="248"/>
      <c r="S404" s="247"/>
      <c r="T404" s="248"/>
      <c r="U404" s="248"/>
      <c r="V404" s="194"/>
      <c r="W404" s="249"/>
      <c r="X404" s="250"/>
      <c r="Y404" s="251"/>
      <c r="Z404" s="252"/>
    </row>
    <row r="405" spans="16:26">
      <c r="P405" s="248"/>
      <c r="Q405" s="248"/>
      <c r="R405" s="248"/>
      <c r="S405" s="247"/>
      <c r="T405" s="248"/>
      <c r="U405" s="248"/>
      <c r="V405" s="194"/>
      <c r="W405" s="249"/>
      <c r="X405" s="250"/>
      <c r="Y405" s="251"/>
      <c r="Z405" s="252"/>
    </row>
    <row r="406" spans="16:26">
      <c r="P406" s="248"/>
      <c r="Q406" s="248"/>
      <c r="R406" s="248"/>
      <c r="S406" s="247"/>
      <c r="T406" s="248"/>
      <c r="U406" s="248"/>
      <c r="V406" s="194"/>
      <c r="W406" s="249"/>
      <c r="X406" s="250"/>
      <c r="Y406" s="251"/>
      <c r="Z406" s="252"/>
    </row>
    <row r="407" spans="16:26">
      <c r="P407" s="248"/>
      <c r="Q407" s="248"/>
      <c r="R407" s="248"/>
      <c r="S407" s="247"/>
      <c r="T407" s="248"/>
      <c r="U407" s="248"/>
      <c r="V407" s="194"/>
      <c r="W407" s="249"/>
      <c r="X407" s="250"/>
      <c r="Y407" s="251"/>
      <c r="Z407" s="252"/>
    </row>
    <row r="408" spans="16:26">
      <c r="P408" s="248"/>
      <c r="Q408" s="248"/>
      <c r="R408" s="248"/>
      <c r="S408" s="247"/>
      <c r="T408" s="248"/>
      <c r="U408" s="248"/>
      <c r="V408" s="194"/>
      <c r="W408" s="249"/>
      <c r="X408" s="250"/>
      <c r="Y408" s="251"/>
      <c r="Z408" s="252"/>
    </row>
    <row r="409" spans="16:26">
      <c r="P409" s="248"/>
      <c r="Q409" s="248"/>
      <c r="R409" s="248"/>
      <c r="S409" s="247"/>
      <c r="T409" s="248"/>
      <c r="U409" s="248"/>
      <c r="V409" s="194"/>
      <c r="W409" s="249"/>
      <c r="X409" s="250"/>
      <c r="Y409" s="251"/>
      <c r="Z409" s="252"/>
    </row>
    <row r="410" spans="16:26">
      <c r="P410" s="248"/>
      <c r="Q410" s="248"/>
      <c r="R410" s="248"/>
      <c r="S410" s="247"/>
      <c r="T410" s="248"/>
      <c r="U410" s="248"/>
      <c r="V410" s="194"/>
      <c r="W410" s="249"/>
      <c r="X410" s="250"/>
      <c r="Y410" s="251"/>
      <c r="Z410" s="252"/>
    </row>
    <row r="411" spans="16:26">
      <c r="P411" s="248"/>
      <c r="Q411" s="248"/>
      <c r="R411" s="248"/>
      <c r="S411" s="247"/>
      <c r="T411" s="248"/>
      <c r="U411" s="248"/>
      <c r="V411" s="194"/>
      <c r="W411" s="249"/>
      <c r="X411" s="250"/>
      <c r="Y411" s="251"/>
      <c r="Z411" s="252"/>
    </row>
    <row r="412" spans="16:26">
      <c r="P412" s="248"/>
      <c r="Q412" s="248"/>
      <c r="R412" s="248"/>
      <c r="S412" s="247"/>
      <c r="T412" s="248"/>
      <c r="U412" s="248"/>
      <c r="V412" s="194"/>
      <c r="W412" s="249"/>
      <c r="X412" s="250"/>
      <c r="Y412" s="251"/>
      <c r="Z412" s="252"/>
    </row>
    <row r="413" spans="16:26">
      <c r="P413" s="248"/>
      <c r="Q413" s="248"/>
      <c r="R413" s="248"/>
      <c r="S413" s="247"/>
      <c r="T413" s="248"/>
      <c r="U413" s="248"/>
      <c r="V413" s="194"/>
      <c r="W413" s="249"/>
      <c r="X413" s="250"/>
      <c r="Y413" s="251"/>
      <c r="Z413" s="252"/>
    </row>
    <row r="414" spans="16:26">
      <c r="P414" s="248"/>
      <c r="Q414" s="248"/>
      <c r="R414" s="248"/>
      <c r="S414" s="247"/>
      <c r="T414" s="248"/>
      <c r="U414" s="248"/>
      <c r="V414" s="194"/>
      <c r="W414" s="249"/>
      <c r="X414" s="250"/>
      <c r="Y414" s="251"/>
      <c r="Z414" s="252"/>
    </row>
    <row r="415" spans="16:26">
      <c r="P415" s="248"/>
      <c r="Q415" s="248"/>
      <c r="R415" s="248"/>
      <c r="S415" s="247"/>
      <c r="T415" s="248"/>
      <c r="U415" s="248"/>
      <c r="V415" s="194"/>
      <c r="W415" s="249"/>
      <c r="X415" s="250"/>
      <c r="Y415" s="251"/>
      <c r="Z415" s="252"/>
    </row>
  </sheetData>
  <mergeCells count="2">
    <mergeCell ref="A2:I2"/>
    <mergeCell ref="K3:O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8079-6033-4E15-8A18-2BA26097306C}">
  <dimension ref="A1:AH431"/>
  <sheetViews>
    <sheetView zoomScale="85" zoomScaleNormal="85" workbookViewId="0">
      <pane xSplit="11" ySplit="4" topLeftCell="L242" activePane="bottomRight" state="frozen"/>
      <selection activeCell="H192" sqref="H192"/>
      <selection pane="topRight" activeCell="H192" sqref="H192"/>
      <selection pane="bottomLeft" activeCell="H192" sqref="H192"/>
      <selection pane="bottomRight" activeCell="I249" sqref="I249"/>
    </sheetView>
  </sheetViews>
  <sheetFormatPr defaultColWidth="10.33203125" defaultRowHeight="15.6"/>
  <cols>
    <col min="1" max="1" width="5.5546875" style="1" customWidth="1"/>
    <col min="2" max="2" width="13.33203125" style="98" customWidth="1"/>
    <col min="3" max="3" width="18.44140625" style="2" customWidth="1"/>
    <col min="4" max="4" width="15" style="3" customWidth="1"/>
    <col min="5" max="5" width="16.88671875" style="4" customWidth="1"/>
    <col min="6" max="6" width="8.88671875" style="4" customWidth="1"/>
    <col min="7" max="7" width="5.109375" style="6" customWidth="1"/>
    <col min="8" max="8" width="6.33203125" style="6" customWidth="1"/>
    <col min="9" max="9" width="5.109375" style="6" customWidth="1"/>
    <col min="10" max="10" width="13.33203125" style="5" customWidth="1"/>
    <col min="11" max="11" width="18.88671875" style="1568" customWidth="1"/>
    <col min="12" max="12" width="26.33203125" style="3" customWidth="1"/>
    <col min="13" max="13" width="6.5546875" style="11" customWidth="1"/>
    <col min="14" max="14" width="26.44140625" style="11" customWidth="1"/>
    <col min="15" max="15" width="17.5546875" style="11" customWidth="1"/>
    <col min="16" max="16" width="14.5546875" style="11" customWidth="1"/>
    <col min="17" max="17" width="15.44140625" style="268" customWidth="1"/>
    <col min="18" max="18" width="15" style="268" customWidth="1"/>
    <col min="19" max="20" width="12.6640625" style="268" customWidth="1"/>
    <col min="21" max="21" width="14" style="268" hidden="1" customWidth="1"/>
    <col min="22" max="22" width="15.6640625" style="264" hidden="1" customWidth="1"/>
    <col min="23" max="23" width="14.44140625" style="268" customWidth="1"/>
    <col min="24" max="24" width="17" style="6" customWidth="1"/>
    <col min="25" max="25" width="19.44140625" style="268" customWidth="1"/>
    <col min="26" max="26" width="15.5546875" style="269" customWidth="1"/>
    <col min="27" max="27" width="34.33203125" style="270" customWidth="1"/>
    <col min="28" max="28" width="18.6640625" style="271" customWidth="1"/>
    <col min="29" max="29" width="18.33203125" style="272" customWidth="1"/>
    <col min="30" max="30" width="18" style="273" customWidth="1"/>
    <col min="31" max="32" width="16.44140625" style="6" customWidth="1"/>
    <col min="33" max="33" width="37.109375" style="5" customWidth="1"/>
    <col min="34" max="197" width="10.33203125" style="13"/>
    <col min="198" max="198" width="7" style="13" customWidth="1"/>
    <col min="199" max="199" width="13" style="13" customWidth="1"/>
    <col min="200" max="200" width="14.109375" style="13" customWidth="1"/>
    <col min="201" max="201" width="17.33203125" style="13" customWidth="1"/>
    <col min="202" max="202" width="18.88671875" style="13" customWidth="1"/>
    <col min="203" max="203" width="14.109375" style="13" customWidth="1"/>
    <col min="204" max="204" width="21.5546875" style="13" customWidth="1"/>
    <col min="205" max="206" width="14.109375" style="13" customWidth="1"/>
    <col min="207" max="207" width="15" style="13" customWidth="1"/>
    <col min="208" max="208" width="13.33203125" style="13" customWidth="1"/>
    <col min="209" max="209" width="17" style="13" customWidth="1"/>
    <col min="210" max="210" width="24.88671875" style="13" customWidth="1"/>
    <col min="211" max="211" width="14.44140625" style="13" customWidth="1"/>
    <col min="212" max="212" width="23.109375" style="13" customWidth="1"/>
    <col min="213" max="213" width="13.109375" style="13" customWidth="1"/>
    <col min="214" max="217" width="0" style="13" hidden="1" customWidth="1"/>
    <col min="218" max="453" width="10.33203125" style="13"/>
    <col min="454" max="454" width="7" style="13" customWidth="1"/>
    <col min="455" max="455" width="13" style="13" customWidth="1"/>
    <col min="456" max="456" width="14.109375" style="13" customWidth="1"/>
    <col min="457" max="457" width="17.33203125" style="13" customWidth="1"/>
    <col min="458" max="458" width="18.88671875" style="13" customWidth="1"/>
    <col min="459" max="459" width="14.109375" style="13" customWidth="1"/>
    <col min="460" max="460" width="21.5546875" style="13" customWidth="1"/>
    <col min="461" max="462" width="14.109375" style="13" customWidth="1"/>
    <col min="463" max="463" width="15" style="13" customWidth="1"/>
    <col min="464" max="464" width="13.33203125" style="13" customWidth="1"/>
    <col min="465" max="465" width="17" style="13" customWidth="1"/>
    <col min="466" max="466" width="24.88671875" style="13" customWidth="1"/>
    <col min="467" max="467" width="14.44140625" style="13" customWidth="1"/>
    <col min="468" max="468" width="23.109375" style="13" customWidth="1"/>
    <col min="469" max="469" width="13.109375" style="13" customWidth="1"/>
    <col min="470" max="473" width="0" style="13" hidden="1" customWidth="1"/>
    <col min="474" max="709" width="10.33203125" style="13"/>
    <col min="710" max="710" width="7" style="13" customWidth="1"/>
    <col min="711" max="711" width="13" style="13" customWidth="1"/>
    <col min="712" max="712" width="14.109375" style="13" customWidth="1"/>
    <col min="713" max="713" width="17.33203125" style="13" customWidth="1"/>
    <col min="714" max="714" width="18.88671875" style="13" customWidth="1"/>
    <col min="715" max="715" width="14.109375" style="13" customWidth="1"/>
    <col min="716" max="716" width="21.5546875" style="13" customWidth="1"/>
    <col min="717" max="718" width="14.109375" style="13" customWidth="1"/>
    <col min="719" max="719" width="15" style="13" customWidth="1"/>
    <col min="720" max="720" width="13.33203125" style="13" customWidth="1"/>
    <col min="721" max="721" width="17" style="13" customWidth="1"/>
    <col min="722" max="722" width="24.88671875" style="13" customWidth="1"/>
    <col min="723" max="723" width="14.44140625" style="13" customWidth="1"/>
    <col min="724" max="724" width="23.109375" style="13" customWidth="1"/>
    <col min="725" max="725" width="13.109375" style="13" customWidth="1"/>
    <col min="726" max="729" width="0" style="13" hidden="1" customWidth="1"/>
    <col min="730" max="965" width="10.33203125" style="13"/>
    <col min="966" max="966" width="7" style="13" customWidth="1"/>
    <col min="967" max="967" width="13" style="13" customWidth="1"/>
    <col min="968" max="968" width="14.109375" style="13" customWidth="1"/>
    <col min="969" max="969" width="17.33203125" style="13" customWidth="1"/>
    <col min="970" max="970" width="18.88671875" style="13" customWidth="1"/>
    <col min="971" max="971" width="14.109375" style="13" customWidth="1"/>
    <col min="972" max="972" width="21.5546875" style="13" customWidth="1"/>
    <col min="973" max="974" width="14.109375" style="13" customWidth="1"/>
    <col min="975" max="975" width="15" style="13" customWidth="1"/>
    <col min="976" max="976" width="13.33203125" style="13" customWidth="1"/>
    <col min="977" max="977" width="17" style="13" customWidth="1"/>
    <col min="978" max="978" width="24.88671875" style="13" customWidth="1"/>
    <col min="979" max="979" width="14.44140625" style="13" customWidth="1"/>
    <col min="980" max="980" width="23.109375" style="13" customWidth="1"/>
    <col min="981" max="981" width="13.109375" style="13" customWidth="1"/>
    <col min="982" max="985" width="0" style="13" hidden="1" customWidth="1"/>
    <col min="986" max="1221" width="10.33203125" style="13"/>
    <col min="1222" max="1222" width="7" style="13" customWidth="1"/>
    <col min="1223" max="1223" width="13" style="13" customWidth="1"/>
    <col min="1224" max="1224" width="14.109375" style="13" customWidth="1"/>
    <col min="1225" max="1225" width="17.33203125" style="13" customWidth="1"/>
    <col min="1226" max="1226" width="18.88671875" style="13" customWidth="1"/>
    <col min="1227" max="1227" width="14.109375" style="13" customWidth="1"/>
    <col min="1228" max="1228" width="21.5546875" style="13" customWidth="1"/>
    <col min="1229" max="1230" width="14.109375" style="13" customWidth="1"/>
    <col min="1231" max="1231" width="15" style="13" customWidth="1"/>
    <col min="1232" max="1232" width="13.33203125" style="13" customWidth="1"/>
    <col min="1233" max="1233" width="17" style="13" customWidth="1"/>
    <col min="1234" max="1234" width="24.88671875" style="13" customWidth="1"/>
    <col min="1235" max="1235" width="14.44140625" style="13" customWidth="1"/>
    <col min="1236" max="1236" width="23.109375" style="13" customWidth="1"/>
    <col min="1237" max="1237" width="13.109375" style="13" customWidth="1"/>
    <col min="1238" max="1241" width="0" style="13" hidden="1" customWidth="1"/>
    <col min="1242" max="1477" width="10.33203125" style="13"/>
    <col min="1478" max="1478" width="7" style="13" customWidth="1"/>
    <col min="1479" max="1479" width="13" style="13" customWidth="1"/>
    <col min="1480" max="1480" width="14.109375" style="13" customWidth="1"/>
    <col min="1481" max="1481" width="17.33203125" style="13" customWidth="1"/>
    <col min="1482" max="1482" width="18.88671875" style="13" customWidth="1"/>
    <col min="1483" max="1483" width="14.109375" style="13" customWidth="1"/>
    <col min="1484" max="1484" width="21.5546875" style="13" customWidth="1"/>
    <col min="1485" max="1486" width="14.109375" style="13" customWidth="1"/>
    <col min="1487" max="1487" width="15" style="13" customWidth="1"/>
    <col min="1488" max="1488" width="13.33203125" style="13" customWidth="1"/>
    <col min="1489" max="1489" width="17" style="13" customWidth="1"/>
    <col min="1490" max="1490" width="24.88671875" style="13" customWidth="1"/>
    <col min="1491" max="1491" width="14.44140625" style="13" customWidth="1"/>
    <col min="1492" max="1492" width="23.109375" style="13" customWidth="1"/>
    <col min="1493" max="1493" width="13.109375" style="13" customWidth="1"/>
    <col min="1494" max="1497" width="0" style="13" hidden="1" customWidth="1"/>
    <col min="1498" max="1733" width="10.33203125" style="13"/>
    <col min="1734" max="1734" width="7" style="13" customWidth="1"/>
    <col min="1735" max="1735" width="13" style="13" customWidth="1"/>
    <col min="1736" max="1736" width="14.109375" style="13" customWidth="1"/>
    <col min="1737" max="1737" width="17.33203125" style="13" customWidth="1"/>
    <col min="1738" max="1738" width="18.88671875" style="13" customWidth="1"/>
    <col min="1739" max="1739" width="14.109375" style="13" customWidth="1"/>
    <col min="1740" max="1740" width="21.5546875" style="13" customWidth="1"/>
    <col min="1741" max="1742" width="14.109375" style="13" customWidth="1"/>
    <col min="1743" max="1743" width="15" style="13" customWidth="1"/>
    <col min="1744" max="1744" width="13.33203125" style="13" customWidth="1"/>
    <col min="1745" max="1745" width="17" style="13" customWidth="1"/>
    <col min="1746" max="1746" width="24.88671875" style="13" customWidth="1"/>
    <col min="1747" max="1747" width="14.44140625" style="13" customWidth="1"/>
    <col min="1748" max="1748" width="23.109375" style="13" customWidth="1"/>
    <col min="1749" max="1749" width="13.109375" style="13" customWidth="1"/>
    <col min="1750" max="1753" width="0" style="13" hidden="1" customWidth="1"/>
    <col min="1754" max="1989" width="10.33203125" style="13"/>
    <col min="1990" max="1990" width="7" style="13" customWidth="1"/>
    <col min="1991" max="1991" width="13" style="13" customWidth="1"/>
    <col min="1992" max="1992" width="14.109375" style="13" customWidth="1"/>
    <col min="1993" max="1993" width="17.33203125" style="13" customWidth="1"/>
    <col min="1994" max="1994" width="18.88671875" style="13" customWidth="1"/>
    <col min="1995" max="1995" width="14.109375" style="13" customWidth="1"/>
    <col min="1996" max="1996" width="21.5546875" style="13" customWidth="1"/>
    <col min="1997" max="1998" width="14.109375" style="13" customWidth="1"/>
    <col min="1999" max="1999" width="15" style="13" customWidth="1"/>
    <col min="2000" max="2000" width="13.33203125" style="13" customWidth="1"/>
    <col min="2001" max="2001" width="17" style="13" customWidth="1"/>
    <col min="2002" max="2002" width="24.88671875" style="13" customWidth="1"/>
    <col min="2003" max="2003" width="14.44140625" style="13" customWidth="1"/>
    <col min="2004" max="2004" width="23.109375" style="13" customWidth="1"/>
    <col min="2005" max="2005" width="13.109375" style="13" customWidth="1"/>
    <col min="2006" max="2009" width="0" style="13" hidden="1" customWidth="1"/>
    <col min="2010" max="2245" width="10.33203125" style="13"/>
    <col min="2246" max="2246" width="7" style="13" customWidth="1"/>
    <col min="2247" max="2247" width="13" style="13" customWidth="1"/>
    <col min="2248" max="2248" width="14.109375" style="13" customWidth="1"/>
    <col min="2249" max="2249" width="17.33203125" style="13" customWidth="1"/>
    <col min="2250" max="2250" width="18.88671875" style="13" customWidth="1"/>
    <col min="2251" max="2251" width="14.109375" style="13" customWidth="1"/>
    <col min="2252" max="2252" width="21.5546875" style="13" customWidth="1"/>
    <col min="2253" max="2254" width="14.109375" style="13" customWidth="1"/>
    <col min="2255" max="2255" width="15" style="13" customWidth="1"/>
    <col min="2256" max="2256" width="13.33203125" style="13" customWidth="1"/>
    <col min="2257" max="2257" width="17" style="13" customWidth="1"/>
    <col min="2258" max="2258" width="24.88671875" style="13" customWidth="1"/>
    <col min="2259" max="2259" width="14.44140625" style="13" customWidth="1"/>
    <col min="2260" max="2260" width="23.109375" style="13" customWidth="1"/>
    <col min="2261" max="2261" width="13.109375" style="13" customWidth="1"/>
    <col min="2262" max="2265" width="0" style="13" hidden="1" customWidth="1"/>
    <col min="2266" max="2501" width="10.33203125" style="13"/>
    <col min="2502" max="2502" width="7" style="13" customWidth="1"/>
    <col min="2503" max="2503" width="13" style="13" customWidth="1"/>
    <col min="2504" max="2504" width="14.109375" style="13" customWidth="1"/>
    <col min="2505" max="2505" width="17.33203125" style="13" customWidth="1"/>
    <col min="2506" max="2506" width="18.88671875" style="13" customWidth="1"/>
    <col min="2507" max="2507" width="14.109375" style="13" customWidth="1"/>
    <col min="2508" max="2508" width="21.5546875" style="13" customWidth="1"/>
    <col min="2509" max="2510" width="14.109375" style="13" customWidth="1"/>
    <col min="2511" max="2511" width="15" style="13" customWidth="1"/>
    <col min="2512" max="2512" width="13.33203125" style="13" customWidth="1"/>
    <col min="2513" max="2513" width="17" style="13" customWidth="1"/>
    <col min="2514" max="2514" width="24.88671875" style="13" customWidth="1"/>
    <col min="2515" max="2515" width="14.44140625" style="13" customWidth="1"/>
    <col min="2516" max="2516" width="23.109375" style="13" customWidth="1"/>
    <col min="2517" max="2517" width="13.109375" style="13" customWidth="1"/>
    <col min="2518" max="2521" width="0" style="13" hidden="1" customWidth="1"/>
    <col min="2522" max="2757" width="10.33203125" style="13"/>
    <col min="2758" max="2758" width="7" style="13" customWidth="1"/>
    <col min="2759" max="2759" width="13" style="13" customWidth="1"/>
    <col min="2760" max="2760" width="14.109375" style="13" customWidth="1"/>
    <col min="2761" max="2761" width="17.33203125" style="13" customWidth="1"/>
    <col min="2762" max="2762" width="18.88671875" style="13" customWidth="1"/>
    <col min="2763" max="2763" width="14.109375" style="13" customWidth="1"/>
    <col min="2764" max="2764" width="21.5546875" style="13" customWidth="1"/>
    <col min="2765" max="2766" width="14.109375" style="13" customWidth="1"/>
    <col min="2767" max="2767" width="15" style="13" customWidth="1"/>
    <col min="2768" max="2768" width="13.33203125" style="13" customWidth="1"/>
    <col min="2769" max="2769" width="17" style="13" customWidth="1"/>
    <col min="2770" max="2770" width="24.88671875" style="13" customWidth="1"/>
    <col min="2771" max="2771" width="14.44140625" style="13" customWidth="1"/>
    <col min="2772" max="2772" width="23.109375" style="13" customWidth="1"/>
    <col min="2773" max="2773" width="13.109375" style="13" customWidth="1"/>
    <col min="2774" max="2777" width="0" style="13" hidden="1" customWidth="1"/>
    <col min="2778" max="3013" width="10.33203125" style="13"/>
    <col min="3014" max="3014" width="7" style="13" customWidth="1"/>
    <col min="3015" max="3015" width="13" style="13" customWidth="1"/>
    <col min="3016" max="3016" width="14.109375" style="13" customWidth="1"/>
    <col min="3017" max="3017" width="17.33203125" style="13" customWidth="1"/>
    <col min="3018" max="3018" width="18.88671875" style="13" customWidth="1"/>
    <col min="3019" max="3019" width="14.109375" style="13" customWidth="1"/>
    <col min="3020" max="3020" width="21.5546875" style="13" customWidth="1"/>
    <col min="3021" max="3022" width="14.109375" style="13" customWidth="1"/>
    <col min="3023" max="3023" width="15" style="13" customWidth="1"/>
    <col min="3024" max="3024" width="13.33203125" style="13" customWidth="1"/>
    <col min="3025" max="3025" width="17" style="13" customWidth="1"/>
    <col min="3026" max="3026" width="24.88671875" style="13" customWidth="1"/>
    <col min="3027" max="3027" width="14.44140625" style="13" customWidth="1"/>
    <col min="3028" max="3028" width="23.109375" style="13" customWidth="1"/>
    <col min="3029" max="3029" width="13.109375" style="13" customWidth="1"/>
    <col min="3030" max="3033" width="0" style="13" hidden="1" customWidth="1"/>
    <col min="3034" max="3269" width="10.33203125" style="13"/>
    <col min="3270" max="3270" width="7" style="13" customWidth="1"/>
    <col min="3271" max="3271" width="13" style="13" customWidth="1"/>
    <col min="3272" max="3272" width="14.109375" style="13" customWidth="1"/>
    <col min="3273" max="3273" width="17.33203125" style="13" customWidth="1"/>
    <col min="3274" max="3274" width="18.88671875" style="13" customWidth="1"/>
    <col min="3275" max="3275" width="14.109375" style="13" customWidth="1"/>
    <col min="3276" max="3276" width="21.5546875" style="13" customWidth="1"/>
    <col min="3277" max="3278" width="14.109375" style="13" customWidth="1"/>
    <col min="3279" max="3279" width="15" style="13" customWidth="1"/>
    <col min="3280" max="3280" width="13.33203125" style="13" customWidth="1"/>
    <col min="3281" max="3281" width="17" style="13" customWidth="1"/>
    <col min="3282" max="3282" width="24.88671875" style="13" customWidth="1"/>
    <col min="3283" max="3283" width="14.44140625" style="13" customWidth="1"/>
    <col min="3284" max="3284" width="23.109375" style="13" customWidth="1"/>
    <col min="3285" max="3285" width="13.109375" style="13" customWidth="1"/>
    <col min="3286" max="3289" width="0" style="13" hidden="1" customWidth="1"/>
    <col min="3290" max="3525" width="10.33203125" style="13"/>
    <col min="3526" max="3526" width="7" style="13" customWidth="1"/>
    <col min="3527" max="3527" width="13" style="13" customWidth="1"/>
    <col min="3528" max="3528" width="14.109375" style="13" customWidth="1"/>
    <col min="3529" max="3529" width="17.33203125" style="13" customWidth="1"/>
    <col min="3530" max="3530" width="18.88671875" style="13" customWidth="1"/>
    <col min="3531" max="3531" width="14.109375" style="13" customWidth="1"/>
    <col min="3532" max="3532" width="21.5546875" style="13" customWidth="1"/>
    <col min="3533" max="3534" width="14.109375" style="13" customWidth="1"/>
    <col min="3535" max="3535" width="15" style="13" customWidth="1"/>
    <col min="3536" max="3536" width="13.33203125" style="13" customWidth="1"/>
    <col min="3537" max="3537" width="17" style="13" customWidth="1"/>
    <col min="3538" max="3538" width="24.88671875" style="13" customWidth="1"/>
    <col min="3539" max="3539" width="14.44140625" style="13" customWidth="1"/>
    <col min="3540" max="3540" width="23.109375" style="13" customWidth="1"/>
    <col min="3541" max="3541" width="13.109375" style="13" customWidth="1"/>
    <col min="3542" max="3545" width="0" style="13" hidden="1" customWidth="1"/>
    <col min="3546" max="3781" width="10.33203125" style="13"/>
    <col min="3782" max="3782" width="7" style="13" customWidth="1"/>
    <col min="3783" max="3783" width="13" style="13" customWidth="1"/>
    <col min="3784" max="3784" width="14.109375" style="13" customWidth="1"/>
    <col min="3785" max="3785" width="17.33203125" style="13" customWidth="1"/>
    <col min="3786" max="3786" width="18.88671875" style="13" customWidth="1"/>
    <col min="3787" max="3787" width="14.109375" style="13" customWidth="1"/>
    <col min="3788" max="3788" width="21.5546875" style="13" customWidth="1"/>
    <col min="3789" max="3790" width="14.109375" style="13" customWidth="1"/>
    <col min="3791" max="3791" width="15" style="13" customWidth="1"/>
    <col min="3792" max="3792" width="13.33203125" style="13" customWidth="1"/>
    <col min="3793" max="3793" width="17" style="13" customWidth="1"/>
    <col min="3794" max="3794" width="24.88671875" style="13" customWidth="1"/>
    <col min="3795" max="3795" width="14.44140625" style="13" customWidth="1"/>
    <col min="3796" max="3796" width="23.109375" style="13" customWidth="1"/>
    <col min="3797" max="3797" width="13.109375" style="13" customWidth="1"/>
    <col min="3798" max="3801" width="0" style="13" hidden="1" customWidth="1"/>
    <col min="3802" max="4037" width="10.33203125" style="13"/>
    <col min="4038" max="4038" width="7" style="13" customWidth="1"/>
    <col min="4039" max="4039" width="13" style="13" customWidth="1"/>
    <col min="4040" max="4040" width="14.109375" style="13" customWidth="1"/>
    <col min="4041" max="4041" width="17.33203125" style="13" customWidth="1"/>
    <col min="4042" max="4042" width="18.88671875" style="13" customWidth="1"/>
    <col min="4043" max="4043" width="14.109375" style="13" customWidth="1"/>
    <col min="4044" max="4044" width="21.5546875" style="13" customWidth="1"/>
    <col min="4045" max="4046" width="14.109375" style="13" customWidth="1"/>
    <col min="4047" max="4047" width="15" style="13" customWidth="1"/>
    <col min="4048" max="4048" width="13.33203125" style="13" customWidth="1"/>
    <col min="4049" max="4049" width="17" style="13" customWidth="1"/>
    <col min="4050" max="4050" width="24.88671875" style="13" customWidth="1"/>
    <col min="4051" max="4051" width="14.44140625" style="13" customWidth="1"/>
    <col min="4052" max="4052" width="23.109375" style="13" customWidth="1"/>
    <col min="4053" max="4053" width="13.109375" style="13" customWidth="1"/>
    <col min="4054" max="4057" width="0" style="13" hidden="1" customWidth="1"/>
    <col min="4058" max="4293" width="10.33203125" style="13"/>
    <col min="4294" max="4294" width="7" style="13" customWidth="1"/>
    <col min="4295" max="4295" width="13" style="13" customWidth="1"/>
    <col min="4296" max="4296" width="14.109375" style="13" customWidth="1"/>
    <col min="4297" max="4297" width="17.33203125" style="13" customWidth="1"/>
    <col min="4298" max="4298" width="18.88671875" style="13" customWidth="1"/>
    <col min="4299" max="4299" width="14.109375" style="13" customWidth="1"/>
    <col min="4300" max="4300" width="21.5546875" style="13" customWidth="1"/>
    <col min="4301" max="4302" width="14.109375" style="13" customWidth="1"/>
    <col min="4303" max="4303" width="15" style="13" customWidth="1"/>
    <col min="4304" max="4304" width="13.33203125" style="13" customWidth="1"/>
    <col min="4305" max="4305" width="17" style="13" customWidth="1"/>
    <col min="4306" max="4306" width="24.88671875" style="13" customWidth="1"/>
    <col min="4307" max="4307" width="14.44140625" style="13" customWidth="1"/>
    <col min="4308" max="4308" width="23.109375" style="13" customWidth="1"/>
    <col min="4309" max="4309" width="13.109375" style="13" customWidth="1"/>
    <col min="4310" max="4313" width="0" style="13" hidden="1" customWidth="1"/>
    <col min="4314" max="4549" width="10.33203125" style="13"/>
    <col min="4550" max="4550" width="7" style="13" customWidth="1"/>
    <col min="4551" max="4551" width="13" style="13" customWidth="1"/>
    <col min="4552" max="4552" width="14.109375" style="13" customWidth="1"/>
    <col min="4553" max="4553" width="17.33203125" style="13" customWidth="1"/>
    <col min="4554" max="4554" width="18.88671875" style="13" customWidth="1"/>
    <col min="4555" max="4555" width="14.109375" style="13" customWidth="1"/>
    <col min="4556" max="4556" width="21.5546875" style="13" customWidth="1"/>
    <col min="4557" max="4558" width="14.109375" style="13" customWidth="1"/>
    <col min="4559" max="4559" width="15" style="13" customWidth="1"/>
    <col min="4560" max="4560" width="13.33203125" style="13" customWidth="1"/>
    <col min="4561" max="4561" width="17" style="13" customWidth="1"/>
    <col min="4562" max="4562" width="24.88671875" style="13" customWidth="1"/>
    <col min="4563" max="4563" width="14.44140625" style="13" customWidth="1"/>
    <col min="4564" max="4564" width="23.109375" style="13" customWidth="1"/>
    <col min="4565" max="4565" width="13.109375" style="13" customWidth="1"/>
    <col min="4566" max="4569" width="0" style="13" hidden="1" customWidth="1"/>
    <col min="4570" max="4805" width="10.33203125" style="13"/>
    <col min="4806" max="4806" width="7" style="13" customWidth="1"/>
    <col min="4807" max="4807" width="13" style="13" customWidth="1"/>
    <col min="4808" max="4808" width="14.109375" style="13" customWidth="1"/>
    <col min="4809" max="4809" width="17.33203125" style="13" customWidth="1"/>
    <col min="4810" max="4810" width="18.88671875" style="13" customWidth="1"/>
    <col min="4811" max="4811" width="14.109375" style="13" customWidth="1"/>
    <col min="4812" max="4812" width="21.5546875" style="13" customWidth="1"/>
    <col min="4813" max="4814" width="14.109375" style="13" customWidth="1"/>
    <col min="4815" max="4815" width="15" style="13" customWidth="1"/>
    <col min="4816" max="4816" width="13.33203125" style="13" customWidth="1"/>
    <col min="4817" max="4817" width="17" style="13" customWidth="1"/>
    <col min="4818" max="4818" width="24.88671875" style="13" customWidth="1"/>
    <col min="4819" max="4819" width="14.44140625" style="13" customWidth="1"/>
    <col min="4820" max="4820" width="23.109375" style="13" customWidth="1"/>
    <col min="4821" max="4821" width="13.109375" style="13" customWidth="1"/>
    <col min="4822" max="4825" width="0" style="13" hidden="1" customWidth="1"/>
    <col min="4826" max="5061" width="10.33203125" style="13"/>
    <col min="5062" max="5062" width="7" style="13" customWidth="1"/>
    <col min="5063" max="5063" width="13" style="13" customWidth="1"/>
    <col min="5064" max="5064" width="14.109375" style="13" customWidth="1"/>
    <col min="5065" max="5065" width="17.33203125" style="13" customWidth="1"/>
    <col min="5066" max="5066" width="18.88671875" style="13" customWidth="1"/>
    <col min="5067" max="5067" width="14.109375" style="13" customWidth="1"/>
    <col min="5068" max="5068" width="21.5546875" style="13" customWidth="1"/>
    <col min="5069" max="5070" width="14.109375" style="13" customWidth="1"/>
    <col min="5071" max="5071" width="15" style="13" customWidth="1"/>
    <col min="5072" max="5072" width="13.33203125" style="13" customWidth="1"/>
    <col min="5073" max="5073" width="17" style="13" customWidth="1"/>
    <col min="5074" max="5074" width="24.88671875" style="13" customWidth="1"/>
    <col min="5075" max="5075" width="14.44140625" style="13" customWidth="1"/>
    <col min="5076" max="5076" width="23.109375" style="13" customWidth="1"/>
    <col min="5077" max="5077" width="13.109375" style="13" customWidth="1"/>
    <col min="5078" max="5081" width="0" style="13" hidden="1" customWidth="1"/>
    <col min="5082" max="5317" width="10.33203125" style="13"/>
    <col min="5318" max="5318" width="7" style="13" customWidth="1"/>
    <col min="5319" max="5319" width="13" style="13" customWidth="1"/>
    <col min="5320" max="5320" width="14.109375" style="13" customWidth="1"/>
    <col min="5321" max="5321" width="17.33203125" style="13" customWidth="1"/>
    <col min="5322" max="5322" width="18.88671875" style="13" customWidth="1"/>
    <col min="5323" max="5323" width="14.109375" style="13" customWidth="1"/>
    <col min="5324" max="5324" width="21.5546875" style="13" customWidth="1"/>
    <col min="5325" max="5326" width="14.109375" style="13" customWidth="1"/>
    <col min="5327" max="5327" width="15" style="13" customWidth="1"/>
    <col min="5328" max="5328" width="13.33203125" style="13" customWidth="1"/>
    <col min="5329" max="5329" width="17" style="13" customWidth="1"/>
    <col min="5330" max="5330" width="24.88671875" style="13" customWidth="1"/>
    <col min="5331" max="5331" width="14.44140625" style="13" customWidth="1"/>
    <col min="5332" max="5332" width="23.109375" style="13" customWidth="1"/>
    <col min="5333" max="5333" width="13.109375" style="13" customWidth="1"/>
    <col min="5334" max="5337" width="0" style="13" hidden="1" customWidth="1"/>
    <col min="5338" max="5573" width="10.33203125" style="13"/>
    <col min="5574" max="5574" width="7" style="13" customWidth="1"/>
    <col min="5575" max="5575" width="13" style="13" customWidth="1"/>
    <col min="5576" max="5576" width="14.109375" style="13" customWidth="1"/>
    <col min="5577" max="5577" width="17.33203125" style="13" customWidth="1"/>
    <col min="5578" max="5578" width="18.88671875" style="13" customWidth="1"/>
    <col min="5579" max="5579" width="14.109375" style="13" customWidth="1"/>
    <col min="5580" max="5580" width="21.5546875" style="13" customWidth="1"/>
    <col min="5581" max="5582" width="14.109375" style="13" customWidth="1"/>
    <col min="5583" max="5583" width="15" style="13" customWidth="1"/>
    <col min="5584" max="5584" width="13.33203125" style="13" customWidth="1"/>
    <col min="5585" max="5585" width="17" style="13" customWidth="1"/>
    <col min="5586" max="5586" width="24.88671875" style="13" customWidth="1"/>
    <col min="5587" max="5587" width="14.44140625" style="13" customWidth="1"/>
    <col min="5588" max="5588" width="23.109375" style="13" customWidth="1"/>
    <col min="5589" max="5589" width="13.109375" style="13" customWidth="1"/>
    <col min="5590" max="5593" width="0" style="13" hidden="1" customWidth="1"/>
    <col min="5594" max="5829" width="10.33203125" style="13"/>
    <col min="5830" max="5830" width="7" style="13" customWidth="1"/>
    <col min="5831" max="5831" width="13" style="13" customWidth="1"/>
    <col min="5832" max="5832" width="14.109375" style="13" customWidth="1"/>
    <col min="5833" max="5833" width="17.33203125" style="13" customWidth="1"/>
    <col min="5834" max="5834" width="18.88671875" style="13" customWidth="1"/>
    <col min="5835" max="5835" width="14.109375" style="13" customWidth="1"/>
    <col min="5836" max="5836" width="21.5546875" style="13" customWidth="1"/>
    <col min="5837" max="5838" width="14.109375" style="13" customWidth="1"/>
    <col min="5839" max="5839" width="15" style="13" customWidth="1"/>
    <col min="5840" max="5840" width="13.33203125" style="13" customWidth="1"/>
    <col min="5841" max="5841" width="17" style="13" customWidth="1"/>
    <col min="5842" max="5842" width="24.88671875" style="13" customWidth="1"/>
    <col min="5843" max="5843" width="14.44140625" style="13" customWidth="1"/>
    <col min="5844" max="5844" width="23.109375" style="13" customWidth="1"/>
    <col min="5845" max="5845" width="13.109375" style="13" customWidth="1"/>
    <col min="5846" max="5849" width="0" style="13" hidden="1" customWidth="1"/>
    <col min="5850" max="6085" width="10.33203125" style="13"/>
    <col min="6086" max="6086" width="7" style="13" customWidth="1"/>
    <col min="6087" max="6087" width="13" style="13" customWidth="1"/>
    <col min="6088" max="6088" width="14.109375" style="13" customWidth="1"/>
    <col min="6089" max="6089" width="17.33203125" style="13" customWidth="1"/>
    <col min="6090" max="6090" width="18.88671875" style="13" customWidth="1"/>
    <col min="6091" max="6091" width="14.109375" style="13" customWidth="1"/>
    <col min="6092" max="6092" width="21.5546875" style="13" customWidth="1"/>
    <col min="6093" max="6094" width="14.109375" style="13" customWidth="1"/>
    <col min="6095" max="6095" width="15" style="13" customWidth="1"/>
    <col min="6096" max="6096" width="13.33203125" style="13" customWidth="1"/>
    <col min="6097" max="6097" width="17" style="13" customWidth="1"/>
    <col min="6098" max="6098" width="24.88671875" style="13" customWidth="1"/>
    <col min="6099" max="6099" width="14.44140625" style="13" customWidth="1"/>
    <col min="6100" max="6100" width="23.109375" style="13" customWidth="1"/>
    <col min="6101" max="6101" width="13.109375" style="13" customWidth="1"/>
    <col min="6102" max="6105" width="0" style="13" hidden="1" customWidth="1"/>
    <col min="6106" max="6341" width="10.33203125" style="13"/>
    <col min="6342" max="6342" width="7" style="13" customWidth="1"/>
    <col min="6343" max="6343" width="13" style="13" customWidth="1"/>
    <col min="6344" max="6344" width="14.109375" style="13" customWidth="1"/>
    <col min="6345" max="6345" width="17.33203125" style="13" customWidth="1"/>
    <col min="6346" max="6346" width="18.88671875" style="13" customWidth="1"/>
    <col min="6347" max="6347" width="14.109375" style="13" customWidth="1"/>
    <col min="6348" max="6348" width="21.5546875" style="13" customWidth="1"/>
    <col min="6349" max="6350" width="14.109375" style="13" customWidth="1"/>
    <col min="6351" max="6351" width="15" style="13" customWidth="1"/>
    <col min="6352" max="6352" width="13.33203125" style="13" customWidth="1"/>
    <col min="6353" max="6353" width="17" style="13" customWidth="1"/>
    <col min="6354" max="6354" width="24.88671875" style="13" customWidth="1"/>
    <col min="6355" max="6355" width="14.44140625" style="13" customWidth="1"/>
    <col min="6356" max="6356" width="23.109375" style="13" customWidth="1"/>
    <col min="6357" max="6357" width="13.109375" style="13" customWidth="1"/>
    <col min="6358" max="6361" width="0" style="13" hidden="1" customWidth="1"/>
    <col min="6362" max="6597" width="10.33203125" style="13"/>
    <col min="6598" max="6598" width="7" style="13" customWidth="1"/>
    <col min="6599" max="6599" width="13" style="13" customWidth="1"/>
    <col min="6600" max="6600" width="14.109375" style="13" customWidth="1"/>
    <col min="6601" max="6601" width="17.33203125" style="13" customWidth="1"/>
    <col min="6602" max="6602" width="18.88671875" style="13" customWidth="1"/>
    <col min="6603" max="6603" width="14.109375" style="13" customWidth="1"/>
    <col min="6604" max="6604" width="21.5546875" style="13" customWidth="1"/>
    <col min="6605" max="6606" width="14.109375" style="13" customWidth="1"/>
    <col min="6607" max="6607" width="15" style="13" customWidth="1"/>
    <col min="6608" max="6608" width="13.33203125" style="13" customWidth="1"/>
    <col min="6609" max="6609" width="17" style="13" customWidth="1"/>
    <col min="6610" max="6610" width="24.88671875" style="13" customWidth="1"/>
    <col min="6611" max="6611" width="14.44140625" style="13" customWidth="1"/>
    <col min="6612" max="6612" width="23.109375" style="13" customWidth="1"/>
    <col min="6613" max="6613" width="13.109375" style="13" customWidth="1"/>
    <col min="6614" max="6617" width="0" style="13" hidden="1" customWidth="1"/>
    <col min="6618" max="6853" width="10.33203125" style="13"/>
    <col min="6854" max="6854" width="7" style="13" customWidth="1"/>
    <col min="6855" max="6855" width="13" style="13" customWidth="1"/>
    <col min="6856" max="6856" width="14.109375" style="13" customWidth="1"/>
    <col min="6857" max="6857" width="17.33203125" style="13" customWidth="1"/>
    <col min="6858" max="6858" width="18.88671875" style="13" customWidth="1"/>
    <col min="6859" max="6859" width="14.109375" style="13" customWidth="1"/>
    <col min="6860" max="6860" width="21.5546875" style="13" customWidth="1"/>
    <col min="6861" max="6862" width="14.109375" style="13" customWidth="1"/>
    <col min="6863" max="6863" width="15" style="13" customWidth="1"/>
    <col min="6864" max="6864" width="13.33203125" style="13" customWidth="1"/>
    <col min="6865" max="6865" width="17" style="13" customWidth="1"/>
    <col min="6866" max="6866" width="24.88671875" style="13" customWidth="1"/>
    <col min="6867" max="6867" width="14.44140625" style="13" customWidth="1"/>
    <col min="6868" max="6868" width="23.109375" style="13" customWidth="1"/>
    <col min="6869" max="6869" width="13.109375" style="13" customWidth="1"/>
    <col min="6870" max="6873" width="0" style="13" hidden="1" customWidth="1"/>
    <col min="6874" max="7109" width="10.33203125" style="13"/>
    <col min="7110" max="7110" width="7" style="13" customWidth="1"/>
    <col min="7111" max="7111" width="13" style="13" customWidth="1"/>
    <col min="7112" max="7112" width="14.109375" style="13" customWidth="1"/>
    <col min="7113" max="7113" width="17.33203125" style="13" customWidth="1"/>
    <col min="7114" max="7114" width="18.88671875" style="13" customWidth="1"/>
    <col min="7115" max="7115" width="14.109375" style="13" customWidth="1"/>
    <col min="7116" max="7116" width="21.5546875" style="13" customWidth="1"/>
    <col min="7117" max="7118" width="14.109375" style="13" customWidth="1"/>
    <col min="7119" max="7119" width="15" style="13" customWidth="1"/>
    <col min="7120" max="7120" width="13.33203125" style="13" customWidth="1"/>
    <col min="7121" max="7121" width="17" style="13" customWidth="1"/>
    <col min="7122" max="7122" width="24.88671875" style="13" customWidth="1"/>
    <col min="7123" max="7123" width="14.44140625" style="13" customWidth="1"/>
    <col min="7124" max="7124" width="23.109375" style="13" customWidth="1"/>
    <col min="7125" max="7125" width="13.109375" style="13" customWidth="1"/>
    <col min="7126" max="7129" width="0" style="13" hidden="1" customWidth="1"/>
    <col min="7130" max="7365" width="10.33203125" style="13"/>
    <col min="7366" max="7366" width="7" style="13" customWidth="1"/>
    <col min="7367" max="7367" width="13" style="13" customWidth="1"/>
    <col min="7368" max="7368" width="14.109375" style="13" customWidth="1"/>
    <col min="7369" max="7369" width="17.33203125" style="13" customWidth="1"/>
    <col min="7370" max="7370" width="18.88671875" style="13" customWidth="1"/>
    <col min="7371" max="7371" width="14.109375" style="13" customWidth="1"/>
    <col min="7372" max="7372" width="21.5546875" style="13" customWidth="1"/>
    <col min="7373" max="7374" width="14.109375" style="13" customWidth="1"/>
    <col min="7375" max="7375" width="15" style="13" customWidth="1"/>
    <col min="7376" max="7376" width="13.33203125" style="13" customWidth="1"/>
    <col min="7377" max="7377" width="17" style="13" customWidth="1"/>
    <col min="7378" max="7378" width="24.88671875" style="13" customWidth="1"/>
    <col min="7379" max="7379" width="14.44140625" style="13" customWidth="1"/>
    <col min="7380" max="7380" width="23.109375" style="13" customWidth="1"/>
    <col min="7381" max="7381" width="13.109375" style="13" customWidth="1"/>
    <col min="7382" max="7385" width="0" style="13" hidden="1" customWidth="1"/>
    <col min="7386" max="7621" width="10.33203125" style="13"/>
    <col min="7622" max="7622" width="7" style="13" customWidth="1"/>
    <col min="7623" max="7623" width="13" style="13" customWidth="1"/>
    <col min="7624" max="7624" width="14.109375" style="13" customWidth="1"/>
    <col min="7625" max="7625" width="17.33203125" style="13" customWidth="1"/>
    <col min="7626" max="7626" width="18.88671875" style="13" customWidth="1"/>
    <col min="7627" max="7627" width="14.109375" style="13" customWidth="1"/>
    <col min="7628" max="7628" width="21.5546875" style="13" customWidth="1"/>
    <col min="7629" max="7630" width="14.109375" style="13" customWidth="1"/>
    <col min="7631" max="7631" width="15" style="13" customWidth="1"/>
    <col min="7632" max="7632" width="13.33203125" style="13" customWidth="1"/>
    <col min="7633" max="7633" width="17" style="13" customWidth="1"/>
    <col min="7634" max="7634" width="24.88671875" style="13" customWidth="1"/>
    <col min="7635" max="7635" width="14.44140625" style="13" customWidth="1"/>
    <col min="7636" max="7636" width="23.109375" style="13" customWidth="1"/>
    <col min="7637" max="7637" width="13.109375" style="13" customWidth="1"/>
    <col min="7638" max="7641" width="0" style="13" hidden="1" customWidth="1"/>
    <col min="7642" max="7877" width="10.33203125" style="13"/>
    <col min="7878" max="7878" width="7" style="13" customWidth="1"/>
    <col min="7879" max="7879" width="13" style="13" customWidth="1"/>
    <col min="7880" max="7880" width="14.109375" style="13" customWidth="1"/>
    <col min="7881" max="7881" width="17.33203125" style="13" customWidth="1"/>
    <col min="7882" max="7882" width="18.88671875" style="13" customWidth="1"/>
    <col min="7883" max="7883" width="14.109375" style="13" customWidth="1"/>
    <col min="7884" max="7884" width="21.5546875" style="13" customWidth="1"/>
    <col min="7885" max="7886" width="14.109375" style="13" customWidth="1"/>
    <col min="7887" max="7887" width="15" style="13" customWidth="1"/>
    <col min="7888" max="7888" width="13.33203125" style="13" customWidth="1"/>
    <col min="7889" max="7889" width="17" style="13" customWidth="1"/>
    <col min="7890" max="7890" width="24.88671875" style="13" customWidth="1"/>
    <col min="7891" max="7891" width="14.44140625" style="13" customWidth="1"/>
    <col min="7892" max="7892" width="23.109375" style="13" customWidth="1"/>
    <col min="7893" max="7893" width="13.109375" style="13" customWidth="1"/>
    <col min="7894" max="7897" width="0" style="13" hidden="1" customWidth="1"/>
    <col min="7898" max="8133" width="10.33203125" style="13"/>
    <col min="8134" max="8134" width="7" style="13" customWidth="1"/>
    <col min="8135" max="8135" width="13" style="13" customWidth="1"/>
    <col min="8136" max="8136" width="14.109375" style="13" customWidth="1"/>
    <col min="8137" max="8137" width="17.33203125" style="13" customWidth="1"/>
    <col min="8138" max="8138" width="18.88671875" style="13" customWidth="1"/>
    <col min="8139" max="8139" width="14.109375" style="13" customWidth="1"/>
    <col min="8140" max="8140" width="21.5546875" style="13" customWidth="1"/>
    <col min="8141" max="8142" width="14.109375" style="13" customWidth="1"/>
    <col min="8143" max="8143" width="15" style="13" customWidth="1"/>
    <col min="8144" max="8144" width="13.33203125" style="13" customWidth="1"/>
    <col min="8145" max="8145" width="17" style="13" customWidth="1"/>
    <col min="8146" max="8146" width="24.88671875" style="13" customWidth="1"/>
    <col min="8147" max="8147" width="14.44140625" style="13" customWidth="1"/>
    <col min="8148" max="8148" width="23.109375" style="13" customWidth="1"/>
    <col min="8149" max="8149" width="13.109375" style="13" customWidth="1"/>
    <col min="8150" max="8153" width="0" style="13" hidden="1" customWidth="1"/>
    <col min="8154" max="8389" width="10.33203125" style="13"/>
    <col min="8390" max="8390" width="7" style="13" customWidth="1"/>
    <col min="8391" max="8391" width="13" style="13" customWidth="1"/>
    <col min="8392" max="8392" width="14.109375" style="13" customWidth="1"/>
    <col min="8393" max="8393" width="17.33203125" style="13" customWidth="1"/>
    <col min="8394" max="8394" width="18.88671875" style="13" customWidth="1"/>
    <col min="8395" max="8395" width="14.109375" style="13" customWidth="1"/>
    <col min="8396" max="8396" width="21.5546875" style="13" customWidth="1"/>
    <col min="8397" max="8398" width="14.109375" style="13" customWidth="1"/>
    <col min="8399" max="8399" width="15" style="13" customWidth="1"/>
    <col min="8400" max="8400" width="13.33203125" style="13" customWidth="1"/>
    <col min="8401" max="8401" width="17" style="13" customWidth="1"/>
    <col min="8402" max="8402" width="24.88671875" style="13" customWidth="1"/>
    <col min="8403" max="8403" width="14.44140625" style="13" customWidth="1"/>
    <col min="8404" max="8404" width="23.109375" style="13" customWidth="1"/>
    <col min="8405" max="8405" width="13.109375" style="13" customWidth="1"/>
    <col min="8406" max="8409" width="0" style="13" hidden="1" customWidth="1"/>
    <col min="8410" max="8645" width="10.33203125" style="13"/>
    <col min="8646" max="8646" width="7" style="13" customWidth="1"/>
    <col min="8647" max="8647" width="13" style="13" customWidth="1"/>
    <col min="8648" max="8648" width="14.109375" style="13" customWidth="1"/>
    <col min="8649" max="8649" width="17.33203125" style="13" customWidth="1"/>
    <col min="8650" max="8650" width="18.88671875" style="13" customWidth="1"/>
    <col min="8651" max="8651" width="14.109375" style="13" customWidth="1"/>
    <col min="8652" max="8652" width="21.5546875" style="13" customWidth="1"/>
    <col min="8653" max="8654" width="14.109375" style="13" customWidth="1"/>
    <col min="8655" max="8655" width="15" style="13" customWidth="1"/>
    <col min="8656" max="8656" width="13.33203125" style="13" customWidth="1"/>
    <col min="8657" max="8657" width="17" style="13" customWidth="1"/>
    <col min="8658" max="8658" width="24.88671875" style="13" customWidth="1"/>
    <col min="8659" max="8659" width="14.44140625" style="13" customWidth="1"/>
    <col min="8660" max="8660" width="23.109375" style="13" customWidth="1"/>
    <col min="8661" max="8661" width="13.109375" style="13" customWidth="1"/>
    <col min="8662" max="8665" width="0" style="13" hidden="1" customWidth="1"/>
    <col min="8666" max="8901" width="10.33203125" style="13"/>
    <col min="8902" max="8902" width="7" style="13" customWidth="1"/>
    <col min="8903" max="8903" width="13" style="13" customWidth="1"/>
    <col min="8904" max="8904" width="14.109375" style="13" customWidth="1"/>
    <col min="8905" max="8905" width="17.33203125" style="13" customWidth="1"/>
    <col min="8906" max="8906" width="18.88671875" style="13" customWidth="1"/>
    <col min="8907" max="8907" width="14.109375" style="13" customWidth="1"/>
    <col min="8908" max="8908" width="21.5546875" style="13" customWidth="1"/>
    <col min="8909" max="8910" width="14.109375" style="13" customWidth="1"/>
    <col min="8911" max="8911" width="15" style="13" customWidth="1"/>
    <col min="8912" max="8912" width="13.33203125" style="13" customWidth="1"/>
    <col min="8913" max="8913" width="17" style="13" customWidth="1"/>
    <col min="8914" max="8914" width="24.88671875" style="13" customWidth="1"/>
    <col min="8915" max="8915" width="14.44140625" style="13" customWidth="1"/>
    <col min="8916" max="8916" width="23.109375" style="13" customWidth="1"/>
    <col min="8917" max="8917" width="13.109375" style="13" customWidth="1"/>
    <col min="8918" max="8921" width="0" style="13" hidden="1" customWidth="1"/>
    <col min="8922" max="9157" width="10.33203125" style="13"/>
    <col min="9158" max="9158" width="7" style="13" customWidth="1"/>
    <col min="9159" max="9159" width="13" style="13" customWidth="1"/>
    <col min="9160" max="9160" width="14.109375" style="13" customWidth="1"/>
    <col min="9161" max="9161" width="17.33203125" style="13" customWidth="1"/>
    <col min="9162" max="9162" width="18.88671875" style="13" customWidth="1"/>
    <col min="9163" max="9163" width="14.109375" style="13" customWidth="1"/>
    <col min="9164" max="9164" width="21.5546875" style="13" customWidth="1"/>
    <col min="9165" max="9166" width="14.109375" style="13" customWidth="1"/>
    <col min="9167" max="9167" width="15" style="13" customWidth="1"/>
    <col min="9168" max="9168" width="13.33203125" style="13" customWidth="1"/>
    <col min="9169" max="9169" width="17" style="13" customWidth="1"/>
    <col min="9170" max="9170" width="24.88671875" style="13" customWidth="1"/>
    <col min="9171" max="9171" width="14.44140625" style="13" customWidth="1"/>
    <col min="9172" max="9172" width="23.109375" style="13" customWidth="1"/>
    <col min="9173" max="9173" width="13.109375" style="13" customWidth="1"/>
    <col min="9174" max="9177" width="0" style="13" hidden="1" customWidth="1"/>
    <col min="9178" max="9413" width="10.33203125" style="13"/>
    <col min="9414" max="9414" width="7" style="13" customWidth="1"/>
    <col min="9415" max="9415" width="13" style="13" customWidth="1"/>
    <col min="9416" max="9416" width="14.109375" style="13" customWidth="1"/>
    <col min="9417" max="9417" width="17.33203125" style="13" customWidth="1"/>
    <col min="9418" max="9418" width="18.88671875" style="13" customWidth="1"/>
    <col min="9419" max="9419" width="14.109375" style="13" customWidth="1"/>
    <col min="9420" max="9420" width="21.5546875" style="13" customWidth="1"/>
    <col min="9421" max="9422" width="14.109375" style="13" customWidth="1"/>
    <col min="9423" max="9423" width="15" style="13" customWidth="1"/>
    <col min="9424" max="9424" width="13.33203125" style="13" customWidth="1"/>
    <col min="9425" max="9425" width="17" style="13" customWidth="1"/>
    <col min="9426" max="9426" width="24.88671875" style="13" customWidth="1"/>
    <col min="9427" max="9427" width="14.44140625" style="13" customWidth="1"/>
    <col min="9428" max="9428" width="23.109375" style="13" customWidth="1"/>
    <col min="9429" max="9429" width="13.109375" style="13" customWidth="1"/>
    <col min="9430" max="9433" width="0" style="13" hidden="1" customWidth="1"/>
    <col min="9434" max="9669" width="10.33203125" style="13"/>
    <col min="9670" max="9670" width="7" style="13" customWidth="1"/>
    <col min="9671" max="9671" width="13" style="13" customWidth="1"/>
    <col min="9672" max="9672" width="14.109375" style="13" customWidth="1"/>
    <col min="9673" max="9673" width="17.33203125" style="13" customWidth="1"/>
    <col min="9674" max="9674" width="18.88671875" style="13" customWidth="1"/>
    <col min="9675" max="9675" width="14.109375" style="13" customWidth="1"/>
    <col min="9676" max="9676" width="21.5546875" style="13" customWidth="1"/>
    <col min="9677" max="9678" width="14.109375" style="13" customWidth="1"/>
    <col min="9679" max="9679" width="15" style="13" customWidth="1"/>
    <col min="9680" max="9680" width="13.33203125" style="13" customWidth="1"/>
    <col min="9681" max="9681" width="17" style="13" customWidth="1"/>
    <col min="9682" max="9682" width="24.88671875" style="13" customWidth="1"/>
    <col min="9683" max="9683" width="14.44140625" style="13" customWidth="1"/>
    <col min="9684" max="9684" width="23.109375" style="13" customWidth="1"/>
    <col min="9685" max="9685" width="13.109375" style="13" customWidth="1"/>
    <col min="9686" max="9689" width="0" style="13" hidden="1" customWidth="1"/>
    <col min="9690" max="9925" width="10.33203125" style="13"/>
    <col min="9926" max="9926" width="7" style="13" customWidth="1"/>
    <col min="9927" max="9927" width="13" style="13" customWidth="1"/>
    <col min="9928" max="9928" width="14.109375" style="13" customWidth="1"/>
    <col min="9929" max="9929" width="17.33203125" style="13" customWidth="1"/>
    <col min="9930" max="9930" width="18.88671875" style="13" customWidth="1"/>
    <col min="9931" max="9931" width="14.109375" style="13" customWidth="1"/>
    <col min="9932" max="9932" width="21.5546875" style="13" customWidth="1"/>
    <col min="9933" max="9934" width="14.109375" style="13" customWidth="1"/>
    <col min="9935" max="9935" width="15" style="13" customWidth="1"/>
    <col min="9936" max="9936" width="13.33203125" style="13" customWidth="1"/>
    <col min="9937" max="9937" width="17" style="13" customWidth="1"/>
    <col min="9938" max="9938" width="24.88671875" style="13" customWidth="1"/>
    <col min="9939" max="9939" width="14.44140625" style="13" customWidth="1"/>
    <col min="9940" max="9940" width="23.109375" style="13" customWidth="1"/>
    <col min="9941" max="9941" width="13.109375" style="13" customWidth="1"/>
    <col min="9942" max="9945" width="0" style="13" hidden="1" customWidth="1"/>
    <col min="9946" max="10181" width="10.33203125" style="13"/>
    <col min="10182" max="10182" width="7" style="13" customWidth="1"/>
    <col min="10183" max="10183" width="13" style="13" customWidth="1"/>
    <col min="10184" max="10184" width="14.109375" style="13" customWidth="1"/>
    <col min="10185" max="10185" width="17.33203125" style="13" customWidth="1"/>
    <col min="10186" max="10186" width="18.88671875" style="13" customWidth="1"/>
    <col min="10187" max="10187" width="14.109375" style="13" customWidth="1"/>
    <col min="10188" max="10188" width="21.5546875" style="13" customWidth="1"/>
    <col min="10189" max="10190" width="14.109375" style="13" customWidth="1"/>
    <col min="10191" max="10191" width="15" style="13" customWidth="1"/>
    <col min="10192" max="10192" width="13.33203125" style="13" customWidth="1"/>
    <col min="10193" max="10193" width="17" style="13" customWidth="1"/>
    <col min="10194" max="10194" width="24.88671875" style="13" customWidth="1"/>
    <col min="10195" max="10195" width="14.44140625" style="13" customWidth="1"/>
    <col min="10196" max="10196" width="23.109375" style="13" customWidth="1"/>
    <col min="10197" max="10197" width="13.109375" style="13" customWidth="1"/>
    <col min="10198" max="10201" width="0" style="13" hidden="1" customWidth="1"/>
    <col min="10202" max="10437" width="10.33203125" style="13"/>
    <col min="10438" max="10438" width="7" style="13" customWidth="1"/>
    <col min="10439" max="10439" width="13" style="13" customWidth="1"/>
    <col min="10440" max="10440" width="14.109375" style="13" customWidth="1"/>
    <col min="10441" max="10441" width="17.33203125" style="13" customWidth="1"/>
    <col min="10442" max="10442" width="18.88671875" style="13" customWidth="1"/>
    <col min="10443" max="10443" width="14.109375" style="13" customWidth="1"/>
    <col min="10444" max="10444" width="21.5546875" style="13" customWidth="1"/>
    <col min="10445" max="10446" width="14.109375" style="13" customWidth="1"/>
    <col min="10447" max="10447" width="15" style="13" customWidth="1"/>
    <col min="10448" max="10448" width="13.33203125" style="13" customWidth="1"/>
    <col min="10449" max="10449" width="17" style="13" customWidth="1"/>
    <col min="10450" max="10450" width="24.88671875" style="13" customWidth="1"/>
    <col min="10451" max="10451" width="14.44140625" style="13" customWidth="1"/>
    <col min="10452" max="10452" width="23.109375" style="13" customWidth="1"/>
    <col min="10453" max="10453" width="13.109375" style="13" customWidth="1"/>
    <col min="10454" max="10457" width="0" style="13" hidden="1" customWidth="1"/>
    <col min="10458" max="10693" width="10.33203125" style="13"/>
    <col min="10694" max="10694" width="7" style="13" customWidth="1"/>
    <col min="10695" max="10695" width="13" style="13" customWidth="1"/>
    <col min="10696" max="10696" width="14.109375" style="13" customWidth="1"/>
    <col min="10697" max="10697" width="17.33203125" style="13" customWidth="1"/>
    <col min="10698" max="10698" width="18.88671875" style="13" customWidth="1"/>
    <col min="10699" max="10699" width="14.109375" style="13" customWidth="1"/>
    <col min="10700" max="10700" width="21.5546875" style="13" customWidth="1"/>
    <col min="10701" max="10702" width="14.109375" style="13" customWidth="1"/>
    <col min="10703" max="10703" width="15" style="13" customWidth="1"/>
    <col min="10704" max="10704" width="13.33203125" style="13" customWidth="1"/>
    <col min="10705" max="10705" width="17" style="13" customWidth="1"/>
    <col min="10706" max="10706" width="24.88671875" style="13" customWidth="1"/>
    <col min="10707" max="10707" width="14.44140625" style="13" customWidth="1"/>
    <col min="10708" max="10708" width="23.109375" style="13" customWidth="1"/>
    <col min="10709" max="10709" width="13.109375" style="13" customWidth="1"/>
    <col min="10710" max="10713" width="0" style="13" hidden="1" customWidth="1"/>
    <col min="10714" max="10949" width="10.33203125" style="13"/>
    <col min="10950" max="10950" width="7" style="13" customWidth="1"/>
    <col min="10951" max="10951" width="13" style="13" customWidth="1"/>
    <col min="10952" max="10952" width="14.109375" style="13" customWidth="1"/>
    <col min="10953" max="10953" width="17.33203125" style="13" customWidth="1"/>
    <col min="10954" max="10954" width="18.88671875" style="13" customWidth="1"/>
    <col min="10955" max="10955" width="14.109375" style="13" customWidth="1"/>
    <col min="10956" max="10956" width="21.5546875" style="13" customWidth="1"/>
    <col min="10957" max="10958" width="14.109375" style="13" customWidth="1"/>
    <col min="10959" max="10959" width="15" style="13" customWidth="1"/>
    <col min="10960" max="10960" width="13.33203125" style="13" customWidth="1"/>
    <col min="10961" max="10961" width="17" style="13" customWidth="1"/>
    <col min="10962" max="10962" width="24.88671875" style="13" customWidth="1"/>
    <col min="10963" max="10963" width="14.44140625" style="13" customWidth="1"/>
    <col min="10964" max="10964" width="23.109375" style="13" customWidth="1"/>
    <col min="10965" max="10965" width="13.109375" style="13" customWidth="1"/>
    <col min="10966" max="10969" width="0" style="13" hidden="1" customWidth="1"/>
    <col min="10970" max="11205" width="10.33203125" style="13"/>
    <col min="11206" max="11206" width="7" style="13" customWidth="1"/>
    <col min="11207" max="11207" width="13" style="13" customWidth="1"/>
    <col min="11208" max="11208" width="14.109375" style="13" customWidth="1"/>
    <col min="11209" max="11209" width="17.33203125" style="13" customWidth="1"/>
    <col min="11210" max="11210" width="18.88671875" style="13" customWidth="1"/>
    <col min="11211" max="11211" width="14.109375" style="13" customWidth="1"/>
    <col min="11212" max="11212" width="21.5546875" style="13" customWidth="1"/>
    <col min="11213" max="11214" width="14.109375" style="13" customWidth="1"/>
    <col min="11215" max="11215" width="15" style="13" customWidth="1"/>
    <col min="11216" max="11216" width="13.33203125" style="13" customWidth="1"/>
    <col min="11217" max="11217" width="17" style="13" customWidth="1"/>
    <col min="11218" max="11218" width="24.88671875" style="13" customWidth="1"/>
    <col min="11219" max="11219" width="14.44140625" style="13" customWidth="1"/>
    <col min="11220" max="11220" width="23.109375" style="13" customWidth="1"/>
    <col min="11221" max="11221" width="13.109375" style="13" customWidth="1"/>
    <col min="11222" max="11225" width="0" style="13" hidden="1" customWidth="1"/>
    <col min="11226" max="11461" width="10.33203125" style="13"/>
    <col min="11462" max="11462" width="7" style="13" customWidth="1"/>
    <col min="11463" max="11463" width="13" style="13" customWidth="1"/>
    <col min="11464" max="11464" width="14.109375" style="13" customWidth="1"/>
    <col min="11465" max="11465" width="17.33203125" style="13" customWidth="1"/>
    <col min="11466" max="11466" width="18.88671875" style="13" customWidth="1"/>
    <col min="11467" max="11467" width="14.109375" style="13" customWidth="1"/>
    <col min="11468" max="11468" width="21.5546875" style="13" customWidth="1"/>
    <col min="11469" max="11470" width="14.109375" style="13" customWidth="1"/>
    <col min="11471" max="11471" width="15" style="13" customWidth="1"/>
    <col min="11472" max="11472" width="13.33203125" style="13" customWidth="1"/>
    <col min="11473" max="11473" width="17" style="13" customWidth="1"/>
    <col min="11474" max="11474" width="24.88671875" style="13" customWidth="1"/>
    <col min="11475" max="11475" width="14.44140625" style="13" customWidth="1"/>
    <col min="11476" max="11476" width="23.109375" style="13" customWidth="1"/>
    <col min="11477" max="11477" width="13.109375" style="13" customWidth="1"/>
    <col min="11478" max="11481" width="0" style="13" hidden="1" customWidth="1"/>
    <col min="11482" max="11717" width="10.33203125" style="13"/>
    <col min="11718" max="11718" width="7" style="13" customWidth="1"/>
    <col min="11719" max="11719" width="13" style="13" customWidth="1"/>
    <col min="11720" max="11720" width="14.109375" style="13" customWidth="1"/>
    <col min="11721" max="11721" width="17.33203125" style="13" customWidth="1"/>
    <col min="11722" max="11722" width="18.88671875" style="13" customWidth="1"/>
    <col min="11723" max="11723" width="14.109375" style="13" customWidth="1"/>
    <col min="11724" max="11724" width="21.5546875" style="13" customWidth="1"/>
    <col min="11725" max="11726" width="14.109375" style="13" customWidth="1"/>
    <col min="11727" max="11727" width="15" style="13" customWidth="1"/>
    <col min="11728" max="11728" width="13.33203125" style="13" customWidth="1"/>
    <col min="11729" max="11729" width="17" style="13" customWidth="1"/>
    <col min="11730" max="11730" width="24.88671875" style="13" customWidth="1"/>
    <col min="11731" max="11731" width="14.44140625" style="13" customWidth="1"/>
    <col min="11732" max="11732" width="23.109375" style="13" customWidth="1"/>
    <col min="11733" max="11733" width="13.109375" style="13" customWidth="1"/>
    <col min="11734" max="11737" width="0" style="13" hidden="1" customWidth="1"/>
    <col min="11738" max="11973" width="10.33203125" style="13"/>
    <col min="11974" max="11974" width="7" style="13" customWidth="1"/>
    <col min="11975" max="11975" width="13" style="13" customWidth="1"/>
    <col min="11976" max="11976" width="14.109375" style="13" customWidth="1"/>
    <col min="11977" max="11977" width="17.33203125" style="13" customWidth="1"/>
    <col min="11978" max="11978" width="18.88671875" style="13" customWidth="1"/>
    <col min="11979" max="11979" width="14.109375" style="13" customWidth="1"/>
    <col min="11980" max="11980" width="21.5546875" style="13" customWidth="1"/>
    <col min="11981" max="11982" width="14.109375" style="13" customWidth="1"/>
    <col min="11983" max="11983" width="15" style="13" customWidth="1"/>
    <col min="11984" max="11984" width="13.33203125" style="13" customWidth="1"/>
    <col min="11985" max="11985" width="17" style="13" customWidth="1"/>
    <col min="11986" max="11986" width="24.88671875" style="13" customWidth="1"/>
    <col min="11987" max="11987" width="14.44140625" style="13" customWidth="1"/>
    <col min="11988" max="11988" width="23.109375" style="13" customWidth="1"/>
    <col min="11989" max="11989" width="13.109375" style="13" customWidth="1"/>
    <col min="11990" max="11993" width="0" style="13" hidden="1" customWidth="1"/>
    <col min="11994" max="12229" width="10.33203125" style="13"/>
    <col min="12230" max="12230" width="7" style="13" customWidth="1"/>
    <col min="12231" max="12231" width="13" style="13" customWidth="1"/>
    <col min="12232" max="12232" width="14.109375" style="13" customWidth="1"/>
    <col min="12233" max="12233" width="17.33203125" style="13" customWidth="1"/>
    <col min="12234" max="12234" width="18.88671875" style="13" customWidth="1"/>
    <col min="12235" max="12235" width="14.109375" style="13" customWidth="1"/>
    <col min="12236" max="12236" width="21.5546875" style="13" customWidth="1"/>
    <col min="12237" max="12238" width="14.109375" style="13" customWidth="1"/>
    <col min="12239" max="12239" width="15" style="13" customWidth="1"/>
    <col min="12240" max="12240" width="13.33203125" style="13" customWidth="1"/>
    <col min="12241" max="12241" width="17" style="13" customWidth="1"/>
    <col min="12242" max="12242" width="24.88671875" style="13" customWidth="1"/>
    <col min="12243" max="12243" width="14.44140625" style="13" customWidth="1"/>
    <col min="12244" max="12244" width="23.109375" style="13" customWidth="1"/>
    <col min="12245" max="12245" width="13.109375" style="13" customWidth="1"/>
    <col min="12246" max="12249" width="0" style="13" hidden="1" customWidth="1"/>
    <col min="12250" max="12485" width="10.33203125" style="13"/>
    <col min="12486" max="12486" width="7" style="13" customWidth="1"/>
    <col min="12487" max="12487" width="13" style="13" customWidth="1"/>
    <col min="12488" max="12488" width="14.109375" style="13" customWidth="1"/>
    <col min="12489" max="12489" width="17.33203125" style="13" customWidth="1"/>
    <col min="12490" max="12490" width="18.88671875" style="13" customWidth="1"/>
    <col min="12491" max="12491" width="14.109375" style="13" customWidth="1"/>
    <col min="12492" max="12492" width="21.5546875" style="13" customWidth="1"/>
    <col min="12493" max="12494" width="14.109375" style="13" customWidth="1"/>
    <col min="12495" max="12495" width="15" style="13" customWidth="1"/>
    <col min="12496" max="12496" width="13.33203125" style="13" customWidth="1"/>
    <col min="12497" max="12497" width="17" style="13" customWidth="1"/>
    <col min="12498" max="12498" width="24.88671875" style="13" customWidth="1"/>
    <col min="12499" max="12499" width="14.44140625" style="13" customWidth="1"/>
    <col min="12500" max="12500" width="23.109375" style="13" customWidth="1"/>
    <col min="12501" max="12501" width="13.109375" style="13" customWidth="1"/>
    <col min="12502" max="12505" width="0" style="13" hidden="1" customWidth="1"/>
    <col min="12506" max="12741" width="10.33203125" style="13"/>
    <col min="12742" max="12742" width="7" style="13" customWidth="1"/>
    <col min="12743" max="12743" width="13" style="13" customWidth="1"/>
    <col min="12744" max="12744" width="14.109375" style="13" customWidth="1"/>
    <col min="12745" max="12745" width="17.33203125" style="13" customWidth="1"/>
    <col min="12746" max="12746" width="18.88671875" style="13" customWidth="1"/>
    <col min="12747" max="12747" width="14.109375" style="13" customWidth="1"/>
    <col min="12748" max="12748" width="21.5546875" style="13" customWidth="1"/>
    <col min="12749" max="12750" width="14.109375" style="13" customWidth="1"/>
    <col min="12751" max="12751" width="15" style="13" customWidth="1"/>
    <col min="12752" max="12752" width="13.33203125" style="13" customWidth="1"/>
    <col min="12753" max="12753" width="17" style="13" customWidth="1"/>
    <col min="12754" max="12754" width="24.88671875" style="13" customWidth="1"/>
    <col min="12755" max="12755" width="14.44140625" style="13" customWidth="1"/>
    <col min="12756" max="12756" width="23.109375" style="13" customWidth="1"/>
    <col min="12757" max="12757" width="13.109375" style="13" customWidth="1"/>
    <col min="12758" max="12761" width="0" style="13" hidden="1" customWidth="1"/>
    <col min="12762" max="12997" width="10.33203125" style="13"/>
    <col min="12998" max="12998" width="7" style="13" customWidth="1"/>
    <col min="12999" max="12999" width="13" style="13" customWidth="1"/>
    <col min="13000" max="13000" width="14.109375" style="13" customWidth="1"/>
    <col min="13001" max="13001" width="17.33203125" style="13" customWidth="1"/>
    <col min="13002" max="13002" width="18.88671875" style="13" customWidth="1"/>
    <col min="13003" max="13003" width="14.109375" style="13" customWidth="1"/>
    <col min="13004" max="13004" width="21.5546875" style="13" customWidth="1"/>
    <col min="13005" max="13006" width="14.109375" style="13" customWidth="1"/>
    <col min="13007" max="13007" width="15" style="13" customWidth="1"/>
    <col min="13008" max="13008" width="13.33203125" style="13" customWidth="1"/>
    <col min="13009" max="13009" width="17" style="13" customWidth="1"/>
    <col min="13010" max="13010" width="24.88671875" style="13" customWidth="1"/>
    <col min="13011" max="13011" width="14.44140625" style="13" customWidth="1"/>
    <col min="13012" max="13012" width="23.109375" style="13" customWidth="1"/>
    <col min="13013" max="13013" width="13.109375" style="13" customWidth="1"/>
    <col min="13014" max="13017" width="0" style="13" hidden="1" customWidth="1"/>
    <col min="13018" max="13253" width="10.33203125" style="13"/>
    <col min="13254" max="13254" width="7" style="13" customWidth="1"/>
    <col min="13255" max="13255" width="13" style="13" customWidth="1"/>
    <col min="13256" max="13256" width="14.109375" style="13" customWidth="1"/>
    <col min="13257" max="13257" width="17.33203125" style="13" customWidth="1"/>
    <col min="13258" max="13258" width="18.88671875" style="13" customWidth="1"/>
    <col min="13259" max="13259" width="14.109375" style="13" customWidth="1"/>
    <col min="13260" max="13260" width="21.5546875" style="13" customWidth="1"/>
    <col min="13261" max="13262" width="14.109375" style="13" customWidth="1"/>
    <col min="13263" max="13263" width="15" style="13" customWidth="1"/>
    <col min="13264" max="13264" width="13.33203125" style="13" customWidth="1"/>
    <col min="13265" max="13265" width="17" style="13" customWidth="1"/>
    <col min="13266" max="13266" width="24.88671875" style="13" customWidth="1"/>
    <col min="13267" max="13267" width="14.44140625" style="13" customWidth="1"/>
    <col min="13268" max="13268" width="23.109375" style="13" customWidth="1"/>
    <col min="13269" max="13269" width="13.109375" style="13" customWidth="1"/>
    <col min="13270" max="13273" width="0" style="13" hidden="1" customWidth="1"/>
    <col min="13274" max="13509" width="10.33203125" style="13"/>
    <col min="13510" max="13510" width="7" style="13" customWidth="1"/>
    <col min="13511" max="13511" width="13" style="13" customWidth="1"/>
    <col min="13512" max="13512" width="14.109375" style="13" customWidth="1"/>
    <col min="13513" max="13513" width="17.33203125" style="13" customWidth="1"/>
    <col min="13514" max="13514" width="18.88671875" style="13" customWidth="1"/>
    <col min="13515" max="13515" width="14.109375" style="13" customWidth="1"/>
    <col min="13516" max="13516" width="21.5546875" style="13" customWidth="1"/>
    <col min="13517" max="13518" width="14.109375" style="13" customWidth="1"/>
    <col min="13519" max="13519" width="15" style="13" customWidth="1"/>
    <col min="13520" max="13520" width="13.33203125" style="13" customWidth="1"/>
    <col min="13521" max="13521" width="17" style="13" customWidth="1"/>
    <col min="13522" max="13522" width="24.88671875" style="13" customWidth="1"/>
    <col min="13523" max="13523" width="14.44140625" style="13" customWidth="1"/>
    <col min="13524" max="13524" width="23.109375" style="13" customWidth="1"/>
    <col min="13525" max="13525" width="13.109375" style="13" customWidth="1"/>
    <col min="13526" max="13529" width="0" style="13" hidden="1" customWidth="1"/>
    <col min="13530" max="13765" width="10.33203125" style="13"/>
    <col min="13766" max="13766" width="7" style="13" customWidth="1"/>
    <col min="13767" max="13767" width="13" style="13" customWidth="1"/>
    <col min="13768" max="13768" width="14.109375" style="13" customWidth="1"/>
    <col min="13769" max="13769" width="17.33203125" style="13" customWidth="1"/>
    <col min="13770" max="13770" width="18.88671875" style="13" customWidth="1"/>
    <col min="13771" max="13771" width="14.109375" style="13" customWidth="1"/>
    <col min="13772" max="13772" width="21.5546875" style="13" customWidth="1"/>
    <col min="13773" max="13774" width="14.109375" style="13" customWidth="1"/>
    <col min="13775" max="13775" width="15" style="13" customWidth="1"/>
    <col min="13776" max="13776" width="13.33203125" style="13" customWidth="1"/>
    <col min="13777" max="13777" width="17" style="13" customWidth="1"/>
    <col min="13778" max="13778" width="24.88671875" style="13" customWidth="1"/>
    <col min="13779" max="13779" width="14.44140625" style="13" customWidth="1"/>
    <col min="13780" max="13780" width="23.109375" style="13" customWidth="1"/>
    <col min="13781" max="13781" width="13.109375" style="13" customWidth="1"/>
    <col min="13782" max="13785" width="0" style="13" hidden="1" customWidth="1"/>
    <col min="13786" max="14021" width="10.33203125" style="13"/>
    <col min="14022" max="14022" width="7" style="13" customWidth="1"/>
    <col min="14023" max="14023" width="13" style="13" customWidth="1"/>
    <col min="14024" max="14024" width="14.109375" style="13" customWidth="1"/>
    <col min="14025" max="14025" width="17.33203125" style="13" customWidth="1"/>
    <col min="14026" max="14026" width="18.88671875" style="13" customWidth="1"/>
    <col min="14027" max="14027" width="14.109375" style="13" customWidth="1"/>
    <col min="14028" max="14028" width="21.5546875" style="13" customWidth="1"/>
    <col min="14029" max="14030" width="14.109375" style="13" customWidth="1"/>
    <col min="14031" max="14031" width="15" style="13" customWidth="1"/>
    <col min="14032" max="14032" width="13.33203125" style="13" customWidth="1"/>
    <col min="14033" max="14033" width="17" style="13" customWidth="1"/>
    <col min="14034" max="14034" width="24.88671875" style="13" customWidth="1"/>
    <col min="14035" max="14035" width="14.44140625" style="13" customWidth="1"/>
    <col min="14036" max="14036" width="23.109375" style="13" customWidth="1"/>
    <col min="14037" max="14037" width="13.109375" style="13" customWidth="1"/>
    <col min="14038" max="14041" width="0" style="13" hidden="1" customWidth="1"/>
    <col min="14042" max="14277" width="10.33203125" style="13"/>
    <col min="14278" max="14278" width="7" style="13" customWidth="1"/>
    <col min="14279" max="14279" width="13" style="13" customWidth="1"/>
    <col min="14280" max="14280" width="14.109375" style="13" customWidth="1"/>
    <col min="14281" max="14281" width="17.33203125" style="13" customWidth="1"/>
    <col min="14282" max="14282" width="18.88671875" style="13" customWidth="1"/>
    <col min="14283" max="14283" width="14.109375" style="13" customWidth="1"/>
    <col min="14284" max="14284" width="21.5546875" style="13" customWidth="1"/>
    <col min="14285" max="14286" width="14.109375" style="13" customWidth="1"/>
    <col min="14287" max="14287" width="15" style="13" customWidth="1"/>
    <col min="14288" max="14288" width="13.33203125" style="13" customWidth="1"/>
    <col min="14289" max="14289" width="17" style="13" customWidth="1"/>
    <col min="14290" max="14290" width="24.88671875" style="13" customWidth="1"/>
    <col min="14291" max="14291" width="14.44140625" style="13" customWidth="1"/>
    <col min="14292" max="14292" width="23.109375" style="13" customWidth="1"/>
    <col min="14293" max="14293" width="13.109375" style="13" customWidth="1"/>
    <col min="14294" max="14297" width="0" style="13" hidden="1" customWidth="1"/>
    <col min="14298" max="14533" width="10.33203125" style="13"/>
    <col min="14534" max="14534" width="7" style="13" customWidth="1"/>
    <col min="14535" max="14535" width="13" style="13" customWidth="1"/>
    <col min="14536" max="14536" width="14.109375" style="13" customWidth="1"/>
    <col min="14537" max="14537" width="17.33203125" style="13" customWidth="1"/>
    <col min="14538" max="14538" width="18.88671875" style="13" customWidth="1"/>
    <col min="14539" max="14539" width="14.109375" style="13" customWidth="1"/>
    <col min="14540" max="14540" width="21.5546875" style="13" customWidth="1"/>
    <col min="14541" max="14542" width="14.109375" style="13" customWidth="1"/>
    <col min="14543" max="14543" width="15" style="13" customWidth="1"/>
    <col min="14544" max="14544" width="13.33203125" style="13" customWidth="1"/>
    <col min="14545" max="14545" width="17" style="13" customWidth="1"/>
    <col min="14546" max="14546" width="24.88671875" style="13" customWidth="1"/>
    <col min="14547" max="14547" width="14.44140625" style="13" customWidth="1"/>
    <col min="14548" max="14548" width="23.109375" style="13" customWidth="1"/>
    <col min="14549" max="14549" width="13.109375" style="13" customWidth="1"/>
    <col min="14550" max="14553" width="0" style="13" hidden="1" customWidth="1"/>
    <col min="14554" max="14789" width="10.33203125" style="13"/>
    <col min="14790" max="14790" width="7" style="13" customWidth="1"/>
    <col min="14791" max="14791" width="13" style="13" customWidth="1"/>
    <col min="14792" max="14792" width="14.109375" style="13" customWidth="1"/>
    <col min="14793" max="14793" width="17.33203125" style="13" customWidth="1"/>
    <col min="14794" max="14794" width="18.88671875" style="13" customWidth="1"/>
    <col min="14795" max="14795" width="14.109375" style="13" customWidth="1"/>
    <col min="14796" max="14796" width="21.5546875" style="13" customWidth="1"/>
    <col min="14797" max="14798" width="14.109375" style="13" customWidth="1"/>
    <col min="14799" max="14799" width="15" style="13" customWidth="1"/>
    <col min="14800" max="14800" width="13.33203125" style="13" customWidth="1"/>
    <col min="14801" max="14801" width="17" style="13" customWidth="1"/>
    <col min="14802" max="14802" width="24.88671875" style="13" customWidth="1"/>
    <col min="14803" max="14803" width="14.44140625" style="13" customWidth="1"/>
    <col min="14804" max="14804" width="23.109375" style="13" customWidth="1"/>
    <col min="14805" max="14805" width="13.109375" style="13" customWidth="1"/>
    <col min="14806" max="14809" width="0" style="13" hidden="1" customWidth="1"/>
    <col min="14810" max="15045" width="10.33203125" style="13"/>
    <col min="15046" max="15046" width="7" style="13" customWidth="1"/>
    <col min="15047" max="15047" width="13" style="13" customWidth="1"/>
    <col min="15048" max="15048" width="14.109375" style="13" customWidth="1"/>
    <col min="15049" max="15049" width="17.33203125" style="13" customWidth="1"/>
    <col min="15050" max="15050" width="18.88671875" style="13" customWidth="1"/>
    <col min="15051" max="15051" width="14.109375" style="13" customWidth="1"/>
    <col min="15052" max="15052" width="21.5546875" style="13" customWidth="1"/>
    <col min="15053" max="15054" width="14.109375" style="13" customWidth="1"/>
    <col min="15055" max="15055" width="15" style="13" customWidth="1"/>
    <col min="15056" max="15056" width="13.33203125" style="13" customWidth="1"/>
    <col min="15057" max="15057" width="17" style="13" customWidth="1"/>
    <col min="15058" max="15058" width="24.88671875" style="13" customWidth="1"/>
    <col min="15059" max="15059" width="14.44140625" style="13" customWidth="1"/>
    <col min="15060" max="15060" width="23.109375" style="13" customWidth="1"/>
    <col min="15061" max="15061" width="13.109375" style="13" customWidth="1"/>
    <col min="15062" max="15065" width="0" style="13" hidden="1" customWidth="1"/>
    <col min="15066" max="15301" width="10.33203125" style="13"/>
    <col min="15302" max="15302" width="7" style="13" customWidth="1"/>
    <col min="15303" max="15303" width="13" style="13" customWidth="1"/>
    <col min="15304" max="15304" width="14.109375" style="13" customWidth="1"/>
    <col min="15305" max="15305" width="17.33203125" style="13" customWidth="1"/>
    <col min="15306" max="15306" width="18.88671875" style="13" customWidth="1"/>
    <col min="15307" max="15307" width="14.109375" style="13" customWidth="1"/>
    <col min="15308" max="15308" width="21.5546875" style="13" customWidth="1"/>
    <col min="15309" max="15310" width="14.109375" style="13" customWidth="1"/>
    <col min="15311" max="15311" width="15" style="13" customWidth="1"/>
    <col min="15312" max="15312" width="13.33203125" style="13" customWidth="1"/>
    <col min="15313" max="15313" width="17" style="13" customWidth="1"/>
    <col min="15314" max="15314" width="24.88671875" style="13" customWidth="1"/>
    <col min="15315" max="15315" width="14.44140625" style="13" customWidth="1"/>
    <col min="15316" max="15316" width="23.109375" style="13" customWidth="1"/>
    <col min="15317" max="15317" width="13.109375" style="13" customWidth="1"/>
    <col min="15318" max="15321" width="0" style="13" hidden="1" customWidth="1"/>
    <col min="15322" max="15557" width="10.33203125" style="13"/>
    <col min="15558" max="15558" width="7" style="13" customWidth="1"/>
    <col min="15559" max="15559" width="13" style="13" customWidth="1"/>
    <col min="15560" max="15560" width="14.109375" style="13" customWidth="1"/>
    <col min="15561" max="15561" width="17.33203125" style="13" customWidth="1"/>
    <col min="15562" max="15562" width="18.88671875" style="13" customWidth="1"/>
    <col min="15563" max="15563" width="14.109375" style="13" customWidth="1"/>
    <col min="15564" max="15564" width="21.5546875" style="13" customWidth="1"/>
    <col min="15565" max="15566" width="14.109375" style="13" customWidth="1"/>
    <col min="15567" max="15567" width="15" style="13" customWidth="1"/>
    <col min="15568" max="15568" width="13.33203125" style="13" customWidth="1"/>
    <col min="15569" max="15569" width="17" style="13" customWidth="1"/>
    <col min="15570" max="15570" width="24.88671875" style="13" customWidth="1"/>
    <col min="15571" max="15571" width="14.44140625" style="13" customWidth="1"/>
    <col min="15572" max="15572" width="23.109375" style="13" customWidth="1"/>
    <col min="15573" max="15573" width="13.109375" style="13" customWidth="1"/>
    <col min="15574" max="15577" width="0" style="13" hidden="1" customWidth="1"/>
    <col min="15578" max="15813" width="10.33203125" style="13"/>
    <col min="15814" max="15814" width="7" style="13" customWidth="1"/>
    <col min="15815" max="15815" width="13" style="13" customWidth="1"/>
    <col min="15816" max="15816" width="14.109375" style="13" customWidth="1"/>
    <col min="15817" max="15817" width="17.33203125" style="13" customWidth="1"/>
    <col min="15818" max="15818" width="18.88671875" style="13" customWidth="1"/>
    <col min="15819" max="15819" width="14.109375" style="13" customWidth="1"/>
    <col min="15820" max="15820" width="21.5546875" style="13" customWidth="1"/>
    <col min="15821" max="15822" width="14.109375" style="13" customWidth="1"/>
    <col min="15823" max="15823" width="15" style="13" customWidth="1"/>
    <col min="15824" max="15824" width="13.33203125" style="13" customWidth="1"/>
    <col min="15825" max="15825" width="17" style="13" customWidth="1"/>
    <col min="15826" max="15826" width="24.88671875" style="13" customWidth="1"/>
    <col min="15827" max="15827" width="14.44140625" style="13" customWidth="1"/>
    <col min="15828" max="15828" width="23.109375" style="13" customWidth="1"/>
    <col min="15829" max="15829" width="13.109375" style="13" customWidth="1"/>
    <col min="15830" max="15833" width="0" style="13" hidden="1" customWidth="1"/>
    <col min="15834" max="16069" width="10.33203125" style="13"/>
    <col min="16070" max="16070" width="7" style="13" customWidth="1"/>
    <col min="16071" max="16071" width="13" style="13" customWidth="1"/>
    <col min="16072" max="16072" width="14.109375" style="13" customWidth="1"/>
    <col min="16073" max="16073" width="17.33203125" style="13" customWidth="1"/>
    <col min="16074" max="16074" width="18.88671875" style="13" customWidth="1"/>
    <col min="16075" max="16075" width="14.109375" style="13" customWidth="1"/>
    <col min="16076" max="16076" width="21.5546875" style="13" customWidth="1"/>
    <col min="16077" max="16078" width="14.109375" style="13" customWidth="1"/>
    <col min="16079" max="16079" width="15" style="13" customWidth="1"/>
    <col min="16080" max="16080" width="13.33203125" style="13" customWidth="1"/>
    <col min="16081" max="16081" width="17" style="13" customWidth="1"/>
    <col min="16082" max="16082" width="24.88671875" style="13" customWidth="1"/>
    <col min="16083" max="16083" width="14.44140625" style="13" customWidth="1"/>
    <col min="16084" max="16084" width="23.109375" style="13" customWidth="1"/>
    <col min="16085" max="16085" width="13.109375" style="13" customWidth="1"/>
    <col min="16086" max="16089" width="0" style="13" hidden="1" customWidth="1"/>
    <col min="16090" max="16384" width="10.33203125" style="13"/>
  </cols>
  <sheetData>
    <row r="1" spans="1:33" ht="15" customHeight="1">
      <c r="B1" s="636"/>
      <c r="Q1" s="322"/>
      <c r="R1" s="322"/>
      <c r="S1" s="322"/>
      <c r="T1" s="322"/>
      <c r="U1" s="322"/>
      <c r="V1" s="322"/>
      <c r="W1" s="322"/>
      <c r="X1" s="125"/>
      <c r="Y1" s="322"/>
      <c r="Z1" s="322"/>
      <c r="AA1" s="322"/>
      <c r="AB1" s="322"/>
      <c r="AC1" s="322"/>
      <c r="AD1" s="322"/>
      <c r="AE1" s="125"/>
      <c r="AF1" s="125"/>
      <c r="AG1" s="13"/>
    </row>
    <row r="2" spans="1:33" ht="20.25" customHeight="1">
      <c r="A2" s="3314" t="s">
        <v>2706</v>
      </c>
      <c r="B2" s="3315"/>
      <c r="C2" s="3315"/>
      <c r="D2" s="3315"/>
      <c r="E2" s="3315"/>
      <c r="F2" s="3315"/>
      <c r="G2" s="3315"/>
      <c r="H2" s="3315"/>
      <c r="I2" s="3315"/>
      <c r="J2" s="3315"/>
      <c r="K2" s="3315"/>
      <c r="L2" s="3315"/>
      <c r="Q2" s="322"/>
      <c r="R2" s="322"/>
      <c r="S2" s="322"/>
      <c r="T2" s="322"/>
      <c r="U2" s="322"/>
      <c r="V2" s="322"/>
      <c r="W2" s="322"/>
      <c r="X2" s="294"/>
      <c r="Y2" s="322"/>
      <c r="Z2" s="322"/>
      <c r="AA2" s="322"/>
      <c r="AB2" s="322"/>
      <c r="AC2" s="322"/>
      <c r="AD2" s="322"/>
      <c r="AE2" s="294"/>
      <c r="AF2" s="294"/>
      <c r="AG2" s="13"/>
    </row>
    <row r="3" spans="1:33" ht="21" customHeight="1">
      <c r="B3" s="2" t="s">
        <v>658</v>
      </c>
      <c r="C3" s="648">
        <v>3700650295</v>
      </c>
      <c r="D3" s="3391" t="s">
        <v>4213</v>
      </c>
      <c r="E3" s="3391"/>
      <c r="F3" s="3391"/>
      <c r="G3" s="3391"/>
      <c r="H3" s="3391"/>
      <c r="I3" s="3391"/>
      <c r="J3" s="478"/>
      <c r="K3" s="1569" t="s">
        <v>1412</v>
      </c>
      <c r="L3" s="1670"/>
      <c r="M3" s="478"/>
      <c r="N3" s="647"/>
      <c r="O3" s="647"/>
      <c r="P3" s="2605" t="s">
        <v>6193</v>
      </c>
      <c r="X3" s="478"/>
      <c r="AE3" s="478"/>
      <c r="AF3" s="478"/>
    </row>
    <row r="4" spans="1:33" ht="39.6">
      <c r="A4" s="29" t="s">
        <v>2</v>
      </c>
      <c r="B4" s="637" t="s">
        <v>2705</v>
      </c>
      <c r="C4" s="619" t="s">
        <v>3</v>
      </c>
      <c r="D4" s="31" t="s">
        <v>4</v>
      </c>
      <c r="E4" s="30" t="s">
        <v>5</v>
      </c>
      <c r="F4" s="30" t="s">
        <v>179</v>
      </c>
      <c r="G4" s="33" t="s">
        <v>8</v>
      </c>
      <c r="H4" s="33" t="s">
        <v>9</v>
      </c>
      <c r="I4" s="33" t="s">
        <v>102</v>
      </c>
      <c r="J4" s="32" t="s">
        <v>1415</v>
      </c>
      <c r="K4" s="553" t="s">
        <v>15</v>
      </c>
      <c r="L4" s="323" t="s">
        <v>290</v>
      </c>
      <c r="M4" s="40" t="s">
        <v>404</v>
      </c>
      <c r="N4" s="1204" t="s">
        <v>4128</v>
      </c>
      <c r="O4" s="1204" t="s">
        <v>5939</v>
      </c>
      <c r="P4" s="1555" t="s">
        <v>4889</v>
      </c>
      <c r="Q4" s="217" t="s">
        <v>1291</v>
      </c>
      <c r="R4" s="217" t="s">
        <v>190</v>
      </c>
      <c r="S4" s="217" t="s">
        <v>191</v>
      </c>
      <c r="T4" s="217" t="s">
        <v>1313</v>
      </c>
      <c r="U4" s="218" t="s">
        <v>192</v>
      </c>
      <c r="V4" s="218" t="s">
        <v>193</v>
      </c>
      <c r="W4" s="219" t="s">
        <v>194</v>
      </c>
      <c r="X4" s="217" t="s">
        <v>1414</v>
      </c>
      <c r="Y4" s="219" t="s">
        <v>195</v>
      </c>
      <c r="Z4" s="220" t="s">
        <v>196</v>
      </c>
      <c r="AA4" s="221" t="s">
        <v>197</v>
      </c>
      <c r="AB4" s="218" t="s">
        <v>198</v>
      </c>
      <c r="AC4" s="219" t="s">
        <v>199</v>
      </c>
      <c r="AD4" s="222" t="s">
        <v>200</v>
      </c>
      <c r="AE4" s="484" t="s">
        <v>1423</v>
      </c>
      <c r="AF4" s="484" t="s">
        <v>1424</v>
      </c>
      <c r="AG4" s="36" t="s">
        <v>204</v>
      </c>
    </row>
    <row r="5" spans="1:33" ht="29.25" customHeight="1">
      <c r="A5" s="326">
        <v>1</v>
      </c>
      <c r="B5" s="152"/>
      <c r="C5" s="620" t="s">
        <v>1312</v>
      </c>
      <c r="D5" s="386" t="s">
        <v>1260</v>
      </c>
      <c r="E5" s="47" t="s">
        <v>1398</v>
      </c>
      <c r="F5" s="126" t="s">
        <v>1299</v>
      </c>
      <c r="G5" s="167"/>
      <c r="H5" s="167" t="s">
        <v>973</v>
      </c>
      <c r="I5" s="167"/>
      <c r="J5" s="479">
        <v>20077</v>
      </c>
      <c r="K5" s="564" t="s">
        <v>1301</v>
      </c>
      <c r="L5" s="327" t="s">
        <v>1306</v>
      </c>
      <c r="M5" s="40" t="s">
        <v>210</v>
      </c>
      <c r="N5" s="482"/>
      <c r="O5" s="1997"/>
      <c r="P5" s="1543"/>
      <c r="Q5" s="248"/>
      <c r="R5" s="373">
        <v>1450000</v>
      </c>
      <c r="S5" s="373">
        <v>709500</v>
      </c>
      <c r="T5" s="371">
        <v>500000</v>
      </c>
      <c r="U5" s="248"/>
      <c r="V5" s="247"/>
      <c r="W5" s="248"/>
      <c r="X5" s="341">
        <v>400000</v>
      </c>
      <c r="Y5" s="340">
        <f t="shared" ref="Y5:Y15" si="0">Q5+T5+U5+W5</f>
        <v>500000</v>
      </c>
      <c r="Z5" s="344">
        <f t="shared" ref="Z5:Z15" si="1">+V5</f>
        <v>0</v>
      </c>
      <c r="AA5" s="249"/>
      <c r="AB5" s="341">
        <f>7100000</f>
        <v>7100000</v>
      </c>
      <c r="AC5" s="342">
        <f t="shared" ref="AC5:AC33" si="2">((AB5+X5)*1.08)+Y5</f>
        <v>8600000</v>
      </c>
      <c r="AD5" s="252"/>
      <c r="AE5" s="3399" t="s">
        <v>1425</v>
      </c>
      <c r="AF5" s="3392" t="s">
        <v>1426</v>
      </c>
      <c r="AG5" s="142"/>
    </row>
    <row r="6" spans="1:33" ht="29.25" customHeight="1">
      <c r="A6" s="326">
        <v>2</v>
      </c>
      <c r="B6" s="152"/>
      <c r="C6" s="621">
        <v>305663246620</v>
      </c>
      <c r="D6" s="386" t="s">
        <v>1321</v>
      </c>
      <c r="E6" s="47" t="s">
        <v>1399</v>
      </c>
      <c r="F6" s="126" t="s">
        <v>1299</v>
      </c>
      <c r="G6" s="167"/>
      <c r="H6" s="167"/>
      <c r="I6" s="167">
        <v>1</v>
      </c>
      <c r="J6" s="479">
        <v>1982</v>
      </c>
      <c r="K6" s="564" t="s">
        <v>1396</v>
      </c>
      <c r="L6" s="327" t="s">
        <v>1395</v>
      </c>
      <c r="M6" s="40" t="s">
        <v>210</v>
      </c>
      <c r="N6" s="482"/>
      <c r="O6" s="1997"/>
      <c r="P6" s="1543"/>
      <c r="Q6" s="248"/>
      <c r="R6" s="248"/>
      <c r="S6" s="248"/>
      <c r="T6" s="486">
        <v>29730</v>
      </c>
      <c r="U6" s="248"/>
      <c r="V6" s="247"/>
      <c r="W6" s="248"/>
      <c r="X6" s="341"/>
      <c r="Y6" s="340">
        <f t="shared" si="0"/>
        <v>29730</v>
      </c>
      <c r="Z6" s="344">
        <f t="shared" si="1"/>
        <v>0</v>
      </c>
      <c r="AA6" s="249" t="s">
        <v>1400</v>
      </c>
      <c r="AB6" s="341">
        <v>3250000</v>
      </c>
      <c r="AC6" s="342">
        <f t="shared" si="2"/>
        <v>3539730</v>
      </c>
      <c r="AD6" s="252"/>
      <c r="AE6" s="3400"/>
      <c r="AF6" s="3393"/>
      <c r="AG6" s="142"/>
    </row>
    <row r="7" spans="1:33" ht="29.25" customHeight="1">
      <c r="A7" s="326">
        <v>3</v>
      </c>
      <c r="B7" s="152"/>
      <c r="C7" s="621">
        <v>305663329810</v>
      </c>
      <c r="D7" s="386" t="s">
        <v>1321</v>
      </c>
      <c r="E7" s="47" t="s">
        <v>1401</v>
      </c>
      <c r="F7" s="126" t="s">
        <v>1299</v>
      </c>
      <c r="G7" s="167"/>
      <c r="H7" s="167"/>
      <c r="I7" s="167">
        <v>1</v>
      </c>
      <c r="J7" s="479">
        <v>1959</v>
      </c>
      <c r="K7" s="564" t="s">
        <v>1397</v>
      </c>
      <c r="L7" s="327" t="s">
        <v>1395</v>
      </c>
      <c r="M7" s="40" t="s">
        <v>210</v>
      </c>
      <c r="N7" s="482"/>
      <c r="O7" s="1997"/>
      <c r="P7" s="1543"/>
      <c r="Q7" s="248"/>
      <c r="R7" s="248"/>
      <c r="S7" s="248"/>
      <c r="T7" s="486">
        <v>29385</v>
      </c>
      <c r="U7" s="248"/>
      <c r="V7" s="247"/>
      <c r="W7" s="248"/>
      <c r="X7" s="341"/>
      <c r="Y7" s="340">
        <f t="shared" si="0"/>
        <v>29385</v>
      </c>
      <c r="Z7" s="344">
        <f t="shared" si="1"/>
        <v>0</v>
      </c>
      <c r="AA7" s="249" t="s">
        <v>1400</v>
      </c>
      <c r="AB7" s="341">
        <v>3250000</v>
      </c>
      <c r="AC7" s="342">
        <f t="shared" si="2"/>
        <v>3539385</v>
      </c>
      <c r="AD7" s="252"/>
      <c r="AE7" s="3400"/>
      <c r="AF7" s="3393"/>
      <c r="AG7" s="142"/>
    </row>
    <row r="8" spans="1:33" ht="34.5" customHeight="1">
      <c r="A8" s="326">
        <v>4</v>
      </c>
      <c r="B8" s="152"/>
      <c r="C8" s="622" t="s">
        <v>1311</v>
      </c>
      <c r="D8" s="46" t="s">
        <v>1296</v>
      </c>
      <c r="E8" s="47" t="s">
        <v>1402</v>
      </c>
      <c r="F8" s="126" t="s">
        <v>1299</v>
      </c>
      <c r="G8" s="167"/>
      <c r="H8" s="167" t="s">
        <v>973</v>
      </c>
      <c r="I8" s="167"/>
      <c r="J8" s="479">
        <f>17516.45+4466.52</f>
        <v>21982.97</v>
      </c>
      <c r="K8" s="564" t="s">
        <v>1302</v>
      </c>
      <c r="L8" s="327" t="s">
        <v>1307</v>
      </c>
      <c r="M8" s="40" t="s">
        <v>210</v>
      </c>
      <c r="N8" s="482"/>
      <c r="O8" s="1997"/>
      <c r="P8" s="1543"/>
      <c r="Q8" s="248"/>
      <c r="R8" s="248"/>
      <c r="S8" s="248"/>
      <c r="T8" s="371">
        <v>500000</v>
      </c>
      <c r="U8" s="248"/>
      <c r="V8" s="247"/>
      <c r="W8" s="248"/>
      <c r="X8" s="341">
        <v>400000</v>
      </c>
      <c r="Y8" s="340">
        <f t="shared" si="0"/>
        <v>500000</v>
      </c>
      <c r="Z8" s="344">
        <f t="shared" si="1"/>
        <v>0</v>
      </c>
      <c r="AA8" s="249" t="s">
        <v>1416</v>
      </c>
      <c r="AB8" s="341">
        <f>7100000</f>
        <v>7100000</v>
      </c>
      <c r="AC8" s="342">
        <f t="shared" si="2"/>
        <v>8600000</v>
      </c>
      <c r="AD8" s="252"/>
      <c r="AE8" s="3400"/>
      <c r="AF8" s="3393"/>
      <c r="AG8" s="142"/>
    </row>
    <row r="9" spans="1:33" ht="29.25" customHeight="1">
      <c r="A9" s="326">
        <v>5</v>
      </c>
      <c r="B9" s="152"/>
      <c r="C9" s="623" t="s">
        <v>1310</v>
      </c>
      <c r="D9" s="46" t="s">
        <v>1297</v>
      </c>
      <c r="E9" s="47" t="s">
        <v>1404</v>
      </c>
      <c r="F9" s="126" t="s">
        <v>1300</v>
      </c>
      <c r="G9" s="167" t="s">
        <v>973</v>
      </c>
      <c r="H9" s="167"/>
      <c r="I9" s="167"/>
      <c r="J9" s="479">
        <v>20972</v>
      </c>
      <c r="K9" s="557" t="s">
        <v>1303</v>
      </c>
      <c r="L9" s="139" t="s">
        <v>1308</v>
      </c>
      <c r="M9" s="482" t="s">
        <v>1403</v>
      </c>
      <c r="N9" s="482"/>
      <c r="O9" s="1997"/>
      <c r="P9" s="1543"/>
      <c r="Q9" s="324">
        <v>167400</v>
      </c>
      <c r="R9" s="324">
        <v>394200</v>
      </c>
      <c r="S9" s="248"/>
      <c r="T9" s="371">
        <v>250000</v>
      </c>
      <c r="U9" s="248"/>
      <c r="V9" s="247"/>
      <c r="W9" s="248"/>
      <c r="X9" s="341">
        <v>400000</v>
      </c>
      <c r="Y9" s="340">
        <f t="shared" si="0"/>
        <v>417400</v>
      </c>
      <c r="Z9" s="344">
        <f t="shared" si="1"/>
        <v>0</v>
      </c>
      <c r="AA9" s="249"/>
      <c r="AB9" s="341">
        <v>6730000</v>
      </c>
      <c r="AC9" s="342">
        <f t="shared" si="2"/>
        <v>8117800.0000000009</v>
      </c>
      <c r="AD9" s="252"/>
      <c r="AE9" s="3400"/>
      <c r="AF9" s="3393"/>
      <c r="AG9" s="141"/>
    </row>
    <row r="10" spans="1:33" ht="22.5" customHeight="1">
      <c r="A10" s="326">
        <v>6</v>
      </c>
      <c r="B10" s="152"/>
      <c r="C10" s="624">
        <v>105563856530</v>
      </c>
      <c r="D10" s="46" t="s">
        <v>1297</v>
      </c>
      <c r="E10" s="47" t="s">
        <v>1405</v>
      </c>
      <c r="F10" s="126" t="s">
        <v>1300</v>
      </c>
      <c r="G10" s="167" t="s">
        <v>973</v>
      </c>
      <c r="H10" s="167"/>
      <c r="I10" s="167"/>
      <c r="J10" s="479">
        <v>21374</v>
      </c>
      <c r="K10" s="557" t="s">
        <v>1304</v>
      </c>
      <c r="L10" s="139" t="s">
        <v>1309</v>
      </c>
      <c r="M10" s="482" t="s">
        <v>210</v>
      </c>
      <c r="N10" s="482"/>
      <c r="O10" s="1997"/>
      <c r="P10" s="1543"/>
      <c r="Q10" s="324">
        <v>167400</v>
      </c>
      <c r="R10" s="324">
        <v>394200</v>
      </c>
      <c r="S10" s="248"/>
      <c r="T10" s="371">
        <v>250000</v>
      </c>
      <c r="U10" s="248"/>
      <c r="V10" s="247"/>
      <c r="W10" s="248"/>
      <c r="X10" s="341"/>
      <c r="Y10" s="340">
        <f t="shared" si="0"/>
        <v>417400</v>
      </c>
      <c r="Z10" s="344">
        <f t="shared" si="1"/>
        <v>0</v>
      </c>
      <c r="AA10" s="249"/>
      <c r="AB10" s="341">
        <v>6730000</v>
      </c>
      <c r="AC10" s="342">
        <f t="shared" si="2"/>
        <v>7685800.0000000009</v>
      </c>
      <c r="AD10" s="252"/>
      <c r="AE10" s="3400"/>
      <c r="AF10" s="3393"/>
      <c r="AG10" s="142"/>
    </row>
    <row r="11" spans="1:33" ht="33.75" customHeight="1">
      <c r="A11" s="326">
        <v>7</v>
      </c>
      <c r="B11" s="152"/>
      <c r="C11" s="620" t="s">
        <v>1318</v>
      </c>
      <c r="D11" s="46" t="s">
        <v>1298</v>
      </c>
      <c r="E11" s="47" t="s">
        <v>1406</v>
      </c>
      <c r="F11" s="126" t="s">
        <v>1299</v>
      </c>
      <c r="G11" s="167"/>
      <c r="H11" s="167" t="s">
        <v>973</v>
      </c>
      <c r="I11" s="167"/>
      <c r="J11" s="479">
        <f>20123.57+4711.03</f>
        <v>24834.6</v>
      </c>
      <c r="K11" s="558" t="s">
        <v>1305</v>
      </c>
      <c r="L11" s="139" t="s">
        <v>1320</v>
      </c>
      <c r="M11" s="40" t="s">
        <v>210</v>
      </c>
      <c r="N11" s="482"/>
      <c r="O11" s="1997"/>
      <c r="P11" s="1543"/>
      <c r="Q11" s="248"/>
      <c r="R11" s="248"/>
      <c r="S11" s="248"/>
      <c r="T11" s="371">
        <v>500000</v>
      </c>
      <c r="U11" s="248"/>
      <c r="V11" s="247"/>
      <c r="W11" s="248"/>
      <c r="X11" s="341">
        <v>400000</v>
      </c>
      <c r="Y11" s="340">
        <f t="shared" si="0"/>
        <v>500000</v>
      </c>
      <c r="Z11" s="344">
        <f t="shared" si="1"/>
        <v>0</v>
      </c>
      <c r="AA11" s="249"/>
      <c r="AB11" s="341">
        <f>7100000</f>
        <v>7100000</v>
      </c>
      <c r="AC11" s="342">
        <f t="shared" si="2"/>
        <v>8600000</v>
      </c>
      <c r="AD11" s="252"/>
      <c r="AE11" s="3400"/>
      <c r="AF11" s="3393"/>
      <c r="AG11" s="142"/>
    </row>
    <row r="12" spans="1:33" ht="33" customHeight="1">
      <c r="A12" s="326">
        <v>8</v>
      </c>
      <c r="B12" s="152"/>
      <c r="C12" s="623" t="s">
        <v>1316</v>
      </c>
      <c r="D12" s="46" t="s">
        <v>1298</v>
      </c>
      <c r="E12" s="47" t="s">
        <v>1409</v>
      </c>
      <c r="F12" s="126" t="s">
        <v>1300</v>
      </c>
      <c r="G12" s="167"/>
      <c r="H12" s="167">
        <v>1</v>
      </c>
      <c r="I12" s="167"/>
      <c r="J12" s="479">
        <v>24995</v>
      </c>
      <c r="K12" s="558" t="s">
        <v>1319</v>
      </c>
      <c r="L12" s="162" t="s">
        <v>1317</v>
      </c>
      <c r="M12" s="482" t="s">
        <v>1403</v>
      </c>
      <c r="N12" s="482"/>
      <c r="O12" s="1997"/>
      <c r="P12" s="1543"/>
      <c r="Q12" s="248"/>
      <c r="R12" s="324">
        <v>696600</v>
      </c>
      <c r="S12" s="248"/>
      <c r="T12" s="371">
        <v>500000</v>
      </c>
      <c r="U12" s="248"/>
      <c r="V12" s="247"/>
      <c r="W12" s="248"/>
      <c r="X12" s="341">
        <v>400000</v>
      </c>
      <c r="Y12" s="340">
        <f t="shared" si="0"/>
        <v>500000</v>
      </c>
      <c r="Z12" s="344">
        <f t="shared" si="1"/>
        <v>0</v>
      </c>
      <c r="AA12" s="249"/>
      <c r="AB12" s="341">
        <v>7150000</v>
      </c>
      <c r="AC12" s="342">
        <f t="shared" si="2"/>
        <v>8654000</v>
      </c>
      <c r="AD12" s="252"/>
      <c r="AE12" s="3400"/>
      <c r="AF12" s="3393"/>
      <c r="AG12" s="142"/>
    </row>
    <row r="13" spans="1:33" ht="30.75" customHeight="1">
      <c r="A13" s="326">
        <v>9</v>
      </c>
      <c r="B13" s="152"/>
      <c r="C13" s="620" t="s">
        <v>1326</v>
      </c>
      <c r="D13" s="46" t="s">
        <v>1327</v>
      </c>
      <c r="E13" s="47" t="s">
        <v>1407</v>
      </c>
      <c r="F13" s="126" t="s">
        <v>1299</v>
      </c>
      <c r="G13" s="167"/>
      <c r="H13" s="167">
        <v>1</v>
      </c>
      <c r="I13" s="167"/>
      <c r="J13" s="479">
        <f>19368.04+4977.27</f>
        <v>24345.31</v>
      </c>
      <c r="K13" s="558" t="s">
        <v>1328</v>
      </c>
      <c r="L13" s="162" t="s">
        <v>1329</v>
      </c>
      <c r="M13" s="40" t="s">
        <v>210</v>
      </c>
      <c r="N13" s="482"/>
      <c r="O13" s="1997"/>
      <c r="P13" s="1543"/>
      <c r="Q13" s="248"/>
      <c r="R13" s="248"/>
      <c r="S13" s="248"/>
      <c r="T13" s="371">
        <v>500000</v>
      </c>
      <c r="U13" s="248"/>
      <c r="V13" s="247"/>
      <c r="W13" s="248"/>
      <c r="X13" s="341">
        <v>400000</v>
      </c>
      <c r="Y13" s="340">
        <f t="shared" si="0"/>
        <v>500000</v>
      </c>
      <c r="Z13" s="344">
        <f t="shared" si="1"/>
        <v>0</v>
      </c>
      <c r="AA13" s="249"/>
      <c r="AB13" s="341">
        <f>7100000</f>
        <v>7100000</v>
      </c>
      <c r="AC13" s="342">
        <f t="shared" si="2"/>
        <v>8600000</v>
      </c>
      <c r="AD13" s="252"/>
      <c r="AE13" s="3400"/>
      <c r="AF13" s="3393"/>
      <c r="AG13" s="142"/>
    </row>
    <row r="14" spans="1:33" ht="30.75" customHeight="1">
      <c r="A14" s="326">
        <v>10</v>
      </c>
      <c r="B14" s="152"/>
      <c r="C14" s="620" t="s">
        <v>1367</v>
      </c>
      <c r="D14" s="46" t="s">
        <v>1362</v>
      </c>
      <c r="E14" s="47" t="s">
        <v>1408</v>
      </c>
      <c r="F14" s="126" t="s">
        <v>1299</v>
      </c>
      <c r="G14" s="167"/>
      <c r="H14" s="167">
        <v>1</v>
      </c>
      <c r="I14" s="167"/>
      <c r="J14" s="479">
        <f>21008.23+3923.76</f>
        <v>24931.989999999998</v>
      </c>
      <c r="K14" s="558" t="s">
        <v>1365</v>
      </c>
      <c r="L14" s="162" t="s">
        <v>1366</v>
      </c>
      <c r="M14" s="40" t="s">
        <v>210</v>
      </c>
      <c r="N14" s="482"/>
      <c r="O14" s="1997"/>
      <c r="P14" s="1543"/>
      <c r="Q14" s="248"/>
      <c r="R14" s="248"/>
      <c r="S14" s="248"/>
      <c r="T14" s="371">
        <v>500000</v>
      </c>
      <c r="U14" s="248"/>
      <c r="V14" s="247"/>
      <c r="W14" s="248"/>
      <c r="X14" s="341">
        <v>400000</v>
      </c>
      <c r="Y14" s="340">
        <f t="shared" si="0"/>
        <v>500000</v>
      </c>
      <c r="Z14" s="344">
        <f t="shared" si="1"/>
        <v>0</v>
      </c>
      <c r="AA14" s="249"/>
      <c r="AB14" s="341">
        <f>7100000</f>
        <v>7100000</v>
      </c>
      <c r="AC14" s="342">
        <f t="shared" si="2"/>
        <v>8600000</v>
      </c>
      <c r="AD14" s="252"/>
      <c r="AE14" s="3400"/>
      <c r="AF14" s="3393"/>
      <c r="AG14" s="142"/>
    </row>
    <row r="15" spans="1:33" ht="33.75" customHeight="1">
      <c r="A15" s="326">
        <v>11</v>
      </c>
      <c r="B15" s="152"/>
      <c r="C15" s="623" t="s">
        <v>1393</v>
      </c>
      <c r="D15" s="46" t="s">
        <v>1378</v>
      </c>
      <c r="E15" s="47" t="s">
        <v>1411</v>
      </c>
      <c r="F15" s="126" t="s">
        <v>1300</v>
      </c>
      <c r="G15" s="167"/>
      <c r="H15" s="167">
        <v>1</v>
      </c>
      <c r="I15" s="167"/>
      <c r="J15" s="479">
        <v>24997</v>
      </c>
      <c r="K15" s="558" t="s">
        <v>1410</v>
      </c>
      <c r="L15" s="162" t="s">
        <v>1394</v>
      </c>
      <c r="M15" s="482" t="s">
        <v>1403</v>
      </c>
      <c r="N15" s="482"/>
      <c r="O15" s="1997"/>
      <c r="P15" s="1543"/>
      <c r="Q15" s="324">
        <v>302400</v>
      </c>
      <c r="R15" s="324">
        <v>696600</v>
      </c>
      <c r="S15" s="248"/>
      <c r="T15" s="371">
        <v>500000</v>
      </c>
      <c r="U15" s="248"/>
      <c r="V15" s="247"/>
      <c r="W15" s="248"/>
      <c r="X15" s="341">
        <v>400000</v>
      </c>
      <c r="Y15" s="340">
        <f t="shared" si="0"/>
        <v>802400</v>
      </c>
      <c r="Z15" s="344">
        <f t="shared" si="1"/>
        <v>0</v>
      </c>
      <c r="AA15" s="249"/>
      <c r="AB15" s="341">
        <v>7150000</v>
      </c>
      <c r="AC15" s="342">
        <f t="shared" si="2"/>
        <v>8956400</v>
      </c>
      <c r="AD15" s="252"/>
      <c r="AE15" s="3401"/>
      <c r="AF15" s="3394"/>
      <c r="AG15" s="142"/>
    </row>
    <row r="16" spans="1:33" ht="22.5" customHeight="1">
      <c r="A16" s="3297" t="s">
        <v>1374</v>
      </c>
      <c r="B16" s="3298"/>
      <c r="C16" s="3298"/>
      <c r="D16" s="3298"/>
      <c r="E16" s="3298"/>
      <c r="F16" s="3298"/>
      <c r="G16" s="3298"/>
      <c r="H16" s="3298"/>
      <c r="I16" s="3298"/>
      <c r="J16" s="3298"/>
      <c r="K16" s="3298"/>
      <c r="L16" s="3298"/>
      <c r="M16" s="346"/>
      <c r="N16" s="346"/>
      <c r="O16" s="346"/>
      <c r="P16" s="346"/>
      <c r="Q16" s="486"/>
      <c r="R16" s="486"/>
      <c r="S16" s="486"/>
      <c r="T16" s="486"/>
      <c r="U16" s="486"/>
      <c r="V16" s="487"/>
      <c r="W16" s="486"/>
      <c r="X16" s="488">
        <f>SUM(X5:X15)</f>
        <v>3200000</v>
      </c>
      <c r="Y16" s="486">
        <f>SUM(Y5:Y15)</f>
        <v>4696315</v>
      </c>
      <c r="Z16" s="489">
        <f>SUM(Z5:Z15)</f>
        <v>0</v>
      </c>
      <c r="AA16" s="490"/>
      <c r="AB16" s="488">
        <f>SUM(AB5:AB15)</f>
        <v>69760000</v>
      </c>
      <c r="AC16" s="491">
        <f t="shared" si="2"/>
        <v>83493115</v>
      </c>
      <c r="AD16" s="492"/>
      <c r="AE16" s="346"/>
      <c r="AF16" s="346"/>
      <c r="AG16" s="493"/>
    </row>
    <row r="17" spans="1:33" ht="36" customHeight="1">
      <c r="A17" s="326">
        <v>1</v>
      </c>
      <c r="B17" s="152"/>
      <c r="C17" s="623" t="s">
        <v>1433</v>
      </c>
      <c r="D17" s="46">
        <v>45139</v>
      </c>
      <c r="E17" s="47" t="s">
        <v>1440</v>
      </c>
      <c r="F17" s="126" t="s">
        <v>1300</v>
      </c>
      <c r="G17" s="167"/>
      <c r="H17" s="167">
        <v>1</v>
      </c>
      <c r="I17" s="167"/>
      <c r="J17" s="479">
        <v>24887</v>
      </c>
      <c r="K17" s="558" t="s">
        <v>1431</v>
      </c>
      <c r="L17" s="162" t="s">
        <v>1432</v>
      </c>
      <c r="M17" s="482" t="s">
        <v>1403</v>
      </c>
      <c r="N17" s="482"/>
      <c r="O17" s="1997"/>
      <c r="P17" s="1543"/>
      <c r="Q17" s="248"/>
      <c r="R17" s="324">
        <v>696600</v>
      </c>
      <c r="S17" s="248"/>
      <c r="T17" s="371">
        <v>500000</v>
      </c>
      <c r="U17" s="248"/>
      <c r="V17" s="247"/>
      <c r="W17" s="248"/>
      <c r="X17" s="341">
        <v>400000</v>
      </c>
      <c r="Y17" s="340">
        <f t="shared" ref="Y17:Y25" si="3">Q17+T17+U17+W17</f>
        <v>500000</v>
      </c>
      <c r="Z17" s="344">
        <f t="shared" ref="Z17:Z25" si="4">+V17</f>
        <v>0</v>
      </c>
      <c r="AA17" s="249"/>
      <c r="AB17" s="341">
        <v>7150000</v>
      </c>
      <c r="AC17" s="342">
        <f t="shared" si="2"/>
        <v>8654000</v>
      </c>
      <c r="AD17" s="250">
        <f t="shared" ref="AD17:AD25" si="5">+X17+AB17</f>
        <v>7550000</v>
      </c>
      <c r="AE17" s="502" t="s">
        <v>1535</v>
      </c>
      <c r="AF17" s="136"/>
      <c r="AG17" s="141"/>
    </row>
    <row r="18" spans="1:33" ht="36" customHeight="1">
      <c r="A18" s="326">
        <f t="shared" ref="A18:A25" si="6">+A17+1</f>
        <v>2</v>
      </c>
      <c r="B18" s="152"/>
      <c r="C18" s="620" t="s">
        <v>1438</v>
      </c>
      <c r="D18" s="46">
        <v>45139</v>
      </c>
      <c r="E18" s="47" t="s">
        <v>1441</v>
      </c>
      <c r="F18" s="126" t="str">
        <f>+F14</f>
        <v>XUẤT</v>
      </c>
      <c r="G18" s="167"/>
      <c r="H18" s="167">
        <v>1</v>
      </c>
      <c r="I18" s="167"/>
      <c r="J18" s="479">
        <f>17986.82+6024.38</f>
        <v>24011.200000000001</v>
      </c>
      <c r="K18" s="559" t="s">
        <v>1436</v>
      </c>
      <c r="L18" s="169" t="s">
        <v>1437</v>
      </c>
      <c r="M18" s="40" t="s">
        <v>210</v>
      </c>
      <c r="N18" s="482"/>
      <c r="O18" s="1997"/>
      <c r="P18" s="1543"/>
      <c r="Q18" s="248"/>
      <c r="R18" s="248"/>
      <c r="S18" s="248"/>
      <c r="T18" s="371">
        <v>500000</v>
      </c>
      <c r="U18" s="248"/>
      <c r="V18" s="247"/>
      <c r="W18" s="248"/>
      <c r="X18" s="341">
        <v>400000</v>
      </c>
      <c r="Y18" s="340">
        <f t="shared" si="3"/>
        <v>500000</v>
      </c>
      <c r="Z18" s="344">
        <f t="shared" si="4"/>
        <v>0</v>
      </c>
      <c r="AA18" s="249" t="s">
        <v>1416</v>
      </c>
      <c r="AB18" s="341">
        <v>7100000</v>
      </c>
      <c r="AC18" s="342">
        <f t="shared" si="2"/>
        <v>8600000</v>
      </c>
      <c r="AD18" s="250">
        <f t="shared" si="5"/>
        <v>7500000</v>
      </c>
      <c r="AE18" s="503"/>
      <c r="AF18" s="136"/>
      <c r="AG18" s="141"/>
    </row>
    <row r="19" spans="1:33" ht="27" customHeight="1">
      <c r="A19" s="326">
        <f t="shared" si="6"/>
        <v>3</v>
      </c>
      <c r="B19" s="152"/>
      <c r="C19" s="620" t="s">
        <v>1464</v>
      </c>
      <c r="D19" s="46">
        <v>45147</v>
      </c>
      <c r="E19" s="47" t="s">
        <v>1467</v>
      </c>
      <c r="F19" s="126" t="s">
        <v>1299</v>
      </c>
      <c r="G19" s="167"/>
      <c r="H19" s="167">
        <v>1</v>
      </c>
      <c r="I19" s="167"/>
      <c r="J19" s="479">
        <f>16462.21+7816.99</f>
        <v>24279.199999999997</v>
      </c>
      <c r="K19" s="559" t="s">
        <v>1465</v>
      </c>
      <c r="L19" s="164" t="s">
        <v>1466</v>
      </c>
      <c r="M19" s="482" t="s">
        <v>1403</v>
      </c>
      <c r="N19" s="482"/>
      <c r="O19" s="1997"/>
      <c r="P19" s="1543"/>
      <c r="Q19" s="248"/>
      <c r="R19" s="248"/>
      <c r="S19" s="248"/>
      <c r="T19" s="371">
        <v>500000</v>
      </c>
      <c r="U19" s="248"/>
      <c r="V19" s="247"/>
      <c r="W19" s="248"/>
      <c r="X19" s="341">
        <v>400000</v>
      </c>
      <c r="Y19" s="340">
        <f t="shared" si="3"/>
        <v>500000</v>
      </c>
      <c r="Z19" s="344">
        <f t="shared" si="4"/>
        <v>0</v>
      </c>
      <c r="AA19" s="249" t="s">
        <v>1416</v>
      </c>
      <c r="AB19" s="341">
        <v>7100000</v>
      </c>
      <c r="AC19" s="342">
        <f t="shared" si="2"/>
        <v>8600000</v>
      </c>
      <c r="AD19" s="250">
        <f t="shared" si="5"/>
        <v>7500000</v>
      </c>
      <c r="AE19" s="503"/>
      <c r="AF19" s="136"/>
      <c r="AG19" s="141"/>
    </row>
    <row r="20" spans="1:33" ht="22.5" customHeight="1">
      <c r="A20" s="326">
        <f t="shared" si="6"/>
        <v>4</v>
      </c>
      <c r="B20" s="152"/>
      <c r="C20" s="625">
        <v>305753832920</v>
      </c>
      <c r="D20" s="110" t="s">
        <v>1493</v>
      </c>
      <c r="E20" s="47" t="s">
        <v>1499</v>
      </c>
      <c r="F20" s="126" t="s">
        <v>1299</v>
      </c>
      <c r="G20" s="167"/>
      <c r="H20" s="167"/>
      <c r="I20" s="167">
        <v>1</v>
      </c>
      <c r="J20" s="479">
        <v>2202</v>
      </c>
      <c r="K20" s="559" t="s">
        <v>1494</v>
      </c>
      <c r="L20" s="164"/>
      <c r="M20" s="40" t="s">
        <v>210</v>
      </c>
      <c r="N20" s="482"/>
      <c r="O20" s="1997"/>
      <c r="P20" s="1543"/>
      <c r="Q20" s="248"/>
      <c r="R20" s="248"/>
      <c r="S20" s="248"/>
      <c r="T20" s="371">
        <v>33030</v>
      </c>
      <c r="U20" s="248"/>
      <c r="V20" s="247"/>
      <c r="W20" s="248"/>
      <c r="X20" s="341"/>
      <c r="Y20" s="340">
        <f t="shared" si="3"/>
        <v>33030</v>
      </c>
      <c r="Z20" s="344">
        <f t="shared" si="4"/>
        <v>0</v>
      </c>
      <c r="AA20" s="249" t="s">
        <v>1526</v>
      </c>
      <c r="AB20" s="341">
        <v>3250000</v>
      </c>
      <c r="AC20" s="342">
        <f t="shared" si="2"/>
        <v>3543030</v>
      </c>
      <c r="AD20" s="250">
        <f t="shared" si="5"/>
        <v>3250000</v>
      </c>
      <c r="AE20" s="503"/>
      <c r="AF20" s="136"/>
      <c r="AG20" s="141"/>
    </row>
    <row r="21" spans="1:33" ht="22.5" customHeight="1">
      <c r="A21" s="326">
        <f t="shared" si="6"/>
        <v>5</v>
      </c>
      <c r="B21" s="152"/>
      <c r="C21" s="625">
        <v>305753884460</v>
      </c>
      <c r="D21" s="110" t="s">
        <v>1493</v>
      </c>
      <c r="E21" s="47" t="s">
        <v>1500</v>
      </c>
      <c r="F21" s="126" t="s">
        <v>1299</v>
      </c>
      <c r="G21" s="167"/>
      <c r="H21" s="167"/>
      <c r="I21" s="167">
        <v>1</v>
      </c>
      <c r="J21" s="479">
        <v>305</v>
      </c>
      <c r="K21" s="559" t="s">
        <v>1495</v>
      </c>
      <c r="L21" s="163"/>
      <c r="M21" s="40" t="s">
        <v>210</v>
      </c>
      <c r="N21" s="482"/>
      <c r="O21" s="1997"/>
      <c r="P21" s="1543"/>
      <c r="Q21" s="248"/>
      <c r="R21" s="248"/>
      <c r="S21" s="248"/>
      <c r="T21" s="371">
        <v>4575</v>
      </c>
      <c r="U21" s="248"/>
      <c r="V21" s="247"/>
      <c r="W21" s="248"/>
      <c r="X21" s="341"/>
      <c r="Y21" s="340">
        <f t="shared" si="3"/>
        <v>4575</v>
      </c>
      <c r="Z21" s="344">
        <f t="shared" si="4"/>
        <v>0</v>
      </c>
      <c r="AA21" s="249" t="s">
        <v>1527</v>
      </c>
      <c r="AB21" s="341">
        <v>2980000</v>
      </c>
      <c r="AC21" s="342">
        <f t="shared" si="2"/>
        <v>3222975</v>
      </c>
      <c r="AD21" s="250">
        <f t="shared" si="5"/>
        <v>2980000</v>
      </c>
      <c r="AE21" s="503"/>
      <c r="AF21" s="136"/>
      <c r="AG21" s="141"/>
    </row>
    <row r="22" spans="1:33" ht="27.75" customHeight="1">
      <c r="A22" s="326">
        <f t="shared" si="6"/>
        <v>6</v>
      </c>
      <c r="B22" s="152"/>
      <c r="C22" s="626" t="s">
        <v>1496</v>
      </c>
      <c r="D22" s="110" t="s">
        <v>1493</v>
      </c>
      <c r="E22" s="47" t="s">
        <v>1505</v>
      </c>
      <c r="F22" s="126" t="s">
        <v>1299</v>
      </c>
      <c r="G22" s="167"/>
      <c r="H22" s="167">
        <v>1</v>
      </c>
      <c r="I22" s="167"/>
      <c r="J22" s="479">
        <f>19183.15+5736.94</f>
        <v>24920.09</v>
      </c>
      <c r="K22" s="559" t="s">
        <v>1497</v>
      </c>
      <c r="L22" s="163" t="s">
        <v>1498</v>
      </c>
      <c r="M22" s="40" t="s">
        <v>210</v>
      </c>
      <c r="N22" s="482"/>
      <c r="O22" s="1997"/>
      <c r="P22" s="1543"/>
      <c r="Q22" s="248"/>
      <c r="R22" s="248"/>
      <c r="S22" s="248"/>
      <c r="T22" s="371">
        <v>500000</v>
      </c>
      <c r="U22" s="248"/>
      <c r="V22" s="247"/>
      <c r="W22" s="248"/>
      <c r="X22" s="341">
        <v>400000</v>
      </c>
      <c r="Y22" s="340">
        <f t="shared" si="3"/>
        <v>500000</v>
      </c>
      <c r="Z22" s="344">
        <f t="shared" si="4"/>
        <v>0</v>
      </c>
      <c r="AA22" s="249"/>
      <c r="AB22" s="341">
        <v>7100000</v>
      </c>
      <c r="AC22" s="342">
        <f t="shared" si="2"/>
        <v>8600000</v>
      </c>
      <c r="AD22" s="250">
        <f t="shared" si="5"/>
        <v>7500000</v>
      </c>
      <c r="AE22" s="503"/>
      <c r="AF22" s="136"/>
      <c r="AG22" s="141"/>
    </row>
    <row r="23" spans="1:33" ht="27.75" customHeight="1">
      <c r="A23" s="326">
        <f t="shared" si="6"/>
        <v>7</v>
      </c>
      <c r="B23" s="152"/>
      <c r="C23" s="626" t="s">
        <v>1504</v>
      </c>
      <c r="D23" s="46" t="s">
        <v>1501</v>
      </c>
      <c r="E23" s="47" t="s">
        <v>1514</v>
      </c>
      <c r="F23" s="126" t="s">
        <v>1299</v>
      </c>
      <c r="G23" s="167"/>
      <c r="H23" s="167">
        <v>1</v>
      </c>
      <c r="I23" s="167"/>
      <c r="J23" s="479">
        <f>7752.62+17129.8</f>
        <v>24882.42</v>
      </c>
      <c r="K23" s="559" t="s">
        <v>1502</v>
      </c>
      <c r="L23" s="163" t="s">
        <v>1503</v>
      </c>
      <c r="M23" s="40" t="s">
        <v>210</v>
      </c>
      <c r="N23" s="482"/>
      <c r="O23" s="1997"/>
      <c r="P23" s="1543"/>
      <c r="Q23" s="248"/>
      <c r="R23" s="248"/>
      <c r="S23" s="248"/>
      <c r="T23" s="371">
        <v>500000</v>
      </c>
      <c r="U23" s="248"/>
      <c r="V23" s="247"/>
      <c r="W23" s="248"/>
      <c r="X23" s="341">
        <v>400000</v>
      </c>
      <c r="Y23" s="340">
        <f t="shared" si="3"/>
        <v>500000</v>
      </c>
      <c r="Z23" s="344">
        <f t="shared" si="4"/>
        <v>0</v>
      </c>
      <c r="AA23" s="249"/>
      <c r="AB23" s="341">
        <v>7100000</v>
      </c>
      <c r="AC23" s="342">
        <f t="shared" si="2"/>
        <v>8600000</v>
      </c>
      <c r="AD23" s="250">
        <f t="shared" si="5"/>
        <v>7500000</v>
      </c>
      <c r="AE23" s="503"/>
      <c r="AF23" s="136"/>
      <c r="AG23" s="141"/>
    </row>
    <row r="24" spans="1:33" ht="22.5" customHeight="1">
      <c r="A24" s="326">
        <f t="shared" si="6"/>
        <v>8</v>
      </c>
      <c r="B24" s="152"/>
      <c r="C24" s="624">
        <v>105670072760</v>
      </c>
      <c r="D24" s="46" t="s">
        <v>1519</v>
      </c>
      <c r="E24" s="47" t="s">
        <v>1524</v>
      </c>
      <c r="F24" s="126" t="s">
        <v>1300</v>
      </c>
      <c r="G24" s="167"/>
      <c r="H24" s="167">
        <v>1</v>
      </c>
      <c r="I24" s="167"/>
      <c r="J24" s="479">
        <v>23319</v>
      </c>
      <c r="K24" s="559" t="s">
        <v>1520</v>
      </c>
      <c r="L24" s="170" t="s">
        <v>1521</v>
      </c>
      <c r="M24" s="40" t="s">
        <v>210</v>
      </c>
      <c r="N24" s="482"/>
      <c r="O24" s="1997"/>
      <c r="P24" s="1543"/>
      <c r="Q24" s="248"/>
      <c r="R24" s="324">
        <v>696600</v>
      </c>
      <c r="S24" s="248"/>
      <c r="T24" s="371">
        <v>500000</v>
      </c>
      <c r="U24" s="248"/>
      <c r="V24" s="247"/>
      <c r="W24" s="248"/>
      <c r="X24" s="341"/>
      <c r="Y24" s="340">
        <f t="shared" si="3"/>
        <v>500000</v>
      </c>
      <c r="Z24" s="344">
        <f t="shared" si="4"/>
        <v>0</v>
      </c>
      <c r="AA24" s="249"/>
      <c r="AB24" s="341">
        <v>7150000</v>
      </c>
      <c r="AC24" s="342">
        <f t="shared" si="2"/>
        <v>8222000.0000000009</v>
      </c>
      <c r="AD24" s="250">
        <f t="shared" si="5"/>
        <v>7150000</v>
      </c>
      <c r="AE24" s="503"/>
      <c r="AF24" s="136"/>
      <c r="AG24" s="141"/>
    </row>
    <row r="25" spans="1:33" ht="22.5" customHeight="1">
      <c r="A25" s="326">
        <f t="shared" si="6"/>
        <v>9</v>
      </c>
      <c r="B25" s="152"/>
      <c r="C25" s="624">
        <v>105670177910</v>
      </c>
      <c r="D25" s="46" t="s">
        <v>1519</v>
      </c>
      <c r="E25" s="47" t="s">
        <v>1525</v>
      </c>
      <c r="F25" s="126" t="s">
        <v>1300</v>
      </c>
      <c r="G25" s="167">
        <v>1</v>
      </c>
      <c r="H25" s="167"/>
      <c r="I25" s="167"/>
      <c r="J25" s="479">
        <v>20706</v>
      </c>
      <c r="K25" s="559" t="s">
        <v>1522</v>
      </c>
      <c r="L25" s="163" t="s">
        <v>1523</v>
      </c>
      <c r="M25" s="40" t="s">
        <v>210</v>
      </c>
      <c r="N25" s="482"/>
      <c r="O25" s="1997"/>
      <c r="P25" s="1543"/>
      <c r="Q25" s="248"/>
      <c r="R25" s="324">
        <v>394200</v>
      </c>
      <c r="S25" s="248"/>
      <c r="T25" s="371">
        <v>250000</v>
      </c>
      <c r="U25" s="248"/>
      <c r="V25" s="247"/>
      <c r="W25" s="248"/>
      <c r="X25" s="341"/>
      <c r="Y25" s="340">
        <f t="shared" si="3"/>
        <v>250000</v>
      </c>
      <c r="Z25" s="344">
        <f t="shared" si="4"/>
        <v>0</v>
      </c>
      <c r="AA25" s="249"/>
      <c r="AB25" s="341">
        <v>6730000</v>
      </c>
      <c r="AC25" s="342">
        <f t="shared" si="2"/>
        <v>7518400.0000000009</v>
      </c>
      <c r="AD25" s="250">
        <f t="shared" si="5"/>
        <v>6730000</v>
      </c>
      <c r="AE25" s="503"/>
      <c r="AF25" s="136"/>
      <c r="AG25" s="141"/>
    </row>
    <row r="26" spans="1:33" ht="22.5" customHeight="1">
      <c r="A26" s="3297" t="s">
        <v>1507</v>
      </c>
      <c r="B26" s="3298"/>
      <c r="C26" s="3298"/>
      <c r="D26" s="3298"/>
      <c r="E26" s="3298"/>
      <c r="F26" s="3298"/>
      <c r="G26" s="3298"/>
      <c r="H26" s="3298"/>
      <c r="I26" s="3298"/>
      <c r="J26" s="3298"/>
      <c r="K26" s="3298"/>
      <c r="L26" s="3298"/>
      <c r="M26" s="346"/>
      <c r="N26" s="346"/>
      <c r="O26" s="346"/>
      <c r="P26" s="346"/>
      <c r="Q26" s="486"/>
      <c r="R26" s="500"/>
      <c r="S26" s="486"/>
      <c r="T26" s="486"/>
      <c r="U26" s="486"/>
      <c r="V26" s="487"/>
      <c r="W26" s="486"/>
      <c r="X26" s="488">
        <f>SUM(X17:X25)</f>
        <v>2000000</v>
      </c>
      <c r="Y26" s="488">
        <f>SUM(Y17:Y25)</f>
        <v>3287605</v>
      </c>
      <c r="Z26" s="489">
        <f>SUM(Z15:Z23)</f>
        <v>0</v>
      </c>
      <c r="AA26" s="490"/>
      <c r="AB26" s="488">
        <f>SUM(AB17:AB25)</f>
        <v>55660000</v>
      </c>
      <c r="AC26" s="491">
        <f t="shared" si="2"/>
        <v>65560405.000000007</v>
      </c>
      <c r="AD26" s="492"/>
      <c r="AE26" s="346"/>
      <c r="AF26" s="346"/>
      <c r="AG26" s="493"/>
    </row>
    <row r="27" spans="1:33" ht="30" customHeight="1">
      <c r="A27" s="326">
        <v>1</v>
      </c>
      <c r="B27" s="152"/>
      <c r="C27" s="627" t="s">
        <v>1549</v>
      </c>
      <c r="D27" s="46" t="s">
        <v>1550</v>
      </c>
      <c r="E27" s="517" t="s">
        <v>1552</v>
      </c>
      <c r="F27" s="126" t="s">
        <v>1299</v>
      </c>
      <c r="G27" s="167"/>
      <c r="H27" s="167">
        <v>1</v>
      </c>
      <c r="I27" s="167"/>
      <c r="J27" s="479">
        <v>27969</v>
      </c>
      <c r="K27" s="559" t="s">
        <v>1548</v>
      </c>
      <c r="L27" s="170" t="s">
        <v>1551</v>
      </c>
      <c r="M27" s="40" t="s">
        <v>210</v>
      </c>
      <c r="N27" s="482"/>
      <c r="O27" s="1997"/>
      <c r="P27" s="1543"/>
      <c r="Q27" s="248"/>
      <c r="R27" s="248"/>
      <c r="S27" s="248"/>
      <c r="T27" s="371">
        <v>500000</v>
      </c>
      <c r="U27" s="248"/>
      <c r="V27" s="247"/>
      <c r="W27" s="248"/>
      <c r="X27" s="341">
        <v>400000</v>
      </c>
      <c r="Y27" s="340">
        <f t="shared" ref="Y27:Y33" si="7">Q27+T27+U27+W27</f>
        <v>500000</v>
      </c>
      <c r="Z27" s="344">
        <f t="shared" ref="Z27:Z33" si="8">+V27</f>
        <v>0</v>
      </c>
      <c r="AA27" s="249"/>
      <c r="AB27" s="341">
        <v>7100000</v>
      </c>
      <c r="AC27" s="342">
        <f t="shared" si="2"/>
        <v>8600000</v>
      </c>
      <c r="AD27" s="252"/>
      <c r="AE27" s="3395" t="s">
        <v>1645</v>
      </c>
      <c r="AF27" s="3397" t="s">
        <v>1646</v>
      </c>
      <c r="AG27" s="141"/>
    </row>
    <row r="28" spans="1:33" ht="44.25" customHeight="1">
      <c r="A28" s="326">
        <f>+A27+1</f>
        <v>2</v>
      </c>
      <c r="B28" s="152"/>
      <c r="C28" s="627" t="s">
        <v>1588</v>
      </c>
      <c r="D28" s="46">
        <v>45174</v>
      </c>
      <c r="E28" s="47" t="s">
        <v>1567</v>
      </c>
      <c r="F28" s="126" t="s">
        <v>1299</v>
      </c>
      <c r="G28" s="167">
        <v>1</v>
      </c>
      <c r="H28" s="167"/>
      <c r="I28" s="167"/>
      <c r="J28" s="479">
        <v>14134.620000000003</v>
      </c>
      <c r="K28" s="1570" t="s">
        <v>1566</v>
      </c>
      <c r="L28" s="1802" t="s">
        <v>1589</v>
      </c>
      <c r="M28" s="40" t="s">
        <v>210</v>
      </c>
      <c r="N28" s="482"/>
      <c r="O28" s="1997"/>
      <c r="P28" s="1543"/>
      <c r="Q28" s="248"/>
      <c r="R28" s="248"/>
      <c r="S28" s="248"/>
      <c r="T28" s="371">
        <v>250000</v>
      </c>
      <c r="U28" s="248"/>
      <c r="V28" s="247"/>
      <c r="W28" s="248"/>
      <c r="X28" s="341">
        <v>800000</v>
      </c>
      <c r="Y28" s="340">
        <f t="shared" si="7"/>
        <v>250000</v>
      </c>
      <c r="Z28" s="344">
        <f t="shared" si="8"/>
        <v>0</v>
      </c>
      <c r="AA28" s="249"/>
      <c r="AB28" s="341">
        <v>6180000</v>
      </c>
      <c r="AC28" s="342">
        <f t="shared" si="2"/>
        <v>7788400.0000000009</v>
      </c>
      <c r="AD28" s="252"/>
      <c r="AE28" s="3396"/>
      <c r="AF28" s="3398"/>
      <c r="AG28" s="141"/>
    </row>
    <row r="29" spans="1:33" ht="32.25" customHeight="1">
      <c r="A29" s="326">
        <f>+A28+1</f>
        <v>3</v>
      </c>
      <c r="B29" s="152"/>
      <c r="C29" s="627" t="s">
        <v>1584</v>
      </c>
      <c r="D29" s="46">
        <v>45181</v>
      </c>
      <c r="E29" s="47" t="s">
        <v>1586</v>
      </c>
      <c r="F29" s="126" t="s">
        <v>1299</v>
      </c>
      <c r="G29" s="167"/>
      <c r="H29" s="167">
        <v>1</v>
      </c>
      <c r="I29" s="167"/>
      <c r="J29" s="479">
        <v>24459.14</v>
      </c>
      <c r="K29" s="559" t="s">
        <v>1574</v>
      </c>
      <c r="L29" s="170" t="s">
        <v>1585</v>
      </c>
      <c r="M29" s="40" t="s">
        <v>210</v>
      </c>
      <c r="N29" s="482"/>
      <c r="O29" s="1997"/>
      <c r="P29" s="1543"/>
      <c r="Q29" s="248"/>
      <c r="R29" s="248"/>
      <c r="S29" s="248"/>
      <c r="T29" s="371">
        <v>500000</v>
      </c>
      <c r="U29" s="248"/>
      <c r="V29" s="247"/>
      <c r="W29" s="248"/>
      <c r="X29" s="341">
        <v>400000</v>
      </c>
      <c r="Y29" s="340">
        <f t="shared" si="7"/>
        <v>500000</v>
      </c>
      <c r="Z29" s="344">
        <f t="shared" si="8"/>
        <v>0</v>
      </c>
      <c r="AA29" s="249" t="s">
        <v>1416</v>
      </c>
      <c r="AB29" s="341">
        <v>7100000</v>
      </c>
      <c r="AC29" s="342">
        <f t="shared" si="2"/>
        <v>8600000</v>
      </c>
      <c r="AD29" s="252"/>
      <c r="AE29" s="3396"/>
      <c r="AF29" s="3398"/>
      <c r="AG29" s="141"/>
    </row>
    <row r="30" spans="1:33" ht="37.5" customHeight="1">
      <c r="A30" s="326">
        <f>+A32+1</f>
        <v>5</v>
      </c>
      <c r="B30" s="152"/>
      <c r="C30" s="628" t="s">
        <v>1617</v>
      </c>
      <c r="D30" s="46" t="s">
        <v>1610</v>
      </c>
      <c r="E30" s="47" t="s">
        <v>1623</v>
      </c>
      <c r="F30" s="126" t="s">
        <v>1299</v>
      </c>
      <c r="G30" s="167">
        <v>1</v>
      </c>
      <c r="H30" s="167"/>
      <c r="I30" s="167"/>
      <c r="J30" s="479">
        <f>5103+118.8</f>
        <v>5221.8</v>
      </c>
      <c r="K30" s="559" t="s">
        <v>1615</v>
      </c>
      <c r="L30" s="1803" t="s">
        <v>1616</v>
      </c>
      <c r="M30" s="40" t="s">
        <v>210</v>
      </c>
      <c r="N30" s="482"/>
      <c r="O30" s="1997"/>
      <c r="P30" s="1543"/>
      <c r="Q30" s="248"/>
      <c r="R30" s="248"/>
      <c r="S30" s="248"/>
      <c r="T30" s="371">
        <v>250000</v>
      </c>
      <c r="U30" s="248"/>
      <c r="V30" s="247"/>
      <c r="W30" s="248"/>
      <c r="X30" s="341">
        <v>400000</v>
      </c>
      <c r="Y30" s="340">
        <f t="shared" si="7"/>
        <v>250000</v>
      </c>
      <c r="Z30" s="344">
        <f t="shared" si="8"/>
        <v>0</v>
      </c>
      <c r="AA30" s="249"/>
      <c r="AB30" s="341">
        <v>6180000</v>
      </c>
      <c r="AC30" s="342">
        <f t="shared" si="2"/>
        <v>7356400.0000000009</v>
      </c>
      <c r="AD30" s="252"/>
      <c r="AE30" s="3396"/>
      <c r="AF30" s="3398"/>
      <c r="AG30" s="141"/>
    </row>
    <row r="31" spans="1:33" ht="35.25" customHeight="1">
      <c r="A31" s="326">
        <f>+A30+1</f>
        <v>6</v>
      </c>
      <c r="B31" s="152"/>
      <c r="C31" s="628" t="s">
        <v>1618</v>
      </c>
      <c r="D31" s="46" t="s">
        <v>1610</v>
      </c>
      <c r="E31" s="47" t="s">
        <v>1624</v>
      </c>
      <c r="F31" s="126" t="s">
        <v>1299</v>
      </c>
      <c r="G31" s="167"/>
      <c r="H31" s="167">
        <v>1</v>
      </c>
      <c r="I31" s="167"/>
      <c r="J31" s="479">
        <f>15434.31+9263</f>
        <v>24697.309999999998</v>
      </c>
      <c r="K31" s="559" t="s">
        <v>1619</v>
      </c>
      <c r="L31" s="170" t="s">
        <v>1620</v>
      </c>
      <c r="M31" s="40" t="s">
        <v>210</v>
      </c>
      <c r="N31" s="482"/>
      <c r="O31" s="1997"/>
      <c r="P31" s="1543"/>
      <c r="Q31" s="248"/>
      <c r="R31" s="248"/>
      <c r="S31" s="248"/>
      <c r="T31" s="371">
        <v>500000</v>
      </c>
      <c r="U31" s="248"/>
      <c r="V31" s="247"/>
      <c r="W31" s="248"/>
      <c r="X31" s="341">
        <v>400000</v>
      </c>
      <c r="Y31" s="340">
        <f t="shared" si="7"/>
        <v>500000</v>
      </c>
      <c r="Z31" s="344">
        <f t="shared" si="8"/>
        <v>0</v>
      </c>
      <c r="AA31" s="249" t="s">
        <v>1416</v>
      </c>
      <c r="AB31" s="341">
        <v>7100000</v>
      </c>
      <c r="AC31" s="342">
        <f t="shared" si="2"/>
        <v>8600000</v>
      </c>
      <c r="AD31" s="252"/>
      <c r="AE31" s="3396"/>
      <c r="AF31" s="3398"/>
      <c r="AG31" s="141"/>
    </row>
    <row r="32" spans="1:33" ht="22.5" customHeight="1">
      <c r="A32" s="326">
        <f>+A29+1</f>
        <v>4</v>
      </c>
      <c r="B32" s="152"/>
      <c r="C32" s="629">
        <v>105724439700</v>
      </c>
      <c r="D32" s="46" t="s">
        <v>1601</v>
      </c>
      <c r="E32" s="47" t="s">
        <v>1604</v>
      </c>
      <c r="F32" s="126" t="s">
        <v>1300</v>
      </c>
      <c r="G32" s="167">
        <v>1</v>
      </c>
      <c r="H32" s="167"/>
      <c r="I32" s="167"/>
      <c r="J32" s="479">
        <v>20870</v>
      </c>
      <c r="K32" s="559" t="s">
        <v>1602</v>
      </c>
      <c r="L32" s="170" t="s">
        <v>1603</v>
      </c>
      <c r="M32" s="40" t="s">
        <v>210</v>
      </c>
      <c r="N32" s="482"/>
      <c r="O32" s="1997"/>
      <c r="P32" s="1543"/>
      <c r="Q32" s="324">
        <v>167400</v>
      </c>
      <c r="R32" s="324">
        <v>394200</v>
      </c>
      <c r="S32" s="248"/>
      <c r="T32" s="371">
        <v>250000</v>
      </c>
      <c r="U32" s="248"/>
      <c r="V32" s="247"/>
      <c r="W32" s="248"/>
      <c r="X32" s="341"/>
      <c r="Y32" s="340">
        <f t="shared" si="7"/>
        <v>417400</v>
      </c>
      <c r="Z32" s="344">
        <f t="shared" si="8"/>
        <v>0</v>
      </c>
      <c r="AA32" s="249"/>
      <c r="AB32" s="341">
        <v>6730000</v>
      </c>
      <c r="AC32" s="342">
        <f t="shared" si="2"/>
        <v>7685800.0000000009</v>
      </c>
      <c r="AD32" s="252"/>
      <c r="AE32" s="3396"/>
      <c r="AF32" s="3398"/>
      <c r="AG32" s="141"/>
    </row>
    <row r="33" spans="1:33" ht="22.5" customHeight="1">
      <c r="A33" s="326">
        <f>+A31+1</f>
        <v>7</v>
      </c>
      <c r="B33" s="152"/>
      <c r="C33" s="630">
        <v>105698663600</v>
      </c>
      <c r="D33" s="46">
        <v>45175</v>
      </c>
      <c r="E33" s="47" t="s">
        <v>1629</v>
      </c>
      <c r="F33" s="126" t="s">
        <v>1300</v>
      </c>
      <c r="G33" s="167"/>
      <c r="H33" s="167"/>
      <c r="I33" s="167">
        <v>1</v>
      </c>
      <c r="J33" s="479">
        <v>5420</v>
      </c>
      <c r="K33" s="559" t="s">
        <v>1628</v>
      </c>
      <c r="L33" s="170"/>
      <c r="M33" s="532" t="s">
        <v>418</v>
      </c>
      <c r="N33" s="482"/>
      <c r="O33" s="1997"/>
      <c r="P33" s="1543"/>
      <c r="Q33" s="248"/>
      <c r="R33" s="248"/>
      <c r="S33" s="248"/>
      <c r="T33" s="371">
        <v>81300</v>
      </c>
      <c r="U33" s="248"/>
      <c r="V33" s="247"/>
      <c r="W33" s="248"/>
      <c r="X33" s="341"/>
      <c r="Y33" s="340">
        <f t="shared" si="7"/>
        <v>81300</v>
      </c>
      <c r="Z33" s="344">
        <f t="shared" si="8"/>
        <v>0</v>
      </c>
      <c r="AA33" s="249" t="s">
        <v>1582</v>
      </c>
      <c r="AB33" s="341">
        <f>3370000+674000</f>
        <v>4044000</v>
      </c>
      <c r="AC33" s="342">
        <f t="shared" si="2"/>
        <v>4448820</v>
      </c>
      <c r="AD33" s="252"/>
      <c r="AE33" s="3396"/>
      <c r="AF33" s="3398"/>
      <c r="AG33" s="141"/>
    </row>
    <row r="34" spans="1:33" ht="22.5" customHeight="1">
      <c r="A34" s="3297" t="s">
        <v>1626</v>
      </c>
      <c r="B34" s="3298"/>
      <c r="C34" s="3298"/>
      <c r="D34" s="3298"/>
      <c r="E34" s="3298"/>
      <c r="F34" s="3298"/>
      <c r="G34" s="3298"/>
      <c r="H34" s="3298"/>
      <c r="I34" s="3298"/>
      <c r="J34" s="3298"/>
      <c r="K34" s="3298"/>
      <c r="L34" s="3298"/>
      <c r="M34" s="346"/>
      <c r="N34" s="346"/>
      <c r="O34" s="346"/>
      <c r="P34" s="346"/>
      <c r="Q34" s="486"/>
      <c r="R34" s="500"/>
      <c r="S34" s="486"/>
      <c r="T34" s="486"/>
      <c r="U34" s="486"/>
      <c r="V34" s="487"/>
      <c r="W34" s="486"/>
      <c r="X34" s="488">
        <f>SUM(X27:X33)</f>
        <v>2400000</v>
      </c>
      <c r="Y34" s="488">
        <f>SUM(Y27:Y33)</f>
        <v>2498700</v>
      </c>
      <c r="Z34" s="489">
        <f>SUM(Z23:Z31)</f>
        <v>0</v>
      </c>
      <c r="AA34" s="490"/>
      <c r="AB34" s="488">
        <f>SUM(AB27:AB33)</f>
        <v>44434000</v>
      </c>
      <c r="AC34" s="488">
        <f>SUM(AC27:AC33)</f>
        <v>53079420</v>
      </c>
      <c r="AD34" s="492"/>
      <c r="AE34" s="346"/>
      <c r="AF34" s="346"/>
      <c r="AG34" s="493"/>
    </row>
    <row r="35" spans="1:33" ht="30" customHeight="1">
      <c r="A35" s="326">
        <v>1</v>
      </c>
      <c r="B35" s="152"/>
      <c r="C35" s="631" t="s">
        <v>1657</v>
      </c>
      <c r="D35" s="46" t="s">
        <v>1653</v>
      </c>
      <c r="E35" s="47" t="s">
        <v>1659</v>
      </c>
      <c r="F35" s="126" t="s">
        <v>1300</v>
      </c>
      <c r="G35" s="167"/>
      <c r="H35" s="167">
        <v>2</v>
      </c>
      <c r="I35" s="167"/>
      <c r="J35" s="479">
        <v>24874.75</v>
      </c>
      <c r="K35" s="559" t="s">
        <v>1658</v>
      </c>
      <c r="L35" s="170" t="s">
        <v>1660</v>
      </c>
      <c r="M35" s="533" t="s">
        <v>136</v>
      </c>
      <c r="N35" s="482"/>
      <c r="O35" s="1997"/>
      <c r="P35" s="1543"/>
      <c r="Q35" s="324">
        <v>302400</v>
      </c>
      <c r="R35" s="324">
        <v>1998000</v>
      </c>
      <c r="S35" s="248"/>
      <c r="T35" s="371">
        <v>1000000</v>
      </c>
      <c r="U35" s="248"/>
      <c r="V35" s="534">
        <v>950000</v>
      </c>
      <c r="W35" s="324">
        <v>655020</v>
      </c>
      <c r="X35" s="341">
        <v>400000</v>
      </c>
      <c r="Y35" s="340">
        <f t="shared" ref="Y35:Y44" si="9">Q35+T35+U35+W35+V35</f>
        <v>2907420</v>
      </c>
      <c r="Z35" s="344">
        <f t="shared" ref="Z35:Z44" si="10">+V35</f>
        <v>950000</v>
      </c>
      <c r="AA35" s="249" t="s">
        <v>1761</v>
      </c>
      <c r="AB35" s="341">
        <f>(7150000*2)+560000</f>
        <v>14860000</v>
      </c>
      <c r="AC35" s="342">
        <f t="shared" ref="AC35:AC44" si="11">((AB35+X35)*1.08)+Y35</f>
        <v>19388220</v>
      </c>
      <c r="AD35" s="252"/>
      <c r="AE35" s="295"/>
      <c r="AF35" s="136"/>
      <c r="AG35" s="141"/>
    </row>
    <row r="36" spans="1:33" ht="18.75" customHeight="1">
      <c r="A36" s="326">
        <f>+A41+1</f>
        <v>6</v>
      </c>
      <c r="B36" s="152"/>
      <c r="C36" s="629">
        <v>105788259250</v>
      </c>
      <c r="D36" s="46" t="s">
        <v>1704</v>
      </c>
      <c r="E36" s="47" t="s">
        <v>1703</v>
      </c>
      <c r="F36" s="126" t="s">
        <v>1300</v>
      </c>
      <c r="G36" s="167">
        <v>1</v>
      </c>
      <c r="H36" s="167"/>
      <c r="I36" s="167"/>
      <c r="J36" s="479">
        <v>21106</v>
      </c>
      <c r="K36" s="559" t="s">
        <v>1702</v>
      </c>
      <c r="L36" s="170" t="s">
        <v>1719</v>
      </c>
      <c r="M36" s="40" t="s">
        <v>210</v>
      </c>
      <c r="N36" s="482"/>
      <c r="O36" s="1997"/>
      <c r="P36" s="1543"/>
      <c r="Q36" s="248"/>
      <c r="R36" s="248"/>
      <c r="S36" s="248"/>
      <c r="T36" s="371">
        <v>250000</v>
      </c>
      <c r="U36" s="248"/>
      <c r="V36" s="247"/>
      <c r="W36" s="248"/>
      <c r="X36" s="250"/>
      <c r="Y36" s="340">
        <f t="shared" si="9"/>
        <v>250000</v>
      </c>
      <c r="Z36" s="344">
        <f t="shared" si="10"/>
        <v>0</v>
      </c>
      <c r="AA36" s="249"/>
      <c r="AB36" s="341">
        <v>6730000</v>
      </c>
      <c r="AC36" s="342">
        <f t="shared" si="11"/>
        <v>7518400.0000000009</v>
      </c>
      <c r="AD36" s="252"/>
      <c r="AE36" s="295"/>
      <c r="AF36" s="156"/>
      <c r="AG36" s="141"/>
    </row>
    <row r="37" spans="1:33" ht="28.5" customHeight="1">
      <c r="A37" s="326">
        <f>+A44+1</f>
        <v>10</v>
      </c>
      <c r="B37" s="152"/>
      <c r="C37" s="632" t="s">
        <v>1745</v>
      </c>
      <c r="D37" s="46" t="s">
        <v>1727</v>
      </c>
      <c r="E37" s="47" t="s">
        <v>1744</v>
      </c>
      <c r="F37" s="126" t="s">
        <v>1300</v>
      </c>
      <c r="G37" s="167">
        <v>1</v>
      </c>
      <c r="H37" s="167"/>
      <c r="I37" s="167"/>
      <c r="J37" s="479">
        <f>24190+800</f>
        <v>24990</v>
      </c>
      <c r="K37" s="1571" t="s">
        <v>1746</v>
      </c>
      <c r="L37" s="170" t="s">
        <v>1743</v>
      </c>
      <c r="M37" s="532" t="s">
        <v>418</v>
      </c>
      <c r="N37" s="482"/>
      <c r="O37" s="1997"/>
      <c r="P37" s="1543"/>
      <c r="Q37" s="248"/>
      <c r="R37" s="248"/>
      <c r="S37" s="248"/>
      <c r="T37" s="371">
        <v>250000</v>
      </c>
      <c r="U37" s="248"/>
      <c r="V37" s="247"/>
      <c r="W37" s="248"/>
      <c r="X37" s="341">
        <v>400000</v>
      </c>
      <c r="Y37" s="340">
        <f t="shared" si="9"/>
        <v>250000</v>
      </c>
      <c r="Z37" s="344">
        <f t="shared" si="10"/>
        <v>0</v>
      </c>
      <c r="AA37" s="249"/>
      <c r="AB37" s="341">
        <v>6730000</v>
      </c>
      <c r="AC37" s="342">
        <f t="shared" si="11"/>
        <v>7950400.0000000009</v>
      </c>
      <c r="AD37" s="252"/>
      <c r="AE37" s="295"/>
      <c r="AF37" s="156"/>
    </row>
    <row r="38" spans="1:33" ht="25.5" customHeight="1">
      <c r="A38" s="326">
        <f>+A35+1</f>
        <v>2</v>
      </c>
      <c r="B38" s="152"/>
      <c r="C38" s="628" t="s">
        <v>1661</v>
      </c>
      <c r="D38" s="46" t="s">
        <v>1662</v>
      </c>
      <c r="E38" s="47" t="s">
        <v>1665</v>
      </c>
      <c r="F38" s="126" t="s">
        <v>1299</v>
      </c>
      <c r="G38" s="167">
        <v>1</v>
      </c>
      <c r="H38" s="167"/>
      <c r="I38" s="167"/>
      <c r="J38" s="479">
        <v>15059.07</v>
      </c>
      <c r="K38" s="559" t="s">
        <v>1663</v>
      </c>
      <c r="L38" s="170" t="s">
        <v>1664</v>
      </c>
      <c r="M38" s="40" t="s">
        <v>210</v>
      </c>
      <c r="N38" s="482"/>
      <c r="O38" s="1997"/>
      <c r="P38" s="1543"/>
      <c r="Q38" s="248"/>
      <c r="R38" s="248"/>
      <c r="S38" s="248"/>
      <c r="T38" s="371">
        <v>250000</v>
      </c>
      <c r="U38" s="248"/>
      <c r="V38" s="247"/>
      <c r="W38" s="248"/>
      <c r="X38" s="341">
        <v>400000</v>
      </c>
      <c r="Y38" s="340">
        <f t="shared" si="9"/>
        <v>250000</v>
      </c>
      <c r="Z38" s="344">
        <f t="shared" si="10"/>
        <v>0</v>
      </c>
      <c r="AA38" s="249" t="s">
        <v>1416</v>
      </c>
      <c r="AB38" s="341">
        <v>6180000</v>
      </c>
      <c r="AC38" s="342">
        <f t="shared" si="11"/>
        <v>7356400.0000000009</v>
      </c>
      <c r="AD38" s="252"/>
      <c r="AE38" s="295"/>
      <c r="AF38" s="156"/>
      <c r="AG38" s="141"/>
    </row>
    <row r="39" spans="1:33" ht="37.5" customHeight="1">
      <c r="A39" s="326">
        <f>+A38+1</f>
        <v>3</v>
      </c>
      <c r="B39" s="152"/>
      <c r="C39" s="628" t="s">
        <v>1666</v>
      </c>
      <c r="D39" s="386" t="s">
        <v>1667</v>
      </c>
      <c r="E39" s="47" t="s">
        <v>1673</v>
      </c>
      <c r="F39" s="126" t="s">
        <v>1299</v>
      </c>
      <c r="G39" s="167"/>
      <c r="H39" s="167">
        <v>1</v>
      </c>
      <c r="I39" s="167"/>
      <c r="J39" s="479">
        <v>28034</v>
      </c>
      <c r="K39" s="559" t="s">
        <v>1669</v>
      </c>
      <c r="L39" s="170" t="s">
        <v>1668</v>
      </c>
      <c r="M39" s="532" t="s">
        <v>418</v>
      </c>
      <c r="N39" s="482"/>
      <c r="O39" s="1997"/>
      <c r="P39" s="1543"/>
      <c r="Q39" s="248"/>
      <c r="R39" s="248"/>
      <c r="S39" s="248"/>
      <c r="T39" s="371">
        <v>500000</v>
      </c>
      <c r="U39" s="248"/>
      <c r="V39" s="247"/>
      <c r="W39" s="248"/>
      <c r="X39" s="341">
        <v>800000</v>
      </c>
      <c r="Y39" s="340">
        <f t="shared" si="9"/>
        <v>500000</v>
      </c>
      <c r="Z39" s="344">
        <f t="shared" si="10"/>
        <v>0</v>
      </c>
      <c r="AA39" s="249"/>
      <c r="AB39" s="341">
        <v>7100000</v>
      </c>
      <c r="AC39" s="342">
        <f t="shared" si="11"/>
        <v>9032000</v>
      </c>
      <c r="AD39" s="252"/>
      <c r="AE39" s="295"/>
      <c r="AF39" s="156"/>
      <c r="AG39" s="141"/>
    </row>
    <row r="40" spans="1:33" ht="27.75" customHeight="1">
      <c r="A40" s="326">
        <f>+A39+1</f>
        <v>4</v>
      </c>
      <c r="B40" s="152"/>
      <c r="C40" s="628" t="s">
        <v>1670</v>
      </c>
      <c r="D40" s="386" t="s">
        <v>1671</v>
      </c>
      <c r="E40" s="47" t="s">
        <v>1674</v>
      </c>
      <c r="F40" s="126" t="s">
        <v>1299</v>
      </c>
      <c r="G40" s="167"/>
      <c r="H40" s="167"/>
      <c r="I40" s="167">
        <v>1</v>
      </c>
      <c r="J40" s="479">
        <v>3792</v>
      </c>
      <c r="K40" s="559" t="s">
        <v>1672</v>
      </c>
      <c r="L40" s="170"/>
      <c r="M40" s="40" t="s">
        <v>210</v>
      </c>
      <c r="N40" s="482"/>
      <c r="O40" s="1997"/>
      <c r="P40" s="1543"/>
      <c r="Q40" s="248"/>
      <c r="R40" s="248"/>
      <c r="S40" s="248"/>
      <c r="T40" s="371">
        <v>891</v>
      </c>
      <c r="U40" s="248"/>
      <c r="V40" s="247"/>
      <c r="W40" s="248"/>
      <c r="X40" s="341">
        <v>400000</v>
      </c>
      <c r="Y40" s="340">
        <f t="shared" si="9"/>
        <v>891</v>
      </c>
      <c r="Z40" s="344">
        <f t="shared" si="10"/>
        <v>0</v>
      </c>
      <c r="AA40" s="249"/>
      <c r="AB40" s="341">
        <v>3370000</v>
      </c>
      <c r="AC40" s="342">
        <f t="shared" si="11"/>
        <v>4072491.0000000005</v>
      </c>
      <c r="AD40" s="252"/>
      <c r="AE40" s="295"/>
      <c r="AF40" s="156"/>
      <c r="AG40" s="141"/>
    </row>
    <row r="41" spans="1:33" ht="30.75" customHeight="1">
      <c r="A41" s="326">
        <f>+A40+1</f>
        <v>5</v>
      </c>
      <c r="B41" s="152"/>
      <c r="C41" s="627" t="s">
        <v>1685</v>
      </c>
      <c r="D41" s="46">
        <v>45209</v>
      </c>
      <c r="E41" s="47" t="s">
        <v>1686</v>
      </c>
      <c r="F41" s="126" t="s">
        <v>1299</v>
      </c>
      <c r="G41" s="167"/>
      <c r="H41" s="167">
        <v>1</v>
      </c>
      <c r="I41" s="167"/>
      <c r="J41" s="479">
        <f>18486+6518</f>
        <v>25004</v>
      </c>
      <c r="K41" s="559" t="s">
        <v>1688</v>
      </c>
      <c r="L41" s="170" t="s">
        <v>1687</v>
      </c>
      <c r="M41" s="40" t="s">
        <v>210</v>
      </c>
      <c r="N41" s="482"/>
      <c r="O41" s="1997"/>
      <c r="P41" s="1543"/>
      <c r="Q41" s="248"/>
      <c r="R41" s="248"/>
      <c r="S41" s="248"/>
      <c r="T41" s="371">
        <v>500000</v>
      </c>
      <c r="U41" s="248"/>
      <c r="V41" s="247"/>
      <c r="W41" s="248"/>
      <c r="X41" s="341">
        <v>400000</v>
      </c>
      <c r="Y41" s="340">
        <f t="shared" si="9"/>
        <v>500000</v>
      </c>
      <c r="Z41" s="344">
        <f t="shared" si="10"/>
        <v>0</v>
      </c>
      <c r="AA41" s="249"/>
      <c r="AB41" s="341">
        <v>7100000</v>
      </c>
      <c r="AC41" s="342">
        <f t="shared" si="11"/>
        <v>8600000</v>
      </c>
      <c r="AD41" s="252"/>
      <c r="AE41" s="295"/>
      <c r="AF41" s="156"/>
      <c r="AG41" s="141"/>
    </row>
    <row r="42" spans="1:33" ht="19.5" customHeight="1">
      <c r="A42" s="326">
        <f>+A36+1</f>
        <v>7</v>
      </c>
      <c r="B42" s="152"/>
      <c r="C42" s="633">
        <v>305893002720</v>
      </c>
      <c r="D42" s="46" t="s">
        <v>1704</v>
      </c>
      <c r="E42" s="47" t="s">
        <v>1706</v>
      </c>
      <c r="F42" s="126" t="s">
        <v>1299</v>
      </c>
      <c r="G42" s="167"/>
      <c r="H42" s="167"/>
      <c r="I42" s="167">
        <v>1</v>
      </c>
      <c r="J42" s="479">
        <v>1358</v>
      </c>
      <c r="K42" s="1572" t="s">
        <v>1705</v>
      </c>
      <c r="L42" s="170"/>
      <c r="M42" s="40" t="s">
        <v>210</v>
      </c>
      <c r="N42" s="482"/>
      <c r="O42" s="1997"/>
      <c r="P42" s="1543"/>
      <c r="Q42" s="248"/>
      <c r="R42" s="248"/>
      <c r="S42" s="248"/>
      <c r="T42" s="371">
        <v>20370</v>
      </c>
      <c r="U42" s="248"/>
      <c r="V42" s="247"/>
      <c r="W42" s="248"/>
      <c r="X42" s="250"/>
      <c r="Y42" s="340">
        <f t="shared" si="9"/>
        <v>20370</v>
      </c>
      <c r="Z42" s="344">
        <f t="shared" si="10"/>
        <v>0</v>
      </c>
      <c r="AA42" s="249"/>
      <c r="AB42" s="341">
        <v>3150000</v>
      </c>
      <c r="AC42" s="342">
        <f t="shared" si="11"/>
        <v>3422370</v>
      </c>
      <c r="AD42" s="252"/>
      <c r="AE42" s="295"/>
      <c r="AF42" s="156"/>
      <c r="AG42" s="141"/>
    </row>
    <row r="43" spans="1:33" ht="30" customHeight="1">
      <c r="A43" s="326">
        <f>+A42+1</f>
        <v>8</v>
      </c>
      <c r="B43" s="152"/>
      <c r="C43" s="627" t="s">
        <v>1710</v>
      </c>
      <c r="D43" s="46" t="s">
        <v>1711</v>
      </c>
      <c r="E43" s="47" t="s">
        <v>1713</v>
      </c>
      <c r="F43" s="126" t="s">
        <v>1299</v>
      </c>
      <c r="G43" s="167">
        <v>1</v>
      </c>
      <c r="H43" s="167"/>
      <c r="I43" s="167"/>
      <c r="J43" s="479">
        <v>16993.13</v>
      </c>
      <c r="K43" s="559" t="s">
        <v>1712</v>
      </c>
      <c r="L43" s="170" t="s">
        <v>1714</v>
      </c>
      <c r="M43" s="40" t="s">
        <v>210</v>
      </c>
      <c r="N43" s="482"/>
      <c r="O43" s="1997"/>
      <c r="P43" s="1543"/>
      <c r="Q43" s="248"/>
      <c r="R43" s="248"/>
      <c r="S43" s="248"/>
      <c r="T43" s="371">
        <v>250000</v>
      </c>
      <c r="U43" s="248"/>
      <c r="V43" s="247"/>
      <c r="W43" s="248"/>
      <c r="X43" s="341">
        <v>400000</v>
      </c>
      <c r="Y43" s="340">
        <f t="shared" si="9"/>
        <v>250000</v>
      </c>
      <c r="Z43" s="344">
        <f t="shared" si="10"/>
        <v>0</v>
      </c>
      <c r="AA43" s="249"/>
      <c r="AB43" s="341">
        <v>6180000</v>
      </c>
      <c r="AC43" s="342">
        <f t="shared" si="11"/>
        <v>7356400.0000000009</v>
      </c>
      <c r="AD43" s="252"/>
      <c r="AE43" s="295"/>
      <c r="AF43" s="156"/>
      <c r="AG43" s="141"/>
    </row>
    <row r="44" spans="1:33" ht="27.75" customHeight="1">
      <c r="A44" s="326">
        <f>+A43+1</f>
        <v>9</v>
      </c>
      <c r="B44" s="152"/>
      <c r="C44" s="627" t="s">
        <v>1733</v>
      </c>
      <c r="D44" s="46" t="s">
        <v>1727</v>
      </c>
      <c r="E44" s="47" t="s">
        <v>1731</v>
      </c>
      <c r="F44" s="126" t="s">
        <v>1299</v>
      </c>
      <c r="G44" s="167"/>
      <c r="H44" s="167">
        <v>1</v>
      </c>
      <c r="I44" s="167"/>
      <c r="J44" s="479">
        <f>15972+8874</f>
        <v>24846</v>
      </c>
      <c r="K44" s="559" t="s">
        <v>1730</v>
      </c>
      <c r="L44" s="170" t="s">
        <v>1732</v>
      </c>
      <c r="M44" s="40" t="s">
        <v>210</v>
      </c>
      <c r="N44" s="482"/>
      <c r="O44" s="1997"/>
      <c r="P44" s="1543"/>
      <c r="Q44" s="248"/>
      <c r="R44" s="248"/>
      <c r="S44" s="248"/>
      <c r="T44" s="371">
        <v>500000</v>
      </c>
      <c r="U44" s="248"/>
      <c r="V44" s="247"/>
      <c r="W44" s="248"/>
      <c r="X44" s="341">
        <v>400000</v>
      </c>
      <c r="Y44" s="340">
        <f t="shared" si="9"/>
        <v>500000</v>
      </c>
      <c r="Z44" s="344">
        <f t="shared" si="10"/>
        <v>0</v>
      </c>
      <c r="AA44" s="249" t="s">
        <v>1416</v>
      </c>
      <c r="AB44" s="341">
        <v>7100000</v>
      </c>
      <c r="AC44" s="342">
        <f t="shared" si="11"/>
        <v>8600000</v>
      </c>
      <c r="AD44" s="252"/>
      <c r="AE44" s="295"/>
      <c r="AF44" s="156"/>
      <c r="AG44" s="141"/>
    </row>
    <row r="45" spans="1:33" ht="22.5" customHeight="1">
      <c r="A45" s="3297" t="s">
        <v>1721</v>
      </c>
      <c r="B45" s="3298"/>
      <c r="C45" s="3298"/>
      <c r="D45" s="3298"/>
      <c r="E45" s="3298"/>
      <c r="F45" s="3298"/>
      <c r="G45" s="3298"/>
      <c r="H45" s="3298"/>
      <c r="I45" s="3298"/>
      <c r="J45" s="3298"/>
      <c r="K45" s="3298"/>
      <c r="L45" s="3298"/>
      <c r="M45" s="346"/>
      <c r="N45" s="346"/>
      <c r="O45" s="346"/>
      <c r="P45" s="346"/>
      <c r="Q45" s="486"/>
      <c r="R45" s="500"/>
      <c r="S45" s="486"/>
      <c r="T45" s="486"/>
      <c r="U45" s="486"/>
      <c r="V45" s="487"/>
      <c r="W45" s="486"/>
      <c r="X45" s="488">
        <f>SUM(X38:X44)</f>
        <v>2800000</v>
      </c>
      <c r="Y45" s="488">
        <f>SUM(Y38:Y44)</f>
        <v>2021261</v>
      </c>
      <c r="Z45" s="489">
        <f>SUM(Z34:Z42)</f>
        <v>950000</v>
      </c>
      <c r="AA45" s="490"/>
      <c r="AB45" s="488">
        <f>SUM(AB38:AB44)</f>
        <v>40180000</v>
      </c>
      <c r="AC45" s="488">
        <f>SUM(AC38:AC44)</f>
        <v>48439661</v>
      </c>
      <c r="AD45" s="492"/>
      <c r="AE45" s="346"/>
      <c r="AF45" s="346"/>
      <c r="AG45" s="493"/>
    </row>
    <row r="46" spans="1:33">
      <c r="A46" s="326">
        <v>1</v>
      </c>
      <c r="B46" s="152"/>
      <c r="C46" s="630">
        <v>105835954340</v>
      </c>
      <c r="D46" s="46" t="s">
        <v>1774</v>
      </c>
      <c r="E46" s="47" t="s">
        <v>1780</v>
      </c>
      <c r="F46" s="126" t="s">
        <v>1300</v>
      </c>
      <c r="G46" s="167"/>
      <c r="H46" s="167">
        <v>1</v>
      </c>
      <c r="I46" s="167"/>
      <c r="J46" s="154">
        <v>24962</v>
      </c>
      <c r="K46" s="559" t="s">
        <v>1778</v>
      </c>
      <c r="L46" s="170" t="s">
        <v>1779</v>
      </c>
      <c r="M46" s="40" t="s">
        <v>210</v>
      </c>
      <c r="N46" s="482"/>
      <c r="O46" s="1997"/>
      <c r="P46" s="1543"/>
      <c r="Q46" s="248"/>
      <c r="R46" s="324">
        <v>696600</v>
      </c>
      <c r="S46" s="248"/>
      <c r="T46" s="371">
        <v>500000</v>
      </c>
      <c r="U46" s="248"/>
      <c r="V46" s="247"/>
      <c r="W46" s="248"/>
      <c r="X46" s="158"/>
      <c r="Y46" s="340">
        <f t="shared" ref="Y46:Y54" si="12">Q46+T46+U46+W46</f>
        <v>500000</v>
      </c>
      <c r="Z46" s="344">
        <f t="shared" ref="Z46:Z54" si="13">+V46</f>
        <v>0</v>
      </c>
      <c r="AA46" s="249"/>
      <c r="AB46" s="341">
        <v>7150000</v>
      </c>
      <c r="AC46" s="342">
        <f t="shared" ref="AC46:AC54" si="14">((AB46+X46)*1.08)+Y46</f>
        <v>8222000.0000000009</v>
      </c>
      <c r="AD46" s="252"/>
      <c r="AE46" s="295"/>
      <c r="AF46" s="156"/>
      <c r="AG46" s="141"/>
    </row>
    <row r="47" spans="1:33" ht="26.4">
      <c r="A47" s="326">
        <f t="shared" ref="A47:A54" si="15">+A46+1</f>
        <v>2</v>
      </c>
      <c r="B47" s="152"/>
      <c r="C47" s="627" t="s">
        <v>1781</v>
      </c>
      <c r="D47" s="46">
        <v>45231</v>
      </c>
      <c r="E47" s="47" t="s">
        <v>1784</v>
      </c>
      <c r="F47" s="126" t="s">
        <v>210</v>
      </c>
      <c r="G47" s="167"/>
      <c r="H47" s="167">
        <v>1</v>
      </c>
      <c r="I47" s="167"/>
      <c r="J47" s="154">
        <f>19668.51+5348.03</f>
        <v>25016.539999999997</v>
      </c>
      <c r="K47" s="559" t="s">
        <v>1782</v>
      </c>
      <c r="L47" s="170" t="s">
        <v>1783</v>
      </c>
      <c r="M47" s="40" t="s">
        <v>210</v>
      </c>
      <c r="N47" s="482"/>
      <c r="O47" s="1997"/>
      <c r="P47" s="1543"/>
      <c r="Q47" s="248"/>
      <c r="R47" s="248"/>
      <c r="S47" s="248"/>
      <c r="T47" s="371">
        <v>500000</v>
      </c>
      <c r="U47" s="248"/>
      <c r="V47" s="247"/>
      <c r="W47" s="248"/>
      <c r="X47" s="341">
        <v>400000</v>
      </c>
      <c r="Y47" s="340">
        <f t="shared" si="12"/>
        <v>500000</v>
      </c>
      <c r="Z47" s="344">
        <f t="shared" si="13"/>
        <v>0</v>
      </c>
      <c r="AA47" s="249" t="s">
        <v>1416</v>
      </c>
      <c r="AB47" s="341">
        <v>7100000</v>
      </c>
      <c r="AC47" s="342">
        <f t="shared" si="14"/>
        <v>8600000</v>
      </c>
      <c r="AD47" s="252"/>
      <c r="AE47" s="295"/>
      <c r="AF47" s="156"/>
      <c r="AG47" s="141"/>
    </row>
    <row r="48" spans="1:33" ht="26.4">
      <c r="A48" s="326">
        <f t="shared" si="15"/>
        <v>3</v>
      </c>
      <c r="B48" s="152"/>
      <c r="C48" s="634" t="s">
        <v>1791</v>
      </c>
      <c r="D48" s="46" t="s">
        <v>1774</v>
      </c>
      <c r="E48" s="47" t="s">
        <v>1792</v>
      </c>
      <c r="F48" s="126" t="s">
        <v>1300</v>
      </c>
      <c r="G48" s="167"/>
      <c r="H48" s="167">
        <v>1</v>
      </c>
      <c r="I48" s="167"/>
      <c r="J48" s="154">
        <v>24926</v>
      </c>
      <c r="K48" s="559" t="s">
        <v>1789</v>
      </c>
      <c r="L48" s="170" t="s">
        <v>1790</v>
      </c>
      <c r="M48" s="532" t="s">
        <v>418</v>
      </c>
      <c r="N48" s="482"/>
      <c r="O48" s="1997"/>
      <c r="P48" s="1543"/>
      <c r="Q48" s="324">
        <v>453600</v>
      </c>
      <c r="R48" s="324">
        <v>696600</v>
      </c>
      <c r="S48" s="248"/>
      <c r="T48" s="371">
        <v>500000</v>
      </c>
      <c r="U48" s="248"/>
      <c r="V48" s="247"/>
      <c r="W48" s="324">
        <v>880000</v>
      </c>
      <c r="X48" s="341">
        <v>400000</v>
      </c>
      <c r="Y48" s="340">
        <f t="shared" si="12"/>
        <v>1833600</v>
      </c>
      <c r="Z48" s="344">
        <f t="shared" si="13"/>
        <v>0</v>
      </c>
      <c r="AA48" s="249"/>
      <c r="AB48" s="341">
        <v>7150000</v>
      </c>
      <c r="AC48" s="342">
        <f t="shared" si="14"/>
        <v>9987600</v>
      </c>
      <c r="AD48" s="252"/>
      <c r="AE48" s="295"/>
      <c r="AF48" s="156"/>
      <c r="AG48" s="141"/>
    </row>
    <row r="49" spans="1:33" ht="26.4">
      <c r="A49" s="326">
        <f t="shared" si="15"/>
        <v>4</v>
      </c>
      <c r="B49" s="152"/>
      <c r="C49" s="627" t="s">
        <v>1802</v>
      </c>
      <c r="D49" s="46">
        <v>45237</v>
      </c>
      <c r="E49" s="47" t="s">
        <v>1804</v>
      </c>
      <c r="F49" s="126" t="s">
        <v>210</v>
      </c>
      <c r="G49" s="167">
        <v>1</v>
      </c>
      <c r="H49" s="167"/>
      <c r="I49" s="167"/>
      <c r="J49" s="154">
        <f>12380.48+2284.02</f>
        <v>14664.5</v>
      </c>
      <c r="K49" s="559" t="s">
        <v>1803</v>
      </c>
      <c r="L49" s="170" t="s">
        <v>1805</v>
      </c>
      <c r="M49" s="40" t="s">
        <v>210</v>
      </c>
      <c r="N49" s="482"/>
      <c r="O49" s="1997"/>
      <c r="P49" s="1543"/>
      <c r="Q49" s="248"/>
      <c r="R49" s="248"/>
      <c r="S49" s="248"/>
      <c r="T49" s="371">
        <v>250000</v>
      </c>
      <c r="U49" s="248"/>
      <c r="V49" s="247"/>
      <c r="W49" s="248"/>
      <c r="X49" s="341">
        <v>400000</v>
      </c>
      <c r="Y49" s="340">
        <f t="shared" si="12"/>
        <v>250000</v>
      </c>
      <c r="Z49" s="344">
        <f t="shared" si="13"/>
        <v>0</v>
      </c>
      <c r="AA49" s="249"/>
      <c r="AB49" s="341">
        <v>6180000</v>
      </c>
      <c r="AC49" s="342">
        <f t="shared" si="14"/>
        <v>7356400.0000000009</v>
      </c>
      <c r="AD49" s="252"/>
      <c r="AE49" s="295"/>
      <c r="AF49" s="156"/>
      <c r="AG49" s="141"/>
    </row>
    <row r="50" spans="1:33" ht="26.4">
      <c r="A50" s="326">
        <f t="shared" si="15"/>
        <v>5</v>
      </c>
      <c r="B50" s="152"/>
      <c r="C50" s="631" t="s">
        <v>1835</v>
      </c>
      <c r="D50" s="46" t="s">
        <v>1812</v>
      </c>
      <c r="E50" s="47" t="s">
        <v>1836</v>
      </c>
      <c r="F50" s="126" t="s">
        <v>1300</v>
      </c>
      <c r="G50" s="167"/>
      <c r="H50" s="167"/>
      <c r="I50" s="167">
        <v>1</v>
      </c>
      <c r="J50" s="154">
        <v>1773.5</v>
      </c>
      <c r="K50" s="559" t="s">
        <v>1816</v>
      </c>
      <c r="L50" s="170"/>
      <c r="M50" s="40" t="s">
        <v>210</v>
      </c>
      <c r="N50" s="482"/>
      <c r="O50" s="1997"/>
      <c r="P50" s="1543"/>
      <c r="Q50" s="324">
        <v>26863</v>
      </c>
      <c r="R50" s="248"/>
      <c r="S50" s="248"/>
      <c r="T50" s="371">
        <v>26603</v>
      </c>
      <c r="U50" s="248"/>
      <c r="V50" s="247"/>
      <c r="W50" s="248"/>
      <c r="X50" s="341">
        <v>400000</v>
      </c>
      <c r="Y50" s="340">
        <f t="shared" si="12"/>
        <v>53466</v>
      </c>
      <c r="Z50" s="344">
        <f t="shared" si="13"/>
        <v>0</v>
      </c>
      <c r="AA50" s="249"/>
      <c r="AB50" s="341">
        <v>3250000</v>
      </c>
      <c r="AC50" s="342">
        <f t="shared" si="14"/>
        <v>3995466.0000000005</v>
      </c>
      <c r="AD50" s="252"/>
      <c r="AE50" s="295"/>
      <c r="AF50" s="156"/>
      <c r="AG50" s="141"/>
    </row>
    <row r="51" spans="1:33" ht="26.4">
      <c r="A51" s="326">
        <f t="shared" si="15"/>
        <v>6</v>
      </c>
      <c r="B51" s="152"/>
      <c r="C51" s="627" t="s">
        <v>1832</v>
      </c>
      <c r="D51" s="46" t="s">
        <v>1827</v>
      </c>
      <c r="E51" s="47" t="s">
        <v>1834</v>
      </c>
      <c r="F51" s="126" t="s">
        <v>210</v>
      </c>
      <c r="G51" s="167">
        <v>1</v>
      </c>
      <c r="H51" s="167"/>
      <c r="I51" s="167"/>
      <c r="J51" s="154">
        <f>8639.96+5219.47</f>
        <v>13859.43</v>
      </c>
      <c r="K51" s="559" t="s">
        <v>1831</v>
      </c>
      <c r="L51" s="170" t="s">
        <v>1833</v>
      </c>
      <c r="M51" s="40" t="s">
        <v>210</v>
      </c>
      <c r="N51" s="482"/>
      <c r="O51" s="1997"/>
      <c r="P51" s="1543"/>
      <c r="Q51" s="248"/>
      <c r="R51" s="248"/>
      <c r="S51" s="248"/>
      <c r="T51" s="371">
        <v>250000</v>
      </c>
      <c r="U51" s="248"/>
      <c r="V51" s="247"/>
      <c r="W51" s="248"/>
      <c r="X51" s="341">
        <v>400000</v>
      </c>
      <c r="Y51" s="340">
        <f t="shared" si="12"/>
        <v>250000</v>
      </c>
      <c r="Z51" s="344">
        <f t="shared" si="13"/>
        <v>0</v>
      </c>
      <c r="AA51" s="249"/>
      <c r="AB51" s="341">
        <v>6180000</v>
      </c>
      <c r="AC51" s="342">
        <f t="shared" si="14"/>
        <v>7356400.0000000009</v>
      </c>
      <c r="AD51" s="252"/>
      <c r="AE51" s="295"/>
      <c r="AF51" s="156"/>
      <c r="AG51" s="141"/>
    </row>
    <row r="52" spans="1:33">
      <c r="A52" s="326">
        <f t="shared" si="15"/>
        <v>7</v>
      </c>
      <c r="B52" s="152"/>
      <c r="C52" s="630">
        <v>105878782110</v>
      </c>
      <c r="D52" s="46" t="s">
        <v>1837</v>
      </c>
      <c r="E52" s="47" t="s">
        <v>1855</v>
      </c>
      <c r="F52" s="126" t="s">
        <v>1300</v>
      </c>
      <c r="G52" s="167">
        <v>1</v>
      </c>
      <c r="H52" s="167"/>
      <c r="I52" s="167"/>
      <c r="J52" s="154">
        <v>20314</v>
      </c>
      <c r="K52" s="559" t="s">
        <v>1838</v>
      </c>
      <c r="L52" s="170" t="s">
        <v>1839</v>
      </c>
      <c r="M52" s="40" t="s">
        <v>210</v>
      </c>
      <c r="N52" s="482"/>
      <c r="O52" s="1997"/>
      <c r="P52" s="1543"/>
      <c r="Q52" s="324">
        <v>167400</v>
      </c>
      <c r="R52" s="324">
        <v>394200</v>
      </c>
      <c r="S52" s="248"/>
      <c r="T52" s="371">
        <v>250000</v>
      </c>
      <c r="U52" s="248"/>
      <c r="V52" s="247"/>
      <c r="W52" s="248"/>
      <c r="X52" s="158"/>
      <c r="Y52" s="340">
        <f t="shared" si="12"/>
        <v>417400</v>
      </c>
      <c r="Z52" s="344">
        <f t="shared" si="13"/>
        <v>0</v>
      </c>
      <c r="AA52" s="249"/>
      <c r="AB52" s="341">
        <v>6730000</v>
      </c>
      <c r="AC52" s="342">
        <f t="shared" si="14"/>
        <v>7685800.0000000009</v>
      </c>
      <c r="AD52" s="252"/>
      <c r="AE52" s="295"/>
      <c r="AF52" s="156"/>
      <c r="AG52" s="141"/>
    </row>
    <row r="53" spans="1:33" ht="26.4">
      <c r="A53" s="326">
        <f t="shared" si="15"/>
        <v>8</v>
      </c>
      <c r="B53" s="152"/>
      <c r="C53" s="627" t="s">
        <v>1856</v>
      </c>
      <c r="D53" s="46" t="s">
        <v>1847</v>
      </c>
      <c r="E53" s="47" t="s">
        <v>1858</v>
      </c>
      <c r="F53" s="126" t="s">
        <v>210</v>
      </c>
      <c r="G53" s="167"/>
      <c r="H53" s="167"/>
      <c r="I53" s="167">
        <v>1</v>
      </c>
      <c r="J53" s="154">
        <f>1734.45+44.55</f>
        <v>1779</v>
      </c>
      <c r="K53" s="559" t="s">
        <v>1857</v>
      </c>
      <c r="L53" s="170"/>
      <c r="M53" s="40" t="s">
        <v>210</v>
      </c>
      <c r="N53" s="482"/>
      <c r="O53" s="1997"/>
      <c r="P53" s="1543"/>
      <c r="Q53" s="248"/>
      <c r="R53" s="248"/>
      <c r="S53" s="248"/>
      <c r="T53" s="371">
        <v>669</v>
      </c>
      <c r="U53" s="248"/>
      <c r="V53" s="247"/>
      <c r="W53" s="248"/>
      <c r="X53" s="341">
        <v>400000</v>
      </c>
      <c r="Y53" s="340">
        <f t="shared" si="12"/>
        <v>669</v>
      </c>
      <c r="Z53" s="344">
        <f t="shared" si="13"/>
        <v>0</v>
      </c>
      <c r="AA53" s="249"/>
      <c r="AB53" s="341">
        <v>3250000</v>
      </c>
      <c r="AC53" s="342">
        <f t="shared" si="14"/>
        <v>3942669.0000000005</v>
      </c>
      <c r="AD53" s="252"/>
      <c r="AE53" s="295"/>
      <c r="AF53" s="156"/>
      <c r="AG53" s="141"/>
    </row>
    <row r="54" spans="1:33" ht="26.4">
      <c r="A54" s="326">
        <f t="shared" si="15"/>
        <v>9</v>
      </c>
      <c r="B54" s="152"/>
      <c r="C54" s="627" t="s">
        <v>1862</v>
      </c>
      <c r="D54" s="46" t="s">
        <v>1861</v>
      </c>
      <c r="E54" s="47" t="s">
        <v>1865</v>
      </c>
      <c r="F54" s="126" t="s">
        <v>210</v>
      </c>
      <c r="G54" s="167"/>
      <c r="H54" s="167">
        <v>1</v>
      </c>
      <c r="I54" s="167"/>
      <c r="J54" s="154">
        <f>17257.5+7564.57</f>
        <v>24822.07</v>
      </c>
      <c r="K54" s="559" t="s">
        <v>1863</v>
      </c>
      <c r="L54" s="170" t="s">
        <v>1864</v>
      </c>
      <c r="M54" s="40" t="s">
        <v>210</v>
      </c>
      <c r="N54" s="482"/>
      <c r="O54" s="1997"/>
      <c r="P54" s="1543"/>
      <c r="Q54" s="248"/>
      <c r="R54" s="248"/>
      <c r="S54" s="248"/>
      <c r="T54" s="371">
        <v>500000</v>
      </c>
      <c r="U54" s="248"/>
      <c r="V54" s="247"/>
      <c r="W54" s="248"/>
      <c r="X54" s="341">
        <v>400000</v>
      </c>
      <c r="Y54" s="340">
        <f t="shared" si="12"/>
        <v>500000</v>
      </c>
      <c r="Z54" s="344">
        <f t="shared" si="13"/>
        <v>0</v>
      </c>
      <c r="AA54" s="249" t="s">
        <v>1416</v>
      </c>
      <c r="AB54" s="341">
        <v>7100000</v>
      </c>
      <c r="AC54" s="342">
        <f t="shared" si="14"/>
        <v>8600000</v>
      </c>
      <c r="AD54" s="252"/>
      <c r="AE54" s="295"/>
      <c r="AF54" s="156"/>
      <c r="AG54" s="141"/>
    </row>
    <row r="55" spans="1:33" ht="22.5" customHeight="1">
      <c r="A55" s="3297" t="s">
        <v>1869</v>
      </c>
      <c r="B55" s="3298"/>
      <c r="C55" s="3298"/>
      <c r="D55" s="3298"/>
      <c r="E55" s="3298"/>
      <c r="F55" s="3298"/>
      <c r="G55" s="3298"/>
      <c r="H55" s="3298"/>
      <c r="I55" s="3298"/>
      <c r="J55" s="3298"/>
      <c r="K55" s="3298"/>
      <c r="L55" s="3298"/>
      <c r="M55" s="346"/>
      <c r="N55" s="346"/>
      <c r="O55" s="346"/>
      <c r="P55" s="346"/>
      <c r="Q55" s="486"/>
      <c r="R55" s="500"/>
      <c r="S55" s="486"/>
      <c r="T55" s="486"/>
      <c r="U55" s="486"/>
      <c r="V55" s="487"/>
      <c r="W55" s="486"/>
      <c r="X55" s="488">
        <f>SUM(X48:X54)</f>
        <v>2400000</v>
      </c>
      <c r="Y55" s="488">
        <f>SUM(Y48:Y54)</f>
        <v>3305135</v>
      </c>
      <c r="Z55" s="489">
        <f>SUM(Z44:Z52)</f>
        <v>950000</v>
      </c>
      <c r="AA55" s="490"/>
      <c r="AB55" s="488">
        <f>SUM(AB48:AB54)</f>
        <v>39840000</v>
      </c>
      <c r="AC55" s="488">
        <f>SUM(AC48:AC54)</f>
        <v>48924335</v>
      </c>
      <c r="AD55" s="492"/>
      <c r="AE55" s="346"/>
      <c r="AF55" s="346"/>
      <c r="AG55" s="493"/>
    </row>
    <row r="56" spans="1:33">
      <c r="A56" s="326">
        <v>1</v>
      </c>
      <c r="B56" s="152"/>
      <c r="C56" s="630">
        <v>105915764950</v>
      </c>
      <c r="D56" s="46" t="s">
        <v>1880</v>
      </c>
      <c r="E56" s="47" t="s">
        <v>1915</v>
      </c>
      <c r="F56" s="126" t="s">
        <v>1300</v>
      </c>
      <c r="G56" s="167"/>
      <c r="H56" s="167">
        <v>1</v>
      </c>
      <c r="I56" s="167"/>
      <c r="J56" s="154">
        <v>24787</v>
      </c>
      <c r="K56" s="559" t="s">
        <v>1914</v>
      </c>
      <c r="L56" s="170" t="s">
        <v>1916</v>
      </c>
      <c r="M56" s="40" t="s">
        <v>210</v>
      </c>
      <c r="N56" s="482"/>
      <c r="O56" s="1997"/>
      <c r="P56" s="1543"/>
      <c r="Q56" s="324">
        <v>453600</v>
      </c>
      <c r="R56" s="324">
        <v>696600</v>
      </c>
      <c r="S56" s="248"/>
      <c r="T56" s="371">
        <v>500000</v>
      </c>
      <c r="U56" s="248"/>
      <c r="V56" s="247"/>
      <c r="W56" s="324">
        <v>386842</v>
      </c>
      <c r="X56" s="158"/>
      <c r="Y56" s="340">
        <f t="shared" ref="Y56:Y67" si="16">Q56+T56+U56+W56</f>
        <v>1340442</v>
      </c>
      <c r="Z56" s="344">
        <f t="shared" ref="Z56:Z67" si="17">+V56</f>
        <v>0</v>
      </c>
      <c r="AA56" s="249"/>
      <c r="AB56" s="341">
        <v>7150000</v>
      </c>
      <c r="AC56" s="342">
        <f t="shared" ref="AC56:AC67" si="18">((AB56+X56)*1.08)+Y56</f>
        <v>9062442</v>
      </c>
      <c r="AD56" s="252"/>
      <c r="AE56" s="295"/>
      <c r="AF56" s="156"/>
    </row>
    <row r="57" spans="1:33" ht="26.4">
      <c r="A57" s="326">
        <f t="shared" ref="A57:A67" si="19">+A56+1</f>
        <v>2</v>
      </c>
      <c r="B57" s="152"/>
      <c r="C57" s="627" t="s">
        <v>1934</v>
      </c>
      <c r="D57" s="46" t="s">
        <v>1932</v>
      </c>
      <c r="E57" s="47" t="s">
        <v>1936</v>
      </c>
      <c r="F57" s="126" t="s">
        <v>210</v>
      </c>
      <c r="G57" s="167">
        <v>1</v>
      </c>
      <c r="H57" s="167"/>
      <c r="I57" s="167"/>
      <c r="J57" s="154">
        <f>3820.93+11068.93</f>
        <v>14889.86</v>
      </c>
      <c r="K57" s="559" t="s">
        <v>1933</v>
      </c>
      <c r="L57" s="170" t="s">
        <v>1935</v>
      </c>
      <c r="M57" s="40" t="s">
        <v>210</v>
      </c>
      <c r="N57" s="482"/>
      <c r="O57" s="1997"/>
      <c r="P57" s="1543"/>
      <c r="Q57" s="248"/>
      <c r="R57" s="248"/>
      <c r="S57" s="248"/>
      <c r="T57" s="371">
        <v>250000</v>
      </c>
      <c r="U57" s="248"/>
      <c r="V57" s="247"/>
      <c r="W57" s="248"/>
      <c r="X57" s="341">
        <v>400000</v>
      </c>
      <c r="Y57" s="340">
        <f t="shared" si="16"/>
        <v>250000</v>
      </c>
      <c r="Z57" s="344">
        <f t="shared" si="17"/>
        <v>0</v>
      </c>
      <c r="AA57" s="249" t="s">
        <v>1416</v>
      </c>
      <c r="AB57" s="341">
        <v>6180000</v>
      </c>
      <c r="AC57" s="342">
        <f t="shared" si="18"/>
        <v>7356400.0000000009</v>
      </c>
      <c r="AD57" s="252"/>
      <c r="AE57" s="295"/>
      <c r="AF57" s="156"/>
    </row>
    <row r="58" spans="1:33">
      <c r="A58" s="326">
        <f t="shared" si="19"/>
        <v>3</v>
      </c>
      <c r="B58" s="152"/>
      <c r="C58" s="630">
        <v>105942306300</v>
      </c>
      <c r="D58" s="46">
        <v>45267</v>
      </c>
      <c r="E58" s="47" t="s">
        <v>1940</v>
      </c>
      <c r="F58" s="126" t="s">
        <v>1300</v>
      </c>
      <c r="G58" s="167"/>
      <c r="H58" s="167">
        <v>1</v>
      </c>
      <c r="I58" s="167"/>
      <c r="J58" s="154">
        <v>24998</v>
      </c>
      <c r="K58" s="559" t="s">
        <v>1939</v>
      </c>
      <c r="L58" s="170" t="s">
        <v>1941</v>
      </c>
      <c r="M58" s="40" t="s">
        <v>210</v>
      </c>
      <c r="N58" s="482"/>
      <c r="O58" s="1997"/>
      <c r="P58" s="1543"/>
      <c r="Q58" s="248"/>
      <c r="R58" s="324">
        <v>696600</v>
      </c>
      <c r="S58" s="248"/>
      <c r="T58" s="371">
        <v>500000</v>
      </c>
      <c r="U58" s="248"/>
      <c r="V58" s="247"/>
      <c r="W58" s="248"/>
      <c r="X58" s="158"/>
      <c r="Y58" s="340">
        <f t="shared" si="16"/>
        <v>500000</v>
      </c>
      <c r="Z58" s="344">
        <f t="shared" si="17"/>
        <v>0</v>
      </c>
      <c r="AA58" s="249"/>
      <c r="AB58" s="341">
        <v>7150000</v>
      </c>
      <c r="AC58" s="342">
        <f t="shared" si="18"/>
        <v>8222000.0000000009</v>
      </c>
      <c r="AD58" s="252"/>
      <c r="AE58" s="295"/>
      <c r="AF58" s="156"/>
    </row>
    <row r="59" spans="1:33" ht="26.4">
      <c r="A59" s="326">
        <f t="shared" si="19"/>
        <v>4</v>
      </c>
      <c r="B59" s="152"/>
      <c r="C59" s="627" t="s">
        <v>1942</v>
      </c>
      <c r="D59" s="46">
        <v>45266</v>
      </c>
      <c r="E59" s="47" t="s">
        <v>1944</v>
      </c>
      <c r="F59" s="126" t="s">
        <v>210</v>
      </c>
      <c r="G59" s="167"/>
      <c r="H59" s="167">
        <v>1</v>
      </c>
      <c r="I59" s="167"/>
      <c r="J59" s="154">
        <v>25109.500000000004</v>
      </c>
      <c r="K59" s="559" t="s">
        <v>1945</v>
      </c>
      <c r="L59" s="170" t="s">
        <v>1943</v>
      </c>
      <c r="M59" s="40" t="s">
        <v>210</v>
      </c>
      <c r="N59" s="482"/>
      <c r="O59" s="1997"/>
      <c r="P59" s="1543"/>
      <c r="Q59" s="248"/>
      <c r="R59" s="248"/>
      <c r="S59" s="248"/>
      <c r="T59" s="371">
        <v>500000</v>
      </c>
      <c r="U59" s="248"/>
      <c r="V59" s="247"/>
      <c r="W59" s="248"/>
      <c r="X59" s="341">
        <v>400000</v>
      </c>
      <c r="Y59" s="340">
        <f t="shared" si="16"/>
        <v>500000</v>
      </c>
      <c r="Z59" s="344">
        <f t="shared" si="17"/>
        <v>0</v>
      </c>
      <c r="AA59" s="249"/>
      <c r="AB59" s="341">
        <v>7100000</v>
      </c>
      <c r="AC59" s="342">
        <f t="shared" si="18"/>
        <v>8600000</v>
      </c>
      <c r="AD59" s="252"/>
      <c r="AE59" s="295"/>
      <c r="AF59" s="156"/>
    </row>
    <row r="60" spans="1:33" ht="26.4">
      <c r="A60" s="326">
        <f t="shared" si="19"/>
        <v>5</v>
      </c>
      <c r="B60" s="152"/>
      <c r="C60" s="631" t="s">
        <v>1946</v>
      </c>
      <c r="D60" s="46">
        <v>45267</v>
      </c>
      <c r="E60" s="47" t="s">
        <v>1947</v>
      </c>
      <c r="F60" s="126" t="s">
        <v>1300</v>
      </c>
      <c r="G60" s="167"/>
      <c r="H60" s="167">
        <v>1</v>
      </c>
      <c r="I60" s="167"/>
      <c r="J60" s="154">
        <v>24881.5</v>
      </c>
      <c r="K60" s="559" t="s">
        <v>1948</v>
      </c>
      <c r="L60" s="170" t="s">
        <v>1949</v>
      </c>
      <c r="M60" s="40" t="s">
        <v>210</v>
      </c>
      <c r="N60" s="482"/>
      <c r="O60" s="1997"/>
      <c r="P60" s="1543"/>
      <c r="Q60" s="324">
        <v>302400</v>
      </c>
      <c r="R60" s="324">
        <v>696600</v>
      </c>
      <c r="S60" s="248"/>
      <c r="T60" s="371">
        <v>500000</v>
      </c>
      <c r="U60" s="248"/>
      <c r="V60" s="247"/>
      <c r="W60" s="248"/>
      <c r="X60" s="341">
        <v>400000</v>
      </c>
      <c r="Y60" s="340">
        <f t="shared" si="16"/>
        <v>802400</v>
      </c>
      <c r="Z60" s="344">
        <f t="shared" si="17"/>
        <v>0</v>
      </c>
      <c r="AA60" s="249"/>
      <c r="AB60" s="341">
        <v>7150000</v>
      </c>
      <c r="AC60" s="342">
        <f t="shared" si="18"/>
        <v>8956400</v>
      </c>
      <c r="AD60" s="252"/>
      <c r="AE60" s="295"/>
      <c r="AF60" s="156"/>
    </row>
    <row r="61" spans="1:33">
      <c r="A61" s="326">
        <f t="shared" si="19"/>
        <v>6</v>
      </c>
      <c r="B61" s="152"/>
      <c r="C61" s="630">
        <v>105955596940</v>
      </c>
      <c r="D61" s="46" t="s">
        <v>1960</v>
      </c>
      <c r="E61" s="47" t="s">
        <v>1961</v>
      </c>
      <c r="F61" s="126" t="s">
        <v>1300</v>
      </c>
      <c r="G61" s="167">
        <v>1</v>
      </c>
      <c r="H61" s="167"/>
      <c r="I61" s="167"/>
      <c r="J61" s="154">
        <v>21323</v>
      </c>
      <c r="K61" s="559" t="s">
        <v>1959</v>
      </c>
      <c r="L61" s="170" t="s">
        <v>1962</v>
      </c>
      <c r="M61" s="40" t="s">
        <v>210</v>
      </c>
      <c r="N61" s="482"/>
      <c r="O61" s="1997"/>
      <c r="P61" s="1543"/>
      <c r="Q61" s="324">
        <v>167400</v>
      </c>
      <c r="R61" s="324">
        <v>394200</v>
      </c>
      <c r="S61" s="248"/>
      <c r="T61" s="371">
        <v>250000</v>
      </c>
      <c r="U61" s="248"/>
      <c r="V61" s="247"/>
      <c r="W61" s="248"/>
      <c r="X61" s="158"/>
      <c r="Y61" s="340">
        <f t="shared" si="16"/>
        <v>417400</v>
      </c>
      <c r="Z61" s="344">
        <f t="shared" si="17"/>
        <v>0</v>
      </c>
      <c r="AA61" s="249"/>
      <c r="AB61" s="341">
        <v>6730000</v>
      </c>
      <c r="AC61" s="342">
        <f t="shared" si="18"/>
        <v>7685800.0000000009</v>
      </c>
      <c r="AD61" s="252"/>
      <c r="AE61" s="295"/>
      <c r="AF61" s="156"/>
    </row>
    <row r="62" spans="1:33" ht="26.4">
      <c r="A62" s="326">
        <f t="shared" si="19"/>
        <v>7</v>
      </c>
      <c r="B62" s="152"/>
      <c r="C62" s="627" t="s">
        <v>1963</v>
      </c>
      <c r="D62" s="46" t="s">
        <v>1960</v>
      </c>
      <c r="E62" s="47" t="s">
        <v>1965</v>
      </c>
      <c r="F62" s="126" t="s">
        <v>748</v>
      </c>
      <c r="G62" s="167">
        <v>1</v>
      </c>
      <c r="H62" s="167"/>
      <c r="I62" s="167"/>
      <c r="J62" s="565" t="s">
        <v>1967</v>
      </c>
      <c r="K62" s="559" t="s">
        <v>1964</v>
      </c>
      <c r="L62" s="170" t="s">
        <v>1966</v>
      </c>
      <c r="M62" s="40" t="s">
        <v>210</v>
      </c>
      <c r="N62" s="482"/>
      <c r="O62" s="1997"/>
      <c r="P62" s="1543"/>
      <c r="Q62" s="248"/>
      <c r="R62" s="248"/>
      <c r="S62" s="248"/>
      <c r="T62" s="371">
        <v>250000</v>
      </c>
      <c r="U62" s="248"/>
      <c r="V62" s="247"/>
      <c r="W62" s="248"/>
      <c r="X62" s="341">
        <v>400000</v>
      </c>
      <c r="Y62" s="340">
        <f t="shared" si="16"/>
        <v>250000</v>
      </c>
      <c r="Z62" s="344">
        <f t="shared" si="17"/>
        <v>0</v>
      </c>
      <c r="AA62" s="249"/>
      <c r="AB62" s="341">
        <v>6180000</v>
      </c>
      <c r="AC62" s="342">
        <f t="shared" si="18"/>
        <v>7356400.0000000009</v>
      </c>
      <c r="AD62" s="252"/>
      <c r="AE62" s="295"/>
      <c r="AF62" s="156"/>
    </row>
    <row r="63" spans="1:33">
      <c r="A63" s="326">
        <f t="shared" si="19"/>
        <v>8</v>
      </c>
      <c r="B63" s="152"/>
      <c r="C63" s="627">
        <v>306063563540</v>
      </c>
      <c r="D63" s="46" t="s">
        <v>1960</v>
      </c>
      <c r="E63" s="47" t="s">
        <v>1969</v>
      </c>
      <c r="F63" s="126" t="s">
        <v>210</v>
      </c>
      <c r="G63" s="167">
        <v>1</v>
      </c>
      <c r="H63" s="167"/>
      <c r="I63" s="167"/>
      <c r="J63" s="154">
        <v>8743</v>
      </c>
      <c r="K63" s="559" t="s">
        <v>1968</v>
      </c>
      <c r="L63" s="170" t="s">
        <v>1970</v>
      </c>
      <c r="M63" s="532" t="s">
        <v>418</v>
      </c>
      <c r="N63" s="482"/>
      <c r="O63" s="1997"/>
      <c r="P63" s="1543"/>
      <c r="Q63" s="248"/>
      <c r="R63" s="248"/>
      <c r="S63" s="248"/>
      <c r="T63" s="371">
        <v>250000</v>
      </c>
      <c r="U63" s="248"/>
      <c r="V63" s="247"/>
      <c r="W63" s="248"/>
      <c r="X63" s="158"/>
      <c r="Y63" s="340">
        <f t="shared" si="16"/>
        <v>250000</v>
      </c>
      <c r="Z63" s="344">
        <f t="shared" si="17"/>
        <v>0</v>
      </c>
      <c r="AA63" s="249"/>
      <c r="AB63" s="341">
        <v>6180000</v>
      </c>
      <c r="AC63" s="342">
        <f t="shared" si="18"/>
        <v>6924400</v>
      </c>
      <c r="AD63" s="252"/>
      <c r="AE63" s="295"/>
      <c r="AF63" s="156"/>
    </row>
    <row r="64" spans="1:33" ht="26.4">
      <c r="A64" s="326">
        <f t="shared" si="19"/>
        <v>9</v>
      </c>
      <c r="B64" s="152"/>
      <c r="C64" s="627" t="s">
        <v>1982</v>
      </c>
      <c r="D64" s="46" t="s">
        <v>1983</v>
      </c>
      <c r="E64" s="47" t="s">
        <v>1985</v>
      </c>
      <c r="F64" s="126" t="s">
        <v>210</v>
      </c>
      <c r="G64" s="167"/>
      <c r="H64" s="167"/>
      <c r="I64" s="167">
        <v>1</v>
      </c>
      <c r="J64" s="154">
        <v>2486.5</v>
      </c>
      <c r="K64" s="1573" t="s">
        <v>1984</v>
      </c>
      <c r="L64" s="170"/>
      <c r="M64" s="40" t="s">
        <v>210</v>
      </c>
      <c r="N64" s="482"/>
      <c r="O64" s="1997"/>
      <c r="P64" s="1543"/>
      <c r="Q64" s="248"/>
      <c r="R64" s="248"/>
      <c r="S64" s="248"/>
      <c r="T64" s="371">
        <v>446</v>
      </c>
      <c r="U64" s="248"/>
      <c r="V64" s="247"/>
      <c r="W64" s="248"/>
      <c r="X64" s="341">
        <v>400000</v>
      </c>
      <c r="Y64" s="340">
        <f t="shared" si="16"/>
        <v>446</v>
      </c>
      <c r="Z64" s="344">
        <f t="shared" si="17"/>
        <v>0</v>
      </c>
      <c r="AA64" s="249"/>
      <c r="AB64" s="341">
        <v>3250000</v>
      </c>
      <c r="AC64" s="342">
        <f t="shared" si="18"/>
        <v>3942446.0000000005</v>
      </c>
      <c r="AD64" s="252"/>
      <c r="AE64" s="295"/>
      <c r="AF64" s="156"/>
    </row>
    <row r="65" spans="1:33">
      <c r="A65" s="326">
        <f t="shared" si="19"/>
        <v>10</v>
      </c>
      <c r="B65" s="152"/>
      <c r="C65" s="627">
        <v>306075127430</v>
      </c>
      <c r="D65" s="46" t="s">
        <v>1983</v>
      </c>
      <c r="E65" s="47" t="s">
        <v>1987</v>
      </c>
      <c r="F65" s="126" t="s">
        <v>210</v>
      </c>
      <c r="G65" s="167"/>
      <c r="H65" s="167"/>
      <c r="I65" s="167">
        <v>1</v>
      </c>
      <c r="J65" s="154">
        <v>2061</v>
      </c>
      <c r="K65" s="1573" t="s">
        <v>1986</v>
      </c>
      <c r="L65" s="170"/>
      <c r="M65" s="40" t="s">
        <v>210</v>
      </c>
      <c r="N65" s="482"/>
      <c r="O65" s="1997"/>
      <c r="P65" s="1543"/>
      <c r="Q65" s="248"/>
      <c r="R65" s="248"/>
      <c r="S65" s="248"/>
      <c r="T65" s="371">
        <v>30915</v>
      </c>
      <c r="U65" s="248"/>
      <c r="V65" s="247"/>
      <c r="W65" s="248"/>
      <c r="X65" s="158"/>
      <c r="Y65" s="340">
        <f t="shared" si="16"/>
        <v>30915</v>
      </c>
      <c r="Z65" s="344">
        <f t="shared" si="17"/>
        <v>0</v>
      </c>
      <c r="AA65" s="249"/>
      <c r="AB65" s="341">
        <v>3250000</v>
      </c>
      <c r="AC65" s="342">
        <f t="shared" si="18"/>
        <v>3540915</v>
      </c>
      <c r="AD65" s="252"/>
      <c r="AE65" s="295"/>
      <c r="AF65" s="156"/>
    </row>
    <row r="66" spans="1:33" ht="26.4">
      <c r="A66" s="326">
        <f t="shared" si="19"/>
        <v>11</v>
      </c>
      <c r="B66" s="152"/>
      <c r="C66" s="627" t="s">
        <v>1994</v>
      </c>
      <c r="D66" s="46" t="s">
        <v>1995</v>
      </c>
      <c r="E66" s="47" t="s">
        <v>1998</v>
      </c>
      <c r="F66" s="126" t="s">
        <v>210</v>
      </c>
      <c r="G66" s="167"/>
      <c r="H66" s="167">
        <v>1</v>
      </c>
      <c r="I66" s="167"/>
      <c r="J66" s="154">
        <f>16553.77+7880.32</f>
        <v>24434.09</v>
      </c>
      <c r="K66" s="559" t="s">
        <v>1996</v>
      </c>
      <c r="L66" s="170" t="s">
        <v>1997</v>
      </c>
      <c r="M66" s="566" t="s">
        <v>210</v>
      </c>
      <c r="N66" s="482"/>
      <c r="O66" s="1997"/>
      <c r="P66" s="1543"/>
      <c r="Q66" s="248"/>
      <c r="R66" s="248"/>
      <c r="S66" s="248"/>
      <c r="T66" s="371">
        <v>500000</v>
      </c>
      <c r="U66" s="248"/>
      <c r="V66" s="247"/>
      <c r="W66" s="248"/>
      <c r="X66" s="341">
        <v>400000</v>
      </c>
      <c r="Y66" s="340">
        <f t="shared" si="16"/>
        <v>500000</v>
      </c>
      <c r="Z66" s="344">
        <f t="shared" si="17"/>
        <v>0</v>
      </c>
      <c r="AA66" s="249" t="s">
        <v>1416</v>
      </c>
      <c r="AB66" s="341">
        <v>7100000</v>
      </c>
      <c r="AC66" s="342">
        <f t="shared" si="18"/>
        <v>8600000</v>
      </c>
      <c r="AD66" s="252"/>
      <c r="AE66" s="295"/>
      <c r="AF66" s="156"/>
    </row>
    <row r="67" spans="1:33">
      <c r="A67" s="326">
        <f t="shared" si="19"/>
        <v>12</v>
      </c>
      <c r="B67" s="152"/>
      <c r="C67" s="630">
        <v>105967996040</v>
      </c>
      <c r="D67" s="46" t="s">
        <v>1995</v>
      </c>
      <c r="E67" s="47" t="s">
        <v>2001</v>
      </c>
      <c r="F67" s="126" t="s">
        <v>1300</v>
      </c>
      <c r="G67" s="167"/>
      <c r="H67" s="167">
        <v>1</v>
      </c>
      <c r="I67" s="167"/>
      <c r="J67" s="154">
        <v>13404</v>
      </c>
      <c r="K67" s="559" t="s">
        <v>1999</v>
      </c>
      <c r="L67" s="170" t="s">
        <v>2000</v>
      </c>
      <c r="M67" s="533" t="s">
        <v>136</v>
      </c>
      <c r="N67" s="482"/>
      <c r="O67" s="1997"/>
      <c r="P67" s="1543"/>
      <c r="Q67" s="324">
        <f>1020600+453600</f>
        <v>1474200</v>
      </c>
      <c r="R67" s="324">
        <v>696600</v>
      </c>
      <c r="S67" s="248"/>
      <c r="T67" s="371">
        <v>500000</v>
      </c>
      <c r="U67" s="248"/>
      <c r="V67" s="247"/>
      <c r="W67" s="324">
        <v>475000</v>
      </c>
      <c r="X67" s="158"/>
      <c r="Y67" s="340">
        <f t="shared" si="16"/>
        <v>2449200</v>
      </c>
      <c r="Z67" s="344">
        <f t="shared" si="17"/>
        <v>0</v>
      </c>
      <c r="AA67" s="391" t="s">
        <v>2002</v>
      </c>
      <c r="AB67" s="341">
        <v>7050000</v>
      </c>
      <c r="AC67" s="342">
        <f t="shared" si="18"/>
        <v>10063200</v>
      </c>
      <c r="AD67" s="252"/>
      <c r="AE67" s="295"/>
      <c r="AF67" s="156"/>
    </row>
    <row r="68" spans="1:33" ht="22.5" customHeight="1">
      <c r="A68" s="3297" t="s">
        <v>1991</v>
      </c>
      <c r="B68" s="3298"/>
      <c r="C68" s="3298"/>
      <c r="D68" s="3298"/>
      <c r="E68" s="3298"/>
      <c r="F68" s="3298"/>
      <c r="G68" s="3298"/>
      <c r="H68" s="3298"/>
      <c r="I68" s="3298"/>
      <c r="J68" s="3298"/>
      <c r="K68" s="3298"/>
      <c r="L68" s="3298"/>
      <c r="M68" s="346"/>
      <c r="N68" s="346"/>
      <c r="O68" s="346"/>
      <c r="P68" s="346"/>
      <c r="Q68" s="486"/>
      <c r="R68" s="500"/>
      <c r="S68" s="486"/>
      <c r="T68" s="486"/>
      <c r="U68" s="486"/>
      <c r="V68" s="487"/>
      <c r="W68" s="486"/>
      <c r="X68" s="488">
        <f>SUM(X56:X67)</f>
        <v>2400000</v>
      </c>
      <c r="Y68" s="488">
        <f>SUM(Y56:Y67)</f>
        <v>7290803</v>
      </c>
      <c r="Z68" s="489">
        <f>SUM(Z56:Z67)</f>
        <v>0</v>
      </c>
      <c r="AA68" s="490"/>
      <c r="AB68" s="488">
        <f>SUM(AB56:AB67)</f>
        <v>74470000</v>
      </c>
      <c r="AC68" s="488">
        <f>SUM(AC56:AC67)</f>
        <v>90310403</v>
      </c>
      <c r="AD68" s="492"/>
      <c r="AE68" s="346"/>
      <c r="AF68" s="346"/>
      <c r="AG68" s="493"/>
    </row>
    <row r="69" spans="1:33" ht="26.4">
      <c r="A69" s="326">
        <v>1</v>
      </c>
      <c r="B69" s="152"/>
      <c r="C69" s="626" t="s">
        <v>2033</v>
      </c>
      <c r="D69" s="46" t="s">
        <v>2017</v>
      </c>
      <c r="E69" s="47" t="s">
        <v>2042</v>
      </c>
      <c r="F69" s="126" t="s">
        <v>210</v>
      </c>
      <c r="G69" s="167"/>
      <c r="H69" s="167">
        <v>1</v>
      </c>
      <c r="I69" s="167"/>
      <c r="J69" s="154">
        <v>24166.420000000002</v>
      </c>
      <c r="K69" s="559" t="s">
        <v>2034</v>
      </c>
      <c r="L69" s="170" t="s">
        <v>2035</v>
      </c>
      <c r="M69" s="477"/>
      <c r="N69" s="482"/>
      <c r="O69" s="1997"/>
      <c r="P69" s="1543"/>
      <c r="Q69" s="248"/>
      <c r="R69" s="248"/>
      <c r="S69" s="248"/>
      <c r="T69" s="371">
        <v>500000</v>
      </c>
      <c r="U69" s="248"/>
      <c r="V69" s="247"/>
      <c r="W69" s="248"/>
      <c r="X69" s="341">
        <v>400000</v>
      </c>
      <c r="Y69" s="340">
        <f t="shared" ref="Y69:Y80" si="20">Q69+T69+U69+W69</f>
        <v>500000</v>
      </c>
      <c r="Z69" s="344">
        <f t="shared" ref="Z69:Z80" si="21">+V69</f>
        <v>0</v>
      </c>
      <c r="AA69" s="249" t="s">
        <v>1416</v>
      </c>
      <c r="AB69" s="341">
        <v>7100000</v>
      </c>
      <c r="AC69" s="342">
        <f t="shared" ref="AC69:AC80" si="22">((AB69+X69)*1.08)+Y69</f>
        <v>8600000</v>
      </c>
      <c r="AD69" s="341">
        <f t="shared" ref="AD69:AD80" si="23">(AB69+X69)*1.08</f>
        <v>8100000.0000000009</v>
      </c>
      <c r="AE69" s="295"/>
      <c r="AF69" s="156"/>
    </row>
    <row r="70" spans="1:33">
      <c r="A70" s="326">
        <f t="shared" ref="A70:A80" si="24">+A69+1</f>
        <v>2</v>
      </c>
      <c r="B70" s="152"/>
      <c r="C70" s="626">
        <v>306102216510</v>
      </c>
      <c r="D70" s="46" t="s">
        <v>2044</v>
      </c>
      <c r="E70" s="47" t="s">
        <v>2045</v>
      </c>
      <c r="F70" s="126" t="s">
        <v>210</v>
      </c>
      <c r="G70" s="167">
        <v>1</v>
      </c>
      <c r="H70" s="167"/>
      <c r="I70" s="167"/>
      <c r="J70" s="154">
        <v>1738.5</v>
      </c>
      <c r="K70" s="559">
        <v>2730284720</v>
      </c>
      <c r="L70" s="170" t="s">
        <v>2043</v>
      </c>
      <c r="M70" s="477"/>
      <c r="N70" s="482"/>
      <c r="O70" s="1997"/>
      <c r="P70" s="1543"/>
      <c r="Q70" s="248"/>
      <c r="R70" s="248"/>
      <c r="S70" s="248"/>
      <c r="T70" s="371">
        <v>250000</v>
      </c>
      <c r="U70" s="248"/>
      <c r="V70" s="247"/>
      <c r="W70" s="248"/>
      <c r="X70" s="158"/>
      <c r="Y70" s="340">
        <f t="shared" si="20"/>
        <v>250000</v>
      </c>
      <c r="Z70" s="344">
        <f t="shared" si="21"/>
        <v>0</v>
      </c>
      <c r="AA70" s="249"/>
      <c r="AB70" s="341">
        <v>6180000</v>
      </c>
      <c r="AC70" s="342">
        <f t="shared" si="22"/>
        <v>6924400</v>
      </c>
      <c r="AD70" s="341">
        <f t="shared" si="23"/>
        <v>6674400</v>
      </c>
      <c r="AE70" s="295"/>
      <c r="AF70" s="156"/>
    </row>
    <row r="71" spans="1:33" ht="26.4">
      <c r="A71" s="326">
        <f t="shared" si="24"/>
        <v>3</v>
      </c>
      <c r="B71" s="152"/>
      <c r="C71" s="635" t="s">
        <v>2056</v>
      </c>
      <c r="D71" s="386" t="s">
        <v>2057</v>
      </c>
      <c r="E71" s="47" t="s">
        <v>2063</v>
      </c>
      <c r="F71" s="126" t="s">
        <v>210</v>
      </c>
      <c r="G71" s="167"/>
      <c r="H71" s="167">
        <v>1</v>
      </c>
      <c r="I71" s="167"/>
      <c r="J71" s="584">
        <v>28836.48</v>
      </c>
      <c r="K71" s="559" t="s">
        <v>2058</v>
      </c>
      <c r="L71" s="170" t="s">
        <v>2059</v>
      </c>
      <c r="M71" s="477"/>
      <c r="N71" s="482"/>
      <c r="O71" s="1997"/>
      <c r="P71" s="1543"/>
      <c r="Q71" s="248"/>
      <c r="R71" s="248"/>
      <c r="S71" s="248"/>
      <c r="T71" s="371">
        <v>500000</v>
      </c>
      <c r="U71" s="248"/>
      <c r="V71" s="247"/>
      <c r="W71" s="248"/>
      <c r="X71" s="341">
        <v>400000</v>
      </c>
      <c r="Y71" s="340">
        <f t="shared" si="20"/>
        <v>500000</v>
      </c>
      <c r="Z71" s="344">
        <f t="shared" si="21"/>
        <v>0</v>
      </c>
      <c r="AA71" s="249" t="s">
        <v>1416</v>
      </c>
      <c r="AB71" s="341">
        <v>7150000</v>
      </c>
      <c r="AC71" s="342">
        <f t="shared" si="22"/>
        <v>8654000</v>
      </c>
      <c r="AD71" s="341">
        <f t="shared" si="23"/>
        <v>8154000.0000000009</v>
      </c>
      <c r="AE71" s="295"/>
      <c r="AF71" s="156"/>
    </row>
    <row r="72" spans="1:33" ht="39.6">
      <c r="A72" s="326">
        <f t="shared" si="24"/>
        <v>4</v>
      </c>
      <c r="B72" s="152"/>
      <c r="C72" s="623" t="s">
        <v>2071</v>
      </c>
      <c r="D72" s="386" t="s">
        <v>2068</v>
      </c>
      <c r="E72" s="47" t="s">
        <v>2072</v>
      </c>
      <c r="F72" s="126" t="s">
        <v>1300</v>
      </c>
      <c r="G72" s="167"/>
      <c r="H72" s="167">
        <v>1</v>
      </c>
      <c r="I72" s="167"/>
      <c r="J72" s="524">
        <v>19177</v>
      </c>
      <c r="K72" s="559" t="s">
        <v>2070</v>
      </c>
      <c r="L72" s="170" t="s">
        <v>2073</v>
      </c>
      <c r="M72" s="532" t="s">
        <v>418</v>
      </c>
      <c r="N72" s="482"/>
      <c r="O72" s="1997"/>
      <c r="P72" s="1543"/>
      <c r="Q72" s="324">
        <f>453600+226800</f>
        <v>680400</v>
      </c>
      <c r="R72" s="324">
        <v>696600</v>
      </c>
      <c r="S72" s="248"/>
      <c r="T72" s="371">
        <v>500000</v>
      </c>
      <c r="U72" s="248"/>
      <c r="V72" s="247"/>
      <c r="W72" s="324">
        <v>1320000</v>
      </c>
      <c r="X72" s="341">
        <v>800000</v>
      </c>
      <c r="Y72" s="340">
        <f t="shared" si="20"/>
        <v>2500400</v>
      </c>
      <c r="Z72" s="344">
        <f t="shared" si="21"/>
        <v>0</v>
      </c>
      <c r="AA72" s="391" t="s">
        <v>2101</v>
      </c>
      <c r="AB72" s="341">
        <v>7050000</v>
      </c>
      <c r="AC72" s="342">
        <f t="shared" si="22"/>
        <v>10978400</v>
      </c>
      <c r="AD72" s="341">
        <f t="shared" si="23"/>
        <v>8478000</v>
      </c>
      <c r="AE72" s="295"/>
      <c r="AF72" s="156"/>
    </row>
    <row r="73" spans="1:33" ht="26.4">
      <c r="A73" s="326">
        <f t="shared" si="24"/>
        <v>5</v>
      </c>
      <c r="B73" s="152"/>
      <c r="C73" s="635" t="s">
        <v>2106</v>
      </c>
      <c r="D73" s="46">
        <v>45301</v>
      </c>
      <c r="E73" s="47" t="s">
        <v>2109</v>
      </c>
      <c r="F73" s="126" t="s">
        <v>210</v>
      </c>
      <c r="G73" s="167"/>
      <c r="H73" s="167">
        <v>1</v>
      </c>
      <c r="I73" s="167"/>
      <c r="J73" s="524">
        <f>20289+4678</f>
        <v>24967</v>
      </c>
      <c r="K73" s="559" t="s">
        <v>2107</v>
      </c>
      <c r="L73" s="170" t="s">
        <v>2108</v>
      </c>
      <c r="M73" s="532" t="s">
        <v>418</v>
      </c>
      <c r="N73" s="482"/>
      <c r="O73" s="1997"/>
      <c r="P73" s="1543"/>
      <c r="Q73" s="248"/>
      <c r="R73" s="248"/>
      <c r="S73" s="248"/>
      <c r="T73" s="371">
        <v>500000</v>
      </c>
      <c r="U73" s="248"/>
      <c r="V73" s="247"/>
      <c r="W73" s="248"/>
      <c r="X73" s="341">
        <v>400000</v>
      </c>
      <c r="Y73" s="340">
        <f t="shared" si="20"/>
        <v>500000</v>
      </c>
      <c r="Z73" s="344">
        <f t="shared" si="21"/>
        <v>0</v>
      </c>
      <c r="AA73" s="249"/>
      <c r="AB73" s="341">
        <v>7150000</v>
      </c>
      <c r="AC73" s="342">
        <f t="shared" si="22"/>
        <v>8654000</v>
      </c>
      <c r="AD73" s="341">
        <f t="shared" si="23"/>
        <v>8154000.0000000009</v>
      </c>
      <c r="AE73" s="295"/>
      <c r="AF73" s="156"/>
    </row>
    <row r="74" spans="1:33">
      <c r="A74" s="326">
        <f t="shared" si="24"/>
        <v>6</v>
      </c>
      <c r="B74" s="152"/>
      <c r="C74" s="624">
        <v>106017978400</v>
      </c>
      <c r="D74" s="46">
        <v>45302</v>
      </c>
      <c r="E74" s="47" t="s">
        <v>2076</v>
      </c>
      <c r="F74" s="126" t="s">
        <v>1300</v>
      </c>
      <c r="G74" s="167">
        <v>1</v>
      </c>
      <c r="H74" s="167"/>
      <c r="I74" s="167"/>
      <c r="J74" s="524">
        <v>20632</v>
      </c>
      <c r="K74" s="559" t="s">
        <v>2074</v>
      </c>
      <c r="L74" s="170" t="s">
        <v>2075</v>
      </c>
      <c r="M74" s="477"/>
      <c r="N74" s="482"/>
      <c r="O74" s="1997"/>
      <c r="P74" s="1543"/>
      <c r="Q74" s="248"/>
      <c r="R74" s="324">
        <v>394200</v>
      </c>
      <c r="S74" s="248"/>
      <c r="T74" s="371">
        <v>500000</v>
      </c>
      <c r="U74" s="248"/>
      <c r="V74" s="247"/>
      <c r="W74" s="248"/>
      <c r="X74" s="158"/>
      <c r="Y74" s="340">
        <f t="shared" si="20"/>
        <v>500000</v>
      </c>
      <c r="Z74" s="344">
        <f t="shared" si="21"/>
        <v>0</v>
      </c>
      <c r="AA74" s="249"/>
      <c r="AB74" s="341">
        <f>6730000</f>
        <v>6730000</v>
      </c>
      <c r="AC74" s="342">
        <f t="shared" si="22"/>
        <v>7768400.0000000009</v>
      </c>
      <c r="AD74" s="341">
        <f t="shared" si="23"/>
        <v>7268400.0000000009</v>
      </c>
      <c r="AE74" s="295"/>
      <c r="AF74" s="156"/>
    </row>
    <row r="75" spans="1:33" ht="26.4">
      <c r="A75" s="326">
        <f t="shared" si="24"/>
        <v>7</v>
      </c>
      <c r="B75" s="582"/>
      <c r="C75" s="635" t="s">
        <v>2086</v>
      </c>
      <c r="D75" s="46" t="s">
        <v>2087</v>
      </c>
      <c r="E75" s="47" t="s">
        <v>2096</v>
      </c>
      <c r="F75" s="126" t="s">
        <v>210</v>
      </c>
      <c r="G75" s="167"/>
      <c r="H75" s="167">
        <v>1</v>
      </c>
      <c r="I75" s="167"/>
      <c r="J75" s="585">
        <v>28405.77</v>
      </c>
      <c r="K75" s="559" t="s">
        <v>2088</v>
      </c>
      <c r="L75" s="170" t="s">
        <v>2089</v>
      </c>
      <c r="M75" s="582"/>
      <c r="N75" s="482"/>
      <c r="O75" s="1997"/>
      <c r="P75" s="1543"/>
      <c r="Q75" s="248"/>
      <c r="R75" s="248"/>
      <c r="S75" s="248"/>
      <c r="T75" s="371">
        <v>500000</v>
      </c>
      <c r="U75" s="248"/>
      <c r="V75" s="247"/>
      <c r="W75" s="248"/>
      <c r="X75" s="341">
        <v>400000</v>
      </c>
      <c r="Y75" s="340">
        <f t="shared" si="20"/>
        <v>500000</v>
      </c>
      <c r="Z75" s="344">
        <f t="shared" si="21"/>
        <v>0</v>
      </c>
      <c r="AA75" s="249"/>
      <c r="AB75" s="341">
        <v>7150000</v>
      </c>
      <c r="AC75" s="342">
        <f t="shared" si="22"/>
        <v>8654000</v>
      </c>
      <c r="AD75" s="341">
        <f t="shared" si="23"/>
        <v>8154000.0000000009</v>
      </c>
      <c r="AE75" s="295"/>
      <c r="AF75" s="156"/>
    </row>
    <row r="76" spans="1:33" ht="26.4">
      <c r="A76" s="326">
        <f t="shared" si="24"/>
        <v>8</v>
      </c>
      <c r="B76" s="152"/>
      <c r="C76" s="626" t="s">
        <v>2090</v>
      </c>
      <c r="D76" s="46" t="s">
        <v>2087</v>
      </c>
      <c r="E76" s="47" t="s">
        <v>2097</v>
      </c>
      <c r="F76" s="126" t="s">
        <v>210</v>
      </c>
      <c r="G76" s="167"/>
      <c r="H76" s="167"/>
      <c r="I76" s="583">
        <v>1</v>
      </c>
      <c r="J76" s="586">
        <v>1676</v>
      </c>
      <c r="K76" s="559" t="s">
        <v>2093</v>
      </c>
      <c r="L76" s="740"/>
      <c r="M76" s="581"/>
      <c r="N76" s="482"/>
      <c r="O76" s="1997"/>
      <c r="P76" s="1543"/>
      <c r="Q76" s="248"/>
      <c r="R76" s="248"/>
      <c r="S76" s="248"/>
      <c r="T76" s="371">
        <v>1782</v>
      </c>
      <c r="U76" s="248"/>
      <c r="V76" s="247"/>
      <c r="W76" s="248"/>
      <c r="X76" s="341">
        <v>400000</v>
      </c>
      <c r="Y76" s="340">
        <f t="shared" si="20"/>
        <v>1782</v>
      </c>
      <c r="Z76" s="344">
        <f t="shared" si="21"/>
        <v>0</v>
      </c>
      <c r="AA76" s="249"/>
      <c r="AB76" s="341">
        <v>3250000</v>
      </c>
      <c r="AC76" s="342">
        <f t="shared" si="22"/>
        <v>3943782.0000000005</v>
      </c>
      <c r="AD76" s="341">
        <f t="shared" si="23"/>
        <v>3942000.0000000005</v>
      </c>
      <c r="AE76" s="295"/>
      <c r="AF76" s="156"/>
    </row>
    <row r="77" spans="1:33" ht="26.4">
      <c r="A77" s="326">
        <f t="shared" si="24"/>
        <v>9</v>
      </c>
      <c r="B77" s="152"/>
      <c r="C77" s="626" t="s">
        <v>2091</v>
      </c>
      <c r="D77" s="46" t="s">
        <v>2087</v>
      </c>
      <c r="E77" s="47" t="s">
        <v>2098</v>
      </c>
      <c r="F77" s="126" t="s">
        <v>210</v>
      </c>
      <c r="G77" s="167"/>
      <c r="H77" s="167"/>
      <c r="I77" s="445">
        <v>1</v>
      </c>
      <c r="J77" s="586">
        <v>4846</v>
      </c>
      <c r="K77" s="559" t="s">
        <v>2092</v>
      </c>
      <c r="L77" s="170"/>
      <c r="M77" s="477"/>
      <c r="N77" s="482"/>
      <c r="O77" s="1997"/>
      <c r="P77" s="1543"/>
      <c r="Q77" s="248"/>
      <c r="R77" s="248"/>
      <c r="S77" s="248"/>
      <c r="T77" s="371">
        <v>1115</v>
      </c>
      <c r="U77" s="248"/>
      <c r="V77" s="247"/>
      <c r="W77" s="248"/>
      <c r="X77" s="341">
        <v>400000</v>
      </c>
      <c r="Y77" s="340">
        <f t="shared" si="20"/>
        <v>1115</v>
      </c>
      <c r="Z77" s="344">
        <f t="shared" si="21"/>
        <v>0</v>
      </c>
      <c r="AA77" s="249"/>
      <c r="AB77" s="341">
        <v>3370000</v>
      </c>
      <c r="AC77" s="342">
        <f t="shared" si="22"/>
        <v>4072715.0000000005</v>
      </c>
      <c r="AD77" s="341">
        <f t="shared" si="23"/>
        <v>4071600.0000000005</v>
      </c>
      <c r="AE77" s="295"/>
      <c r="AF77" s="156"/>
    </row>
    <row r="78" spans="1:33" ht="26.4">
      <c r="A78" s="326">
        <f t="shared" si="24"/>
        <v>10</v>
      </c>
      <c r="B78" s="152"/>
      <c r="C78" s="623" t="s">
        <v>2116</v>
      </c>
      <c r="D78" s="46" t="s">
        <v>2130</v>
      </c>
      <c r="E78" s="47" t="s">
        <v>2117</v>
      </c>
      <c r="F78" s="126" t="s">
        <v>1300</v>
      </c>
      <c r="G78" s="167"/>
      <c r="H78" s="167">
        <v>1</v>
      </c>
      <c r="I78" s="167"/>
      <c r="J78" s="524">
        <v>24916</v>
      </c>
      <c r="K78" s="559" t="s">
        <v>2099</v>
      </c>
      <c r="L78" s="170" t="s">
        <v>2100</v>
      </c>
      <c r="M78" s="532" t="s">
        <v>418</v>
      </c>
      <c r="N78" s="482"/>
      <c r="O78" s="1997"/>
      <c r="P78" s="1543"/>
      <c r="Q78" s="324">
        <v>361800</v>
      </c>
      <c r="R78" s="324">
        <v>766800</v>
      </c>
      <c r="S78" s="248"/>
      <c r="T78" s="371">
        <v>500000</v>
      </c>
      <c r="U78" s="248"/>
      <c r="V78" s="247"/>
      <c r="W78" s="324">
        <v>221040</v>
      </c>
      <c r="X78" s="341">
        <v>400000</v>
      </c>
      <c r="Y78" s="340">
        <f t="shared" si="20"/>
        <v>1082840</v>
      </c>
      <c r="Z78" s="344">
        <f t="shared" si="21"/>
        <v>0</v>
      </c>
      <c r="AA78" s="249"/>
      <c r="AB78" s="341">
        <v>7150000</v>
      </c>
      <c r="AC78" s="342">
        <f t="shared" si="22"/>
        <v>9236840</v>
      </c>
      <c r="AD78" s="341">
        <f t="shared" si="23"/>
        <v>8154000.0000000009</v>
      </c>
      <c r="AE78" s="295"/>
      <c r="AF78" s="156"/>
    </row>
    <row r="79" spans="1:33">
      <c r="A79" s="326">
        <f t="shared" si="24"/>
        <v>11</v>
      </c>
      <c r="B79" s="152"/>
      <c r="C79" s="624">
        <v>106032515850</v>
      </c>
      <c r="D79" s="46" t="s">
        <v>2111</v>
      </c>
      <c r="E79" s="47" t="s">
        <v>2115</v>
      </c>
      <c r="F79" s="126" t="s">
        <v>1300</v>
      </c>
      <c r="G79" s="167"/>
      <c r="H79" s="167"/>
      <c r="I79" s="167">
        <v>1</v>
      </c>
      <c r="J79" s="577">
        <v>820</v>
      </c>
      <c r="K79" s="559" t="s">
        <v>2112</v>
      </c>
      <c r="L79" s="170"/>
      <c r="M79" s="532" t="s">
        <v>418</v>
      </c>
      <c r="N79" s="482"/>
      <c r="O79" s="1997"/>
      <c r="P79" s="1543"/>
      <c r="Q79" s="324">
        <v>121235</v>
      </c>
      <c r="R79" s="248"/>
      <c r="S79" s="248"/>
      <c r="T79" s="371">
        <v>12300</v>
      </c>
      <c r="U79" s="248"/>
      <c r="V79" s="247"/>
      <c r="W79" s="248"/>
      <c r="X79" s="158"/>
      <c r="Y79" s="340">
        <f t="shared" si="20"/>
        <v>133535</v>
      </c>
      <c r="Z79" s="344">
        <f t="shared" si="21"/>
        <v>0</v>
      </c>
      <c r="AA79" s="391" t="s">
        <v>2101</v>
      </c>
      <c r="AB79" s="341">
        <v>3050000</v>
      </c>
      <c r="AC79" s="342">
        <f t="shared" si="22"/>
        <v>3427535</v>
      </c>
      <c r="AD79" s="341">
        <f t="shared" si="23"/>
        <v>3294000</v>
      </c>
      <c r="AE79" s="295"/>
      <c r="AF79" s="156"/>
    </row>
    <row r="80" spans="1:33" ht="26.4">
      <c r="A80" s="326">
        <f t="shared" si="24"/>
        <v>12</v>
      </c>
      <c r="B80" s="152"/>
      <c r="C80" s="623" t="s">
        <v>2123</v>
      </c>
      <c r="D80" s="46" t="s">
        <v>2124</v>
      </c>
      <c r="E80" s="47" t="s">
        <v>2125</v>
      </c>
      <c r="F80" s="126" t="s">
        <v>1300</v>
      </c>
      <c r="G80" s="167"/>
      <c r="H80" s="167">
        <v>1</v>
      </c>
      <c r="I80" s="167"/>
      <c r="J80" s="154">
        <v>24626</v>
      </c>
      <c r="K80" s="559" t="s">
        <v>2126</v>
      </c>
      <c r="L80" s="170" t="s">
        <v>2127</v>
      </c>
      <c r="M80" s="532" t="s">
        <v>418</v>
      </c>
      <c r="N80" s="482"/>
      <c r="O80" s="1997"/>
      <c r="P80" s="1543"/>
      <c r="Q80" s="324">
        <v>545400</v>
      </c>
      <c r="R80" s="324">
        <v>766800</v>
      </c>
      <c r="S80" s="248"/>
      <c r="T80" s="371">
        <v>500000</v>
      </c>
      <c r="U80" s="248"/>
      <c r="V80" s="247"/>
      <c r="W80" s="324">
        <v>332438</v>
      </c>
      <c r="X80" s="341">
        <v>400000</v>
      </c>
      <c r="Y80" s="340">
        <f t="shared" si="20"/>
        <v>1377838</v>
      </c>
      <c r="Z80" s="344">
        <f t="shared" si="21"/>
        <v>0</v>
      </c>
      <c r="AA80" s="249"/>
      <c r="AB80" s="341">
        <v>7150000</v>
      </c>
      <c r="AC80" s="342">
        <f t="shared" si="22"/>
        <v>9531838</v>
      </c>
      <c r="AD80" s="341">
        <f t="shared" si="23"/>
        <v>8154000.0000000009</v>
      </c>
      <c r="AE80" s="295"/>
      <c r="AF80" s="156"/>
    </row>
    <row r="81" spans="1:33" ht="22.5" customHeight="1">
      <c r="A81" s="3297" t="s">
        <v>2104</v>
      </c>
      <c r="B81" s="3298"/>
      <c r="C81" s="3298"/>
      <c r="D81" s="3298"/>
      <c r="E81" s="3298"/>
      <c r="F81" s="3298"/>
      <c r="G81" s="3298"/>
      <c r="H81" s="3298"/>
      <c r="I81" s="3298"/>
      <c r="J81" s="3298"/>
      <c r="K81" s="3298"/>
      <c r="L81" s="3298"/>
      <c r="M81" s="346"/>
      <c r="N81" s="482"/>
      <c r="O81" s="1997"/>
      <c r="P81" s="1543"/>
      <c r="Q81" s="486"/>
      <c r="R81" s="500"/>
      <c r="S81" s="486"/>
      <c r="T81" s="486"/>
      <c r="U81" s="486"/>
      <c r="V81" s="487"/>
      <c r="W81" s="486"/>
      <c r="X81" s="488">
        <f>SUM(X69:X77)</f>
        <v>3200000</v>
      </c>
      <c r="Y81" s="488">
        <f>SUM(Y69:Y77)</f>
        <v>5253297</v>
      </c>
      <c r="Z81" s="489">
        <f>SUM(Z69:Z77)</f>
        <v>0</v>
      </c>
      <c r="AA81" s="490"/>
      <c r="AB81" s="488">
        <f>SUM(AB69:AB77)</f>
        <v>55130000</v>
      </c>
      <c r="AC81" s="488">
        <f>SUM(AC69:AC77)</f>
        <v>68249697</v>
      </c>
      <c r="AD81" s="492">
        <f>SUM(AD69:AD77)</f>
        <v>62996400</v>
      </c>
      <c r="AE81" s="346"/>
      <c r="AF81" s="346"/>
      <c r="AG81" s="493"/>
    </row>
    <row r="82" spans="1:33">
      <c r="A82" s="326">
        <v>1</v>
      </c>
      <c r="B82" s="152"/>
      <c r="C82" s="626">
        <v>306102216510</v>
      </c>
      <c r="D82" s="46" t="s">
        <v>2044</v>
      </c>
      <c r="E82" s="179" t="s">
        <v>2225</v>
      </c>
      <c r="F82" s="126" t="s">
        <v>210</v>
      </c>
      <c r="G82" s="167">
        <v>1</v>
      </c>
      <c r="H82" s="167"/>
      <c r="I82" s="167"/>
      <c r="J82" s="154"/>
      <c r="K82" s="559">
        <v>2730284720</v>
      </c>
      <c r="L82" s="170" t="s">
        <v>2043</v>
      </c>
      <c r="M82" s="595"/>
      <c r="N82" s="482"/>
      <c r="O82" s="1997"/>
      <c r="P82" s="1543"/>
      <c r="Q82" s="248"/>
      <c r="R82" s="248"/>
      <c r="S82" s="248"/>
      <c r="T82" s="324">
        <v>60000</v>
      </c>
      <c r="U82" s="248"/>
      <c r="V82" s="247"/>
      <c r="W82" s="248"/>
      <c r="X82" s="158"/>
      <c r="Y82" s="340">
        <f>Q82+T82+U82+W82</f>
        <v>60000</v>
      </c>
      <c r="Z82" s="344">
        <f>+V82</f>
        <v>0</v>
      </c>
      <c r="AA82" s="544" t="s">
        <v>2166</v>
      </c>
      <c r="AB82" s="341">
        <v>800000</v>
      </c>
      <c r="AC82" s="342">
        <f>((AB82+X82)*1.08)+Y82</f>
        <v>924000</v>
      </c>
      <c r="AD82" s="341">
        <f>(AB82+X82)*1.08</f>
        <v>864000</v>
      </c>
      <c r="AE82" s="295"/>
      <c r="AF82" s="156"/>
    </row>
    <row r="83" spans="1:33" ht="26.4">
      <c r="A83" s="326">
        <f>+A82+1</f>
        <v>2</v>
      </c>
      <c r="B83" s="151"/>
      <c r="C83" s="626" t="s">
        <v>2198</v>
      </c>
      <c r="D83" s="46" t="s">
        <v>2195</v>
      </c>
      <c r="E83" s="47" t="s">
        <v>2199</v>
      </c>
      <c r="F83" s="126" t="s">
        <v>210</v>
      </c>
      <c r="G83" s="167"/>
      <c r="H83" s="167">
        <v>1</v>
      </c>
      <c r="I83" s="167"/>
      <c r="J83" s="154">
        <v>24924.83</v>
      </c>
      <c r="K83" s="559" t="s">
        <v>2196</v>
      </c>
      <c r="L83" s="170" t="s">
        <v>2197</v>
      </c>
      <c r="M83" s="170" t="s">
        <v>210</v>
      </c>
      <c r="N83" s="482"/>
      <c r="O83" s="1997"/>
      <c r="P83" s="1543"/>
      <c r="Q83" s="248"/>
      <c r="R83" s="373">
        <v>1300000</v>
      </c>
      <c r="S83" s="373">
        <v>766800</v>
      </c>
      <c r="T83" s="371">
        <v>500000</v>
      </c>
      <c r="U83" s="248">
        <v>1913703.7037037001</v>
      </c>
      <c r="V83" s="247"/>
      <c r="W83" s="248"/>
      <c r="X83" s="341">
        <v>400000</v>
      </c>
      <c r="Y83" s="340">
        <f>Q83+T83+U83+W83</f>
        <v>2413703.7037037001</v>
      </c>
      <c r="Z83" s="344">
        <f>+V83</f>
        <v>0</v>
      </c>
      <c r="AA83" s="249" t="s">
        <v>1416</v>
      </c>
      <c r="AB83" s="341">
        <v>7150000</v>
      </c>
      <c r="AC83" s="342">
        <f>((AB83+X83)*1.08)+Y83</f>
        <v>10567703.703703701</v>
      </c>
      <c r="AD83" s="341">
        <f>(AB83+X83)*1.08</f>
        <v>8154000.0000000009</v>
      </c>
      <c r="AE83" s="295"/>
      <c r="AF83" s="156"/>
    </row>
    <row r="84" spans="1:33">
      <c r="A84" s="326">
        <f>+A83+1</f>
        <v>3</v>
      </c>
      <c r="B84" s="152"/>
      <c r="C84" s="630">
        <v>106091541730</v>
      </c>
      <c r="D84" s="46" t="s">
        <v>2195</v>
      </c>
      <c r="E84" s="47" t="s">
        <v>2202</v>
      </c>
      <c r="F84" s="126" t="s">
        <v>1300</v>
      </c>
      <c r="G84" s="167"/>
      <c r="H84" s="167">
        <v>1</v>
      </c>
      <c r="I84" s="167"/>
      <c r="J84" s="154">
        <v>23620</v>
      </c>
      <c r="K84" s="559" t="s">
        <v>2201</v>
      </c>
      <c r="L84" s="170" t="s">
        <v>2200</v>
      </c>
      <c r="M84" s="170" t="s">
        <v>210</v>
      </c>
      <c r="N84" s="482"/>
      <c r="O84" s="1997"/>
      <c r="P84" s="1543"/>
      <c r="Q84" s="324">
        <f>671760</f>
        <v>671760</v>
      </c>
      <c r="R84" s="324">
        <f>766800+83160</f>
        <v>849960</v>
      </c>
      <c r="S84" s="373">
        <v>1250000</v>
      </c>
      <c r="T84" s="371">
        <v>500000</v>
      </c>
      <c r="U84" s="248">
        <v>1944407.40740741</v>
      </c>
      <c r="V84" s="247"/>
      <c r="W84" s="248"/>
      <c r="X84" s="158"/>
      <c r="Y84" s="340">
        <f>Q84+T84+U84+W84</f>
        <v>3116167.40740741</v>
      </c>
      <c r="Z84" s="344">
        <f>+V84</f>
        <v>0</v>
      </c>
      <c r="AA84" s="249"/>
      <c r="AB84" s="341">
        <v>7150000</v>
      </c>
      <c r="AC84" s="342">
        <f>((AB84+X84)*1.08)+Y84</f>
        <v>10838167.40740741</v>
      </c>
      <c r="AD84" s="341">
        <f>(AB84+X84)*1.08</f>
        <v>7722000.0000000009</v>
      </c>
      <c r="AE84" s="295"/>
      <c r="AF84" s="156"/>
    </row>
    <row r="85" spans="1:33">
      <c r="A85" s="326">
        <f>+A84+1</f>
        <v>4</v>
      </c>
      <c r="B85" s="152"/>
      <c r="C85" s="630">
        <v>106090494860</v>
      </c>
      <c r="D85" s="46" t="s">
        <v>2195</v>
      </c>
      <c r="E85" s="47" t="s">
        <v>2205</v>
      </c>
      <c r="F85" s="126" t="s">
        <v>1300</v>
      </c>
      <c r="G85" s="167">
        <v>1</v>
      </c>
      <c r="H85" s="167"/>
      <c r="I85" s="167"/>
      <c r="J85" s="154">
        <v>20446</v>
      </c>
      <c r="K85" s="559" t="s">
        <v>2203</v>
      </c>
      <c r="L85" s="170" t="s">
        <v>2204</v>
      </c>
      <c r="M85" s="170" t="s">
        <v>210</v>
      </c>
      <c r="N85" s="482"/>
      <c r="O85" s="1997"/>
      <c r="P85" s="1543"/>
      <c r="Q85" s="324">
        <f>393120+59400</f>
        <v>452520</v>
      </c>
      <c r="R85" s="324">
        <v>432000</v>
      </c>
      <c r="S85" s="373">
        <v>415800</v>
      </c>
      <c r="T85" s="371">
        <v>250000</v>
      </c>
      <c r="U85" s="248">
        <v>785000</v>
      </c>
      <c r="V85" s="247"/>
      <c r="W85" s="248"/>
      <c r="X85" s="158"/>
      <c r="Y85" s="340">
        <f>Q85+T85+U85+W85</f>
        <v>1487520</v>
      </c>
      <c r="Z85" s="344">
        <f>+V85</f>
        <v>0</v>
      </c>
      <c r="AA85" s="249"/>
      <c r="AB85" s="341">
        <v>6730000</v>
      </c>
      <c r="AC85" s="342">
        <f>((AB85+X85)*1.08)+Y85</f>
        <v>8755920</v>
      </c>
      <c r="AD85" s="341">
        <f>(AB85+X85)*1.08</f>
        <v>7268400.0000000009</v>
      </c>
      <c r="AE85" s="295"/>
      <c r="AF85" s="156"/>
    </row>
    <row r="86" spans="1:33" ht="39.6">
      <c r="A86" s="326">
        <f>+A85+1</f>
        <v>5</v>
      </c>
      <c r="B86" s="152"/>
      <c r="C86" s="631" t="s">
        <v>2207</v>
      </c>
      <c r="D86" s="46" t="s">
        <v>2195</v>
      </c>
      <c r="E86" s="47" t="s">
        <v>2208</v>
      </c>
      <c r="F86" s="126" t="s">
        <v>1300</v>
      </c>
      <c r="G86" s="167">
        <v>1</v>
      </c>
      <c r="H86" s="167"/>
      <c r="I86" s="167"/>
      <c r="J86" s="154">
        <v>20194</v>
      </c>
      <c r="K86" s="559" t="s">
        <v>2206</v>
      </c>
      <c r="L86" s="170" t="s">
        <v>2209</v>
      </c>
      <c r="M86" s="170" t="s">
        <v>210</v>
      </c>
      <c r="N86" s="482"/>
      <c r="O86" s="1997"/>
      <c r="P86" s="1543"/>
      <c r="Q86" s="324">
        <f>393120+59400</f>
        <v>452520</v>
      </c>
      <c r="R86" s="324">
        <v>432000</v>
      </c>
      <c r="S86" s="373">
        <v>415800</v>
      </c>
      <c r="T86" s="371">
        <v>250000</v>
      </c>
      <c r="U86" s="248">
        <v>785000</v>
      </c>
      <c r="V86" s="247"/>
      <c r="W86" s="248"/>
      <c r="X86" s="341">
        <v>800000</v>
      </c>
      <c r="Y86" s="340">
        <f>Q86+T86+U86+W86</f>
        <v>1487520</v>
      </c>
      <c r="Z86" s="344">
        <f>+V86</f>
        <v>0</v>
      </c>
      <c r="AA86" s="249"/>
      <c r="AB86" s="341">
        <v>6730000</v>
      </c>
      <c r="AC86" s="342">
        <f>((AB86+X86)*1.08)+Y86</f>
        <v>9619920</v>
      </c>
      <c r="AD86" s="341">
        <f>(AB86+X86)*1.08</f>
        <v>8132400.0000000009</v>
      </c>
      <c r="AE86" s="295"/>
      <c r="AF86" s="156"/>
    </row>
    <row r="87" spans="1:33" ht="22.5" customHeight="1">
      <c r="A87" s="3297" t="s">
        <v>2192</v>
      </c>
      <c r="B87" s="3298"/>
      <c r="C87" s="3298"/>
      <c r="D87" s="3298"/>
      <c r="E87" s="3298"/>
      <c r="F87" s="3298"/>
      <c r="G87" s="3298"/>
      <c r="H87" s="3298"/>
      <c r="I87" s="3298"/>
      <c r="J87" s="3298"/>
      <c r="K87" s="3298"/>
      <c r="L87" s="3298"/>
      <c r="M87" s="346"/>
      <c r="N87" s="346"/>
      <c r="O87" s="346"/>
      <c r="P87" s="346"/>
      <c r="Q87" s="486"/>
      <c r="R87" s="500"/>
      <c r="S87" s="486">
        <f>+T82+Q84+R84+Q85+R85+Q86+R86</f>
        <v>3350760</v>
      </c>
      <c r="T87" s="486"/>
      <c r="U87" s="486"/>
      <c r="V87" s="487"/>
      <c r="W87" s="486"/>
      <c r="X87" s="488">
        <f>SUM(X75:X83)</f>
        <v>5600000</v>
      </c>
      <c r="Y87" s="488">
        <f>SUM(Y82:Y86)</f>
        <v>8564911.1111111101</v>
      </c>
      <c r="Z87" s="489">
        <f>SUM(Z75:Z83)</f>
        <v>0</v>
      </c>
      <c r="AA87" s="490"/>
      <c r="AB87" s="488">
        <f>SUM(AB82:AB86)</f>
        <v>28560000</v>
      </c>
      <c r="AC87" s="488">
        <f>SUM(AC82:AC86)</f>
        <v>40705711.111111112</v>
      </c>
      <c r="AD87" s="492">
        <f>SUM(AD82:AD86)</f>
        <v>32140800</v>
      </c>
      <c r="AE87" s="346"/>
      <c r="AF87" s="346"/>
      <c r="AG87" s="493"/>
    </row>
    <row r="88" spans="1:33" ht="26.4">
      <c r="A88" s="326">
        <v>1</v>
      </c>
      <c r="B88" s="152"/>
      <c r="C88" s="626" t="s">
        <v>2224</v>
      </c>
      <c r="D88" s="46" t="s">
        <v>2214</v>
      </c>
      <c r="E88" s="47" t="s">
        <v>2243</v>
      </c>
      <c r="F88" s="126" t="s">
        <v>210</v>
      </c>
      <c r="G88" s="167">
        <v>1</v>
      </c>
      <c r="H88" s="167"/>
      <c r="I88" s="167"/>
      <c r="J88" s="154">
        <f>5497.49+9494.89</f>
        <v>14992.38</v>
      </c>
      <c r="K88" s="559" t="s">
        <v>2223</v>
      </c>
      <c r="L88" s="170" t="s">
        <v>2222</v>
      </c>
      <c r="M88" s="170" t="s">
        <v>210</v>
      </c>
      <c r="N88" s="170"/>
      <c r="O88" s="1516"/>
      <c r="P88" s="1516"/>
      <c r="Q88" s="248"/>
      <c r="R88" s="248"/>
      <c r="S88" s="248"/>
      <c r="T88" s="324">
        <v>250000</v>
      </c>
      <c r="U88" s="248"/>
      <c r="V88" s="247"/>
      <c r="W88" s="248"/>
      <c r="X88" s="341">
        <v>400000</v>
      </c>
      <c r="Y88" s="340">
        <f t="shared" ref="Y88:Y93" si="25">Q88+T88+U88+W88</f>
        <v>250000</v>
      </c>
      <c r="Z88" s="344">
        <f t="shared" ref="Z88:Z93" si="26">+V88</f>
        <v>0</v>
      </c>
      <c r="AA88" s="249" t="s">
        <v>1416</v>
      </c>
      <c r="AB88" s="341">
        <v>6180000</v>
      </c>
      <c r="AC88" s="342">
        <f t="shared" ref="AC88:AC93" si="27">((AB88+X88)*1.08)+Y88</f>
        <v>7356400.0000000009</v>
      </c>
      <c r="AD88" s="341">
        <f t="shared" ref="AD88:AD93" si="28">(AB88+X88)*1.08</f>
        <v>7106400.0000000009</v>
      </c>
      <c r="AE88" s="295"/>
      <c r="AF88" s="156"/>
    </row>
    <row r="89" spans="1:33" ht="26.4">
      <c r="A89" s="326">
        <f>+A88+1</f>
        <v>2</v>
      </c>
      <c r="B89" s="152"/>
      <c r="C89" s="626" t="s">
        <v>2232</v>
      </c>
      <c r="D89" s="46" t="s">
        <v>2214</v>
      </c>
      <c r="E89" s="47" t="s">
        <v>2244</v>
      </c>
      <c r="F89" s="126" t="s">
        <v>210</v>
      </c>
      <c r="G89" s="167">
        <v>1</v>
      </c>
      <c r="H89" s="167"/>
      <c r="I89" s="167"/>
      <c r="J89" s="154">
        <f>11057.95+3715.93</f>
        <v>14773.880000000001</v>
      </c>
      <c r="K89" s="559" t="s">
        <v>2233</v>
      </c>
      <c r="L89" s="170" t="s">
        <v>2234</v>
      </c>
      <c r="M89" s="170" t="s">
        <v>210</v>
      </c>
      <c r="N89" s="170"/>
      <c r="O89" s="1516"/>
      <c r="P89" s="1516"/>
      <c r="Q89" s="248"/>
      <c r="R89" s="248"/>
      <c r="S89" s="248"/>
      <c r="T89" s="324">
        <v>250000</v>
      </c>
      <c r="U89" s="248"/>
      <c r="V89" s="247"/>
      <c r="W89" s="248"/>
      <c r="X89" s="341">
        <v>400000</v>
      </c>
      <c r="Y89" s="340">
        <f t="shared" si="25"/>
        <v>250000</v>
      </c>
      <c r="Z89" s="344">
        <f t="shared" si="26"/>
        <v>0</v>
      </c>
      <c r="AA89" s="249" t="s">
        <v>1416</v>
      </c>
      <c r="AB89" s="341">
        <v>6180000</v>
      </c>
      <c r="AC89" s="342">
        <f t="shared" si="27"/>
        <v>7356400.0000000009</v>
      </c>
      <c r="AD89" s="341">
        <f t="shared" si="28"/>
        <v>7106400.0000000009</v>
      </c>
      <c r="AE89" s="295"/>
      <c r="AF89" s="156"/>
    </row>
    <row r="90" spans="1:33" ht="39.6">
      <c r="A90" s="326">
        <f>+A89+1</f>
        <v>3</v>
      </c>
      <c r="B90" s="152"/>
      <c r="C90" s="626" t="s">
        <v>2252</v>
      </c>
      <c r="D90" s="46">
        <v>45357</v>
      </c>
      <c r="E90" s="47" t="s">
        <v>2255</v>
      </c>
      <c r="F90" s="126" t="s">
        <v>210</v>
      </c>
      <c r="G90" s="167"/>
      <c r="H90" s="167">
        <v>1</v>
      </c>
      <c r="I90" s="167"/>
      <c r="J90" s="154">
        <f>20734.46+3847.2+28</f>
        <v>24609.66</v>
      </c>
      <c r="K90" s="559" t="s">
        <v>2253</v>
      </c>
      <c r="L90" s="170" t="s">
        <v>2256</v>
      </c>
      <c r="M90" s="533" t="s">
        <v>2254</v>
      </c>
      <c r="N90" s="170"/>
      <c r="O90" s="1516"/>
      <c r="P90" s="1516"/>
      <c r="Q90" s="248"/>
      <c r="R90" s="248"/>
      <c r="S90" s="248"/>
      <c r="T90" s="324">
        <v>500000</v>
      </c>
      <c r="U90" s="248"/>
      <c r="V90" s="247"/>
      <c r="W90" s="248"/>
      <c r="X90" s="341">
        <v>800000</v>
      </c>
      <c r="Y90" s="340">
        <f t="shared" si="25"/>
        <v>500000</v>
      </c>
      <c r="Z90" s="344">
        <f t="shared" si="26"/>
        <v>0</v>
      </c>
      <c r="AA90" s="249"/>
      <c r="AB90" s="341">
        <v>7100000</v>
      </c>
      <c r="AC90" s="342">
        <f t="shared" si="27"/>
        <v>9032000</v>
      </c>
      <c r="AD90" s="341">
        <f t="shared" si="28"/>
        <v>8532000</v>
      </c>
      <c r="AE90" s="295"/>
      <c r="AF90" s="156"/>
    </row>
    <row r="91" spans="1:33" ht="26.4">
      <c r="A91" s="326">
        <f>+A90+1</f>
        <v>4</v>
      </c>
      <c r="B91" s="152"/>
      <c r="C91" s="626" t="s">
        <v>2269</v>
      </c>
      <c r="D91" s="98" t="s">
        <v>2260</v>
      </c>
      <c r="E91" s="47" t="s">
        <v>2272</v>
      </c>
      <c r="F91" s="126" t="s">
        <v>210</v>
      </c>
      <c r="G91" s="167"/>
      <c r="H91" s="167">
        <v>1</v>
      </c>
      <c r="I91" s="167"/>
      <c r="J91" s="154">
        <f>17256+7024</f>
        <v>24280</v>
      </c>
      <c r="K91" s="559" t="s">
        <v>2270</v>
      </c>
      <c r="L91" s="170" t="s">
        <v>2271</v>
      </c>
      <c r="M91" s="170" t="s">
        <v>210</v>
      </c>
      <c r="N91" s="170"/>
      <c r="O91" s="1516"/>
      <c r="P91" s="1516"/>
      <c r="Q91" s="248"/>
      <c r="R91" s="248"/>
      <c r="S91" s="248"/>
      <c r="T91" s="324">
        <v>500000</v>
      </c>
      <c r="U91" s="248"/>
      <c r="V91" s="247"/>
      <c r="W91" s="248"/>
      <c r="X91" s="341">
        <v>400000</v>
      </c>
      <c r="Y91" s="340">
        <f t="shared" si="25"/>
        <v>500000</v>
      </c>
      <c r="Z91" s="344">
        <f t="shared" si="26"/>
        <v>0</v>
      </c>
      <c r="AA91" s="249"/>
      <c r="AB91" s="341">
        <v>7100000</v>
      </c>
      <c r="AC91" s="342">
        <f t="shared" si="27"/>
        <v>8600000</v>
      </c>
      <c r="AD91" s="341">
        <f t="shared" si="28"/>
        <v>8100000.0000000009</v>
      </c>
      <c r="AE91" s="295"/>
      <c r="AF91" s="156"/>
    </row>
    <row r="92" spans="1:33" ht="26.4">
      <c r="A92" s="326">
        <f>+A91+1</f>
        <v>5</v>
      </c>
      <c r="B92" s="638"/>
      <c r="C92" s="626" t="s">
        <v>2274</v>
      </c>
      <c r="D92" s="46" t="s">
        <v>2275</v>
      </c>
      <c r="E92" s="47" t="s">
        <v>2278</v>
      </c>
      <c r="F92" s="126" t="s">
        <v>210</v>
      </c>
      <c r="G92" s="167">
        <v>1</v>
      </c>
      <c r="H92" s="167"/>
      <c r="I92" s="167"/>
      <c r="J92" s="154">
        <f>3810+11150</f>
        <v>14960</v>
      </c>
      <c r="K92" s="559" t="s">
        <v>2276</v>
      </c>
      <c r="L92" s="170" t="s">
        <v>2277</v>
      </c>
      <c r="M92" s="170" t="s">
        <v>210</v>
      </c>
      <c r="N92" s="170"/>
      <c r="O92" s="1516"/>
      <c r="P92" s="1516"/>
      <c r="Q92" s="248"/>
      <c r="R92" s="248"/>
      <c r="S92" s="248"/>
      <c r="T92" s="324">
        <v>250000</v>
      </c>
      <c r="U92" s="248"/>
      <c r="V92" s="247"/>
      <c r="W92" s="248"/>
      <c r="X92" s="341">
        <v>400000</v>
      </c>
      <c r="Y92" s="340">
        <f t="shared" si="25"/>
        <v>250000</v>
      </c>
      <c r="Z92" s="344">
        <f t="shared" si="26"/>
        <v>0</v>
      </c>
      <c r="AA92" s="249" t="s">
        <v>1416</v>
      </c>
      <c r="AB92" s="341">
        <v>6180000</v>
      </c>
      <c r="AC92" s="342">
        <f t="shared" si="27"/>
        <v>7356400.0000000009</v>
      </c>
      <c r="AD92" s="341">
        <f t="shared" si="28"/>
        <v>7106400.0000000009</v>
      </c>
      <c r="AE92" s="295"/>
      <c r="AF92" s="156"/>
    </row>
    <row r="93" spans="1:33" ht="26.25" customHeight="1">
      <c r="A93" s="326">
        <f>+A92+1</f>
        <v>6</v>
      </c>
      <c r="B93" s="638"/>
      <c r="C93" s="626" t="s">
        <v>2286</v>
      </c>
      <c r="D93" s="46" t="s">
        <v>2282</v>
      </c>
      <c r="E93" s="47" t="s">
        <v>2289</v>
      </c>
      <c r="F93" s="126" t="s">
        <v>210</v>
      </c>
      <c r="G93" s="167"/>
      <c r="H93" s="167">
        <v>1</v>
      </c>
      <c r="I93" s="167"/>
      <c r="J93" s="154">
        <f>5970+18570</f>
        <v>24540</v>
      </c>
      <c r="K93" s="559" t="s">
        <v>2287</v>
      </c>
      <c r="L93" s="170" t="s">
        <v>2288</v>
      </c>
      <c r="M93" s="170" t="s">
        <v>210</v>
      </c>
      <c r="N93" s="170"/>
      <c r="O93" s="1516"/>
      <c r="P93" s="1516"/>
      <c r="Q93" s="248"/>
      <c r="R93" s="248"/>
      <c r="S93" s="248"/>
      <c r="T93" s="324">
        <v>500000</v>
      </c>
      <c r="U93" s="248"/>
      <c r="V93" s="247"/>
      <c r="W93" s="248"/>
      <c r="X93" s="341">
        <v>400000</v>
      </c>
      <c r="Y93" s="340">
        <f t="shared" si="25"/>
        <v>500000</v>
      </c>
      <c r="Z93" s="344">
        <f t="shared" si="26"/>
        <v>0</v>
      </c>
      <c r="AA93" s="249" t="s">
        <v>1416</v>
      </c>
      <c r="AB93" s="341">
        <v>7100000</v>
      </c>
      <c r="AC93" s="342">
        <f t="shared" si="27"/>
        <v>8600000</v>
      </c>
      <c r="AD93" s="341">
        <f t="shared" si="28"/>
        <v>8100000.0000000009</v>
      </c>
      <c r="AE93" s="295"/>
      <c r="AF93" s="156"/>
    </row>
    <row r="94" spans="1:33" ht="22.5" customHeight="1">
      <c r="A94" s="3297" t="s">
        <v>2293</v>
      </c>
      <c r="B94" s="3298"/>
      <c r="C94" s="3298"/>
      <c r="D94" s="3298"/>
      <c r="E94" s="3298"/>
      <c r="F94" s="3298"/>
      <c r="G94" s="3298"/>
      <c r="H94" s="3298"/>
      <c r="I94" s="3298"/>
      <c r="J94" s="3298"/>
      <c r="K94" s="3298"/>
      <c r="L94" s="3298"/>
      <c r="M94" s="346"/>
      <c r="N94" s="346"/>
      <c r="O94" s="346"/>
      <c r="P94" s="346"/>
      <c r="Q94" s="486"/>
      <c r="R94" s="500"/>
      <c r="S94" s="486"/>
      <c r="T94" s="486">
        <f>SUM(T88:T93)</f>
        <v>2250000</v>
      </c>
      <c r="U94" s="486"/>
      <c r="V94" s="487"/>
      <c r="W94" s="486"/>
      <c r="X94" s="488">
        <f>SUM(X88:X93)</f>
        <v>2800000</v>
      </c>
      <c r="Y94" s="488">
        <f>SUM(Y88:Y93)</f>
        <v>2250000</v>
      </c>
      <c r="Z94" s="489">
        <f>SUM(Z82:Z90)</f>
        <v>0</v>
      </c>
      <c r="AA94" s="490"/>
      <c r="AB94" s="488">
        <f>SUM(AB88:AB93)</f>
        <v>39840000</v>
      </c>
      <c r="AC94" s="488">
        <f>SUM(AC88:AC93)</f>
        <v>48301200</v>
      </c>
      <c r="AD94" s="492">
        <f>SUM(AD88:AD93)</f>
        <v>46051200</v>
      </c>
      <c r="AE94" s="346"/>
      <c r="AF94" s="346"/>
      <c r="AG94" s="493"/>
    </row>
    <row r="95" spans="1:33" ht="24.75" customHeight="1">
      <c r="A95" s="326">
        <v>1</v>
      </c>
      <c r="B95" s="152"/>
      <c r="C95" s="626" t="s">
        <v>2325</v>
      </c>
      <c r="D95" s="46" t="s">
        <v>2312</v>
      </c>
      <c r="E95" s="47" t="s">
        <v>2348</v>
      </c>
      <c r="F95" s="126" t="s">
        <v>210</v>
      </c>
      <c r="G95" s="167"/>
      <c r="H95" s="167">
        <v>1</v>
      </c>
      <c r="I95" s="167"/>
      <c r="J95" s="154">
        <f>18897+5465</f>
        <v>24362</v>
      </c>
      <c r="K95" s="559" t="s">
        <v>2326</v>
      </c>
      <c r="L95" s="170" t="s">
        <v>2327</v>
      </c>
      <c r="M95" s="170" t="s">
        <v>210</v>
      </c>
      <c r="N95" s="170"/>
      <c r="O95" s="1516"/>
      <c r="P95" s="1516"/>
      <c r="Q95" s="248"/>
      <c r="R95" s="248"/>
      <c r="S95" s="248"/>
      <c r="T95" s="371">
        <v>500000</v>
      </c>
      <c r="U95" s="248"/>
      <c r="V95" s="247"/>
      <c r="W95" s="248"/>
      <c r="X95" s="341">
        <v>400000</v>
      </c>
      <c r="Y95" s="340">
        <f t="shared" ref="Y95:Y105" si="29">Q95+T95+U95+W95</f>
        <v>500000</v>
      </c>
      <c r="Z95" s="344">
        <f t="shared" ref="Z95:Z105" si="30">+V95</f>
        <v>0</v>
      </c>
      <c r="AA95" s="249" t="s">
        <v>1416</v>
      </c>
      <c r="AB95" s="341">
        <v>7100000</v>
      </c>
      <c r="AC95" s="342">
        <f t="shared" ref="AC95:AC105" si="31">((AB95+X95)*1.08)+Y95</f>
        <v>8600000</v>
      </c>
      <c r="AD95" s="341">
        <f t="shared" ref="AD95:AD105" si="32">(AB95+X95)*1.08</f>
        <v>8100000.0000000009</v>
      </c>
      <c r="AE95" s="295"/>
      <c r="AF95" s="156"/>
    </row>
    <row r="96" spans="1:33" ht="26.4">
      <c r="A96" s="326">
        <f t="shared" ref="A96:A105" si="33">+A95+1</f>
        <v>2</v>
      </c>
      <c r="B96" s="152"/>
      <c r="C96" s="631" t="s">
        <v>2328</v>
      </c>
      <c r="D96" s="46" t="s">
        <v>2312</v>
      </c>
      <c r="E96" s="47" t="s">
        <v>2353</v>
      </c>
      <c r="F96" s="126" t="s">
        <v>1300</v>
      </c>
      <c r="G96" s="167"/>
      <c r="H96" s="167">
        <v>1</v>
      </c>
      <c r="I96" s="167"/>
      <c r="J96" s="154">
        <v>24951.5</v>
      </c>
      <c r="K96" s="559" t="s">
        <v>2330</v>
      </c>
      <c r="L96" s="170" t="s">
        <v>2329</v>
      </c>
      <c r="M96" s="532" t="s">
        <v>418</v>
      </c>
      <c r="N96" s="170"/>
      <c r="O96" s="1516"/>
      <c r="P96" s="1516"/>
      <c r="Q96" s="324">
        <v>545400</v>
      </c>
      <c r="R96" s="324">
        <v>766800</v>
      </c>
      <c r="S96" s="248"/>
      <c r="T96" s="371">
        <v>500000</v>
      </c>
      <c r="U96" s="248"/>
      <c r="V96" s="247"/>
      <c r="W96" s="324">
        <v>335745</v>
      </c>
      <c r="X96" s="341">
        <v>400000</v>
      </c>
      <c r="Y96" s="340">
        <f t="shared" si="29"/>
        <v>1381145</v>
      </c>
      <c r="Z96" s="344">
        <f t="shared" si="30"/>
        <v>0</v>
      </c>
      <c r="AA96" s="249"/>
      <c r="AB96" s="341">
        <f>7150000+505000</f>
        <v>7655000</v>
      </c>
      <c r="AC96" s="342">
        <f t="shared" si="31"/>
        <v>10080545</v>
      </c>
      <c r="AD96" s="341">
        <f t="shared" si="32"/>
        <v>8699400</v>
      </c>
      <c r="AE96" s="295"/>
      <c r="AF96" s="156"/>
    </row>
    <row r="97" spans="1:33" ht="26.4">
      <c r="A97" s="326">
        <f t="shared" si="33"/>
        <v>3</v>
      </c>
      <c r="B97" s="152"/>
      <c r="C97" s="626" t="s">
        <v>2349</v>
      </c>
      <c r="D97" s="46">
        <v>45384</v>
      </c>
      <c r="E97" s="47" t="s">
        <v>2352</v>
      </c>
      <c r="F97" s="126" t="s">
        <v>210</v>
      </c>
      <c r="G97" s="167"/>
      <c r="H97" s="167">
        <v>1</v>
      </c>
      <c r="I97" s="167"/>
      <c r="J97" s="154">
        <f>18169+6403.19</f>
        <v>24572.19</v>
      </c>
      <c r="K97" s="559" t="s">
        <v>2350</v>
      </c>
      <c r="L97" s="170" t="s">
        <v>2351</v>
      </c>
      <c r="M97" s="170" t="s">
        <v>210</v>
      </c>
      <c r="N97" s="170"/>
      <c r="O97" s="1516"/>
      <c r="P97" s="1516"/>
      <c r="Q97" s="248"/>
      <c r="R97" s="248"/>
      <c r="S97" s="248"/>
      <c r="T97" s="371">
        <v>500000</v>
      </c>
      <c r="U97" s="248"/>
      <c r="V97" s="247"/>
      <c r="W97" s="248"/>
      <c r="X97" s="341">
        <v>400000</v>
      </c>
      <c r="Y97" s="340">
        <f t="shared" si="29"/>
        <v>500000</v>
      </c>
      <c r="Z97" s="344">
        <f t="shared" si="30"/>
        <v>0</v>
      </c>
      <c r="AA97" s="249"/>
      <c r="AB97" s="341">
        <v>7100000</v>
      </c>
      <c r="AC97" s="342">
        <f t="shared" si="31"/>
        <v>8600000</v>
      </c>
      <c r="AD97" s="341">
        <f t="shared" si="32"/>
        <v>8100000.0000000009</v>
      </c>
      <c r="AE97" s="295"/>
      <c r="AF97" s="156"/>
    </row>
    <row r="98" spans="1:33" ht="26.4">
      <c r="A98" s="326">
        <f t="shared" si="33"/>
        <v>4</v>
      </c>
      <c r="B98" s="152"/>
      <c r="C98" s="631" t="s">
        <v>2377</v>
      </c>
      <c r="D98" s="46">
        <v>45386</v>
      </c>
      <c r="E98" s="47" t="s">
        <v>2380</v>
      </c>
      <c r="F98" s="126" t="s">
        <v>1300</v>
      </c>
      <c r="G98" s="167"/>
      <c r="H98" s="167">
        <v>1</v>
      </c>
      <c r="I98" s="167"/>
      <c r="J98" s="154">
        <v>24168.2</v>
      </c>
      <c r="K98" s="559" t="s">
        <v>2378</v>
      </c>
      <c r="L98" s="170" t="s">
        <v>2379</v>
      </c>
      <c r="M98" s="532" t="s">
        <v>418</v>
      </c>
      <c r="N98" s="170"/>
      <c r="O98" s="1516"/>
      <c r="P98" s="1516"/>
      <c r="Q98" s="324">
        <f>671760+83160</f>
        <v>754920</v>
      </c>
      <c r="R98" s="324">
        <v>766800</v>
      </c>
      <c r="S98" s="248"/>
      <c r="T98" s="371">
        <v>500000</v>
      </c>
      <c r="U98" s="248"/>
      <c r="V98" s="247"/>
      <c r="W98" s="248"/>
      <c r="X98" s="341">
        <v>400000</v>
      </c>
      <c r="Y98" s="340">
        <f t="shared" si="29"/>
        <v>1254920</v>
      </c>
      <c r="Z98" s="344">
        <f t="shared" si="30"/>
        <v>0</v>
      </c>
      <c r="AA98" s="249"/>
      <c r="AB98" s="341">
        <v>7150000</v>
      </c>
      <c r="AC98" s="342">
        <f t="shared" si="31"/>
        <v>9408920</v>
      </c>
      <c r="AD98" s="341">
        <f t="shared" si="32"/>
        <v>8154000.0000000009</v>
      </c>
      <c r="AE98" s="295"/>
      <c r="AF98" s="156"/>
    </row>
    <row r="99" spans="1:33">
      <c r="A99" s="326">
        <f t="shared" si="33"/>
        <v>5</v>
      </c>
      <c r="B99" s="152"/>
      <c r="C99" s="630">
        <v>106198224160</v>
      </c>
      <c r="D99" s="386" t="s">
        <v>2408</v>
      </c>
      <c r="E99" s="47" t="s">
        <v>2410</v>
      </c>
      <c r="F99" s="126" t="s">
        <v>1300</v>
      </c>
      <c r="G99" s="167"/>
      <c r="H99" s="167">
        <v>1</v>
      </c>
      <c r="I99" s="167"/>
      <c r="J99" s="154">
        <v>25112</v>
      </c>
      <c r="K99" s="559" t="s">
        <v>2409</v>
      </c>
      <c r="L99" s="170" t="s">
        <v>2411</v>
      </c>
      <c r="M99" s="170" t="s">
        <v>210</v>
      </c>
      <c r="N99" s="170"/>
      <c r="O99" s="1516"/>
      <c r="P99" s="1516"/>
      <c r="Q99" s="248"/>
      <c r="R99" s="324">
        <v>766800</v>
      </c>
      <c r="S99" s="248"/>
      <c r="T99" s="371">
        <v>500000</v>
      </c>
      <c r="U99" s="248"/>
      <c r="V99" s="247"/>
      <c r="W99" s="248"/>
      <c r="X99" s="158"/>
      <c r="Y99" s="340">
        <f t="shared" si="29"/>
        <v>500000</v>
      </c>
      <c r="Z99" s="344">
        <f t="shared" si="30"/>
        <v>0</v>
      </c>
      <c r="AA99" s="249"/>
      <c r="AB99" s="341">
        <v>7150000</v>
      </c>
      <c r="AC99" s="342">
        <f t="shared" si="31"/>
        <v>8222000.0000000009</v>
      </c>
      <c r="AD99" s="341">
        <f t="shared" si="32"/>
        <v>7722000.0000000009</v>
      </c>
      <c r="AE99" s="295"/>
      <c r="AF99" s="156"/>
    </row>
    <row r="100" spans="1:33">
      <c r="A100" s="326">
        <f t="shared" si="33"/>
        <v>6</v>
      </c>
      <c r="B100" s="152"/>
      <c r="C100" s="630">
        <v>106198404800</v>
      </c>
      <c r="D100" s="386" t="s">
        <v>2408</v>
      </c>
      <c r="E100" s="47" t="s">
        <v>2413</v>
      </c>
      <c r="F100" s="126" t="s">
        <v>1300</v>
      </c>
      <c r="G100" s="167"/>
      <c r="H100" s="167">
        <v>1</v>
      </c>
      <c r="I100" s="167"/>
      <c r="J100" s="154">
        <v>24863</v>
      </c>
      <c r="K100" s="559" t="s">
        <v>2412</v>
      </c>
      <c r="L100" s="170" t="s">
        <v>2414</v>
      </c>
      <c r="M100" s="170" t="s">
        <v>210</v>
      </c>
      <c r="N100" s="170"/>
      <c r="O100" s="1516"/>
      <c r="P100" s="1516"/>
      <c r="Q100" s="248"/>
      <c r="R100" s="324">
        <v>766800</v>
      </c>
      <c r="S100" s="248"/>
      <c r="T100" s="371">
        <v>500000</v>
      </c>
      <c r="U100" s="248"/>
      <c r="V100" s="247"/>
      <c r="W100" s="248"/>
      <c r="X100" s="158"/>
      <c r="Y100" s="340">
        <f t="shared" si="29"/>
        <v>500000</v>
      </c>
      <c r="Z100" s="344">
        <f t="shared" si="30"/>
        <v>0</v>
      </c>
      <c r="AA100" s="249"/>
      <c r="AB100" s="341">
        <v>7150000</v>
      </c>
      <c r="AC100" s="342">
        <f t="shared" si="31"/>
        <v>8222000.0000000009</v>
      </c>
      <c r="AD100" s="341">
        <f t="shared" si="32"/>
        <v>7722000.0000000009</v>
      </c>
      <c r="AE100" s="295"/>
      <c r="AF100" s="156"/>
    </row>
    <row r="101" spans="1:33" ht="26.4">
      <c r="A101" s="326">
        <f t="shared" si="33"/>
        <v>7</v>
      </c>
      <c r="B101" s="152"/>
      <c r="C101" s="626" t="s">
        <v>2416</v>
      </c>
      <c r="D101" s="386" t="s">
        <v>2423</v>
      </c>
      <c r="E101" s="47" t="s">
        <v>2415</v>
      </c>
      <c r="F101" s="126" t="s">
        <v>210</v>
      </c>
      <c r="G101" s="167"/>
      <c r="H101" s="167">
        <v>1</v>
      </c>
      <c r="I101" s="167"/>
      <c r="J101" s="154">
        <f>14478+9350</f>
        <v>23828</v>
      </c>
      <c r="K101" s="559" t="s">
        <v>2417</v>
      </c>
      <c r="L101" s="170" t="s">
        <v>2418</v>
      </c>
      <c r="M101" s="170" t="s">
        <v>210</v>
      </c>
      <c r="N101" s="170"/>
      <c r="O101" s="1516"/>
      <c r="P101" s="1516"/>
      <c r="Q101" s="248"/>
      <c r="R101" s="248"/>
      <c r="S101" s="248"/>
      <c r="T101" s="371">
        <v>500000</v>
      </c>
      <c r="U101" s="248"/>
      <c r="V101" s="247"/>
      <c r="W101" s="248"/>
      <c r="X101" s="341">
        <v>400000</v>
      </c>
      <c r="Y101" s="340">
        <f t="shared" si="29"/>
        <v>500000</v>
      </c>
      <c r="Z101" s="344">
        <f t="shared" si="30"/>
        <v>0</v>
      </c>
      <c r="AA101" s="249"/>
      <c r="AB101" s="341">
        <v>7100000</v>
      </c>
      <c r="AC101" s="342">
        <f t="shared" si="31"/>
        <v>8600000</v>
      </c>
      <c r="AD101" s="341">
        <f t="shared" si="32"/>
        <v>8100000.0000000009</v>
      </c>
      <c r="AE101" s="295"/>
      <c r="AF101" s="156"/>
    </row>
    <row r="102" spans="1:33" ht="26.4">
      <c r="A102" s="326">
        <f t="shared" si="33"/>
        <v>8</v>
      </c>
      <c r="B102" s="151"/>
      <c r="C102" s="626" t="s">
        <v>2419</v>
      </c>
      <c r="D102" s="386" t="s">
        <v>2423</v>
      </c>
      <c r="E102" s="47" t="s">
        <v>2421</v>
      </c>
      <c r="F102" s="126" t="s">
        <v>210</v>
      </c>
      <c r="G102" s="167">
        <v>1</v>
      </c>
      <c r="H102" s="167"/>
      <c r="I102" s="167"/>
      <c r="J102" s="154">
        <f>13946+400</f>
        <v>14346</v>
      </c>
      <c r="K102" s="559" t="s">
        <v>2420</v>
      </c>
      <c r="L102" s="170" t="s">
        <v>2422</v>
      </c>
      <c r="M102" s="170" t="s">
        <v>210</v>
      </c>
      <c r="N102" s="170"/>
      <c r="O102" s="1516"/>
      <c r="P102" s="1516"/>
      <c r="Q102" s="248"/>
      <c r="R102" s="248"/>
      <c r="S102" s="248"/>
      <c r="T102" s="371">
        <v>250000</v>
      </c>
      <c r="U102" s="248"/>
      <c r="V102" s="247"/>
      <c r="W102" s="248"/>
      <c r="X102" s="341">
        <v>400000</v>
      </c>
      <c r="Y102" s="340">
        <f t="shared" si="29"/>
        <v>250000</v>
      </c>
      <c r="Z102" s="344">
        <f t="shared" si="30"/>
        <v>0</v>
      </c>
      <c r="AA102" s="249"/>
      <c r="AB102" s="341">
        <v>6180000</v>
      </c>
      <c r="AC102" s="342">
        <f t="shared" si="31"/>
        <v>7356400.0000000009</v>
      </c>
      <c r="AD102" s="341">
        <f t="shared" si="32"/>
        <v>7106400.0000000009</v>
      </c>
      <c r="AE102" s="295"/>
      <c r="AF102" s="156"/>
    </row>
    <row r="103" spans="1:33" ht="26.4">
      <c r="A103" s="326">
        <f t="shared" si="33"/>
        <v>9</v>
      </c>
      <c r="C103" s="626" t="s">
        <v>2455</v>
      </c>
      <c r="D103" s="46" t="s">
        <v>2453</v>
      </c>
      <c r="E103" s="47" t="s">
        <v>2458</v>
      </c>
      <c r="F103" s="126" t="s">
        <v>210</v>
      </c>
      <c r="G103" s="167"/>
      <c r="H103" s="167">
        <v>1</v>
      </c>
      <c r="I103" s="167"/>
      <c r="J103" s="154">
        <f>19133+5548</f>
        <v>24681</v>
      </c>
      <c r="K103" s="559" t="s">
        <v>2456</v>
      </c>
      <c r="L103" s="170" t="s">
        <v>2457</v>
      </c>
      <c r="M103" s="170" t="s">
        <v>210</v>
      </c>
      <c r="N103" s="170"/>
      <c r="O103" s="1516"/>
      <c r="P103" s="1516"/>
      <c r="Q103" s="248"/>
      <c r="R103" s="248"/>
      <c r="S103" s="248"/>
      <c r="T103" s="371">
        <v>500000</v>
      </c>
      <c r="U103" s="248"/>
      <c r="V103" s="247"/>
      <c r="W103" s="248"/>
      <c r="X103" s="341">
        <v>400000</v>
      </c>
      <c r="Y103" s="340">
        <f t="shared" si="29"/>
        <v>500000</v>
      </c>
      <c r="Z103" s="344">
        <f t="shared" si="30"/>
        <v>0</v>
      </c>
      <c r="AA103" s="249" t="s">
        <v>1416</v>
      </c>
      <c r="AB103" s="341">
        <v>7100000</v>
      </c>
      <c r="AC103" s="342">
        <f t="shared" si="31"/>
        <v>8600000</v>
      </c>
      <c r="AD103" s="341">
        <f t="shared" si="32"/>
        <v>8100000.0000000009</v>
      </c>
    </row>
    <row r="104" spans="1:33" ht="26.4">
      <c r="A104" s="326">
        <f t="shared" si="33"/>
        <v>10</v>
      </c>
      <c r="C104" s="626" t="s">
        <v>2494</v>
      </c>
      <c r="D104" s="46" t="s">
        <v>2492</v>
      </c>
      <c r="E104" s="47" t="s">
        <v>2500</v>
      </c>
      <c r="F104" s="126" t="s">
        <v>210</v>
      </c>
      <c r="G104" s="167">
        <v>1</v>
      </c>
      <c r="H104" s="167"/>
      <c r="I104" s="167"/>
      <c r="J104" s="154">
        <f>4806.28+8833.27</f>
        <v>13639.55</v>
      </c>
      <c r="K104" s="559" t="s">
        <v>2493</v>
      </c>
      <c r="L104" s="170" t="s">
        <v>2495</v>
      </c>
      <c r="M104" s="170" t="s">
        <v>210</v>
      </c>
      <c r="N104" s="170"/>
      <c r="O104" s="1516"/>
      <c r="P104" s="1516"/>
      <c r="Q104" s="248"/>
      <c r="R104" s="248"/>
      <c r="S104" s="248"/>
      <c r="T104" s="324">
        <v>250000</v>
      </c>
      <c r="U104" s="248"/>
      <c r="V104" s="247"/>
      <c r="W104" s="248"/>
      <c r="X104" s="341">
        <v>400000</v>
      </c>
      <c r="Y104" s="340">
        <f t="shared" si="29"/>
        <v>250000</v>
      </c>
      <c r="Z104" s="344">
        <f t="shared" si="30"/>
        <v>0</v>
      </c>
      <c r="AA104" s="249" t="s">
        <v>1416</v>
      </c>
      <c r="AB104" s="341">
        <v>6180000</v>
      </c>
      <c r="AC104" s="342">
        <f t="shared" si="31"/>
        <v>7356400.0000000009</v>
      </c>
      <c r="AD104" s="341">
        <f t="shared" si="32"/>
        <v>7106400.0000000009</v>
      </c>
    </row>
    <row r="105" spans="1:33" ht="26.4">
      <c r="A105" s="326">
        <f t="shared" si="33"/>
        <v>11</v>
      </c>
      <c r="C105" s="626" t="s">
        <v>2496</v>
      </c>
      <c r="D105" s="46" t="s">
        <v>2492</v>
      </c>
      <c r="E105" s="47" t="s">
        <v>2499</v>
      </c>
      <c r="F105" s="126" t="s">
        <v>210</v>
      </c>
      <c r="G105" s="167">
        <v>1</v>
      </c>
      <c r="H105" s="167"/>
      <c r="I105" s="167"/>
      <c r="J105" s="154">
        <f>11606+2562</f>
        <v>14168</v>
      </c>
      <c r="K105" s="559" t="s">
        <v>2497</v>
      </c>
      <c r="L105" s="170" t="s">
        <v>2498</v>
      </c>
      <c r="M105" s="170" t="s">
        <v>210</v>
      </c>
      <c r="N105" s="170"/>
      <c r="O105" s="1516"/>
      <c r="P105" s="1516"/>
      <c r="Q105" s="248"/>
      <c r="R105" s="248"/>
      <c r="S105" s="248"/>
      <c r="T105" s="324">
        <v>250000</v>
      </c>
      <c r="U105" s="248"/>
      <c r="V105" s="247"/>
      <c r="W105" s="248"/>
      <c r="X105" s="341">
        <v>400000</v>
      </c>
      <c r="Y105" s="340">
        <f t="shared" si="29"/>
        <v>250000</v>
      </c>
      <c r="Z105" s="344">
        <f t="shared" si="30"/>
        <v>0</v>
      </c>
      <c r="AA105" s="249" t="s">
        <v>1416</v>
      </c>
      <c r="AB105" s="341">
        <v>6180000</v>
      </c>
      <c r="AC105" s="342">
        <f t="shared" si="31"/>
        <v>7356400.0000000009</v>
      </c>
      <c r="AD105" s="341">
        <f t="shared" si="32"/>
        <v>7106400.0000000009</v>
      </c>
    </row>
    <row r="106" spans="1:33" ht="22.5" customHeight="1">
      <c r="A106" s="3297" t="s">
        <v>2469</v>
      </c>
      <c r="B106" s="3298"/>
      <c r="C106" s="3298"/>
      <c r="D106" s="3298"/>
      <c r="E106" s="3298"/>
      <c r="F106" s="3298"/>
      <c r="G106" s="3298"/>
      <c r="H106" s="3298"/>
      <c r="I106" s="3298"/>
      <c r="J106" s="3298"/>
      <c r="K106" s="3298"/>
      <c r="L106" s="3298"/>
      <c r="M106" s="346"/>
      <c r="N106" s="346"/>
      <c r="O106" s="346"/>
      <c r="P106" s="346"/>
      <c r="Q106" s="486"/>
      <c r="R106" s="500"/>
      <c r="S106" s="486">
        <f>+Q96+R96+W96+Q98+R98+R99+R100+T104+T105</f>
        <v>5203265</v>
      </c>
      <c r="T106" s="486">
        <f>SUM(T95:T103)</f>
        <v>4250000</v>
      </c>
      <c r="U106" s="486"/>
      <c r="V106" s="487"/>
      <c r="W106" s="486"/>
      <c r="X106" s="488"/>
      <c r="Y106" s="488">
        <f>SUM(Y100:Y105)</f>
        <v>2250000</v>
      </c>
      <c r="Z106" s="489">
        <f>SUM(Z94:Z102)</f>
        <v>0</v>
      </c>
      <c r="AA106" s="490"/>
      <c r="AB106" s="488">
        <f>SUM(AB100:AB105)</f>
        <v>39890000</v>
      </c>
      <c r="AC106" s="488">
        <f>SUM(AC100:AC105)</f>
        <v>47491200</v>
      </c>
      <c r="AD106" s="492">
        <f>SUM(AD100:AD105)</f>
        <v>45241200.000000007</v>
      </c>
      <c r="AE106" s="346"/>
      <c r="AF106" s="346"/>
      <c r="AG106" s="493"/>
    </row>
    <row r="107" spans="1:33" ht="15.75" hidden="1" customHeight="1">
      <c r="A107" s="326">
        <v>1</v>
      </c>
      <c r="C107" s="630" t="s">
        <v>2550</v>
      </c>
      <c r="D107" s="46" t="s">
        <v>2503</v>
      </c>
      <c r="E107" s="47" t="s">
        <v>2510</v>
      </c>
      <c r="F107" s="126" t="s">
        <v>1300</v>
      </c>
      <c r="G107" s="167"/>
      <c r="H107" s="167">
        <v>1</v>
      </c>
      <c r="I107" s="167"/>
      <c r="J107" s="154">
        <v>24206</v>
      </c>
      <c r="K107" s="559" t="s">
        <v>2508</v>
      </c>
      <c r="L107" s="170" t="s">
        <v>2509</v>
      </c>
      <c r="M107" s="170" t="s">
        <v>210</v>
      </c>
      <c r="N107" s="170"/>
      <c r="O107" s="1516"/>
      <c r="P107" s="1516"/>
      <c r="Q107" s="248"/>
      <c r="R107" s="324">
        <v>766800</v>
      </c>
      <c r="S107" s="248"/>
      <c r="T107" s="371">
        <v>500000</v>
      </c>
      <c r="U107" s="248"/>
      <c r="V107" s="247"/>
      <c r="W107" s="248"/>
      <c r="X107" s="158"/>
      <c r="Y107" s="340">
        <f t="shared" ref="Y107:Y113" si="34">Q107+T107+U107+W107</f>
        <v>500000</v>
      </c>
      <c r="Z107" s="344">
        <f t="shared" ref="Z107:Z113" si="35">+V107</f>
        <v>0</v>
      </c>
      <c r="AA107" s="249"/>
      <c r="AB107" s="341">
        <v>7150000</v>
      </c>
      <c r="AC107" s="342">
        <f t="shared" ref="AC107:AC113" si="36">((AB107+X107)*1.08)+Y107</f>
        <v>8222000.0000000009</v>
      </c>
      <c r="AD107" s="341">
        <f t="shared" ref="AD107:AD113" si="37">(AB107+X107)*1.08</f>
        <v>7722000.0000000009</v>
      </c>
    </row>
    <row r="108" spans="1:33" ht="26.4">
      <c r="A108" s="326">
        <f t="shared" ref="A108:A113" si="38">+A107+1</f>
        <v>2</v>
      </c>
      <c r="C108" s="631" t="s">
        <v>2532</v>
      </c>
      <c r="D108" s="46">
        <v>45418</v>
      </c>
      <c r="E108" s="47" t="s">
        <v>2554</v>
      </c>
      <c r="F108" s="126" t="s">
        <v>1300</v>
      </c>
      <c r="G108" s="167"/>
      <c r="H108" s="167">
        <v>1</v>
      </c>
      <c r="I108" s="167"/>
      <c r="J108" s="154">
        <v>24882</v>
      </c>
      <c r="K108" s="559" t="s">
        <v>2533</v>
      </c>
      <c r="L108" s="170" t="s">
        <v>2534</v>
      </c>
      <c r="M108" s="532" t="s">
        <v>418</v>
      </c>
      <c r="N108" s="170"/>
      <c r="O108" s="1516"/>
      <c r="P108" s="1516"/>
      <c r="Q108" s="324">
        <v>545400</v>
      </c>
      <c r="R108" s="324">
        <v>766800</v>
      </c>
      <c r="S108" s="248"/>
      <c r="T108" s="371">
        <v>500000</v>
      </c>
      <c r="U108" s="248"/>
      <c r="V108" s="247"/>
      <c r="W108" s="324">
        <v>573143</v>
      </c>
      <c r="X108" s="341">
        <v>400000</v>
      </c>
      <c r="Y108" s="340">
        <f t="shared" si="34"/>
        <v>1618543</v>
      </c>
      <c r="Z108" s="344">
        <f t="shared" si="35"/>
        <v>0</v>
      </c>
      <c r="AA108" s="249"/>
      <c r="AB108" s="341">
        <v>7150000</v>
      </c>
      <c r="AC108" s="342">
        <f t="shared" si="36"/>
        <v>9772543</v>
      </c>
      <c r="AD108" s="341">
        <f t="shared" si="37"/>
        <v>8154000.0000000009</v>
      </c>
    </row>
    <row r="109" spans="1:33" ht="26.4">
      <c r="A109" s="326">
        <f t="shared" si="38"/>
        <v>3</v>
      </c>
      <c r="C109" s="626" t="s">
        <v>2551</v>
      </c>
      <c r="D109" s="46">
        <v>45420</v>
      </c>
      <c r="E109" s="47" t="s">
        <v>2555</v>
      </c>
      <c r="F109" s="126" t="s">
        <v>210</v>
      </c>
      <c r="G109" s="167"/>
      <c r="H109" s="167">
        <v>1</v>
      </c>
      <c r="I109" s="167"/>
      <c r="J109" s="154">
        <f>18652+5683</f>
        <v>24335</v>
      </c>
      <c r="K109" s="559" t="s">
        <v>2552</v>
      </c>
      <c r="L109" s="170" t="s">
        <v>2553</v>
      </c>
      <c r="M109" s="170" t="s">
        <v>210</v>
      </c>
      <c r="N109" s="170"/>
      <c r="O109" s="1516"/>
      <c r="P109" s="1516"/>
      <c r="Q109" s="248"/>
      <c r="R109" s="248"/>
      <c r="S109" s="248"/>
      <c r="T109" s="371">
        <v>500000</v>
      </c>
      <c r="U109" s="248"/>
      <c r="V109" s="247"/>
      <c r="W109" s="248"/>
      <c r="X109" s="341">
        <v>400000</v>
      </c>
      <c r="Y109" s="340">
        <f t="shared" si="34"/>
        <v>500000</v>
      </c>
      <c r="Z109" s="344">
        <f t="shared" si="35"/>
        <v>0</v>
      </c>
      <c r="AA109" s="249"/>
      <c r="AB109" s="341">
        <v>7100000</v>
      </c>
      <c r="AC109" s="342">
        <f t="shared" si="36"/>
        <v>8600000</v>
      </c>
      <c r="AD109" s="341">
        <f t="shared" si="37"/>
        <v>8100000.0000000009</v>
      </c>
    </row>
    <row r="110" spans="1:33" ht="26.4">
      <c r="A110" s="326">
        <f t="shared" si="38"/>
        <v>4</v>
      </c>
      <c r="C110" s="626" t="s">
        <v>2574</v>
      </c>
      <c r="D110" s="46" t="s">
        <v>2573</v>
      </c>
      <c r="E110" s="47" t="s">
        <v>2604</v>
      </c>
      <c r="F110" s="126" t="s">
        <v>210</v>
      </c>
      <c r="G110" s="167"/>
      <c r="H110" s="167">
        <v>1</v>
      </c>
      <c r="I110" s="167"/>
      <c r="J110" s="154">
        <f>11188+6280</f>
        <v>17468</v>
      </c>
      <c r="K110" s="559" t="s">
        <v>2575</v>
      </c>
      <c r="L110" s="170" t="s">
        <v>2576</v>
      </c>
      <c r="M110" s="170" t="s">
        <v>210</v>
      </c>
      <c r="N110" s="170"/>
      <c r="O110" s="1516"/>
      <c r="P110" s="1516"/>
      <c r="Q110" s="248"/>
      <c r="R110" s="248"/>
      <c r="S110" s="248"/>
      <c r="T110" s="371">
        <v>500000</v>
      </c>
      <c r="U110" s="248"/>
      <c r="V110" s="247"/>
      <c r="W110" s="248"/>
      <c r="X110" s="341">
        <v>400000</v>
      </c>
      <c r="Y110" s="340">
        <f t="shared" si="34"/>
        <v>500000</v>
      </c>
      <c r="Z110" s="344">
        <f t="shared" si="35"/>
        <v>0</v>
      </c>
      <c r="AA110" s="249"/>
      <c r="AB110" s="341">
        <v>6650000</v>
      </c>
      <c r="AC110" s="342">
        <f t="shared" si="36"/>
        <v>8114000.0000000009</v>
      </c>
      <c r="AD110" s="341">
        <f t="shared" si="37"/>
        <v>7614000.0000000009</v>
      </c>
    </row>
    <row r="111" spans="1:33" ht="26.4">
      <c r="A111" s="326">
        <f t="shared" si="38"/>
        <v>5</v>
      </c>
      <c r="C111" s="626" t="s">
        <v>2598</v>
      </c>
      <c r="D111" s="46" t="s">
        <v>2590</v>
      </c>
      <c r="E111" s="47" t="s">
        <v>2605</v>
      </c>
      <c r="F111" s="126" t="s">
        <v>210</v>
      </c>
      <c r="G111" s="167"/>
      <c r="H111" s="167"/>
      <c r="I111" s="167" t="s">
        <v>128</v>
      </c>
      <c r="J111" s="154">
        <f>402.3+248.1</f>
        <v>650.4</v>
      </c>
      <c r="K111" s="559" t="s">
        <v>2599</v>
      </c>
      <c r="L111" s="170"/>
      <c r="M111" s="170" t="s">
        <v>210</v>
      </c>
      <c r="N111" s="170"/>
      <c r="O111" s="1516"/>
      <c r="P111" s="1516"/>
      <c r="Q111" s="248"/>
      <c r="R111" s="248"/>
      <c r="S111" s="248"/>
      <c r="T111" s="248"/>
      <c r="U111" s="248"/>
      <c r="V111" s="247"/>
      <c r="W111" s="248"/>
      <c r="X111" s="341">
        <v>400000</v>
      </c>
      <c r="Y111" s="340">
        <f t="shared" si="34"/>
        <v>0</v>
      </c>
      <c r="Z111" s="344">
        <f t="shared" si="35"/>
        <v>0</v>
      </c>
      <c r="AA111" s="249" t="s">
        <v>1416</v>
      </c>
      <c r="AB111" s="341">
        <v>3050000</v>
      </c>
      <c r="AC111" s="342">
        <f t="shared" si="36"/>
        <v>3726000.0000000005</v>
      </c>
      <c r="AD111" s="341">
        <f t="shared" si="37"/>
        <v>3726000.0000000005</v>
      </c>
    </row>
    <row r="112" spans="1:33" ht="26.4">
      <c r="A112" s="326">
        <f t="shared" si="38"/>
        <v>6</v>
      </c>
      <c r="C112" s="626" t="s">
        <v>2602</v>
      </c>
      <c r="D112" s="46" t="s">
        <v>2600</v>
      </c>
      <c r="E112" s="47" t="s">
        <v>2606</v>
      </c>
      <c r="F112" s="126" t="s">
        <v>210</v>
      </c>
      <c r="G112" s="167"/>
      <c r="H112" s="167">
        <v>1</v>
      </c>
      <c r="I112" s="167"/>
      <c r="J112" s="154">
        <v>28607.439999999999</v>
      </c>
      <c r="K112" s="559" t="s">
        <v>2601</v>
      </c>
      <c r="L112" s="170" t="s">
        <v>2603</v>
      </c>
      <c r="M112" s="170" t="s">
        <v>210</v>
      </c>
      <c r="N112" s="170"/>
      <c r="O112" s="1516"/>
      <c r="P112" s="1516"/>
      <c r="Q112" s="248"/>
      <c r="R112" s="248"/>
      <c r="S112" s="248"/>
      <c r="T112" s="371">
        <v>500000</v>
      </c>
      <c r="U112" s="248"/>
      <c r="V112" s="247"/>
      <c r="W112" s="248"/>
      <c r="X112" s="341">
        <v>400000</v>
      </c>
      <c r="Y112" s="340">
        <f t="shared" si="34"/>
        <v>500000</v>
      </c>
      <c r="Z112" s="344">
        <f t="shared" si="35"/>
        <v>0</v>
      </c>
      <c r="AA112" s="249" t="s">
        <v>1416</v>
      </c>
      <c r="AB112" s="341">
        <v>7100000</v>
      </c>
      <c r="AC112" s="342">
        <f t="shared" si="36"/>
        <v>8600000</v>
      </c>
      <c r="AD112" s="341">
        <f t="shared" si="37"/>
        <v>8100000.0000000009</v>
      </c>
    </row>
    <row r="113" spans="1:33">
      <c r="A113" s="326">
        <f t="shared" si="38"/>
        <v>7</v>
      </c>
      <c r="C113" s="630" t="s">
        <v>2610</v>
      </c>
      <c r="D113" s="46" t="s">
        <v>2611</v>
      </c>
      <c r="E113" s="47" t="s">
        <v>2614</v>
      </c>
      <c r="F113" s="126" t="s">
        <v>1300</v>
      </c>
      <c r="G113" s="167"/>
      <c r="H113" s="167">
        <v>1</v>
      </c>
      <c r="I113" s="167"/>
      <c r="J113" s="154">
        <v>24323</v>
      </c>
      <c r="K113" s="559" t="s">
        <v>2612</v>
      </c>
      <c r="L113" s="170" t="s">
        <v>2613</v>
      </c>
      <c r="M113" s="532" t="s">
        <v>418</v>
      </c>
      <c r="N113" s="170"/>
      <c r="O113" s="1516"/>
      <c r="P113" s="1516"/>
      <c r="Q113" s="248"/>
      <c r="R113" s="324">
        <v>766800</v>
      </c>
      <c r="S113" s="248"/>
      <c r="T113" s="371">
        <v>500000</v>
      </c>
      <c r="U113" s="248"/>
      <c r="V113" s="247"/>
      <c r="W113" s="248"/>
      <c r="X113" s="158"/>
      <c r="Y113" s="340">
        <f t="shared" si="34"/>
        <v>500000</v>
      </c>
      <c r="Z113" s="344">
        <f t="shared" si="35"/>
        <v>0</v>
      </c>
      <c r="AA113" s="249"/>
      <c r="AB113" s="341">
        <v>7100000</v>
      </c>
      <c r="AC113" s="342">
        <f t="shared" si="36"/>
        <v>8168000.0000000009</v>
      </c>
      <c r="AD113" s="341">
        <f t="shared" si="37"/>
        <v>7668000.0000000009</v>
      </c>
    </row>
    <row r="114" spans="1:33" ht="22.5" customHeight="1">
      <c r="A114" s="3297" t="s">
        <v>2586</v>
      </c>
      <c r="B114" s="3298"/>
      <c r="C114" s="3298"/>
      <c r="D114" s="3298"/>
      <c r="E114" s="3298"/>
      <c r="F114" s="3298"/>
      <c r="G114" s="3298"/>
      <c r="H114" s="3298"/>
      <c r="I114" s="3298"/>
      <c r="J114" s="3298"/>
      <c r="K114" s="3298"/>
      <c r="L114" s="3298"/>
      <c r="M114" s="346"/>
      <c r="N114" s="346"/>
      <c r="O114" s="346"/>
      <c r="P114" s="346"/>
      <c r="Q114" s="486"/>
      <c r="R114" s="500"/>
      <c r="S114" s="486">
        <f>+R107+Q108+R108+W108+R113</f>
        <v>3418943</v>
      </c>
      <c r="T114" s="486">
        <f>SUM(T107:T113)</f>
        <v>3000000</v>
      </c>
      <c r="U114" s="486"/>
      <c r="V114" s="487"/>
      <c r="W114" s="486"/>
      <c r="X114" s="488"/>
      <c r="Y114" s="488">
        <f>SUM(Y108:Y113)</f>
        <v>3618543</v>
      </c>
      <c r="Z114" s="489">
        <f>SUM(Z102:Z110)</f>
        <v>0</v>
      </c>
      <c r="AA114" s="490"/>
      <c r="AB114" s="488">
        <f>SUM(AB108:AB113)</f>
        <v>38150000</v>
      </c>
      <c r="AC114" s="488">
        <f>SUM(AC108:AC113)</f>
        <v>46980543</v>
      </c>
      <c r="AD114" s="492">
        <f>SUM(AD108:AD113)</f>
        <v>43362000.000000007</v>
      </c>
      <c r="AE114" s="346"/>
      <c r="AF114" s="346"/>
      <c r="AG114" s="493"/>
    </row>
    <row r="115" spans="1:33" ht="26.4">
      <c r="A115" s="326">
        <v>1</v>
      </c>
      <c r="C115" s="626" t="s">
        <v>2640</v>
      </c>
      <c r="D115" s="46" t="s">
        <v>2629</v>
      </c>
      <c r="E115" s="47" t="s">
        <v>2677</v>
      </c>
      <c r="F115" s="126" t="s">
        <v>210</v>
      </c>
      <c r="G115" s="167"/>
      <c r="H115" s="167">
        <v>1</v>
      </c>
      <c r="I115" s="167"/>
      <c r="J115" s="154">
        <f>18110.19+6739.52</f>
        <v>24849.71</v>
      </c>
      <c r="K115" s="559" t="s">
        <v>2641</v>
      </c>
      <c r="L115" s="170" t="s">
        <v>2642</v>
      </c>
      <c r="M115" s="170" t="s">
        <v>210</v>
      </c>
      <c r="N115" s="170"/>
      <c r="O115" s="1516"/>
      <c r="P115" s="1516"/>
      <c r="Q115" s="248"/>
      <c r="R115" s="248"/>
      <c r="S115" s="248"/>
      <c r="T115" s="371">
        <v>500000</v>
      </c>
      <c r="U115" s="248"/>
      <c r="V115" s="247"/>
      <c r="W115" s="248"/>
      <c r="X115" s="341">
        <v>400000</v>
      </c>
      <c r="Y115" s="340">
        <f t="shared" ref="Y115:Y122" si="39">Q115+T115+U115+W115</f>
        <v>500000</v>
      </c>
      <c r="Z115" s="344">
        <f t="shared" ref="Z115:Z122" si="40">+V115</f>
        <v>0</v>
      </c>
      <c r="AA115" s="249" t="s">
        <v>1416</v>
      </c>
      <c r="AB115" s="341">
        <v>7100000</v>
      </c>
      <c r="AC115" s="342">
        <f t="shared" ref="AC115:AC122" si="41">((AB115+X115)*1.08)+Y115</f>
        <v>8600000</v>
      </c>
      <c r="AD115" s="341">
        <f t="shared" ref="AD115:AD122" si="42">(AB115+X115)*1.08</f>
        <v>8100000.0000000009</v>
      </c>
    </row>
    <row r="116" spans="1:33" ht="28.5" customHeight="1">
      <c r="A116" s="326">
        <f>+A117+1</f>
        <v>3</v>
      </c>
      <c r="C116" s="631" t="s">
        <v>2754</v>
      </c>
      <c r="D116" s="46" t="s">
        <v>2633</v>
      </c>
      <c r="E116" s="47" t="s">
        <v>2678</v>
      </c>
      <c r="F116" s="126" t="s">
        <v>1300</v>
      </c>
      <c r="G116" s="167"/>
      <c r="H116" s="167">
        <v>1</v>
      </c>
      <c r="I116" s="167"/>
      <c r="J116" s="154">
        <v>24053</v>
      </c>
      <c r="K116" s="559" t="s">
        <v>2680</v>
      </c>
      <c r="L116" s="170" t="s">
        <v>2679</v>
      </c>
      <c r="M116" s="532" t="s">
        <v>418</v>
      </c>
      <c r="N116" s="170"/>
      <c r="O116" s="1516"/>
      <c r="P116" s="1516"/>
      <c r="Q116" s="324">
        <v>545400</v>
      </c>
      <c r="R116" s="324">
        <v>766800</v>
      </c>
      <c r="S116" s="248"/>
      <c r="T116" s="371">
        <v>500000</v>
      </c>
      <c r="U116" s="248"/>
      <c r="V116" s="247"/>
      <c r="W116" s="324">
        <v>458100</v>
      </c>
      <c r="X116" s="341">
        <v>400000</v>
      </c>
      <c r="Y116" s="340">
        <f t="shared" si="39"/>
        <v>1503500</v>
      </c>
      <c r="Z116" s="344">
        <f t="shared" si="40"/>
        <v>0</v>
      </c>
      <c r="AA116" s="249"/>
      <c r="AB116" s="341">
        <v>7150000</v>
      </c>
      <c r="AC116" s="342">
        <f t="shared" si="41"/>
        <v>9657500</v>
      </c>
      <c r="AD116" s="341">
        <f t="shared" si="42"/>
        <v>8154000.0000000009</v>
      </c>
    </row>
    <row r="117" spans="1:33" ht="26.4">
      <c r="A117" s="326">
        <f>+A115+1</f>
        <v>2</v>
      </c>
      <c r="C117" s="626" t="s">
        <v>2673</v>
      </c>
      <c r="D117" s="46">
        <v>45448</v>
      </c>
      <c r="E117" s="47" t="s">
        <v>2675</v>
      </c>
      <c r="F117" s="126" t="s">
        <v>210</v>
      </c>
      <c r="G117" s="167"/>
      <c r="H117" s="167">
        <v>1</v>
      </c>
      <c r="I117" s="167"/>
      <c r="J117" s="154">
        <f>7790.44+16476.09</f>
        <v>24266.53</v>
      </c>
      <c r="K117" s="559" t="s">
        <v>2674</v>
      </c>
      <c r="L117" s="170" t="s">
        <v>2664</v>
      </c>
      <c r="M117" s="533" t="s">
        <v>136</v>
      </c>
      <c r="N117" s="170"/>
      <c r="O117" s="1516"/>
      <c r="P117" s="1516"/>
      <c r="Q117" s="248"/>
      <c r="R117" s="248"/>
      <c r="S117" s="248"/>
      <c r="T117" s="371">
        <v>500000</v>
      </c>
      <c r="U117" s="248"/>
      <c r="V117" s="247"/>
      <c r="W117" s="324">
        <v>475000</v>
      </c>
      <c r="X117" s="341">
        <v>400000</v>
      </c>
      <c r="Y117" s="340">
        <f t="shared" si="39"/>
        <v>975000</v>
      </c>
      <c r="Z117" s="344">
        <f t="shared" si="40"/>
        <v>0</v>
      </c>
      <c r="AA117" s="249"/>
      <c r="AB117" s="341">
        <v>7100000</v>
      </c>
      <c r="AC117" s="342">
        <f t="shared" si="41"/>
        <v>9075000</v>
      </c>
      <c r="AD117" s="341">
        <f t="shared" si="42"/>
        <v>8100000.0000000009</v>
      </c>
    </row>
    <row r="118" spans="1:33" ht="26.4">
      <c r="A118" s="326">
        <f>+A116+1</f>
        <v>4</v>
      </c>
      <c r="B118" s="639" t="s">
        <v>2692</v>
      </c>
      <c r="C118" s="635" t="s">
        <v>2696</v>
      </c>
      <c r="D118" s="46" t="s">
        <v>2692</v>
      </c>
      <c r="E118" s="47" t="s">
        <v>2695</v>
      </c>
      <c r="F118" s="126" t="s">
        <v>210</v>
      </c>
      <c r="G118" s="167"/>
      <c r="H118" s="167">
        <v>1</v>
      </c>
      <c r="I118" s="167"/>
      <c r="J118" s="154">
        <v>23474.370000000003</v>
      </c>
      <c r="K118" s="559" t="s">
        <v>2691</v>
      </c>
      <c r="L118" s="170" t="s">
        <v>2697</v>
      </c>
      <c r="M118" s="595" t="s">
        <v>210</v>
      </c>
      <c r="N118" s="170"/>
      <c r="O118" s="1516"/>
      <c r="P118" s="1516"/>
      <c r="Q118" s="248"/>
      <c r="R118" s="248"/>
      <c r="S118" s="248"/>
      <c r="T118" s="371">
        <v>500000</v>
      </c>
      <c r="U118" s="248"/>
      <c r="V118" s="247"/>
      <c r="W118" s="248"/>
      <c r="X118" s="341">
        <v>400000</v>
      </c>
      <c r="Y118" s="340">
        <f t="shared" si="39"/>
        <v>500000</v>
      </c>
      <c r="Z118" s="344">
        <f t="shared" si="40"/>
        <v>0</v>
      </c>
      <c r="AA118" s="249"/>
      <c r="AB118" s="341">
        <v>7100000</v>
      </c>
      <c r="AC118" s="342">
        <f t="shared" si="41"/>
        <v>8600000</v>
      </c>
      <c r="AD118" s="341">
        <f t="shared" si="42"/>
        <v>8100000.0000000009</v>
      </c>
    </row>
    <row r="119" spans="1:33" ht="27.75" customHeight="1">
      <c r="A119" s="326">
        <f>+A118+1</f>
        <v>5</v>
      </c>
      <c r="B119" s="98" t="s">
        <v>2698</v>
      </c>
      <c r="C119" s="631" t="s">
        <v>2714</v>
      </c>
      <c r="D119" s="46" t="s">
        <v>2688</v>
      </c>
      <c r="E119" s="47" t="s">
        <v>2723</v>
      </c>
      <c r="F119" s="126" t="s">
        <v>1300</v>
      </c>
      <c r="G119" s="167"/>
      <c r="H119" s="167">
        <v>1</v>
      </c>
      <c r="I119" s="167"/>
      <c r="J119" s="154">
        <v>24688.5</v>
      </c>
      <c r="K119" s="559" t="s">
        <v>2708</v>
      </c>
      <c r="L119" s="170" t="s">
        <v>2707</v>
      </c>
      <c r="M119" s="532" t="s">
        <v>418</v>
      </c>
      <c r="N119" s="170"/>
      <c r="O119" s="1516"/>
      <c r="P119" s="1516"/>
      <c r="Q119" s="324">
        <v>361800</v>
      </c>
      <c r="R119" s="324">
        <v>766800</v>
      </c>
      <c r="S119" s="248"/>
      <c r="T119" s="371">
        <v>500000</v>
      </c>
      <c r="U119" s="248"/>
      <c r="V119" s="247"/>
      <c r="W119" s="248"/>
      <c r="X119" s="341">
        <v>400000</v>
      </c>
      <c r="Y119" s="340">
        <f t="shared" si="39"/>
        <v>861800</v>
      </c>
      <c r="Z119" s="344">
        <f t="shared" si="40"/>
        <v>0</v>
      </c>
      <c r="AA119" s="249"/>
      <c r="AB119" s="341">
        <v>7150000</v>
      </c>
      <c r="AC119" s="342">
        <f t="shared" si="41"/>
        <v>9015800</v>
      </c>
      <c r="AD119" s="341">
        <f t="shared" si="42"/>
        <v>8154000.0000000009</v>
      </c>
    </row>
    <row r="120" spans="1:33" ht="26.4">
      <c r="A120" s="326">
        <f>+A119+1</f>
        <v>6</v>
      </c>
      <c r="B120" s="98" t="s">
        <v>2698</v>
      </c>
      <c r="C120" s="626" t="s">
        <v>2720</v>
      </c>
      <c r="D120" s="46" t="s">
        <v>2698</v>
      </c>
      <c r="E120" s="47" t="s">
        <v>2722</v>
      </c>
      <c r="F120" s="126" t="s">
        <v>210</v>
      </c>
      <c r="G120" s="167">
        <v>1</v>
      </c>
      <c r="H120" s="167"/>
      <c r="I120" s="167"/>
      <c r="J120" s="641">
        <v>14558.86</v>
      </c>
      <c r="K120" s="559" t="s">
        <v>2712</v>
      </c>
      <c r="L120" s="170" t="s">
        <v>2721</v>
      </c>
      <c r="M120" s="595" t="s">
        <v>210</v>
      </c>
      <c r="N120" s="170"/>
      <c r="O120" s="1516"/>
      <c r="P120" s="1516"/>
      <c r="Q120" s="248"/>
      <c r="R120" s="248"/>
      <c r="S120" s="248"/>
      <c r="T120" s="371">
        <v>250000</v>
      </c>
      <c r="U120" s="248"/>
      <c r="V120" s="247"/>
      <c r="W120" s="248"/>
      <c r="X120" s="341">
        <v>400000</v>
      </c>
      <c r="Y120" s="340">
        <f t="shared" si="39"/>
        <v>250000</v>
      </c>
      <c r="Z120" s="344">
        <f t="shared" si="40"/>
        <v>0</v>
      </c>
      <c r="AA120" s="249" t="s">
        <v>1416</v>
      </c>
      <c r="AB120" s="341">
        <v>6180000</v>
      </c>
      <c r="AC120" s="342">
        <f t="shared" si="41"/>
        <v>7356400.0000000009</v>
      </c>
      <c r="AD120" s="341">
        <f t="shared" si="42"/>
        <v>7106400.0000000009</v>
      </c>
    </row>
    <row r="121" spans="1:33" ht="26.4">
      <c r="A121" s="326">
        <f>+A120+1</f>
        <v>7</v>
      </c>
      <c r="B121" s="98" t="s">
        <v>2698</v>
      </c>
      <c r="C121" s="626" t="s">
        <v>2717</v>
      </c>
      <c r="D121" s="46" t="s">
        <v>2698</v>
      </c>
      <c r="E121" s="47" t="s">
        <v>2719</v>
      </c>
      <c r="F121" s="126" t="s">
        <v>210</v>
      </c>
      <c r="G121" s="167">
        <v>1</v>
      </c>
      <c r="H121" s="167"/>
      <c r="I121" s="167"/>
      <c r="J121" s="641">
        <v>14492.529999999999</v>
      </c>
      <c r="K121" s="559" t="s">
        <v>2713</v>
      </c>
      <c r="L121" s="170" t="s">
        <v>2718</v>
      </c>
      <c r="M121" s="595" t="s">
        <v>210</v>
      </c>
      <c r="N121" s="170"/>
      <c r="O121" s="1516"/>
      <c r="P121" s="1516"/>
      <c r="Q121" s="248"/>
      <c r="R121" s="248"/>
      <c r="S121" s="248"/>
      <c r="T121" s="371">
        <v>250000</v>
      </c>
      <c r="U121" s="248"/>
      <c r="V121" s="247"/>
      <c r="W121" s="248"/>
      <c r="X121" s="341">
        <v>400000</v>
      </c>
      <c r="Y121" s="340">
        <f t="shared" si="39"/>
        <v>250000</v>
      </c>
      <c r="Z121" s="344">
        <f t="shared" si="40"/>
        <v>0</v>
      </c>
      <c r="AA121" s="249" t="s">
        <v>1416</v>
      </c>
      <c r="AB121" s="341">
        <v>6180000</v>
      </c>
      <c r="AC121" s="342">
        <f t="shared" si="41"/>
        <v>7356400.0000000009</v>
      </c>
      <c r="AD121" s="341">
        <f t="shared" si="42"/>
        <v>7106400.0000000009</v>
      </c>
    </row>
    <row r="122" spans="1:33">
      <c r="A122" s="326">
        <f>+A121+1</f>
        <v>8</v>
      </c>
      <c r="B122" s="98" t="s">
        <v>2729</v>
      </c>
      <c r="C122" s="626" t="s">
        <v>2730</v>
      </c>
      <c r="D122" s="98" t="s">
        <v>2729</v>
      </c>
      <c r="E122" s="47" t="s">
        <v>2734</v>
      </c>
      <c r="F122" s="126" t="s">
        <v>210</v>
      </c>
      <c r="G122" s="167"/>
      <c r="H122" s="167"/>
      <c r="I122" s="167" t="s">
        <v>128</v>
      </c>
      <c r="J122" s="154">
        <v>85</v>
      </c>
      <c r="K122" s="559" t="s">
        <v>2731</v>
      </c>
      <c r="L122" s="170"/>
      <c r="M122" s="595" t="s">
        <v>210</v>
      </c>
      <c r="N122" s="170"/>
      <c r="O122" s="1516"/>
      <c r="P122" s="1516"/>
      <c r="Q122" s="248"/>
      <c r="R122" s="248"/>
      <c r="S122" s="248"/>
      <c r="T122" s="248"/>
      <c r="U122" s="248"/>
      <c r="V122" s="247"/>
      <c r="W122" s="248"/>
      <c r="X122" s="158"/>
      <c r="Y122" s="340">
        <f t="shared" si="39"/>
        <v>0</v>
      </c>
      <c r="Z122" s="344">
        <f t="shared" si="40"/>
        <v>0</v>
      </c>
      <c r="AA122" s="249" t="s">
        <v>1416</v>
      </c>
      <c r="AB122" s="341">
        <v>2930000</v>
      </c>
      <c r="AC122" s="342">
        <f t="shared" si="41"/>
        <v>3164400</v>
      </c>
      <c r="AD122" s="341">
        <f t="shared" si="42"/>
        <v>3164400</v>
      </c>
    </row>
    <row r="123" spans="1:33">
      <c r="A123" s="3297" t="s">
        <v>2756</v>
      </c>
      <c r="B123" s="3298"/>
      <c r="C123" s="3298"/>
      <c r="D123" s="3298"/>
      <c r="E123" s="3298"/>
      <c r="F123" s="3298"/>
      <c r="G123" s="3298"/>
      <c r="H123" s="3298"/>
      <c r="I123" s="3298"/>
      <c r="J123" s="3298"/>
      <c r="K123" s="3298"/>
      <c r="L123" s="3298"/>
      <c r="M123" s="346"/>
      <c r="N123" s="346"/>
      <c r="O123" s="346"/>
      <c r="P123" s="346"/>
      <c r="Q123" s="486"/>
      <c r="R123" s="500"/>
      <c r="S123" s="486">
        <f>+Q116+R116+Q119+R119+W117+W116</f>
        <v>3373900</v>
      </c>
      <c r="T123" s="486">
        <f>SUM(T115:T122)</f>
        <v>3000000</v>
      </c>
      <c r="U123" s="486"/>
      <c r="V123" s="487"/>
      <c r="W123" s="486"/>
      <c r="X123" s="488"/>
      <c r="Y123" s="488">
        <f>SUM(Y116:Y122)</f>
        <v>4340300</v>
      </c>
      <c r="Z123" s="489">
        <f>SUM(Z111:Z119)</f>
        <v>0</v>
      </c>
      <c r="AA123" s="490"/>
      <c r="AB123" s="488">
        <f>SUM(AB116:AB122)</f>
        <v>43790000</v>
      </c>
      <c r="AC123" s="488">
        <f>SUM(AC116:AC122)</f>
        <v>54225500</v>
      </c>
      <c r="AD123" s="492">
        <f>SUM(AD116:AD122)</f>
        <v>49885200.000000007</v>
      </c>
    </row>
    <row r="124" spans="1:33" ht="26.4">
      <c r="A124" s="326">
        <v>1</v>
      </c>
      <c r="B124" s="98" t="s">
        <v>2753</v>
      </c>
      <c r="C124" s="635" t="s">
        <v>2767</v>
      </c>
      <c r="D124" s="46" t="s">
        <v>2753</v>
      </c>
      <c r="E124" s="47" t="s">
        <v>2822</v>
      </c>
      <c r="F124" s="126" t="s">
        <v>210</v>
      </c>
      <c r="G124" s="167"/>
      <c r="H124" s="167">
        <v>1</v>
      </c>
      <c r="I124" s="167"/>
      <c r="J124" s="652">
        <v>28332.7</v>
      </c>
      <c r="K124" s="559" t="s">
        <v>2755</v>
      </c>
      <c r="L124" s="170" t="s">
        <v>2769</v>
      </c>
      <c r="M124" s="595" t="s">
        <v>210</v>
      </c>
      <c r="N124" s="477" t="s">
        <v>2759</v>
      </c>
      <c r="O124" s="1506"/>
      <c r="P124" s="1506"/>
      <c r="Q124" s="248"/>
      <c r="R124" s="248"/>
      <c r="S124" s="248"/>
      <c r="T124" s="371">
        <v>500000</v>
      </c>
      <c r="U124" s="248"/>
      <c r="V124" s="247"/>
      <c r="W124" s="248"/>
      <c r="X124" s="341">
        <v>400000</v>
      </c>
      <c r="Y124" s="340">
        <f t="shared" ref="Y124:Y136" si="43">Q124+T124+U124+W124</f>
        <v>500000</v>
      </c>
      <c r="Z124" s="344">
        <f t="shared" ref="Z124:Z136" si="44">+V124</f>
        <v>0</v>
      </c>
      <c r="AA124" s="249"/>
      <c r="AB124" s="341">
        <f>7100000+190000</f>
        <v>7290000</v>
      </c>
      <c r="AC124" s="342">
        <f t="shared" ref="AC124:AC136" si="45">((AB124+X124)*1.08)+Y124</f>
        <v>8805200</v>
      </c>
      <c r="AD124" s="341">
        <f t="shared" ref="AD124:AD136" si="46">(AB124+X124)*1.08</f>
        <v>8305200.0000000009</v>
      </c>
    </row>
    <row r="125" spans="1:33" ht="26.4">
      <c r="A125" s="326">
        <f>+A124+1</f>
        <v>2</v>
      </c>
      <c r="B125" s="98" t="s">
        <v>2779</v>
      </c>
      <c r="C125" s="627" t="s">
        <v>2781</v>
      </c>
      <c r="D125" s="46" t="s">
        <v>2779</v>
      </c>
      <c r="E125" s="47" t="s">
        <v>2823</v>
      </c>
      <c r="F125" s="126" t="s">
        <v>210</v>
      </c>
      <c r="G125" s="167"/>
      <c r="H125" s="167"/>
      <c r="I125" s="167">
        <v>1</v>
      </c>
      <c r="J125" s="154">
        <v>4423</v>
      </c>
      <c r="K125" s="559" t="s">
        <v>2780</v>
      </c>
      <c r="L125" s="170"/>
      <c r="M125" s="595" t="s">
        <v>210</v>
      </c>
      <c r="N125" s="477" t="s">
        <v>2782</v>
      </c>
      <c r="O125" s="1506"/>
      <c r="P125" s="1506"/>
      <c r="Q125" s="248"/>
      <c r="R125" s="248"/>
      <c r="S125" s="248"/>
      <c r="T125" s="371">
        <v>62631</v>
      </c>
      <c r="U125" s="248"/>
      <c r="V125" s="247"/>
      <c r="W125" s="248"/>
      <c r="X125" s="341">
        <v>400000</v>
      </c>
      <c r="Y125" s="340">
        <f t="shared" si="43"/>
        <v>62631</v>
      </c>
      <c r="Z125" s="344">
        <f t="shared" si="44"/>
        <v>0</v>
      </c>
      <c r="AA125" s="249" t="s">
        <v>2951</v>
      </c>
      <c r="AB125" s="341">
        <f>674000*8</f>
        <v>5392000</v>
      </c>
      <c r="AC125" s="342">
        <f t="shared" si="45"/>
        <v>6317991</v>
      </c>
      <c r="AD125" s="341">
        <f t="shared" si="46"/>
        <v>6255360</v>
      </c>
    </row>
    <row r="126" spans="1:33">
      <c r="A126" s="326">
        <v>3</v>
      </c>
      <c r="B126" s="46">
        <v>45419</v>
      </c>
      <c r="C126" s="627" t="s">
        <v>2817</v>
      </c>
      <c r="D126" s="46">
        <v>45478</v>
      </c>
      <c r="E126" s="47" t="s">
        <v>2824</v>
      </c>
      <c r="F126" s="126" t="s">
        <v>210</v>
      </c>
      <c r="G126" s="167"/>
      <c r="H126" s="167"/>
      <c r="I126" s="167">
        <v>1</v>
      </c>
      <c r="J126" s="154">
        <v>1608</v>
      </c>
      <c r="K126" s="559" t="s">
        <v>2804</v>
      </c>
      <c r="L126" s="170"/>
      <c r="M126" s="595" t="s">
        <v>210</v>
      </c>
      <c r="N126" s="477" t="s">
        <v>2805</v>
      </c>
      <c r="O126" s="1506"/>
      <c r="P126" s="1506"/>
      <c r="Q126" s="248"/>
      <c r="R126" s="248"/>
      <c r="S126" s="248"/>
      <c r="T126" s="371">
        <v>24120</v>
      </c>
      <c r="U126" s="248"/>
      <c r="V126" s="247"/>
      <c r="W126" s="248"/>
      <c r="X126" s="158"/>
      <c r="Y126" s="340">
        <f t="shared" si="43"/>
        <v>24120</v>
      </c>
      <c r="Z126" s="344">
        <f t="shared" si="44"/>
        <v>0</v>
      </c>
      <c r="AA126" s="249"/>
      <c r="AB126" s="341">
        <v>3250000</v>
      </c>
      <c r="AC126" s="342">
        <f t="shared" si="45"/>
        <v>3534120</v>
      </c>
      <c r="AD126" s="341">
        <f t="shared" si="46"/>
        <v>3510000</v>
      </c>
    </row>
    <row r="127" spans="1:33" ht="39.6">
      <c r="A127" s="326">
        <f>+A126+1</f>
        <v>4</v>
      </c>
      <c r="B127" s="46">
        <v>45542</v>
      </c>
      <c r="C127" s="631" t="s">
        <v>2834</v>
      </c>
      <c r="D127" s="46">
        <v>45478</v>
      </c>
      <c r="E127" s="47" t="s">
        <v>2825</v>
      </c>
      <c r="F127" s="693" t="s">
        <v>1300</v>
      </c>
      <c r="G127" s="167"/>
      <c r="H127" s="167">
        <v>2</v>
      </c>
      <c r="I127" s="167"/>
      <c r="J127" s="154">
        <f>47780/2</f>
        <v>23890</v>
      </c>
      <c r="K127" s="559" t="s">
        <v>2809</v>
      </c>
      <c r="L127" s="170" t="s">
        <v>2810</v>
      </c>
      <c r="M127" s="595" t="s">
        <v>210</v>
      </c>
      <c r="N127" s="477"/>
      <c r="O127" s="1506"/>
      <c r="P127" s="1506"/>
      <c r="Q127" s="324">
        <v>723600</v>
      </c>
      <c r="R127" s="324">
        <v>1533600</v>
      </c>
      <c r="S127" s="248"/>
      <c r="T127" s="371">
        <v>1000000</v>
      </c>
      <c r="U127" s="248"/>
      <c r="V127" s="247"/>
      <c r="W127" s="248"/>
      <c r="X127" s="341">
        <v>800000</v>
      </c>
      <c r="Y127" s="340">
        <f t="shared" si="43"/>
        <v>1723600</v>
      </c>
      <c r="Z127" s="344">
        <f t="shared" si="44"/>
        <v>0</v>
      </c>
      <c r="AA127" s="249"/>
      <c r="AB127" s="341">
        <f>7150000*2-(1500000)</f>
        <v>12800000</v>
      </c>
      <c r="AC127" s="342">
        <f t="shared" si="45"/>
        <v>16411600.000000002</v>
      </c>
      <c r="AD127" s="341">
        <f t="shared" si="46"/>
        <v>14688000.000000002</v>
      </c>
    </row>
    <row r="128" spans="1:33" ht="26.4">
      <c r="A128" s="326">
        <f>+A127+1</f>
        <v>5</v>
      </c>
      <c r="B128" s="46">
        <v>45511</v>
      </c>
      <c r="C128" s="627" t="s">
        <v>2833</v>
      </c>
      <c r="D128" s="386" t="s">
        <v>2806</v>
      </c>
      <c r="E128" s="47" t="s">
        <v>2832</v>
      </c>
      <c r="F128" s="126" t="s">
        <v>210</v>
      </c>
      <c r="G128" s="167"/>
      <c r="H128" s="167">
        <v>1</v>
      </c>
      <c r="I128" s="167"/>
      <c r="J128" s="154">
        <v>28438</v>
      </c>
      <c r="K128" s="559" t="s">
        <v>2802</v>
      </c>
      <c r="L128" s="170" t="s">
        <v>2831</v>
      </c>
      <c r="M128" s="595" t="s">
        <v>210</v>
      </c>
      <c r="N128" s="477" t="s">
        <v>2803</v>
      </c>
      <c r="O128" s="1506"/>
      <c r="P128" s="1506"/>
      <c r="Q128" s="248"/>
      <c r="R128" s="248"/>
      <c r="S128" s="248"/>
      <c r="T128" s="371">
        <v>500000</v>
      </c>
      <c r="U128" s="248"/>
      <c r="V128" s="247"/>
      <c r="W128" s="248"/>
      <c r="X128" s="341">
        <v>400000</v>
      </c>
      <c r="Y128" s="340">
        <f t="shared" si="43"/>
        <v>500000</v>
      </c>
      <c r="Z128" s="344">
        <f t="shared" si="44"/>
        <v>0</v>
      </c>
      <c r="AA128" s="249"/>
      <c r="AB128" s="341">
        <v>7100000</v>
      </c>
      <c r="AC128" s="342">
        <f t="shared" si="45"/>
        <v>8600000</v>
      </c>
      <c r="AD128" s="341">
        <f t="shared" si="46"/>
        <v>8100000.0000000009</v>
      </c>
    </row>
    <row r="129" spans="1:33" ht="26.4">
      <c r="A129" s="326">
        <v>6</v>
      </c>
      <c r="B129" s="331">
        <v>45542</v>
      </c>
      <c r="C129" s="701" t="s">
        <v>2841</v>
      </c>
      <c r="D129" s="669" t="s">
        <v>2812</v>
      </c>
      <c r="E129" s="332" t="s">
        <v>2842</v>
      </c>
      <c r="F129" s="444" t="s">
        <v>210</v>
      </c>
      <c r="G129" s="167"/>
      <c r="H129" s="167"/>
      <c r="I129" s="167">
        <v>1</v>
      </c>
      <c r="J129" s="127"/>
      <c r="K129" s="1570" t="s">
        <v>2835</v>
      </c>
      <c r="L129" s="1671"/>
      <c r="M129" s="595" t="s">
        <v>210</v>
      </c>
      <c r="N129" s="657" t="s">
        <v>2836</v>
      </c>
      <c r="O129" s="1998"/>
      <c r="P129" s="1544"/>
      <c r="Q129" s="409"/>
      <c r="R129" s="409"/>
      <c r="S129" s="409"/>
      <c r="T129" s="371">
        <v>75999</v>
      </c>
      <c r="U129" s="409"/>
      <c r="V129" s="410"/>
      <c r="W129" s="409"/>
      <c r="X129" s="341">
        <v>400000</v>
      </c>
      <c r="Y129" s="340">
        <f t="shared" si="43"/>
        <v>75999</v>
      </c>
      <c r="Z129" s="344">
        <f t="shared" si="44"/>
        <v>0</v>
      </c>
      <c r="AA129" s="249" t="s">
        <v>2977</v>
      </c>
      <c r="AB129" s="341">
        <f>674000*8</f>
        <v>5392000</v>
      </c>
      <c r="AC129" s="342">
        <f t="shared" si="45"/>
        <v>6331359</v>
      </c>
      <c r="AD129" s="341">
        <f t="shared" si="46"/>
        <v>6255360</v>
      </c>
    </row>
    <row r="130" spans="1:33" s="666" customFormat="1" ht="52.8">
      <c r="A130" s="98">
        <v>7</v>
      </c>
      <c r="B130" s="673" t="s">
        <v>2899</v>
      </c>
      <c r="C130" s="703" t="s">
        <v>3027</v>
      </c>
      <c r="D130" s="671" t="s">
        <v>2847</v>
      </c>
      <c r="E130" s="47" t="s">
        <v>2910</v>
      </c>
      <c r="F130" s="166" t="s">
        <v>1300</v>
      </c>
      <c r="G130" s="87"/>
      <c r="H130" s="98">
        <v>1</v>
      </c>
      <c r="I130" s="87"/>
      <c r="J130" s="667">
        <v>18891</v>
      </c>
      <c r="K130" s="1574" t="s">
        <v>2837</v>
      </c>
      <c r="L130" s="1804" t="s">
        <v>2838</v>
      </c>
      <c r="M130" s="533" t="s">
        <v>136</v>
      </c>
      <c r="N130" s="668">
        <v>45572</v>
      </c>
      <c r="O130" s="1545"/>
      <c r="P130" s="1545"/>
      <c r="Q130" s="324">
        <v>629640</v>
      </c>
      <c r="R130" s="324">
        <v>766800</v>
      </c>
      <c r="S130" s="248"/>
      <c r="T130" s="371">
        <v>500000</v>
      </c>
      <c r="U130" s="248"/>
      <c r="V130" s="247"/>
      <c r="W130" s="700">
        <v>70000</v>
      </c>
      <c r="X130" s="341">
        <v>1200000</v>
      </c>
      <c r="Y130" s="340">
        <f t="shared" si="43"/>
        <v>1199640</v>
      </c>
      <c r="Z130" s="344">
        <f t="shared" si="44"/>
        <v>0</v>
      </c>
      <c r="AA130" s="391" t="s">
        <v>2101</v>
      </c>
      <c r="AB130" s="341">
        <v>7050000</v>
      </c>
      <c r="AC130" s="342">
        <f t="shared" si="45"/>
        <v>10109640</v>
      </c>
      <c r="AD130" s="341">
        <f t="shared" si="46"/>
        <v>8910000</v>
      </c>
      <c r="AE130" s="87"/>
      <c r="AF130" s="87"/>
      <c r="AG130" s="46"/>
    </row>
    <row r="131" spans="1:33" ht="26.4">
      <c r="A131" s="658">
        <v>8</v>
      </c>
      <c r="B131" s="659" t="s">
        <v>2845</v>
      </c>
      <c r="C131" s="702" t="s">
        <v>2881</v>
      </c>
      <c r="D131" s="684" t="s">
        <v>2882</v>
      </c>
      <c r="E131" s="660" t="s">
        <v>2888</v>
      </c>
      <c r="F131" s="661" t="s">
        <v>210</v>
      </c>
      <c r="G131" s="445"/>
      <c r="H131" s="445">
        <v>1</v>
      </c>
      <c r="I131" s="445"/>
      <c r="J131" s="686">
        <v>24806.98</v>
      </c>
      <c r="K131" s="1575" t="s">
        <v>2851</v>
      </c>
      <c r="L131" s="740" t="s">
        <v>2861</v>
      </c>
      <c r="M131" s="685" t="s">
        <v>210</v>
      </c>
      <c r="N131" s="581" t="s">
        <v>2811</v>
      </c>
      <c r="O131" s="581"/>
      <c r="P131" s="581"/>
      <c r="Q131" s="425"/>
      <c r="R131" s="425"/>
      <c r="S131" s="425"/>
      <c r="T131" s="371">
        <v>500000</v>
      </c>
      <c r="U131" s="425"/>
      <c r="V131" s="426"/>
      <c r="W131" s="425"/>
      <c r="X131" s="341">
        <v>400000</v>
      </c>
      <c r="Y131" s="662">
        <f t="shared" si="43"/>
        <v>500000</v>
      </c>
      <c r="Z131" s="663">
        <f t="shared" si="44"/>
        <v>0</v>
      </c>
      <c r="AA131" s="398"/>
      <c r="AB131" s="341">
        <v>7100000</v>
      </c>
      <c r="AC131" s="665">
        <f t="shared" si="45"/>
        <v>8600000</v>
      </c>
      <c r="AD131" s="664">
        <f t="shared" si="46"/>
        <v>8100000.0000000009</v>
      </c>
    </row>
    <row r="132" spans="1:33" ht="26.4">
      <c r="A132" s="326">
        <v>9</v>
      </c>
      <c r="B132" s="673" t="s">
        <v>2887</v>
      </c>
      <c r="C132" s="627" t="s">
        <v>2927</v>
      </c>
      <c r="D132" s="386" t="s">
        <v>2887</v>
      </c>
      <c r="E132" s="47" t="s">
        <v>2928</v>
      </c>
      <c r="F132" s="126" t="s">
        <v>210</v>
      </c>
      <c r="G132" s="167">
        <v>1</v>
      </c>
      <c r="H132" s="167"/>
      <c r="I132" s="167"/>
      <c r="J132" s="641">
        <v>14796.23</v>
      </c>
      <c r="K132" s="559" t="s">
        <v>2859</v>
      </c>
      <c r="L132" s="170" t="s">
        <v>2917</v>
      </c>
      <c r="M132" s="685" t="s">
        <v>210</v>
      </c>
      <c r="N132" s="477" t="s">
        <v>2919</v>
      </c>
      <c r="O132" s="1506"/>
      <c r="P132" s="1506"/>
      <c r="Q132" s="248"/>
      <c r="R132" s="248"/>
      <c r="S132" s="248"/>
      <c r="T132" s="371">
        <v>250000</v>
      </c>
      <c r="U132" s="248"/>
      <c r="V132" s="247"/>
      <c r="W132" s="248"/>
      <c r="X132" s="341">
        <v>400000</v>
      </c>
      <c r="Y132" s="662">
        <f t="shared" si="43"/>
        <v>250000</v>
      </c>
      <c r="Z132" s="663">
        <f t="shared" si="44"/>
        <v>0</v>
      </c>
      <c r="AA132" s="249"/>
      <c r="AB132" s="664">
        <v>6180000</v>
      </c>
      <c r="AC132" s="665">
        <f t="shared" si="45"/>
        <v>7356400.0000000009</v>
      </c>
      <c r="AD132" s="664">
        <f t="shared" si="46"/>
        <v>7106400.0000000009</v>
      </c>
    </row>
    <row r="133" spans="1:33" ht="26.4">
      <c r="A133" s="658">
        <v>10</v>
      </c>
      <c r="B133" s="673" t="s">
        <v>2887</v>
      </c>
      <c r="C133" s="627" t="s">
        <v>2958</v>
      </c>
      <c r="D133" s="386" t="s">
        <v>2887</v>
      </c>
      <c r="E133" s="47" t="s">
        <v>2929</v>
      </c>
      <c r="F133" s="126" t="s">
        <v>210</v>
      </c>
      <c r="G133" s="167"/>
      <c r="H133" s="167">
        <v>1</v>
      </c>
      <c r="I133" s="167"/>
      <c r="J133" s="641">
        <v>24846.47</v>
      </c>
      <c r="K133" s="559" t="s">
        <v>2860</v>
      </c>
      <c r="L133" s="170" t="s">
        <v>2918</v>
      </c>
      <c r="M133" s="685" t="s">
        <v>210</v>
      </c>
      <c r="N133" s="477" t="s">
        <v>2919</v>
      </c>
      <c r="O133" s="1506"/>
      <c r="P133" s="1506"/>
      <c r="Q133" s="248"/>
      <c r="R133" s="248"/>
      <c r="S133" s="248"/>
      <c r="T133" s="371">
        <v>500000</v>
      </c>
      <c r="U133" s="248"/>
      <c r="V133" s="247"/>
      <c r="W133" s="248"/>
      <c r="X133" s="341">
        <v>400000</v>
      </c>
      <c r="Y133" s="662">
        <f t="shared" si="43"/>
        <v>500000</v>
      </c>
      <c r="Z133" s="663">
        <f t="shared" si="44"/>
        <v>0</v>
      </c>
      <c r="AA133" s="249"/>
      <c r="AB133" s="341">
        <v>7100000</v>
      </c>
      <c r="AC133" s="665">
        <f t="shared" si="45"/>
        <v>8600000</v>
      </c>
      <c r="AD133" s="664">
        <f t="shared" si="46"/>
        <v>8100000.0000000009</v>
      </c>
    </row>
    <row r="134" spans="1:33" ht="32.25" customHeight="1">
      <c r="A134" s="326">
        <v>11</v>
      </c>
      <c r="B134" s="673" t="s">
        <v>2935</v>
      </c>
      <c r="C134" s="627" t="s">
        <v>2959</v>
      </c>
      <c r="D134" s="386" t="s">
        <v>2935</v>
      </c>
      <c r="E134" s="697" t="s">
        <v>2963</v>
      </c>
      <c r="F134" s="126" t="s">
        <v>210</v>
      </c>
      <c r="G134" s="167"/>
      <c r="H134" s="167">
        <v>1</v>
      </c>
      <c r="I134" s="167"/>
      <c r="J134" s="154"/>
      <c r="K134" s="1576" t="s">
        <v>2936</v>
      </c>
      <c r="L134" s="170" t="s">
        <v>2962</v>
      </c>
      <c r="M134" s="685" t="s">
        <v>210</v>
      </c>
      <c r="N134" s="477" t="s">
        <v>2964</v>
      </c>
      <c r="O134" s="1506"/>
      <c r="P134" s="1506"/>
      <c r="Q134" s="248"/>
      <c r="R134" s="248"/>
      <c r="S134" s="248"/>
      <c r="T134" s="371">
        <v>500000</v>
      </c>
      <c r="U134" s="248"/>
      <c r="V134" s="247"/>
      <c r="W134" s="248"/>
      <c r="X134" s="341">
        <v>400000</v>
      </c>
      <c r="Y134" s="662">
        <f t="shared" si="43"/>
        <v>500000</v>
      </c>
      <c r="Z134" s="663">
        <f t="shared" si="44"/>
        <v>0</v>
      </c>
      <c r="AA134" s="249"/>
      <c r="AB134" s="341">
        <v>7100000</v>
      </c>
      <c r="AC134" s="665">
        <f t="shared" si="45"/>
        <v>8600000</v>
      </c>
      <c r="AD134" s="664">
        <f t="shared" si="46"/>
        <v>8100000.0000000009</v>
      </c>
    </row>
    <row r="135" spans="1:33" ht="26.4">
      <c r="A135" s="658">
        <v>12</v>
      </c>
      <c r="B135" s="673" t="s">
        <v>2953</v>
      </c>
      <c r="C135" s="694" t="s">
        <v>2968</v>
      </c>
      <c r="D135" s="386" t="s">
        <v>2925</v>
      </c>
      <c r="E135" s="698" t="s">
        <v>2969</v>
      </c>
      <c r="F135" s="693" t="s">
        <v>1300</v>
      </c>
      <c r="G135" s="167"/>
      <c r="H135" s="167"/>
      <c r="I135" s="167">
        <v>1</v>
      </c>
      <c r="J135" s="641">
        <v>9808.4</v>
      </c>
      <c r="K135" s="559" t="s">
        <v>2916</v>
      </c>
      <c r="L135" s="170"/>
      <c r="M135" s="699" t="s">
        <v>663</v>
      </c>
      <c r="N135" s="477" t="s">
        <v>2899</v>
      </c>
      <c r="O135" s="1506"/>
      <c r="P135" s="1506"/>
      <c r="Q135" s="248"/>
      <c r="R135" s="248"/>
      <c r="S135" s="248"/>
      <c r="T135" s="324">
        <v>147126</v>
      </c>
      <c r="U135" s="248"/>
      <c r="V135" s="247"/>
      <c r="W135" s="700">
        <f>1040217+120000</f>
        <v>1160217</v>
      </c>
      <c r="X135" s="341">
        <v>400000</v>
      </c>
      <c r="Y135" s="662">
        <f t="shared" si="43"/>
        <v>1307343</v>
      </c>
      <c r="Z135" s="663">
        <f t="shared" si="44"/>
        <v>0</v>
      </c>
      <c r="AA135" s="391" t="s">
        <v>2101</v>
      </c>
      <c r="AB135" s="341">
        <f>674000*9.8</f>
        <v>6605200.0000000009</v>
      </c>
      <c r="AC135" s="665">
        <f t="shared" si="45"/>
        <v>8872959.0000000019</v>
      </c>
      <c r="AD135" s="664">
        <f t="shared" si="46"/>
        <v>7565616.0000000019</v>
      </c>
    </row>
    <row r="136" spans="1:33" ht="30" customHeight="1">
      <c r="A136" s="326">
        <v>13</v>
      </c>
      <c r="B136" s="673" t="s">
        <v>2979</v>
      </c>
      <c r="C136" s="634" t="s">
        <v>3028</v>
      </c>
      <c r="D136" s="386" t="s">
        <v>2953</v>
      </c>
      <c r="E136" s="47" t="s">
        <v>2972</v>
      </c>
      <c r="F136" s="693" t="s">
        <v>1300</v>
      </c>
      <c r="G136" s="167"/>
      <c r="H136" s="167">
        <v>1</v>
      </c>
      <c r="I136" s="167"/>
      <c r="J136" s="154">
        <v>24373</v>
      </c>
      <c r="K136" s="559" t="s">
        <v>2933</v>
      </c>
      <c r="L136" s="170" t="s">
        <v>2934</v>
      </c>
      <c r="M136" s="705" t="s">
        <v>136</v>
      </c>
      <c r="N136" s="477" t="s">
        <v>2935</v>
      </c>
      <c r="O136" s="1506"/>
      <c r="P136" s="1506"/>
      <c r="Q136" s="324">
        <f>361800+267840</f>
        <v>629640</v>
      </c>
      <c r="R136" s="324">
        <v>766800</v>
      </c>
      <c r="S136" s="248"/>
      <c r="T136" s="324">
        <v>500000</v>
      </c>
      <c r="U136" s="248"/>
      <c r="V136" s="247"/>
      <c r="W136" s="248"/>
      <c r="X136" s="341">
        <v>400000</v>
      </c>
      <c r="Y136" s="662">
        <f t="shared" si="43"/>
        <v>1129640</v>
      </c>
      <c r="Z136" s="663">
        <f t="shared" si="44"/>
        <v>0</v>
      </c>
      <c r="AA136" s="249" t="s">
        <v>2949</v>
      </c>
      <c r="AB136" s="341">
        <v>7150000</v>
      </c>
      <c r="AC136" s="665">
        <f t="shared" si="45"/>
        <v>9283640</v>
      </c>
      <c r="AD136" s="664">
        <f t="shared" si="46"/>
        <v>8154000.0000000009</v>
      </c>
    </row>
    <row r="137" spans="1:33">
      <c r="A137" s="3297" t="s">
        <v>2941</v>
      </c>
      <c r="B137" s="3298"/>
      <c r="C137" s="3298"/>
      <c r="D137" s="3298"/>
      <c r="E137" s="3298"/>
      <c r="F137" s="3298"/>
      <c r="G137" s="3298"/>
      <c r="H137" s="3298"/>
      <c r="I137" s="3298"/>
      <c r="J137" s="3298"/>
      <c r="K137" s="3298"/>
      <c r="L137" s="3298"/>
      <c r="M137" s="346"/>
      <c r="N137" s="346"/>
      <c r="O137" s="346"/>
      <c r="P137" s="346"/>
      <c r="Q137" s="486"/>
      <c r="R137" s="500"/>
      <c r="S137" s="486">
        <f>+Q127+R127+Q130+R130+T135+T136+Q136+R136+W130+W135</f>
        <v>6927423</v>
      </c>
      <c r="T137" s="486">
        <f>SUM(T124:T134)</f>
        <v>4412750</v>
      </c>
      <c r="U137" s="486"/>
      <c r="V137" s="487"/>
      <c r="W137" s="486"/>
      <c r="X137" s="488"/>
      <c r="Y137" s="488">
        <f>SUM(Y124:Y136)</f>
        <v>8272973</v>
      </c>
      <c r="Z137" s="489">
        <f>SUM(Z123:Z131)</f>
        <v>0</v>
      </c>
      <c r="AA137" s="490"/>
      <c r="AB137" s="488">
        <f>SUM(AB124:AB136)</f>
        <v>89509200</v>
      </c>
      <c r="AC137" s="488">
        <f>SUM(AC124:AC136)</f>
        <v>111422909</v>
      </c>
      <c r="AD137" s="488">
        <f>SUM(AD124:AD136)</f>
        <v>103149936</v>
      </c>
    </row>
    <row r="138" spans="1:33">
      <c r="A138" s="326">
        <v>1</v>
      </c>
      <c r="C138" s="627" t="s">
        <v>2817</v>
      </c>
      <c r="D138" s="46">
        <v>45478</v>
      </c>
      <c r="E138" s="47" t="s">
        <v>3161</v>
      </c>
      <c r="F138" s="126" t="s">
        <v>210</v>
      </c>
      <c r="G138" s="167"/>
      <c r="H138" s="167"/>
      <c r="I138" s="167"/>
      <c r="J138" s="154">
        <v>1608</v>
      </c>
      <c r="K138" s="559" t="s">
        <v>2804</v>
      </c>
      <c r="L138" s="170"/>
      <c r="M138" s="595" t="s">
        <v>210</v>
      </c>
      <c r="N138" s="477" t="s">
        <v>2805</v>
      </c>
      <c r="O138" s="1506"/>
      <c r="P138" s="1506"/>
      <c r="Q138" s="248"/>
      <c r="R138" s="248"/>
      <c r="S138" s="248"/>
      <c r="T138" s="324">
        <v>60000</v>
      </c>
      <c r="U138" s="248"/>
      <c r="V138" s="247"/>
      <c r="W138" s="248"/>
      <c r="X138" s="158"/>
      <c r="Y138" s="662">
        <f>Q138+T138+U138+W138</f>
        <v>60000</v>
      </c>
      <c r="Z138" s="663">
        <f t="shared" ref="Z138:Z148" si="47">+V138</f>
        <v>0</v>
      </c>
      <c r="AA138" s="249" t="s">
        <v>3076</v>
      </c>
      <c r="AB138" s="341">
        <v>800000</v>
      </c>
      <c r="AC138" s="665">
        <f t="shared" ref="AC138:AC148" si="48">((AB138+X138)*1.08)+Y138</f>
        <v>924000</v>
      </c>
      <c r="AD138" s="664">
        <f t="shared" ref="AD138:AD148" si="49">(AB138+X138)*1.08</f>
        <v>864000</v>
      </c>
    </row>
    <row r="139" spans="1:33" ht="26.4">
      <c r="A139" s="326">
        <v>2</v>
      </c>
      <c r="C139" s="627" t="s">
        <v>2781</v>
      </c>
      <c r="D139" s="46" t="s">
        <v>2779</v>
      </c>
      <c r="E139" s="47" t="s">
        <v>3162</v>
      </c>
      <c r="F139" s="126" t="s">
        <v>210</v>
      </c>
      <c r="G139" s="167"/>
      <c r="H139" s="167"/>
      <c r="I139" s="167"/>
      <c r="J139" s="154">
        <v>4423</v>
      </c>
      <c r="K139" s="559" t="s">
        <v>2780</v>
      </c>
      <c r="L139" s="170"/>
      <c r="M139" s="595" t="s">
        <v>210</v>
      </c>
      <c r="N139" s="477" t="s">
        <v>2782</v>
      </c>
      <c r="O139" s="1506"/>
      <c r="P139" s="1506"/>
      <c r="Q139" s="248"/>
      <c r="R139" s="248"/>
      <c r="S139" s="248"/>
      <c r="T139" s="324">
        <v>60000</v>
      </c>
      <c r="U139" s="248"/>
      <c r="V139" s="247"/>
      <c r="W139" s="248"/>
      <c r="X139" s="158"/>
      <c r="Y139" s="662">
        <f>Q139+T139+U139+W139</f>
        <v>60000</v>
      </c>
      <c r="Z139" s="663">
        <f t="shared" si="47"/>
        <v>0</v>
      </c>
      <c r="AA139" s="249" t="s">
        <v>3077</v>
      </c>
      <c r="AB139" s="341">
        <v>800000</v>
      </c>
      <c r="AC139" s="665">
        <f t="shared" si="48"/>
        <v>924000</v>
      </c>
      <c r="AD139" s="664">
        <f t="shared" si="49"/>
        <v>864000</v>
      </c>
    </row>
    <row r="140" spans="1:33" ht="26.4">
      <c r="A140" s="326">
        <v>3</v>
      </c>
      <c r="C140" s="701" t="s">
        <v>2841</v>
      </c>
      <c r="D140" s="669" t="s">
        <v>2812</v>
      </c>
      <c r="E140" s="332" t="s">
        <v>3163</v>
      </c>
      <c r="F140" s="444" t="s">
        <v>210</v>
      </c>
      <c r="G140" s="167"/>
      <c r="H140" s="167"/>
      <c r="I140" s="167"/>
      <c r="J140" s="127"/>
      <c r="K140" s="1570" t="s">
        <v>2835</v>
      </c>
      <c r="L140" s="1671"/>
      <c r="M140" s="595" t="s">
        <v>210</v>
      </c>
      <c r="N140" s="657" t="s">
        <v>2836</v>
      </c>
      <c r="O140" s="1998"/>
      <c r="P140" s="1544"/>
      <c r="Q140" s="248"/>
      <c r="R140" s="248"/>
      <c r="S140" s="248"/>
      <c r="T140" s="324">
        <v>60000</v>
      </c>
      <c r="U140" s="248"/>
      <c r="V140" s="247"/>
      <c r="W140" s="248"/>
      <c r="X140" s="158"/>
      <c r="Y140" s="662">
        <f>Q140+T140+U140+W140</f>
        <v>60000</v>
      </c>
      <c r="Z140" s="663">
        <f t="shared" si="47"/>
        <v>0</v>
      </c>
      <c r="AA140" s="249" t="s">
        <v>3077</v>
      </c>
      <c r="AB140" s="341">
        <v>800000</v>
      </c>
      <c r="AC140" s="665">
        <f t="shared" si="48"/>
        <v>924000</v>
      </c>
      <c r="AD140" s="664">
        <f t="shared" si="49"/>
        <v>864000</v>
      </c>
    </row>
    <row r="141" spans="1:33">
      <c r="A141" s="326">
        <v>4</v>
      </c>
      <c r="B141" s="713" t="s">
        <v>3045</v>
      </c>
      <c r="C141" s="45" t="s">
        <v>3207</v>
      </c>
      <c r="D141" s="386" t="s">
        <v>3206</v>
      </c>
      <c r="E141" s="47" t="s">
        <v>3072</v>
      </c>
      <c r="F141" s="126" t="s">
        <v>1300</v>
      </c>
      <c r="G141" s="167"/>
      <c r="H141" s="167"/>
      <c r="I141" s="154"/>
      <c r="J141" s="714"/>
      <c r="K141" s="718"/>
      <c r="L141" s="718"/>
      <c r="M141" s="717"/>
      <c r="N141" s="717"/>
      <c r="O141" s="1546"/>
      <c r="P141" s="1546"/>
      <c r="Q141" s="717"/>
      <c r="R141" s="717"/>
      <c r="S141" s="717"/>
      <c r="T141" s="717"/>
      <c r="U141" s="717"/>
      <c r="V141" s="717"/>
      <c r="W141" s="717"/>
      <c r="X141" s="717"/>
      <c r="Y141" s="662">
        <f>Q141+T141+U141+W141</f>
        <v>0</v>
      </c>
      <c r="Z141" s="663">
        <f t="shared" si="47"/>
        <v>0</v>
      </c>
      <c r="AA141" s="490" t="s">
        <v>3160</v>
      </c>
      <c r="AB141" s="341">
        <v>1500000</v>
      </c>
      <c r="AC141" s="665">
        <f t="shared" si="48"/>
        <v>1620000</v>
      </c>
      <c r="AD141" s="664">
        <f t="shared" si="49"/>
        <v>1620000</v>
      </c>
      <c r="AE141" s="732"/>
      <c r="AF141" s="13"/>
      <c r="AG141" s="13"/>
    </row>
    <row r="142" spans="1:33">
      <c r="A142" s="326">
        <v>5</v>
      </c>
      <c r="B142" s="673" t="s">
        <v>3049</v>
      </c>
      <c r="C142" s="630" t="s">
        <v>3030</v>
      </c>
      <c r="D142" s="386" t="s">
        <v>3009</v>
      </c>
      <c r="E142" s="47" t="s">
        <v>3061</v>
      </c>
      <c r="F142" s="693" t="s">
        <v>1300</v>
      </c>
      <c r="G142" s="167"/>
      <c r="H142" s="167"/>
      <c r="I142" s="167">
        <v>1</v>
      </c>
      <c r="J142" s="154">
        <v>6600</v>
      </c>
      <c r="K142" s="559" t="s">
        <v>2986</v>
      </c>
      <c r="L142" s="170"/>
      <c r="M142" s="739" t="s">
        <v>418</v>
      </c>
      <c r="N142" s="477" t="s">
        <v>3007</v>
      </c>
      <c r="O142" s="1506"/>
      <c r="P142" s="1506"/>
      <c r="Q142" s="248"/>
      <c r="R142" s="248"/>
      <c r="S142" s="248"/>
      <c r="T142" s="371">
        <v>99000</v>
      </c>
      <c r="U142" s="248"/>
      <c r="V142" s="247"/>
      <c r="W142" s="248"/>
      <c r="X142" s="158"/>
      <c r="Y142" s="662">
        <f>Q142+T142+U142+W142</f>
        <v>99000</v>
      </c>
      <c r="Z142" s="663">
        <f t="shared" si="47"/>
        <v>0</v>
      </c>
      <c r="AA142" s="249"/>
      <c r="AB142" s="341">
        <f>674000*6.6</f>
        <v>4448400</v>
      </c>
      <c r="AC142" s="665">
        <f t="shared" si="48"/>
        <v>4903272</v>
      </c>
      <c r="AD142" s="664">
        <f t="shared" si="49"/>
        <v>4804272</v>
      </c>
    </row>
    <row r="143" spans="1:33" ht="26.4">
      <c r="A143" s="326">
        <v>6</v>
      </c>
      <c r="B143" s="673" t="s">
        <v>3016</v>
      </c>
      <c r="C143" s="627" t="s">
        <v>3057</v>
      </c>
      <c r="D143" s="386" t="s">
        <v>3016</v>
      </c>
      <c r="E143" s="47" t="s">
        <v>3062</v>
      </c>
      <c r="F143" s="126" t="s">
        <v>210</v>
      </c>
      <c r="G143" s="167"/>
      <c r="H143" s="712">
        <v>1</v>
      </c>
      <c r="I143" s="167"/>
      <c r="J143" s="743">
        <f>7.90566+16.96592</f>
        <v>24.871580000000002</v>
      </c>
      <c r="K143" s="559" t="s">
        <v>3017</v>
      </c>
      <c r="L143" s="170" t="s">
        <v>3054</v>
      </c>
      <c r="M143" s="595" t="s">
        <v>210</v>
      </c>
      <c r="N143" s="477" t="s">
        <v>3055</v>
      </c>
      <c r="O143" s="1506"/>
      <c r="P143" s="1506"/>
      <c r="Q143" s="248"/>
      <c r="R143" s="754"/>
      <c r="S143" s="754"/>
      <c r="T143" s="371">
        <v>500000</v>
      </c>
      <c r="U143" s="248"/>
      <c r="V143" s="247"/>
      <c r="W143" s="248"/>
      <c r="X143" s="341">
        <v>400000</v>
      </c>
      <c r="Y143" s="662">
        <f>S143+T143+U143+W143</f>
        <v>500000</v>
      </c>
      <c r="Z143" s="663">
        <f t="shared" si="47"/>
        <v>0</v>
      </c>
      <c r="AA143" s="249" t="s">
        <v>3174</v>
      </c>
      <c r="AB143" s="341">
        <f>7100000</f>
        <v>7100000</v>
      </c>
      <c r="AC143" s="665">
        <f t="shared" si="48"/>
        <v>8600000</v>
      </c>
      <c r="AD143" s="664">
        <f t="shared" si="49"/>
        <v>8100000.0000000009</v>
      </c>
    </row>
    <row r="144" spans="1:33" ht="26.4">
      <c r="A144" s="326">
        <v>7</v>
      </c>
      <c r="B144" s="673" t="s">
        <v>3016</v>
      </c>
      <c r="C144" s="345" t="s">
        <v>3056</v>
      </c>
      <c r="D144" s="386" t="s">
        <v>3016</v>
      </c>
      <c r="E144" s="47" t="s">
        <v>3063</v>
      </c>
      <c r="F144" s="126" t="s">
        <v>210</v>
      </c>
      <c r="G144" s="167"/>
      <c r="H144" s="712">
        <v>1</v>
      </c>
      <c r="I144" s="167"/>
      <c r="J144" s="154">
        <f>19113.05+5562.4</f>
        <v>24675.449999999997</v>
      </c>
      <c r="K144" s="559" t="s">
        <v>2998</v>
      </c>
      <c r="L144" s="170" t="s">
        <v>3053</v>
      </c>
      <c r="M144" s="595" t="s">
        <v>210</v>
      </c>
      <c r="N144" s="477" t="s">
        <v>3055</v>
      </c>
      <c r="O144" s="1506"/>
      <c r="P144" s="1506"/>
      <c r="Q144" s="248"/>
      <c r="R144" s="754"/>
      <c r="S144" s="754"/>
      <c r="T144" s="371">
        <v>500000</v>
      </c>
      <c r="U144" s="248"/>
      <c r="V144" s="247"/>
      <c r="W144" s="248"/>
      <c r="X144" s="341">
        <v>400000</v>
      </c>
      <c r="Y144" s="662">
        <f>S144+T144+U144+W144</f>
        <v>500000</v>
      </c>
      <c r="Z144" s="663">
        <f t="shared" si="47"/>
        <v>0</v>
      </c>
      <c r="AA144" s="249"/>
      <c r="AB144" s="341">
        <f>7100000</f>
        <v>7100000</v>
      </c>
      <c r="AC144" s="665">
        <f t="shared" si="48"/>
        <v>8600000</v>
      </c>
      <c r="AD144" s="664">
        <f t="shared" si="49"/>
        <v>8100000.0000000009</v>
      </c>
    </row>
    <row r="145" spans="1:33" ht="26.4">
      <c r="A145" s="326">
        <v>8</v>
      </c>
      <c r="B145" s="673" t="s">
        <v>3046</v>
      </c>
      <c r="C145" s="694" t="s">
        <v>3074</v>
      </c>
      <c r="D145" s="386" t="s">
        <v>3059</v>
      </c>
      <c r="E145" s="47" t="s">
        <v>3066</v>
      </c>
      <c r="F145" s="693" t="s">
        <v>1300</v>
      </c>
      <c r="G145" s="167"/>
      <c r="H145" s="712">
        <v>2</v>
      </c>
      <c r="I145" s="167"/>
      <c r="J145" s="746">
        <f>47788</f>
        <v>47788</v>
      </c>
      <c r="K145" s="559" t="s">
        <v>3047</v>
      </c>
      <c r="L145" s="170" t="s">
        <v>3078</v>
      </c>
      <c r="M145" s="739" t="s">
        <v>418</v>
      </c>
      <c r="N145" s="477" t="s">
        <v>3045</v>
      </c>
      <c r="O145" s="1506"/>
      <c r="P145" s="1506"/>
      <c r="Q145" s="324">
        <v>723600</v>
      </c>
      <c r="R145" s="324">
        <v>1533600</v>
      </c>
      <c r="S145" s="754"/>
      <c r="T145" s="371">
        <v>1000000</v>
      </c>
      <c r="U145" s="248"/>
      <c r="V145" s="247"/>
      <c r="W145" s="248"/>
      <c r="X145" s="341">
        <v>400000</v>
      </c>
      <c r="Y145" s="662">
        <f>Q145+T145+U145+W145</f>
        <v>1723600</v>
      </c>
      <c r="Z145" s="663">
        <f t="shared" si="47"/>
        <v>0</v>
      </c>
      <c r="AA145" s="249"/>
      <c r="AB145" s="341">
        <f>7150000*2</f>
        <v>14300000</v>
      </c>
      <c r="AC145" s="665">
        <f t="shared" si="48"/>
        <v>17599600</v>
      </c>
      <c r="AD145" s="664">
        <f t="shared" si="49"/>
        <v>15876000.000000002</v>
      </c>
    </row>
    <row r="146" spans="1:33" ht="26.4">
      <c r="A146" s="326">
        <v>9</v>
      </c>
      <c r="B146" s="673" t="s">
        <v>3046</v>
      </c>
      <c r="C146" s="622" t="s">
        <v>3085</v>
      </c>
      <c r="D146" s="684" t="s">
        <v>3046</v>
      </c>
      <c r="E146" s="660" t="s">
        <v>3087</v>
      </c>
      <c r="F146" s="661" t="s">
        <v>210</v>
      </c>
      <c r="G146" s="167"/>
      <c r="H146" s="712">
        <v>1</v>
      </c>
      <c r="I146" s="710"/>
      <c r="J146" s="641">
        <f>8242.12+15163.09</f>
        <v>23405.21</v>
      </c>
      <c r="K146" s="559" t="s">
        <v>3018</v>
      </c>
      <c r="L146" s="170" t="s">
        <v>3086</v>
      </c>
      <c r="M146" s="595" t="s">
        <v>210</v>
      </c>
      <c r="N146" s="477" t="s">
        <v>3048</v>
      </c>
      <c r="O146" s="1506"/>
      <c r="P146" s="1506"/>
      <c r="Q146" s="248"/>
      <c r="R146" s="248"/>
      <c r="S146" s="248"/>
      <c r="T146" s="371">
        <v>500000</v>
      </c>
      <c r="U146" s="248"/>
      <c r="V146" s="247"/>
      <c r="W146" s="248"/>
      <c r="X146" s="341">
        <v>400000</v>
      </c>
      <c r="Y146" s="662">
        <f>Q146+T146+U146+W146</f>
        <v>500000</v>
      </c>
      <c r="Z146" s="663">
        <f t="shared" si="47"/>
        <v>0</v>
      </c>
      <c r="AA146" s="249"/>
      <c r="AB146" s="341">
        <f>7100000</f>
        <v>7100000</v>
      </c>
      <c r="AC146" s="665">
        <f t="shared" si="48"/>
        <v>8600000</v>
      </c>
      <c r="AD146" s="664">
        <f t="shared" si="49"/>
        <v>8100000.0000000009</v>
      </c>
    </row>
    <row r="147" spans="1:33" ht="26.4">
      <c r="A147" s="326">
        <v>10</v>
      </c>
      <c r="B147" s="673" t="s">
        <v>3111</v>
      </c>
      <c r="C147" s="631" t="s">
        <v>3115</v>
      </c>
      <c r="D147" s="386" t="s">
        <v>3098</v>
      </c>
      <c r="E147" s="47" t="s">
        <v>3118</v>
      </c>
      <c r="F147" s="693" t="s">
        <v>1300</v>
      </c>
      <c r="G147" s="167"/>
      <c r="H147" s="167">
        <v>1</v>
      </c>
      <c r="I147" s="167"/>
      <c r="J147" s="154">
        <v>24267</v>
      </c>
      <c r="K147" s="559" t="s">
        <v>3097</v>
      </c>
      <c r="L147" s="170" t="s">
        <v>3116</v>
      </c>
      <c r="M147" s="739" t="s">
        <v>418</v>
      </c>
      <c r="N147" s="477" t="s">
        <v>3098</v>
      </c>
      <c r="O147" s="1506"/>
      <c r="P147" s="1506"/>
      <c r="Q147" s="248"/>
      <c r="R147" s="324">
        <v>766800</v>
      </c>
      <c r="S147" s="754"/>
      <c r="T147" s="371">
        <v>500000</v>
      </c>
      <c r="U147" s="248"/>
      <c r="V147" s="247"/>
      <c r="W147" s="248"/>
      <c r="X147" s="341">
        <v>400000</v>
      </c>
      <c r="Y147" s="662">
        <f>Q147+T147+U147+W147</f>
        <v>500000</v>
      </c>
      <c r="Z147" s="663">
        <f t="shared" si="47"/>
        <v>0</v>
      </c>
      <c r="AA147" s="249"/>
      <c r="AB147" s="341">
        <f>7150000</f>
        <v>7150000</v>
      </c>
      <c r="AC147" s="665">
        <f t="shared" si="48"/>
        <v>8654000</v>
      </c>
      <c r="AD147" s="664">
        <f t="shared" si="49"/>
        <v>8154000.0000000009</v>
      </c>
    </row>
    <row r="148" spans="1:33" ht="26.4">
      <c r="A148" s="326">
        <v>11</v>
      </c>
      <c r="B148" s="673" t="s">
        <v>3105</v>
      </c>
      <c r="C148" s="622" t="s">
        <v>3139</v>
      </c>
      <c r="D148" s="386" t="s">
        <v>3105</v>
      </c>
      <c r="E148" s="47" t="s">
        <v>3145</v>
      </c>
      <c r="F148" s="126" t="s">
        <v>210</v>
      </c>
      <c r="G148" s="712"/>
      <c r="H148" s="712">
        <v>1</v>
      </c>
      <c r="I148" s="712"/>
      <c r="J148" s="154"/>
      <c r="K148" s="559" t="s">
        <v>3104</v>
      </c>
      <c r="L148" s="170" t="s">
        <v>3140</v>
      </c>
      <c r="M148" s="595" t="s">
        <v>210</v>
      </c>
      <c r="N148" s="477" t="s">
        <v>3114</v>
      </c>
      <c r="O148" s="1506"/>
      <c r="P148" s="1506"/>
      <c r="Q148" s="248"/>
      <c r="R148" s="248"/>
      <c r="S148" s="248"/>
      <c r="T148" s="371">
        <v>500000</v>
      </c>
      <c r="U148" s="248"/>
      <c r="V148" s="247"/>
      <c r="W148" s="248"/>
      <c r="X148" s="341">
        <v>400000</v>
      </c>
      <c r="Y148" s="662">
        <f>Q148+T148+U148+W148</f>
        <v>500000</v>
      </c>
      <c r="Z148" s="663">
        <f t="shared" si="47"/>
        <v>0</v>
      </c>
      <c r="AA148" s="249"/>
      <c r="AB148" s="341">
        <f>7100000</f>
        <v>7100000</v>
      </c>
      <c r="AC148" s="665">
        <f t="shared" si="48"/>
        <v>8600000</v>
      </c>
      <c r="AD148" s="664">
        <f t="shared" si="49"/>
        <v>8100000.0000000009</v>
      </c>
    </row>
    <row r="149" spans="1:33">
      <c r="A149" s="3297" t="s">
        <v>3132</v>
      </c>
      <c r="B149" s="3298"/>
      <c r="C149" s="3298"/>
      <c r="D149" s="3298"/>
      <c r="E149" s="3298"/>
      <c r="F149" s="3298"/>
      <c r="G149" s="3298"/>
      <c r="H149" s="3298"/>
      <c r="I149" s="3298"/>
      <c r="J149" s="3298"/>
      <c r="K149" s="3298"/>
      <c r="L149" s="3298"/>
      <c r="M149" s="346"/>
      <c r="N149" s="346"/>
      <c r="O149" s="346"/>
      <c r="P149" s="346"/>
      <c r="Q149" s="486"/>
      <c r="R149" s="500">
        <f>+T138+T139+T140+Q145+R145+R147</f>
        <v>3204000</v>
      </c>
      <c r="S149" s="486"/>
      <c r="T149" s="486">
        <f>SUM(T142:T148)</f>
        <v>3599000</v>
      </c>
      <c r="U149" s="486"/>
      <c r="V149" s="487"/>
      <c r="W149" s="486"/>
      <c r="X149" s="488"/>
      <c r="Y149" s="488">
        <f>SUM(Y138:Y148)</f>
        <v>4502600</v>
      </c>
      <c r="Z149" s="489">
        <f>SUM(Z134:Z143)</f>
        <v>0</v>
      </c>
      <c r="AA149" s="490"/>
      <c r="AB149" s="488">
        <f>SUM(AB138:AB148)</f>
        <v>58198400</v>
      </c>
      <c r="AC149" s="488">
        <f>SUM(AC138:AC148)</f>
        <v>69948872</v>
      </c>
      <c r="AD149" s="488">
        <f>SUM(AD138:AD148)</f>
        <v>65446272</v>
      </c>
    </row>
    <row r="150" spans="1:33" ht="26.4">
      <c r="A150" s="326">
        <v>1</v>
      </c>
      <c r="B150" s="673" t="s">
        <v>3164</v>
      </c>
      <c r="C150" s="622" t="s">
        <v>3175</v>
      </c>
      <c r="D150" s="386" t="s">
        <v>3164</v>
      </c>
      <c r="E150" s="47" t="s">
        <v>3177</v>
      </c>
      <c r="F150" s="126" t="s">
        <v>210</v>
      </c>
      <c r="G150" s="167"/>
      <c r="H150" s="167">
        <v>1</v>
      </c>
      <c r="I150" s="167"/>
      <c r="J150" s="641">
        <f>20234.81+4608.36</f>
        <v>24843.170000000002</v>
      </c>
      <c r="K150" s="559" t="s">
        <v>3165</v>
      </c>
      <c r="L150" s="170" t="s">
        <v>3176</v>
      </c>
      <c r="M150" s="86" t="s">
        <v>210</v>
      </c>
      <c r="N150" s="79" t="s">
        <v>3166</v>
      </c>
      <c r="O150" s="1547"/>
      <c r="P150" s="1547"/>
      <c r="Q150" s="248"/>
      <c r="R150" s="248"/>
      <c r="S150" s="248"/>
      <c r="T150" s="371">
        <v>500000</v>
      </c>
      <c r="U150" s="248"/>
      <c r="V150" s="247"/>
      <c r="W150" s="248"/>
      <c r="X150" s="341">
        <v>400000</v>
      </c>
      <c r="Y150" s="662">
        <f t="shared" ref="Y150:Y161" si="50">Q150+T150+U150+W150</f>
        <v>500000</v>
      </c>
      <c r="Z150" s="663">
        <f t="shared" ref="Z150:Z161" si="51">+V150</f>
        <v>0</v>
      </c>
      <c r="AA150" s="249"/>
      <c r="AB150" s="341">
        <f>7100000+190000</f>
        <v>7290000</v>
      </c>
      <c r="AC150" s="665">
        <f t="shared" ref="AC150:AC161" si="52">((AB150+X150)*1.08)+Y150</f>
        <v>8805200</v>
      </c>
      <c r="AD150" s="664">
        <f t="shared" ref="AD150:AD161" si="53">(AB150+X150)*1.08</f>
        <v>8305200.0000000009</v>
      </c>
    </row>
    <row r="151" spans="1:33">
      <c r="A151" s="326">
        <f>+A150+1</f>
        <v>2</v>
      </c>
      <c r="B151" s="673" t="s">
        <v>3179</v>
      </c>
      <c r="C151" s="622" t="s">
        <v>3188</v>
      </c>
      <c r="D151" s="46" t="s">
        <v>3179</v>
      </c>
      <c r="E151" s="47" t="s">
        <v>3191</v>
      </c>
      <c r="F151" s="126" t="s">
        <v>210</v>
      </c>
      <c r="G151" s="167"/>
      <c r="H151" s="167"/>
      <c r="I151" s="983" t="s">
        <v>128</v>
      </c>
      <c r="J151" s="154">
        <v>74</v>
      </c>
      <c r="K151" s="559" t="s">
        <v>3189</v>
      </c>
      <c r="L151" s="170"/>
      <c r="M151" s="595" t="s">
        <v>210</v>
      </c>
      <c r="N151" s="477" t="s">
        <v>3190</v>
      </c>
      <c r="O151" s="1506"/>
      <c r="P151" s="1506"/>
      <c r="Q151" s="248"/>
      <c r="R151" s="248"/>
      <c r="S151" s="248"/>
      <c r="T151" s="248"/>
      <c r="U151" s="248"/>
      <c r="V151" s="247"/>
      <c r="W151" s="248"/>
      <c r="X151" s="248"/>
      <c r="Y151" s="662">
        <f t="shared" si="50"/>
        <v>0</v>
      </c>
      <c r="Z151" s="663">
        <f t="shared" si="51"/>
        <v>0</v>
      </c>
      <c r="AA151" s="208" t="s">
        <v>3256</v>
      </c>
      <c r="AB151" s="341">
        <f>2930000+1300000</f>
        <v>4230000</v>
      </c>
      <c r="AC151" s="665">
        <f t="shared" si="52"/>
        <v>4568400</v>
      </c>
      <c r="AD151" s="664">
        <f t="shared" si="53"/>
        <v>4568400</v>
      </c>
    </row>
    <row r="152" spans="1:33" ht="26.4">
      <c r="A152" s="326">
        <f>+A151+1</f>
        <v>3</v>
      </c>
      <c r="B152" s="673" t="s">
        <v>3208</v>
      </c>
      <c r="C152" s="622" t="s">
        <v>3219</v>
      </c>
      <c r="D152" s="386" t="s">
        <v>3208</v>
      </c>
      <c r="E152" s="47" t="s">
        <v>3234</v>
      </c>
      <c r="F152" s="126" t="s">
        <v>210</v>
      </c>
      <c r="G152" s="167">
        <v>1</v>
      </c>
      <c r="H152" s="167"/>
      <c r="I152" s="167"/>
      <c r="J152" s="641">
        <v>14390.9</v>
      </c>
      <c r="K152" s="559" t="s">
        <v>3192</v>
      </c>
      <c r="L152" s="170" t="s">
        <v>3220</v>
      </c>
      <c r="M152" s="595" t="s">
        <v>210</v>
      </c>
      <c r="N152" s="477" t="s">
        <v>3242</v>
      </c>
      <c r="O152" s="1506"/>
      <c r="P152" s="1506"/>
      <c r="Q152" s="248"/>
      <c r="R152" s="248"/>
      <c r="S152" s="248"/>
      <c r="T152" s="371">
        <v>250000</v>
      </c>
      <c r="U152" s="248"/>
      <c r="V152" s="247"/>
      <c r="W152" s="248"/>
      <c r="X152" s="341">
        <v>400000</v>
      </c>
      <c r="Y152" s="662">
        <f t="shared" si="50"/>
        <v>250000</v>
      </c>
      <c r="Z152" s="663">
        <f t="shared" si="51"/>
        <v>0</v>
      </c>
      <c r="AA152" s="249"/>
      <c r="AB152" s="341">
        <v>6180000</v>
      </c>
      <c r="AC152" s="665">
        <f t="shared" si="52"/>
        <v>7356400.0000000009</v>
      </c>
      <c r="AD152" s="664">
        <f t="shared" si="53"/>
        <v>7106400.0000000009</v>
      </c>
    </row>
    <row r="153" spans="1:33" ht="26.4">
      <c r="A153" s="326">
        <f>+A152+1</f>
        <v>4</v>
      </c>
      <c r="B153" s="673" t="s">
        <v>3208</v>
      </c>
      <c r="C153" s="622" t="s">
        <v>3221</v>
      </c>
      <c r="D153" s="46">
        <v>45544</v>
      </c>
      <c r="E153" s="47" t="s">
        <v>3235</v>
      </c>
      <c r="F153" s="126" t="s">
        <v>210</v>
      </c>
      <c r="G153" s="167">
        <v>1</v>
      </c>
      <c r="H153" s="167"/>
      <c r="I153" s="167"/>
      <c r="J153" s="641">
        <f>9750.96+4876.73</f>
        <v>14627.689999999999</v>
      </c>
      <c r="K153" s="559" t="s">
        <v>3193</v>
      </c>
      <c r="L153" s="170" t="s">
        <v>3236</v>
      </c>
      <c r="M153" s="595" t="s">
        <v>210</v>
      </c>
      <c r="N153" s="477" t="s">
        <v>3242</v>
      </c>
      <c r="O153" s="1506"/>
      <c r="P153" s="1506"/>
      <c r="Q153" s="248"/>
      <c r="R153" s="248"/>
      <c r="S153" s="248"/>
      <c r="T153" s="371">
        <v>250000</v>
      </c>
      <c r="U153" s="248"/>
      <c r="V153" s="247"/>
      <c r="W153" s="248"/>
      <c r="X153" s="341">
        <v>400000</v>
      </c>
      <c r="Y153" s="662">
        <f t="shared" si="50"/>
        <v>250000</v>
      </c>
      <c r="Z153" s="663">
        <f t="shared" si="51"/>
        <v>0</v>
      </c>
      <c r="AA153" s="249"/>
      <c r="AB153" s="341">
        <v>6180000</v>
      </c>
      <c r="AC153" s="665">
        <f t="shared" si="52"/>
        <v>7356400.0000000009</v>
      </c>
      <c r="AD153" s="664">
        <f t="shared" si="53"/>
        <v>7106400.0000000009</v>
      </c>
    </row>
    <row r="154" spans="1:33" ht="26.4">
      <c r="A154" s="326">
        <f>+A153+1</f>
        <v>5</v>
      </c>
      <c r="B154" s="673" t="s">
        <v>3244</v>
      </c>
      <c r="C154" s="631" t="s">
        <v>3260</v>
      </c>
      <c r="D154" s="386" t="s">
        <v>3258</v>
      </c>
      <c r="E154" s="47" t="s">
        <v>3261</v>
      </c>
      <c r="F154" s="693" t="s">
        <v>1300</v>
      </c>
      <c r="G154" s="167"/>
      <c r="H154" s="167"/>
      <c r="I154" s="167">
        <v>1</v>
      </c>
      <c r="J154" s="968">
        <v>1513</v>
      </c>
      <c r="K154" s="559" t="s">
        <v>3249</v>
      </c>
      <c r="L154" s="170" t="s">
        <v>3348</v>
      </c>
      <c r="M154" s="595" t="s">
        <v>210</v>
      </c>
      <c r="N154" s="477" t="s">
        <v>3208</v>
      </c>
      <c r="O154" s="1506"/>
      <c r="P154" s="1506"/>
      <c r="Q154" s="248"/>
      <c r="R154" s="248"/>
      <c r="S154" s="248"/>
      <c r="T154" s="371">
        <v>22695</v>
      </c>
      <c r="U154" s="248"/>
      <c r="V154" s="247"/>
      <c r="W154" s="248"/>
      <c r="X154" s="341">
        <v>400000</v>
      </c>
      <c r="Y154" s="662">
        <f t="shared" si="50"/>
        <v>22695</v>
      </c>
      <c r="Z154" s="663">
        <f t="shared" si="51"/>
        <v>0</v>
      </c>
      <c r="AA154" s="391" t="s">
        <v>3373</v>
      </c>
      <c r="AB154" s="341">
        <f>674000*5</f>
        <v>3370000</v>
      </c>
      <c r="AC154" s="665">
        <f t="shared" si="52"/>
        <v>4094295.0000000005</v>
      </c>
      <c r="AD154" s="664">
        <f t="shared" si="53"/>
        <v>4071600.0000000005</v>
      </c>
    </row>
    <row r="155" spans="1:33" ht="26.4">
      <c r="A155" s="326">
        <f>+A154+1</f>
        <v>6</v>
      </c>
      <c r="B155" s="673" t="s">
        <v>3244</v>
      </c>
      <c r="C155" s="622" t="s">
        <v>3273</v>
      </c>
      <c r="D155" s="386" t="s">
        <v>3244</v>
      </c>
      <c r="E155" s="47" t="s">
        <v>3262</v>
      </c>
      <c r="F155" s="126" t="s">
        <v>210</v>
      </c>
      <c r="G155" s="167"/>
      <c r="H155" s="167">
        <v>1</v>
      </c>
      <c r="I155" s="167"/>
      <c r="J155" s="926">
        <f>10346.43+14583.68</f>
        <v>24930.11</v>
      </c>
      <c r="K155" s="1577" t="s">
        <v>3245</v>
      </c>
      <c r="L155" s="170" t="s">
        <v>3274</v>
      </c>
      <c r="M155" s="595" t="s">
        <v>210</v>
      </c>
      <c r="N155" s="477" t="s">
        <v>3275</v>
      </c>
      <c r="O155" s="1506"/>
      <c r="P155" s="1506"/>
      <c r="Q155" s="248"/>
      <c r="R155" s="248"/>
      <c r="S155" s="248"/>
      <c r="T155" s="371">
        <v>500000</v>
      </c>
      <c r="U155" s="248"/>
      <c r="V155" s="247"/>
      <c r="W155" s="248"/>
      <c r="X155" s="341">
        <v>400000</v>
      </c>
      <c r="Y155" s="662">
        <f t="shared" si="50"/>
        <v>500000</v>
      </c>
      <c r="Z155" s="663">
        <f t="shared" si="51"/>
        <v>0</v>
      </c>
      <c r="AA155" s="249"/>
      <c r="AB155" s="341">
        <v>7100000</v>
      </c>
      <c r="AC155" s="665">
        <f t="shared" si="52"/>
        <v>8600000</v>
      </c>
      <c r="AD155" s="664">
        <f t="shared" si="53"/>
        <v>8100000.0000000009</v>
      </c>
    </row>
    <row r="156" spans="1:33" s="854" customFormat="1">
      <c r="A156" s="837">
        <v>7</v>
      </c>
      <c r="B156" s="950" t="s">
        <v>3281</v>
      </c>
      <c r="C156" s="887" t="s">
        <v>3333</v>
      </c>
      <c r="D156" s="946" t="s">
        <v>3298</v>
      </c>
      <c r="E156" s="841" t="s">
        <v>3309</v>
      </c>
      <c r="F156" s="937" t="s">
        <v>1300</v>
      </c>
      <c r="G156" s="935"/>
      <c r="H156" s="843">
        <v>1</v>
      </c>
      <c r="I156" s="935"/>
      <c r="J156" s="968">
        <v>24256</v>
      </c>
      <c r="K156" s="1578" t="s">
        <v>3283</v>
      </c>
      <c r="L156" s="934" t="s">
        <v>3304</v>
      </c>
      <c r="M156" s="837" t="s">
        <v>210</v>
      </c>
      <c r="N156" s="938" t="s">
        <v>3279</v>
      </c>
      <c r="O156" s="1506"/>
      <c r="P156" s="1506"/>
      <c r="Q156" s="845"/>
      <c r="R156" s="324">
        <v>766800</v>
      </c>
      <c r="S156" s="845"/>
      <c r="T156" s="371">
        <v>500000</v>
      </c>
      <c r="U156" s="845"/>
      <c r="V156" s="788"/>
      <c r="W156" s="845"/>
      <c r="X156" s="935"/>
      <c r="Y156" s="662">
        <f t="shared" si="50"/>
        <v>500000</v>
      </c>
      <c r="Z156" s="663">
        <f t="shared" si="51"/>
        <v>0</v>
      </c>
      <c r="AA156" s="849"/>
      <c r="AB156" s="341">
        <v>7150000</v>
      </c>
      <c r="AC156" s="665">
        <f t="shared" si="52"/>
        <v>8222000.0000000009</v>
      </c>
      <c r="AD156" s="664">
        <f t="shared" si="53"/>
        <v>7722000.0000000009</v>
      </c>
      <c r="AE156" s="935"/>
      <c r="AF156" s="935"/>
      <c r="AG156" s="840"/>
    </row>
    <row r="157" spans="1:33" ht="26.4">
      <c r="A157" s="658">
        <v>8</v>
      </c>
      <c r="B157" s="659" t="s">
        <v>3281</v>
      </c>
      <c r="C157" s="622" t="s">
        <v>3321</v>
      </c>
      <c r="D157" s="684" t="s">
        <v>3281</v>
      </c>
      <c r="E157" s="660" t="s">
        <v>3324</v>
      </c>
      <c r="F157" s="661" t="s">
        <v>210</v>
      </c>
      <c r="G157" s="445"/>
      <c r="H157" s="445">
        <v>1</v>
      </c>
      <c r="I157" s="445"/>
      <c r="J157" s="933">
        <v>24324.11</v>
      </c>
      <c r="K157" s="1575" t="s">
        <v>3282</v>
      </c>
      <c r="L157" s="740" t="s">
        <v>3314</v>
      </c>
      <c r="M157" s="949" t="s">
        <v>210</v>
      </c>
      <c r="N157" s="581" t="s">
        <v>3284</v>
      </c>
      <c r="O157" s="581"/>
      <c r="P157" s="581"/>
      <c r="Q157" s="425"/>
      <c r="R157" s="425"/>
      <c r="S157" s="425"/>
      <c r="T157" s="371">
        <v>500000</v>
      </c>
      <c r="U157" s="425"/>
      <c r="V157" s="426"/>
      <c r="W157" s="425"/>
      <c r="X157" s="341">
        <v>400000</v>
      </c>
      <c r="Y157" s="662">
        <f t="shared" si="50"/>
        <v>500000</v>
      </c>
      <c r="Z157" s="663">
        <f t="shared" si="51"/>
        <v>0</v>
      </c>
      <c r="AA157" s="398"/>
      <c r="AB157" s="341">
        <v>7100000</v>
      </c>
      <c r="AC157" s="665">
        <f t="shared" si="52"/>
        <v>8600000</v>
      </c>
      <c r="AD157" s="664">
        <f t="shared" si="53"/>
        <v>8100000.0000000009</v>
      </c>
    </row>
    <row r="158" spans="1:33">
      <c r="A158" s="818">
        <v>9</v>
      </c>
      <c r="B158" s="948" t="s">
        <v>3320</v>
      </c>
      <c r="C158" s="629" t="s">
        <v>3353</v>
      </c>
      <c r="D158" s="947" t="s">
        <v>3281</v>
      </c>
      <c r="E158" s="872" t="s">
        <v>3338</v>
      </c>
      <c r="F158" s="930" t="s">
        <v>1300</v>
      </c>
      <c r="G158" s="167"/>
      <c r="H158" s="167">
        <v>1</v>
      </c>
      <c r="I158" s="167"/>
      <c r="J158" s="127">
        <v>14145</v>
      </c>
      <c r="K158" s="1579" t="s">
        <v>3280</v>
      </c>
      <c r="L158" s="170" t="s">
        <v>3319</v>
      </c>
      <c r="M158" s="705" t="s">
        <v>123</v>
      </c>
      <c r="N158" s="931" t="s">
        <v>3279</v>
      </c>
      <c r="O158" s="1998"/>
      <c r="P158" s="1544"/>
      <c r="Q158" s="324">
        <v>361800</v>
      </c>
      <c r="R158" s="324">
        <v>766800</v>
      </c>
      <c r="S158" s="825"/>
      <c r="T158" s="371">
        <v>500000</v>
      </c>
      <c r="U158" s="825"/>
      <c r="V158" s="828"/>
      <c r="W158" s="825"/>
      <c r="X158" s="932"/>
      <c r="Y158" s="908">
        <f t="shared" si="50"/>
        <v>861800</v>
      </c>
      <c r="Z158" s="909">
        <f t="shared" si="51"/>
        <v>0</v>
      </c>
      <c r="AA158" s="945" t="s">
        <v>2101</v>
      </c>
      <c r="AB158" s="341">
        <v>7050000</v>
      </c>
      <c r="AC158" s="912">
        <f t="shared" si="52"/>
        <v>8475800</v>
      </c>
      <c r="AD158" s="911">
        <f t="shared" si="53"/>
        <v>7614000.0000000009</v>
      </c>
    </row>
    <row r="159" spans="1:33" ht="26.4">
      <c r="A159" s="818">
        <v>10</v>
      </c>
      <c r="B159" s="948" t="s">
        <v>3352</v>
      </c>
      <c r="C159" s="969" t="s">
        <v>3349</v>
      </c>
      <c r="D159" s="974" t="s">
        <v>3345</v>
      </c>
      <c r="E159" s="872" t="s">
        <v>3365</v>
      </c>
      <c r="F159" s="930" t="s">
        <v>1300</v>
      </c>
      <c r="G159" s="167">
        <v>1</v>
      </c>
      <c r="H159" s="167">
        <v>1</v>
      </c>
      <c r="I159" s="167"/>
      <c r="J159" s="961">
        <v>45838</v>
      </c>
      <c r="K159" s="1579" t="s">
        <v>3341</v>
      </c>
      <c r="L159" s="942" t="s">
        <v>3342</v>
      </c>
      <c r="M159" s="705" t="s">
        <v>123</v>
      </c>
      <c r="N159" s="931" t="s">
        <v>3320</v>
      </c>
      <c r="O159" s="1998"/>
      <c r="P159" s="1544"/>
      <c r="Q159" s="826">
        <v>561600</v>
      </c>
      <c r="R159" s="826">
        <v>1198800</v>
      </c>
      <c r="S159" s="825"/>
      <c r="T159" s="324">
        <v>750000</v>
      </c>
      <c r="U159" s="825"/>
      <c r="V159" s="828"/>
      <c r="W159" s="826">
        <v>340000</v>
      </c>
      <c r="X159" s="341">
        <v>400000</v>
      </c>
      <c r="Y159" s="908">
        <f t="shared" si="50"/>
        <v>1651600</v>
      </c>
      <c r="Z159" s="909">
        <f t="shared" si="51"/>
        <v>0</v>
      </c>
      <c r="AA159" s="831"/>
      <c r="AB159" s="341">
        <f>6730000+7150000</f>
        <v>13880000</v>
      </c>
      <c r="AC159" s="912">
        <f t="shared" si="52"/>
        <v>17074000</v>
      </c>
      <c r="AD159" s="911">
        <f t="shared" si="53"/>
        <v>15422400.000000002</v>
      </c>
    </row>
    <row r="160" spans="1:33" s="854" customFormat="1">
      <c r="A160" s="837">
        <f>+A159+1</f>
        <v>11</v>
      </c>
      <c r="B160" s="837" t="s">
        <v>3361</v>
      </c>
      <c r="C160" s="887" t="s">
        <v>3350</v>
      </c>
      <c r="D160" s="974" t="s">
        <v>3345</v>
      </c>
      <c r="E160" s="841" t="s">
        <v>3363</v>
      </c>
      <c r="F160" s="937" t="s">
        <v>1300</v>
      </c>
      <c r="G160" s="843">
        <v>1</v>
      </c>
      <c r="H160" s="843"/>
      <c r="I160" s="843"/>
      <c r="J160" s="816">
        <v>20674</v>
      </c>
      <c r="K160" s="1580" t="s">
        <v>3344</v>
      </c>
      <c r="L160" s="806" t="s">
        <v>3362</v>
      </c>
      <c r="M160" s="975" t="s">
        <v>210</v>
      </c>
      <c r="N160" s="938" t="s">
        <v>3343</v>
      </c>
      <c r="O160" s="1506"/>
      <c r="P160" s="1506"/>
      <c r="Q160" s="845"/>
      <c r="R160" s="324">
        <v>432000</v>
      </c>
      <c r="S160" s="845"/>
      <c r="T160" s="324">
        <v>250000</v>
      </c>
      <c r="U160" s="845"/>
      <c r="V160" s="788"/>
      <c r="W160" s="845"/>
      <c r="X160" s="844"/>
      <c r="Y160" s="847">
        <f t="shared" si="50"/>
        <v>250000</v>
      </c>
      <c r="Z160" s="848">
        <f t="shared" si="51"/>
        <v>0</v>
      </c>
      <c r="AA160" s="849"/>
      <c r="AB160" s="341">
        <v>6730000</v>
      </c>
      <c r="AC160" s="851">
        <f t="shared" si="52"/>
        <v>7518400.0000000009</v>
      </c>
      <c r="AD160" s="850">
        <f t="shared" si="53"/>
        <v>7268400.0000000009</v>
      </c>
      <c r="AE160" s="935"/>
      <c r="AF160" s="935"/>
      <c r="AG160" s="840"/>
    </row>
    <row r="161" spans="1:33">
      <c r="A161" s="837">
        <f>+A160+1</f>
        <v>12</v>
      </c>
      <c r="B161" s="673" t="s">
        <v>3352</v>
      </c>
      <c r="C161" s="622" t="s">
        <v>3380</v>
      </c>
      <c r="D161" s="386" t="s">
        <v>3352</v>
      </c>
      <c r="E161" s="47" t="s">
        <v>3382</v>
      </c>
      <c r="F161" s="126" t="s">
        <v>210</v>
      </c>
      <c r="G161" s="984"/>
      <c r="H161" s="985"/>
      <c r="I161" s="986" t="s">
        <v>128</v>
      </c>
      <c r="J161" s="816">
        <v>141</v>
      </c>
      <c r="K161" s="559" t="s">
        <v>3374</v>
      </c>
      <c r="L161" s="170"/>
      <c r="M161" s="595" t="s">
        <v>210</v>
      </c>
      <c r="N161" s="477" t="s">
        <v>3375</v>
      </c>
      <c r="O161" s="1506"/>
      <c r="P161" s="1506"/>
      <c r="Q161" s="248"/>
      <c r="R161" s="248"/>
      <c r="S161" s="248"/>
      <c r="T161" s="248"/>
      <c r="U161" s="248"/>
      <c r="V161" s="247"/>
      <c r="W161" s="845"/>
      <c r="X161" s="158"/>
      <c r="Y161" s="847">
        <f t="shared" si="50"/>
        <v>0</v>
      </c>
      <c r="Z161" s="848">
        <f t="shared" si="51"/>
        <v>0</v>
      </c>
      <c r="AA161" s="249" t="s">
        <v>3381</v>
      </c>
      <c r="AB161" s="341">
        <f>2930000+800000</f>
        <v>3730000</v>
      </c>
      <c r="AC161" s="851">
        <f t="shared" si="52"/>
        <v>4028400.0000000005</v>
      </c>
      <c r="AD161" s="850">
        <f t="shared" si="53"/>
        <v>4028400.0000000005</v>
      </c>
    </row>
    <row r="162" spans="1:33">
      <c r="A162" s="3297" t="s">
        <v>3330</v>
      </c>
      <c r="B162" s="3298"/>
      <c r="C162" s="3298"/>
      <c r="D162" s="3298"/>
      <c r="E162" s="3298"/>
      <c r="F162" s="3298"/>
      <c r="G162" s="3298"/>
      <c r="H162" s="3298"/>
      <c r="I162" s="3298"/>
      <c r="J162" s="3298"/>
      <c r="K162" s="3298"/>
      <c r="L162" s="3298"/>
      <c r="M162" s="346"/>
      <c r="N162" s="346"/>
      <c r="O162" s="346"/>
      <c r="P162" s="346"/>
      <c r="Q162" s="962"/>
      <c r="R162" s="963"/>
      <c r="S162" s="962"/>
      <c r="T162" s="962">
        <f>+R156+Q158+R158+Q159+R159+T159+W159+R160+T160</f>
        <v>5427800</v>
      </c>
      <c r="U162" s="962"/>
      <c r="V162" s="964"/>
      <c r="W162" s="962"/>
      <c r="X162" s="965"/>
      <c r="Y162" s="965">
        <f>SUM(Y150:Y160)</f>
        <v>5286095</v>
      </c>
      <c r="Z162" s="966">
        <f>SUM(Z146:Z155)</f>
        <v>0</v>
      </c>
      <c r="AA162" s="967"/>
      <c r="AB162" s="965">
        <f>SUM(AB150:AB161)</f>
        <v>79990000</v>
      </c>
      <c r="AC162" s="965">
        <f>SUM(AC150:AC161)</f>
        <v>94699295</v>
      </c>
      <c r="AD162" s="965">
        <f>SUM(AD150:AD161)</f>
        <v>89413200</v>
      </c>
    </row>
    <row r="163" spans="1:33">
      <c r="A163" s="326">
        <v>1</v>
      </c>
      <c r="B163" s="673" t="s">
        <v>3352</v>
      </c>
      <c r="C163" s="622" t="s">
        <v>3380</v>
      </c>
      <c r="D163" s="386" t="s">
        <v>3352</v>
      </c>
      <c r="E163" s="47" t="s">
        <v>3399</v>
      </c>
      <c r="F163" s="126" t="s">
        <v>210</v>
      </c>
      <c r="G163" s="984"/>
      <c r="H163" s="985"/>
      <c r="I163" s="986" t="s">
        <v>128</v>
      </c>
      <c r="J163" s="816">
        <v>141</v>
      </c>
      <c r="K163" s="559" t="s">
        <v>3374</v>
      </c>
      <c r="L163" s="1071"/>
      <c r="M163" s="595" t="s">
        <v>210</v>
      </c>
      <c r="N163" s="477" t="s">
        <v>3375</v>
      </c>
      <c r="O163" s="1506"/>
      <c r="P163" s="1506"/>
      <c r="Q163" s="248"/>
      <c r="R163" s="248"/>
      <c r="S163" s="248"/>
      <c r="T163" s="248"/>
      <c r="U163" s="248"/>
      <c r="V163" s="247"/>
      <c r="W163" s="846">
        <v>60000</v>
      </c>
      <c r="X163" s="158"/>
      <c r="Y163" s="847">
        <f t="shared" ref="Y163:Y174" si="54">Q163+T163+U163+W163</f>
        <v>60000</v>
      </c>
      <c r="Z163" s="848">
        <f t="shared" ref="Z163:Z174" si="55">+V163</f>
        <v>0</v>
      </c>
      <c r="AA163" s="249" t="s">
        <v>3400</v>
      </c>
      <c r="AB163" s="250"/>
      <c r="AC163" s="851">
        <f t="shared" ref="AC163:AC174" si="56">((AB163+X163)*1.08)+Y163</f>
        <v>60000</v>
      </c>
      <c r="AD163" s="850">
        <f t="shared" ref="AD163:AD187" si="57">(AB163+X163)*1.08</f>
        <v>0</v>
      </c>
    </row>
    <row r="164" spans="1:33" s="854" customFormat="1">
      <c r="A164" s="837">
        <f>+A163+1</f>
        <v>2</v>
      </c>
      <c r="B164" s="837" t="s">
        <v>3360</v>
      </c>
      <c r="C164" s="629" t="s">
        <v>3376</v>
      </c>
      <c r="D164" s="960" t="s">
        <v>3388</v>
      </c>
      <c r="E164" s="987" t="s">
        <v>3390</v>
      </c>
      <c r="F164" s="937" t="s">
        <v>1300</v>
      </c>
      <c r="G164" s="960">
        <v>1</v>
      </c>
      <c r="H164" s="959"/>
      <c r="I164" s="959"/>
      <c r="J164" s="816">
        <v>16720</v>
      </c>
      <c r="K164" s="979" t="s">
        <v>3370</v>
      </c>
      <c r="L164" s="1069" t="s">
        <v>3389</v>
      </c>
      <c r="M164" s="960" t="s">
        <v>210</v>
      </c>
      <c r="N164" s="982" t="s">
        <v>3372</v>
      </c>
      <c r="O164" s="1548"/>
      <c r="P164" s="1548"/>
      <c r="Q164" s="955"/>
      <c r="R164" s="324">
        <v>432000</v>
      </c>
      <c r="S164" s="955"/>
      <c r="T164" s="371">
        <v>250000</v>
      </c>
      <c r="U164" s="955"/>
      <c r="V164" s="956"/>
      <c r="W164" s="955"/>
      <c r="X164" s="957"/>
      <c r="Y164" s="847">
        <f t="shared" si="54"/>
        <v>250000</v>
      </c>
      <c r="Z164" s="848">
        <f t="shared" si="55"/>
        <v>0</v>
      </c>
      <c r="AA164" s="958"/>
      <c r="AB164" s="341">
        <v>6280000</v>
      </c>
      <c r="AC164" s="851">
        <f>((AB164+X164)*1.08)+Y164</f>
        <v>7032400</v>
      </c>
      <c r="AD164" s="850">
        <f t="shared" si="57"/>
        <v>6782400</v>
      </c>
      <c r="AE164" s="935"/>
      <c r="AF164" s="935"/>
      <c r="AG164" s="840"/>
    </row>
    <row r="165" spans="1:33" ht="26.4">
      <c r="A165" s="837">
        <f>+A164+1</f>
        <v>3</v>
      </c>
      <c r="B165" s="98" t="s">
        <v>3360</v>
      </c>
      <c r="C165" s="627" t="s">
        <v>3402</v>
      </c>
      <c r="D165" s="386" t="s">
        <v>3360</v>
      </c>
      <c r="E165" s="47" t="s">
        <v>3409</v>
      </c>
      <c r="F165" s="126" t="s">
        <v>210</v>
      </c>
      <c r="G165" s="843"/>
      <c r="H165" s="843">
        <v>1</v>
      </c>
      <c r="I165" s="843"/>
      <c r="J165" s="641">
        <f>9603.21+14898.66</f>
        <v>24501.87</v>
      </c>
      <c r="K165" s="559" t="s">
        <v>3359</v>
      </c>
      <c r="L165" s="1071" t="s">
        <v>3401</v>
      </c>
      <c r="M165" s="86" t="s">
        <v>210</v>
      </c>
      <c r="N165" s="477" t="s">
        <v>3337</v>
      </c>
      <c r="O165" s="1506"/>
      <c r="P165" s="1506"/>
      <c r="Q165" s="248"/>
      <c r="R165" s="248"/>
      <c r="S165" s="248"/>
      <c r="T165" s="371">
        <v>500000</v>
      </c>
      <c r="U165" s="248"/>
      <c r="V165" s="247"/>
      <c r="W165" s="248"/>
      <c r="X165" s="341">
        <v>400000</v>
      </c>
      <c r="Y165" s="847">
        <f t="shared" si="54"/>
        <v>500000</v>
      </c>
      <c r="Z165" s="848">
        <f t="shared" si="55"/>
        <v>0</v>
      </c>
      <c r="AA165" s="249"/>
      <c r="AB165" s="341">
        <v>7100000</v>
      </c>
      <c r="AC165" s="851">
        <f t="shared" si="56"/>
        <v>8600000</v>
      </c>
      <c r="AD165" s="850">
        <f t="shared" si="57"/>
        <v>8100000.0000000009</v>
      </c>
    </row>
    <row r="166" spans="1:33" ht="26.4">
      <c r="A166" s="837">
        <f>+A165+1</f>
        <v>4</v>
      </c>
      <c r="B166" s="795">
        <v>45332</v>
      </c>
      <c r="C166" s="1000" t="s">
        <v>3426</v>
      </c>
      <c r="D166" s="684" t="s">
        <v>3415</v>
      </c>
      <c r="E166" s="660" t="s">
        <v>3428</v>
      </c>
      <c r="F166" s="661" t="s">
        <v>210</v>
      </c>
      <c r="G166" s="445"/>
      <c r="H166" s="445">
        <v>1</v>
      </c>
      <c r="I166" s="445"/>
      <c r="J166" s="933">
        <f>17963.47+5685.2</f>
        <v>23648.670000000002</v>
      </c>
      <c r="K166" s="1575" t="s">
        <v>3335</v>
      </c>
      <c r="L166" s="1071" t="s">
        <v>3425</v>
      </c>
      <c r="M166" s="685" t="s">
        <v>210</v>
      </c>
      <c r="N166" s="581" t="s">
        <v>3337</v>
      </c>
      <c r="O166" s="581"/>
      <c r="P166" s="581"/>
      <c r="Q166" s="425"/>
      <c r="R166" s="425"/>
      <c r="S166" s="425"/>
      <c r="T166" s="371">
        <v>500000</v>
      </c>
      <c r="U166" s="425"/>
      <c r="V166" s="426"/>
      <c r="W166" s="425"/>
      <c r="X166" s="341">
        <v>400000</v>
      </c>
      <c r="Y166" s="847">
        <f t="shared" si="54"/>
        <v>500000</v>
      </c>
      <c r="Z166" s="848">
        <f t="shared" si="55"/>
        <v>0</v>
      </c>
      <c r="AA166" s="954" t="s">
        <v>1416</v>
      </c>
      <c r="AB166" s="341">
        <v>7100000</v>
      </c>
      <c r="AC166" s="851">
        <f t="shared" si="56"/>
        <v>8600000</v>
      </c>
      <c r="AD166" s="850">
        <f t="shared" si="57"/>
        <v>8100000.0000000009</v>
      </c>
    </row>
    <row r="167" spans="1:33" ht="26.4">
      <c r="A167" s="837">
        <v>5</v>
      </c>
      <c r="B167" s="46">
        <v>45361</v>
      </c>
      <c r="C167" s="1000" t="s">
        <v>3440</v>
      </c>
      <c r="D167" s="386" t="s">
        <v>3412</v>
      </c>
      <c r="E167" s="47" t="s">
        <v>3441</v>
      </c>
      <c r="F167" s="126" t="s">
        <v>210</v>
      </c>
      <c r="G167" s="167"/>
      <c r="H167" s="167"/>
      <c r="I167" s="167">
        <v>1</v>
      </c>
      <c r="J167" s="577">
        <f>341.55+5494.45</f>
        <v>5836</v>
      </c>
      <c r="K167" s="559" t="s">
        <v>3437</v>
      </c>
      <c r="L167" s="1071"/>
      <c r="M167" s="699" t="s">
        <v>123</v>
      </c>
      <c r="N167" s="935" t="s">
        <v>3485</v>
      </c>
      <c r="O167" s="1549"/>
      <c r="P167" s="1549"/>
      <c r="Q167" s="248"/>
      <c r="R167" s="248"/>
      <c r="S167" s="248"/>
      <c r="T167" s="371">
        <v>82416</v>
      </c>
      <c r="U167" s="248"/>
      <c r="V167" s="247"/>
      <c r="W167" s="248"/>
      <c r="X167" s="341">
        <v>400000</v>
      </c>
      <c r="Y167" s="847">
        <f t="shared" si="54"/>
        <v>82416</v>
      </c>
      <c r="Z167" s="848">
        <f t="shared" si="55"/>
        <v>0</v>
      </c>
      <c r="AA167" s="391" t="s">
        <v>2977</v>
      </c>
      <c r="AB167" s="341">
        <f>(674000*8)+1750000</f>
        <v>7142000</v>
      </c>
      <c r="AC167" s="851">
        <f t="shared" si="56"/>
        <v>8227776.0000000009</v>
      </c>
      <c r="AD167" s="850">
        <f t="shared" si="57"/>
        <v>8145360.0000000009</v>
      </c>
    </row>
    <row r="168" spans="1:33" ht="26.4">
      <c r="A168" s="837">
        <v>6</v>
      </c>
      <c r="B168" s="46">
        <v>45545</v>
      </c>
      <c r="C168" s="627" t="s">
        <v>3479</v>
      </c>
      <c r="D168" s="386" t="s">
        <v>3450</v>
      </c>
      <c r="E168" s="47" t="s">
        <v>3480</v>
      </c>
      <c r="F168" s="126" t="s">
        <v>210</v>
      </c>
      <c r="G168" s="167"/>
      <c r="H168" s="167">
        <v>1</v>
      </c>
      <c r="I168" s="167"/>
      <c r="J168" s="641">
        <f>13384.93+10438.03</f>
        <v>23822.959999999999</v>
      </c>
      <c r="K168" s="559" t="s">
        <v>3334</v>
      </c>
      <c r="L168" s="1071" t="s">
        <v>3478</v>
      </c>
      <c r="M168" s="86" t="s">
        <v>210</v>
      </c>
      <c r="N168" s="477" t="s">
        <v>3336</v>
      </c>
      <c r="O168" s="1506"/>
      <c r="P168" s="1506"/>
      <c r="Q168" s="248"/>
      <c r="R168" s="248"/>
      <c r="S168" s="248"/>
      <c r="T168" s="371">
        <v>500000</v>
      </c>
      <c r="U168" s="248"/>
      <c r="V168" s="247"/>
      <c r="W168" s="248"/>
      <c r="X168" s="341">
        <v>400000</v>
      </c>
      <c r="Y168" s="847">
        <f t="shared" si="54"/>
        <v>500000</v>
      </c>
      <c r="Z168" s="848">
        <f t="shared" si="55"/>
        <v>0</v>
      </c>
      <c r="AA168" s="391" t="s">
        <v>1416</v>
      </c>
      <c r="AB168" s="341">
        <v>7100000</v>
      </c>
      <c r="AC168" s="851">
        <f t="shared" si="56"/>
        <v>8600000</v>
      </c>
      <c r="AD168" s="850">
        <f t="shared" si="57"/>
        <v>8100000.0000000009</v>
      </c>
    </row>
    <row r="169" spans="1:33" s="854" customFormat="1" ht="26.4">
      <c r="A169" s="837">
        <v>7</v>
      </c>
      <c r="B169" s="1014" t="s">
        <v>3502</v>
      </c>
      <c r="C169" s="1011" t="s">
        <v>3494</v>
      </c>
      <c r="D169" s="1012" t="s">
        <v>3489</v>
      </c>
      <c r="E169" s="987" t="s">
        <v>3501</v>
      </c>
      <c r="F169" s="937" t="s">
        <v>1300</v>
      </c>
      <c r="G169" s="960">
        <v>1</v>
      </c>
      <c r="H169" s="959"/>
      <c r="I169" s="959"/>
      <c r="J169" s="641">
        <v>24668</v>
      </c>
      <c r="K169" s="837" t="s">
        <v>3413</v>
      </c>
      <c r="L169" s="1069" t="s">
        <v>3414</v>
      </c>
      <c r="M169" s="699" t="s">
        <v>123</v>
      </c>
      <c r="N169" s="1013" t="s">
        <v>3486</v>
      </c>
      <c r="O169" s="1550"/>
      <c r="P169" s="1550"/>
      <c r="Q169" s="324">
        <v>453600</v>
      </c>
      <c r="R169" s="324">
        <v>432000</v>
      </c>
      <c r="S169" s="955"/>
      <c r="T169" s="371">
        <v>250000</v>
      </c>
      <c r="U169" s="955"/>
      <c r="W169" s="846">
        <f>408000+204000</f>
        <v>612000</v>
      </c>
      <c r="X169" s="957"/>
      <c r="Y169" s="847">
        <f t="shared" si="54"/>
        <v>1315600</v>
      </c>
      <c r="Z169" s="848">
        <f t="shared" si="55"/>
        <v>0</v>
      </c>
      <c r="AA169" s="958"/>
      <c r="AB169" s="341">
        <v>6730000</v>
      </c>
      <c r="AC169" s="851">
        <f t="shared" si="56"/>
        <v>8584000</v>
      </c>
      <c r="AD169" s="850">
        <f t="shared" si="57"/>
        <v>7268400.0000000009</v>
      </c>
      <c r="AE169" s="935"/>
      <c r="AF169" s="935"/>
      <c r="AG169" s="840"/>
    </row>
    <row r="170" spans="1:33" ht="26.4">
      <c r="A170" s="837">
        <v>8</v>
      </c>
      <c r="B170" s="673" t="s">
        <v>3500</v>
      </c>
      <c r="C170" s="627" t="s">
        <v>3543</v>
      </c>
      <c r="D170" s="386" t="s">
        <v>3500</v>
      </c>
      <c r="E170" s="47" t="s">
        <v>3549</v>
      </c>
      <c r="F170" s="126" t="s">
        <v>210</v>
      </c>
      <c r="G170" s="167">
        <v>1</v>
      </c>
      <c r="H170" s="167"/>
      <c r="I170" s="167"/>
      <c r="J170" s="1015">
        <f>13225.75+1734.6+2150</f>
        <v>17110.349999999999</v>
      </c>
      <c r="K170" s="1581" t="s">
        <v>3496</v>
      </c>
      <c r="L170" s="1071" t="s">
        <v>3537</v>
      </c>
      <c r="M170" s="86" t="s">
        <v>210</v>
      </c>
      <c r="N170" s="1013" t="s">
        <v>3511</v>
      </c>
      <c r="O170" s="1550"/>
      <c r="P170" s="1550"/>
      <c r="Q170" s="248"/>
      <c r="R170" s="248"/>
      <c r="S170" s="248"/>
      <c r="T170" s="371">
        <v>250000</v>
      </c>
      <c r="U170" s="248"/>
      <c r="V170" s="247"/>
      <c r="W170" s="248"/>
      <c r="X170" s="341">
        <v>400000</v>
      </c>
      <c r="Y170" s="847">
        <f t="shared" si="54"/>
        <v>250000</v>
      </c>
      <c r="Z170" s="848">
        <f t="shared" si="55"/>
        <v>0</v>
      </c>
      <c r="AA170" s="249"/>
      <c r="AB170" s="341">
        <v>6180000</v>
      </c>
      <c r="AC170" s="851">
        <f t="shared" si="56"/>
        <v>7356400.0000000009</v>
      </c>
      <c r="AD170" s="850">
        <f t="shared" si="57"/>
        <v>7106400.0000000009</v>
      </c>
    </row>
    <row r="171" spans="1:33" ht="26.4">
      <c r="A171" s="837">
        <v>9</v>
      </c>
      <c r="B171" s="673" t="s">
        <v>3500</v>
      </c>
      <c r="C171" s="627" t="s">
        <v>3544</v>
      </c>
      <c r="D171" s="386" t="s">
        <v>3500</v>
      </c>
      <c r="E171" s="47" t="s">
        <v>3550</v>
      </c>
      <c r="F171" s="126" t="s">
        <v>210</v>
      </c>
      <c r="G171" s="167">
        <v>1</v>
      </c>
      <c r="H171" s="167"/>
      <c r="I171" s="167"/>
      <c r="J171" s="1015">
        <f>10643.17+4007.02+2150</f>
        <v>16800.190000000002</v>
      </c>
      <c r="K171" s="1581" t="s">
        <v>3497</v>
      </c>
      <c r="L171" s="1071" t="s">
        <v>3536</v>
      </c>
      <c r="M171" s="86" t="s">
        <v>210</v>
      </c>
      <c r="N171" s="1013" t="s">
        <v>3511</v>
      </c>
      <c r="O171" s="1550"/>
      <c r="P171" s="1550"/>
      <c r="Q171" s="248"/>
      <c r="R171" s="248"/>
      <c r="S171" s="248"/>
      <c r="T171" s="371">
        <v>250000</v>
      </c>
      <c r="U171" s="248"/>
      <c r="V171" s="247"/>
      <c r="W171" s="248"/>
      <c r="X171" s="341">
        <v>400000</v>
      </c>
      <c r="Y171" s="847">
        <f t="shared" si="54"/>
        <v>250000</v>
      </c>
      <c r="Z171" s="848">
        <f t="shared" si="55"/>
        <v>0</v>
      </c>
      <c r="AA171" s="249"/>
      <c r="AB171" s="341">
        <v>6180000</v>
      </c>
      <c r="AC171" s="851">
        <f t="shared" si="56"/>
        <v>7356400.0000000009</v>
      </c>
      <c r="AD171" s="850">
        <f t="shared" si="57"/>
        <v>7106400.0000000009</v>
      </c>
    </row>
    <row r="172" spans="1:33" ht="26.4">
      <c r="A172" s="837">
        <f>+A171+1</f>
        <v>10</v>
      </c>
      <c r="B172" s="673" t="s">
        <v>3542</v>
      </c>
      <c r="C172" s="694" t="s">
        <v>3558</v>
      </c>
      <c r="D172" s="386" t="s">
        <v>3500</v>
      </c>
      <c r="E172" s="47" t="s">
        <v>3551</v>
      </c>
      <c r="F172" s="937" t="s">
        <v>1300</v>
      </c>
      <c r="G172" s="167">
        <v>1</v>
      </c>
      <c r="H172" s="167">
        <v>1</v>
      </c>
      <c r="I172" s="167"/>
      <c r="J172" s="577">
        <v>45876</v>
      </c>
      <c r="K172" s="1582" t="s">
        <v>3506</v>
      </c>
      <c r="L172" s="1085" t="s">
        <v>3545</v>
      </c>
      <c r="M172" s="699" t="s">
        <v>123</v>
      </c>
      <c r="N172" s="1013" t="s">
        <v>3529</v>
      </c>
      <c r="O172" s="1550"/>
      <c r="P172" s="1550"/>
      <c r="Q172" s="248"/>
      <c r="R172" s="324">
        <v>1198800</v>
      </c>
      <c r="S172" s="248"/>
      <c r="T172" s="371">
        <v>750000</v>
      </c>
      <c r="U172" s="248"/>
      <c r="V172" s="247"/>
      <c r="W172" s="248"/>
      <c r="X172" s="341">
        <v>400000</v>
      </c>
      <c r="Y172" s="847">
        <f t="shared" si="54"/>
        <v>750000</v>
      </c>
      <c r="Z172" s="848">
        <f t="shared" si="55"/>
        <v>0</v>
      </c>
      <c r="AA172" s="249"/>
      <c r="AB172" s="341">
        <f>6730000+7150000</f>
        <v>13880000</v>
      </c>
      <c r="AC172" s="851">
        <f t="shared" si="56"/>
        <v>16172400.000000002</v>
      </c>
      <c r="AD172" s="850">
        <f t="shared" si="57"/>
        <v>15422400.000000002</v>
      </c>
    </row>
    <row r="173" spans="1:33" ht="26.4">
      <c r="A173" s="837">
        <f>+A172+1</f>
        <v>11</v>
      </c>
      <c r="B173" s="98" t="s">
        <v>3553</v>
      </c>
      <c r="C173" s="627" t="s">
        <v>3900</v>
      </c>
      <c r="D173" s="46" t="s">
        <v>3553</v>
      </c>
      <c r="E173" s="47" t="s">
        <v>3904</v>
      </c>
      <c r="F173" s="126" t="s">
        <v>210</v>
      </c>
      <c r="G173" s="843"/>
      <c r="H173" s="710">
        <v>1</v>
      </c>
      <c r="I173" s="167"/>
      <c r="J173" s="933">
        <f>19530.87+4244.72</f>
        <v>23775.59</v>
      </c>
      <c r="K173" s="1578" t="s">
        <v>3552</v>
      </c>
      <c r="L173" s="1071" t="s">
        <v>3901</v>
      </c>
      <c r="M173" s="86" t="s">
        <v>210</v>
      </c>
      <c r="N173" s="477" t="s">
        <v>3911</v>
      </c>
      <c r="O173" s="1506"/>
      <c r="P173" s="1506"/>
      <c r="Q173" s="248"/>
      <c r="R173" s="248"/>
      <c r="S173" s="248"/>
      <c r="T173" s="371">
        <v>500000</v>
      </c>
      <c r="U173" s="248"/>
      <c r="V173" s="247"/>
      <c r="W173" s="248"/>
      <c r="X173" s="341">
        <v>400000</v>
      </c>
      <c r="Y173" s="847">
        <f t="shared" si="54"/>
        <v>500000</v>
      </c>
      <c r="Z173" s="848">
        <f t="shared" si="55"/>
        <v>0</v>
      </c>
      <c r="AA173" s="391" t="s">
        <v>1416</v>
      </c>
      <c r="AB173" s="341">
        <v>7100000</v>
      </c>
      <c r="AC173" s="851">
        <f t="shared" si="56"/>
        <v>8600000</v>
      </c>
      <c r="AD173" s="850">
        <f t="shared" si="57"/>
        <v>8100000.0000000009</v>
      </c>
    </row>
    <row r="174" spans="1:33">
      <c r="A174" s="1054">
        <f>+A173+1</f>
        <v>12</v>
      </c>
      <c r="B174" s="1054" t="s">
        <v>3566</v>
      </c>
      <c r="C174" s="631" t="s">
        <v>3954</v>
      </c>
      <c r="D174" s="1054" t="s">
        <v>3542</v>
      </c>
      <c r="E174" s="1030" t="s">
        <v>3910</v>
      </c>
      <c r="F174" s="1084" t="s">
        <v>3569</v>
      </c>
      <c r="G174" s="1056"/>
      <c r="H174" s="710"/>
      <c r="I174" s="167"/>
      <c r="J174" s="127"/>
      <c r="K174" s="1583"/>
      <c r="L174" s="1071"/>
      <c r="M174" s="86" t="s">
        <v>210</v>
      </c>
      <c r="N174" s="477"/>
      <c r="O174" s="1506"/>
      <c r="P174" s="1506"/>
      <c r="Q174" s="248"/>
      <c r="R174" s="248"/>
      <c r="S174" s="248"/>
      <c r="T174" s="248"/>
      <c r="U174" s="248"/>
      <c r="V174" s="247"/>
      <c r="W174" s="248"/>
      <c r="X174" s="158"/>
      <c r="Y174" s="847">
        <f t="shared" si="54"/>
        <v>0</v>
      </c>
      <c r="Z174" s="848">
        <f t="shared" si="55"/>
        <v>0</v>
      </c>
      <c r="AA174" s="249"/>
      <c r="AB174" s="341">
        <v>1500000</v>
      </c>
      <c r="AC174" s="851">
        <f t="shared" si="56"/>
        <v>1620000</v>
      </c>
      <c r="AD174" s="850">
        <f t="shared" si="57"/>
        <v>1620000</v>
      </c>
    </row>
    <row r="175" spans="1:33">
      <c r="A175" s="3316" t="s">
        <v>3560</v>
      </c>
      <c r="B175" s="3316"/>
      <c r="C175" s="3316"/>
      <c r="D175" s="3316"/>
      <c r="E175" s="3316"/>
      <c r="F175" s="3316"/>
      <c r="G175" s="3316"/>
      <c r="H175" s="3316"/>
      <c r="I175" s="3316"/>
      <c r="J175" s="3316"/>
      <c r="K175" s="3316"/>
      <c r="L175" s="3316"/>
      <c r="M175" s="346"/>
      <c r="N175" s="346"/>
      <c r="O175" s="346"/>
      <c r="P175" s="346"/>
      <c r="Q175" s="962"/>
      <c r="R175" s="963"/>
      <c r="S175" s="962">
        <f>+W163+R164+Q169+R169+W169+R172</f>
        <v>3188400</v>
      </c>
      <c r="T175" s="962">
        <f>SUM(T164:T174)</f>
        <v>3832416</v>
      </c>
      <c r="U175" s="962"/>
      <c r="V175" s="964"/>
      <c r="W175" s="962"/>
      <c r="X175" s="965"/>
      <c r="Y175" s="965">
        <f>SUM(Y163:Y174)</f>
        <v>4958016</v>
      </c>
      <c r="Z175" s="966"/>
      <c r="AA175" s="967"/>
      <c r="AB175" s="1078">
        <f>SUM(AB163:AB174)</f>
        <v>76292000</v>
      </c>
      <c r="AC175" s="1078">
        <f>SUM(AC163:AC174)</f>
        <v>90809376</v>
      </c>
      <c r="AD175" s="1078">
        <f>SUM(AD163:AD174)</f>
        <v>85851360</v>
      </c>
    </row>
    <row r="176" spans="1:33" ht="26.4">
      <c r="A176" s="1057">
        <v>1</v>
      </c>
      <c r="B176" s="1057" t="s">
        <v>3923</v>
      </c>
      <c r="C176" s="627" t="s">
        <v>3949</v>
      </c>
      <c r="D176" s="795" t="s">
        <v>3923</v>
      </c>
      <c r="E176" s="660" t="s">
        <v>4062</v>
      </c>
      <c r="F176" s="661" t="s">
        <v>210</v>
      </c>
      <c r="G176" s="445">
        <v>1</v>
      </c>
      <c r="H176" s="445"/>
      <c r="I176" s="445"/>
      <c r="J176" s="933">
        <f>9047.89+5301.01</f>
        <v>14348.9</v>
      </c>
      <c r="K176" s="1578" t="s">
        <v>3913</v>
      </c>
      <c r="L176" s="740" t="s">
        <v>3948</v>
      </c>
      <c r="M176" s="86" t="s">
        <v>210</v>
      </c>
      <c r="N176" s="477" t="s">
        <v>3924</v>
      </c>
      <c r="O176" s="1506"/>
      <c r="P176" s="1506"/>
      <c r="Q176" s="248"/>
      <c r="R176" s="248"/>
      <c r="S176" s="248"/>
      <c r="T176" s="371">
        <v>250000</v>
      </c>
      <c r="U176" s="248"/>
      <c r="V176" s="247"/>
      <c r="W176" s="248"/>
      <c r="X176" s="341">
        <v>400000</v>
      </c>
      <c r="Y176" s="847">
        <f>Q176+T176+U176+W176</f>
        <v>250000</v>
      </c>
      <c r="Z176" s="848">
        <f>+V176</f>
        <v>0</v>
      </c>
      <c r="AA176" s="391" t="s">
        <v>1416</v>
      </c>
      <c r="AB176" s="341">
        <v>6180000</v>
      </c>
      <c r="AC176" s="851">
        <f>((AB176+X176)*1.08)+Y176</f>
        <v>7356400.0000000009</v>
      </c>
      <c r="AD176" s="850">
        <f t="shared" si="57"/>
        <v>7106400.0000000009</v>
      </c>
    </row>
    <row r="177" spans="1:30">
      <c r="A177" s="837">
        <v>2</v>
      </c>
      <c r="B177" s="673" t="s">
        <v>3953</v>
      </c>
      <c r="C177" s="630" t="s">
        <v>3955</v>
      </c>
      <c r="D177" s="46" t="s">
        <v>3915</v>
      </c>
      <c r="E177" s="47" t="s">
        <v>3936</v>
      </c>
      <c r="F177" s="937" t="s">
        <v>1300</v>
      </c>
      <c r="G177" s="167"/>
      <c r="H177" s="167"/>
      <c r="I177" s="167">
        <v>1</v>
      </c>
      <c r="J177" s="1104">
        <v>552.5</v>
      </c>
      <c r="K177" s="1584" t="s">
        <v>3930</v>
      </c>
      <c r="L177" s="170"/>
      <c r="M177" s="595" t="s">
        <v>210</v>
      </c>
      <c r="N177" s="477" t="s">
        <v>3931</v>
      </c>
      <c r="O177" s="1506"/>
      <c r="P177" s="1506"/>
      <c r="Q177" s="324">
        <v>35345</v>
      </c>
      <c r="R177" s="248"/>
      <c r="S177" s="248"/>
      <c r="T177" s="371">
        <v>8288</v>
      </c>
      <c r="U177" s="248"/>
      <c r="V177" s="247"/>
      <c r="W177" s="248"/>
      <c r="X177" s="158"/>
      <c r="Y177" s="847">
        <f t="shared" ref="Y177:Y187" si="58">Q177+T177+U177+W177</f>
        <v>43633</v>
      </c>
      <c r="Z177" s="848">
        <f t="shared" ref="Z177:Z187" si="59">+V177</f>
        <v>0</v>
      </c>
      <c r="AA177" s="249"/>
      <c r="AB177" s="341">
        <v>3050000</v>
      </c>
      <c r="AC177" s="851">
        <f t="shared" ref="AC177:AC187" si="60">((AB177+X177)*1.08)+Y177</f>
        <v>3337633</v>
      </c>
      <c r="AD177" s="850">
        <f t="shared" si="57"/>
        <v>3294000</v>
      </c>
    </row>
    <row r="178" spans="1:30" ht="26.4">
      <c r="A178" s="1057">
        <v>3</v>
      </c>
      <c r="B178" s="1103">
        <v>45607</v>
      </c>
      <c r="C178" s="627" t="s">
        <v>3994</v>
      </c>
      <c r="D178" s="1061">
        <v>45607</v>
      </c>
      <c r="E178" s="1059" t="s">
        <v>3997</v>
      </c>
      <c r="F178" s="661" t="s">
        <v>210</v>
      </c>
      <c r="G178" s="1106"/>
      <c r="H178" s="1106"/>
      <c r="I178" s="1106">
        <v>1</v>
      </c>
      <c r="J178" s="1107">
        <v>3193</v>
      </c>
      <c r="K178" s="1584" t="s">
        <v>3991</v>
      </c>
      <c r="L178" s="1062"/>
      <c r="M178" s="595" t="s">
        <v>210</v>
      </c>
      <c r="N178" s="1100" t="s">
        <v>3992</v>
      </c>
      <c r="O178" s="1506"/>
      <c r="P178" s="1506"/>
      <c r="Q178" s="1108"/>
      <c r="R178" s="1023"/>
      <c r="S178" s="1023"/>
      <c r="T178" s="1167">
        <v>1782</v>
      </c>
      <c r="U178" s="1023"/>
      <c r="V178" s="1024"/>
      <c r="W178" s="1023"/>
      <c r="X178" s="341">
        <v>400000</v>
      </c>
      <c r="Y178" s="847">
        <f t="shared" si="58"/>
        <v>1782</v>
      </c>
      <c r="Z178" s="1102"/>
      <c r="AA178" s="391" t="s">
        <v>3993</v>
      </c>
      <c r="AB178" s="341">
        <f>(674000*5)+(1550000)</f>
        <v>4920000</v>
      </c>
      <c r="AC178" s="851">
        <f t="shared" si="60"/>
        <v>5747382</v>
      </c>
      <c r="AD178" s="850">
        <f t="shared" si="57"/>
        <v>5745600</v>
      </c>
    </row>
    <row r="179" spans="1:30" ht="26.4">
      <c r="A179" s="837">
        <v>4</v>
      </c>
      <c r="B179" s="673" t="s">
        <v>3984</v>
      </c>
      <c r="C179" s="627" t="s">
        <v>4008</v>
      </c>
      <c r="D179" s="46" t="s">
        <v>3984</v>
      </c>
      <c r="E179" s="47" t="s">
        <v>4010</v>
      </c>
      <c r="F179" s="661" t="s">
        <v>210</v>
      </c>
      <c r="G179" s="445">
        <v>1</v>
      </c>
      <c r="H179" s="445"/>
      <c r="I179" s="1105"/>
      <c r="J179" s="933">
        <f>10573.29+3095.46</f>
        <v>13668.75</v>
      </c>
      <c r="K179" s="559" t="s">
        <v>3981</v>
      </c>
      <c r="L179" s="170" t="s">
        <v>4003</v>
      </c>
      <c r="M179" s="595" t="s">
        <v>210</v>
      </c>
      <c r="N179" s="477" t="s">
        <v>3982</v>
      </c>
      <c r="O179" s="1506"/>
      <c r="P179" s="1506"/>
      <c r="Q179" s="248"/>
      <c r="R179" s="248"/>
      <c r="S179" s="248"/>
      <c r="T179" s="371">
        <v>250000</v>
      </c>
      <c r="U179" s="248"/>
      <c r="V179" s="247"/>
      <c r="W179" s="248"/>
      <c r="X179" s="341">
        <v>400000</v>
      </c>
      <c r="Y179" s="847">
        <f t="shared" si="58"/>
        <v>250000</v>
      </c>
      <c r="Z179" s="848">
        <f t="shared" si="59"/>
        <v>0</v>
      </c>
      <c r="AA179" s="249"/>
      <c r="AB179" s="341">
        <v>6180000</v>
      </c>
      <c r="AC179" s="851">
        <f t="shared" si="60"/>
        <v>7356400.0000000009</v>
      </c>
      <c r="AD179" s="850">
        <f t="shared" si="57"/>
        <v>7106400.0000000009</v>
      </c>
    </row>
    <row r="180" spans="1:30" ht="26.4">
      <c r="A180" s="1057">
        <v>5</v>
      </c>
      <c r="B180" s="673" t="s">
        <v>3984</v>
      </c>
      <c r="C180" s="627" t="s">
        <v>4009</v>
      </c>
      <c r="D180" s="46" t="s">
        <v>3984</v>
      </c>
      <c r="E180" s="47" t="s">
        <v>4011</v>
      </c>
      <c r="F180" s="661" t="s">
        <v>210</v>
      </c>
      <c r="G180" s="167"/>
      <c r="H180" s="167">
        <v>1</v>
      </c>
      <c r="I180" s="167"/>
      <c r="J180" s="641">
        <f>16677.82+7161.42</f>
        <v>23839.239999999998</v>
      </c>
      <c r="K180" s="559" t="s">
        <v>3983</v>
      </c>
      <c r="L180" s="170" t="s">
        <v>4002</v>
      </c>
      <c r="M180" s="595" t="s">
        <v>210</v>
      </c>
      <c r="N180" s="477" t="s">
        <v>3982</v>
      </c>
      <c r="O180" s="1506"/>
      <c r="P180" s="1506"/>
      <c r="Q180" s="248"/>
      <c r="R180" s="248"/>
      <c r="S180" s="248"/>
      <c r="T180" s="371">
        <v>500000</v>
      </c>
      <c r="U180" s="248"/>
      <c r="V180" s="247"/>
      <c r="W180" s="248"/>
      <c r="X180" s="341">
        <v>400000</v>
      </c>
      <c r="Y180" s="847">
        <f t="shared" si="58"/>
        <v>500000</v>
      </c>
      <c r="Z180" s="848">
        <f t="shared" si="59"/>
        <v>0</v>
      </c>
      <c r="AB180" s="341">
        <v>7100000</v>
      </c>
      <c r="AC180" s="851">
        <f>((AB180+X180)*1.08)+Y180</f>
        <v>8600000</v>
      </c>
      <c r="AD180" s="850">
        <f t="shared" si="57"/>
        <v>8100000.0000000009</v>
      </c>
    </row>
    <row r="181" spans="1:30" ht="26.4">
      <c r="A181" s="837">
        <v>6</v>
      </c>
      <c r="B181" s="98" t="s">
        <v>3999</v>
      </c>
      <c r="C181" s="631" t="s">
        <v>4049</v>
      </c>
      <c r="D181" s="386" t="s">
        <v>3996</v>
      </c>
      <c r="E181" s="47" t="s">
        <v>4001</v>
      </c>
      <c r="F181" s="693" t="s">
        <v>1300</v>
      </c>
      <c r="G181" s="167"/>
      <c r="H181" s="167">
        <v>1</v>
      </c>
      <c r="I181" s="167"/>
      <c r="J181" s="154">
        <v>22673</v>
      </c>
      <c r="K181" s="559" t="s">
        <v>3995</v>
      </c>
      <c r="L181" s="170" t="s">
        <v>4067</v>
      </c>
      <c r="M181" s="699" t="s">
        <v>123</v>
      </c>
      <c r="N181" s="477" t="s">
        <v>3996</v>
      </c>
      <c r="O181" s="1542"/>
      <c r="P181" s="1542"/>
      <c r="R181" s="324">
        <v>766800</v>
      </c>
      <c r="S181" s="248"/>
      <c r="T181" s="371">
        <v>500000</v>
      </c>
      <c r="U181" s="248"/>
      <c r="V181" s="247"/>
      <c r="W181" s="248"/>
      <c r="X181" s="341">
        <v>400000</v>
      </c>
      <c r="Y181" s="847">
        <f>R181+T181+U181+W181</f>
        <v>1266800</v>
      </c>
      <c r="Z181" s="848">
        <f t="shared" si="59"/>
        <v>0</v>
      </c>
      <c r="AA181" s="249"/>
      <c r="AB181" s="341">
        <v>7150000</v>
      </c>
      <c r="AC181" s="851">
        <f>((AB181+X181)*1.08)+Y181</f>
        <v>9420800</v>
      </c>
      <c r="AD181" s="850">
        <f t="shared" si="57"/>
        <v>8154000.0000000009</v>
      </c>
    </row>
    <row r="182" spans="1:30" ht="26.4">
      <c r="A182" s="1057">
        <v>7</v>
      </c>
      <c r="B182" s="98" t="s">
        <v>4018</v>
      </c>
      <c r="C182" s="627" t="s">
        <v>4050</v>
      </c>
      <c r="D182" s="46" t="s">
        <v>4018</v>
      </c>
      <c r="E182" s="47" t="s">
        <v>4061</v>
      </c>
      <c r="F182" s="126" t="s">
        <v>210</v>
      </c>
      <c r="G182" s="167">
        <v>1</v>
      </c>
      <c r="H182" s="167"/>
      <c r="I182" s="167"/>
      <c r="J182" s="154">
        <f>12189.4+2571.26+2240</f>
        <v>17000.66</v>
      </c>
      <c r="K182" s="559" t="s">
        <v>4012</v>
      </c>
      <c r="L182" s="170" t="s">
        <v>4047</v>
      </c>
      <c r="M182" s="595" t="s">
        <v>210</v>
      </c>
      <c r="N182" s="477" t="s">
        <v>4013</v>
      </c>
      <c r="O182" s="1506"/>
      <c r="P182" s="1506"/>
      <c r="Q182" s="248"/>
      <c r="R182" s="248"/>
      <c r="S182" s="248"/>
      <c r="T182" s="371">
        <v>250000</v>
      </c>
      <c r="U182" s="248"/>
      <c r="V182" s="247"/>
      <c r="W182" s="248"/>
      <c r="X182" s="341">
        <v>400000</v>
      </c>
      <c r="Y182" s="847">
        <f t="shared" si="58"/>
        <v>250000</v>
      </c>
      <c r="Z182" s="848">
        <f t="shared" si="59"/>
        <v>0</v>
      </c>
      <c r="AA182" s="391" t="s">
        <v>1416</v>
      </c>
      <c r="AB182" s="341">
        <v>6180000</v>
      </c>
      <c r="AC182" s="851">
        <f>((AB182+X182)*1.08)+Y182</f>
        <v>7356400.0000000009</v>
      </c>
      <c r="AD182" s="850">
        <f t="shared" si="57"/>
        <v>7106400.0000000009</v>
      </c>
    </row>
    <row r="183" spans="1:30">
      <c r="A183" s="837">
        <v>8</v>
      </c>
      <c r="B183" s="98" t="s">
        <v>4043</v>
      </c>
      <c r="C183" s="1169" t="s">
        <v>4065</v>
      </c>
      <c r="D183" s="98" t="s">
        <v>4043</v>
      </c>
      <c r="E183" s="1168" t="s">
        <v>4066</v>
      </c>
      <c r="F183" s="98" t="s">
        <v>210</v>
      </c>
      <c r="G183" s="98"/>
      <c r="H183" s="98"/>
      <c r="I183" s="1168" t="s">
        <v>128</v>
      </c>
      <c r="J183" s="154">
        <v>422</v>
      </c>
      <c r="K183" s="559" t="s">
        <v>4048</v>
      </c>
      <c r="L183" s="170"/>
      <c r="M183" s="595" t="s">
        <v>210</v>
      </c>
      <c r="N183" s="477" t="s">
        <v>4044</v>
      </c>
      <c r="O183" s="1506"/>
      <c r="P183" s="1506"/>
      <c r="Q183" s="248"/>
      <c r="R183" s="248"/>
      <c r="S183" s="248"/>
      <c r="T183" s="248"/>
      <c r="U183" s="248"/>
      <c r="V183" s="247"/>
      <c r="W183" s="248"/>
      <c r="X183" s="158"/>
      <c r="Y183" s="847">
        <f t="shared" si="58"/>
        <v>0</v>
      </c>
      <c r="Z183" s="848">
        <f t="shared" si="59"/>
        <v>0</v>
      </c>
      <c r="AA183" s="249"/>
      <c r="AB183" s="341">
        <v>2980000</v>
      </c>
      <c r="AC183" s="851">
        <f t="shared" si="60"/>
        <v>3218400</v>
      </c>
      <c r="AD183" s="850">
        <f t="shared" si="57"/>
        <v>3218400</v>
      </c>
    </row>
    <row r="184" spans="1:30">
      <c r="A184" s="3316" t="s">
        <v>4268</v>
      </c>
      <c r="B184" s="3316"/>
      <c r="C184" s="3316"/>
      <c r="D184" s="3316"/>
      <c r="E184" s="3316"/>
      <c r="F184" s="3316"/>
      <c r="G184" s="3316"/>
      <c r="H184" s="3316"/>
      <c r="I184" s="3316"/>
      <c r="J184" s="3316"/>
      <c r="K184" s="3316"/>
      <c r="L184" s="3316"/>
      <c r="M184" s="346"/>
      <c r="N184" s="346"/>
      <c r="O184" s="346"/>
      <c r="P184" s="346"/>
      <c r="Q184" s="962"/>
      <c r="R184" s="963"/>
      <c r="S184" s="962"/>
      <c r="T184" s="962"/>
      <c r="U184" s="962"/>
      <c r="V184" s="964"/>
      <c r="W184" s="962"/>
      <c r="X184" s="965"/>
      <c r="Y184" s="965">
        <f>SUM(Y176:Y183)</f>
        <v>2562215</v>
      </c>
      <c r="Z184" s="965">
        <f>SUM(Z176:Z183)</f>
        <v>0</v>
      </c>
      <c r="AA184" s="967"/>
      <c r="AB184" s="1078">
        <f>SUM(AB176:AB183)</f>
        <v>43740000</v>
      </c>
      <c r="AC184" s="1078">
        <f>SUM(AC176:AC183)</f>
        <v>52393415</v>
      </c>
      <c r="AD184" s="1078">
        <f>SUM(AD176:AD183)</f>
        <v>49831200</v>
      </c>
    </row>
    <row r="185" spans="1:30" ht="26.4">
      <c r="A185" s="1057">
        <v>1</v>
      </c>
      <c r="B185" s="98" t="s">
        <v>4068</v>
      </c>
      <c r="C185" s="631" t="s">
        <v>4075</v>
      </c>
      <c r="D185" s="46" t="s">
        <v>4052</v>
      </c>
      <c r="E185" s="47" t="s">
        <v>4104</v>
      </c>
      <c r="F185" s="693" t="s">
        <v>1300</v>
      </c>
      <c r="G185" s="167"/>
      <c r="H185" s="167">
        <v>1</v>
      </c>
      <c r="I185" s="167"/>
      <c r="J185" s="154">
        <v>23479</v>
      </c>
      <c r="K185" s="559" t="s">
        <v>4063</v>
      </c>
      <c r="L185" s="170" t="s">
        <v>4064</v>
      </c>
      <c r="M185" s="699" t="s">
        <v>123</v>
      </c>
      <c r="N185" s="1172" t="s">
        <v>4052</v>
      </c>
      <c r="O185" s="1551"/>
      <c r="P185" s="1551"/>
      <c r="Q185" s="324">
        <v>361800</v>
      </c>
      <c r="R185" s="324">
        <v>766800</v>
      </c>
      <c r="S185" s="248"/>
      <c r="T185" s="371">
        <v>500000</v>
      </c>
      <c r="U185" s="248"/>
      <c r="V185" s="247"/>
      <c r="W185" s="248"/>
      <c r="X185" s="341">
        <v>400000</v>
      </c>
      <c r="Y185" s="847">
        <f>Q185+T185+U185+W185+R185</f>
        <v>1628600</v>
      </c>
      <c r="Z185" s="848">
        <f>+V185</f>
        <v>0</v>
      </c>
      <c r="AA185" s="249"/>
      <c r="AB185" s="341">
        <v>7150000</v>
      </c>
      <c r="AC185" s="851">
        <f>((AB185+X185)*1.08)+Y185</f>
        <v>9782600</v>
      </c>
      <c r="AD185" s="850">
        <f t="shared" si="57"/>
        <v>8154000.0000000009</v>
      </c>
    </row>
    <row r="186" spans="1:30" ht="26.4">
      <c r="A186" s="837">
        <v>2</v>
      </c>
      <c r="B186" s="98" t="s">
        <v>4068</v>
      </c>
      <c r="C186" s="631" t="s">
        <v>4116</v>
      </c>
      <c r="D186" s="46" t="s">
        <v>4053</v>
      </c>
      <c r="E186" s="47" t="s">
        <v>4113</v>
      </c>
      <c r="F186" s="693" t="s">
        <v>1300</v>
      </c>
      <c r="G186" s="167"/>
      <c r="H186" s="167">
        <v>1</v>
      </c>
      <c r="I186" s="167"/>
      <c r="J186" s="154">
        <v>23381</v>
      </c>
      <c r="K186" s="559" t="s">
        <v>4082</v>
      </c>
      <c r="L186" s="170" t="s">
        <v>4081</v>
      </c>
      <c r="M186" s="699" t="s">
        <v>136</v>
      </c>
      <c r="N186" s="79" t="s">
        <v>4085</v>
      </c>
      <c r="O186" s="1547"/>
      <c r="P186" s="1547"/>
      <c r="Q186" s="324">
        <v>70000</v>
      </c>
      <c r="R186" s="324">
        <v>766800</v>
      </c>
      <c r="S186" s="248"/>
      <c r="T186" s="371">
        <v>500000</v>
      </c>
      <c r="U186" s="248"/>
      <c r="V186" s="247"/>
      <c r="W186" s="248"/>
      <c r="X186" s="341">
        <v>400000</v>
      </c>
      <c r="Y186" s="847">
        <f>Q186+T186+U186+W186+R186</f>
        <v>1336800</v>
      </c>
      <c r="Z186" s="848">
        <f t="shared" si="59"/>
        <v>0</v>
      </c>
      <c r="AA186" s="249"/>
      <c r="AB186" s="341">
        <v>7150000</v>
      </c>
      <c r="AC186" s="851">
        <f>((AB186+X186)*1.08)+Y186</f>
        <v>9490800</v>
      </c>
      <c r="AD186" s="850">
        <f t="shared" si="57"/>
        <v>8154000.0000000009</v>
      </c>
    </row>
    <row r="187" spans="1:30" ht="26.4">
      <c r="A187" s="1057">
        <v>3</v>
      </c>
      <c r="B187" s="98" t="s">
        <v>4068</v>
      </c>
      <c r="C187" s="627" t="s">
        <v>4115</v>
      </c>
      <c r="D187" s="46" t="s">
        <v>4068</v>
      </c>
      <c r="E187" s="47" t="s">
        <v>4117</v>
      </c>
      <c r="F187" s="126" t="s">
        <v>210</v>
      </c>
      <c r="G187" s="167">
        <v>1</v>
      </c>
      <c r="H187" s="167"/>
      <c r="I187" s="167"/>
      <c r="J187" s="154">
        <f>8930.54+5847.67+2150</f>
        <v>16928.21</v>
      </c>
      <c r="K187" s="559" t="s">
        <v>4069</v>
      </c>
      <c r="L187" s="170" t="s">
        <v>4114</v>
      </c>
      <c r="M187" s="86" t="s">
        <v>210</v>
      </c>
      <c r="N187" s="79" t="s">
        <v>4079</v>
      </c>
      <c r="O187" s="1547"/>
      <c r="P187" s="1547"/>
      <c r="Q187" s="248"/>
      <c r="R187" s="248"/>
      <c r="S187" s="248"/>
      <c r="T187" s="371">
        <v>250000</v>
      </c>
      <c r="U187" s="248"/>
      <c r="V187" s="247"/>
      <c r="W187" s="248"/>
      <c r="X187" s="341">
        <v>400000</v>
      </c>
      <c r="Y187" s="847">
        <f t="shared" si="58"/>
        <v>250000</v>
      </c>
      <c r="Z187" s="848">
        <f t="shared" si="59"/>
        <v>0</v>
      </c>
      <c r="AA187" s="391" t="s">
        <v>1416</v>
      </c>
      <c r="AB187" s="341">
        <v>6180000</v>
      </c>
      <c r="AC187" s="851">
        <f t="shared" si="60"/>
        <v>7356400.0000000009</v>
      </c>
      <c r="AD187" s="850">
        <f t="shared" si="57"/>
        <v>7106400.0000000009</v>
      </c>
    </row>
    <row r="188" spans="1:30" ht="26.4">
      <c r="A188" s="837">
        <v>4</v>
      </c>
      <c r="B188" s="1201">
        <v>45334</v>
      </c>
      <c r="C188" s="1225" t="s">
        <v>4124</v>
      </c>
      <c r="D188" s="1206" t="s">
        <v>4130</v>
      </c>
      <c r="E188" s="1198" t="s">
        <v>4131</v>
      </c>
      <c r="F188" s="1199" t="s">
        <v>210</v>
      </c>
      <c r="G188" s="167"/>
      <c r="H188" s="167"/>
      <c r="I188" s="167">
        <v>1</v>
      </c>
      <c r="J188" s="652">
        <v>3318.5</v>
      </c>
      <c r="K188" s="1585" t="s">
        <v>4121</v>
      </c>
      <c r="M188" s="1210" t="s">
        <v>210</v>
      </c>
      <c r="N188" s="1202" t="s">
        <v>4125</v>
      </c>
      <c r="O188" s="1202"/>
      <c r="P188" s="1202"/>
      <c r="Q188" s="1186"/>
      <c r="R188" s="1186"/>
      <c r="S188" s="1186"/>
      <c r="T188" s="371">
        <v>49556</v>
      </c>
      <c r="U188" s="1186"/>
      <c r="V188" s="1187"/>
      <c r="W188" s="1186"/>
      <c r="X188" s="341">
        <v>400000</v>
      </c>
      <c r="Y188" s="847">
        <f t="shared" ref="Y188:Y212" si="61">Q188+T188+U188+W188</f>
        <v>49556</v>
      </c>
      <c r="Z188" s="848">
        <f t="shared" ref="Z188:Z212" si="62">+V188</f>
        <v>0</v>
      </c>
      <c r="AA188" s="1200" t="s">
        <v>3993</v>
      </c>
      <c r="AB188" s="341">
        <f>(674000*5)+(1550000)</f>
        <v>4920000</v>
      </c>
      <c r="AC188" s="851">
        <f t="shared" ref="AC188:AC203" si="63">((AB188+X188)*1.08)+Y188</f>
        <v>5795156</v>
      </c>
      <c r="AD188" s="850">
        <f t="shared" ref="AD188:AD203" si="64">(AB188+X188)*1.08</f>
        <v>5745600</v>
      </c>
    </row>
    <row r="189" spans="1:30" ht="29.25" customHeight="1">
      <c r="A189" s="1057">
        <v>5</v>
      </c>
      <c r="B189" s="46">
        <v>45424</v>
      </c>
      <c r="C189" s="627" t="s">
        <v>4141</v>
      </c>
      <c r="D189" s="386" t="s">
        <v>4183</v>
      </c>
      <c r="E189" s="47" t="s">
        <v>4143</v>
      </c>
      <c r="F189" s="126" t="s">
        <v>210</v>
      </c>
      <c r="G189" s="167">
        <v>1</v>
      </c>
      <c r="H189" s="167"/>
      <c r="I189" s="167"/>
      <c r="J189" s="641">
        <f>11103.81+3606.86</f>
        <v>14710.67</v>
      </c>
      <c r="K189" s="559" t="s">
        <v>4118</v>
      </c>
      <c r="L189" s="170" t="s">
        <v>4140</v>
      </c>
      <c r="M189" s="1210" t="s">
        <v>210</v>
      </c>
      <c r="N189" s="1203" t="s">
        <v>4153</v>
      </c>
      <c r="O189" s="1552"/>
      <c r="P189" s="1552"/>
      <c r="Q189" s="248"/>
      <c r="R189" s="248"/>
      <c r="S189" s="248"/>
      <c r="T189" s="371">
        <v>250000</v>
      </c>
      <c r="U189" s="248"/>
      <c r="V189" s="247"/>
      <c r="W189" s="248"/>
      <c r="X189" s="341">
        <v>400000</v>
      </c>
      <c r="Y189" s="847">
        <f t="shared" si="61"/>
        <v>250000</v>
      </c>
      <c r="Z189" s="848">
        <f t="shared" si="62"/>
        <v>0</v>
      </c>
      <c r="AA189" s="249"/>
      <c r="AB189" s="341">
        <v>6180000</v>
      </c>
      <c r="AC189" s="851">
        <f t="shared" si="63"/>
        <v>7356400.0000000009</v>
      </c>
      <c r="AD189" s="850">
        <f t="shared" si="64"/>
        <v>7106400.0000000009</v>
      </c>
    </row>
    <row r="190" spans="1:30">
      <c r="A190" s="837">
        <v>6</v>
      </c>
      <c r="B190" s="673" t="s">
        <v>4172</v>
      </c>
      <c r="C190" s="630" t="s">
        <v>4170</v>
      </c>
      <c r="D190" s="386" t="s">
        <v>4156</v>
      </c>
      <c r="E190" s="47" t="s">
        <v>4173</v>
      </c>
      <c r="F190" s="693" t="s">
        <v>1300</v>
      </c>
      <c r="G190" s="167"/>
      <c r="H190" s="167">
        <v>1</v>
      </c>
      <c r="I190" s="167"/>
      <c r="J190" s="154">
        <v>24120</v>
      </c>
      <c r="K190" s="559" t="s">
        <v>4144</v>
      </c>
      <c r="L190" s="170" t="s">
        <v>4216</v>
      </c>
      <c r="M190" s="699" t="s">
        <v>123</v>
      </c>
      <c r="N190" s="79" t="s">
        <v>4146</v>
      </c>
      <c r="O190" s="1547"/>
      <c r="P190" s="1547"/>
      <c r="Q190" s="248"/>
      <c r="R190" s="324">
        <v>766800</v>
      </c>
      <c r="S190" s="248"/>
      <c r="T190" s="371">
        <v>500000</v>
      </c>
      <c r="U190" s="248"/>
      <c r="V190" s="247"/>
      <c r="W190" s="248"/>
      <c r="X190" s="158"/>
      <c r="Y190" s="847">
        <f>Q190+T190+U190+W190+R190</f>
        <v>1266800</v>
      </c>
      <c r="Z190" s="848">
        <f t="shared" si="62"/>
        <v>0</v>
      </c>
      <c r="AA190" s="249"/>
      <c r="AB190" s="341">
        <v>7150000</v>
      </c>
      <c r="AC190" s="851">
        <f t="shared" si="63"/>
        <v>8988800</v>
      </c>
      <c r="AD190" s="850">
        <f t="shared" si="64"/>
        <v>7722000.0000000009</v>
      </c>
    </row>
    <row r="191" spans="1:30" ht="26.4">
      <c r="A191" s="1057">
        <v>7</v>
      </c>
      <c r="B191" s="673" t="s">
        <v>4172</v>
      </c>
      <c r="C191" s="631" t="s">
        <v>4171</v>
      </c>
      <c r="D191" s="386" t="s">
        <v>4156</v>
      </c>
      <c r="E191" s="47" t="s">
        <v>4174</v>
      </c>
      <c r="F191" s="693" t="s">
        <v>1300</v>
      </c>
      <c r="G191" s="167"/>
      <c r="H191" s="167">
        <v>1</v>
      </c>
      <c r="I191" s="167"/>
      <c r="J191" s="154">
        <v>23340</v>
      </c>
      <c r="K191" s="559" t="s">
        <v>4145</v>
      </c>
      <c r="L191" s="170" t="s">
        <v>4215</v>
      </c>
      <c r="M191" s="699" t="s">
        <v>123</v>
      </c>
      <c r="N191" s="79" t="s">
        <v>4146</v>
      </c>
      <c r="O191" s="1547"/>
      <c r="P191" s="1547"/>
      <c r="Q191" s="248"/>
      <c r="R191" s="324">
        <v>766800</v>
      </c>
      <c r="S191" s="248"/>
      <c r="T191" s="371">
        <v>500000</v>
      </c>
      <c r="U191" s="248"/>
      <c r="V191" s="247"/>
      <c r="W191" s="248"/>
      <c r="X191" s="341">
        <v>400000</v>
      </c>
      <c r="Y191" s="847">
        <f>Q191+T191+U191+W191+R191</f>
        <v>1266800</v>
      </c>
      <c r="Z191" s="848">
        <f t="shared" si="62"/>
        <v>0</v>
      </c>
      <c r="AA191" s="249"/>
      <c r="AB191" s="341">
        <v>7150000</v>
      </c>
      <c r="AC191" s="851">
        <f t="shared" si="63"/>
        <v>9420800</v>
      </c>
      <c r="AD191" s="850">
        <f t="shared" si="64"/>
        <v>8154000.0000000009</v>
      </c>
    </row>
    <row r="192" spans="1:30" ht="27" customHeight="1">
      <c r="A192" s="837">
        <v>8</v>
      </c>
      <c r="B192" s="673" t="s">
        <v>4154</v>
      </c>
      <c r="C192" s="627" t="s">
        <v>4205</v>
      </c>
      <c r="D192" s="46">
        <v>45638</v>
      </c>
      <c r="E192" s="47" t="s">
        <v>4212</v>
      </c>
      <c r="F192" s="126" t="s">
        <v>210</v>
      </c>
      <c r="G192" s="167"/>
      <c r="H192" s="167">
        <v>1</v>
      </c>
      <c r="I192" s="167"/>
      <c r="J192" s="154">
        <v>23616.79</v>
      </c>
      <c r="K192" s="559" t="s">
        <v>4155</v>
      </c>
      <c r="L192" s="170" t="s">
        <v>4208</v>
      </c>
      <c r="M192" s="699" t="s">
        <v>123</v>
      </c>
      <c r="N192" s="1203" t="s">
        <v>4202</v>
      </c>
      <c r="O192" s="1552"/>
      <c r="P192" s="1552"/>
      <c r="Q192" s="248"/>
      <c r="R192" s="248"/>
      <c r="S192" s="248"/>
      <c r="T192" s="371">
        <v>500000</v>
      </c>
      <c r="U192" s="248"/>
      <c r="V192" s="247"/>
      <c r="W192" s="248"/>
      <c r="X192" s="341">
        <v>400000</v>
      </c>
      <c r="Y192" s="847">
        <f t="shared" si="61"/>
        <v>500000</v>
      </c>
      <c r="Z192" s="848">
        <f t="shared" si="62"/>
        <v>0</v>
      </c>
      <c r="AA192" s="249"/>
      <c r="AB192" s="341">
        <v>7100000</v>
      </c>
      <c r="AC192" s="851">
        <f t="shared" si="63"/>
        <v>8600000</v>
      </c>
      <c r="AD192" s="850">
        <f t="shared" si="64"/>
        <v>8100000.0000000009</v>
      </c>
    </row>
    <row r="193" spans="1:30" ht="27" customHeight="1">
      <c r="A193" s="1057">
        <v>9</v>
      </c>
      <c r="B193" s="98" t="s">
        <v>4218</v>
      </c>
      <c r="C193" s="627" t="s">
        <v>4252</v>
      </c>
      <c r="D193" s="46" t="s">
        <v>4218</v>
      </c>
      <c r="E193" s="47" t="s">
        <v>4258</v>
      </c>
      <c r="F193" s="126" t="s">
        <v>210</v>
      </c>
      <c r="G193" s="167">
        <v>1</v>
      </c>
      <c r="H193" s="167"/>
      <c r="I193" s="167"/>
      <c r="J193" s="154">
        <f>12557.66+2265.81</f>
        <v>14823.47</v>
      </c>
      <c r="K193" s="559" t="s">
        <v>4219</v>
      </c>
      <c r="L193" s="170" t="s">
        <v>4251</v>
      </c>
      <c r="M193" s="86" t="s">
        <v>210</v>
      </c>
      <c r="N193" s="1203" t="s">
        <v>4253</v>
      </c>
      <c r="O193" s="1552"/>
      <c r="P193" s="1552"/>
      <c r="Q193" s="248"/>
      <c r="R193" s="248"/>
      <c r="S193" s="248"/>
      <c r="T193" s="371">
        <v>250000</v>
      </c>
      <c r="U193" s="248"/>
      <c r="V193" s="247"/>
      <c r="W193" s="248"/>
      <c r="X193" s="341">
        <v>400000</v>
      </c>
      <c r="Y193" s="847">
        <f t="shared" si="61"/>
        <v>250000</v>
      </c>
      <c r="Z193" s="848">
        <f t="shared" si="62"/>
        <v>0</v>
      </c>
      <c r="AA193" s="391" t="s">
        <v>1416</v>
      </c>
      <c r="AB193" s="341">
        <v>6180000</v>
      </c>
      <c r="AC193" s="851">
        <f t="shared" si="63"/>
        <v>7356400.0000000009</v>
      </c>
      <c r="AD193" s="850">
        <f t="shared" si="64"/>
        <v>7106400.0000000009</v>
      </c>
    </row>
    <row r="194" spans="1:30">
      <c r="A194" s="3316" t="s">
        <v>4267</v>
      </c>
      <c r="B194" s="3316"/>
      <c r="C194" s="3316"/>
      <c r="D194" s="3316"/>
      <c r="E194" s="3316"/>
      <c r="F194" s="3316"/>
      <c r="G194" s="3316"/>
      <c r="H194" s="3316"/>
      <c r="I194" s="3316"/>
      <c r="J194" s="3316"/>
      <c r="K194" s="3316"/>
      <c r="L194" s="3316"/>
      <c r="M194" s="346"/>
      <c r="N194" s="346"/>
      <c r="O194" s="346"/>
      <c r="P194" s="346"/>
      <c r="Q194" s="962"/>
      <c r="R194" s="963"/>
      <c r="S194" s="962"/>
      <c r="T194" s="962">
        <f>SUM(T185:T193)</f>
        <v>3299556</v>
      </c>
      <c r="U194" s="962"/>
      <c r="V194" s="964"/>
      <c r="W194" s="962"/>
      <c r="X194" s="965"/>
      <c r="Y194" s="965">
        <f>SUM(Y185:Y193)</f>
        <v>6798556</v>
      </c>
      <c r="Z194" s="965">
        <f>SUM(Z176:Z193)</f>
        <v>0</v>
      </c>
      <c r="AA194" s="967"/>
      <c r="AB194" s="1078">
        <f>SUM(AB185:AB193)</f>
        <v>59160000</v>
      </c>
      <c r="AC194" s="1078">
        <f>+Y194+AB194</f>
        <v>65958556</v>
      </c>
      <c r="AD194" s="1078">
        <f>SUM(AD185:AD193)</f>
        <v>67348800.000000015</v>
      </c>
    </row>
    <row r="195" spans="1:30" ht="39" customHeight="1">
      <c r="A195" s="837">
        <v>1</v>
      </c>
      <c r="C195" s="630" t="s">
        <v>4305</v>
      </c>
      <c r="D195" s="386" t="s">
        <v>4284</v>
      </c>
      <c r="E195" s="1381" t="s">
        <v>4350</v>
      </c>
      <c r="F195" s="126" t="s">
        <v>4303</v>
      </c>
      <c r="G195" s="3402" t="s">
        <v>4445</v>
      </c>
      <c r="H195" s="3403"/>
      <c r="I195" s="3404"/>
      <c r="J195" s="743">
        <f>840+23.5+23.5+1004.5+24.5+24.5+1056+880+7+590.2+864+23.5+120+5+27+27.5</f>
        <v>5540.7</v>
      </c>
      <c r="K195" s="559">
        <v>112400035235995</v>
      </c>
      <c r="L195" s="170"/>
      <c r="M195" s="705" t="s">
        <v>136</v>
      </c>
      <c r="N195" s="477"/>
      <c r="O195" s="1506"/>
      <c r="P195" s="1506"/>
      <c r="Q195" s="248"/>
      <c r="R195" s="248"/>
      <c r="S195" s="248"/>
      <c r="T195" s="248"/>
      <c r="U195" s="248"/>
      <c r="V195" s="247"/>
      <c r="W195" s="248"/>
      <c r="X195" s="158"/>
      <c r="Y195" s="847">
        <f t="shared" si="61"/>
        <v>0</v>
      </c>
      <c r="Z195" s="848">
        <f t="shared" si="62"/>
        <v>0</v>
      </c>
      <c r="AA195" s="391"/>
      <c r="AB195" s="341">
        <v>6350000</v>
      </c>
      <c r="AC195" s="851">
        <f>((AB195+X195)*1.08)+Y195</f>
        <v>6858000</v>
      </c>
      <c r="AD195" s="850">
        <f t="shared" si="64"/>
        <v>6858000</v>
      </c>
    </row>
    <row r="196" spans="1:30" ht="26.4">
      <c r="A196" s="837">
        <f t="shared" ref="A196:A212" si="65">+A195+1</f>
        <v>2</v>
      </c>
      <c r="B196" s="98" t="s">
        <v>4282</v>
      </c>
      <c r="C196" s="1232" t="s">
        <v>4316</v>
      </c>
      <c r="D196" s="1228" t="s">
        <v>4282</v>
      </c>
      <c r="E196" s="1381" t="s">
        <v>4351</v>
      </c>
      <c r="F196" s="1234" t="s">
        <v>210</v>
      </c>
      <c r="G196" s="710">
        <v>1</v>
      </c>
      <c r="H196" s="167"/>
      <c r="I196" s="167"/>
      <c r="J196" s="1104">
        <f>8779.44+5746.05</f>
        <v>14525.490000000002</v>
      </c>
      <c r="K196" s="1586" t="s">
        <v>4263</v>
      </c>
      <c r="L196" s="1673" t="s">
        <v>4320</v>
      </c>
      <c r="M196" s="1235" t="s">
        <v>210</v>
      </c>
      <c r="N196" s="1236" t="s">
        <v>4417</v>
      </c>
      <c r="O196" s="1236"/>
      <c r="P196" s="1494"/>
      <c r="Q196" s="248"/>
      <c r="R196" s="248"/>
      <c r="S196" s="248"/>
      <c r="T196" s="371">
        <v>250000</v>
      </c>
      <c r="U196" s="248"/>
      <c r="V196" s="247"/>
      <c r="W196" s="248"/>
      <c r="X196" s="341">
        <v>400000</v>
      </c>
      <c r="Y196" s="847">
        <f t="shared" si="61"/>
        <v>250000</v>
      </c>
      <c r="Z196" s="848">
        <f t="shared" si="62"/>
        <v>0</v>
      </c>
      <c r="AA196" s="391" t="s">
        <v>1416</v>
      </c>
      <c r="AB196" s="341">
        <v>6180000</v>
      </c>
      <c r="AC196" s="851">
        <f t="shared" si="63"/>
        <v>7356400.0000000009</v>
      </c>
      <c r="AD196" s="850">
        <f t="shared" si="64"/>
        <v>7106400.0000000009</v>
      </c>
    </row>
    <row r="197" spans="1:30" ht="26.4">
      <c r="A197" s="837">
        <f t="shared" si="65"/>
        <v>3</v>
      </c>
      <c r="B197" s="46">
        <v>45809</v>
      </c>
      <c r="C197" s="1232" t="s">
        <v>4361</v>
      </c>
      <c r="D197" s="46">
        <v>45809</v>
      </c>
      <c r="E197" s="1382" t="s">
        <v>4381</v>
      </c>
      <c r="F197" s="1228" t="s">
        <v>210</v>
      </c>
      <c r="G197" s="1257"/>
      <c r="H197" s="1257">
        <v>1</v>
      </c>
      <c r="I197" s="1257"/>
      <c r="J197" s="1258">
        <f>21374.09+2317.11</f>
        <v>23691.200000000001</v>
      </c>
      <c r="K197" s="1587" t="s">
        <v>4331</v>
      </c>
      <c r="L197" s="1587" t="s">
        <v>4359</v>
      </c>
      <c r="M197" s="1259" t="s">
        <v>123</v>
      </c>
      <c r="N197" s="1250" t="s">
        <v>4418</v>
      </c>
      <c r="O197" s="1547"/>
      <c r="P197" s="1547"/>
      <c r="Q197" s="248"/>
      <c r="R197" s="248"/>
      <c r="S197" s="248"/>
      <c r="T197" s="371">
        <v>500000</v>
      </c>
      <c r="U197" s="248"/>
      <c r="V197" s="247"/>
      <c r="W197" s="248"/>
      <c r="X197" s="341">
        <v>400000</v>
      </c>
      <c r="Y197" s="847">
        <f t="shared" si="61"/>
        <v>500000</v>
      </c>
      <c r="Z197" s="848">
        <f t="shared" si="62"/>
        <v>0</v>
      </c>
      <c r="AA197" s="249"/>
      <c r="AB197" s="341">
        <v>7100000</v>
      </c>
      <c r="AC197" s="851">
        <f t="shared" si="63"/>
        <v>8600000</v>
      </c>
      <c r="AD197" s="850">
        <f t="shared" si="64"/>
        <v>8100000.0000000009</v>
      </c>
    </row>
    <row r="198" spans="1:30" ht="26.4">
      <c r="A198" s="837">
        <f t="shared" si="65"/>
        <v>4</v>
      </c>
      <c r="B198" s="46">
        <v>45839</v>
      </c>
      <c r="C198" s="1232" t="s">
        <v>4412</v>
      </c>
      <c r="D198" s="46">
        <v>45839</v>
      </c>
      <c r="E198" s="1382" t="s">
        <v>4456</v>
      </c>
      <c r="F198" s="1228" t="s">
        <v>210</v>
      </c>
      <c r="G198" s="710"/>
      <c r="H198" s="167">
        <v>1</v>
      </c>
      <c r="I198" s="167"/>
      <c r="J198" s="154">
        <f>7805.97+15657.76</f>
        <v>23463.73</v>
      </c>
      <c r="K198" s="1575" t="s">
        <v>4330</v>
      </c>
      <c r="L198" s="1587" t="s">
        <v>4393</v>
      </c>
      <c r="M198" s="86" t="s">
        <v>210</v>
      </c>
      <c r="N198" s="477" t="s">
        <v>4418</v>
      </c>
      <c r="O198" s="1506"/>
      <c r="P198" s="1506"/>
      <c r="Q198" s="248"/>
      <c r="R198" s="248"/>
      <c r="S198" s="248"/>
      <c r="T198" s="371">
        <v>500000</v>
      </c>
      <c r="U198" s="248"/>
      <c r="V198" s="247"/>
      <c r="W198" s="248"/>
      <c r="X198" s="341">
        <v>400000</v>
      </c>
      <c r="Y198" s="847">
        <f t="shared" si="61"/>
        <v>500000</v>
      </c>
      <c r="Z198" s="848">
        <f t="shared" si="62"/>
        <v>0</v>
      </c>
      <c r="AA198" s="249"/>
      <c r="AB198" s="341">
        <v>7100000</v>
      </c>
      <c r="AC198" s="851">
        <f t="shared" si="63"/>
        <v>8600000</v>
      </c>
      <c r="AD198" s="850">
        <f t="shared" si="64"/>
        <v>8100000.0000000009</v>
      </c>
    </row>
    <row r="199" spans="1:30" ht="26.4">
      <c r="A199" s="837">
        <f t="shared" si="65"/>
        <v>5</v>
      </c>
      <c r="B199" s="46">
        <v>45870</v>
      </c>
      <c r="C199" s="631" t="s">
        <v>4340</v>
      </c>
      <c r="D199" s="386" t="s">
        <v>4336</v>
      </c>
      <c r="E199" s="1382" t="s">
        <v>4352</v>
      </c>
      <c r="F199" s="1238" t="s">
        <v>1300</v>
      </c>
      <c r="G199" s="1239"/>
      <c r="H199" s="1239"/>
      <c r="I199" s="1240">
        <v>1</v>
      </c>
      <c r="J199" s="1241" t="s">
        <v>4339</v>
      </c>
      <c r="K199" s="1588" t="s">
        <v>4338</v>
      </c>
      <c r="L199" s="1308"/>
      <c r="M199" s="699" t="s">
        <v>123</v>
      </c>
      <c r="N199" s="1239" t="s">
        <v>4382</v>
      </c>
      <c r="O199" s="1549"/>
      <c r="P199" s="1549"/>
      <c r="Q199" s="248"/>
      <c r="R199" s="248"/>
      <c r="S199" s="248"/>
      <c r="T199" s="371">
        <v>87311</v>
      </c>
      <c r="U199" s="248"/>
      <c r="V199" s="247"/>
      <c r="W199" s="248"/>
      <c r="X199" s="341">
        <v>400000</v>
      </c>
      <c r="Y199" s="847">
        <f t="shared" si="61"/>
        <v>87311</v>
      </c>
      <c r="Z199" s="848">
        <f t="shared" si="62"/>
        <v>0</v>
      </c>
      <c r="AA199" s="249"/>
      <c r="AB199" s="341">
        <v>3922680</v>
      </c>
      <c r="AC199" s="851">
        <f t="shared" si="63"/>
        <v>4755805.4000000004</v>
      </c>
      <c r="AD199" s="850">
        <f t="shared" si="64"/>
        <v>4668494.4000000004</v>
      </c>
    </row>
    <row r="200" spans="1:30" ht="26.4">
      <c r="A200" s="837">
        <f t="shared" si="65"/>
        <v>6</v>
      </c>
      <c r="B200" s="1375" t="s">
        <v>4467</v>
      </c>
      <c r="C200" s="1359" t="s">
        <v>4482</v>
      </c>
      <c r="D200" s="1360" t="s">
        <v>4421</v>
      </c>
      <c r="E200" s="1382" t="s">
        <v>4457</v>
      </c>
      <c r="F200" s="1238" t="s">
        <v>1300</v>
      </c>
      <c r="G200" s="1239"/>
      <c r="H200" s="1240">
        <v>1</v>
      </c>
      <c r="I200" s="1239"/>
      <c r="J200" s="1324" t="s">
        <v>4415</v>
      </c>
      <c r="K200" s="1588" t="s">
        <v>4413</v>
      </c>
      <c r="L200" s="1228" t="s">
        <v>4414</v>
      </c>
      <c r="M200" s="699" t="s">
        <v>123</v>
      </c>
      <c r="N200" s="1325" t="s">
        <v>4416</v>
      </c>
      <c r="O200" s="1553"/>
      <c r="P200" s="1553"/>
      <c r="Q200" s="324">
        <v>361800</v>
      </c>
      <c r="R200" s="324">
        <v>766800</v>
      </c>
      <c r="S200" s="248"/>
      <c r="T200" s="371">
        <v>500000</v>
      </c>
      <c r="U200" s="248"/>
      <c r="V200" s="247"/>
      <c r="W200" s="324">
        <v>150000</v>
      </c>
      <c r="X200" s="341">
        <v>400000</v>
      </c>
      <c r="Y200" s="847">
        <f t="shared" si="61"/>
        <v>1011800</v>
      </c>
      <c r="Z200" s="848">
        <f t="shared" si="62"/>
        <v>0</v>
      </c>
      <c r="AA200" s="391" t="s">
        <v>2101</v>
      </c>
      <c r="AB200" s="341">
        <v>7500000</v>
      </c>
      <c r="AC200" s="851">
        <f t="shared" si="63"/>
        <v>9543800</v>
      </c>
      <c r="AD200" s="850">
        <f t="shared" si="64"/>
        <v>8532000</v>
      </c>
    </row>
    <row r="201" spans="1:30" ht="26.4">
      <c r="A201" s="837">
        <f>+A203+1</f>
        <v>9</v>
      </c>
      <c r="B201" s="1376" t="s">
        <v>4467</v>
      </c>
      <c r="C201" s="1169" t="s">
        <v>4514</v>
      </c>
      <c r="D201" s="46" t="s">
        <v>4467</v>
      </c>
      <c r="E201" s="179" t="s">
        <v>4525</v>
      </c>
      <c r="F201" s="126" t="s">
        <v>210</v>
      </c>
      <c r="G201" s="167">
        <v>1</v>
      </c>
      <c r="H201" s="167"/>
      <c r="I201" s="167"/>
      <c r="J201" s="1367">
        <v>4734.5</v>
      </c>
      <c r="K201" s="1588">
        <v>2754282430</v>
      </c>
      <c r="L201" s="86" t="s">
        <v>4496</v>
      </c>
      <c r="M201" s="86" t="s">
        <v>210</v>
      </c>
      <c r="N201" s="1325" t="s">
        <v>4468</v>
      </c>
      <c r="O201" s="1553"/>
      <c r="P201" s="1553"/>
      <c r="Q201" s="1349"/>
      <c r="R201" s="248"/>
      <c r="S201" s="248"/>
      <c r="T201" s="371">
        <v>250000</v>
      </c>
      <c r="U201" s="248"/>
      <c r="V201" s="247"/>
      <c r="W201" s="248"/>
      <c r="X201" s="158"/>
      <c r="Y201" s="847">
        <f>Q201+T201+U201+W201</f>
        <v>250000</v>
      </c>
      <c r="Z201" s="848">
        <f>+V201</f>
        <v>0</v>
      </c>
      <c r="AA201" s="249"/>
      <c r="AB201" s="341">
        <v>6180000</v>
      </c>
      <c r="AC201" s="851">
        <f t="shared" si="63"/>
        <v>6924400</v>
      </c>
      <c r="AD201" s="850">
        <f t="shared" si="64"/>
        <v>6674400</v>
      </c>
    </row>
    <row r="202" spans="1:30" ht="39.6">
      <c r="A202" s="837">
        <f>+A200+1</f>
        <v>7</v>
      </c>
      <c r="B202" s="1380" t="s">
        <v>4483</v>
      </c>
      <c r="C202" s="1248" t="s">
        <v>4470</v>
      </c>
      <c r="D202" s="1360" t="s">
        <v>4428</v>
      </c>
      <c r="E202" s="1382" t="s">
        <v>4526</v>
      </c>
      <c r="F202" s="1238" t="s">
        <v>1300</v>
      </c>
      <c r="G202" s="1239"/>
      <c r="H202" s="1240">
        <v>1</v>
      </c>
      <c r="I202" s="1239"/>
      <c r="J202" s="1362">
        <v>23996</v>
      </c>
      <c r="K202" s="1588" t="s">
        <v>4463</v>
      </c>
      <c r="L202" s="1228" t="s">
        <v>4464</v>
      </c>
      <c r="M202" s="699" t="s">
        <v>123</v>
      </c>
      <c r="N202" s="1325" t="s">
        <v>4501</v>
      </c>
      <c r="O202" s="1553"/>
      <c r="P202" s="1553"/>
      <c r="Q202" s="373">
        <v>361800</v>
      </c>
      <c r="R202" s="324">
        <v>766800</v>
      </c>
      <c r="S202" s="248"/>
      <c r="T202" s="371">
        <v>500000</v>
      </c>
      <c r="U202" s="248"/>
      <c r="V202" s="247"/>
      <c r="W202" s="248"/>
      <c r="X202" s="158"/>
      <c r="Y202" s="847">
        <f t="shared" si="61"/>
        <v>861800</v>
      </c>
      <c r="Z202" s="848">
        <f t="shared" si="62"/>
        <v>0</v>
      </c>
      <c r="AA202" s="249"/>
      <c r="AB202" s="341">
        <v>7150000</v>
      </c>
      <c r="AC202" s="851">
        <f t="shared" si="63"/>
        <v>8583800</v>
      </c>
      <c r="AD202" s="850">
        <f t="shared" si="64"/>
        <v>7722000.0000000009</v>
      </c>
    </row>
    <row r="203" spans="1:30" ht="39.6">
      <c r="A203" s="837">
        <f t="shared" si="65"/>
        <v>8</v>
      </c>
      <c r="B203" s="98" t="s">
        <v>4500</v>
      </c>
      <c r="C203" s="1368" t="s">
        <v>4621</v>
      </c>
      <c r="D203" s="684" t="s">
        <v>4467</v>
      </c>
      <c r="E203" s="779" t="s">
        <v>4527</v>
      </c>
      <c r="F203" s="1238" t="s">
        <v>1300</v>
      </c>
      <c r="G203" s="445"/>
      <c r="H203" s="1240">
        <v>1</v>
      </c>
      <c r="I203" s="445"/>
      <c r="J203" s="1362">
        <v>23482</v>
      </c>
      <c r="K203" s="1588" t="s">
        <v>4465</v>
      </c>
      <c r="L203" s="1228" t="s">
        <v>4466</v>
      </c>
      <c r="M203" s="699" t="s">
        <v>123</v>
      </c>
      <c r="N203" s="1325" t="s">
        <v>4502</v>
      </c>
      <c r="O203" s="1553"/>
      <c r="P203" s="1553"/>
      <c r="Q203" s="324">
        <f>361800+267840</f>
        <v>629640</v>
      </c>
      <c r="R203" s="324">
        <v>766800</v>
      </c>
      <c r="S203" s="248"/>
      <c r="T203" s="371">
        <v>500000</v>
      </c>
      <c r="U203" s="248"/>
      <c r="V203" s="247"/>
      <c r="W203" s="248"/>
      <c r="X203" s="341">
        <v>400000</v>
      </c>
      <c r="Y203" s="847">
        <f>Q203+T203+U203+W203</f>
        <v>1129640</v>
      </c>
      <c r="Z203" s="848">
        <f t="shared" si="62"/>
        <v>0</v>
      </c>
      <c r="AA203" s="249"/>
      <c r="AB203" s="341">
        <v>7150000</v>
      </c>
      <c r="AC203" s="851">
        <f t="shared" si="63"/>
        <v>9283640</v>
      </c>
      <c r="AD203" s="850">
        <f t="shared" si="64"/>
        <v>8154000.0000000009</v>
      </c>
    </row>
    <row r="204" spans="1:30">
      <c r="A204" s="837">
        <v>9</v>
      </c>
      <c r="B204" s="98" t="s">
        <v>4478</v>
      </c>
      <c r="C204" s="1169" t="s">
        <v>4512</v>
      </c>
      <c r="D204" s="46" t="s">
        <v>4513</v>
      </c>
      <c r="E204" s="179" t="s">
        <v>4528</v>
      </c>
      <c r="F204" s="126" t="s">
        <v>210</v>
      </c>
      <c r="G204" s="167"/>
      <c r="H204" s="167"/>
      <c r="I204" s="167" t="s">
        <v>128</v>
      </c>
      <c r="J204" s="1373">
        <v>46.402000000000001</v>
      </c>
      <c r="K204" s="1575"/>
      <c r="L204" s="170"/>
      <c r="M204" s="595" t="s">
        <v>210</v>
      </c>
      <c r="N204" s="477"/>
      <c r="O204" s="1506"/>
      <c r="P204" s="1506"/>
      <c r="Q204" s="248"/>
      <c r="R204" s="248"/>
      <c r="S204" s="248"/>
      <c r="T204" s="248"/>
      <c r="U204" s="248"/>
      <c r="V204" s="247"/>
      <c r="W204" s="248"/>
      <c r="X204" s="158"/>
      <c r="Y204" s="847">
        <f t="shared" si="61"/>
        <v>0</v>
      </c>
      <c r="Z204" s="848">
        <f t="shared" si="62"/>
        <v>0</v>
      </c>
      <c r="AA204" s="249" t="s">
        <v>3160</v>
      </c>
      <c r="AB204" s="341">
        <v>1500000</v>
      </c>
      <c r="AC204" s="851">
        <f>((AB204+X204)*1.08)+Y204</f>
        <v>1620000</v>
      </c>
      <c r="AD204" s="850">
        <f>(AB204+X204)*1.08</f>
        <v>1620000</v>
      </c>
    </row>
    <row r="205" spans="1:30">
      <c r="A205" s="837">
        <f t="shared" si="65"/>
        <v>10</v>
      </c>
      <c r="B205" s="98" t="s">
        <v>4532</v>
      </c>
      <c r="C205" s="630" t="s">
        <v>4529</v>
      </c>
      <c r="D205" s="386" t="s">
        <v>4478</v>
      </c>
      <c r="E205" s="179" t="s">
        <v>4530</v>
      </c>
      <c r="F205" s="1238" t="s">
        <v>1300</v>
      </c>
      <c r="G205" s="167"/>
      <c r="H205" s="167">
        <v>1</v>
      </c>
      <c r="I205" s="167"/>
      <c r="J205" s="154"/>
      <c r="K205" s="559" t="s">
        <v>4509</v>
      </c>
      <c r="L205" s="170" t="s">
        <v>4508</v>
      </c>
      <c r="M205" s="699" t="s">
        <v>123</v>
      </c>
      <c r="N205" s="477"/>
      <c r="O205" s="1506"/>
      <c r="P205" s="1506"/>
      <c r="Q205" s="324">
        <v>361800</v>
      </c>
      <c r="R205" s="324">
        <v>766800</v>
      </c>
      <c r="S205" s="248"/>
      <c r="T205" s="371">
        <v>500000</v>
      </c>
      <c r="U205" s="248"/>
      <c r="V205" s="247"/>
      <c r="W205" s="248"/>
      <c r="X205" s="158"/>
      <c r="Y205" s="847">
        <f t="shared" si="61"/>
        <v>861800</v>
      </c>
      <c r="Z205" s="848">
        <f t="shared" si="62"/>
        <v>0</v>
      </c>
      <c r="AA205" s="249"/>
      <c r="AB205" s="341">
        <v>7150000</v>
      </c>
      <c r="AC205" s="851">
        <f>((AB205+X205)*1.08)+Y205</f>
        <v>8583800</v>
      </c>
      <c r="AD205" s="850">
        <f>(AB205+X205)*1.08</f>
        <v>7722000.0000000009</v>
      </c>
    </row>
    <row r="206" spans="1:30">
      <c r="A206" s="837">
        <f t="shared" si="65"/>
        <v>11</v>
      </c>
      <c r="B206" s="98" t="s">
        <v>4500</v>
      </c>
      <c r="C206" s="1169" t="s">
        <v>4674</v>
      </c>
      <c r="D206" s="46" t="s">
        <v>4500</v>
      </c>
      <c r="E206" s="179" t="s">
        <v>4681</v>
      </c>
      <c r="F206" s="126" t="s">
        <v>210</v>
      </c>
      <c r="G206" s="167"/>
      <c r="H206" s="167"/>
      <c r="I206" s="167">
        <v>1</v>
      </c>
      <c r="J206" s="154">
        <v>1107</v>
      </c>
      <c r="K206" s="559" t="s">
        <v>4670</v>
      </c>
      <c r="L206" s="170"/>
      <c r="M206" s="595" t="s">
        <v>210</v>
      </c>
      <c r="N206" s="477" t="s">
        <v>4516</v>
      </c>
      <c r="O206" s="1506"/>
      <c r="P206" s="1506"/>
      <c r="Q206" s="248"/>
      <c r="R206" s="248"/>
      <c r="S206" s="248"/>
      <c r="T206" s="324">
        <v>16605</v>
      </c>
      <c r="U206" s="248"/>
      <c r="V206" s="247"/>
      <c r="W206" s="248"/>
      <c r="X206" s="158"/>
      <c r="Y206" s="847">
        <f t="shared" si="61"/>
        <v>16605</v>
      </c>
      <c r="Z206" s="848">
        <f t="shared" si="62"/>
        <v>0</v>
      </c>
      <c r="AA206" s="391" t="s">
        <v>4671</v>
      </c>
      <c r="AB206" s="341">
        <v>3370000</v>
      </c>
      <c r="AC206" s="851">
        <f>((AB206+X206)*1.08)+Y206</f>
        <v>3656205.0000000005</v>
      </c>
      <c r="AD206" s="850">
        <f>(AB206+X206)*1.08</f>
        <v>3639600.0000000005</v>
      </c>
    </row>
    <row r="207" spans="1:30">
      <c r="A207" s="3316" t="s">
        <v>4669</v>
      </c>
      <c r="B207" s="3316"/>
      <c r="C207" s="3316"/>
      <c r="D207" s="3316"/>
      <c r="E207" s="3316"/>
      <c r="F207" s="3316"/>
      <c r="G207" s="3316"/>
      <c r="H207" s="3316"/>
      <c r="I207" s="3316"/>
      <c r="J207" s="3316"/>
      <c r="K207" s="3316"/>
      <c r="L207" s="3316"/>
      <c r="M207" s="346"/>
      <c r="N207" s="346"/>
      <c r="O207" s="346"/>
      <c r="P207" s="346"/>
      <c r="Q207" s="962"/>
      <c r="R207" s="963"/>
      <c r="S207" s="962"/>
      <c r="T207" s="962">
        <f>SUM(T195:T205)</f>
        <v>3587311</v>
      </c>
      <c r="U207" s="962"/>
      <c r="V207" s="964"/>
      <c r="W207" s="962"/>
      <c r="X207" s="965"/>
      <c r="Y207" s="1078">
        <f>SUM(Y195:Y206)</f>
        <v>5468956</v>
      </c>
      <c r="Z207" s="965">
        <f>SUM(Z189:Z206)</f>
        <v>0</v>
      </c>
      <c r="AA207" s="967"/>
      <c r="AB207" s="1078">
        <f>SUM(AB195:AB206)</f>
        <v>70652680</v>
      </c>
      <c r="AC207" s="1078">
        <f>+Y207+AB207</f>
        <v>76121636</v>
      </c>
      <c r="AD207" s="1078">
        <f>SUM(AD198:AD206)</f>
        <v>56832494.400000006</v>
      </c>
    </row>
    <row r="208" spans="1:30" ht="26.4">
      <c r="A208" s="837">
        <v>1</v>
      </c>
      <c r="B208" s="46">
        <v>45963</v>
      </c>
      <c r="C208" s="627" t="s">
        <v>4770</v>
      </c>
      <c r="D208" s="386" t="s">
        <v>4771</v>
      </c>
      <c r="E208" s="179" t="s">
        <v>4780</v>
      </c>
      <c r="F208" s="126" t="s">
        <v>210</v>
      </c>
      <c r="G208" s="167"/>
      <c r="H208" s="167">
        <v>1</v>
      </c>
      <c r="I208" s="167"/>
      <c r="J208" s="154">
        <f>16886.46+6779.19</f>
        <v>23665.649999999998</v>
      </c>
      <c r="K208" s="559" t="s">
        <v>4695</v>
      </c>
      <c r="L208" s="170" t="s">
        <v>4768</v>
      </c>
      <c r="M208" s="595" t="s">
        <v>210</v>
      </c>
      <c r="N208" s="477"/>
      <c r="O208" s="1506"/>
      <c r="P208" s="1506"/>
      <c r="Q208" s="248"/>
      <c r="R208" s="248"/>
      <c r="S208" s="248"/>
      <c r="T208" s="371">
        <v>500000</v>
      </c>
      <c r="U208" s="248"/>
      <c r="V208" s="247"/>
      <c r="W208" s="248"/>
      <c r="X208" s="341">
        <v>400000</v>
      </c>
      <c r="Y208" s="847">
        <f t="shared" si="61"/>
        <v>500000</v>
      </c>
      <c r="Z208" s="848">
        <f t="shared" si="62"/>
        <v>0</v>
      </c>
      <c r="AA208" s="391" t="s">
        <v>1416</v>
      </c>
      <c r="AB208" s="341">
        <v>7100000</v>
      </c>
      <c r="AC208" s="851">
        <f t="shared" ref="AC208:AC214" si="66">((AB208+X208)*1.08)+Y208</f>
        <v>8600000</v>
      </c>
      <c r="AD208" s="850">
        <f t="shared" ref="AD208:AD214" si="67">(AB208+X208)*1.08</f>
        <v>8100000.0000000009</v>
      </c>
    </row>
    <row r="209" spans="1:30">
      <c r="A209" s="1503">
        <v>2</v>
      </c>
      <c r="B209" s="1504" t="s">
        <v>4763</v>
      </c>
      <c r="C209" s="627" t="s">
        <v>4803</v>
      </c>
      <c r="D209" s="1520" t="s">
        <v>4763</v>
      </c>
      <c r="E209" s="179" t="s">
        <v>4806</v>
      </c>
      <c r="F209" s="1505" t="s">
        <v>210</v>
      </c>
      <c r="G209" s="167">
        <v>1</v>
      </c>
      <c r="H209" s="167"/>
      <c r="I209" s="167"/>
      <c r="J209" s="641">
        <f>14322.7+2240</f>
        <v>16562.7</v>
      </c>
      <c r="K209" s="1589" t="s">
        <v>4764</v>
      </c>
      <c r="L209" s="170" t="s">
        <v>4802</v>
      </c>
      <c r="M209" s="595" t="s">
        <v>210</v>
      </c>
      <c r="N209" s="1506"/>
      <c r="O209" s="1506"/>
      <c r="P209" s="1506"/>
      <c r="Q209" s="1507"/>
      <c r="R209" s="1507"/>
      <c r="S209" s="1507"/>
      <c r="T209" s="371">
        <v>250000</v>
      </c>
      <c r="U209" s="1507"/>
      <c r="V209" s="1508"/>
      <c r="W209" s="1507"/>
      <c r="X209" s="1535"/>
      <c r="Y209" s="847">
        <f t="shared" si="61"/>
        <v>250000</v>
      </c>
      <c r="Z209" s="848">
        <f t="shared" si="62"/>
        <v>0</v>
      </c>
      <c r="AA209" s="391" t="s">
        <v>1416</v>
      </c>
      <c r="AB209" s="341">
        <v>6180000</v>
      </c>
      <c r="AC209" s="851">
        <f t="shared" si="66"/>
        <v>6924400</v>
      </c>
      <c r="AD209" s="850">
        <f t="shared" si="67"/>
        <v>6674400</v>
      </c>
    </row>
    <row r="210" spans="1:30" ht="26.4">
      <c r="A210" s="837">
        <v>3</v>
      </c>
      <c r="B210" s="1504" t="s">
        <v>4763</v>
      </c>
      <c r="C210" s="627" t="s">
        <v>4804</v>
      </c>
      <c r="D210" s="1520" t="s">
        <v>4763</v>
      </c>
      <c r="E210" s="179" t="s">
        <v>4807</v>
      </c>
      <c r="F210" s="126" t="s">
        <v>210</v>
      </c>
      <c r="G210" s="167"/>
      <c r="H210" s="167">
        <v>1</v>
      </c>
      <c r="I210" s="167"/>
      <c r="J210" s="154">
        <v>23625.789999999997</v>
      </c>
      <c r="K210" s="559" t="s">
        <v>4765</v>
      </c>
      <c r="L210" s="170" t="s">
        <v>4795</v>
      </c>
      <c r="M210" s="86" t="s">
        <v>210</v>
      </c>
      <c r="N210" s="477"/>
      <c r="O210" s="1506"/>
      <c r="P210" s="1506"/>
      <c r="Q210" s="248"/>
      <c r="R210" s="248"/>
      <c r="S210" s="248"/>
      <c r="T210" s="371">
        <v>500000</v>
      </c>
      <c r="U210" s="248"/>
      <c r="V210" s="247"/>
      <c r="W210" s="248"/>
      <c r="X210" s="341">
        <v>400000</v>
      </c>
      <c r="Y210" s="847">
        <f t="shared" si="61"/>
        <v>500000</v>
      </c>
      <c r="Z210" s="848">
        <f t="shared" si="62"/>
        <v>0</v>
      </c>
      <c r="AA210" s="391" t="s">
        <v>1416</v>
      </c>
      <c r="AB210" s="341">
        <v>7100000</v>
      </c>
      <c r="AC210" s="851">
        <f t="shared" si="66"/>
        <v>8600000</v>
      </c>
      <c r="AD210" s="850">
        <f t="shared" si="67"/>
        <v>8100000.0000000009</v>
      </c>
    </row>
    <row r="211" spans="1:30" ht="26.4">
      <c r="A211" s="837">
        <f t="shared" si="65"/>
        <v>4</v>
      </c>
      <c r="B211" s="98" t="s">
        <v>4820</v>
      </c>
      <c r="C211" s="631" t="s">
        <v>4781</v>
      </c>
      <c r="D211" s="386" t="s">
        <v>4782</v>
      </c>
      <c r="E211" s="179" t="s">
        <v>4783</v>
      </c>
      <c r="F211" s="693" t="s">
        <v>1300</v>
      </c>
      <c r="G211" s="167"/>
      <c r="H211" s="167">
        <v>1</v>
      </c>
      <c r="I211" s="167"/>
      <c r="J211" s="154">
        <v>23458</v>
      </c>
      <c r="K211" s="559" t="s">
        <v>4744</v>
      </c>
      <c r="L211" s="170" t="s">
        <v>4745</v>
      </c>
      <c r="M211" s="1513" t="s">
        <v>123</v>
      </c>
      <c r="N211" s="1483" t="s">
        <v>4724</v>
      </c>
      <c r="O211" s="1554"/>
      <c r="P211" s="1554"/>
      <c r="Q211" s="324">
        <f>671760+83160</f>
        <v>754920</v>
      </c>
      <c r="R211" s="324">
        <v>766800</v>
      </c>
      <c r="S211" s="248"/>
      <c r="T211" s="371">
        <v>500000</v>
      </c>
      <c r="U211" s="248"/>
      <c r="V211" s="247"/>
      <c r="W211" s="248"/>
      <c r="X211" s="341">
        <v>400000</v>
      </c>
      <c r="Y211" s="847">
        <f t="shared" si="61"/>
        <v>1254920</v>
      </c>
      <c r="Z211" s="848">
        <f t="shared" si="62"/>
        <v>0</v>
      </c>
      <c r="AA211" s="249"/>
      <c r="AB211" s="341">
        <v>7150000</v>
      </c>
      <c r="AC211" s="851">
        <f t="shared" si="66"/>
        <v>9408920</v>
      </c>
      <c r="AD211" s="850">
        <f t="shared" si="67"/>
        <v>8154000.0000000009</v>
      </c>
    </row>
    <row r="212" spans="1:30" ht="26.4">
      <c r="A212" s="837">
        <f t="shared" si="65"/>
        <v>5</v>
      </c>
      <c r="B212" s="1534" t="s">
        <v>4826</v>
      </c>
      <c r="C212" s="627" t="s">
        <v>4831</v>
      </c>
      <c r="D212" s="386" t="s">
        <v>4826</v>
      </c>
      <c r="E212" s="179" t="s">
        <v>4856</v>
      </c>
      <c r="F212" s="126" t="s">
        <v>210</v>
      </c>
      <c r="G212" s="167"/>
      <c r="H212" s="167">
        <v>1</v>
      </c>
      <c r="I212" s="167"/>
      <c r="J212" s="154">
        <f>14923.54+8662.96</f>
        <v>23586.5</v>
      </c>
      <c r="K212" s="559" t="s">
        <v>4810</v>
      </c>
      <c r="L212" s="170" t="s">
        <v>4844</v>
      </c>
      <c r="M212" s="86" t="s">
        <v>210</v>
      </c>
      <c r="N212" s="477" t="s">
        <v>4809</v>
      </c>
      <c r="O212" s="1506"/>
      <c r="P212" s="1506"/>
      <c r="Q212" s="248"/>
      <c r="R212" s="248"/>
      <c r="S212" s="248"/>
      <c r="T212" s="371">
        <v>500000</v>
      </c>
      <c r="U212" s="248"/>
      <c r="V212" s="247"/>
      <c r="W212" s="248"/>
      <c r="X212" s="341">
        <v>400000</v>
      </c>
      <c r="Y212" s="847">
        <f t="shared" si="61"/>
        <v>500000</v>
      </c>
      <c r="Z212" s="848">
        <f t="shared" si="62"/>
        <v>0</v>
      </c>
      <c r="AA212" s="249"/>
      <c r="AB212" s="341">
        <v>7100000</v>
      </c>
      <c r="AC212" s="851">
        <f t="shared" si="66"/>
        <v>8600000</v>
      </c>
      <c r="AD212" s="850">
        <f t="shared" si="67"/>
        <v>8100000.0000000009</v>
      </c>
    </row>
    <row r="213" spans="1:30" ht="26.4">
      <c r="A213" s="837"/>
      <c r="B213" s="1376" t="s">
        <v>4467</v>
      </c>
      <c r="C213" s="1613" t="s">
        <v>4514</v>
      </c>
      <c r="D213" s="46" t="s">
        <v>4467</v>
      </c>
      <c r="E213" s="179" t="s">
        <v>4890</v>
      </c>
      <c r="F213" s="126" t="s">
        <v>210</v>
      </c>
      <c r="G213" s="167">
        <v>1</v>
      </c>
      <c r="H213" s="167"/>
      <c r="I213" s="167"/>
      <c r="J213" s="1367">
        <v>4734.5</v>
      </c>
      <c r="K213" s="1588">
        <v>2754282430</v>
      </c>
      <c r="L213" s="86" t="s">
        <v>4496</v>
      </c>
      <c r="M213" s="86" t="s">
        <v>210</v>
      </c>
      <c r="N213" s="1325" t="s">
        <v>4468</v>
      </c>
      <c r="O213" s="1553"/>
      <c r="P213" s="324">
        <v>60000</v>
      </c>
      <c r="Q213" s="1349"/>
      <c r="R213" s="248"/>
      <c r="S213" s="248"/>
      <c r="T213" s="754"/>
      <c r="U213" s="248"/>
      <c r="V213" s="247"/>
      <c r="W213" s="248"/>
      <c r="X213" s="158"/>
      <c r="Y213" s="847">
        <f>Q213+T213+U213+W213+P213</f>
        <v>60000</v>
      </c>
      <c r="Z213" s="848">
        <f>+V213</f>
        <v>0</v>
      </c>
      <c r="AA213" s="249"/>
      <c r="AB213" s="341">
        <v>800000</v>
      </c>
      <c r="AC213" s="851">
        <f t="shared" si="66"/>
        <v>924000</v>
      </c>
      <c r="AD213" s="850">
        <f t="shared" si="67"/>
        <v>864000</v>
      </c>
    </row>
    <row r="214" spans="1:30">
      <c r="A214" s="837"/>
      <c r="B214" s="98" t="s">
        <v>4500</v>
      </c>
      <c r="C214" s="1613" t="s">
        <v>4674</v>
      </c>
      <c r="D214" s="46" t="s">
        <v>4500</v>
      </c>
      <c r="E214" s="179" t="s">
        <v>4893</v>
      </c>
      <c r="F214" s="126" t="s">
        <v>210</v>
      </c>
      <c r="G214" s="167"/>
      <c r="H214" s="167"/>
      <c r="I214" s="167">
        <v>1</v>
      </c>
      <c r="J214" s="154">
        <v>1107</v>
      </c>
      <c r="K214" s="559" t="s">
        <v>4670</v>
      </c>
      <c r="L214" s="170"/>
      <c r="M214" s="595" t="s">
        <v>210</v>
      </c>
      <c r="N214" s="477" t="s">
        <v>4516</v>
      </c>
      <c r="O214" s="1506"/>
      <c r="P214" s="324">
        <v>60000</v>
      </c>
      <c r="Q214" s="248"/>
      <c r="R214" s="248"/>
      <c r="S214" s="248"/>
      <c r="T214" s="754"/>
      <c r="U214" s="248"/>
      <c r="V214" s="247"/>
      <c r="W214" s="248"/>
      <c r="X214" s="158"/>
      <c r="Y214" s="847">
        <f>Q214+T214+U214+W214+P214</f>
        <v>60000</v>
      </c>
      <c r="Z214" s="848">
        <f t="shared" ref="Z214:Z245" si="68">+V214</f>
        <v>0</v>
      </c>
      <c r="AA214" s="391"/>
      <c r="AB214" s="341">
        <v>800000</v>
      </c>
      <c r="AC214" s="851">
        <f t="shared" si="66"/>
        <v>924000</v>
      </c>
      <c r="AD214" s="850">
        <f t="shared" si="67"/>
        <v>864000</v>
      </c>
    </row>
    <row r="215" spans="1:30">
      <c r="A215" s="3388" t="s">
        <v>4866</v>
      </c>
      <c r="B215" s="3389"/>
      <c r="C215" s="3389"/>
      <c r="D215" s="3389"/>
      <c r="E215" s="3389"/>
      <c r="F215" s="3389"/>
      <c r="G215" s="3389"/>
      <c r="H215" s="3389"/>
      <c r="I215" s="3389"/>
      <c r="J215" s="3389"/>
      <c r="K215" s="3389"/>
      <c r="L215" s="3390"/>
      <c r="M215" s="346"/>
      <c r="N215" s="346"/>
      <c r="O215" s="346"/>
      <c r="P215" s="501"/>
      <c r="Q215" s="962"/>
      <c r="R215" s="963"/>
      <c r="S215" s="962"/>
      <c r="T215" s="962"/>
      <c r="U215" s="962"/>
      <c r="V215" s="964"/>
      <c r="W215" s="962"/>
      <c r="X215" s="965"/>
      <c r="Y215" s="1078">
        <f>SUM(Y208:Y214)</f>
        <v>3124920</v>
      </c>
      <c r="Z215" s="965">
        <f>SUM(Z195:Z212)</f>
        <v>0</v>
      </c>
      <c r="AA215" s="967"/>
      <c r="AB215" s="1078">
        <f>SUM(AB208:AB214)</f>
        <v>36230000</v>
      </c>
      <c r="AC215" s="1078">
        <f>+Y215+AB215</f>
        <v>39354920</v>
      </c>
      <c r="AD215" s="1078">
        <f>SUM(AD204:AD212)</f>
        <v>108942494.40000001</v>
      </c>
    </row>
    <row r="216" spans="1:30" ht="26.4">
      <c r="A216" s="837">
        <v>1</v>
      </c>
      <c r="B216" s="1376" t="s">
        <v>4913</v>
      </c>
      <c r="C216" s="627" t="s">
        <v>4930</v>
      </c>
      <c r="D216" s="386" t="s">
        <v>4913</v>
      </c>
      <c r="E216" s="179" t="s">
        <v>4933</v>
      </c>
      <c r="F216" s="126" t="s">
        <v>210</v>
      </c>
      <c r="G216" s="167"/>
      <c r="H216" s="167">
        <v>1</v>
      </c>
      <c r="I216" s="167"/>
      <c r="J216" s="154">
        <v>23730.59</v>
      </c>
      <c r="K216" s="1590" t="s">
        <v>4873</v>
      </c>
      <c r="L216" s="170" t="s">
        <v>4929</v>
      </c>
      <c r="M216" s="86" t="s">
        <v>210</v>
      </c>
      <c r="N216" s="477" t="s">
        <v>4874</v>
      </c>
      <c r="O216" s="1506"/>
      <c r="P216" s="1506"/>
      <c r="Q216" s="248"/>
      <c r="R216" s="248"/>
      <c r="S216" s="248"/>
      <c r="T216" s="371">
        <v>500000</v>
      </c>
      <c r="U216" s="248"/>
      <c r="V216" s="247"/>
      <c r="W216" s="248"/>
      <c r="X216" s="341">
        <v>400000</v>
      </c>
      <c r="Y216" s="847">
        <f>Q216+T216+U216+W216+P216</f>
        <v>500000</v>
      </c>
      <c r="Z216" s="848">
        <f t="shared" si="68"/>
        <v>0</v>
      </c>
      <c r="AA216" s="249"/>
      <c r="AB216" s="341">
        <v>7300000</v>
      </c>
      <c r="AC216" s="851">
        <f>((AB216+X216)*1.08)+Y216</f>
        <v>8816000</v>
      </c>
      <c r="AD216" s="850">
        <f>(AB216+X216)*1.08</f>
        <v>8316000.0000000009</v>
      </c>
    </row>
    <row r="217" spans="1:30" ht="39.6">
      <c r="A217" s="837">
        <v>2</v>
      </c>
      <c r="B217" s="1376" t="s">
        <v>4944</v>
      </c>
      <c r="C217" s="634" t="s">
        <v>4996</v>
      </c>
      <c r="D217" s="671" t="s">
        <v>4936</v>
      </c>
      <c r="E217" s="179" t="s">
        <v>4995</v>
      </c>
      <c r="F217" s="126" t="s">
        <v>206</v>
      </c>
      <c r="G217" s="167"/>
      <c r="H217" s="167">
        <v>1</v>
      </c>
      <c r="I217" s="167"/>
      <c r="J217" s="154">
        <v>23863</v>
      </c>
      <c r="K217" s="1575" t="s">
        <v>4968</v>
      </c>
      <c r="L217" s="170" t="s">
        <v>4969</v>
      </c>
      <c r="M217" s="1620" t="s">
        <v>136</v>
      </c>
      <c r="N217" s="1483" t="s">
        <v>4970</v>
      </c>
      <c r="O217" s="1554"/>
      <c r="P217" s="324">
        <v>70000</v>
      </c>
      <c r="Q217" s="324">
        <v>361800</v>
      </c>
      <c r="R217" s="324">
        <v>766800</v>
      </c>
      <c r="S217" s="248"/>
      <c r="T217" s="371">
        <v>500000</v>
      </c>
      <c r="U217" s="248"/>
      <c r="V217" s="247"/>
      <c r="W217" s="248"/>
      <c r="X217" s="341">
        <v>800000</v>
      </c>
      <c r="Y217" s="847">
        <f t="shared" ref="Y217:Y245" si="69">Q217+T217+U217+W217+P217</f>
        <v>931800</v>
      </c>
      <c r="Z217" s="848">
        <f t="shared" si="68"/>
        <v>0</v>
      </c>
      <c r="AA217" s="1853" t="s">
        <v>5158</v>
      </c>
      <c r="AB217" s="341">
        <v>7350000</v>
      </c>
      <c r="AC217" s="851">
        <f>((AB217+X217)*1.08)+Y217</f>
        <v>9733800</v>
      </c>
      <c r="AD217" s="850">
        <f>(AB217+X217)*1.08</f>
        <v>8802000</v>
      </c>
    </row>
    <row r="218" spans="1:30" ht="26.4">
      <c r="A218" s="326">
        <v>3</v>
      </c>
      <c r="B218" s="1376" t="s">
        <v>4991</v>
      </c>
      <c r="C218" s="631" t="s">
        <v>5003</v>
      </c>
      <c r="D218" s="671" t="s">
        <v>4936</v>
      </c>
      <c r="E218" s="179" t="s">
        <v>4994</v>
      </c>
      <c r="F218" s="126" t="s">
        <v>206</v>
      </c>
      <c r="G218" s="167"/>
      <c r="H218" s="167">
        <v>1</v>
      </c>
      <c r="I218" s="167"/>
      <c r="J218" s="154">
        <v>23323</v>
      </c>
      <c r="K218" s="559" t="s">
        <v>4971</v>
      </c>
      <c r="L218" s="170" t="s">
        <v>4984</v>
      </c>
      <c r="M218" s="699" t="s">
        <v>123</v>
      </c>
      <c r="N218" s="477" t="s">
        <v>4970</v>
      </c>
      <c r="O218" s="1506"/>
      <c r="P218" s="1506"/>
      <c r="Q218" s="248"/>
      <c r="R218" s="324">
        <v>766800</v>
      </c>
      <c r="S218" s="248"/>
      <c r="T218" s="371">
        <v>500000</v>
      </c>
      <c r="U218" s="248"/>
      <c r="V218" s="247"/>
      <c r="W218" s="248"/>
      <c r="X218" s="341">
        <v>400000</v>
      </c>
      <c r="Y218" s="847">
        <f t="shared" si="69"/>
        <v>500000</v>
      </c>
      <c r="Z218" s="848">
        <f t="shared" si="68"/>
        <v>0</v>
      </c>
      <c r="AA218" s="249"/>
      <c r="AB218" s="341">
        <v>7350000</v>
      </c>
      <c r="AC218" s="851">
        <f>((AB218+X218)*1.08)+Y218</f>
        <v>8870000</v>
      </c>
      <c r="AD218" s="850">
        <f>(AB218+X218)*1.08</f>
        <v>8370000.0000000009</v>
      </c>
    </row>
    <row r="219" spans="1:30" ht="26.4">
      <c r="A219" s="326">
        <f>+A218+1</f>
        <v>4</v>
      </c>
      <c r="B219" s="1637">
        <v>45841</v>
      </c>
      <c r="C219" s="627" t="s">
        <v>5006</v>
      </c>
      <c r="D219" s="386" t="s">
        <v>4944</v>
      </c>
      <c r="E219" s="179" t="s">
        <v>5017</v>
      </c>
      <c r="F219" s="126" t="s">
        <v>210</v>
      </c>
      <c r="G219" s="167"/>
      <c r="H219" s="167">
        <v>1</v>
      </c>
      <c r="I219" s="167"/>
      <c r="J219" s="127">
        <f>13049.5+10487.56</f>
        <v>23537.059999999998</v>
      </c>
      <c r="K219" s="1647" t="s">
        <v>4945</v>
      </c>
      <c r="L219" s="170" t="s">
        <v>5007</v>
      </c>
      <c r="M219" s="86" t="s">
        <v>210</v>
      </c>
      <c r="N219" s="1483" t="s">
        <v>4946</v>
      </c>
      <c r="O219" s="1554"/>
      <c r="P219" s="1506"/>
      <c r="Q219" s="248"/>
      <c r="R219" s="248"/>
      <c r="S219" s="248"/>
      <c r="T219" s="371">
        <v>500000</v>
      </c>
      <c r="U219" s="248"/>
      <c r="V219" s="247"/>
      <c r="W219" s="248"/>
      <c r="X219" s="341">
        <v>400000</v>
      </c>
      <c r="Y219" s="847">
        <f t="shared" si="69"/>
        <v>500000</v>
      </c>
      <c r="Z219" s="848">
        <f t="shared" si="68"/>
        <v>0</v>
      </c>
      <c r="AA219" s="391" t="s">
        <v>1416</v>
      </c>
      <c r="AB219" s="341">
        <v>7300000</v>
      </c>
      <c r="AC219" s="851">
        <f>((AB219+X219)*1.08)+Y219</f>
        <v>8816000</v>
      </c>
      <c r="AD219" s="850">
        <f>(AB219+X219)*1.08</f>
        <v>8316000.0000000009</v>
      </c>
    </row>
    <row r="220" spans="1:30" ht="26.4">
      <c r="A220" s="326">
        <f>+A219+1</f>
        <v>5</v>
      </c>
      <c r="B220" s="1534" t="s">
        <v>5041</v>
      </c>
      <c r="C220" s="627" t="s">
        <v>5080</v>
      </c>
      <c r="D220" s="1534" t="s">
        <v>5041</v>
      </c>
      <c r="E220" s="1665" t="s">
        <v>5082</v>
      </c>
      <c r="F220" s="126" t="s">
        <v>210</v>
      </c>
      <c r="G220" s="167"/>
      <c r="H220" s="1642">
        <v>1</v>
      </c>
      <c r="I220" s="1642"/>
      <c r="J220" s="1492">
        <v>23179.23</v>
      </c>
      <c r="K220" s="1589" t="s">
        <v>5008</v>
      </c>
      <c r="L220" s="1805" t="s">
        <v>5075</v>
      </c>
      <c r="M220" s="86" t="s">
        <v>210</v>
      </c>
      <c r="N220" s="151" t="s">
        <v>5009</v>
      </c>
      <c r="O220" s="1914"/>
      <c r="P220" s="1506"/>
      <c r="Q220" s="248"/>
      <c r="R220" s="248"/>
      <c r="S220" s="248"/>
      <c r="T220" s="371">
        <v>500000</v>
      </c>
      <c r="U220" s="248"/>
      <c r="V220" s="247"/>
      <c r="W220" s="248"/>
      <c r="X220" s="341">
        <v>400000</v>
      </c>
      <c r="Y220" s="847">
        <f t="shared" si="69"/>
        <v>500000</v>
      </c>
      <c r="Z220" s="848">
        <f t="shared" si="68"/>
        <v>0</v>
      </c>
      <c r="AA220" s="391" t="s">
        <v>1416</v>
      </c>
      <c r="AB220" s="341">
        <v>7300000</v>
      </c>
      <c r="AC220" s="851">
        <f t="shared" ref="AC220:AC225" si="70">((AB220+X220)*1.08)+Y220</f>
        <v>8816000</v>
      </c>
      <c r="AD220" s="850">
        <f t="shared" ref="AD220:AD225" si="71">(AB220+X220)*1.08</f>
        <v>8316000.0000000009</v>
      </c>
    </row>
    <row r="221" spans="1:30" ht="26.4">
      <c r="A221" s="326">
        <v>6</v>
      </c>
      <c r="B221" s="1376" t="s">
        <v>5114</v>
      </c>
      <c r="C221" s="631" t="s">
        <v>5128</v>
      </c>
      <c r="D221" s="386" t="s">
        <v>5094</v>
      </c>
      <c r="E221" s="1812" t="s">
        <v>5125</v>
      </c>
      <c r="F221" s="126" t="s">
        <v>206</v>
      </c>
      <c r="G221" s="167"/>
      <c r="H221" s="1642">
        <v>2</v>
      </c>
      <c r="I221" s="1642"/>
      <c r="J221" s="1492">
        <f>46871/2</f>
        <v>23435.5</v>
      </c>
      <c r="K221" s="1689" t="s">
        <v>5096</v>
      </c>
      <c r="L221" s="1516" t="s">
        <v>5116</v>
      </c>
      <c r="M221" s="699" t="s">
        <v>123</v>
      </c>
      <c r="N221" s="477" t="s">
        <v>5097</v>
      </c>
      <c r="O221" s="1506"/>
      <c r="P221" s="1506"/>
      <c r="Q221" s="248"/>
      <c r="R221" s="324">
        <v>1764000</v>
      </c>
      <c r="S221" s="248"/>
      <c r="T221" s="371">
        <v>1000000</v>
      </c>
      <c r="U221" s="248"/>
      <c r="V221" s="247"/>
      <c r="W221" s="248"/>
      <c r="X221" s="341">
        <v>400000</v>
      </c>
      <c r="Y221" s="847">
        <f>Q221+T221+U221+W221+P221</f>
        <v>1000000</v>
      </c>
      <c r="Z221" s="848">
        <f>+V221</f>
        <v>0</v>
      </c>
      <c r="AA221" s="249"/>
      <c r="AB221" s="341">
        <v>7350000</v>
      </c>
      <c r="AC221" s="851">
        <f>((AB221+X221)*1.08)+Y221</f>
        <v>9370000</v>
      </c>
      <c r="AD221" s="850">
        <f>(AB221+X221)*1.08</f>
        <v>8370000.0000000009</v>
      </c>
    </row>
    <row r="222" spans="1:30" ht="26.4">
      <c r="A222" s="326">
        <v>7</v>
      </c>
      <c r="B222" s="1376" t="s">
        <v>5115</v>
      </c>
      <c r="C222" s="627" t="s">
        <v>5131</v>
      </c>
      <c r="D222" s="386" t="s">
        <v>5115</v>
      </c>
      <c r="E222" s="179" t="s">
        <v>5132</v>
      </c>
      <c r="F222" s="126" t="s">
        <v>210</v>
      </c>
      <c r="G222" s="167"/>
      <c r="H222" s="1642">
        <v>1</v>
      </c>
      <c r="I222" s="1642"/>
      <c r="J222" s="1492">
        <f>22976.09</f>
        <v>22976.09</v>
      </c>
      <c r="K222" s="1589" t="s">
        <v>5098</v>
      </c>
      <c r="L222" s="170" t="s">
        <v>5129</v>
      </c>
      <c r="M222" s="86" t="s">
        <v>210</v>
      </c>
      <c r="N222" s="477" t="s">
        <v>5079</v>
      </c>
      <c r="O222" s="1506"/>
      <c r="P222" s="1506"/>
      <c r="Q222" s="248"/>
      <c r="R222" s="248"/>
      <c r="S222" s="248"/>
      <c r="T222" s="371">
        <v>500000</v>
      </c>
      <c r="U222" s="248"/>
      <c r="V222" s="247"/>
      <c r="W222" s="248"/>
      <c r="X222" s="341">
        <v>400000</v>
      </c>
      <c r="Y222" s="847">
        <f t="shared" si="69"/>
        <v>500000</v>
      </c>
      <c r="Z222" s="848">
        <f t="shared" si="68"/>
        <v>0</v>
      </c>
      <c r="AA222" s="249"/>
      <c r="AB222" s="341">
        <v>7300000</v>
      </c>
      <c r="AC222" s="851">
        <f t="shared" si="70"/>
        <v>8816000</v>
      </c>
      <c r="AD222" s="850">
        <f t="shared" si="71"/>
        <v>8316000.0000000009</v>
      </c>
    </row>
    <row r="223" spans="1:30">
      <c r="A223" s="3388" t="s">
        <v>5142</v>
      </c>
      <c r="B223" s="3389"/>
      <c r="C223" s="3389"/>
      <c r="D223" s="3389"/>
      <c r="E223" s="3389"/>
      <c r="F223" s="3389"/>
      <c r="G223" s="3389"/>
      <c r="H223" s="3389"/>
      <c r="I223" s="3389"/>
      <c r="J223" s="3389"/>
      <c r="K223" s="3389"/>
      <c r="L223" s="3390"/>
      <c r="M223" s="346"/>
      <c r="N223" s="346"/>
      <c r="O223" s="346"/>
      <c r="P223" s="501"/>
      <c r="Q223" s="962"/>
      <c r="R223" s="963"/>
      <c r="S223" s="962"/>
      <c r="T223" s="962"/>
      <c r="U223" s="962"/>
      <c r="V223" s="964"/>
      <c r="W223" s="962"/>
      <c r="X223" s="965"/>
      <c r="Y223" s="1078">
        <f>SUM(Y216:Y222)</f>
        <v>4431800</v>
      </c>
      <c r="Z223" s="965">
        <f>SUM(Z203:Z220)</f>
        <v>0</v>
      </c>
      <c r="AA223" s="967"/>
      <c r="AB223" s="1078">
        <f>SUM(AB216:AB222)</f>
        <v>51250000</v>
      </c>
      <c r="AC223" s="1078">
        <f>+AB223+Y223</f>
        <v>55681800</v>
      </c>
      <c r="AD223" s="1078">
        <f>SUM(AD216:AD222)</f>
        <v>58806000</v>
      </c>
    </row>
    <row r="224" spans="1:30" ht="26.4">
      <c r="A224" s="326">
        <v>1</v>
      </c>
      <c r="B224" s="1534" t="s">
        <v>5193</v>
      </c>
      <c r="C224" s="627" t="s">
        <v>5217</v>
      </c>
      <c r="D224" s="386" t="s">
        <v>5193</v>
      </c>
      <c r="E224" s="179" t="s">
        <v>5324</v>
      </c>
      <c r="F224" s="126" t="s">
        <v>210</v>
      </c>
      <c r="G224" s="167"/>
      <c r="H224" s="167">
        <v>1</v>
      </c>
      <c r="I224" s="167"/>
      <c r="J224" s="154"/>
      <c r="K224" s="559" t="s">
        <v>5133</v>
      </c>
      <c r="L224" s="170" t="s">
        <v>5216</v>
      </c>
      <c r="M224" s="86" t="s">
        <v>210</v>
      </c>
      <c r="N224" s="79" t="s">
        <v>5134</v>
      </c>
      <c r="O224" s="1547"/>
      <c r="P224" s="1506"/>
      <c r="Q224" s="248"/>
      <c r="R224" s="248"/>
      <c r="S224" s="248"/>
      <c r="T224" s="371">
        <v>500000</v>
      </c>
      <c r="U224" s="248"/>
      <c r="V224" s="247"/>
      <c r="W224" s="248"/>
      <c r="X224" s="341">
        <v>400000</v>
      </c>
      <c r="Y224" s="847">
        <f t="shared" si="69"/>
        <v>500000</v>
      </c>
      <c r="Z224" s="848">
        <f t="shared" si="68"/>
        <v>0</v>
      </c>
      <c r="AA224" s="249"/>
      <c r="AB224" s="341">
        <v>7300000</v>
      </c>
      <c r="AC224" s="851">
        <f>((AB224+X224)*1.08)+Y224</f>
        <v>8816000</v>
      </c>
      <c r="AD224" s="850">
        <f>(AB224+X224)*1.08</f>
        <v>8316000.0000000009</v>
      </c>
    </row>
    <row r="225" spans="1:30" ht="26.4">
      <c r="A225" s="326">
        <v>2</v>
      </c>
      <c r="B225" s="1376" t="s">
        <v>5284</v>
      </c>
      <c r="C225" s="627" t="s">
        <v>5292</v>
      </c>
      <c r="D225" s="1376" t="s">
        <v>5284</v>
      </c>
      <c r="E225" s="179" t="s">
        <v>5325</v>
      </c>
      <c r="F225" s="126" t="s">
        <v>210</v>
      </c>
      <c r="G225" s="167"/>
      <c r="H225" s="167">
        <v>1</v>
      </c>
      <c r="I225" s="167"/>
      <c r="J225" s="154">
        <v>22807.68</v>
      </c>
      <c r="K225" s="559" t="s">
        <v>5218</v>
      </c>
      <c r="L225" s="170" t="s">
        <v>5291</v>
      </c>
      <c r="M225" s="86" t="s">
        <v>210</v>
      </c>
      <c r="N225" s="477" t="s">
        <v>5247</v>
      </c>
      <c r="O225" s="1999"/>
      <c r="P225" s="1506"/>
      <c r="Q225" s="248"/>
      <c r="R225" s="1559">
        <v>1250000</v>
      </c>
      <c r="S225" s="324">
        <v>882000</v>
      </c>
      <c r="T225" s="371">
        <v>500000</v>
      </c>
      <c r="U225" s="248"/>
      <c r="V225" s="247"/>
      <c r="W225" s="248"/>
      <c r="X225" s="341">
        <v>400000</v>
      </c>
      <c r="Y225" s="847">
        <f t="shared" si="69"/>
        <v>500000</v>
      </c>
      <c r="Z225" s="848">
        <f t="shared" si="68"/>
        <v>0</v>
      </c>
      <c r="AA225" s="249"/>
      <c r="AB225" s="341">
        <v>7300000</v>
      </c>
      <c r="AC225" s="851">
        <f t="shared" si="70"/>
        <v>8816000</v>
      </c>
      <c r="AD225" s="850">
        <f t="shared" si="71"/>
        <v>8316000.0000000009</v>
      </c>
    </row>
    <row r="226" spans="1:30" ht="26.4">
      <c r="A226" s="326">
        <f>+A225+1</f>
        <v>3</v>
      </c>
      <c r="B226" s="673" t="s">
        <v>5351</v>
      </c>
      <c r="C226" s="631" t="s">
        <v>5314</v>
      </c>
      <c r="D226" s="386" t="s">
        <v>5284</v>
      </c>
      <c r="E226" s="179" t="s">
        <v>5356</v>
      </c>
      <c r="F226" s="126" t="s">
        <v>206</v>
      </c>
      <c r="G226" s="167"/>
      <c r="H226" s="167"/>
      <c r="I226" s="167">
        <v>1</v>
      </c>
      <c r="J226" s="154"/>
      <c r="K226" s="559" t="s">
        <v>5304</v>
      </c>
      <c r="L226" s="170" t="s">
        <v>5306</v>
      </c>
      <c r="M226" s="794" t="s">
        <v>123</v>
      </c>
      <c r="N226" s="477" t="s">
        <v>5305</v>
      </c>
      <c r="O226" s="1999"/>
      <c r="P226" s="1506"/>
      <c r="Q226" s="248"/>
      <c r="R226" s="248"/>
      <c r="S226" s="248"/>
      <c r="T226" s="371">
        <v>18900</v>
      </c>
      <c r="U226" s="248"/>
      <c r="V226" s="247"/>
      <c r="W226" s="248"/>
      <c r="X226" s="341">
        <v>400000</v>
      </c>
      <c r="Y226" s="847">
        <f t="shared" si="69"/>
        <v>18900</v>
      </c>
      <c r="Z226" s="848">
        <f t="shared" si="68"/>
        <v>0</v>
      </c>
      <c r="AA226" s="249"/>
      <c r="AB226" s="341">
        <v>3300000</v>
      </c>
      <c r="AC226" s="851">
        <f t="shared" ref="AC226:AC244" si="72">((AB226+X226)*1.08)+Y226</f>
        <v>4014900.0000000005</v>
      </c>
      <c r="AD226" s="850">
        <f t="shared" ref="AD226:AD244" si="73">(AB226+X226)*1.08</f>
        <v>3996000.0000000005</v>
      </c>
    </row>
    <row r="227" spans="1:30" ht="26.4">
      <c r="A227" s="326">
        <f>+A226+1</f>
        <v>4</v>
      </c>
      <c r="B227" s="673" t="s">
        <v>5310</v>
      </c>
      <c r="C227" s="627" t="s">
        <v>5322</v>
      </c>
      <c r="D227" s="386" t="s">
        <v>5310</v>
      </c>
      <c r="E227" s="179" t="s">
        <v>5326</v>
      </c>
      <c r="F227" s="126" t="s">
        <v>210</v>
      </c>
      <c r="G227" s="167"/>
      <c r="H227" s="167">
        <v>1</v>
      </c>
      <c r="I227" s="167"/>
      <c r="J227" s="641">
        <v>23074.21</v>
      </c>
      <c r="K227" s="559" t="s">
        <v>5313</v>
      </c>
      <c r="L227" s="170" t="s">
        <v>5321</v>
      </c>
      <c r="M227" s="86" t="s">
        <v>210</v>
      </c>
      <c r="N227" s="477"/>
      <c r="O227" s="1999"/>
      <c r="P227" s="1506"/>
      <c r="Q227" s="248"/>
      <c r="R227" s="1559">
        <v>1450000</v>
      </c>
      <c r="S227" s="324">
        <v>882000</v>
      </c>
      <c r="T227" s="371">
        <v>500000</v>
      </c>
      <c r="U227" s="248"/>
      <c r="V227" s="247"/>
      <c r="W227" s="248"/>
      <c r="X227" s="341">
        <v>400000</v>
      </c>
      <c r="Y227" s="847">
        <f t="shared" si="69"/>
        <v>500000</v>
      </c>
      <c r="Z227" s="848">
        <f t="shared" si="68"/>
        <v>0</v>
      </c>
      <c r="AA227" s="249"/>
      <c r="AB227" s="341">
        <v>7300000</v>
      </c>
      <c r="AC227" s="851">
        <f t="shared" si="72"/>
        <v>8816000</v>
      </c>
      <c r="AD227" s="850">
        <f t="shared" si="73"/>
        <v>8316000.0000000009</v>
      </c>
    </row>
    <row r="228" spans="1:30" ht="26.4">
      <c r="A228" s="326">
        <f>+A227+1</f>
        <v>5</v>
      </c>
      <c r="B228" s="1376" t="s">
        <v>5335</v>
      </c>
      <c r="C228" s="627" t="s">
        <v>5399</v>
      </c>
      <c r="D228" s="46" t="s">
        <v>5335</v>
      </c>
      <c r="E228" s="179" t="s">
        <v>5415</v>
      </c>
      <c r="F228" s="126" t="s">
        <v>210</v>
      </c>
      <c r="G228" s="167"/>
      <c r="H228" s="167"/>
      <c r="I228" s="167">
        <v>1</v>
      </c>
      <c r="J228" s="154">
        <v>1109</v>
      </c>
      <c r="K228" s="559" t="s">
        <v>5401</v>
      </c>
      <c r="L228" s="170" t="s">
        <v>5429</v>
      </c>
      <c r="M228" s="86" t="s">
        <v>210</v>
      </c>
      <c r="N228" s="477" t="s">
        <v>5393</v>
      </c>
      <c r="O228" s="1999"/>
      <c r="P228" s="1506"/>
      <c r="Q228" s="248"/>
      <c r="R228" s="248"/>
      <c r="S228" s="248"/>
      <c r="T228" s="371">
        <v>11148</v>
      </c>
      <c r="U228" s="248"/>
      <c r="V228" s="247"/>
      <c r="W228" s="248"/>
      <c r="X228" s="341">
        <v>400000</v>
      </c>
      <c r="Y228" s="847">
        <f t="shared" si="69"/>
        <v>11148</v>
      </c>
      <c r="Z228" s="848">
        <f t="shared" si="68"/>
        <v>0</v>
      </c>
      <c r="AA228" s="249"/>
      <c r="AB228" s="341">
        <v>3300000</v>
      </c>
      <c r="AC228" s="851">
        <f t="shared" si="72"/>
        <v>4007148.0000000005</v>
      </c>
      <c r="AD228" s="850">
        <f t="shared" si="73"/>
        <v>3996000.0000000005</v>
      </c>
    </row>
    <row r="229" spans="1:30" ht="26.4">
      <c r="A229" s="326">
        <f>+A228+1</f>
        <v>6</v>
      </c>
      <c r="B229" s="1376" t="s">
        <v>5335</v>
      </c>
      <c r="C229" s="627" t="s">
        <v>5396</v>
      </c>
      <c r="D229" s="46" t="s">
        <v>5335</v>
      </c>
      <c r="E229" s="179" t="s">
        <v>5416</v>
      </c>
      <c r="F229" s="126" t="s">
        <v>210</v>
      </c>
      <c r="G229" s="167"/>
      <c r="H229" s="167">
        <v>1</v>
      </c>
      <c r="I229" s="167"/>
      <c r="J229" s="641">
        <f>23218.91+3750</f>
        <v>26968.91</v>
      </c>
      <c r="K229" s="559" t="s">
        <v>5400</v>
      </c>
      <c r="L229" s="170" t="s">
        <v>5395</v>
      </c>
      <c r="M229" s="86" t="s">
        <v>210</v>
      </c>
      <c r="N229" s="477" t="s">
        <v>5392</v>
      </c>
      <c r="O229" s="1999"/>
      <c r="P229" s="1506"/>
      <c r="Q229" s="248"/>
      <c r="R229" s="1559">
        <v>1450000</v>
      </c>
      <c r="S229" s="324">
        <v>882000</v>
      </c>
      <c r="T229" s="371">
        <v>500000</v>
      </c>
      <c r="U229" s="248"/>
      <c r="V229" s="247"/>
      <c r="W229" s="248"/>
      <c r="X229" s="341">
        <v>400000</v>
      </c>
      <c r="Y229" s="847">
        <f t="shared" si="69"/>
        <v>500000</v>
      </c>
      <c r="Z229" s="848">
        <f t="shared" si="68"/>
        <v>0</v>
      </c>
      <c r="AA229" s="391" t="s">
        <v>1416</v>
      </c>
      <c r="AB229" s="341">
        <v>7300000</v>
      </c>
      <c r="AC229" s="851">
        <f t="shared" si="72"/>
        <v>8816000</v>
      </c>
      <c r="AD229" s="850">
        <f t="shared" si="73"/>
        <v>8316000.0000000009</v>
      </c>
    </row>
    <row r="230" spans="1:30">
      <c r="A230" s="3388" t="s">
        <v>5428</v>
      </c>
      <c r="B230" s="3389"/>
      <c r="C230" s="3389"/>
      <c r="D230" s="3389"/>
      <c r="E230" s="3389"/>
      <c r="F230" s="3389"/>
      <c r="G230" s="3389"/>
      <c r="H230" s="3389"/>
      <c r="I230" s="3389"/>
      <c r="J230" s="3389"/>
      <c r="K230" s="3389"/>
      <c r="L230" s="3390"/>
      <c r="M230" s="346"/>
      <c r="N230" s="346"/>
      <c r="O230" s="346"/>
      <c r="P230" s="501"/>
      <c r="Q230" s="962"/>
      <c r="R230" s="2027"/>
      <c r="S230" s="962"/>
      <c r="T230" s="962"/>
      <c r="U230" s="962"/>
      <c r="V230" s="964"/>
      <c r="W230" s="962"/>
      <c r="X230" s="965"/>
      <c r="Y230" s="1078">
        <f>SUM(Y223:Y229)</f>
        <v>6461848</v>
      </c>
      <c r="Z230" s="965">
        <f>SUM(Z210:Z227)</f>
        <v>0</v>
      </c>
      <c r="AA230" s="967"/>
      <c r="AB230" s="1078">
        <f>SUM(AB223:AB229)</f>
        <v>87050000</v>
      </c>
      <c r="AC230" s="1078">
        <f>+AB230+Y230</f>
        <v>93511848</v>
      </c>
      <c r="AD230" s="1078">
        <f>SUM(AD223:AD229)</f>
        <v>100062000</v>
      </c>
    </row>
    <row r="231" spans="1:30" ht="27">
      <c r="A231" s="2203">
        <v>15</v>
      </c>
      <c r="B231" s="2194"/>
      <c r="C231" s="2204" t="s">
        <v>5399</v>
      </c>
      <c r="D231" s="1624" t="s">
        <v>5335</v>
      </c>
      <c r="E231" s="1623" t="s">
        <v>5728</v>
      </c>
      <c r="F231" s="1626" t="s">
        <v>210</v>
      </c>
      <c r="G231" s="2205"/>
      <c r="H231" s="2205"/>
      <c r="I231" s="2205">
        <v>1</v>
      </c>
      <c r="J231" s="2009">
        <v>1109</v>
      </c>
      <c r="K231" s="1647" t="s">
        <v>5401</v>
      </c>
      <c r="L231" s="1627" t="s">
        <v>5429</v>
      </c>
      <c r="M231" s="1544"/>
      <c r="N231" s="1544"/>
      <c r="O231" s="1544"/>
      <c r="P231" s="2228">
        <v>60000</v>
      </c>
      <c r="Q231" s="1497"/>
      <c r="R231" s="1497"/>
      <c r="S231" s="2217"/>
      <c r="T231" s="2206"/>
      <c r="U231" s="1497"/>
      <c r="V231" s="1498"/>
      <c r="W231" s="1497"/>
      <c r="X231" s="2197"/>
      <c r="Y231" s="908"/>
      <c r="Z231" s="909"/>
      <c r="AA231" s="2193" t="s">
        <v>6043</v>
      </c>
      <c r="AB231" s="911">
        <v>800000</v>
      </c>
      <c r="AC231" s="851">
        <f t="shared" si="72"/>
        <v>864000</v>
      </c>
      <c r="AD231" s="850">
        <f t="shared" si="73"/>
        <v>864000</v>
      </c>
    </row>
    <row r="232" spans="1:30" ht="26.4">
      <c r="A232" s="326">
        <v>1</v>
      </c>
      <c r="B232" s="1376" t="s">
        <v>5501</v>
      </c>
      <c r="C232" s="627" t="s">
        <v>5508</v>
      </c>
      <c r="D232" s="1376" t="s">
        <v>5501</v>
      </c>
      <c r="E232" s="179" t="s">
        <v>5523</v>
      </c>
      <c r="F232" s="126" t="s">
        <v>210</v>
      </c>
      <c r="G232" s="167"/>
      <c r="H232" s="167">
        <v>1</v>
      </c>
      <c r="I232" s="167"/>
      <c r="J232" s="2025">
        <f>22841.52</f>
        <v>22841.52</v>
      </c>
      <c r="K232" s="559" t="s">
        <v>5427</v>
      </c>
      <c r="L232" s="170" t="s">
        <v>5510</v>
      </c>
      <c r="M232" s="86" t="s">
        <v>210</v>
      </c>
      <c r="N232" s="1483" t="s">
        <v>5472</v>
      </c>
      <c r="O232" s="2184"/>
      <c r="P232" s="1506"/>
      <c r="Q232" s="248"/>
      <c r="R232" s="1559">
        <v>1450000</v>
      </c>
      <c r="S232" s="324">
        <v>882000</v>
      </c>
      <c r="T232" s="371">
        <v>500000</v>
      </c>
      <c r="U232" s="248"/>
      <c r="V232" s="247"/>
      <c r="W232" s="248"/>
      <c r="X232" s="341">
        <v>400000</v>
      </c>
      <c r="Y232" s="847">
        <f t="shared" si="69"/>
        <v>500000</v>
      </c>
      <c r="Z232" s="848">
        <f t="shared" si="68"/>
        <v>0</v>
      </c>
      <c r="AA232" s="391" t="s">
        <v>1416</v>
      </c>
      <c r="AB232" s="341">
        <v>7300000</v>
      </c>
      <c r="AC232" s="851">
        <f>((AB232+X232)*1.08)+Y232</f>
        <v>8816000</v>
      </c>
      <c r="AD232" s="850">
        <f t="shared" si="73"/>
        <v>8316000.0000000009</v>
      </c>
    </row>
    <row r="233" spans="1:30" ht="26.4">
      <c r="A233" s="326">
        <v>2</v>
      </c>
      <c r="B233" s="1376" t="s">
        <v>5512</v>
      </c>
      <c r="C233" s="627" t="s">
        <v>5516</v>
      </c>
      <c r="D233" s="1376" t="s">
        <v>5512</v>
      </c>
      <c r="E233" s="179" t="s">
        <v>5524</v>
      </c>
      <c r="F233" s="126" t="s">
        <v>210</v>
      </c>
      <c r="G233" s="167"/>
      <c r="H233" s="167">
        <v>1</v>
      </c>
      <c r="I233" s="167"/>
      <c r="J233" s="2025">
        <f>23122.55</f>
        <v>23122.55</v>
      </c>
      <c r="K233" s="559" t="s">
        <v>5473</v>
      </c>
      <c r="L233" s="170" t="s">
        <v>5514</v>
      </c>
      <c r="M233" s="86" t="s">
        <v>210</v>
      </c>
      <c r="N233" s="477" t="s">
        <v>5511</v>
      </c>
      <c r="O233" s="2184"/>
      <c r="P233" s="1506"/>
      <c r="Q233" s="248"/>
      <c r="R233" s="1559">
        <v>1450000</v>
      </c>
      <c r="S233" s="324">
        <v>882000</v>
      </c>
      <c r="T233" s="371">
        <v>500000</v>
      </c>
      <c r="U233" s="248"/>
      <c r="V233" s="247"/>
      <c r="W233" s="248"/>
      <c r="X233" s="341">
        <v>400000</v>
      </c>
      <c r="Y233" s="847">
        <f t="shared" si="69"/>
        <v>500000</v>
      </c>
      <c r="Z233" s="848">
        <f t="shared" si="68"/>
        <v>0</v>
      </c>
      <c r="AA233" s="249"/>
      <c r="AB233" s="341">
        <v>7300000</v>
      </c>
      <c r="AC233" s="851">
        <f t="shared" si="72"/>
        <v>8816000</v>
      </c>
      <c r="AD233" s="850">
        <f t="shared" si="73"/>
        <v>8316000.0000000009</v>
      </c>
    </row>
    <row r="234" spans="1:30" ht="26.4">
      <c r="A234" s="326">
        <v>3</v>
      </c>
      <c r="B234" s="1376" t="s">
        <v>5512</v>
      </c>
      <c r="C234" s="2211" t="s">
        <v>5519</v>
      </c>
      <c r="D234" s="1376" t="s">
        <v>5512</v>
      </c>
      <c r="E234" s="2029" t="s">
        <v>5539</v>
      </c>
      <c r="F234" s="126" t="s">
        <v>210</v>
      </c>
      <c r="G234" s="167"/>
      <c r="H234" s="167"/>
      <c r="I234" s="167">
        <v>1</v>
      </c>
      <c r="J234" s="154">
        <v>2291.5</v>
      </c>
      <c r="K234" s="2276" t="s">
        <v>5506</v>
      </c>
      <c r="L234" s="1516"/>
      <c r="M234" s="2141" t="s">
        <v>210</v>
      </c>
      <c r="N234" s="1506" t="s">
        <v>5507</v>
      </c>
      <c r="O234" s="2141"/>
      <c r="P234" s="324">
        <v>60000</v>
      </c>
      <c r="Q234" s="1507"/>
      <c r="R234" s="1507"/>
      <c r="S234" s="1507"/>
      <c r="T234" s="371">
        <v>25487</v>
      </c>
      <c r="U234" s="1507"/>
      <c r="V234" s="1508"/>
      <c r="W234" s="1507"/>
      <c r="X234" s="341">
        <v>400000</v>
      </c>
      <c r="Y234" s="847">
        <f t="shared" si="69"/>
        <v>85487</v>
      </c>
      <c r="Z234" s="848">
        <f t="shared" si="68"/>
        <v>0</v>
      </c>
      <c r="AA234" s="1518" t="s">
        <v>6044</v>
      </c>
      <c r="AB234" s="341">
        <f>3520000+800000</f>
        <v>4320000</v>
      </c>
      <c r="AC234" s="851">
        <f t="shared" si="72"/>
        <v>5183087</v>
      </c>
      <c r="AD234" s="850">
        <f t="shared" si="73"/>
        <v>5097600</v>
      </c>
    </row>
    <row r="235" spans="1:30">
      <c r="A235" s="326">
        <v>4</v>
      </c>
      <c r="B235" s="673" t="s">
        <v>5520</v>
      </c>
      <c r="C235" s="630" t="s">
        <v>5515</v>
      </c>
      <c r="D235" s="46" t="s">
        <v>5501</v>
      </c>
      <c r="E235" s="2028" t="s">
        <v>5538</v>
      </c>
      <c r="F235" s="126" t="s">
        <v>206</v>
      </c>
      <c r="G235" s="167"/>
      <c r="H235" s="167">
        <v>1</v>
      </c>
      <c r="I235" s="167"/>
      <c r="J235" s="154">
        <v>24069</v>
      </c>
      <c r="K235" s="559" t="s">
        <v>5504</v>
      </c>
      <c r="L235" s="170" t="s">
        <v>5536</v>
      </c>
      <c r="M235" s="794" t="s">
        <v>123</v>
      </c>
      <c r="N235" s="477" t="s">
        <v>5505</v>
      </c>
      <c r="O235" s="2184"/>
      <c r="P235" s="1506"/>
      <c r="Q235" s="248"/>
      <c r="R235" s="324">
        <v>882000</v>
      </c>
      <c r="S235" s="1559">
        <v>1250000</v>
      </c>
      <c r="T235" s="371">
        <v>500000</v>
      </c>
      <c r="U235" s="248"/>
      <c r="V235" s="247"/>
      <c r="W235" s="248"/>
      <c r="X235" s="1535"/>
      <c r="Y235" s="847">
        <f t="shared" si="69"/>
        <v>500000</v>
      </c>
      <c r="Z235" s="848">
        <f t="shared" si="68"/>
        <v>0</v>
      </c>
      <c r="AA235" s="249"/>
      <c r="AB235" s="341">
        <v>7350000</v>
      </c>
      <c r="AC235" s="851">
        <f t="shared" si="72"/>
        <v>8438000</v>
      </c>
      <c r="AD235" s="850">
        <f t="shared" si="73"/>
        <v>7938000.0000000009</v>
      </c>
    </row>
    <row r="236" spans="1:30" ht="27.75" customHeight="1">
      <c r="A236" s="326">
        <v>5</v>
      </c>
      <c r="B236" s="673" t="s">
        <v>5520</v>
      </c>
      <c r="C236" s="631" t="s">
        <v>5518</v>
      </c>
      <c r="D236" s="46" t="s">
        <v>5501</v>
      </c>
      <c r="E236" s="2028" t="s">
        <v>5540</v>
      </c>
      <c r="F236" s="126" t="s">
        <v>206</v>
      </c>
      <c r="G236" s="167"/>
      <c r="H236" s="167">
        <v>1</v>
      </c>
      <c r="I236" s="167"/>
      <c r="J236" s="154">
        <v>23944</v>
      </c>
      <c r="K236" s="559" t="s">
        <v>5509</v>
      </c>
      <c r="L236" s="170" t="s">
        <v>5535</v>
      </c>
      <c r="M236" s="794" t="s">
        <v>123</v>
      </c>
      <c r="N236" s="477" t="s">
        <v>5505</v>
      </c>
      <c r="O236" s="2229"/>
      <c r="P236" s="1506"/>
      <c r="Q236" s="248"/>
      <c r="R236" s="324">
        <v>882000</v>
      </c>
      <c r="S236" s="1559">
        <v>1450000</v>
      </c>
      <c r="T236" s="371">
        <v>500000</v>
      </c>
      <c r="U236" s="248"/>
      <c r="V236" s="247"/>
      <c r="W236" s="248"/>
      <c r="X236" s="341">
        <v>400000</v>
      </c>
      <c r="Y236" s="847">
        <f t="shared" si="69"/>
        <v>500000</v>
      </c>
      <c r="Z236" s="848">
        <f t="shared" si="68"/>
        <v>0</v>
      </c>
      <c r="AA236" s="249"/>
      <c r="AB236" s="341">
        <f>7350000-882000</f>
        <v>6468000</v>
      </c>
      <c r="AC236" s="851">
        <f>((AB236+X236)*1.08)+Y236</f>
        <v>7917440.0000000009</v>
      </c>
      <c r="AD236" s="850">
        <f t="shared" si="73"/>
        <v>7417440.0000000009</v>
      </c>
    </row>
    <row r="237" spans="1:30" ht="26.4">
      <c r="A237" s="326">
        <v>6</v>
      </c>
      <c r="B237" s="1376" t="s">
        <v>5526</v>
      </c>
      <c r="C237" s="627" t="s">
        <v>5563</v>
      </c>
      <c r="D237" s="386" t="s">
        <v>5526</v>
      </c>
      <c r="E237" s="179" t="s">
        <v>5613</v>
      </c>
      <c r="F237" s="126" t="s">
        <v>210</v>
      </c>
      <c r="G237" s="167">
        <v>1</v>
      </c>
      <c r="H237" s="167"/>
      <c r="I237" s="167"/>
      <c r="J237" s="2025">
        <v>12387.98</v>
      </c>
      <c r="K237" s="559" t="s">
        <v>5525</v>
      </c>
      <c r="L237" s="170" t="s">
        <v>5570</v>
      </c>
      <c r="M237" s="595" t="s">
        <v>210</v>
      </c>
      <c r="N237" s="477" t="s">
        <v>5537</v>
      </c>
      <c r="O237" s="2184"/>
      <c r="P237" s="1506"/>
      <c r="Q237" s="248"/>
      <c r="R237" s="1559">
        <v>900000</v>
      </c>
      <c r="S237" s="324">
        <v>497000</v>
      </c>
      <c r="T237" s="371">
        <v>250000</v>
      </c>
      <c r="U237" s="248"/>
      <c r="V237" s="247"/>
      <c r="W237" s="248"/>
      <c r="X237" s="341">
        <v>400000</v>
      </c>
      <c r="Y237" s="847">
        <f t="shared" si="69"/>
        <v>250000</v>
      </c>
      <c r="Z237" s="848">
        <f t="shared" si="68"/>
        <v>0</v>
      </c>
      <c r="AA237" s="249"/>
      <c r="AB237" s="341">
        <v>6900000</v>
      </c>
      <c r="AC237" s="851">
        <f t="shared" si="72"/>
        <v>8134000.0000000009</v>
      </c>
      <c r="AD237" s="850">
        <f t="shared" si="73"/>
        <v>7884000.0000000009</v>
      </c>
    </row>
    <row r="238" spans="1:30" ht="26.4">
      <c r="A238" s="326">
        <v>7</v>
      </c>
      <c r="B238" s="673" t="s">
        <v>5575</v>
      </c>
      <c r="C238" s="631" t="s">
        <v>5564</v>
      </c>
      <c r="D238" s="386" t="s">
        <v>5526</v>
      </c>
      <c r="E238" s="179" t="s">
        <v>5614</v>
      </c>
      <c r="F238" s="126" t="s">
        <v>206</v>
      </c>
      <c r="G238" s="167"/>
      <c r="H238" s="167">
        <v>1</v>
      </c>
      <c r="I238" s="167"/>
      <c r="J238" s="154">
        <v>23772.5</v>
      </c>
      <c r="K238" s="559" t="s">
        <v>5550</v>
      </c>
      <c r="L238" s="170" t="s">
        <v>5541</v>
      </c>
      <c r="M238" s="794" t="s">
        <v>123</v>
      </c>
      <c r="N238" s="477" t="s">
        <v>5542</v>
      </c>
      <c r="O238" s="2184"/>
      <c r="P238" s="1506"/>
      <c r="Q238" s="324">
        <v>416000</v>
      </c>
      <c r="R238" s="324">
        <v>882000</v>
      </c>
      <c r="S238" s="1559">
        <v>1500000</v>
      </c>
      <c r="T238" s="371">
        <v>500000</v>
      </c>
      <c r="U238" s="248"/>
      <c r="V238" s="247"/>
      <c r="W238" s="248"/>
      <c r="X238" s="341">
        <v>400000</v>
      </c>
      <c r="Y238" s="847">
        <f t="shared" si="69"/>
        <v>916000</v>
      </c>
      <c r="Z238" s="848">
        <f t="shared" si="68"/>
        <v>0</v>
      </c>
      <c r="AA238" s="2140"/>
      <c r="AB238" s="341">
        <v>7700000</v>
      </c>
      <c r="AC238" s="851">
        <f t="shared" si="72"/>
        <v>9664000</v>
      </c>
      <c r="AD238" s="850">
        <f t="shared" si="73"/>
        <v>8748000</v>
      </c>
    </row>
    <row r="239" spans="1:30" ht="30.75" customHeight="1">
      <c r="A239" s="326">
        <v>8</v>
      </c>
      <c r="B239" s="673" t="s">
        <v>5602</v>
      </c>
      <c r="C239" s="630" t="s">
        <v>5606</v>
      </c>
      <c r="D239" s="386" t="s">
        <v>5575</v>
      </c>
      <c r="E239" s="1361" t="s">
        <v>5727</v>
      </c>
      <c r="F239" s="126" t="s">
        <v>206</v>
      </c>
      <c r="G239" s="167"/>
      <c r="H239" s="167"/>
      <c r="I239" s="167">
        <v>1</v>
      </c>
      <c r="J239" s="154">
        <v>2584</v>
      </c>
      <c r="K239" s="559" t="s">
        <v>5560</v>
      </c>
      <c r="L239" s="170" t="s">
        <v>5562</v>
      </c>
      <c r="M239" s="595" t="s">
        <v>210</v>
      </c>
      <c r="N239" s="1483" t="s">
        <v>5561</v>
      </c>
      <c r="O239" s="2141"/>
      <c r="P239" s="1506"/>
      <c r="Q239" s="754"/>
      <c r="R239" s="248"/>
      <c r="S239" s="248"/>
      <c r="T239" s="371">
        <v>38760</v>
      </c>
      <c r="U239" s="248"/>
      <c r="V239" s="247"/>
      <c r="W239" s="248"/>
      <c r="X239" s="158"/>
      <c r="Y239" s="847">
        <f t="shared" si="69"/>
        <v>38760</v>
      </c>
      <c r="Z239" s="848">
        <f t="shared" si="68"/>
        <v>0</v>
      </c>
      <c r="AA239" s="1511" t="s">
        <v>5737</v>
      </c>
      <c r="AB239" s="341">
        <f>3520000</f>
        <v>3520000</v>
      </c>
      <c r="AC239" s="851">
        <f t="shared" si="72"/>
        <v>3840360.0000000005</v>
      </c>
      <c r="AD239" s="850">
        <f t="shared" si="73"/>
        <v>3801600.0000000005</v>
      </c>
    </row>
    <row r="240" spans="1:30" ht="27">
      <c r="A240" s="326">
        <v>9</v>
      </c>
      <c r="B240" s="673" t="s">
        <v>5602</v>
      </c>
      <c r="C240" s="631" t="s">
        <v>5628</v>
      </c>
      <c r="D240" s="386" t="s">
        <v>5575</v>
      </c>
      <c r="E240" s="2153" t="s">
        <v>5627</v>
      </c>
      <c r="F240" s="2154" t="s">
        <v>206</v>
      </c>
      <c r="G240" s="2155">
        <v>1</v>
      </c>
      <c r="H240" s="167"/>
      <c r="I240" s="167"/>
      <c r="J240" s="154">
        <v>24751.35</v>
      </c>
      <c r="K240" s="1571" t="s">
        <v>5629</v>
      </c>
      <c r="L240" s="2156" t="s">
        <v>5623</v>
      </c>
      <c r="M240" s="2157" t="s">
        <v>123</v>
      </c>
      <c r="N240" s="1494" t="s">
        <v>5552</v>
      </c>
      <c r="O240" s="2184"/>
      <c r="P240" s="1547"/>
      <c r="Q240" s="2158">
        <v>348000</v>
      </c>
      <c r="R240" s="2158">
        <v>497000</v>
      </c>
      <c r="S240" s="1559">
        <v>1000000</v>
      </c>
      <c r="T240" s="371">
        <v>250000</v>
      </c>
      <c r="U240" s="2159"/>
      <c r="V240" s="2160"/>
      <c r="W240" s="2158">
        <v>275000</v>
      </c>
      <c r="X240" s="341">
        <v>400000</v>
      </c>
      <c r="Y240" s="847">
        <f t="shared" si="69"/>
        <v>873000</v>
      </c>
      <c r="Z240" s="2161">
        <f t="shared" si="68"/>
        <v>0</v>
      </c>
      <c r="AA240" s="2162"/>
      <c r="AB240" s="2163">
        <v>6930000</v>
      </c>
      <c r="AC240" s="2164">
        <f t="shared" si="72"/>
        <v>8789400</v>
      </c>
      <c r="AD240" s="2165">
        <f t="shared" si="73"/>
        <v>7916400.0000000009</v>
      </c>
    </row>
    <row r="241" spans="1:34" ht="27">
      <c r="A241" s="326">
        <v>10</v>
      </c>
      <c r="B241" s="1376" t="s">
        <v>5633</v>
      </c>
      <c r="C241" s="627" t="s">
        <v>5661</v>
      </c>
      <c r="D241" s="46" t="s">
        <v>5633</v>
      </c>
      <c r="E241" s="179" t="s">
        <v>5670</v>
      </c>
      <c r="F241" s="126" t="s">
        <v>210</v>
      </c>
      <c r="G241" s="167">
        <v>1</v>
      </c>
      <c r="H241" s="167"/>
      <c r="I241" s="167"/>
      <c r="J241" s="2025">
        <f>11662.47</f>
        <v>11662.47</v>
      </c>
      <c r="K241" s="559" t="s">
        <v>5621</v>
      </c>
      <c r="L241" s="170" t="s">
        <v>5659</v>
      </c>
      <c r="M241" s="595" t="s">
        <v>210</v>
      </c>
      <c r="N241" s="477" t="s">
        <v>5622</v>
      </c>
      <c r="O241" s="2184"/>
      <c r="P241" s="1506"/>
      <c r="Q241" s="1507"/>
      <c r="R241" s="1559">
        <v>900000</v>
      </c>
      <c r="S241" s="2158">
        <v>497000</v>
      </c>
      <c r="T241" s="371">
        <v>250000</v>
      </c>
      <c r="U241" s="248"/>
      <c r="V241" s="247"/>
      <c r="W241" s="248"/>
      <c r="X241" s="341">
        <v>400000</v>
      </c>
      <c r="Y241" s="847">
        <f t="shared" si="69"/>
        <v>250000</v>
      </c>
      <c r="Z241" s="848">
        <f t="shared" si="68"/>
        <v>0</v>
      </c>
      <c r="AA241" s="249"/>
      <c r="AB241" s="341">
        <v>6380000</v>
      </c>
      <c r="AC241" s="851">
        <f t="shared" si="72"/>
        <v>7572400.0000000009</v>
      </c>
      <c r="AD241" s="850">
        <f t="shared" si="73"/>
        <v>7322400.0000000009</v>
      </c>
    </row>
    <row r="242" spans="1:34" ht="27">
      <c r="A242" s="326">
        <v>11</v>
      </c>
      <c r="B242" s="1376" t="s">
        <v>5633</v>
      </c>
      <c r="C242" s="627" t="s">
        <v>5669</v>
      </c>
      <c r="D242" s="46" t="s">
        <v>5633</v>
      </c>
      <c r="E242" s="179" t="s">
        <v>5671</v>
      </c>
      <c r="F242" s="126" t="s">
        <v>210</v>
      </c>
      <c r="G242" s="167">
        <v>1</v>
      </c>
      <c r="H242" s="167"/>
      <c r="I242" s="167"/>
      <c r="J242" s="2025">
        <f>13343.008</f>
        <v>13343.008</v>
      </c>
      <c r="K242" s="559" t="s">
        <v>5620</v>
      </c>
      <c r="L242" s="170" t="s">
        <v>5660</v>
      </c>
      <c r="M242" s="595" t="s">
        <v>210</v>
      </c>
      <c r="N242" s="477" t="s">
        <v>5622</v>
      </c>
      <c r="O242" s="2184"/>
      <c r="P242" s="1506"/>
      <c r="Q242" s="1507"/>
      <c r="R242" s="1559">
        <v>900000</v>
      </c>
      <c r="S242" s="2158">
        <v>497000</v>
      </c>
      <c r="T242" s="371">
        <v>250000</v>
      </c>
      <c r="U242" s="248"/>
      <c r="V242" s="247"/>
      <c r="W242" s="248"/>
      <c r="X242" s="341">
        <v>400000</v>
      </c>
      <c r="Y242" s="847">
        <f t="shared" si="69"/>
        <v>250000</v>
      </c>
      <c r="Z242" s="848">
        <f>+V242</f>
        <v>0</v>
      </c>
      <c r="AA242" s="249"/>
      <c r="AB242" s="341">
        <v>6380000</v>
      </c>
      <c r="AC242" s="851">
        <f t="shared" si="72"/>
        <v>7572400.0000000009</v>
      </c>
      <c r="AD242" s="850">
        <f>(AB242+X242)*1.08</f>
        <v>7322400.0000000009</v>
      </c>
    </row>
    <row r="243" spans="1:34" ht="27">
      <c r="A243" s="326">
        <v>12</v>
      </c>
      <c r="B243" s="2194" t="s">
        <v>5656</v>
      </c>
      <c r="C243" s="2212" t="s">
        <v>5722</v>
      </c>
      <c r="D243" s="2194" t="s">
        <v>5656</v>
      </c>
      <c r="E243" s="1623" t="s">
        <v>5726</v>
      </c>
      <c r="F243" s="1626" t="s">
        <v>210</v>
      </c>
      <c r="G243" s="167"/>
      <c r="H243" s="167">
        <v>1</v>
      </c>
      <c r="I243" s="167"/>
      <c r="J243" s="127">
        <v>22905.48</v>
      </c>
      <c r="K243" s="1647" t="s">
        <v>5673</v>
      </c>
      <c r="L243" s="1627" t="s">
        <v>5710</v>
      </c>
      <c r="M243" s="2157" t="s">
        <v>123</v>
      </c>
      <c r="N243" s="1544" t="s">
        <v>5674</v>
      </c>
      <c r="O243" s="1544"/>
      <c r="P243" s="1544"/>
      <c r="Q243" s="1497"/>
      <c r="R243" s="1559">
        <v>1450000</v>
      </c>
      <c r="S243" s="2195">
        <v>882000</v>
      </c>
      <c r="T243" s="2196">
        <v>500000</v>
      </c>
      <c r="U243" s="1497"/>
      <c r="V243" s="1498"/>
      <c r="W243" s="1497"/>
      <c r="X243" s="2197">
        <v>400000</v>
      </c>
      <c r="Y243" s="847">
        <f t="shared" si="69"/>
        <v>500000</v>
      </c>
      <c r="Z243" s="848">
        <f t="shared" si="68"/>
        <v>0</v>
      </c>
      <c r="AA243" s="391" t="s">
        <v>1416</v>
      </c>
      <c r="AB243" s="341">
        <v>7300000</v>
      </c>
      <c r="AC243" s="851">
        <f t="shared" si="72"/>
        <v>8816000</v>
      </c>
      <c r="AD243" s="850">
        <f t="shared" si="73"/>
        <v>8316000.0000000009</v>
      </c>
    </row>
    <row r="244" spans="1:34" ht="27">
      <c r="A244" s="1503">
        <v>13</v>
      </c>
      <c r="B244" s="2062" t="s">
        <v>5717</v>
      </c>
      <c r="C244" s="2199" t="s">
        <v>5747</v>
      </c>
      <c r="D244" s="1504" t="s">
        <v>5717</v>
      </c>
      <c r="E244" s="2216" t="s">
        <v>5761</v>
      </c>
      <c r="F244" s="1505" t="s">
        <v>206</v>
      </c>
      <c r="G244" s="1642"/>
      <c r="H244" s="1642"/>
      <c r="I244" s="1642">
        <v>1</v>
      </c>
      <c r="J244" s="1492"/>
      <c r="K244" s="1589" t="s">
        <v>5729</v>
      </c>
      <c r="L244" s="1516" t="s">
        <v>5730</v>
      </c>
      <c r="M244" s="2462" t="s">
        <v>123</v>
      </c>
      <c r="N244" s="1506"/>
      <c r="O244" s="1506"/>
      <c r="P244" s="2207"/>
      <c r="Q244" s="1507"/>
      <c r="R244" s="1507"/>
      <c r="S244" s="2101"/>
      <c r="T244" s="2200">
        <v>62454</v>
      </c>
      <c r="U244" s="1507"/>
      <c r="V244" s="1508"/>
      <c r="W244" s="1507"/>
      <c r="X244" s="2197">
        <v>400000</v>
      </c>
      <c r="Y244" s="847">
        <f t="shared" si="69"/>
        <v>62454</v>
      </c>
      <c r="Z244" s="848">
        <f t="shared" si="68"/>
        <v>0</v>
      </c>
      <c r="AA244" s="2208" t="s">
        <v>5753</v>
      </c>
      <c r="AB244" s="2201">
        <f>+(2020000*2)+1500000</f>
        <v>5540000</v>
      </c>
      <c r="AC244" s="1602">
        <f t="shared" si="72"/>
        <v>6477654</v>
      </c>
      <c r="AD244" s="2201">
        <f t="shared" si="73"/>
        <v>6415200</v>
      </c>
    </row>
    <row r="245" spans="1:34" ht="27">
      <c r="A245" s="1503">
        <v>14</v>
      </c>
      <c r="B245" s="2062" t="s">
        <v>5717</v>
      </c>
      <c r="C245" s="2199" t="s">
        <v>5748</v>
      </c>
      <c r="D245" s="1504" t="s">
        <v>5717</v>
      </c>
      <c r="E245" s="2029" t="s">
        <v>5762</v>
      </c>
      <c r="F245" s="1505" t="s">
        <v>206</v>
      </c>
      <c r="G245" s="1642"/>
      <c r="H245" s="1642"/>
      <c r="I245" s="1642">
        <v>1</v>
      </c>
      <c r="J245" s="1492"/>
      <c r="K245" s="1589" t="s">
        <v>5731</v>
      </c>
      <c r="L245" s="1516" t="s">
        <v>5732</v>
      </c>
      <c r="M245" s="2462" t="s">
        <v>123</v>
      </c>
      <c r="N245" s="1506"/>
      <c r="O245" s="1506"/>
      <c r="P245" s="2207"/>
      <c r="Q245" s="1507"/>
      <c r="R245" s="1507"/>
      <c r="S245" s="2101"/>
      <c r="T245" s="2200">
        <v>59925</v>
      </c>
      <c r="U245" s="1507"/>
      <c r="V245" s="1508"/>
      <c r="W245" s="1507"/>
      <c r="X245" s="2197">
        <v>400000</v>
      </c>
      <c r="Y245" s="847">
        <f t="shared" si="69"/>
        <v>59925</v>
      </c>
      <c r="Z245" s="848">
        <f t="shared" si="68"/>
        <v>0</v>
      </c>
      <c r="AA245" s="2208" t="s">
        <v>5753</v>
      </c>
      <c r="AB245" s="2201">
        <f>+(2020000*2)+1500000</f>
        <v>5540000</v>
      </c>
      <c r="AC245" s="1602">
        <f>((AB245+X245)*1.08)+Y245</f>
        <v>6475125</v>
      </c>
      <c r="AD245" s="2201">
        <f>(AB245+X245)*1.08</f>
        <v>6415200</v>
      </c>
    </row>
    <row r="246" spans="1:34">
      <c r="A246" s="3310" t="s">
        <v>5867</v>
      </c>
      <c r="B246" s="3310"/>
      <c r="C246" s="3310"/>
      <c r="D246" s="3310"/>
      <c r="E246" s="3310"/>
      <c r="F246" s="3310"/>
      <c r="G246" s="3310"/>
      <c r="H246" s="3310"/>
      <c r="I246" s="3310"/>
      <c r="J246" s="3310"/>
      <c r="K246" s="3310"/>
      <c r="L246" s="3310"/>
      <c r="M246" s="1607"/>
      <c r="N246" s="1607"/>
      <c r="O246" s="1607"/>
      <c r="P246" s="501"/>
      <c r="Q246" s="962"/>
      <c r="R246" s="2198"/>
      <c r="S246" s="962"/>
      <c r="T246" s="962"/>
      <c r="U246" s="962"/>
      <c r="V246" s="964"/>
      <c r="W246" s="962"/>
      <c r="X246" s="965"/>
      <c r="Y246" s="1078">
        <f>SUM(Y237:Y243)</f>
        <v>3077760</v>
      </c>
      <c r="Z246" s="965"/>
      <c r="AA246" s="967"/>
      <c r="AB246" s="1078">
        <f>SUM(AB237:AB244)</f>
        <v>50650000</v>
      </c>
      <c r="AC246" s="1078">
        <f>+AB246+Y246</f>
        <v>53727760</v>
      </c>
      <c r="AD246" s="1078">
        <f>SUM(AD237:AD243)</f>
        <v>51310800</v>
      </c>
    </row>
    <row r="247" spans="1:34" ht="27">
      <c r="A247" s="326"/>
      <c r="B247" s="2062" t="s">
        <v>5717</v>
      </c>
      <c r="C247" s="2199" t="s">
        <v>5747</v>
      </c>
      <c r="D247" s="1504" t="s">
        <v>5717</v>
      </c>
      <c r="E247" s="2216" t="s">
        <v>6041</v>
      </c>
      <c r="F247" s="1505" t="s">
        <v>206</v>
      </c>
      <c r="G247" s="1642"/>
      <c r="H247" s="1642"/>
      <c r="I247" s="1642">
        <v>1</v>
      </c>
      <c r="J247" s="1492"/>
      <c r="K247" s="1589" t="s">
        <v>5729</v>
      </c>
      <c r="L247" s="1516" t="s">
        <v>5730</v>
      </c>
      <c r="M247" s="2157" t="s">
        <v>123</v>
      </c>
      <c r="N247" s="1506"/>
      <c r="P247" s="2195">
        <v>60000</v>
      </c>
      <c r="Q247" s="1507"/>
      <c r="R247" s="1507"/>
      <c r="S247" s="2101"/>
      <c r="T247" s="2101"/>
      <c r="U247" s="1507"/>
      <c r="V247" s="1508"/>
      <c r="W247" s="1507"/>
      <c r="X247" s="2348"/>
      <c r="Y247" s="847">
        <f>Q247+T247+U247+W247+P247</f>
        <v>60000</v>
      </c>
      <c r="Z247" s="2481"/>
      <c r="AA247" s="391" t="s">
        <v>6043</v>
      </c>
      <c r="AB247" s="341">
        <v>800000</v>
      </c>
      <c r="AC247" s="1602">
        <f>((AB247+X247)*1.08)+Y247</f>
        <v>924000</v>
      </c>
      <c r="AD247" s="2201">
        <f>(AB247+X247)*1.08</f>
        <v>864000</v>
      </c>
    </row>
    <row r="248" spans="1:34" ht="27">
      <c r="A248" s="326"/>
      <c r="B248" s="2062" t="s">
        <v>5717</v>
      </c>
      <c r="C248" s="2199" t="s">
        <v>5748</v>
      </c>
      <c r="D248" s="1504" t="s">
        <v>5717</v>
      </c>
      <c r="E248" s="2029" t="s">
        <v>6042</v>
      </c>
      <c r="F248" s="1505" t="s">
        <v>206</v>
      </c>
      <c r="G248" s="1642"/>
      <c r="H248" s="1642"/>
      <c r="I248" s="1642">
        <v>1</v>
      </c>
      <c r="J248" s="1492"/>
      <c r="K248" s="1589" t="s">
        <v>5731</v>
      </c>
      <c r="L248" s="1516" t="s">
        <v>5732</v>
      </c>
      <c r="M248" s="2157" t="s">
        <v>123</v>
      </c>
      <c r="N248" s="1506"/>
      <c r="O248" s="2384"/>
      <c r="P248" s="2195">
        <v>60000</v>
      </c>
      <c r="Q248" s="1507"/>
      <c r="R248" s="1507"/>
      <c r="S248" s="2101"/>
      <c r="T248" s="2101"/>
      <c r="U248" s="1507"/>
      <c r="V248" s="1508"/>
      <c r="W248" s="1507"/>
      <c r="X248" s="2348"/>
      <c r="Y248" s="847">
        <f>Q248+T248+U248+W248+P248</f>
        <v>60000</v>
      </c>
      <c r="Z248" s="2481"/>
      <c r="AA248" s="391" t="s">
        <v>6043</v>
      </c>
      <c r="AB248" s="341">
        <v>800000</v>
      </c>
      <c r="AC248" s="1602">
        <f>((AB248+X248)*1.08)+Y248</f>
        <v>924000</v>
      </c>
      <c r="AD248" s="2201">
        <f>(AB248+X248)*1.08</f>
        <v>864000</v>
      </c>
    </row>
    <row r="249" spans="1:34" ht="34.5" customHeight="1">
      <c r="A249" s="326">
        <v>1</v>
      </c>
      <c r="B249" s="1534" t="s">
        <v>5802</v>
      </c>
      <c r="C249" s="2199" t="s">
        <v>5813</v>
      </c>
      <c r="D249" s="386" t="s">
        <v>5802</v>
      </c>
      <c r="E249" s="179" t="s">
        <v>5868</v>
      </c>
      <c r="F249" s="126" t="s">
        <v>210</v>
      </c>
      <c r="G249" s="167"/>
      <c r="H249" s="167">
        <v>1</v>
      </c>
      <c r="I249" s="167"/>
      <c r="J249" s="154">
        <f>23056.49+3750</f>
        <v>26806.49</v>
      </c>
      <c r="K249" s="559" t="s">
        <v>5777</v>
      </c>
      <c r="L249" s="170" t="s">
        <v>5812</v>
      </c>
      <c r="M249" s="595" t="s">
        <v>210</v>
      </c>
      <c r="N249" s="1483" t="s">
        <v>5803</v>
      </c>
      <c r="O249" s="2383" t="s">
        <v>5944</v>
      </c>
      <c r="P249" s="1506"/>
      <c r="Q249" s="248"/>
      <c r="R249" s="2468">
        <v>1450000</v>
      </c>
      <c r="S249" s="2195">
        <v>882000</v>
      </c>
      <c r="T249" s="371">
        <v>500000</v>
      </c>
      <c r="U249" s="248"/>
      <c r="V249" s="247"/>
      <c r="W249" s="248"/>
      <c r="X249" s="2197">
        <v>400000</v>
      </c>
      <c r="Y249" s="847">
        <f>Q249+T249+U249+W249+P249</f>
        <v>500000</v>
      </c>
      <c r="Z249" s="2481"/>
      <c r="AA249" s="391" t="s">
        <v>1416</v>
      </c>
      <c r="AB249" s="341">
        <v>7300000</v>
      </c>
      <c r="AC249" s="1602">
        <f>((AB249+X249)*1.08)+Y249</f>
        <v>8816000</v>
      </c>
      <c r="AD249" s="2201">
        <f>(AB249+X249)*1.08</f>
        <v>8316000.0000000009</v>
      </c>
    </row>
    <row r="250" spans="1:34" ht="66.599999999999994">
      <c r="A250" s="326">
        <v>2</v>
      </c>
      <c r="B250" s="673" t="s">
        <v>5848</v>
      </c>
      <c r="C250" s="631" t="s">
        <v>5815</v>
      </c>
      <c r="D250" s="386" t="s">
        <v>5802</v>
      </c>
      <c r="E250" s="179" t="s">
        <v>5899</v>
      </c>
      <c r="F250" s="126" t="s">
        <v>206</v>
      </c>
      <c r="G250" s="167"/>
      <c r="H250" s="167">
        <v>5</v>
      </c>
      <c r="I250" s="167"/>
      <c r="J250" s="154">
        <f>107126/5</f>
        <v>21425.200000000001</v>
      </c>
      <c r="K250" s="559" t="s">
        <v>5736</v>
      </c>
      <c r="L250" s="170" t="s">
        <v>5817</v>
      </c>
      <c r="M250" s="2279" t="s">
        <v>136</v>
      </c>
      <c r="N250" s="477" t="s">
        <v>5816</v>
      </c>
      <c r="O250" s="2488" t="s">
        <v>6072</v>
      </c>
      <c r="P250" s="1506"/>
      <c r="Q250" s="2195">
        <v>3615000</v>
      </c>
      <c r="R250" s="2195">
        <f>882000*5</f>
        <v>4410000</v>
      </c>
      <c r="S250" s="2469">
        <f>1500000*5</f>
        <v>7500000</v>
      </c>
      <c r="T250" s="371">
        <v>2500000</v>
      </c>
      <c r="U250" s="248"/>
      <c r="V250" s="247"/>
      <c r="W250" s="2195">
        <v>350000</v>
      </c>
      <c r="X250" s="2197">
        <f>400000*2</f>
        <v>800000</v>
      </c>
      <c r="Y250" s="847">
        <f t="shared" ref="Y250:Y259" si="74">Q250+T250+U250+W250+P250</f>
        <v>6465000</v>
      </c>
      <c r="Z250" s="2481"/>
      <c r="AA250" s="2487" t="s">
        <v>6065</v>
      </c>
      <c r="AB250" s="2201">
        <f>7700000*4+(1000000*5)</f>
        <v>35800000</v>
      </c>
      <c r="AC250" s="1602">
        <f t="shared" ref="AC250:AC259" si="75">((AB250+X250)*1.08)+Y250</f>
        <v>45993000</v>
      </c>
      <c r="AD250" s="2201">
        <f t="shared" ref="AD250:AD259" si="76">(AB250+X250)*1.08</f>
        <v>39528000</v>
      </c>
    </row>
    <row r="251" spans="1:34" ht="27">
      <c r="A251" s="326">
        <v>3</v>
      </c>
      <c r="B251" s="673" t="s">
        <v>5826</v>
      </c>
      <c r="C251" s="2199" t="s">
        <v>5836</v>
      </c>
      <c r="D251" s="673" t="s">
        <v>5826</v>
      </c>
      <c r="E251" s="179" t="s">
        <v>5900</v>
      </c>
      <c r="F251" s="126" t="s">
        <v>210</v>
      </c>
      <c r="G251" s="167"/>
      <c r="H251" s="167"/>
      <c r="I251" s="167">
        <v>1</v>
      </c>
      <c r="J251" s="2323">
        <v>154.5</v>
      </c>
      <c r="K251" s="1647" t="s">
        <v>5823</v>
      </c>
      <c r="L251" s="1627" t="s">
        <v>5824</v>
      </c>
      <c r="M251" s="595" t="s">
        <v>210</v>
      </c>
      <c r="N251" s="1544"/>
      <c r="O251" s="2385" t="s">
        <v>5948</v>
      </c>
      <c r="P251" s="2195">
        <v>60000</v>
      </c>
      <c r="Q251" s="1497"/>
      <c r="R251" s="1497"/>
      <c r="S251" s="1497"/>
      <c r="T251" s="1497"/>
      <c r="U251" s="1497"/>
      <c r="V251" s="1498"/>
      <c r="W251" s="1497"/>
      <c r="X251" s="2197">
        <v>400000</v>
      </c>
      <c r="Y251" s="847">
        <f t="shared" si="74"/>
        <v>60000</v>
      </c>
      <c r="Z251" s="2480"/>
      <c r="AA251" s="391" t="s">
        <v>6045</v>
      </c>
      <c r="AB251" s="2201">
        <f>3080000+800000</f>
        <v>3880000</v>
      </c>
      <c r="AC251" s="1602">
        <f t="shared" si="75"/>
        <v>4682400</v>
      </c>
      <c r="AD251" s="2201">
        <f t="shared" si="76"/>
        <v>4622400</v>
      </c>
    </row>
    <row r="252" spans="1:34" ht="27">
      <c r="A252" s="326">
        <f>+A251+1</f>
        <v>4</v>
      </c>
      <c r="B252" s="673" t="s">
        <v>5734</v>
      </c>
      <c r="C252" s="627" t="s">
        <v>5885</v>
      </c>
      <c r="D252" s="386" t="s">
        <v>5875</v>
      </c>
      <c r="E252" s="179" t="s">
        <v>5901</v>
      </c>
      <c r="F252" s="126" t="s">
        <v>210</v>
      </c>
      <c r="G252" s="167"/>
      <c r="H252" s="1589" t="s">
        <v>973</v>
      </c>
      <c r="I252" s="2152"/>
      <c r="J252" s="2324">
        <v>23187.68</v>
      </c>
      <c r="K252" s="1589" t="s">
        <v>5849</v>
      </c>
      <c r="L252" s="170" t="s">
        <v>5883</v>
      </c>
      <c r="M252" s="595" t="s">
        <v>210</v>
      </c>
      <c r="N252" s="477" t="s">
        <v>5850</v>
      </c>
      <c r="O252" s="2385" t="s">
        <v>5942</v>
      </c>
      <c r="P252" s="2152"/>
      <c r="Q252" s="2152"/>
      <c r="R252" s="2469">
        <v>1450000</v>
      </c>
      <c r="S252" s="2195">
        <v>882000</v>
      </c>
      <c r="T252" s="371">
        <v>500000</v>
      </c>
      <c r="U252" s="2152"/>
      <c r="V252" s="2152"/>
      <c r="W252" s="2152"/>
      <c r="X252" s="2197">
        <v>400000</v>
      </c>
      <c r="Y252" s="847">
        <f t="shared" si="74"/>
        <v>500000</v>
      </c>
      <c r="Z252" s="2481"/>
      <c r="AB252" s="2201">
        <v>7300000</v>
      </c>
      <c r="AC252" s="1602">
        <f t="shared" si="75"/>
        <v>8816000</v>
      </c>
      <c r="AD252" s="2201">
        <f t="shared" si="76"/>
        <v>8316000.0000000009</v>
      </c>
      <c r="AE252" s="2470"/>
      <c r="AF252" s="2470"/>
      <c r="AG252" s="2470"/>
      <c r="AH252" s="2470"/>
    </row>
    <row r="253" spans="1:34" ht="27">
      <c r="A253" s="326">
        <f>+A252+1</f>
        <v>5</v>
      </c>
      <c r="B253" s="1534" t="s">
        <v>5931</v>
      </c>
      <c r="C253" s="627" t="s">
        <v>6004</v>
      </c>
      <c r="D253" s="1534" t="s">
        <v>5931</v>
      </c>
      <c r="E253" s="179" t="s">
        <v>6017</v>
      </c>
      <c r="F253" s="126" t="s">
        <v>210</v>
      </c>
      <c r="G253" s="167"/>
      <c r="H253" s="1589" t="s">
        <v>973</v>
      </c>
      <c r="I253" s="2152"/>
      <c r="J253" s="2426">
        <f>22877.35+3750</f>
        <v>26627.35</v>
      </c>
      <c r="K253" s="1589" t="s">
        <v>5909</v>
      </c>
      <c r="L253" s="170" t="s">
        <v>5993</v>
      </c>
      <c r="M253" s="595" t="s">
        <v>210</v>
      </c>
      <c r="N253" s="477" t="s">
        <v>5910</v>
      </c>
      <c r="O253" s="2385" t="s">
        <v>5972</v>
      </c>
      <c r="P253" s="2152"/>
      <c r="Q253" s="2152"/>
      <c r="R253" s="2469">
        <v>1450000</v>
      </c>
      <c r="S253" s="2200">
        <v>882000</v>
      </c>
      <c r="T253" s="371">
        <v>500000</v>
      </c>
      <c r="U253" s="2152"/>
      <c r="V253" s="2152"/>
      <c r="W253" s="2152"/>
      <c r="X253" s="2197">
        <v>400000</v>
      </c>
      <c r="Y253" s="847">
        <f t="shared" si="74"/>
        <v>500000</v>
      </c>
      <c r="Z253" s="2481"/>
      <c r="AA253" s="2152"/>
      <c r="AB253" s="2201">
        <v>7300000</v>
      </c>
      <c r="AC253" s="1602">
        <f t="shared" si="75"/>
        <v>8816000</v>
      </c>
      <c r="AD253" s="2201">
        <f t="shared" si="76"/>
        <v>8316000.0000000009</v>
      </c>
      <c r="AE253" s="2470"/>
      <c r="AF253" s="2470"/>
      <c r="AG253" s="2470"/>
      <c r="AH253" s="2470"/>
    </row>
    <row r="254" spans="1:34" ht="27">
      <c r="A254" s="326">
        <f>+A253+1</f>
        <v>6</v>
      </c>
      <c r="B254" s="1376" t="s">
        <v>6063</v>
      </c>
      <c r="C254" s="627" t="s">
        <v>6080</v>
      </c>
      <c r="D254" s="1376" t="s">
        <v>6063</v>
      </c>
      <c r="E254" s="179" t="s">
        <v>6086</v>
      </c>
      <c r="F254" s="126" t="s">
        <v>210</v>
      </c>
      <c r="G254" s="167"/>
      <c r="H254" s="1642">
        <v>1</v>
      </c>
      <c r="I254" s="1237"/>
      <c r="J254" s="933">
        <f>23198.84+3750</f>
        <v>26948.84</v>
      </c>
      <c r="K254" s="1589" t="s">
        <v>5997</v>
      </c>
      <c r="L254" s="740" t="s">
        <v>6074</v>
      </c>
      <c r="M254" s="595" t="s">
        <v>210</v>
      </c>
      <c r="N254" s="2501" t="s">
        <v>5998</v>
      </c>
      <c r="O254" s="949" t="s">
        <v>5958</v>
      </c>
      <c r="P254" s="581"/>
      <c r="Q254" s="425"/>
      <c r="R254" s="2469">
        <v>1450000</v>
      </c>
      <c r="S254" s="2200">
        <v>882000</v>
      </c>
      <c r="T254" s="324">
        <v>500000</v>
      </c>
      <c r="U254" s="425"/>
      <c r="V254" s="426"/>
      <c r="W254" s="425"/>
      <c r="X254" s="2197">
        <v>400000</v>
      </c>
      <c r="Y254" s="847">
        <f t="shared" si="74"/>
        <v>500000</v>
      </c>
      <c r="Z254" s="2482"/>
      <c r="AA254" s="954" t="s">
        <v>1416</v>
      </c>
      <c r="AB254" s="2201">
        <v>7300000</v>
      </c>
      <c r="AC254" s="1602">
        <f t="shared" si="75"/>
        <v>8816000</v>
      </c>
      <c r="AD254" s="2201">
        <f t="shared" si="76"/>
        <v>8316000.0000000009</v>
      </c>
    </row>
    <row r="255" spans="1:34">
      <c r="A255" s="3310" t="s">
        <v>6083</v>
      </c>
      <c r="B255" s="3310"/>
      <c r="C255" s="3310"/>
      <c r="D255" s="3310"/>
      <c r="E255" s="3310"/>
      <c r="F255" s="3310"/>
      <c r="G255" s="3310"/>
      <c r="H255" s="3310"/>
      <c r="I255" s="3310"/>
      <c r="J255" s="3310"/>
      <c r="K255" s="3310"/>
      <c r="L255" s="3310"/>
      <c r="M255" s="1607"/>
      <c r="N255" s="1607"/>
      <c r="O255" s="1607"/>
      <c r="P255" s="501"/>
      <c r="Q255" s="962"/>
      <c r="R255" s="2198"/>
      <c r="S255" s="962"/>
      <c r="T255" s="962"/>
      <c r="U255" s="962"/>
      <c r="V255" s="964"/>
      <c r="W255" s="962"/>
      <c r="X255" s="965"/>
      <c r="Y255" s="1078">
        <f>SUM(Y246:Y252)</f>
        <v>10722760</v>
      </c>
      <c r="Z255" s="965">
        <f>SUM(Z232:Z250)</f>
        <v>0</v>
      </c>
      <c r="AA255" s="2503"/>
      <c r="AB255" s="1078">
        <f>SUM(AB246:AB253)</f>
        <v>113830000</v>
      </c>
      <c r="AC255" s="1078">
        <f>+AB255+Y255</f>
        <v>124552760</v>
      </c>
      <c r="AD255" s="1078">
        <f>SUM(AD246:AD252)</f>
        <v>113821200</v>
      </c>
    </row>
    <row r="256" spans="1:34" ht="27">
      <c r="A256" s="326">
        <v>1</v>
      </c>
      <c r="B256" s="1376" t="s">
        <v>6124</v>
      </c>
      <c r="C256" s="627" t="s">
        <v>6165</v>
      </c>
      <c r="D256" s="386" t="s">
        <v>6124</v>
      </c>
      <c r="E256" s="47" t="s">
        <v>6182</v>
      </c>
      <c r="F256" s="126" t="s">
        <v>210</v>
      </c>
      <c r="G256" s="167"/>
      <c r="H256" s="1642">
        <v>1</v>
      </c>
      <c r="I256" s="710"/>
      <c r="J256" s="154">
        <f>23197.24+3750</f>
        <v>26947.24</v>
      </c>
      <c r="K256" s="1589" t="s">
        <v>6081</v>
      </c>
      <c r="L256" s="170" t="s">
        <v>6141</v>
      </c>
      <c r="M256" s="595" t="s">
        <v>210</v>
      </c>
      <c r="N256" s="1483" t="s">
        <v>6082</v>
      </c>
      <c r="O256" s="2141" t="s">
        <v>5944</v>
      </c>
      <c r="P256" s="1506"/>
      <c r="Q256" s="248"/>
      <c r="R256" s="2469">
        <v>1450000</v>
      </c>
      <c r="S256" s="2200">
        <v>882000</v>
      </c>
      <c r="T256" s="371">
        <v>500000</v>
      </c>
      <c r="U256" s="248"/>
      <c r="V256" s="247"/>
      <c r="W256" s="248"/>
      <c r="X256" s="158"/>
      <c r="Y256" s="847">
        <f t="shared" si="74"/>
        <v>500000</v>
      </c>
      <c r="Z256" s="2482">
        <f t="shared" ref="Z256:Z259" si="77">+V256</f>
        <v>0</v>
      </c>
      <c r="AA256" s="954" t="s">
        <v>1416</v>
      </c>
      <c r="AB256" s="2201">
        <v>7300000</v>
      </c>
      <c r="AC256" s="1602">
        <f t="shared" si="75"/>
        <v>8384000.0000000009</v>
      </c>
      <c r="AD256" s="2201">
        <f t="shared" si="76"/>
        <v>7884000.0000000009</v>
      </c>
    </row>
    <row r="257" spans="1:30" ht="27">
      <c r="A257" s="326">
        <f t="shared" ref="A257:A287" si="78">+A256+1</f>
        <v>2</v>
      </c>
      <c r="B257" s="673" t="s">
        <v>6053</v>
      </c>
      <c r="C257" s="631" t="s">
        <v>6166</v>
      </c>
      <c r="D257" s="46" t="s">
        <v>6122</v>
      </c>
      <c r="E257" s="47" t="s">
        <v>6181</v>
      </c>
      <c r="F257" s="126" t="s">
        <v>206</v>
      </c>
      <c r="G257" s="167"/>
      <c r="H257" s="445">
        <v>1</v>
      </c>
      <c r="I257" s="167"/>
      <c r="J257" s="154">
        <v>23116</v>
      </c>
      <c r="K257" s="559" t="s">
        <v>6121</v>
      </c>
      <c r="L257" s="170" t="s">
        <v>6167</v>
      </c>
      <c r="M257" s="2157" t="s">
        <v>123</v>
      </c>
      <c r="N257" s="477" t="s">
        <v>6122</v>
      </c>
      <c r="O257" s="2141" t="s">
        <v>5944</v>
      </c>
      <c r="P257" s="1506"/>
      <c r="Q257" s="2200">
        <v>416000</v>
      </c>
      <c r="R257" s="2200">
        <v>882000</v>
      </c>
      <c r="S257" s="2469">
        <v>1500000</v>
      </c>
      <c r="T257" s="371">
        <v>500000</v>
      </c>
      <c r="U257" s="248"/>
      <c r="V257" s="247"/>
      <c r="W257" s="248"/>
      <c r="X257" s="158"/>
      <c r="Y257" s="847">
        <f t="shared" si="74"/>
        <v>916000</v>
      </c>
      <c r="Z257" s="2482">
        <f t="shared" si="77"/>
        <v>0</v>
      </c>
      <c r="AA257" s="249"/>
      <c r="AB257" s="2201">
        <v>7350000</v>
      </c>
      <c r="AC257" s="1602">
        <f t="shared" si="75"/>
        <v>8854000</v>
      </c>
      <c r="AD257" s="2201">
        <f t="shared" si="76"/>
        <v>7938000.0000000009</v>
      </c>
    </row>
    <row r="258" spans="1:30" ht="27">
      <c r="A258" s="326">
        <f t="shared" si="78"/>
        <v>3</v>
      </c>
      <c r="B258" s="1376" t="s">
        <v>6248</v>
      </c>
      <c r="C258" s="627" t="s">
        <v>6253</v>
      </c>
      <c r="D258" s="386" t="s">
        <v>6248</v>
      </c>
      <c r="E258" s="47" t="s">
        <v>6261</v>
      </c>
      <c r="F258" s="126" t="s">
        <v>210</v>
      </c>
      <c r="G258" s="167">
        <v>1</v>
      </c>
      <c r="H258" s="167"/>
      <c r="I258" s="167"/>
      <c r="J258" s="154">
        <v>17170.259999999998</v>
      </c>
      <c r="K258" s="559" t="s">
        <v>6168</v>
      </c>
      <c r="L258" s="170" t="s">
        <v>6252</v>
      </c>
      <c r="M258" s="595" t="s">
        <v>210</v>
      </c>
      <c r="N258" s="477" t="s">
        <v>6169</v>
      </c>
      <c r="O258" s="2385" t="s">
        <v>5972</v>
      </c>
      <c r="P258" s="1506"/>
      <c r="Q258" s="248"/>
      <c r="R258" s="2469">
        <v>900000</v>
      </c>
      <c r="S258" s="2200">
        <v>497000</v>
      </c>
      <c r="T258" s="371">
        <v>500000</v>
      </c>
      <c r="U258" s="248"/>
      <c r="V258" s="247"/>
      <c r="W258" s="248"/>
      <c r="X258" s="158"/>
      <c r="Y258" s="847">
        <f t="shared" si="74"/>
        <v>500000</v>
      </c>
      <c r="Z258" s="2482">
        <f t="shared" si="77"/>
        <v>0</v>
      </c>
      <c r="AA258" s="249"/>
      <c r="AB258" s="2201">
        <v>6930000</v>
      </c>
      <c r="AC258" s="1602">
        <f t="shared" si="75"/>
        <v>7984400.0000000009</v>
      </c>
      <c r="AD258" s="2201">
        <f t="shared" si="76"/>
        <v>7484400.0000000009</v>
      </c>
    </row>
    <row r="259" spans="1:30">
      <c r="A259" s="326">
        <f t="shared" si="78"/>
        <v>4</v>
      </c>
      <c r="B259" s="2651"/>
      <c r="C259" s="630"/>
      <c r="D259" s="46"/>
      <c r="E259" s="47"/>
      <c r="F259" s="126" t="s">
        <v>210</v>
      </c>
      <c r="G259" s="167"/>
      <c r="H259" s="167">
        <v>1</v>
      </c>
      <c r="I259" s="167"/>
      <c r="J259" s="154"/>
      <c r="K259" s="559" t="s">
        <v>6263</v>
      </c>
      <c r="L259" s="170"/>
      <c r="M259" s="477"/>
      <c r="N259" s="477" t="s">
        <v>6282</v>
      </c>
      <c r="O259" s="1506"/>
      <c r="P259" s="1506"/>
      <c r="Q259" s="248"/>
      <c r="R259" s="248"/>
      <c r="S259" s="248"/>
      <c r="T259" s="248"/>
      <c r="U259" s="248"/>
      <c r="V259" s="247"/>
      <c r="W259" s="248"/>
      <c r="X259" s="158"/>
      <c r="Y259" s="847">
        <f t="shared" si="74"/>
        <v>0</v>
      </c>
      <c r="Z259" s="2482">
        <f t="shared" si="77"/>
        <v>0</v>
      </c>
      <c r="AA259" s="249"/>
      <c r="AB259" s="2201">
        <v>7700000</v>
      </c>
      <c r="AC259" s="1602">
        <f t="shared" si="75"/>
        <v>8316000.0000000009</v>
      </c>
      <c r="AD259" s="2201">
        <f t="shared" si="76"/>
        <v>8316000.0000000009</v>
      </c>
    </row>
    <row r="260" spans="1:30">
      <c r="A260" s="326">
        <f t="shared" si="78"/>
        <v>5</v>
      </c>
      <c r="C260" s="630"/>
      <c r="D260" s="46"/>
      <c r="E260" s="47"/>
      <c r="F260" s="126"/>
      <c r="G260" s="167"/>
      <c r="H260" s="167"/>
      <c r="I260" s="167"/>
      <c r="J260" s="154"/>
      <c r="K260" s="559"/>
      <c r="L260" s="170"/>
      <c r="M260" s="477"/>
      <c r="N260" s="477"/>
      <c r="O260" s="1506"/>
      <c r="P260" s="1506"/>
      <c r="Q260" s="248"/>
      <c r="R260" s="248"/>
      <c r="S260" s="248"/>
      <c r="T260" s="248"/>
      <c r="U260" s="248"/>
      <c r="V260" s="247"/>
      <c r="W260" s="248"/>
      <c r="X260" s="158"/>
      <c r="Y260" s="248"/>
      <c r="Z260" s="194"/>
      <c r="AA260" s="249"/>
      <c r="AB260" s="250"/>
      <c r="AC260" s="251"/>
      <c r="AD260" s="252"/>
    </row>
    <row r="261" spans="1:30">
      <c r="A261" s="326">
        <f t="shared" si="78"/>
        <v>6</v>
      </c>
      <c r="C261" s="630"/>
      <c r="D261" s="46"/>
      <c r="E261" s="47"/>
      <c r="F261" s="126"/>
      <c r="G261" s="167"/>
      <c r="H261" s="167"/>
      <c r="I261" s="167"/>
      <c r="J261" s="154"/>
      <c r="K261" s="559"/>
      <c r="L261" s="170"/>
      <c r="M261" s="477"/>
      <c r="N261" s="477"/>
      <c r="O261" s="1506"/>
      <c r="P261" s="1506"/>
      <c r="Q261" s="248"/>
      <c r="R261" s="248"/>
      <c r="S261" s="248"/>
      <c r="T261" s="248"/>
      <c r="U261" s="248"/>
      <c r="V261" s="247"/>
      <c r="W261" s="248"/>
      <c r="X261" s="158"/>
      <c r="Y261" s="248"/>
      <c r="Z261" s="194"/>
      <c r="AA261" s="249"/>
      <c r="AB261" s="250"/>
      <c r="AC261" s="251"/>
      <c r="AD261" s="252"/>
    </row>
    <row r="262" spans="1:30">
      <c r="A262" s="326">
        <f t="shared" si="78"/>
        <v>7</v>
      </c>
      <c r="C262" s="630"/>
      <c r="D262" s="46"/>
      <c r="E262" s="47"/>
      <c r="F262" s="126"/>
      <c r="G262" s="167"/>
      <c r="H262" s="167"/>
      <c r="I262" s="167"/>
      <c r="J262" s="154"/>
      <c r="K262" s="559"/>
      <c r="L262" s="170"/>
      <c r="M262" s="477"/>
      <c r="N262" s="477"/>
      <c r="O262" s="1506"/>
      <c r="P262" s="1506"/>
      <c r="Q262" s="248"/>
      <c r="R262" s="248"/>
      <c r="S262" s="248"/>
      <c r="T262" s="248"/>
      <c r="U262" s="248"/>
      <c r="V262" s="247"/>
      <c r="W262" s="248"/>
      <c r="X262" s="158"/>
      <c r="Y262" s="248"/>
      <c r="Z262" s="194"/>
      <c r="AA262" s="249"/>
      <c r="AB262" s="250"/>
      <c r="AC262" s="251"/>
      <c r="AD262" s="252"/>
    </row>
    <row r="263" spans="1:30">
      <c r="A263" s="326">
        <f t="shared" si="78"/>
        <v>8</v>
      </c>
      <c r="C263" s="630"/>
      <c r="D263" s="46"/>
      <c r="E263" s="47"/>
      <c r="F263" s="126"/>
      <c r="G263" s="167"/>
      <c r="H263" s="167"/>
      <c r="I263" s="167"/>
      <c r="J263" s="154"/>
      <c r="K263" s="559"/>
      <c r="L263" s="170"/>
      <c r="M263" s="477"/>
      <c r="N263" s="477"/>
      <c r="O263" s="1506"/>
      <c r="P263" s="1506"/>
      <c r="Q263" s="248"/>
      <c r="R263" s="248"/>
      <c r="S263" s="248"/>
      <c r="T263" s="248"/>
      <c r="U263" s="248"/>
      <c r="V263" s="247"/>
      <c r="W263" s="248"/>
      <c r="X263" s="2709"/>
      <c r="Y263" s="248"/>
      <c r="Z263" s="194"/>
      <c r="AA263" s="249"/>
      <c r="AB263" s="250"/>
      <c r="AC263" s="251"/>
      <c r="AD263" s="252"/>
    </row>
    <row r="264" spans="1:30">
      <c r="A264" s="326">
        <f t="shared" si="78"/>
        <v>9</v>
      </c>
      <c r="C264" s="630"/>
      <c r="D264" s="46"/>
      <c r="E264" s="47"/>
      <c r="F264" s="126"/>
      <c r="G264" s="167"/>
      <c r="H264" s="167"/>
      <c r="I264" s="167"/>
      <c r="J264" s="154"/>
      <c r="K264" s="559"/>
      <c r="L264" s="170"/>
      <c r="M264" s="477"/>
      <c r="N264" s="477"/>
      <c r="O264" s="1506"/>
      <c r="P264" s="1506"/>
      <c r="Q264" s="248"/>
      <c r="R264" s="248"/>
      <c r="S264" s="248"/>
      <c r="T264" s="248"/>
      <c r="U264" s="248"/>
      <c r="V264" s="247"/>
      <c r="W264" s="248"/>
      <c r="X264" s="158"/>
      <c r="Y264" s="248"/>
      <c r="Z264" s="194"/>
      <c r="AA264" s="249"/>
      <c r="AB264" s="250"/>
      <c r="AC264" s="251"/>
      <c r="AD264" s="252"/>
    </row>
    <row r="265" spans="1:30">
      <c r="A265" s="326">
        <f t="shared" si="78"/>
        <v>10</v>
      </c>
      <c r="C265" s="630"/>
      <c r="D265" s="46"/>
      <c r="E265" s="47"/>
      <c r="F265" s="126"/>
      <c r="G265" s="167"/>
      <c r="H265" s="167"/>
      <c r="I265" s="167"/>
      <c r="J265" s="154"/>
      <c r="K265" s="559"/>
      <c r="L265" s="170"/>
      <c r="M265" s="477"/>
      <c r="N265" s="477"/>
      <c r="O265" s="1506"/>
      <c r="P265" s="1506"/>
      <c r="Q265" s="248"/>
      <c r="R265" s="248"/>
      <c r="S265" s="248"/>
      <c r="T265" s="248"/>
      <c r="U265" s="248"/>
      <c r="V265" s="247"/>
      <c r="W265" s="248"/>
      <c r="X265" s="158"/>
      <c r="Y265" s="248"/>
      <c r="Z265" s="194"/>
      <c r="AA265" s="249"/>
      <c r="AB265" s="250"/>
      <c r="AC265" s="251"/>
      <c r="AD265" s="252"/>
    </row>
    <row r="266" spans="1:30">
      <c r="A266" s="326">
        <f t="shared" si="78"/>
        <v>11</v>
      </c>
      <c r="C266" s="630"/>
      <c r="D266" s="46"/>
      <c r="E266" s="47"/>
      <c r="F266" s="126"/>
      <c r="G266" s="167"/>
      <c r="H266" s="167"/>
      <c r="I266" s="167"/>
      <c r="J266" s="154"/>
      <c r="K266" s="559"/>
      <c r="L266" s="170"/>
      <c r="M266" s="477"/>
      <c r="N266" s="477"/>
      <c r="O266" s="1506"/>
      <c r="P266" s="1506"/>
      <c r="Q266" s="248"/>
      <c r="R266" s="248"/>
      <c r="S266" s="248"/>
      <c r="T266" s="248"/>
      <c r="U266" s="248"/>
      <c r="V266" s="247"/>
      <c r="W266" s="248"/>
      <c r="X266" s="158"/>
      <c r="Y266" s="248"/>
      <c r="Z266" s="194"/>
      <c r="AA266" s="249"/>
      <c r="AB266" s="250"/>
      <c r="AC266" s="251"/>
      <c r="AD266" s="252"/>
    </row>
    <row r="267" spans="1:30">
      <c r="A267" s="326">
        <f t="shared" si="78"/>
        <v>12</v>
      </c>
      <c r="C267" s="630"/>
      <c r="D267" s="46"/>
      <c r="E267" s="47"/>
      <c r="F267" s="126"/>
      <c r="G267" s="167"/>
      <c r="H267" s="167"/>
      <c r="I267" s="167"/>
      <c r="J267" s="154"/>
      <c r="K267" s="559"/>
      <c r="L267" s="170"/>
      <c r="M267" s="477"/>
      <c r="N267" s="477"/>
      <c r="O267" s="1506"/>
      <c r="P267" s="1506"/>
      <c r="Q267" s="248"/>
      <c r="R267" s="248"/>
      <c r="S267" s="248"/>
      <c r="T267" s="248"/>
      <c r="U267" s="248"/>
      <c r="V267" s="247"/>
      <c r="W267" s="248"/>
      <c r="X267" s="158"/>
      <c r="Y267" s="248"/>
      <c r="Z267" s="194"/>
      <c r="AA267" s="249"/>
      <c r="AB267" s="250"/>
      <c r="AC267" s="251"/>
      <c r="AD267" s="252"/>
    </row>
    <row r="268" spans="1:30">
      <c r="A268" s="326">
        <f t="shared" si="78"/>
        <v>13</v>
      </c>
      <c r="C268" s="630"/>
      <c r="D268" s="46"/>
      <c r="E268" s="47"/>
      <c r="F268" s="126"/>
      <c r="G268" s="167"/>
      <c r="H268" s="167"/>
      <c r="I268" s="167"/>
      <c r="J268" s="154"/>
      <c r="K268" s="559"/>
      <c r="L268" s="170"/>
      <c r="M268" s="477"/>
      <c r="N268" s="477"/>
      <c r="O268" s="1506"/>
      <c r="P268" s="1506"/>
      <c r="Q268" s="248"/>
      <c r="R268" s="248"/>
      <c r="S268" s="248"/>
      <c r="T268" s="248"/>
      <c r="U268" s="248"/>
      <c r="V268" s="247"/>
      <c r="W268" s="248"/>
      <c r="X268" s="158"/>
      <c r="Y268" s="248"/>
      <c r="Z268" s="194"/>
      <c r="AA268" s="249"/>
      <c r="AB268" s="250"/>
      <c r="AC268" s="251"/>
      <c r="AD268" s="252"/>
    </row>
    <row r="269" spans="1:30">
      <c r="A269" s="326">
        <f t="shared" si="78"/>
        <v>14</v>
      </c>
      <c r="C269" s="630"/>
      <c r="D269" s="46"/>
      <c r="E269" s="47"/>
      <c r="F269" s="126"/>
      <c r="G269" s="167"/>
      <c r="H269" s="167"/>
      <c r="I269" s="167"/>
      <c r="J269" s="154"/>
      <c r="K269" s="559"/>
      <c r="L269" s="170"/>
      <c r="M269" s="477"/>
      <c r="N269" s="477"/>
      <c r="O269" s="1506"/>
      <c r="P269" s="1506"/>
      <c r="Q269" s="248"/>
      <c r="R269" s="248"/>
      <c r="S269" s="248"/>
      <c r="T269" s="248"/>
      <c r="U269" s="248"/>
      <c r="V269" s="247"/>
      <c r="W269" s="248"/>
      <c r="X269" s="158"/>
      <c r="Y269" s="248"/>
      <c r="Z269" s="194"/>
      <c r="AA269" s="249"/>
      <c r="AB269" s="250"/>
      <c r="AC269" s="251"/>
      <c r="AD269" s="252"/>
    </row>
    <row r="270" spans="1:30">
      <c r="A270" s="326">
        <f t="shared" si="78"/>
        <v>15</v>
      </c>
      <c r="C270" s="630"/>
      <c r="D270" s="46"/>
      <c r="E270" s="47"/>
      <c r="F270" s="126"/>
      <c r="G270" s="167"/>
      <c r="H270" s="167"/>
      <c r="I270" s="167"/>
      <c r="J270" s="154"/>
      <c r="K270" s="559"/>
      <c r="L270" s="170"/>
      <c r="M270" s="477"/>
      <c r="N270" s="477"/>
      <c r="O270" s="1506"/>
      <c r="P270" s="1506"/>
      <c r="Q270" s="248"/>
      <c r="R270" s="248"/>
      <c r="S270" s="248"/>
      <c r="T270" s="248"/>
      <c r="U270" s="248"/>
      <c r="V270" s="247"/>
      <c r="W270" s="248"/>
      <c r="X270" s="158"/>
      <c r="Y270" s="248"/>
      <c r="Z270" s="194"/>
      <c r="AA270" s="249"/>
      <c r="AB270" s="250"/>
      <c r="AC270" s="251"/>
      <c r="AD270" s="252"/>
    </row>
    <row r="271" spans="1:30">
      <c r="A271" s="326">
        <f t="shared" si="78"/>
        <v>16</v>
      </c>
      <c r="C271" s="630"/>
      <c r="D271" s="46"/>
      <c r="E271" s="47"/>
      <c r="F271" s="126"/>
      <c r="G271" s="167"/>
      <c r="H271" s="167"/>
      <c r="I271" s="167"/>
      <c r="J271" s="154"/>
      <c r="K271" s="559"/>
      <c r="L271" s="170"/>
      <c r="M271" s="477"/>
      <c r="N271" s="477"/>
      <c r="O271" s="1506"/>
      <c r="P271" s="1506"/>
      <c r="Q271" s="248"/>
      <c r="R271" s="248"/>
      <c r="S271" s="248"/>
      <c r="T271" s="248"/>
      <c r="U271" s="248"/>
      <c r="V271" s="247"/>
      <c r="W271" s="248"/>
      <c r="X271" s="158"/>
      <c r="Y271" s="248"/>
      <c r="Z271" s="194"/>
      <c r="AA271" s="249"/>
      <c r="AB271" s="250"/>
      <c r="AC271" s="251"/>
      <c r="AD271" s="252"/>
    </row>
    <row r="272" spans="1:30">
      <c r="A272" s="326">
        <f t="shared" si="78"/>
        <v>17</v>
      </c>
      <c r="C272" s="630"/>
      <c r="D272" s="46"/>
      <c r="E272" s="47"/>
      <c r="F272" s="126"/>
      <c r="G272" s="167"/>
      <c r="H272" s="167"/>
      <c r="I272" s="167"/>
      <c r="J272" s="154"/>
      <c r="K272" s="559"/>
      <c r="L272" s="170"/>
      <c r="M272" s="477"/>
      <c r="N272" s="477"/>
      <c r="O272" s="1506"/>
      <c r="P272" s="1506"/>
      <c r="Q272" s="248"/>
      <c r="R272" s="248"/>
      <c r="S272" s="248"/>
      <c r="T272" s="248"/>
      <c r="U272" s="248"/>
      <c r="V272" s="247"/>
      <c r="W272" s="248"/>
      <c r="X272" s="158"/>
      <c r="Y272" s="248"/>
      <c r="Z272" s="194"/>
      <c r="AA272" s="249"/>
      <c r="AB272" s="250"/>
      <c r="AC272" s="251"/>
      <c r="AD272" s="252"/>
    </row>
    <row r="273" spans="1:30">
      <c r="A273" s="326">
        <f t="shared" si="78"/>
        <v>18</v>
      </c>
      <c r="C273" s="630"/>
      <c r="D273" s="46"/>
      <c r="E273" s="47"/>
      <c r="F273" s="126"/>
      <c r="G273" s="167"/>
      <c r="H273" s="167"/>
      <c r="I273" s="167"/>
      <c r="J273" s="154"/>
      <c r="K273" s="559"/>
      <c r="L273" s="170"/>
      <c r="M273" s="477"/>
      <c r="N273" s="477"/>
      <c r="O273" s="1506"/>
      <c r="P273" s="1506"/>
      <c r="Q273" s="248"/>
      <c r="R273" s="248"/>
      <c r="S273" s="248"/>
      <c r="T273" s="248"/>
      <c r="U273" s="248"/>
      <c r="V273" s="247"/>
      <c r="W273" s="248"/>
      <c r="X273" s="158"/>
      <c r="Y273" s="248"/>
      <c r="Z273" s="194"/>
      <c r="AA273" s="249"/>
      <c r="AB273" s="250"/>
      <c r="AC273" s="251"/>
      <c r="AD273" s="252"/>
    </row>
    <row r="274" spans="1:30">
      <c r="A274" s="326">
        <f t="shared" si="78"/>
        <v>19</v>
      </c>
      <c r="C274" s="630"/>
      <c r="D274" s="46"/>
      <c r="E274" s="47"/>
      <c r="F274" s="126"/>
      <c r="G274" s="167"/>
      <c r="H274" s="167"/>
      <c r="I274" s="167"/>
      <c r="J274" s="154"/>
      <c r="K274" s="559"/>
      <c r="L274" s="170"/>
      <c r="M274" s="477"/>
      <c r="N274" s="477"/>
      <c r="O274" s="1506"/>
      <c r="P274" s="1506"/>
      <c r="Q274" s="248"/>
      <c r="R274" s="248"/>
      <c r="S274" s="248"/>
      <c r="T274" s="248"/>
      <c r="U274" s="248"/>
      <c r="V274" s="247"/>
      <c r="W274" s="248"/>
      <c r="X274" s="158"/>
      <c r="Y274" s="248"/>
      <c r="Z274" s="194"/>
      <c r="AA274" s="249"/>
      <c r="AB274" s="250"/>
      <c r="AC274" s="251"/>
      <c r="AD274" s="252"/>
    </row>
    <row r="275" spans="1:30">
      <c r="A275" s="326">
        <f t="shared" si="78"/>
        <v>20</v>
      </c>
      <c r="C275" s="630"/>
      <c r="D275" s="46"/>
      <c r="E275" s="47"/>
      <c r="F275" s="126"/>
      <c r="G275" s="167"/>
      <c r="H275" s="167"/>
      <c r="I275" s="167"/>
      <c r="J275" s="154"/>
      <c r="K275" s="559"/>
      <c r="L275" s="170"/>
      <c r="M275" s="477"/>
      <c r="N275" s="477"/>
      <c r="O275" s="1506"/>
      <c r="P275" s="1506"/>
      <c r="Q275" s="248"/>
      <c r="R275" s="248"/>
      <c r="S275" s="248"/>
      <c r="T275" s="248"/>
      <c r="U275" s="248"/>
      <c r="V275" s="247"/>
      <c r="W275" s="248"/>
      <c r="X275" s="158"/>
      <c r="Y275" s="248"/>
      <c r="Z275" s="194"/>
      <c r="AA275" s="249"/>
      <c r="AB275" s="250"/>
      <c r="AC275" s="251"/>
      <c r="AD275" s="252"/>
    </row>
    <row r="276" spans="1:30">
      <c r="A276" s="326">
        <f t="shared" si="78"/>
        <v>21</v>
      </c>
      <c r="C276" s="630"/>
      <c r="D276" s="46"/>
      <c r="E276" s="47"/>
      <c r="F276" s="126"/>
      <c r="G276" s="167"/>
      <c r="H276" s="167"/>
      <c r="I276" s="167"/>
      <c r="J276" s="154"/>
      <c r="K276" s="559"/>
      <c r="L276" s="170"/>
      <c r="M276" s="477"/>
      <c r="N276" s="477"/>
      <c r="O276" s="1506"/>
      <c r="P276" s="1506"/>
      <c r="Q276" s="248"/>
      <c r="R276" s="248"/>
      <c r="S276" s="248"/>
      <c r="T276" s="248"/>
      <c r="U276" s="248"/>
      <c r="V276" s="247"/>
      <c r="W276" s="248"/>
      <c r="X276" s="158"/>
      <c r="Y276" s="248"/>
      <c r="Z276" s="194"/>
      <c r="AA276" s="249"/>
      <c r="AB276" s="250"/>
      <c r="AC276" s="251"/>
      <c r="AD276" s="252"/>
    </row>
    <row r="277" spans="1:30">
      <c r="A277" s="326">
        <f t="shared" si="78"/>
        <v>22</v>
      </c>
      <c r="C277" s="630"/>
      <c r="D277" s="46"/>
      <c r="E277" s="47"/>
      <c r="F277" s="126"/>
      <c r="G277" s="167"/>
      <c r="H277" s="167"/>
      <c r="I277" s="167"/>
      <c r="J277" s="154"/>
      <c r="K277" s="559"/>
      <c r="L277" s="170"/>
      <c r="M277" s="477"/>
      <c r="N277" s="477"/>
      <c r="O277" s="1506"/>
      <c r="P277" s="1506"/>
      <c r="Q277" s="248"/>
      <c r="R277" s="248"/>
      <c r="S277" s="248"/>
      <c r="T277" s="248"/>
      <c r="U277" s="248"/>
      <c r="V277" s="247"/>
      <c r="W277" s="248"/>
      <c r="X277" s="158"/>
      <c r="Y277" s="248"/>
      <c r="Z277" s="194"/>
      <c r="AA277" s="249"/>
      <c r="AB277" s="250"/>
      <c r="AC277" s="251"/>
      <c r="AD277" s="252"/>
    </row>
    <row r="278" spans="1:30">
      <c r="A278" s="326">
        <f t="shared" si="78"/>
        <v>23</v>
      </c>
      <c r="C278" s="630"/>
      <c r="D278" s="46"/>
      <c r="E278" s="47"/>
      <c r="F278" s="126"/>
      <c r="G278" s="167"/>
      <c r="H278" s="167"/>
      <c r="I278" s="167"/>
      <c r="J278" s="154"/>
      <c r="K278" s="559"/>
      <c r="L278" s="170"/>
      <c r="M278" s="477"/>
      <c r="N278" s="477"/>
      <c r="O278" s="1506"/>
      <c r="P278" s="1506"/>
      <c r="Q278" s="248"/>
      <c r="R278" s="248"/>
      <c r="S278" s="248"/>
      <c r="T278" s="248"/>
      <c r="U278" s="248"/>
      <c r="V278" s="247"/>
      <c r="W278" s="248"/>
      <c r="X278" s="158"/>
      <c r="Y278" s="248"/>
      <c r="Z278" s="194"/>
      <c r="AA278" s="249"/>
      <c r="AB278" s="250"/>
      <c r="AC278" s="251"/>
      <c r="AD278" s="252"/>
    </row>
    <row r="279" spans="1:30">
      <c r="A279" s="326">
        <f t="shared" si="78"/>
        <v>24</v>
      </c>
      <c r="C279" s="630"/>
      <c r="D279" s="46"/>
      <c r="E279" s="47"/>
      <c r="F279" s="126"/>
      <c r="G279" s="167"/>
      <c r="H279" s="167"/>
      <c r="I279" s="167"/>
      <c r="J279" s="154"/>
      <c r="K279" s="559"/>
      <c r="L279" s="170"/>
      <c r="M279" s="477"/>
      <c r="N279" s="477"/>
      <c r="O279" s="1506"/>
      <c r="P279" s="1506"/>
      <c r="Q279" s="248"/>
      <c r="R279" s="248"/>
      <c r="S279" s="248"/>
      <c r="T279" s="248"/>
      <c r="U279" s="248"/>
      <c r="V279" s="247"/>
      <c r="W279" s="248"/>
      <c r="X279" s="158"/>
      <c r="Y279" s="248"/>
      <c r="Z279" s="194"/>
      <c r="AA279" s="249"/>
      <c r="AB279" s="250"/>
      <c r="AC279" s="251"/>
      <c r="AD279" s="252"/>
    </row>
    <row r="280" spans="1:30">
      <c r="A280" s="326">
        <f t="shared" si="78"/>
        <v>25</v>
      </c>
      <c r="C280" s="630"/>
      <c r="D280" s="46"/>
      <c r="E280" s="47"/>
      <c r="F280" s="126"/>
      <c r="G280" s="167"/>
      <c r="H280" s="167"/>
      <c r="I280" s="167"/>
      <c r="J280" s="154"/>
      <c r="K280" s="559"/>
      <c r="L280" s="170"/>
      <c r="M280" s="477"/>
      <c r="N280" s="477"/>
      <c r="O280" s="1506"/>
      <c r="P280" s="1506"/>
      <c r="Q280" s="248"/>
      <c r="R280" s="248"/>
      <c r="S280" s="248"/>
      <c r="T280" s="248"/>
      <c r="U280" s="248"/>
      <c r="V280" s="247"/>
      <c r="W280" s="248"/>
      <c r="X280" s="158"/>
      <c r="Y280" s="248"/>
      <c r="Z280" s="194"/>
      <c r="AA280" s="249"/>
      <c r="AB280" s="250"/>
      <c r="AC280" s="251"/>
      <c r="AD280" s="252"/>
    </row>
    <row r="281" spans="1:30">
      <c r="A281" s="326">
        <f t="shared" si="78"/>
        <v>26</v>
      </c>
      <c r="C281" s="630"/>
      <c r="D281" s="46"/>
      <c r="E281" s="47"/>
      <c r="F281" s="126"/>
      <c r="G281" s="167"/>
      <c r="H281" s="167"/>
      <c r="I281" s="167"/>
      <c r="J281" s="154"/>
      <c r="K281" s="559"/>
      <c r="L281" s="170"/>
      <c r="M281" s="477"/>
      <c r="N281" s="477"/>
      <c r="O281" s="1506"/>
      <c r="P281" s="1506"/>
      <c r="Q281" s="248"/>
      <c r="R281" s="248"/>
      <c r="S281" s="248"/>
      <c r="T281" s="248"/>
      <c r="U281" s="248"/>
      <c r="V281" s="247"/>
      <c r="W281" s="248"/>
      <c r="X281" s="158"/>
      <c r="Y281" s="248"/>
      <c r="Z281" s="194"/>
      <c r="AA281" s="249"/>
      <c r="AB281" s="250"/>
      <c r="AC281" s="251"/>
      <c r="AD281" s="252"/>
    </row>
    <row r="282" spans="1:30">
      <c r="A282" s="326">
        <f t="shared" si="78"/>
        <v>27</v>
      </c>
      <c r="C282" s="630"/>
      <c r="D282" s="46"/>
      <c r="E282" s="47"/>
      <c r="F282" s="126"/>
      <c r="G282" s="167"/>
      <c r="H282" s="167"/>
      <c r="I282" s="167"/>
      <c r="J282" s="154"/>
      <c r="K282" s="559"/>
      <c r="L282" s="170"/>
      <c r="M282" s="477"/>
      <c r="N282" s="477"/>
      <c r="O282" s="1506"/>
      <c r="P282" s="1506"/>
      <c r="Q282" s="248"/>
      <c r="R282" s="248"/>
      <c r="S282" s="248"/>
      <c r="T282" s="248"/>
      <c r="U282" s="248"/>
      <c r="V282" s="247"/>
      <c r="W282" s="248"/>
      <c r="X282" s="158"/>
      <c r="Y282" s="248"/>
      <c r="Z282" s="194"/>
      <c r="AA282" s="249"/>
      <c r="AB282" s="250"/>
      <c r="AC282" s="251"/>
      <c r="AD282" s="252"/>
    </row>
    <row r="283" spans="1:30">
      <c r="A283" s="326">
        <f t="shared" si="78"/>
        <v>28</v>
      </c>
      <c r="C283" s="630"/>
      <c r="D283" s="46"/>
      <c r="E283" s="47"/>
      <c r="F283" s="126"/>
      <c r="G283" s="167"/>
      <c r="H283" s="167"/>
      <c r="I283" s="167"/>
      <c r="J283" s="154"/>
      <c r="K283" s="559"/>
      <c r="L283" s="170"/>
      <c r="M283" s="477"/>
      <c r="N283" s="477"/>
      <c r="O283" s="1506"/>
      <c r="P283" s="1506"/>
      <c r="Q283" s="248"/>
      <c r="R283" s="248"/>
      <c r="S283" s="248"/>
      <c r="T283" s="248"/>
      <c r="U283" s="248"/>
      <c r="V283" s="247"/>
      <c r="W283" s="248"/>
      <c r="X283" s="158"/>
      <c r="Y283" s="248"/>
      <c r="Z283" s="194"/>
      <c r="AA283" s="249"/>
      <c r="AB283" s="250"/>
      <c r="AC283" s="251"/>
      <c r="AD283" s="252"/>
    </row>
    <row r="284" spans="1:30">
      <c r="A284" s="326">
        <f t="shared" si="78"/>
        <v>29</v>
      </c>
      <c r="C284" s="630"/>
      <c r="D284" s="46"/>
      <c r="E284" s="47"/>
      <c r="F284" s="126"/>
      <c r="G284" s="167"/>
      <c r="H284" s="167"/>
      <c r="I284" s="167"/>
      <c r="J284" s="154"/>
      <c r="K284" s="559"/>
      <c r="L284" s="170"/>
      <c r="M284" s="477"/>
      <c r="N284" s="477"/>
      <c r="O284" s="1506"/>
      <c r="P284" s="1506"/>
      <c r="Q284" s="248"/>
      <c r="R284" s="248"/>
      <c r="S284" s="248"/>
      <c r="T284" s="248"/>
      <c r="U284" s="248"/>
      <c r="V284" s="247"/>
      <c r="W284" s="248"/>
      <c r="X284" s="158"/>
      <c r="Y284" s="248"/>
      <c r="Z284" s="194"/>
      <c r="AA284" s="249"/>
      <c r="AB284" s="250"/>
      <c r="AC284" s="251"/>
      <c r="AD284" s="252"/>
    </row>
    <row r="285" spans="1:30">
      <c r="A285" s="326">
        <f t="shared" si="78"/>
        <v>30</v>
      </c>
      <c r="C285" s="630"/>
      <c r="D285" s="46"/>
      <c r="E285" s="47"/>
      <c r="F285" s="126"/>
      <c r="G285" s="167"/>
      <c r="H285" s="167"/>
      <c r="I285" s="167"/>
      <c r="J285" s="154"/>
      <c r="K285" s="559"/>
      <c r="L285" s="170"/>
      <c r="M285" s="477"/>
      <c r="N285" s="477"/>
      <c r="O285" s="1506"/>
      <c r="P285" s="1506"/>
      <c r="Q285" s="248"/>
      <c r="R285" s="248"/>
      <c r="S285" s="248"/>
      <c r="T285" s="248"/>
      <c r="U285" s="248"/>
      <c r="V285" s="247"/>
      <c r="W285" s="248"/>
      <c r="X285" s="158"/>
      <c r="Y285" s="248"/>
      <c r="Z285" s="194"/>
      <c r="AA285" s="249"/>
      <c r="AB285" s="250"/>
      <c r="AC285" s="251"/>
      <c r="AD285" s="252"/>
    </row>
    <row r="286" spans="1:30">
      <c r="A286" s="326">
        <f t="shared" si="78"/>
        <v>31</v>
      </c>
      <c r="C286" s="630"/>
      <c r="D286" s="46"/>
      <c r="E286" s="47"/>
      <c r="F286" s="126"/>
      <c r="G286" s="167"/>
      <c r="H286" s="167"/>
      <c r="I286" s="167"/>
      <c r="J286" s="154"/>
      <c r="K286" s="559"/>
      <c r="L286" s="170"/>
      <c r="M286" s="477"/>
      <c r="N286" s="477"/>
      <c r="O286" s="1506"/>
      <c r="P286" s="1506"/>
      <c r="Q286" s="248"/>
      <c r="R286" s="248"/>
      <c r="S286" s="248"/>
      <c r="T286" s="248"/>
      <c r="U286" s="248"/>
      <c r="V286" s="247"/>
      <c r="W286" s="248"/>
      <c r="X286" s="158"/>
      <c r="Y286" s="248"/>
      <c r="Z286" s="194"/>
      <c r="AA286" s="249"/>
      <c r="AB286" s="250"/>
      <c r="AC286" s="251"/>
      <c r="AD286" s="252"/>
    </row>
    <row r="287" spans="1:30">
      <c r="A287" s="326">
        <f t="shared" si="78"/>
        <v>32</v>
      </c>
      <c r="C287" s="630"/>
      <c r="D287" s="46"/>
      <c r="E287" s="47"/>
      <c r="F287" s="126"/>
      <c r="G287" s="167"/>
      <c r="H287" s="167"/>
      <c r="I287" s="167"/>
      <c r="J287" s="154"/>
      <c r="K287" s="559"/>
      <c r="L287" s="170"/>
      <c r="M287" s="477"/>
      <c r="N287" s="477"/>
      <c r="O287" s="1506"/>
      <c r="P287" s="1506"/>
      <c r="Q287" s="248"/>
      <c r="R287" s="248"/>
      <c r="S287" s="248"/>
      <c r="T287" s="248"/>
      <c r="U287" s="248"/>
      <c r="V287" s="247"/>
      <c r="W287" s="248"/>
      <c r="X287" s="158"/>
      <c r="Y287" s="248"/>
      <c r="Z287" s="194"/>
      <c r="AA287" s="249"/>
      <c r="AB287" s="250"/>
      <c r="AC287" s="251"/>
      <c r="AD287" s="252"/>
    </row>
    <row r="288" spans="1:30">
      <c r="A288" s="326">
        <f t="shared" ref="A288:A319" si="79">+A287+1</f>
        <v>33</v>
      </c>
      <c r="C288" s="630"/>
      <c r="D288" s="46"/>
      <c r="E288" s="47"/>
      <c r="F288" s="126"/>
      <c r="G288" s="167"/>
      <c r="H288" s="167"/>
      <c r="I288" s="167"/>
      <c r="J288" s="154"/>
      <c r="K288" s="559"/>
      <c r="L288" s="170"/>
      <c r="M288" s="477"/>
      <c r="N288" s="477"/>
      <c r="O288" s="1506"/>
      <c r="P288" s="1506"/>
      <c r="Q288" s="248"/>
      <c r="R288" s="248"/>
      <c r="S288" s="248"/>
      <c r="T288" s="248"/>
      <c r="U288" s="248"/>
      <c r="V288" s="247"/>
      <c r="W288" s="248"/>
      <c r="X288" s="158"/>
      <c r="Y288" s="248"/>
      <c r="Z288" s="194"/>
      <c r="AA288" s="249"/>
      <c r="AB288" s="250"/>
      <c r="AC288" s="251"/>
      <c r="AD288" s="252"/>
    </row>
    <row r="289" spans="1:30">
      <c r="A289" s="326">
        <f t="shared" si="79"/>
        <v>34</v>
      </c>
      <c r="C289" s="630"/>
      <c r="D289" s="46"/>
      <c r="E289" s="47"/>
      <c r="F289" s="126"/>
      <c r="G289" s="167"/>
      <c r="H289" s="167"/>
      <c r="I289" s="167"/>
      <c r="J289" s="154"/>
      <c r="K289" s="559"/>
      <c r="L289" s="170"/>
      <c r="M289" s="477"/>
      <c r="N289" s="477"/>
      <c r="O289" s="1506"/>
      <c r="P289" s="1506"/>
      <c r="Q289" s="248"/>
      <c r="R289" s="248"/>
      <c r="S289" s="248"/>
      <c r="T289" s="248"/>
      <c r="U289" s="248"/>
      <c r="V289" s="247"/>
      <c r="W289" s="248"/>
      <c r="X289" s="158"/>
      <c r="Y289" s="248"/>
      <c r="Z289" s="194"/>
      <c r="AA289" s="249"/>
      <c r="AB289" s="250"/>
      <c r="AC289" s="251"/>
      <c r="AD289" s="252"/>
    </row>
    <row r="290" spans="1:30">
      <c r="A290" s="326">
        <f t="shared" si="79"/>
        <v>35</v>
      </c>
      <c r="C290" s="630"/>
      <c r="D290" s="46"/>
      <c r="E290" s="47"/>
      <c r="F290" s="126"/>
      <c r="G290" s="167"/>
      <c r="H290" s="167"/>
      <c r="I290" s="167"/>
      <c r="J290" s="154"/>
      <c r="K290" s="559"/>
      <c r="L290" s="170"/>
      <c r="M290" s="477"/>
      <c r="N290" s="477"/>
      <c r="O290" s="1506"/>
      <c r="P290" s="1506"/>
      <c r="Q290" s="248"/>
      <c r="R290" s="248"/>
      <c r="S290" s="248"/>
      <c r="T290" s="248"/>
      <c r="U290" s="248"/>
      <c r="V290" s="247"/>
      <c r="W290" s="248"/>
      <c r="X290" s="158"/>
      <c r="Y290" s="248"/>
      <c r="Z290" s="194"/>
      <c r="AA290" s="249"/>
      <c r="AB290" s="250"/>
      <c r="AC290" s="251"/>
      <c r="AD290" s="252"/>
    </row>
    <row r="291" spans="1:30">
      <c r="A291" s="326">
        <f t="shared" si="79"/>
        <v>36</v>
      </c>
      <c r="C291" s="630"/>
      <c r="D291" s="46"/>
      <c r="E291" s="47"/>
      <c r="F291" s="126"/>
      <c r="G291" s="167"/>
      <c r="H291" s="167"/>
      <c r="I291" s="167"/>
      <c r="J291" s="154"/>
      <c r="K291" s="559"/>
      <c r="L291" s="170"/>
      <c r="M291" s="477"/>
      <c r="N291" s="477"/>
      <c r="O291" s="1506"/>
      <c r="P291" s="1506"/>
      <c r="Q291" s="248"/>
      <c r="R291" s="248"/>
      <c r="S291" s="248"/>
      <c r="T291" s="248"/>
      <c r="U291" s="248"/>
      <c r="V291" s="247"/>
      <c r="W291" s="248"/>
      <c r="X291" s="158"/>
      <c r="Y291" s="248"/>
      <c r="Z291" s="194"/>
      <c r="AA291" s="249"/>
      <c r="AB291" s="250"/>
      <c r="AC291" s="251"/>
      <c r="AD291" s="252"/>
    </row>
    <row r="292" spans="1:30">
      <c r="A292" s="326">
        <f t="shared" si="79"/>
        <v>37</v>
      </c>
      <c r="C292" s="630"/>
      <c r="D292" s="46"/>
      <c r="E292" s="47"/>
      <c r="F292" s="126"/>
      <c r="G292" s="167"/>
      <c r="H292" s="167"/>
      <c r="I292" s="167"/>
      <c r="J292" s="154"/>
      <c r="K292" s="559"/>
      <c r="L292" s="170"/>
      <c r="M292" s="477"/>
      <c r="N292" s="477"/>
      <c r="O292" s="1506"/>
      <c r="P292" s="1506"/>
      <c r="Q292" s="248"/>
      <c r="R292" s="248"/>
      <c r="S292" s="248"/>
      <c r="T292" s="248"/>
      <c r="U292" s="248"/>
      <c r="V292" s="247"/>
      <c r="W292" s="248"/>
      <c r="X292" s="158"/>
      <c r="Y292" s="248"/>
      <c r="Z292" s="194"/>
      <c r="AA292" s="249"/>
      <c r="AB292" s="250"/>
      <c r="AC292" s="251"/>
      <c r="AD292" s="252"/>
    </row>
    <row r="293" spans="1:30">
      <c r="A293" s="326">
        <f t="shared" si="79"/>
        <v>38</v>
      </c>
      <c r="C293" s="630"/>
      <c r="D293" s="46"/>
      <c r="E293" s="47"/>
      <c r="F293" s="126"/>
      <c r="G293" s="167"/>
      <c r="H293" s="167"/>
      <c r="I293" s="167"/>
      <c r="J293" s="154"/>
      <c r="K293" s="559"/>
      <c r="L293" s="170"/>
      <c r="M293" s="477"/>
      <c r="N293" s="477"/>
      <c r="O293" s="1506"/>
      <c r="P293" s="1506"/>
      <c r="Q293" s="248"/>
      <c r="R293" s="248"/>
      <c r="S293" s="248"/>
      <c r="T293" s="248"/>
      <c r="U293" s="248"/>
      <c r="V293" s="247"/>
      <c r="W293" s="248"/>
      <c r="X293" s="158"/>
      <c r="Y293" s="248"/>
      <c r="Z293" s="194"/>
      <c r="AA293" s="249"/>
      <c r="AB293" s="250"/>
      <c r="AC293" s="251"/>
      <c r="AD293" s="252"/>
    </row>
    <row r="294" spans="1:30">
      <c r="A294" s="326">
        <f t="shared" si="79"/>
        <v>39</v>
      </c>
      <c r="C294" s="630"/>
      <c r="D294" s="46"/>
      <c r="E294" s="47"/>
      <c r="F294" s="126"/>
      <c r="G294" s="167"/>
      <c r="H294" s="167"/>
      <c r="I294" s="167"/>
      <c r="J294" s="154"/>
      <c r="K294" s="559"/>
      <c r="L294" s="170"/>
      <c r="M294" s="477"/>
      <c r="N294" s="477"/>
      <c r="O294" s="1506"/>
      <c r="P294" s="1506"/>
      <c r="Q294" s="248"/>
      <c r="R294" s="248"/>
      <c r="S294" s="248"/>
      <c r="T294" s="248"/>
      <c r="U294" s="248"/>
      <c r="V294" s="247"/>
      <c r="W294" s="248"/>
      <c r="X294" s="158"/>
      <c r="Y294" s="248"/>
      <c r="Z294" s="194"/>
      <c r="AA294" s="249"/>
      <c r="AB294" s="250"/>
      <c r="AC294" s="251"/>
      <c r="AD294" s="252"/>
    </row>
    <row r="295" spans="1:30">
      <c r="A295" s="326">
        <f t="shared" si="79"/>
        <v>40</v>
      </c>
      <c r="C295" s="630"/>
      <c r="D295" s="46"/>
      <c r="E295" s="47"/>
      <c r="F295" s="126"/>
      <c r="G295" s="167"/>
      <c r="H295" s="167"/>
      <c r="I295" s="167"/>
      <c r="J295" s="154"/>
      <c r="K295" s="559"/>
      <c r="L295" s="170"/>
      <c r="M295" s="477"/>
      <c r="N295" s="477"/>
      <c r="O295" s="1506"/>
      <c r="P295" s="1506"/>
      <c r="Q295" s="248"/>
      <c r="R295" s="248"/>
      <c r="S295" s="248"/>
      <c r="T295" s="248"/>
      <c r="U295" s="248"/>
      <c r="V295" s="247"/>
      <c r="W295" s="248"/>
      <c r="X295" s="158"/>
      <c r="Y295" s="248"/>
      <c r="Z295" s="194"/>
      <c r="AA295" s="249"/>
      <c r="AB295" s="250"/>
      <c r="AC295" s="251"/>
      <c r="AD295" s="252"/>
    </row>
    <row r="296" spans="1:30">
      <c r="A296" s="326">
        <f t="shared" si="79"/>
        <v>41</v>
      </c>
      <c r="C296" s="630"/>
      <c r="D296" s="46"/>
      <c r="E296" s="47"/>
      <c r="F296" s="126"/>
      <c r="G296" s="167"/>
      <c r="H296" s="167"/>
      <c r="I296" s="167"/>
      <c r="J296" s="154"/>
      <c r="K296" s="559"/>
      <c r="L296" s="170"/>
      <c r="M296" s="477"/>
      <c r="N296" s="477"/>
      <c r="O296" s="1506"/>
      <c r="P296" s="1506"/>
      <c r="Q296" s="248"/>
      <c r="R296" s="248"/>
      <c r="S296" s="248"/>
      <c r="T296" s="248"/>
      <c r="U296" s="248"/>
      <c r="V296" s="247"/>
      <c r="W296" s="248"/>
      <c r="X296" s="158"/>
      <c r="Y296" s="248"/>
      <c r="Z296" s="194"/>
      <c r="AA296" s="249"/>
      <c r="AB296" s="250"/>
      <c r="AC296" s="251"/>
      <c r="AD296" s="252"/>
    </row>
    <row r="297" spans="1:30">
      <c r="A297" s="326">
        <f t="shared" si="79"/>
        <v>42</v>
      </c>
      <c r="C297" s="630"/>
      <c r="D297" s="46"/>
      <c r="E297" s="47"/>
      <c r="F297" s="126"/>
      <c r="G297" s="167"/>
      <c r="H297" s="167"/>
      <c r="I297" s="167"/>
      <c r="J297" s="154"/>
      <c r="K297" s="559"/>
      <c r="L297" s="170"/>
      <c r="M297" s="477"/>
      <c r="N297" s="477"/>
      <c r="O297" s="1506"/>
      <c r="P297" s="1506"/>
      <c r="Q297" s="248"/>
      <c r="R297" s="248"/>
      <c r="S297" s="248"/>
      <c r="T297" s="248"/>
      <c r="U297" s="248"/>
      <c r="V297" s="247"/>
      <c r="W297" s="248"/>
      <c r="X297" s="158"/>
      <c r="Y297" s="248"/>
      <c r="Z297" s="194"/>
      <c r="AA297" s="249"/>
      <c r="AB297" s="250"/>
      <c r="AC297" s="251"/>
      <c r="AD297" s="252"/>
    </row>
    <row r="298" spans="1:30">
      <c r="A298" s="326">
        <f t="shared" si="79"/>
        <v>43</v>
      </c>
      <c r="C298" s="630"/>
      <c r="D298" s="46"/>
      <c r="E298" s="47"/>
      <c r="F298" s="126"/>
      <c r="G298" s="167"/>
      <c r="H298" s="167"/>
      <c r="I298" s="167"/>
      <c r="J298" s="154"/>
      <c r="K298" s="559"/>
      <c r="L298" s="170"/>
      <c r="M298" s="477"/>
      <c r="N298" s="477"/>
      <c r="O298" s="1506"/>
      <c r="P298" s="1506"/>
      <c r="Q298" s="248"/>
      <c r="R298" s="248"/>
      <c r="S298" s="248"/>
      <c r="T298" s="248"/>
      <c r="U298" s="248"/>
      <c r="V298" s="247"/>
      <c r="W298" s="248"/>
      <c r="X298" s="158"/>
      <c r="Y298" s="248"/>
      <c r="Z298" s="194"/>
      <c r="AA298" s="249"/>
      <c r="AB298" s="250"/>
      <c r="AC298" s="251"/>
      <c r="AD298" s="252"/>
    </row>
    <row r="299" spans="1:30">
      <c r="A299" s="326">
        <f t="shared" si="79"/>
        <v>44</v>
      </c>
      <c r="C299" s="630"/>
      <c r="D299" s="46"/>
      <c r="E299" s="47"/>
      <c r="F299" s="126"/>
      <c r="G299" s="167"/>
      <c r="H299" s="167"/>
      <c r="I299" s="167"/>
      <c r="J299" s="154"/>
      <c r="K299" s="559"/>
      <c r="L299" s="170"/>
      <c r="M299" s="477"/>
      <c r="N299" s="477"/>
      <c r="O299" s="1506"/>
      <c r="P299" s="1506"/>
      <c r="Q299" s="248"/>
      <c r="R299" s="248"/>
      <c r="S299" s="248"/>
      <c r="T299" s="248"/>
      <c r="U299" s="248"/>
      <c r="V299" s="247"/>
      <c r="W299" s="248"/>
      <c r="X299" s="158"/>
      <c r="Y299" s="248"/>
      <c r="Z299" s="194"/>
      <c r="AA299" s="249"/>
      <c r="AB299" s="250"/>
      <c r="AC299" s="251"/>
      <c r="AD299" s="252"/>
    </row>
    <row r="300" spans="1:30">
      <c r="A300" s="326">
        <f t="shared" si="79"/>
        <v>45</v>
      </c>
      <c r="C300" s="630"/>
      <c r="D300" s="46"/>
      <c r="E300" s="47"/>
      <c r="F300" s="126"/>
      <c r="G300" s="167"/>
      <c r="H300" s="167"/>
      <c r="I300" s="167"/>
      <c r="J300" s="154"/>
      <c r="K300" s="559"/>
      <c r="L300" s="170"/>
      <c r="M300" s="477"/>
      <c r="N300" s="477"/>
      <c r="O300" s="1506"/>
      <c r="P300" s="1506"/>
      <c r="Q300" s="248"/>
      <c r="R300" s="248"/>
      <c r="S300" s="248"/>
      <c r="T300" s="248"/>
      <c r="U300" s="248"/>
      <c r="V300" s="247"/>
      <c r="W300" s="248"/>
      <c r="X300" s="158"/>
      <c r="Y300" s="248"/>
      <c r="Z300" s="194"/>
      <c r="AA300" s="249"/>
      <c r="AB300" s="250"/>
      <c r="AC300" s="251"/>
      <c r="AD300" s="252"/>
    </row>
    <row r="301" spans="1:30">
      <c r="A301" s="326">
        <f t="shared" si="79"/>
        <v>46</v>
      </c>
      <c r="C301" s="630"/>
      <c r="D301" s="46"/>
      <c r="E301" s="47"/>
      <c r="F301" s="126"/>
      <c r="G301" s="167"/>
      <c r="H301" s="167"/>
      <c r="I301" s="167"/>
      <c r="J301" s="154"/>
      <c r="K301" s="559"/>
      <c r="L301" s="170"/>
      <c r="M301" s="477"/>
      <c r="N301" s="477"/>
      <c r="O301" s="1506"/>
      <c r="P301" s="1506"/>
      <c r="Q301" s="248"/>
      <c r="R301" s="248"/>
      <c r="S301" s="248"/>
      <c r="T301" s="248"/>
      <c r="U301" s="248"/>
      <c r="V301" s="247"/>
      <c r="W301" s="248"/>
      <c r="X301" s="158"/>
      <c r="Y301" s="248"/>
      <c r="Z301" s="194"/>
      <c r="AA301" s="249"/>
      <c r="AB301" s="250"/>
      <c r="AC301" s="251"/>
      <c r="AD301" s="252"/>
    </row>
    <row r="302" spans="1:30">
      <c r="A302" s="326">
        <f t="shared" si="79"/>
        <v>47</v>
      </c>
      <c r="C302" s="630"/>
      <c r="D302" s="46"/>
      <c r="E302" s="47"/>
      <c r="F302" s="126"/>
      <c r="G302" s="167"/>
      <c r="H302" s="167"/>
      <c r="I302" s="167"/>
      <c r="J302" s="154"/>
      <c r="K302" s="559"/>
      <c r="L302" s="170"/>
      <c r="M302" s="477"/>
      <c r="N302" s="477"/>
      <c r="O302" s="1506"/>
      <c r="P302" s="1506"/>
      <c r="Q302" s="248"/>
      <c r="R302" s="248"/>
      <c r="S302" s="248"/>
      <c r="T302" s="248"/>
      <c r="U302" s="248"/>
      <c r="V302" s="247"/>
      <c r="W302" s="248"/>
      <c r="X302" s="158"/>
      <c r="Y302" s="248"/>
      <c r="Z302" s="194"/>
      <c r="AA302" s="249"/>
      <c r="AB302" s="250"/>
      <c r="AC302" s="251"/>
      <c r="AD302" s="252"/>
    </row>
    <row r="303" spans="1:30">
      <c r="A303" s="326">
        <f t="shared" si="79"/>
        <v>48</v>
      </c>
      <c r="C303" s="630"/>
      <c r="D303" s="46"/>
      <c r="E303" s="47"/>
      <c r="F303" s="126"/>
      <c r="G303" s="167"/>
      <c r="H303" s="167"/>
      <c r="I303" s="167"/>
      <c r="J303" s="154"/>
      <c r="K303" s="559"/>
      <c r="L303" s="170"/>
      <c r="M303" s="477"/>
      <c r="N303" s="477"/>
      <c r="O303" s="1506"/>
      <c r="P303" s="1506"/>
      <c r="Q303" s="248"/>
      <c r="R303" s="248"/>
      <c r="S303" s="248"/>
      <c r="T303" s="248"/>
      <c r="U303" s="248"/>
      <c r="V303" s="247"/>
      <c r="W303" s="248"/>
      <c r="X303" s="158"/>
      <c r="Y303" s="248"/>
      <c r="Z303" s="194"/>
      <c r="AA303" s="249"/>
      <c r="AB303" s="250"/>
      <c r="AC303" s="251"/>
      <c r="AD303" s="252"/>
    </row>
    <row r="304" spans="1:30">
      <c r="A304" s="326">
        <f t="shared" si="79"/>
        <v>49</v>
      </c>
      <c r="C304" s="630"/>
      <c r="D304" s="46"/>
      <c r="E304" s="47"/>
      <c r="F304" s="126"/>
      <c r="G304" s="167"/>
      <c r="H304" s="167"/>
      <c r="I304" s="167"/>
      <c r="J304" s="154"/>
      <c r="K304" s="559"/>
      <c r="L304" s="170"/>
      <c r="M304" s="477"/>
      <c r="N304" s="477"/>
      <c r="O304" s="1506"/>
      <c r="P304" s="1506"/>
      <c r="Q304" s="248"/>
      <c r="R304" s="248"/>
      <c r="S304" s="248"/>
      <c r="T304" s="248"/>
      <c r="U304" s="248"/>
      <c r="V304" s="247"/>
      <c r="W304" s="248"/>
      <c r="X304" s="158"/>
      <c r="Y304" s="248"/>
      <c r="Z304" s="194"/>
      <c r="AA304" s="249"/>
      <c r="AB304" s="250"/>
      <c r="AC304" s="251"/>
      <c r="AD304" s="252"/>
    </row>
    <row r="305" spans="1:30">
      <c r="A305" s="326">
        <f t="shared" si="79"/>
        <v>50</v>
      </c>
      <c r="C305" s="630"/>
      <c r="D305" s="46"/>
      <c r="E305" s="47"/>
      <c r="F305" s="126"/>
      <c r="G305" s="167"/>
      <c r="H305" s="167"/>
      <c r="I305" s="167"/>
      <c r="J305" s="154"/>
      <c r="K305" s="559"/>
      <c r="L305" s="170"/>
      <c r="M305" s="477"/>
      <c r="N305" s="477"/>
      <c r="O305" s="1506"/>
      <c r="P305" s="1506"/>
      <c r="Q305" s="248"/>
      <c r="R305" s="248"/>
      <c r="S305" s="248"/>
      <c r="T305" s="248"/>
      <c r="U305" s="248"/>
      <c r="V305" s="247"/>
      <c r="W305" s="248"/>
      <c r="X305" s="158"/>
      <c r="Y305" s="248"/>
      <c r="Z305" s="194"/>
      <c r="AA305" s="249"/>
      <c r="AB305" s="250"/>
      <c r="AC305" s="251"/>
      <c r="AD305" s="252"/>
    </row>
    <row r="306" spans="1:30">
      <c r="A306" s="326">
        <f t="shared" si="79"/>
        <v>51</v>
      </c>
      <c r="C306" s="630"/>
      <c r="D306" s="46"/>
      <c r="E306" s="47"/>
      <c r="F306" s="126"/>
      <c r="G306" s="167"/>
      <c r="H306" s="167"/>
      <c r="I306" s="167"/>
      <c r="J306" s="154"/>
      <c r="K306" s="559"/>
      <c r="L306" s="170"/>
      <c r="M306" s="477"/>
      <c r="N306" s="477"/>
      <c r="O306" s="1506"/>
      <c r="P306" s="1506"/>
      <c r="Q306" s="248"/>
      <c r="R306" s="248"/>
      <c r="S306" s="248"/>
      <c r="T306" s="248"/>
      <c r="U306" s="248"/>
      <c r="V306" s="247"/>
      <c r="W306" s="248"/>
      <c r="X306" s="158"/>
      <c r="Y306" s="248"/>
      <c r="Z306" s="194"/>
      <c r="AA306" s="249"/>
      <c r="AB306" s="250"/>
      <c r="AC306" s="251"/>
      <c r="AD306" s="252"/>
    </row>
    <row r="307" spans="1:30">
      <c r="A307" s="326">
        <f t="shared" si="79"/>
        <v>52</v>
      </c>
      <c r="C307" s="630"/>
      <c r="D307" s="46"/>
      <c r="E307" s="47"/>
      <c r="F307" s="126"/>
      <c r="G307" s="167"/>
      <c r="H307" s="167"/>
      <c r="I307" s="167"/>
      <c r="J307" s="154"/>
      <c r="K307" s="559"/>
      <c r="L307" s="170"/>
      <c r="M307" s="477"/>
      <c r="N307" s="477"/>
      <c r="O307" s="1506"/>
      <c r="P307" s="1506"/>
      <c r="Q307" s="248"/>
      <c r="R307" s="248"/>
      <c r="S307" s="248"/>
      <c r="T307" s="248"/>
      <c r="U307" s="248"/>
      <c r="V307" s="247"/>
      <c r="W307" s="248"/>
      <c r="X307" s="158"/>
      <c r="Y307" s="248"/>
      <c r="Z307" s="194"/>
      <c r="AA307" s="249"/>
      <c r="AB307" s="250"/>
      <c r="AC307" s="251"/>
      <c r="AD307" s="252"/>
    </row>
    <row r="308" spans="1:30">
      <c r="A308" s="326">
        <f t="shared" si="79"/>
        <v>53</v>
      </c>
      <c r="C308" s="630"/>
      <c r="D308" s="46"/>
      <c r="E308" s="47"/>
      <c r="F308" s="126"/>
      <c r="G308" s="167"/>
      <c r="H308" s="167"/>
      <c r="I308" s="167"/>
      <c r="J308" s="154"/>
      <c r="K308" s="559"/>
      <c r="L308" s="170"/>
      <c r="M308" s="477"/>
      <c r="N308" s="477"/>
      <c r="O308" s="1506"/>
      <c r="P308" s="1506"/>
      <c r="Q308" s="248"/>
      <c r="R308" s="248"/>
      <c r="S308" s="248"/>
      <c r="T308" s="248"/>
      <c r="U308" s="248"/>
      <c r="V308" s="247"/>
      <c r="W308" s="248"/>
      <c r="X308" s="158"/>
      <c r="Y308" s="248"/>
      <c r="Z308" s="194"/>
      <c r="AA308" s="249"/>
      <c r="AB308" s="250"/>
      <c r="AC308" s="251"/>
      <c r="AD308" s="252"/>
    </row>
    <row r="309" spans="1:30">
      <c r="A309" s="326">
        <f t="shared" si="79"/>
        <v>54</v>
      </c>
      <c r="C309" s="630"/>
      <c r="D309" s="46"/>
      <c r="E309" s="47"/>
      <c r="F309" s="126"/>
      <c r="G309" s="167"/>
      <c r="H309" s="167"/>
      <c r="I309" s="167"/>
      <c r="J309" s="154"/>
      <c r="K309" s="559"/>
      <c r="L309" s="170"/>
      <c r="M309" s="477"/>
      <c r="N309" s="477"/>
      <c r="O309" s="1506"/>
      <c r="P309" s="1506"/>
      <c r="Q309" s="248"/>
      <c r="R309" s="248"/>
      <c r="S309" s="248"/>
      <c r="T309" s="248"/>
      <c r="U309" s="248"/>
      <c r="V309" s="247"/>
      <c r="W309" s="248"/>
      <c r="X309" s="158"/>
      <c r="Y309" s="248"/>
      <c r="Z309" s="194"/>
      <c r="AA309" s="249"/>
      <c r="AB309" s="250"/>
      <c r="AC309" s="251"/>
      <c r="AD309" s="252"/>
    </row>
    <row r="310" spans="1:30">
      <c r="A310" s="326">
        <f t="shared" si="79"/>
        <v>55</v>
      </c>
      <c r="C310" s="630"/>
      <c r="D310" s="46"/>
      <c r="E310" s="47"/>
      <c r="F310" s="126"/>
      <c r="G310" s="167"/>
      <c r="H310" s="167"/>
      <c r="I310" s="167"/>
      <c r="J310" s="154"/>
      <c r="K310" s="559"/>
      <c r="L310" s="170"/>
      <c r="M310" s="477"/>
      <c r="N310" s="477"/>
      <c r="O310" s="1506"/>
      <c r="P310" s="1506"/>
      <c r="Q310" s="248"/>
      <c r="R310" s="248"/>
      <c r="S310" s="248"/>
      <c r="T310" s="248"/>
      <c r="U310" s="248"/>
      <c r="V310" s="247"/>
      <c r="W310" s="248"/>
      <c r="X310" s="158"/>
      <c r="Y310" s="248"/>
      <c r="Z310" s="194"/>
      <c r="AA310" s="249"/>
      <c r="AB310" s="250"/>
      <c r="AC310" s="251"/>
      <c r="AD310" s="252"/>
    </row>
    <row r="311" spans="1:30">
      <c r="A311" s="326">
        <f t="shared" si="79"/>
        <v>56</v>
      </c>
      <c r="C311" s="630"/>
      <c r="D311" s="46"/>
      <c r="E311" s="47"/>
      <c r="F311" s="126"/>
      <c r="G311" s="167"/>
      <c r="H311" s="167"/>
      <c r="I311" s="167"/>
      <c r="J311" s="154"/>
      <c r="K311" s="559"/>
      <c r="L311" s="170"/>
      <c r="M311" s="477"/>
      <c r="N311" s="477"/>
      <c r="O311" s="1506"/>
      <c r="P311" s="1506"/>
      <c r="Q311" s="248"/>
      <c r="R311" s="248"/>
      <c r="S311" s="248"/>
      <c r="T311" s="248"/>
      <c r="U311" s="248"/>
      <c r="V311" s="247"/>
      <c r="W311" s="248"/>
      <c r="X311" s="158"/>
      <c r="Y311" s="248"/>
      <c r="Z311" s="194"/>
      <c r="AA311" s="249"/>
      <c r="AB311" s="250"/>
      <c r="AC311" s="251"/>
      <c r="AD311" s="252"/>
    </row>
    <row r="312" spans="1:30">
      <c r="A312" s="326">
        <f t="shared" si="79"/>
        <v>57</v>
      </c>
      <c r="C312" s="630"/>
      <c r="D312" s="46"/>
      <c r="E312" s="47"/>
      <c r="F312" s="126"/>
      <c r="G312" s="167"/>
      <c r="H312" s="167"/>
      <c r="I312" s="167"/>
      <c r="J312" s="154"/>
      <c r="K312" s="559"/>
      <c r="L312" s="170"/>
      <c r="M312" s="477"/>
      <c r="N312" s="477"/>
      <c r="O312" s="1506"/>
      <c r="P312" s="1506"/>
      <c r="Q312" s="248"/>
      <c r="R312" s="248"/>
      <c r="S312" s="248"/>
      <c r="T312" s="248"/>
      <c r="U312" s="248"/>
      <c r="V312" s="247"/>
      <c r="W312" s="248"/>
      <c r="X312" s="158"/>
      <c r="Y312" s="248"/>
      <c r="Z312" s="194"/>
      <c r="AA312" s="249"/>
      <c r="AB312" s="250"/>
      <c r="AC312" s="251"/>
      <c r="AD312" s="252"/>
    </row>
    <row r="313" spans="1:30">
      <c r="A313" s="326">
        <f t="shared" si="79"/>
        <v>58</v>
      </c>
      <c r="C313" s="630"/>
      <c r="D313" s="46"/>
      <c r="E313" s="47"/>
      <c r="F313" s="126"/>
      <c r="G313" s="167"/>
      <c r="H313" s="167"/>
      <c r="I313" s="167"/>
      <c r="J313" s="154"/>
      <c r="K313" s="559"/>
      <c r="L313" s="170"/>
      <c r="M313" s="477"/>
      <c r="N313" s="477"/>
      <c r="O313" s="1506"/>
      <c r="P313" s="1506"/>
      <c r="Q313" s="248"/>
      <c r="R313" s="248"/>
      <c r="S313" s="248"/>
      <c r="T313" s="248"/>
      <c r="U313" s="248"/>
      <c r="V313" s="247"/>
      <c r="W313" s="248"/>
      <c r="X313" s="158"/>
      <c r="Y313" s="248"/>
      <c r="Z313" s="194"/>
      <c r="AA313" s="249"/>
      <c r="AB313" s="250"/>
      <c r="AC313" s="251"/>
      <c r="AD313" s="252"/>
    </row>
    <row r="314" spans="1:30">
      <c r="A314" s="326">
        <f t="shared" si="79"/>
        <v>59</v>
      </c>
      <c r="C314" s="630"/>
      <c r="D314" s="46"/>
      <c r="E314" s="47"/>
      <c r="F314" s="126"/>
      <c r="G314" s="167"/>
      <c r="H314" s="167"/>
      <c r="I314" s="167"/>
      <c r="J314" s="154"/>
      <c r="K314" s="559"/>
      <c r="L314" s="170"/>
      <c r="M314" s="477"/>
      <c r="N314" s="477"/>
      <c r="O314" s="1506"/>
      <c r="P314" s="1506"/>
      <c r="Q314" s="248"/>
      <c r="R314" s="248"/>
      <c r="S314" s="248"/>
      <c r="T314" s="248"/>
      <c r="U314" s="248"/>
      <c r="V314" s="247"/>
      <c r="W314" s="248"/>
      <c r="X314" s="158"/>
      <c r="Y314" s="248"/>
      <c r="Z314" s="194"/>
      <c r="AA314" s="249"/>
      <c r="AB314" s="250"/>
      <c r="AC314" s="251"/>
      <c r="AD314" s="252"/>
    </row>
    <row r="315" spans="1:30">
      <c r="A315" s="326">
        <f t="shared" si="79"/>
        <v>60</v>
      </c>
      <c r="C315" s="630"/>
      <c r="D315" s="46"/>
      <c r="E315" s="47"/>
      <c r="F315" s="126"/>
      <c r="G315" s="167"/>
      <c r="H315" s="167"/>
      <c r="I315" s="167"/>
      <c r="J315" s="154"/>
      <c r="K315" s="559"/>
      <c r="L315" s="170"/>
      <c r="M315" s="477"/>
      <c r="N315" s="477"/>
      <c r="O315" s="1506"/>
      <c r="P315" s="1506"/>
      <c r="Q315" s="248"/>
      <c r="R315" s="248"/>
      <c r="S315" s="248"/>
      <c r="T315" s="248"/>
      <c r="U315" s="248"/>
      <c r="V315" s="247"/>
      <c r="W315" s="248"/>
      <c r="X315" s="158"/>
      <c r="Y315" s="248"/>
      <c r="Z315" s="194"/>
      <c r="AA315" s="249"/>
      <c r="AB315" s="250"/>
      <c r="AC315" s="251"/>
      <c r="AD315" s="252"/>
    </row>
    <row r="316" spans="1:30">
      <c r="A316" s="326">
        <f t="shared" si="79"/>
        <v>61</v>
      </c>
      <c r="C316" s="630"/>
      <c r="D316" s="46"/>
      <c r="E316" s="47"/>
      <c r="F316" s="126"/>
      <c r="G316" s="167"/>
      <c r="H316" s="167"/>
      <c r="I316" s="167"/>
      <c r="J316" s="154"/>
      <c r="K316" s="559"/>
      <c r="L316" s="170"/>
      <c r="M316" s="477"/>
      <c r="N316" s="477"/>
      <c r="O316" s="1506"/>
      <c r="P316" s="1506"/>
      <c r="Q316" s="248"/>
      <c r="R316" s="248"/>
      <c r="S316" s="248"/>
      <c r="T316" s="248"/>
      <c r="U316" s="248"/>
      <c r="V316" s="247"/>
      <c r="W316" s="248"/>
      <c r="X316" s="158"/>
      <c r="Y316" s="248"/>
      <c r="Z316" s="194"/>
      <c r="AA316" s="249"/>
      <c r="AB316" s="250"/>
      <c r="AC316" s="251"/>
      <c r="AD316" s="252"/>
    </row>
    <row r="317" spans="1:30">
      <c r="A317" s="326">
        <f t="shared" si="79"/>
        <v>62</v>
      </c>
      <c r="C317" s="630"/>
      <c r="D317" s="46"/>
      <c r="E317" s="47"/>
      <c r="F317" s="126"/>
      <c r="G317" s="167"/>
      <c r="H317" s="167"/>
      <c r="I317" s="167"/>
      <c r="J317" s="154"/>
      <c r="K317" s="559"/>
      <c r="L317" s="170"/>
      <c r="M317" s="477"/>
      <c r="N317" s="477"/>
      <c r="O317" s="1506"/>
      <c r="P317" s="1506"/>
      <c r="Q317" s="248"/>
      <c r="R317" s="248"/>
      <c r="S317" s="248"/>
      <c r="T317" s="248"/>
      <c r="U317" s="248"/>
      <c r="V317" s="247"/>
      <c r="W317" s="248"/>
      <c r="X317" s="158"/>
      <c r="Y317" s="248"/>
      <c r="Z317" s="194"/>
      <c r="AA317" s="249"/>
      <c r="AB317" s="250"/>
      <c r="AC317" s="251"/>
      <c r="AD317" s="252"/>
    </row>
    <row r="318" spans="1:30">
      <c r="A318" s="326">
        <f t="shared" si="79"/>
        <v>63</v>
      </c>
      <c r="C318" s="630"/>
      <c r="D318" s="46"/>
      <c r="E318" s="47"/>
      <c r="F318" s="126"/>
      <c r="G318" s="167"/>
      <c r="H318" s="167"/>
      <c r="I318" s="167"/>
      <c r="J318" s="154"/>
      <c r="K318" s="559"/>
      <c r="L318" s="170"/>
      <c r="M318" s="477"/>
      <c r="N318" s="477"/>
      <c r="O318" s="1506"/>
      <c r="P318" s="1506"/>
      <c r="Q318" s="248"/>
      <c r="R318" s="248"/>
      <c r="S318" s="248"/>
      <c r="T318" s="248"/>
      <c r="U318" s="248"/>
      <c r="V318" s="247"/>
      <c r="W318" s="248"/>
      <c r="X318" s="158"/>
      <c r="Y318" s="248"/>
      <c r="Z318" s="194"/>
      <c r="AA318" s="249"/>
      <c r="AB318" s="250"/>
      <c r="AC318" s="251"/>
      <c r="AD318" s="252"/>
    </row>
    <row r="319" spans="1:30">
      <c r="A319" s="326">
        <f t="shared" si="79"/>
        <v>64</v>
      </c>
      <c r="C319" s="630"/>
      <c r="D319" s="46"/>
      <c r="E319" s="47"/>
      <c r="F319" s="126"/>
      <c r="G319" s="167"/>
      <c r="H319" s="167"/>
      <c r="I319" s="167"/>
      <c r="J319" s="154"/>
      <c r="K319" s="559"/>
      <c r="L319" s="170"/>
      <c r="M319" s="477"/>
      <c r="N319" s="477"/>
      <c r="O319" s="1506"/>
      <c r="P319" s="1506"/>
      <c r="Q319" s="248"/>
      <c r="R319" s="248"/>
      <c r="S319" s="248"/>
      <c r="T319" s="248"/>
      <c r="U319" s="248"/>
      <c r="V319" s="247"/>
      <c r="W319" s="248"/>
      <c r="X319" s="158"/>
      <c r="Y319" s="248"/>
      <c r="Z319" s="194"/>
      <c r="AA319" s="249"/>
      <c r="AB319" s="250"/>
      <c r="AC319" s="251"/>
      <c r="AD319" s="252"/>
    </row>
    <row r="320" spans="1:30">
      <c r="A320" s="326">
        <f t="shared" ref="A320:A353" si="80">+A319+1</f>
        <v>65</v>
      </c>
      <c r="C320" s="630"/>
      <c r="D320" s="46"/>
      <c r="E320" s="47"/>
      <c r="F320" s="126"/>
      <c r="G320" s="167"/>
      <c r="H320" s="167"/>
      <c r="I320" s="167"/>
      <c r="J320" s="154"/>
      <c r="K320" s="559"/>
      <c r="L320" s="170"/>
      <c r="M320" s="477"/>
      <c r="N320" s="477"/>
      <c r="O320" s="1506"/>
      <c r="P320" s="1506"/>
      <c r="Q320" s="248"/>
      <c r="R320" s="248"/>
      <c r="S320" s="248"/>
      <c r="T320" s="248"/>
      <c r="U320" s="248"/>
      <c r="V320" s="247"/>
      <c r="W320" s="248"/>
      <c r="X320" s="158"/>
      <c r="Y320" s="248"/>
      <c r="Z320" s="194"/>
      <c r="AA320" s="249"/>
      <c r="AB320" s="250"/>
      <c r="AC320" s="251"/>
      <c r="AD320" s="252"/>
    </row>
    <row r="321" spans="1:30">
      <c r="A321" s="326">
        <f t="shared" si="80"/>
        <v>66</v>
      </c>
      <c r="C321" s="630"/>
      <c r="D321" s="46"/>
      <c r="E321" s="47"/>
      <c r="F321" s="126"/>
      <c r="G321" s="167"/>
      <c r="H321" s="167"/>
      <c r="I321" s="167"/>
      <c r="J321" s="154"/>
      <c r="K321" s="559"/>
      <c r="L321" s="170"/>
      <c r="M321" s="477"/>
      <c r="N321" s="477"/>
      <c r="O321" s="1506"/>
      <c r="P321" s="1506"/>
      <c r="Q321" s="248"/>
      <c r="R321" s="248"/>
      <c r="S321" s="248"/>
      <c r="T321" s="248"/>
      <c r="U321" s="248"/>
      <c r="V321" s="247"/>
      <c r="W321" s="248"/>
      <c r="X321" s="158"/>
      <c r="Y321" s="248"/>
      <c r="Z321" s="194"/>
      <c r="AA321" s="249"/>
      <c r="AB321" s="250"/>
      <c r="AC321" s="251"/>
      <c r="AD321" s="252"/>
    </row>
    <row r="322" spans="1:30">
      <c r="A322" s="326">
        <f t="shared" si="80"/>
        <v>67</v>
      </c>
      <c r="C322" s="630"/>
      <c r="D322" s="46"/>
      <c r="E322" s="47"/>
      <c r="F322" s="126"/>
      <c r="G322" s="167"/>
      <c r="H322" s="167"/>
      <c r="I322" s="167"/>
      <c r="J322" s="154"/>
      <c r="K322" s="559"/>
      <c r="L322" s="170"/>
      <c r="M322" s="477"/>
      <c r="N322" s="477"/>
      <c r="O322" s="1506"/>
      <c r="P322" s="1506"/>
      <c r="Q322" s="248"/>
      <c r="R322" s="248"/>
      <c r="S322" s="248"/>
      <c r="T322" s="248"/>
      <c r="U322" s="248"/>
      <c r="V322" s="247"/>
      <c r="W322" s="248"/>
      <c r="X322" s="158"/>
      <c r="Y322" s="248"/>
      <c r="Z322" s="194"/>
      <c r="AA322" s="249"/>
      <c r="AB322" s="250"/>
      <c r="AC322" s="251"/>
      <c r="AD322" s="252"/>
    </row>
    <row r="323" spans="1:30">
      <c r="A323" s="326">
        <f t="shared" si="80"/>
        <v>68</v>
      </c>
      <c r="C323" s="630"/>
      <c r="D323" s="46"/>
      <c r="E323" s="47"/>
      <c r="F323" s="126"/>
      <c r="G323" s="167"/>
      <c r="H323" s="167"/>
      <c r="I323" s="167"/>
      <c r="J323" s="154"/>
      <c r="K323" s="559"/>
      <c r="L323" s="170"/>
      <c r="M323" s="477"/>
      <c r="N323" s="477"/>
      <c r="O323" s="1506"/>
      <c r="P323" s="1506"/>
      <c r="Q323" s="248"/>
      <c r="R323" s="248"/>
      <c r="S323" s="248"/>
      <c r="T323" s="248"/>
      <c r="U323" s="248"/>
      <c r="V323" s="247"/>
      <c r="W323" s="248"/>
      <c r="X323" s="158"/>
      <c r="Y323" s="248"/>
      <c r="Z323" s="194"/>
      <c r="AA323" s="249"/>
      <c r="AB323" s="250"/>
      <c r="AC323" s="251"/>
      <c r="AD323" s="252"/>
    </row>
    <row r="324" spans="1:30">
      <c r="A324" s="326">
        <f t="shared" si="80"/>
        <v>69</v>
      </c>
      <c r="C324" s="630"/>
      <c r="D324" s="46"/>
      <c r="E324" s="47"/>
      <c r="F324" s="126"/>
      <c r="G324" s="167"/>
      <c r="H324" s="167"/>
      <c r="I324" s="167"/>
      <c r="J324" s="154"/>
      <c r="K324" s="559"/>
      <c r="L324" s="170"/>
      <c r="M324" s="477"/>
      <c r="N324" s="477"/>
      <c r="O324" s="1506"/>
      <c r="P324" s="1506"/>
      <c r="Q324" s="248"/>
      <c r="R324" s="248"/>
      <c r="S324" s="248"/>
      <c r="T324" s="248"/>
      <c r="U324" s="248"/>
      <c r="V324" s="247"/>
      <c r="W324" s="248"/>
      <c r="X324" s="158"/>
      <c r="Y324" s="248"/>
      <c r="Z324" s="194"/>
      <c r="AA324" s="249"/>
      <c r="AB324" s="250"/>
      <c r="AC324" s="251"/>
      <c r="AD324" s="252"/>
    </row>
    <row r="325" spans="1:30">
      <c r="A325" s="326">
        <f t="shared" si="80"/>
        <v>70</v>
      </c>
      <c r="C325" s="630"/>
      <c r="D325" s="46"/>
      <c r="E325" s="47"/>
      <c r="F325" s="126"/>
      <c r="G325" s="167"/>
      <c r="H325" s="167"/>
      <c r="I325" s="167"/>
      <c r="J325" s="154"/>
      <c r="K325" s="559"/>
      <c r="L325" s="170"/>
      <c r="M325" s="477"/>
      <c r="N325" s="477"/>
      <c r="O325" s="1506"/>
      <c r="P325" s="1506"/>
      <c r="Q325" s="248"/>
      <c r="R325" s="248"/>
      <c r="S325" s="248"/>
      <c r="T325" s="248"/>
      <c r="U325" s="248"/>
      <c r="V325" s="247"/>
      <c r="W325" s="248"/>
      <c r="X325" s="158"/>
      <c r="Y325" s="248"/>
      <c r="Z325" s="194"/>
      <c r="AA325" s="249"/>
      <c r="AB325" s="250"/>
      <c r="AC325" s="251"/>
      <c r="AD325" s="252"/>
    </row>
    <row r="326" spans="1:30">
      <c r="A326" s="326">
        <f t="shared" si="80"/>
        <v>71</v>
      </c>
      <c r="C326" s="630"/>
      <c r="D326" s="46"/>
      <c r="E326" s="47"/>
      <c r="F326" s="126"/>
      <c r="G326" s="167"/>
      <c r="H326" s="167"/>
      <c r="I326" s="167"/>
      <c r="J326" s="154"/>
      <c r="K326" s="559"/>
      <c r="L326" s="170"/>
      <c r="M326" s="477"/>
      <c r="N326" s="477"/>
      <c r="O326" s="1506"/>
      <c r="P326" s="1506"/>
      <c r="Q326" s="248"/>
      <c r="R326" s="248"/>
      <c r="S326" s="248"/>
      <c r="T326" s="248"/>
      <c r="U326" s="248"/>
      <c r="V326" s="247"/>
      <c r="W326" s="248"/>
      <c r="X326" s="158"/>
      <c r="Y326" s="248"/>
      <c r="Z326" s="194"/>
      <c r="AA326" s="249"/>
      <c r="AB326" s="250"/>
      <c r="AC326" s="251"/>
      <c r="AD326" s="252"/>
    </row>
    <row r="327" spans="1:30">
      <c r="A327" s="326">
        <f t="shared" si="80"/>
        <v>72</v>
      </c>
      <c r="C327" s="630"/>
      <c r="D327" s="46"/>
      <c r="E327" s="47"/>
      <c r="F327" s="126"/>
      <c r="G327" s="167"/>
      <c r="H327" s="167"/>
      <c r="I327" s="167"/>
      <c r="J327" s="154"/>
      <c r="K327" s="559"/>
      <c r="L327" s="170"/>
      <c r="M327" s="477"/>
      <c r="N327" s="477"/>
      <c r="O327" s="1506"/>
      <c r="P327" s="1506"/>
      <c r="Q327" s="248"/>
      <c r="R327" s="248"/>
      <c r="S327" s="248"/>
      <c r="T327" s="248"/>
      <c r="U327" s="248"/>
      <c r="V327" s="247"/>
      <c r="W327" s="248"/>
      <c r="X327" s="158"/>
      <c r="Y327" s="248"/>
      <c r="Z327" s="194"/>
      <c r="AA327" s="249"/>
      <c r="AB327" s="250"/>
      <c r="AC327" s="251"/>
      <c r="AD327" s="252"/>
    </row>
    <row r="328" spans="1:30">
      <c r="A328" s="326">
        <f t="shared" si="80"/>
        <v>73</v>
      </c>
      <c r="C328" s="630"/>
      <c r="D328" s="46"/>
      <c r="E328" s="47"/>
      <c r="F328" s="126"/>
      <c r="G328" s="167"/>
      <c r="H328" s="167"/>
      <c r="I328" s="167"/>
      <c r="J328" s="154"/>
      <c r="K328" s="559"/>
      <c r="L328" s="170"/>
      <c r="M328" s="477"/>
      <c r="N328" s="477"/>
      <c r="O328" s="1506"/>
      <c r="P328" s="1506"/>
      <c r="Q328" s="248"/>
      <c r="R328" s="248"/>
      <c r="S328" s="248"/>
      <c r="T328" s="248"/>
      <c r="U328" s="248"/>
      <c r="V328" s="247"/>
      <c r="W328" s="248"/>
      <c r="X328" s="158"/>
      <c r="Y328" s="248"/>
      <c r="Z328" s="194"/>
      <c r="AA328" s="249"/>
      <c r="AB328" s="250"/>
      <c r="AC328" s="251"/>
      <c r="AD328" s="252"/>
    </row>
    <row r="329" spans="1:30">
      <c r="A329" s="326">
        <f t="shared" si="80"/>
        <v>74</v>
      </c>
      <c r="C329" s="630"/>
      <c r="D329" s="46"/>
      <c r="E329" s="47"/>
      <c r="F329" s="126"/>
      <c r="G329" s="167"/>
      <c r="H329" s="167"/>
      <c r="I329" s="167"/>
      <c r="J329" s="154"/>
      <c r="K329" s="559"/>
      <c r="L329" s="170"/>
      <c r="M329" s="477"/>
      <c r="N329" s="477"/>
      <c r="O329" s="1506"/>
      <c r="P329" s="1506"/>
      <c r="Q329" s="248"/>
      <c r="R329" s="248"/>
      <c r="S329" s="248"/>
      <c r="T329" s="248"/>
      <c r="U329" s="248"/>
      <c r="V329" s="247"/>
      <c r="W329" s="248"/>
      <c r="X329" s="158"/>
      <c r="Y329" s="248"/>
      <c r="Z329" s="194"/>
      <c r="AA329" s="249"/>
      <c r="AB329" s="250"/>
      <c r="AC329" s="251"/>
      <c r="AD329" s="252"/>
    </row>
    <row r="330" spans="1:30">
      <c r="A330" s="326">
        <f t="shared" si="80"/>
        <v>75</v>
      </c>
      <c r="C330" s="630"/>
      <c r="D330" s="46"/>
      <c r="E330" s="47"/>
      <c r="F330" s="126"/>
      <c r="G330" s="167"/>
      <c r="H330" s="167"/>
      <c r="I330" s="167"/>
      <c r="J330" s="154"/>
      <c r="K330" s="559"/>
      <c r="L330" s="170"/>
      <c r="M330" s="477"/>
      <c r="N330" s="477"/>
      <c r="O330" s="1506"/>
      <c r="P330" s="1506"/>
      <c r="Q330" s="248"/>
      <c r="R330" s="248"/>
      <c r="S330" s="248"/>
      <c r="T330" s="248"/>
      <c r="U330" s="248"/>
      <c r="V330" s="247"/>
      <c r="W330" s="248"/>
      <c r="X330" s="158"/>
      <c r="Y330" s="248"/>
      <c r="Z330" s="194"/>
      <c r="AA330" s="249"/>
      <c r="AB330" s="250"/>
      <c r="AC330" s="251"/>
      <c r="AD330" s="252"/>
    </row>
    <row r="331" spans="1:30">
      <c r="A331" s="326">
        <f t="shared" si="80"/>
        <v>76</v>
      </c>
      <c r="C331" s="630"/>
      <c r="D331" s="46"/>
      <c r="E331" s="47"/>
      <c r="F331" s="126"/>
      <c r="G331" s="167"/>
      <c r="H331" s="167"/>
      <c r="I331" s="167"/>
      <c r="J331" s="154"/>
      <c r="K331" s="559"/>
      <c r="L331" s="170"/>
      <c r="M331" s="477"/>
      <c r="N331" s="477"/>
      <c r="O331" s="1506"/>
      <c r="P331" s="1506"/>
      <c r="Q331" s="248"/>
      <c r="R331" s="248"/>
      <c r="S331" s="248"/>
      <c r="T331" s="248"/>
      <c r="U331" s="248"/>
      <c r="V331" s="247"/>
      <c r="W331" s="248"/>
      <c r="X331" s="158"/>
      <c r="Y331" s="248"/>
      <c r="Z331" s="194"/>
      <c r="AA331" s="249"/>
      <c r="AB331" s="250"/>
      <c r="AC331" s="251"/>
      <c r="AD331" s="252"/>
    </row>
    <row r="332" spans="1:30">
      <c r="A332" s="326">
        <f t="shared" si="80"/>
        <v>77</v>
      </c>
      <c r="C332" s="630"/>
      <c r="D332" s="46"/>
      <c r="E332" s="47"/>
      <c r="F332" s="126"/>
      <c r="G332" s="167"/>
      <c r="H332" s="167"/>
      <c r="I332" s="167"/>
      <c r="J332" s="154"/>
      <c r="K332" s="559"/>
      <c r="L332" s="170"/>
      <c r="M332" s="477"/>
      <c r="N332" s="477"/>
      <c r="O332" s="1506"/>
      <c r="P332" s="1506"/>
      <c r="Q332" s="248"/>
      <c r="R332" s="248"/>
      <c r="S332" s="248"/>
      <c r="T332" s="248"/>
      <c r="U332" s="248"/>
      <c r="V332" s="247"/>
      <c r="W332" s="248"/>
      <c r="X332" s="158"/>
      <c r="Y332" s="248"/>
      <c r="Z332" s="194"/>
      <c r="AA332" s="249"/>
      <c r="AB332" s="250"/>
      <c r="AC332" s="251"/>
      <c r="AD332" s="252"/>
    </row>
    <row r="333" spans="1:30">
      <c r="A333" s="326">
        <f t="shared" si="80"/>
        <v>78</v>
      </c>
      <c r="C333" s="630"/>
      <c r="D333" s="46"/>
      <c r="E333" s="47"/>
      <c r="F333" s="126"/>
      <c r="G333" s="167"/>
      <c r="H333" s="167"/>
      <c r="I333" s="167"/>
      <c r="J333" s="154"/>
      <c r="K333" s="559"/>
      <c r="L333" s="170"/>
      <c r="M333" s="477"/>
      <c r="N333" s="477"/>
      <c r="O333" s="1506"/>
      <c r="P333" s="1506"/>
      <c r="Q333" s="248"/>
      <c r="R333" s="248"/>
      <c r="S333" s="248"/>
      <c r="T333" s="248"/>
      <c r="U333" s="248"/>
      <c r="V333" s="247"/>
      <c r="W333" s="248"/>
      <c r="X333" s="158"/>
      <c r="Y333" s="248"/>
      <c r="Z333" s="194"/>
      <c r="AA333" s="249"/>
      <c r="AB333" s="250"/>
      <c r="AC333" s="251"/>
      <c r="AD333" s="252"/>
    </row>
    <row r="334" spans="1:30">
      <c r="A334" s="326">
        <f t="shared" si="80"/>
        <v>79</v>
      </c>
      <c r="C334" s="630"/>
      <c r="D334" s="46"/>
      <c r="E334" s="47"/>
      <c r="F334" s="126"/>
      <c r="G334" s="167"/>
      <c r="H334" s="167"/>
      <c r="I334" s="167"/>
      <c r="J334" s="154"/>
      <c r="K334" s="559"/>
      <c r="L334" s="170"/>
      <c r="M334" s="477"/>
      <c r="N334" s="477"/>
      <c r="O334" s="1506"/>
      <c r="P334" s="1506"/>
      <c r="Q334" s="248"/>
      <c r="R334" s="248"/>
      <c r="S334" s="248"/>
      <c r="T334" s="248"/>
      <c r="U334" s="248"/>
      <c r="V334" s="247"/>
      <c r="W334" s="248"/>
      <c r="X334" s="158"/>
      <c r="Y334" s="248"/>
      <c r="Z334" s="194"/>
      <c r="AA334" s="249"/>
      <c r="AB334" s="250"/>
      <c r="AC334" s="251"/>
      <c r="AD334" s="252"/>
    </row>
    <row r="335" spans="1:30">
      <c r="A335" s="326">
        <f t="shared" si="80"/>
        <v>80</v>
      </c>
      <c r="C335" s="630"/>
      <c r="D335" s="46"/>
      <c r="E335" s="47"/>
      <c r="F335" s="126"/>
      <c r="G335" s="167"/>
      <c r="H335" s="167"/>
      <c r="I335" s="167"/>
      <c r="J335" s="154"/>
      <c r="K335" s="559"/>
      <c r="L335" s="170"/>
      <c r="M335" s="477"/>
      <c r="N335" s="477"/>
      <c r="O335" s="1506"/>
      <c r="P335" s="1506"/>
      <c r="Q335" s="248"/>
      <c r="R335" s="248"/>
      <c r="S335" s="248"/>
      <c r="T335" s="248"/>
      <c r="U335" s="248"/>
      <c r="V335" s="247"/>
      <c r="W335" s="248"/>
      <c r="X335" s="158"/>
      <c r="Y335" s="248"/>
      <c r="Z335" s="194"/>
      <c r="AA335" s="249"/>
      <c r="AB335" s="250"/>
      <c r="AC335" s="251"/>
      <c r="AD335" s="252"/>
    </row>
    <row r="336" spans="1:30">
      <c r="A336" s="326">
        <f t="shared" si="80"/>
        <v>81</v>
      </c>
      <c r="C336" s="630"/>
      <c r="D336" s="46"/>
      <c r="E336" s="47"/>
      <c r="F336" s="126"/>
      <c r="G336" s="167"/>
      <c r="H336" s="167"/>
      <c r="I336" s="167"/>
      <c r="J336" s="154"/>
      <c r="K336" s="559"/>
      <c r="L336" s="170"/>
      <c r="M336" s="477"/>
      <c r="N336" s="477"/>
      <c r="O336" s="1506"/>
      <c r="P336" s="1506"/>
      <c r="Q336" s="248"/>
      <c r="R336" s="248"/>
      <c r="S336" s="248"/>
      <c r="T336" s="248"/>
      <c r="U336" s="248"/>
      <c r="V336" s="247"/>
      <c r="W336" s="248"/>
      <c r="X336" s="158"/>
      <c r="Y336" s="248"/>
      <c r="Z336" s="194"/>
      <c r="AA336" s="249"/>
      <c r="AB336" s="250"/>
      <c r="AC336" s="251"/>
      <c r="AD336" s="252"/>
    </row>
    <row r="337" spans="1:30">
      <c r="A337" s="326">
        <f t="shared" si="80"/>
        <v>82</v>
      </c>
      <c r="C337" s="630"/>
      <c r="D337" s="46"/>
      <c r="E337" s="47"/>
      <c r="F337" s="126"/>
      <c r="G337" s="167"/>
      <c r="H337" s="167"/>
      <c r="I337" s="167"/>
      <c r="J337" s="154"/>
      <c r="K337" s="559"/>
      <c r="L337" s="170"/>
      <c r="M337" s="477"/>
      <c r="N337" s="477"/>
      <c r="O337" s="1506"/>
      <c r="P337" s="1506"/>
      <c r="Q337" s="248"/>
      <c r="R337" s="248"/>
      <c r="S337" s="248"/>
      <c r="T337" s="248"/>
      <c r="U337" s="248"/>
      <c r="V337" s="247"/>
      <c r="W337" s="248"/>
      <c r="X337" s="158"/>
      <c r="Y337" s="248"/>
      <c r="Z337" s="194"/>
      <c r="AA337" s="249"/>
      <c r="AB337" s="250"/>
      <c r="AC337" s="251"/>
      <c r="AD337" s="252"/>
    </row>
    <row r="338" spans="1:30">
      <c r="A338" s="326">
        <f t="shared" si="80"/>
        <v>83</v>
      </c>
      <c r="C338" s="630"/>
      <c r="D338" s="46"/>
      <c r="E338" s="47"/>
      <c r="F338" s="126"/>
      <c r="G338" s="167"/>
      <c r="H338" s="167"/>
      <c r="I338" s="167"/>
      <c r="J338" s="154"/>
      <c r="K338" s="559"/>
      <c r="L338" s="170"/>
      <c r="M338" s="477"/>
      <c r="N338" s="477"/>
      <c r="O338" s="1506"/>
      <c r="P338" s="1506"/>
      <c r="Q338" s="248"/>
      <c r="R338" s="248"/>
      <c r="S338" s="248"/>
      <c r="T338" s="248"/>
      <c r="U338" s="248"/>
      <c r="V338" s="247"/>
      <c r="W338" s="248"/>
      <c r="X338" s="158"/>
      <c r="Y338" s="248"/>
      <c r="Z338" s="194"/>
      <c r="AA338" s="249"/>
      <c r="AB338" s="250"/>
      <c r="AC338" s="251"/>
      <c r="AD338" s="252"/>
    </row>
    <row r="339" spans="1:30">
      <c r="A339" s="326">
        <f t="shared" si="80"/>
        <v>84</v>
      </c>
      <c r="C339" s="630"/>
      <c r="D339" s="46"/>
      <c r="E339" s="47"/>
      <c r="F339" s="126"/>
      <c r="G339" s="167"/>
      <c r="H339" s="167"/>
      <c r="I339" s="167"/>
      <c r="J339" s="154"/>
      <c r="K339" s="559"/>
      <c r="L339" s="170"/>
      <c r="M339" s="477"/>
      <c r="N339" s="477"/>
      <c r="O339" s="1506"/>
      <c r="P339" s="1506"/>
      <c r="Q339" s="248"/>
      <c r="R339" s="248"/>
      <c r="S339" s="248"/>
      <c r="T339" s="248"/>
      <c r="U339" s="248"/>
      <c r="V339" s="247"/>
      <c r="W339" s="248"/>
      <c r="X339" s="158"/>
      <c r="Y339" s="248"/>
      <c r="Z339" s="194"/>
      <c r="AA339" s="249"/>
      <c r="AB339" s="250"/>
      <c r="AC339" s="251"/>
      <c r="AD339" s="252"/>
    </row>
    <row r="340" spans="1:30">
      <c r="A340" s="326">
        <f t="shared" si="80"/>
        <v>85</v>
      </c>
      <c r="C340" s="630"/>
      <c r="D340" s="46"/>
      <c r="E340" s="47"/>
      <c r="F340" s="126"/>
      <c r="G340" s="167"/>
      <c r="H340" s="167"/>
      <c r="I340" s="167"/>
      <c r="J340" s="154"/>
      <c r="K340" s="559"/>
      <c r="L340" s="170"/>
      <c r="M340" s="477"/>
      <c r="N340" s="477"/>
      <c r="O340" s="1506"/>
      <c r="P340" s="1506"/>
      <c r="Q340" s="248"/>
      <c r="R340" s="248"/>
      <c r="S340" s="248"/>
      <c r="T340" s="248"/>
      <c r="U340" s="248"/>
      <c r="V340" s="247"/>
      <c r="W340" s="248"/>
      <c r="X340" s="158"/>
      <c r="Y340" s="248"/>
      <c r="Z340" s="194"/>
      <c r="AA340" s="249"/>
      <c r="AB340" s="250"/>
      <c r="AC340" s="251"/>
      <c r="AD340" s="252"/>
    </row>
    <row r="341" spans="1:30">
      <c r="A341" s="326">
        <f t="shared" si="80"/>
        <v>86</v>
      </c>
      <c r="C341" s="630"/>
      <c r="D341" s="46"/>
      <c r="E341" s="47"/>
      <c r="F341" s="126"/>
      <c r="G341" s="167"/>
      <c r="H341" s="167"/>
      <c r="I341" s="167"/>
      <c r="J341" s="154"/>
      <c r="K341" s="559"/>
      <c r="L341" s="170"/>
      <c r="M341" s="477"/>
      <c r="N341" s="477"/>
      <c r="O341" s="1506"/>
      <c r="P341" s="1506"/>
      <c r="Q341" s="248"/>
      <c r="R341" s="248"/>
      <c r="S341" s="248"/>
      <c r="T341" s="248"/>
      <c r="U341" s="248"/>
      <c r="V341" s="247"/>
      <c r="W341" s="248"/>
      <c r="X341" s="158"/>
      <c r="Y341" s="248"/>
      <c r="Z341" s="194"/>
      <c r="AA341" s="249"/>
      <c r="AB341" s="250"/>
      <c r="AC341" s="251"/>
      <c r="AD341" s="252"/>
    </row>
    <row r="342" spans="1:30">
      <c r="A342" s="326">
        <f t="shared" si="80"/>
        <v>87</v>
      </c>
      <c r="C342" s="630"/>
      <c r="D342" s="46"/>
      <c r="E342" s="47"/>
      <c r="F342" s="126"/>
      <c r="G342" s="167"/>
      <c r="H342" s="167"/>
      <c r="I342" s="167"/>
      <c r="J342" s="154"/>
      <c r="K342" s="559"/>
      <c r="L342" s="170"/>
      <c r="M342" s="477"/>
      <c r="N342" s="477"/>
      <c r="O342" s="1506"/>
      <c r="P342" s="1506"/>
      <c r="Q342" s="248"/>
      <c r="R342" s="248"/>
      <c r="S342" s="248"/>
      <c r="T342" s="248"/>
      <c r="U342" s="248"/>
      <c r="V342" s="247"/>
      <c r="W342" s="248"/>
      <c r="X342" s="158"/>
      <c r="Y342" s="248"/>
      <c r="Z342" s="194"/>
      <c r="AA342" s="249"/>
      <c r="AB342" s="250"/>
      <c r="AC342" s="251"/>
      <c r="AD342" s="252"/>
    </row>
    <row r="343" spans="1:30">
      <c r="A343" s="326">
        <f t="shared" si="80"/>
        <v>88</v>
      </c>
      <c r="C343" s="630"/>
      <c r="D343" s="46"/>
      <c r="E343" s="47"/>
      <c r="F343" s="126"/>
      <c r="G343" s="167"/>
      <c r="H343" s="167"/>
      <c r="I343" s="167"/>
      <c r="J343" s="154"/>
      <c r="K343" s="559"/>
      <c r="L343" s="170"/>
      <c r="M343" s="477"/>
      <c r="N343" s="477"/>
      <c r="O343" s="1506"/>
      <c r="P343" s="1506"/>
      <c r="Q343" s="248"/>
      <c r="R343" s="248"/>
      <c r="S343" s="248"/>
      <c r="T343" s="248"/>
      <c r="U343" s="248"/>
      <c r="V343" s="247"/>
      <c r="W343" s="248"/>
      <c r="X343" s="158"/>
      <c r="Y343" s="248"/>
      <c r="Z343" s="194"/>
      <c r="AA343" s="249"/>
      <c r="AB343" s="250"/>
      <c r="AC343" s="251"/>
      <c r="AD343" s="252"/>
    </row>
    <row r="344" spans="1:30">
      <c r="A344" s="326">
        <f t="shared" si="80"/>
        <v>89</v>
      </c>
      <c r="C344" s="630"/>
      <c r="D344" s="46"/>
      <c r="E344" s="47"/>
      <c r="F344" s="126"/>
      <c r="G344" s="167"/>
      <c r="H344" s="167"/>
      <c r="I344" s="167"/>
      <c r="J344" s="154"/>
      <c r="K344" s="559"/>
      <c r="L344" s="170"/>
      <c r="M344" s="477"/>
      <c r="N344" s="477"/>
      <c r="O344" s="1506"/>
      <c r="P344" s="1506"/>
      <c r="Q344" s="248"/>
      <c r="R344" s="248"/>
      <c r="S344" s="248"/>
      <c r="T344" s="248"/>
      <c r="U344" s="248"/>
      <c r="V344" s="247"/>
      <c r="W344" s="248"/>
      <c r="X344" s="158"/>
      <c r="Y344" s="248"/>
      <c r="Z344" s="194"/>
      <c r="AA344" s="249"/>
      <c r="AB344" s="250"/>
      <c r="AC344" s="251"/>
      <c r="AD344" s="252"/>
    </row>
    <row r="345" spans="1:30">
      <c r="A345" s="326">
        <f t="shared" si="80"/>
        <v>90</v>
      </c>
      <c r="C345" s="630"/>
      <c r="D345" s="46"/>
      <c r="E345" s="47"/>
      <c r="F345" s="126"/>
      <c r="G345" s="167"/>
      <c r="H345" s="167"/>
      <c r="I345" s="167"/>
      <c r="J345" s="154"/>
      <c r="K345" s="559"/>
      <c r="L345" s="170"/>
      <c r="M345" s="477"/>
      <c r="N345" s="477"/>
      <c r="O345" s="1506"/>
      <c r="P345" s="1506"/>
      <c r="Q345" s="248"/>
      <c r="R345" s="248"/>
      <c r="S345" s="248"/>
      <c r="T345" s="248"/>
      <c r="U345" s="248"/>
      <c r="V345" s="247"/>
      <c r="W345" s="248"/>
      <c r="X345" s="158"/>
      <c r="Y345" s="248"/>
      <c r="Z345" s="194"/>
      <c r="AA345" s="249"/>
      <c r="AB345" s="250"/>
      <c r="AC345" s="251"/>
      <c r="AD345" s="252"/>
    </row>
    <row r="346" spans="1:30">
      <c r="A346" s="326">
        <f t="shared" si="80"/>
        <v>91</v>
      </c>
      <c r="C346" s="630"/>
      <c r="D346" s="46"/>
      <c r="E346" s="47"/>
      <c r="F346" s="126"/>
      <c r="G346" s="167"/>
      <c r="H346" s="167"/>
      <c r="I346" s="167"/>
      <c r="J346" s="154"/>
      <c r="K346" s="559"/>
      <c r="L346" s="170"/>
      <c r="M346" s="477"/>
      <c r="N346" s="477"/>
      <c r="O346" s="1506"/>
      <c r="P346" s="1506"/>
      <c r="Q346" s="248"/>
      <c r="R346" s="248"/>
      <c r="S346" s="248"/>
      <c r="T346" s="248"/>
      <c r="U346" s="248"/>
      <c r="V346" s="247"/>
      <c r="W346" s="248"/>
      <c r="X346" s="158"/>
      <c r="Y346" s="248"/>
      <c r="Z346" s="194"/>
      <c r="AA346" s="249"/>
      <c r="AB346" s="250"/>
      <c r="AC346" s="251"/>
      <c r="AD346" s="252"/>
    </row>
    <row r="347" spans="1:30">
      <c r="A347" s="326">
        <f t="shared" si="80"/>
        <v>92</v>
      </c>
      <c r="C347" s="630"/>
      <c r="D347" s="46"/>
      <c r="E347" s="47"/>
      <c r="F347" s="126"/>
      <c r="G347" s="167"/>
      <c r="H347" s="167"/>
      <c r="I347" s="167"/>
      <c r="J347" s="154"/>
      <c r="K347" s="559"/>
      <c r="L347" s="170"/>
      <c r="M347" s="477"/>
      <c r="N347" s="477"/>
      <c r="O347" s="1506"/>
      <c r="P347" s="1506"/>
      <c r="Q347" s="248"/>
      <c r="R347" s="248"/>
      <c r="S347" s="248"/>
      <c r="T347" s="248"/>
      <c r="U347" s="248"/>
      <c r="V347" s="247"/>
      <c r="W347" s="248"/>
      <c r="X347" s="158"/>
      <c r="Y347" s="248"/>
      <c r="Z347" s="194"/>
      <c r="AA347" s="249"/>
      <c r="AB347" s="250"/>
      <c r="AC347" s="251"/>
      <c r="AD347" s="252"/>
    </row>
    <row r="348" spans="1:30">
      <c r="A348" s="326">
        <f t="shared" si="80"/>
        <v>93</v>
      </c>
      <c r="C348" s="630"/>
      <c r="D348" s="46"/>
      <c r="E348" s="47"/>
      <c r="F348" s="126"/>
      <c r="G348" s="167"/>
      <c r="H348" s="167"/>
      <c r="I348" s="167"/>
      <c r="J348" s="154"/>
      <c r="K348" s="559"/>
      <c r="L348" s="170"/>
      <c r="M348" s="477"/>
      <c r="N348" s="477"/>
      <c r="O348" s="1506"/>
      <c r="P348" s="1506"/>
      <c r="Q348" s="248"/>
      <c r="R348" s="248"/>
      <c r="S348" s="248"/>
      <c r="T348" s="248"/>
      <c r="U348" s="248"/>
      <c r="V348" s="247"/>
      <c r="W348" s="248"/>
      <c r="X348" s="158"/>
      <c r="Y348" s="248"/>
      <c r="Z348" s="194"/>
      <c r="AA348" s="249"/>
      <c r="AB348" s="250"/>
      <c r="AC348" s="251"/>
      <c r="AD348" s="252"/>
    </row>
    <row r="349" spans="1:30">
      <c r="A349" s="326">
        <f t="shared" si="80"/>
        <v>94</v>
      </c>
      <c r="C349" s="630"/>
      <c r="D349" s="46"/>
      <c r="E349" s="47"/>
      <c r="F349" s="126"/>
      <c r="G349" s="167"/>
      <c r="H349" s="167"/>
      <c r="I349" s="167"/>
      <c r="J349" s="154"/>
      <c r="K349" s="559"/>
      <c r="L349" s="170"/>
      <c r="M349" s="477"/>
      <c r="N349" s="477"/>
      <c r="O349" s="1506"/>
      <c r="P349" s="1506"/>
      <c r="Q349" s="248"/>
      <c r="R349" s="248"/>
      <c r="S349" s="248"/>
      <c r="T349" s="248"/>
      <c r="U349" s="248"/>
      <c r="V349" s="247"/>
      <c r="W349" s="248"/>
      <c r="X349" s="158"/>
      <c r="Y349" s="248"/>
      <c r="Z349" s="194"/>
      <c r="AA349" s="249"/>
      <c r="AB349" s="250"/>
      <c r="AC349" s="251"/>
      <c r="AD349" s="252"/>
    </row>
    <row r="350" spans="1:30">
      <c r="A350" s="326">
        <f t="shared" si="80"/>
        <v>95</v>
      </c>
      <c r="C350" s="630"/>
      <c r="D350" s="46"/>
      <c r="E350" s="47"/>
      <c r="F350" s="126"/>
      <c r="G350" s="167"/>
      <c r="H350" s="167"/>
      <c r="I350" s="167"/>
      <c r="J350" s="154"/>
      <c r="K350" s="559"/>
      <c r="L350" s="170"/>
      <c r="M350" s="477"/>
      <c r="N350" s="477"/>
      <c r="O350" s="1506"/>
      <c r="P350" s="1506"/>
      <c r="Q350" s="248"/>
      <c r="R350" s="248"/>
      <c r="S350" s="248"/>
      <c r="T350" s="248"/>
      <c r="U350" s="248"/>
      <c r="V350" s="247"/>
      <c r="W350" s="248"/>
      <c r="X350" s="158"/>
      <c r="Y350" s="248"/>
      <c r="Z350" s="194"/>
      <c r="AA350" s="249"/>
      <c r="AB350" s="250"/>
      <c r="AC350" s="251"/>
      <c r="AD350" s="252"/>
    </row>
    <row r="351" spans="1:30">
      <c r="A351" s="326">
        <f t="shared" si="80"/>
        <v>96</v>
      </c>
      <c r="C351" s="630"/>
      <c r="D351" s="46"/>
      <c r="E351" s="47"/>
      <c r="F351" s="126"/>
      <c r="G351" s="167"/>
      <c r="H351" s="167"/>
      <c r="I351" s="167"/>
      <c r="J351" s="154"/>
      <c r="K351" s="559"/>
      <c r="L351" s="170"/>
      <c r="M351" s="477"/>
      <c r="N351" s="477"/>
      <c r="O351" s="1506"/>
      <c r="P351" s="1506"/>
      <c r="Q351" s="248"/>
      <c r="R351" s="248"/>
      <c r="S351" s="248"/>
      <c r="T351" s="248"/>
      <c r="U351" s="248"/>
      <c r="V351" s="247"/>
      <c r="W351" s="248"/>
      <c r="X351" s="158"/>
      <c r="Y351" s="248"/>
      <c r="Z351" s="194"/>
      <c r="AA351" s="249"/>
      <c r="AB351" s="250"/>
      <c r="AC351" s="251"/>
      <c r="AD351" s="252"/>
    </row>
    <row r="352" spans="1:30">
      <c r="A352" s="326">
        <f t="shared" si="80"/>
        <v>97</v>
      </c>
      <c r="C352" s="630"/>
      <c r="D352" s="46"/>
      <c r="E352" s="47"/>
      <c r="F352" s="126"/>
      <c r="G352" s="167"/>
      <c r="H352" s="167"/>
      <c r="I352" s="167"/>
      <c r="J352" s="154"/>
      <c r="K352" s="559"/>
      <c r="L352" s="170"/>
      <c r="M352" s="477"/>
      <c r="N352" s="477"/>
      <c r="O352" s="1506"/>
      <c r="P352" s="1506"/>
      <c r="Q352" s="248"/>
      <c r="R352" s="248"/>
      <c r="S352" s="248"/>
      <c r="T352" s="248"/>
      <c r="U352" s="248"/>
      <c r="V352" s="247"/>
      <c r="W352" s="248"/>
      <c r="X352" s="158"/>
      <c r="Y352" s="248"/>
      <c r="Z352" s="194"/>
      <c r="AA352" s="249"/>
      <c r="AB352" s="250"/>
      <c r="AC352" s="251"/>
      <c r="AD352" s="252"/>
    </row>
    <row r="353" spans="1:30">
      <c r="A353" s="326">
        <f t="shared" si="80"/>
        <v>98</v>
      </c>
      <c r="C353" s="630"/>
      <c r="D353" s="46"/>
      <c r="E353" s="47"/>
      <c r="F353" s="126"/>
      <c r="G353" s="167"/>
      <c r="H353" s="167"/>
      <c r="I353" s="167"/>
      <c r="J353" s="154"/>
      <c r="K353" s="559"/>
      <c r="L353" s="170"/>
      <c r="M353" s="477"/>
      <c r="N353" s="477"/>
      <c r="O353" s="1506"/>
      <c r="P353" s="1506"/>
      <c r="Q353" s="248"/>
      <c r="R353" s="248"/>
      <c r="S353" s="248"/>
      <c r="T353" s="248"/>
      <c r="U353" s="248"/>
      <c r="V353" s="247"/>
      <c r="W353" s="248"/>
      <c r="X353" s="158"/>
      <c r="Y353" s="248"/>
      <c r="Z353" s="194"/>
      <c r="AA353" s="249"/>
      <c r="AB353" s="250"/>
      <c r="AC353" s="251"/>
      <c r="AD353" s="252"/>
    </row>
    <row r="354" spans="1:30">
      <c r="Q354" s="248"/>
      <c r="R354" s="248"/>
      <c r="S354" s="248"/>
      <c r="T354" s="248"/>
      <c r="U354" s="248"/>
      <c r="V354" s="247"/>
      <c r="W354" s="248"/>
      <c r="Y354" s="248"/>
      <c r="Z354" s="194"/>
      <c r="AA354" s="249"/>
      <c r="AB354" s="250"/>
      <c r="AC354" s="251"/>
      <c r="AD354" s="252"/>
    </row>
    <row r="355" spans="1:30">
      <c r="Q355" s="248"/>
      <c r="R355" s="248"/>
      <c r="S355" s="248"/>
      <c r="T355" s="248"/>
      <c r="U355" s="248"/>
      <c r="V355" s="247"/>
      <c r="W355" s="248"/>
      <c r="Y355" s="248"/>
      <c r="Z355" s="194"/>
      <c r="AA355" s="249"/>
      <c r="AB355" s="250"/>
      <c r="AC355" s="251"/>
      <c r="AD355" s="252"/>
    </row>
    <row r="356" spans="1:30">
      <c r="Q356" s="248"/>
      <c r="R356" s="248"/>
      <c r="S356" s="248"/>
      <c r="T356" s="248"/>
      <c r="U356" s="248"/>
      <c r="V356" s="247"/>
      <c r="W356" s="248"/>
      <c r="Y356" s="248"/>
      <c r="Z356" s="194"/>
      <c r="AA356" s="249"/>
      <c r="AB356" s="250"/>
      <c r="AC356" s="251"/>
      <c r="AD356" s="252"/>
    </row>
    <row r="357" spans="1:30">
      <c r="Q357" s="248"/>
      <c r="R357" s="248"/>
      <c r="S357" s="248"/>
      <c r="T357" s="248"/>
      <c r="U357" s="248"/>
      <c r="V357" s="247"/>
      <c r="W357" s="248"/>
      <c r="Y357" s="248"/>
      <c r="Z357" s="194"/>
      <c r="AA357" s="249"/>
      <c r="AB357" s="250"/>
      <c r="AC357" s="251"/>
      <c r="AD357" s="252"/>
    </row>
    <row r="358" spans="1:30">
      <c r="Q358" s="248"/>
      <c r="R358" s="248"/>
      <c r="S358" s="248"/>
      <c r="T358" s="248"/>
      <c r="U358" s="248"/>
      <c r="V358" s="247"/>
      <c r="W358" s="248"/>
      <c r="Y358" s="248"/>
      <c r="Z358" s="194"/>
      <c r="AA358" s="249"/>
      <c r="AB358" s="250"/>
      <c r="AC358" s="251"/>
      <c r="AD358" s="252"/>
    </row>
    <row r="359" spans="1:30">
      <c r="Q359" s="248"/>
      <c r="R359" s="248"/>
      <c r="S359" s="248"/>
      <c r="T359" s="248"/>
      <c r="U359" s="248"/>
      <c r="V359" s="247"/>
      <c r="W359" s="248"/>
      <c r="Y359" s="248"/>
      <c r="Z359" s="194"/>
      <c r="AA359" s="249"/>
      <c r="AB359" s="250"/>
      <c r="AC359" s="251"/>
      <c r="AD359" s="252"/>
    </row>
    <row r="360" spans="1:30">
      <c r="Q360" s="248"/>
      <c r="R360" s="248"/>
      <c r="S360" s="248"/>
      <c r="T360" s="248"/>
      <c r="U360" s="248"/>
      <c r="V360" s="247"/>
      <c r="W360" s="248"/>
      <c r="Y360" s="248"/>
      <c r="Z360" s="194"/>
      <c r="AA360" s="249"/>
      <c r="AB360" s="250"/>
      <c r="AC360" s="251"/>
      <c r="AD360" s="252"/>
    </row>
    <row r="361" spans="1:30">
      <c r="Q361" s="248"/>
      <c r="R361" s="248"/>
      <c r="S361" s="248"/>
      <c r="T361" s="248"/>
      <c r="U361" s="248"/>
      <c r="V361" s="247"/>
      <c r="W361" s="248"/>
      <c r="Y361" s="248"/>
      <c r="Z361" s="194"/>
      <c r="AA361" s="249"/>
      <c r="AB361" s="250"/>
      <c r="AC361" s="251"/>
      <c r="AD361" s="252"/>
    </row>
    <row r="362" spans="1:30">
      <c r="Q362" s="248"/>
      <c r="R362" s="248"/>
      <c r="S362" s="248"/>
      <c r="T362" s="248"/>
      <c r="U362" s="248"/>
      <c r="V362" s="247"/>
      <c r="W362" s="248"/>
      <c r="Y362" s="248"/>
      <c r="Z362" s="194"/>
      <c r="AA362" s="249"/>
      <c r="AB362" s="250"/>
      <c r="AC362" s="251"/>
      <c r="AD362" s="252"/>
    </row>
    <row r="363" spans="1:30">
      <c r="Q363" s="248"/>
      <c r="R363" s="248"/>
      <c r="S363" s="248"/>
      <c r="T363" s="248"/>
      <c r="U363" s="248"/>
      <c r="V363" s="247"/>
      <c r="W363" s="248"/>
      <c r="Y363" s="248"/>
      <c r="Z363" s="194"/>
      <c r="AA363" s="249"/>
      <c r="AB363" s="250"/>
      <c r="AC363" s="251"/>
      <c r="AD363" s="252"/>
    </row>
    <row r="364" spans="1:30">
      <c r="Q364" s="248"/>
      <c r="R364" s="248"/>
      <c r="S364" s="248"/>
      <c r="T364" s="248"/>
      <c r="U364" s="248"/>
      <c r="V364" s="247"/>
      <c r="W364" s="248"/>
      <c r="Y364" s="248"/>
      <c r="Z364" s="194"/>
      <c r="AA364" s="249"/>
      <c r="AB364" s="250"/>
      <c r="AC364" s="251"/>
      <c r="AD364" s="252"/>
    </row>
    <row r="365" spans="1:30">
      <c r="Q365" s="248"/>
      <c r="R365" s="248"/>
      <c r="S365" s="248"/>
      <c r="T365" s="248"/>
      <c r="U365" s="248"/>
      <c r="V365" s="247"/>
      <c r="W365" s="248"/>
      <c r="Y365" s="248"/>
      <c r="Z365" s="194"/>
      <c r="AA365" s="249"/>
      <c r="AB365" s="250"/>
      <c r="AC365" s="251"/>
      <c r="AD365" s="252"/>
    </row>
    <row r="366" spans="1:30">
      <c r="Q366" s="248"/>
      <c r="R366" s="248"/>
      <c r="S366" s="248"/>
      <c r="T366" s="248"/>
      <c r="U366" s="248"/>
      <c r="V366" s="247"/>
      <c r="W366" s="248"/>
      <c r="Y366" s="248"/>
      <c r="Z366" s="194"/>
      <c r="AA366" s="249"/>
      <c r="AB366" s="250"/>
      <c r="AC366" s="251"/>
      <c r="AD366" s="252"/>
    </row>
    <row r="367" spans="1:30">
      <c r="Q367" s="248"/>
      <c r="R367" s="248"/>
      <c r="S367" s="248"/>
      <c r="T367" s="248"/>
      <c r="U367" s="248"/>
      <c r="V367" s="247"/>
      <c r="W367" s="248"/>
      <c r="Y367" s="248"/>
      <c r="Z367" s="194"/>
      <c r="AA367" s="249"/>
      <c r="AB367" s="250"/>
      <c r="AC367" s="251"/>
      <c r="AD367" s="252"/>
    </row>
    <row r="368" spans="1:30">
      <c r="Q368" s="248"/>
      <c r="R368" s="248"/>
      <c r="S368" s="248"/>
      <c r="T368" s="248"/>
      <c r="U368" s="248"/>
      <c r="V368" s="247"/>
      <c r="W368" s="248"/>
      <c r="Y368" s="248"/>
      <c r="Z368" s="194"/>
      <c r="AA368" s="249"/>
      <c r="AB368" s="250"/>
      <c r="AC368" s="251"/>
      <c r="AD368" s="252"/>
    </row>
    <row r="369" spans="17:30">
      <c r="Q369" s="248"/>
      <c r="R369" s="248"/>
      <c r="S369" s="248"/>
      <c r="T369" s="248"/>
      <c r="U369" s="248"/>
      <c r="V369" s="247"/>
      <c r="W369" s="248"/>
      <c r="Y369" s="248"/>
      <c r="Z369" s="194"/>
      <c r="AA369" s="249"/>
      <c r="AB369" s="250"/>
      <c r="AC369" s="251"/>
      <c r="AD369" s="252"/>
    </row>
    <row r="370" spans="17:30">
      <c r="Q370" s="248"/>
      <c r="R370" s="248"/>
      <c r="S370" s="248"/>
      <c r="T370" s="248"/>
      <c r="U370" s="248"/>
      <c r="V370" s="247"/>
      <c r="W370" s="248"/>
      <c r="Y370" s="248"/>
      <c r="Z370" s="194"/>
      <c r="AA370" s="249"/>
      <c r="AB370" s="250"/>
      <c r="AC370" s="251"/>
      <c r="AD370" s="252"/>
    </row>
    <row r="371" spans="17:30">
      <c r="Q371" s="248"/>
      <c r="R371" s="248"/>
      <c r="S371" s="248"/>
      <c r="T371" s="248"/>
      <c r="U371" s="248"/>
      <c r="V371" s="247"/>
      <c r="W371" s="248"/>
      <c r="Y371" s="248"/>
      <c r="Z371" s="194"/>
      <c r="AA371" s="249"/>
      <c r="AB371" s="250"/>
      <c r="AC371" s="251"/>
      <c r="AD371" s="252"/>
    </row>
    <row r="372" spans="17:30">
      <c r="Q372" s="248"/>
      <c r="R372" s="248"/>
      <c r="S372" s="248"/>
      <c r="T372" s="248"/>
      <c r="U372" s="248"/>
      <c r="V372" s="247"/>
      <c r="W372" s="248"/>
      <c r="Y372" s="248"/>
      <c r="Z372" s="194"/>
      <c r="AA372" s="249"/>
      <c r="AB372" s="250"/>
      <c r="AC372" s="251"/>
      <c r="AD372" s="252"/>
    </row>
    <row r="373" spans="17:30">
      <c r="Q373" s="248"/>
      <c r="R373" s="248"/>
      <c r="S373" s="248"/>
      <c r="T373" s="248"/>
      <c r="U373" s="248"/>
      <c r="V373" s="247"/>
      <c r="W373" s="248"/>
      <c r="Y373" s="248"/>
      <c r="Z373" s="194"/>
      <c r="AA373" s="249"/>
      <c r="AB373" s="250"/>
      <c r="AC373" s="251"/>
      <c r="AD373" s="252"/>
    </row>
    <row r="374" spans="17:30">
      <c r="Q374" s="248"/>
      <c r="R374" s="248"/>
      <c r="S374" s="248"/>
      <c r="T374" s="248"/>
      <c r="U374" s="248"/>
      <c r="V374" s="247"/>
      <c r="W374" s="248"/>
      <c r="Y374" s="248"/>
      <c r="Z374" s="194"/>
      <c r="AA374" s="249"/>
      <c r="AB374" s="250"/>
      <c r="AC374" s="251"/>
      <c r="AD374" s="252"/>
    </row>
    <row r="375" spans="17:30">
      <c r="Q375" s="248"/>
      <c r="R375" s="248"/>
      <c r="S375" s="248"/>
      <c r="T375" s="248"/>
      <c r="U375" s="248"/>
      <c r="V375" s="247"/>
      <c r="W375" s="248"/>
      <c r="Y375" s="248"/>
      <c r="Z375" s="194"/>
      <c r="AA375" s="249"/>
      <c r="AB375" s="250"/>
      <c r="AC375" s="251"/>
      <c r="AD375" s="252"/>
    </row>
    <row r="376" spans="17:30">
      <c r="Q376" s="248"/>
      <c r="R376" s="248"/>
      <c r="S376" s="248"/>
      <c r="T376" s="248"/>
      <c r="U376" s="248"/>
      <c r="V376" s="247"/>
      <c r="W376" s="248"/>
      <c r="Y376" s="248"/>
      <c r="Z376" s="194"/>
      <c r="AA376" s="249"/>
      <c r="AB376" s="250"/>
      <c r="AC376" s="251"/>
      <c r="AD376" s="252"/>
    </row>
    <row r="377" spans="17:30">
      <c r="Q377" s="248"/>
      <c r="R377" s="248"/>
      <c r="S377" s="248"/>
      <c r="T377" s="248"/>
      <c r="U377" s="248"/>
      <c r="V377" s="247"/>
      <c r="W377" s="248"/>
      <c r="Y377" s="248"/>
      <c r="Z377" s="194"/>
      <c r="AA377" s="249"/>
      <c r="AB377" s="250"/>
      <c r="AC377" s="251"/>
      <c r="AD377" s="252"/>
    </row>
    <row r="378" spans="17:30">
      <c r="Q378" s="248"/>
      <c r="R378" s="248"/>
      <c r="S378" s="248"/>
      <c r="T378" s="248"/>
      <c r="U378" s="248"/>
      <c r="V378" s="247"/>
      <c r="W378" s="248"/>
      <c r="Y378" s="248"/>
      <c r="Z378" s="194"/>
      <c r="AA378" s="249"/>
      <c r="AB378" s="250"/>
      <c r="AC378" s="251"/>
      <c r="AD378" s="252"/>
    </row>
    <row r="379" spans="17:30">
      <c r="Q379" s="248"/>
      <c r="R379" s="248"/>
      <c r="S379" s="248"/>
      <c r="T379" s="248"/>
      <c r="U379" s="248"/>
      <c r="V379" s="247"/>
      <c r="W379" s="248"/>
      <c r="Y379" s="248"/>
      <c r="Z379" s="194"/>
      <c r="AA379" s="249"/>
      <c r="AB379" s="250"/>
      <c r="AC379" s="251"/>
      <c r="AD379" s="252"/>
    </row>
    <row r="380" spans="17:30">
      <c r="Q380" s="248"/>
      <c r="R380" s="248"/>
      <c r="S380" s="248"/>
      <c r="T380" s="248"/>
      <c r="U380" s="248"/>
      <c r="V380" s="247"/>
      <c r="W380" s="248"/>
      <c r="Y380" s="248"/>
      <c r="Z380" s="194"/>
      <c r="AA380" s="249"/>
      <c r="AB380" s="250"/>
      <c r="AC380" s="251"/>
      <c r="AD380" s="252"/>
    </row>
    <row r="381" spans="17:30">
      <c r="Q381" s="248"/>
      <c r="R381" s="248"/>
      <c r="S381" s="248"/>
      <c r="T381" s="248"/>
      <c r="U381" s="248"/>
      <c r="V381" s="247"/>
      <c r="W381" s="248"/>
      <c r="Y381" s="248"/>
      <c r="Z381" s="194"/>
      <c r="AA381" s="249"/>
      <c r="AB381" s="250"/>
      <c r="AC381" s="251"/>
      <c r="AD381" s="252"/>
    </row>
    <row r="382" spans="17:30">
      <c r="Q382" s="248"/>
      <c r="R382" s="248"/>
      <c r="S382" s="248"/>
      <c r="T382" s="248"/>
      <c r="U382" s="248"/>
      <c r="V382" s="247"/>
      <c r="W382" s="248"/>
      <c r="Y382" s="248"/>
      <c r="Z382" s="194"/>
      <c r="AA382" s="249"/>
      <c r="AB382" s="250"/>
      <c r="AC382" s="251"/>
      <c r="AD382" s="252"/>
    </row>
    <row r="383" spans="17:30">
      <c r="Q383" s="248"/>
      <c r="R383" s="248"/>
      <c r="S383" s="248"/>
      <c r="T383" s="248"/>
      <c r="U383" s="248"/>
      <c r="V383" s="247"/>
      <c r="W383" s="248"/>
      <c r="Y383" s="248"/>
      <c r="Z383" s="194"/>
      <c r="AA383" s="249"/>
      <c r="AB383" s="250"/>
      <c r="AC383" s="251"/>
      <c r="AD383" s="252"/>
    </row>
    <row r="384" spans="17:30">
      <c r="Q384" s="248"/>
      <c r="R384" s="248"/>
      <c r="S384" s="248"/>
      <c r="T384" s="248"/>
      <c r="U384" s="248"/>
      <c r="V384" s="247"/>
      <c r="W384" s="248"/>
      <c r="Y384" s="248"/>
      <c r="Z384" s="194"/>
      <c r="AA384" s="249"/>
      <c r="AB384" s="250"/>
      <c r="AC384" s="251"/>
      <c r="AD384" s="252"/>
    </row>
    <row r="385" spans="17:30">
      <c r="Q385" s="248"/>
      <c r="R385" s="248"/>
      <c r="S385" s="248"/>
      <c r="T385" s="248"/>
      <c r="U385" s="248"/>
      <c r="V385" s="247"/>
      <c r="W385" s="248"/>
      <c r="Y385" s="248"/>
      <c r="Z385" s="194"/>
      <c r="AA385" s="249"/>
      <c r="AB385" s="250"/>
      <c r="AC385" s="251"/>
      <c r="AD385" s="252"/>
    </row>
    <row r="386" spans="17:30">
      <c r="Q386" s="248"/>
      <c r="R386" s="248"/>
      <c r="S386" s="248"/>
      <c r="T386" s="248"/>
      <c r="U386" s="248"/>
      <c r="V386" s="247"/>
      <c r="W386" s="248"/>
      <c r="Y386" s="248"/>
      <c r="Z386" s="194"/>
      <c r="AA386" s="249"/>
      <c r="AB386" s="250"/>
      <c r="AC386" s="251"/>
      <c r="AD386" s="252"/>
    </row>
    <row r="387" spans="17:30">
      <c r="Q387" s="248"/>
      <c r="R387" s="248"/>
      <c r="S387" s="248"/>
      <c r="T387" s="248"/>
      <c r="U387" s="248"/>
      <c r="V387" s="247"/>
      <c r="W387" s="248"/>
      <c r="Y387" s="248"/>
      <c r="Z387" s="194"/>
      <c r="AA387" s="249"/>
      <c r="AB387" s="250"/>
      <c r="AC387" s="251"/>
      <c r="AD387" s="252"/>
    </row>
    <row r="388" spans="17:30">
      <c r="Q388" s="248"/>
      <c r="R388" s="248"/>
      <c r="S388" s="248"/>
      <c r="T388" s="248"/>
      <c r="U388" s="248"/>
      <c r="V388" s="247"/>
      <c r="W388" s="248"/>
      <c r="Y388" s="248"/>
      <c r="Z388" s="194"/>
      <c r="AA388" s="249"/>
      <c r="AB388" s="250"/>
      <c r="AC388" s="251"/>
      <c r="AD388" s="252"/>
    </row>
    <row r="389" spans="17:30">
      <c r="Q389" s="248"/>
      <c r="R389" s="248"/>
      <c r="S389" s="248"/>
      <c r="T389" s="248"/>
      <c r="U389" s="248"/>
      <c r="V389" s="247"/>
      <c r="W389" s="248"/>
      <c r="Y389" s="248"/>
      <c r="Z389" s="194"/>
      <c r="AA389" s="249"/>
      <c r="AB389" s="250"/>
      <c r="AC389" s="251"/>
      <c r="AD389" s="252"/>
    </row>
    <row r="390" spans="17:30">
      <c r="Q390" s="248"/>
      <c r="R390" s="248"/>
      <c r="S390" s="248"/>
      <c r="T390" s="248"/>
      <c r="U390" s="248"/>
      <c r="V390" s="247"/>
      <c r="W390" s="248"/>
      <c r="Y390" s="248"/>
      <c r="Z390" s="194"/>
      <c r="AA390" s="249"/>
      <c r="AB390" s="250"/>
      <c r="AC390" s="251"/>
      <c r="AD390" s="252"/>
    </row>
    <row r="391" spans="17:30">
      <c r="Q391" s="248"/>
      <c r="R391" s="248"/>
      <c r="S391" s="248"/>
      <c r="T391" s="248"/>
      <c r="U391" s="248"/>
      <c r="V391" s="247"/>
      <c r="W391" s="248"/>
      <c r="Y391" s="248"/>
      <c r="Z391" s="194"/>
      <c r="AA391" s="249"/>
      <c r="AB391" s="250"/>
      <c r="AC391" s="251"/>
      <c r="AD391" s="252"/>
    </row>
    <row r="392" spans="17:30">
      <c r="Q392" s="248"/>
      <c r="R392" s="248"/>
      <c r="S392" s="248"/>
      <c r="T392" s="248"/>
      <c r="U392" s="248"/>
      <c r="V392" s="247"/>
      <c r="W392" s="248"/>
      <c r="Y392" s="248"/>
      <c r="Z392" s="194"/>
      <c r="AA392" s="249"/>
      <c r="AB392" s="250"/>
      <c r="AC392" s="251"/>
      <c r="AD392" s="252"/>
    </row>
    <row r="393" spans="17:30">
      <c r="Q393" s="248"/>
      <c r="R393" s="248"/>
      <c r="S393" s="248"/>
      <c r="T393" s="248"/>
      <c r="U393" s="248"/>
      <c r="V393" s="247"/>
      <c r="W393" s="248"/>
      <c r="Y393" s="248"/>
      <c r="Z393" s="194"/>
      <c r="AA393" s="249"/>
      <c r="AB393" s="250"/>
      <c r="AC393" s="251"/>
      <c r="AD393" s="252"/>
    </row>
    <row r="394" spans="17:30">
      <c r="Q394" s="248"/>
      <c r="R394" s="248"/>
      <c r="S394" s="248"/>
      <c r="T394" s="248"/>
      <c r="U394" s="248"/>
      <c r="V394" s="247"/>
      <c r="W394" s="248"/>
      <c r="Y394" s="248"/>
      <c r="Z394" s="194"/>
      <c r="AA394" s="249"/>
      <c r="AB394" s="250"/>
      <c r="AC394" s="251"/>
      <c r="AD394" s="252"/>
    </row>
    <row r="395" spans="17:30">
      <c r="Q395" s="248"/>
      <c r="R395" s="248"/>
      <c r="S395" s="248"/>
      <c r="T395" s="248"/>
      <c r="U395" s="248"/>
      <c r="V395" s="247"/>
      <c r="W395" s="248"/>
      <c r="Y395" s="248"/>
      <c r="Z395" s="194"/>
      <c r="AA395" s="249"/>
      <c r="AB395" s="250"/>
      <c r="AC395" s="251"/>
      <c r="AD395" s="252"/>
    </row>
    <row r="396" spans="17:30">
      <c r="Q396" s="248"/>
      <c r="R396" s="248"/>
      <c r="S396" s="248"/>
      <c r="T396" s="248"/>
      <c r="U396" s="248"/>
      <c r="V396" s="247"/>
      <c r="W396" s="248"/>
      <c r="Y396" s="248"/>
      <c r="Z396" s="194"/>
      <c r="AA396" s="249"/>
      <c r="AB396" s="250"/>
      <c r="AC396" s="251"/>
      <c r="AD396" s="252"/>
    </row>
    <row r="397" spans="17:30">
      <c r="Q397" s="248"/>
      <c r="R397" s="248"/>
      <c r="S397" s="248"/>
      <c r="T397" s="248"/>
      <c r="U397" s="248"/>
      <c r="V397" s="247"/>
      <c r="W397" s="248"/>
      <c r="Y397" s="248"/>
      <c r="Z397" s="194"/>
      <c r="AA397" s="249"/>
      <c r="AB397" s="250"/>
      <c r="AC397" s="251"/>
      <c r="AD397" s="252"/>
    </row>
    <row r="398" spans="17:30">
      <c r="Q398" s="248"/>
      <c r="R398" s="248"/>
      <c r="S398" s="248"/>
      <c r="T398" s="248"/>
      <c r="U398" s="248"/>
      <c r="V398" s="247"/>
      <c r="W398" s="248"/>
      <c r="Y398" s="248"/>
      <c r="Z398" s="194"/>
      <c r="AA398" s="249"/>
      <c r="AB398" s="250"/>
      <c r="AC398" s="251"/>
      <c r="AD398" s="252"/>
    </row>
    <row r="399" spans="17:30">
      <c r="Q399" s="248"/>
      <c r="R399" s="248"/>
      <c r="S399" s="248"/>
      <c r="T399" s="248"/>
      <c r="U399" s="248"/>
      <c r="V399" s="247"/>
      <c r="W399" s="248"/>
      <c r="Y399" s="248"/>
      <c r="Z399" s="194"/>
      <c r="AA399" s="249"/>
      <c r="AB399" s="250"/>
      <c r="AC399" s="251"/>
      <c r="AD399" s="252"/>
    </row>
    <row r="400" spans="17:30">
      <c r="Q400" s="248"/>
      <c r="R400" s="248"/>
      <c r="S400" s="248"/>
      <c r="T400" s="248"/>
      <c r="U400" s="248"/>
      <c r="V400" s="247"/>
      <c r="W400" s="248"/>
      <c r="Y400" s="248"/>
      <c r="Z400" s="194"/>
      <c r="AA400" s="249"/>
      <c r="AB400" s="250"/>
      <c r="AC400" s="251"/>
      <c r="AD400" s="252"/>
    </row>
    <row r="401" spans="17:30">
      <c r="Q401" s="248"/>
      <c r="R401" s="248"/>
      <c r="S401" s="248"/>
      <c r="T401" s="248"/>
      <c r="U401" s="248"/>
      <c r="V401" s="247"/>
      <c r="W401" s="248"/>
      <c r="Y401" s="248"/>
      <c r="Z401" s="194"/>
      <c r="AA401" s="249"/>
      <c r="AB401" s="250"/>
      <c r="AC401" s="251"/>
      <c r="AD401" s="252"/>
    </row>
    <row r="402" spans="17:30">
      <c r="Q402" s="248"/>
      <c r="R402" s="248"/>
      <c r="S402" s="248"/>
      <c r="T402" s="248"/>
      <c r="U402" s="248"/>
      <c r="V402" s="247"/>
      <c r="W402" s="248"/>
      <c r="Y402" s="248"/>
      <c r="Z402" s="194"/>
      <c r="AA402" s="249"/>
      <c r="AB402" s="250"/>
      <c r="AC402" s="251"/>
      <c r="AD402" s="252"/>
    </row>
    <row r="403" spans="17:30">
      <c r="Q403" s="248"/>
      <c r="R403" s="248"/>
      <c r="S403" s="248"/>
      <c r="T403" s="248"/>
      <c r="U403" s="248"/>
      <c r="V403" s="247"/>
      <c r="W403" s="248"/>
      <c r="Y403" s="248"/>
      <c r="Z403" s="194"/>
      <c r="AA403" s="249"/>
      <c r="AB403" s="250"/>
      <c r="AC403" s="251"/>
      <c r="AD403" s="252"/>
    </row>
    <row r="404" spans="17:30">
      <c r="Q404" s="248"/>
      <c r="R404" s="248"/>
      <c r="S404" s="248"/>
      <c r="T404" s="248"/>
      <c r="U404" s="248"/>
      <c r="V404" s="247"/>
      <c r="W404" s="248"/>
      <c r="Y404" s="248"/>
      <c r="Z404" s="194"/>
      <c r="AA404" s="249"/>
      <c r="AB404" s="250"/>
      <c r="AC404" s="251"/>
      <c r="AD404" s="252"/>
    </row>
    <row r="405" spans="17:30">
      <c r="Q405" s="248"/>
      <c r="R405" s="248"/>
      <c r="S405" s="248"/>
      <c r="T405" s="248"/>
      <c r="U405" s="248"/>
      <c r="V405" s="247"/>
      <c r="W405" s="248"/>
      <c r="Y405" s="248"/>
      <c r="Z405" s="194"/>
      <c r="AA405" s="249"/>
      <c r="AB405" s="250"/>
      <c r="AC405" s="251"/>
      <c r="AD405" s="252"/>
    </row>
    <row r="406" spans="17:30">
      <c r="Q406" s="248"/>
      <c r="R406" s="248"/>
      <c r="S406" s="248"/>
      <c r="T406" s="248"/>
      <c r="U406" s="248"/>
      <c r="V406" s="247"/>
      <c r="W406" s="248"/>
      <c r="Y406" s="248"/>
      <c r="Z406" s="194"/>
      <c r="AA406" s="249"/>
      <c r="AB406" s="250"/>
      <c r="AC406" s="251"/>
      <c r="AD406" s="252"/>
    </row>
    <row r="407" spans="17:30">
      <c r="Q407" s="248"/>
      <c r="R407" s="248"/>
      <c r="S407" s="248"/>
      <c r="T407" s="248"/>
      <c r="U407" s="248"/>
      <c r="V407" s="247"/>
      <c r="W407" s="248"/>
      <c r="Y407" s="248"/>
      <c r="Z407" s="194"/>
      <c r="AA407" s="249"/>
      <c r="AB407" s="250"/>
      <c r="AC407" s="251"/>
      <c r="AD407" s="252"/>
    </row>
    <row r="408" spans="17:30">
      <c r="Q408" s="248"/>
      <c r="R408" s="248"/>
      <c r="S408" s="248"/>
      <c r="T408" s="248"/>
      <c r="U408" s="248"/>
      <c r="V408" s="247"/>
      <c r="W408" s="248"/>
      <c r="Y408" s="248"/>
      <c r="Z408" s="194"/>
      <c r="AA408" s="249"/>
      <c r="AB408" s="250"/>
      <c r="AC408" s="251"/>
      <c r="AD408" s="252"/>
    </row>
    <row r="409" spans="17:30">
      <c r="Q409" s="248"/>
      <c r="R409" s="248"/>
      <c r="S409" s="248"/>
      <c r="T409" s="248"/>
      <c r="U409" s="248"/>
      <c r="V409" s="247"/>
      <c r="W409" s="248"/>
      <c r="Y409" s="248"/>
      <c r="Z409" s="194"/>
      <c r="AA409" s="249"/>
      <c r="AB409" s="250"/>
      <c r="AC409" s="251"/>
      <c r="AD409" s="252"/>
    </row>
    <row r="410" spans="17:30">
      <c r="Q410" s="248"/>
      <c r="R410" s="248"/>
      <c r="S410" s="248"/>
      <c r="T410" s="248"/>
      <c r="U410" s="248"/>
      <c r="V410" s="247"/>
      <c r="W410" s="248"/>
      <c r="Y410" s="248"/>
      <c r="Z410" s="194"/>
      <c r="AA410" s="249"/>
      <c r="AB410" s="250"/>
      <c r="AC410" s="251"/>
      <c r="AD410" s="252"/>
    </row>
    <row r="411" spans="17:30">
      <c r="Q411" s="248"/>
      <c r="R411" s="248"/>
      <c r="S411" s="248"/>
      <c r="T411" s="248"/>
      <c r="U411" s="248"/>
      <c r="V411" s="247"/>
      <c r="W411" s="248"/>
      <c r="Y411" s="248"/>
      <c r="Z411" s="194"/>
      <c r="AA411" s="249"/>
      <c r="AB411" s="250"/>
      <c r="AC411" s="251"/>
      <c r="AD411" s="252"/>
    </row>
    <row r="412" spans="17:30">
      <c r="Q412" s="248"/>
      <c r="R412" s="248"/>
      <c r="S412" s="248"/>
      <c r="T412" s="248"/>
      <c r="U412" s="248"/>
      <c r="V412" s="247"/>
      <c r="W412" s="248"/>
      <c r="Y412" s="248"/>
      <c r="Z412" s="194"/>
      <c r="AA412" s="249"/>
      <c r="AB412" s="250"/>
      <c r="AC412" s="251"/>
      <c r="AD412" s="252"/>
    </row>
    <row r="413" spans="17:30">
      <c r="Q413" s="248"/>
      <c r="R413" s="248"/>
      <c r="S413" s="248"/>
      <c r="T413" s="248"/>
      <c r="U413" s="248"/>
      <c r="V413" s="247"/>
      <c r="W413" s="248"/>
      <c r="Y413" s="248"/>
      <c r="Z413" s="194"/>
      <c r="AA413" s="249"/>
      <c r="AB413" s="250"/>
      <c r="AC413" s="251"/>
      <c r="AD413" s="252"/>
    </row>
    <row r="414" spans="17:30">
      <c r="Q414" s="248"/>
      <c r="R414" s="248"/>
      <c r="S414" s="248"/>
      <c r="T414" s="248"/>
      <c r="U414" s="248"/>
      <c r="V414" s="247"/>
      <c r="W414" s="248"/>
      <c r="Y414" s="248"/>
      <c r="Z414" s="194"/>
      <c r="AA414" s="249"/>
      <c r="AB414" s="250"/>
      <c r="AC414" s="251"/>
      <c r="AD414" s="252"/>
    </row>
    <row r="415" spans="17:30">
      <c r="Q415" s="248"/>
      <c r="R415" s="248"/>
      <c r="S415" s="248"/>
      <c r="T415" s="248"/>
      <c r="U415" s="248"/>
      <c r="V415" s="247"/>
      <c r="W415" s="248"/>
      <c r="Y415" s="248"/>
      <c r="Z415" s="194"/>
      <c r="AA415" s="249"/>
      <c r="AB415" s="250"/>
      <c r="AC415" s="251"/>
      <c r="AD415" s="252"/>
    </row>
    <row r="416" spans="17:30">
      <c r="Q416" s="248"/>
      <c r="R416" s="248"/>
      <c r="S416" s="248"/>
      <c r="T416" s="248"/>
      <c r="U416" s="248"/>
      <c r="V416" s="247"/>
      <c r="W416" s="248"/>
      <c r="Y416" s="248"/>
      <c r="Z416" s="194"/>
      <c r="AA416" s="249"/>
      <c r="AB416" s="250"/>
      <c r="AC416" s="251"/>
      <c r="AD416" s="252"/>
    </row>
    <row r="417" spans="17:30">
      <c r="Q417" s="248"/>
      <c r="R417" s="248"/>
      <c r="S417" s="248"/>
      <c r="T417" s="248"/>
      <c r="U417" s="248"/>
      <c r="V417" s="247"/>
      <c r="W417" s="248"/>
      <c r="Y417" s="248"/>
      <c r="Z417" s="194"/>
      <c r="AA417" s="249"/>
      <c r="AB417" s="250"/>
      <c r="AC417" s="251"/>
      <c r="AD417" s="252"/>
    </row>
    <row r="418" spans="17:30">
      <c r="Q418" s="248"/>
      <c r="R418" s="248"/>
      <c r="S418" s="248"/>
      <c r="T418" s="248"/>
      <c r="U418" s="248"/>
      <c r="V418" s="247"/>
      <c r="W418" s="248"/>
      <c r="Y418" s="248"/>
      <c r="Z418" s="194"/>
      <c r="AA418" s="249"/>
      <c r="AB418" s="250"/>
      <c r="AC418" s="251"/>
      <c r="AD418" s="252"/>
    </row>
    <row r="419" spans="17:30">
      <c r="Q419" s="248"/>
      <c r="R419" s="248"/>
      <c r="S419" s="248"/>
      <c r="T419" s="248"/>
      <c r="U419" s="248"/>
      <c r="V419" s="247"/>
      <c r="W419" s="248"/>
      <c r="Y419" s="248"/>
      <c r="Z419" s="194"/>
      <c r="AA419" s="249"/>
      <c r="AB419" s="250"/>
      <c r="AC419" s="251"/>
      <c r="AD419" s="252"/>
    </row>
    <row r="420" spans="17:30">
      <c r="Q420" s="248"/>
      <c r="R420" s="248"/>
      <c r="S420" s="248"/>
      <c r="T420" s="248"/>
      <c r="U420" s="248"/>
      <c r="V420" s="247"/>
      <c r="W420" s="248"/>
      <c r="Y420" s="248"/>
      <c r="Z420" s="194"/>
      <c r="AA420" s="249"/>
      <c r="AB420" s="250"/>
      <c r="AC420" s="251"/>
      <c r="AD420" s="252"/>
    </row>
    <row r="421" spans="17:30">
      <c r="Q421" s="248"/>
      <c r="R421" s="248"/>
      <c r="S421" s="248"/>
      <c r="T421" s="248"/>
      <c r="U421" s="248"/>
      <c r="V421" s="247"/>
      <c r="W421" s="248"/>
      <c r="Y421" s="248"/>
      <c r="Z421" s="194"/>
      <c r="AA421" s="249"/>
      <c r="AB421" s="250"/>
      <c r="AC421" s="251"/>
      <c r="AD421" s="252"/>
    </row>
    <row r="422" spans="17:30">
      <c r="Q422" s="248"/>
      <c r="R422" s="248"/>
      <c r="S422" s="248"/>
      <c r="T422" s="248"/>
      <c r="U422" s="248"/>
      <c r="V422" s="247"/>
      <c r="W422" s="248"/>
      <c r="Y422" s="248"/>
      <c r="Z422" s="194"/>
      <c r="AA422" s="249"/>
      <c r="AB422" s="250"/>
      <c r="AC422" s="251"/>
      <c r="AD422" s="252"/>
    </row>
    <row r="423" spans="17:30">
      <c r="Q423" s="248"/>
      <c r="R423" s="248"/>
      <c r="S423" s="248"/>
      <c r="T423" s="248"/>
      <c r="U423" s="248"/>
      <c r="V423" s="247"/>
      <c r="W423" s="248"/>
      <c r="Y423" s="248"/>
      <c r="Z423" s="194"/>
      <c r="AA423" s="249"/>
      <c r="AB423" s="250"/>
      <c r="AC423" s="251"/>
      <c r="AD423" s="252"/>
    </row>
    <row r="424" spans="17:30">
      <c r="Q424" s="248"/>
      <c r="R424" s="248"/>
      <c r="S424" s="248"/>
      <c r="T424" s="248"/>
      <c r="U424" s="248"/>
      <c r="V424" s="247"/>
      <c r="W424" s="248"/>
      <c r="Y424" s="248"/>
      <c r="Z424" s="194"/>
      <c r="AA424" s="249"/>
      <c r="AB424" s="250"/>
      <c r="AC424" s="251"/>
      <c r="AD424" s="252"/>
    </row>
    <row r="425" spans="17:30">
      <c r="Q425" s="248"/>
      <c r="R425" s="248"/>
      <c r="S425" s="248"/>
      <c r="T425" s="248"/>
      <c r="U425" s="248"/>
      <c r="V425" s="247"/>
      <c r="W425" s="248"/>
      <c r="Y425" s="248"/>
      <c r="Z425" s="194"/>
      <c r="AA425" s="249"/>
      <c r="AB425" s="250"/>
      <c r="AC425" s="251"/>
      <c r="AD425" s="252"/>
    </row>
    <row r="426" spans="17:30">
      <c r="Q426" s="248"/>
      <c r="R426" s="248"/>
      <c r="S426" s="248"/>
      <c r="T426" s="248"/>
      <c r="U426" s="248"/>
      <c r="V426" s="247"/>
      <c r="W426" s="248"/>
      <c r="Y426" s="248"/>
      <c r="Z426" s="194"/>
      <c r="AA426" s="249"/>
      <c r="AB426" s="250"/>
      <c r="AC426" s="251"/>
      <c r="AD426" s="252"/>
    </row>
    <row r="427" spans="17:30">
      <c r="Q427" s="248"/>
      <c r="R427" s="248"/>
      <c r="S427" s="248"/>
      <c r="T427" s="248"/>
      <c r="U427" s="248"/>
      <c r="V427" s="247"/>
      <c r="W427" s="248"/>
      <c r="Y427" s="248"/>
      <c r="Z427" s="194"/>
      <c r="AA427" s="249"/>
      <c r="AB427" s="250"/>
      <c r="AC427" s="251"/>
      <c r="AD427" s="252"/>
    </row>
    <row r="428" spans="17:30">
      <c r="Q428" s="248"/>
      <c r="R428" s="248"/>
      <c r="S428" s="248"/>
      <c r="T428" s="248"/>
      <c r="U428" s="248"/>
      <c r="V428" s="247"/>
      <c r="W428" s="248"/>
      <c r="Y428" s="248"/>
      <c r="Z428" s="194"/>
      <c r="AA428" s="249"/>
      <c r="AB428" s="250"/>
      <c r="AC428" s="251"/>
      <c r="AD428" s="252"/>
    </row>
    <row r="429" spans="17:30">
      <c r="Q429" s="248"/>
      <c r="R429" s="248"/>
      <c r="S429" s="248"/>
      <c r="T429" s="248"/>
      <c r="U429" s="248"/>
      <c r="V429" s="247"/>
      <c r="W429" s="248"/>
      <c r="Y429" s="248"/>
      <c r="Z429" s="194"/>
      <c r="AA429" s="249"/>
      <c r="AB429" s="250"/>
      <c r="AC429" s="251"/>
      <c r="AD429" s="252"/>
    </row>
    <row r="430" spans="17:30">
      <c r="Q430" s="248"/>
      <c r="R430" s="248"/>
      <c r="S430" s="248"/>
      <c r="T430" s="248"/>
      <c r="U430" s="248"/>
      <c r="V430" s="247"/>
      <c r="W430" s="248"/>
      <c r="Y430" s="248"/>
      <c r="Z430" s="194"/>
      <c r="AA430" s="249"/>
      <c r="AB430" s="250"/>
      <c r="AC430" s="251"/>
      <c r="AD430" s="252"/>
    </row>
    <row r="431" spans="17:30">
      <c r="Q431" s="248"/>
      <c r="R431" s="248"/>
      <c r="S431" s="248"/>
      <c r="T431" s="248"/>
      <c r="U431" s="248"/>
      <c r="V431" s="247"/>
      <c r="W431" s="248"/>
      <c r="Y431" s="248"/>
      <c r="Z431" s="194"/>
      <c r="AA431" s="249"/>
      <c r="AB431" s="250"/>
      <c r="AC431" s="251"/>
      <c r="AD431" s="252"/>
    </row>
  </sheetData>
  <mergeCells count="31">
    <mergeCell ref="A255:L255"/>
    <mergeCell ref="A246:L246"/>
    <mergeCell ref="AF5:AF15"/>
    <mergeCell ref="AE27:AE33"/>
    <mergeCell ref="AF27:AF33"/>
    <mergeCell ref="AE5:AE15"/>
    <mergeCell ref="A16:L16"/>
    <mergeCell ref="A26:L26"/>
    <mergeCell ref="A149:L149"/>
    <mergeCell ref="A137:L137"/>
    <mergeCell ref="A123:L123"/>
    <mergeCell ref="A230:L230"/>
    <mergeCell ref="A162:L162"/>
    <mergeCell ref="A184:L184"/>
    <mergeCell ref="A207:L207"/>
    <mergeCell ref="G195:I195"/>
    <mergeCell ref="A194:L194"/>
    <mergeCell ref="A175:L175"/>
    <mergeCell ref="A223:L223"/>
    <mergeCell ref="A215:L215"/>
    <mergeCell ref="A2:L2"/>
    <mergeCell ref="A114:L114"/>
    <mergeCell ref="A68:L68"/>
    <mergeCell ref="A81:L81"/>
    <mergeCell ref="A87:L87"/>
    <mergeCell ref="A94:L94"/>
    <mergeCell ref="A106:L106"/>
    <mergeCell ref="A55:L55"/>
    <mergeCell ref="A34:L34"/>
    <mergeCell ref="A45:L45"/>
    <mergeCell ref="D3:I3"/>
  </mergeCells>
  <hyperlinks>
    <hyperlink ref="E82" r:id="rId1" display="javascript:void(0)" xr:uid="{6208709C-BF4C-4A1D-AE56-E36962FA2CD5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058F-0E1E-4F96-87A7-3348D8CAEBCD}">
  <dimension ref="A1:AO278"/>
  <sheetViews>
    <sheetView topLeftCell="B1" zoomScale="70" zoomScaleNormal="70" workbookViewId="0">
      <pane xSplit="20" ySplit="3" topLeftCell="AE4" activePane="bottomRight" state="frozen"/>
      <selection activeCell="H139" sqref="H139"/>
      <selection pane="topRight" activeCell="H139" sqref="H139"/>
      <selection pane="bottomLeft" activeCell="H139" sqref="H139"/>
      <selection pane="bottomRight" activeCell="O22" sqref="O22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24.88671875" style="604" customWidth="1"/>
    <col min="8" max="8" width="23.109375" style="262" customWidth="1"/>
    <col min="9" max="9" width="6.6640625" style="261" customWidth="1"/>
    <col min="10" max="12" width="5.109375" style="261" customWidth="1"/>
    <col min="13" max="13" width="4.6640625" style="263" hidden="1" customWidth="1"/>
    <col min="14" max="14" width="7.5546875" style="265" hidden="1" customWidth="1"/>
    <col min="15" max="15" width="22.33203125" style="263" customWidth="1"/>
    <col min="16" max="16" width="20" style="263" customWidth="1"/>
    <col min="17" max="17" width="27.109375" style="266" customWidth="1"/>
    <col min="18" max="18" width="13.33203125" style="266" customWidth="1"/>
    <col min="19" max="19" width="14" style="266" customWidth="1"/>
    <col min="20" max="20" width="13.5546875" style="263" customWidth="1"/>
    <col min="21" max="22" width="0.109375" style="263" customWidth="1"/>
    <col min="23" max="23" width="14.33203125" style="264" customWidth="1"/>
    <col min="24" max="24" width="15.6640625" style="268" customWidth="1"/>
    <col min="25" max="25" width="12.6640625" style="268" customWidth="1"/>
    <col min="26" max="26" width="14" style="268" customWidth="1"/>
    <col min="27" max="27" width="15.6640625" style="264" customWidth="1"/>
    <col min="28" max="28" width="14.44140625" style="268" customWidth="1"/>
    <col min="29" max="29" width="19.44140625" style="268" customWidth="1"/>
    <col min="30" max="30" width="15.5546875" style="269" customWidth="1"/>
    <col min="31" max="31" width="27" style="270" customWidth="1"/>
    <col min="32" max="32" width="18.6640625" style="271" customWidth="1"/>
    <col min="33" max="33" width="16.6640625" style="272" customWidth="1"/>
    <col min="34" max="34" width="15.109375" style="273" customWidth="1"/>
    <col min="35" max="35" width="20.44140625" style="274" hidden="1" customWidth="1"/>
    <col min="36" max="36" width="20.6640625" style="274" hidden="1" customWidth="1"/>
    <col min="37" max="37" width="22" style="274" hidden="1" customWidth="1"/>
    <col min="38" max="38" width="26.109375" style="269" hidden="1" customWidth="1"/>
    <col min="39" max="39" width="34.33203125" style="196" hidden="1" customWidth="1"/>
    <col min="40" max="40" width="18.88671875" style="196" bestFit="1" customWidth="1"/>
    <col min="41" max="41" width="15" style="196" bestFit="1" customWidth="1"/>
    <col min="42" max="16384" width="9.109375" style="196"/>
  </cols>
  <sheetData>
    <row r="1" spans="1:41" s="687" customFormat="1" ht="15.75" customHeight="1">
      <c r="B1" s="3407" t="s">
        <v>7099</v>
      </c>
      <c r="C1" s="3407"/>
      <c r="D1" s="3407"/>
      <c r="E1" s="3407"/>
      <c r="F1" s="3407"/>
      <c r="G1" s="3407"/>
      <c r="H1" s="3407"/>
      <c r="I1" s="3407"/>
      <c r="J1" s="3407"/>
      <c r="K1" s="3407"/>
      <c r="L1" s="3407"/>
      <c r="M1" s="3407"/>
      <c r="N1" s="3407"/>
      <c r="O1" s="3407"/>
      <c r="P1" s="3407"/>
      <c r="Q1" s="3407"/>
      <c r="R1" s="3407"/>
      <c r="S1" s="3407"/>
      <c r="T1" s="3407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  <c r="AN1" s="688"/>
      <c r="AO1" s="688"/>
    </row>
    <row r="2" spans="1:41" ht="18">
      <c r="A2" s="193"/>
      <c r="B2" s="197"/>
      <c r="C2" s="198"/>
      <c r="D2" s="2609" t="s">
        <v>7330</v>
      </c>
      <c r="F2" s="599"/>
      <c r="G2" s="455" t="s">
        <v>6910</v>
      </c>
      <c r="H2" s="2612" t="s">
        <v>6911</v>
      </c>
      <c r="I2" s="2606"/>
      <c r="J2" s="2607"/>
      <c r="K2" s="2606"/>
      <c r="L2" s="2606"/>
      <c r="M2" s="2608"/>
      <c r="N2" s="2609"/>
      <c r="O2" s="2609"/>
      <c r="P2" s="2609"/>
      <c r="Q2" s="2610"/>
      <c r="R2" s="2611"/>
      <c r="S2" s="2611"/>
      <c r="T2" s="202"/>
      <c r="U2" s="203"/>
      <c r="V2" s="2354"/>
      <c r="W2" s="202"/>
      <c r="X2" s="198"/>
      <c r="Y2" s="198"/>
      <c r="Z2" s="198"/>
      <c r="AA2" s="199"/>
      <c r="AB2" s="199"/>
      <c r="AC2" s="199"/>
      <c r="AD2" s="199"/>
      <c r="AE2" s="205"/>
      <c r="AF2" s="199"/>
      <c r="AG2" s="199"/>
      <c r="AH2" s="206"/>
      <c r="AI2" s="207"/>
      <c r="AJ2" s="207"/>
      <c r="AK2" s="207"/>
      <c r="AL2" s="194"/>
      <c r="AM2" s="195"/>
      <c r="AN2" s="195"/>
    </row>
    <row r="3" spans="1:41" s="226" customFormat="1" ht="62.25" customHeight="1">
      <c r="A3" s="208" t="s">
        <v>174</v>
      </c>
      <c r="B3" s="209" t="s">
        <v>2</v>
      </c>
      <c r="C3" s="210" t="s">
        <v>3571</v>
      </c>
      <c r="D3" s="214" t="s">
        <v>7506</v>
      </c>
      <c r="E3" s="456" t="s">
        <v>175</v>
      </c>
      <c r="F3" s="600" t="s">
        <v>176</v>
      </c>
      <c r="G3" s="2972" t="s">
        <v>7307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215" t="s">
        <v>186</v>
      </c>
      <c r="R3" s="2366" t="s">
        <v>5941</v>
      </c>
      <c r="S3" s="210" t="s">
        <v>4398</v>
      </c>
      <c r="T3" s="210" t="s">
        <v>8097</v>
      </c>
      <c r="U3" s="211" t="s">
        <v>3572</v>
      </c>
      <c r="V3" s="2355"/>
      <c r="W3" s="212" t="s">
        <v>1291</v>
      </c>
      <c r="X3" s="217" t="s">
        <v>190</v>
      </c>
      <c r="Y3" s="217" t="s">
        <v>191</v>
      </c>
      <c r="Z3" s="218" t="s">
        <v>3574</v>
      </c>
      <c r="AA3" s="218" t="s">
        <v>1313</v>
      </c>
      <c r="AB3" s="219" t="s">
        <v>194</v>
      </c>
      <c r="AC3" s="219" t="s">
        <v>195</v>
      </c>
      <c r="AD3" s="220" t="s">
        <v>196</v>
      </c>
      <c r="AE3" s="221" t="s">
        <v>197</v>
      </c>
      <c r="AF3" s="218" t="s">
        <v>198</v>
      </c>
      <c r="AG3" s="219" t="s">
        <v>199</v>
      </c>
      <c r="AH3" s="222" t="s">
        <v>200</v>
      </c>
      <c r="AI3" s="223" t="s">
        <v>3575</v>
      </c>
      <c r="AJ3" s="223" t="s">
        <v>3576</v>
      </c>
      <c r="AK3" s="223" t="s">
        <v>3577</v>
      </c>
      <c r="AL3" s="224" t="s">
        <v>204</v>
      </c>
      <c r="AM3" s="225" t="s">
        <v>205</v>
      </c>
      <c r="AN3" s="225"/>
    </row>
    <row r="4" spans="1:41">
      <c r="B4" s="3405" t="s">
        <v>7126</v>
      </c>
      <c r="C4" s="3312"/>
      <c r="D4" s="3312"/>
      <c r="E4" s="3312"/>
      <c r="F4" s="3312"/>
      <c r="G4" s="3406"/>
      <c r="H4" s="3312"/>
      <c r="I4" s="3312"/>
      <c r="J4" s="3312"/>
      <c r="K4" s="3312"/>
      <c r="L4" s="3312"/>
      <c r="M4" s="3312"/>
      <c r="N4" s="346"/>
      <c r="O4" s="346"/>
      <c r="P4" s="346"/>
      <c r="Q4" s="346"/>
      <c r="R4" s="346"/>
      <c r="S4" s="346"/>
      <c r="T4" s="346"/>
      <c r="U4" s="346"/>
      <c r="V4" s="346"/>
      <c r="W4" s="590"/>
      <c r="X4" s="2022"/>
      <c r="Y4" s="590"/>
      <c r="Z4" s="357"/>
      <c r="AA4" s="357"/>
      <c r="AB4" s="357"/>
      <c r="AC4" s="590"/>
      <c r="AD4" s="358"/>
      <c r="AE4" s="358"/>
      <c r="AF4" s="1231"/>
      <c r="AG4" s="1231"/>
      <c r="AH4" s="1231"/>
      <c r="AI4" s="241"/>
      <c r="AJ4" s="241"/>
      <c r="AK4" s="241"/>
      <c r="AL4" s="194"/>
      <c r="AM4" s="195"/>
      <c r="AN4" s="195"/>
      <c r="AO4" s="1087"/>
    </row>
    <row r="5" spans="1:41" ht="31.2">
      <c r="B5" s="253">
        <v>1</v>
      </c>
      <c r="C5" s="244"/>
      <c r="D5" s="2262" t="s">
        <v>7331</v>
      </c>
      <c r="E5" s="2975">
        <v>107599803031</v>
      </c>
      <c r="F5" s="990" t="s">
        <v>7313</v>
      </c>
      <c r="G5" s="228" t="s">
        <v>7210</v>
      </c>
      <c r="H5" s="1511" t="s">
        <v>7896</v>
      </c>
      <c r="I5" s="230"/>
      <c r="J5" s="230"/>
      <c r="K5" s="230">
        <v>1</v>
      </c>
      <c r="L5" s="230"/>
      <c r="M5" s="228"/>
      <c r="N5" s="257"/>
      <c r="O5" s="2974" t="s">
        <v>7308</v>
      </c>
      <c r="P5" s="228" t="s">
        <v>7309</v>
      </c>
      <c r="Q5" s="1226" t="s">
        <v>7310</v>
      </c>
      <c r="R5" s="2382" t="s">
        <v>7468</v>
      </c>
      <c r="S5" s="254" t="s">
        <v>287</v>
      </c>
      <c r="T5" s="254"/>
      <c r="U5" s="228"/>
      <c r="V5" s="2357"/>
      <c r="W5" s="256"/>
      <c r="X5" s="2978">
        <v>882000</v>
      </c>
      <c r="Y5" s="373">
        <v>1512000</v>
      </c>
      <c r="Z5" s="248"/>
      <c r="AA5" s="2978">
        <v>500000</v>
      </c>
      <c r="AB5" s="248"/>
      <c r="AC5" s="340">
        <f>W5+X5+Y5+AB5+Z5+AA5</f>
        <v>2894000</v>
      </c>
      <c r="AD5" s="347">
        <f>AC5</f>
        <v>2894000</v>
      </c>
      <c r="AE5" s="249" t="s">
        <v>1596</v>
      </c>
      <c r="AF5" s="3010">
        <f>(J5*4590000+K5*4690000)*1.08+(300000*1.08)+300000*1.08</f>
        <v>5713200</v>
      </c>
      <c r="AG5" s="342">
        <f>AF5+AD5</f>
        <v>8607200</v>
      </c>
      <c r="AH5" s="252"/>
      <c r="AI5" s="241"/>
      <c r="AJ5" s="241"/>
      <c r="AK5" s="241"/>
      <c r="AL5" s="194"/>
      <c r="AM5" s="195"/>
      <c r="AN5" s="195"/>
    </row>
    <row r="6" spans="1:41">
      <c r="B6" s="3405" t="s">
        <v>7528</v>
      </c>
      <c r="C6" s="3312"/>
      <c r="D6" s="3312"/>
      <c r="E6" s="3312"/>
      <c r="F6" s="3312"/>
      <c r="G6" s="3406"/>
      <c r="H6" s="3312"/>
      <c r="I6" s="3312"/>
      <c r="J6" s="3312"/>
      <c r="K6" s="3312"/>
      <c r="L6" s="3312"/>
      <c r="M6" s="3312"/>
      <c r="N6" s="346"/>
      <c r="O6" s="346"/>
      <c r="P6" s="346"/>
      <c r="Q6" s="346"/>
      <c r="R6" s="346"/>
      <c r="S6" s="346"/>
      <c r="T6" s="346"/>
      <c r="U6" s="346"/>
      <c r="V6" s="346"/>
      <c r="W6" s="590"/>
      <c r="X6" s="2022"/>
      <c r="Y6" s="590"/>
      <c r="Z6" s="357"/>
      <c r="AA6" s="357"/>
      <c r="AB6" s="357"/>
      <c r="AC6" s="590"/>
      <c r="AD6" s="358"/>
      <c r="AE6" s="358"/>
      <c r="AF6" s="1231"/>
      <c r="AG6" s="1231"/>
      <c r="AH6" s="1231"/>
      <c r="AI6" s="241"/>
      <c r="AJ6" s="241"/>
      <c r="AK6" s="241"/>
      <c r="AL6" s="194"/>
      <c r="AM6" s="195"/>
      <c r="AN6" s="195"/>
      <c r="AO6" s="1087"/>
    </row>
    <row r="7" spans="1:41" ht="31.2">
      <c r="B7" s="253">
        <f>+B5+1</f>
        <v>2</v>
      </c>
      <c r="C7" s="244"/>
      <c r="D7" s="990" t="s">
        <v>7955</v>
      </c>
      <c r="E7" s="2975">
        <v>107719203100</v>
      </c>
      <c r="F7" s="990" t="s">
        <v>7696</v>
      </c>
      <c r="G7" s="228" t="s">
        <v>7209</v>
      </c>
      <c r="H7" s="391" t="s">
        <v>8034</v>
      </c>
      <c r="I7" s="230" t="s">
        <v>206</v>
      </c>
      <c r="J7" s="230"/>
      <c r="K7" s="230">
        <v>1</v>
      </c>
      <c r="L7" s="230"/>
      <c r="M7" s="228"/>
      <c r="N7" s="257"/>
      <c r="O7" s="2374" t="s">
        <v>7526</v>
      </c>
      <c r="P7" s="228" t="s">
        <v>7505</v>
      </c>
      <c r="Q7" s="1226" t="s">
        <v>7722</v>
      </c>
      <c r="R7" s="2382" t="s">
        <v>8080</v>
      </c>
      <c r="S7" s="254" t="s">
        <v>287</v>
      </c>
      <c r="T7" s="254"/>
      <c r="U7" s="228"/>
      <c r="V7" s="2357"/>
      <c r="W7" s="256"/>
      <c r="X7" s="2978">
        <v>3910000</v>
      </c>
      <c r="Y7" s="373">
        <v>1500000</v>
      </c>
      <c r="Z7" s="248"/>
      <c r="AA7" s="3165">
        <v>500000</v>
      </c>
      <c r="AB7" s="3165">
        <v>592808</v>
      </c>
      <c r="AC7" s="340">
        <f>W7+X7+Y7+AB7+Z7+AA7</f>
        <v>6502808</v>
      </c>
      <c r="AD7" s="347">
        <f>AC7</f>
        <v>6502808</v>
      </c>
      <c r="AE7" s="249"/>
      <c r="AF7" s="3010">
        <f>(J7*4590000+K7*4690000)*1.08</f>
        <v>5065200</v>
      </c>
      <c r="AG7" s="342">
        <f>AF7+AD7</f>
        <v>11568008</v>
      </c>
      <c r="AH7" s="252"/>
      <c r="AI7" s="241"/>
      <c r="AJ7" s="241"/>
      <c r="AK7" s="241"/>
      <c r="AL7" s="194"/>
      <c r="AM7" s="195"/>
      <c r="AN7" s="195"/>
    </row>
    <row r="8" spans="1:41">
      <c r="B8" s="3405" t="s">
        <v>7960</v>
      </c>
      <c r="C8" s="3312"/>
      <c r="D8" s="3312"/>
      <c r="E8" s="3312"/>
      <c r="F8" s="3312"/>
      <c r="G8" s="3406"/>
      <c r="H8" s="3312"/>
      <c r="I8" s="3312"/>
      <c r="J8" s="3312"/>
      <c r="K8" s="3312"/>
      <c r="L8" s="3312"/>
      <c r="M8" s="3312"/>
      <c r="N8" s="346"/>
      <c r="O8" s="346"/>
      <c r="P8" s="346"/>
      <c r="Q8" s="346"/>
      <c r="R8" s="346"/>
      <c r="S8" s="346"/>
      <c r="T8" s="346"/>
      <c r="U8" s="346"/>
      <c r="V8" s="346"/>
      <c r="W8" s="590"/>
      <c r="X8" s="2022"/>
      <c r="Y8" s="590"/>
      <c r="Z8" s="357"/>
      <c r="AA8" s="357"/>
      <c r="AB8" s="357"/>
      <c r="AC8" s="590"/>
      <c r="AD8" s="358"/>
      <c r="AE8" s="358"/>
      <c r="AF8" s="1231">
        <f>SUM(AF5:AF7)</f>
        <v>10778400</v>
      </c>
      <c r="AG8" s="1231">
        <f>SUM(AG5:AG7)</f>
        <v>20175208</v>
      </c>
      <c r="AH8" s="1231"/>
      <c r="AI8" s="241"/>
      <c r="AJ8" s="241"/>
      <c r="AK8" s="241"/>
      <c r="AL8" s="194"/>
      <c r="AM8" s="195"/>
      <c r="AN8" s="195"/>
      <c r="AO8" s="1087"/>
    </row>
    <row r="9" spans="1:41" ht="46.8">
      <c r="B9" s="253">
        <v>1</v>
      </c>
      <c r="C9" s="244"/>
      <c r="D9" s="2262" t="s">
        <v>8113</v>
      </c>
      <c r="E9" s="466">
        <v>107728894450</v>
      </c>
      <c r="F9" s="640" t="s">
        <v>7844</v>
      </c>
      <c r="G9" s="2973" t="s">
        <v>7605</v>
      </c>
      <c r="H9" s="391" t="s">
        <v>8134</v>
      </c>
      <c r="I9" s="230" t="s">
        <v>206</v>
      </c>
      <c r="J9" s="230"/>
      <c r="K9" s="230">
        <v>1</v>
      </c>
      <c r="L9" s="230"/>
      <c r="M9" s="228"/>
      <c r="N9" s="257"/>
      <c r="O9" s="230">
        <v>264622030</v>
      </c>
      <c r="P9" s="228" t="s">
        <v>7878</v>
      </c>
      <c r="Q9" s="1226" t="s">
        <v>7918</v>
      </c>
      <c r="R9" s="2380" t="s">
        <v>8188</v>
      </c>
      <c r="S9" s="254" t="s">
        <v>287</v>
      </c>
      <c r="T9" s="254" t="s">
        <v>8103</v>
      </c>
      <c r="U9" s="1472"/>
      <c r="V9" s="1472"/>
      <c r="W9" s="256"/>
      <c r="X9" s="2978">
        <v>3482000</v>
      </c>
      <c r="Y9" s="373">
        <v>1500000</v>
      </c>
      <c r="Z9" s="248"/>
      <c r="AA9" s="2978">
        <v>500000</v>
      </c>
      <c r="AB9" s="248"/>
      <c r="AC9" s="340">
        <f>W9+X9+Y9+AB9+Z9+AA9</f>
        <v>5482000</v>
      </c>
      <c r="AD9" s="347">
        <f>AC9</f>
        <v>5482000</v>
      </c>
      <c r="AE9" s="249"/>
      <c r="AF9" s="3010">
        <f>(J9*4590000+K9*4690000)*1.08</f>
        <v>5065200</v>
      </c>
      <c r="AG9" s="342">
        <f>AF9+AD9</f>
        <v>10547200</v>
      </c>
      <c r="AH9" s="252"/>
      <c r="AI9" s="241"/>
      <c r="AJ9" s="241"/>
      <c r="AK9" s="241"/>
      <c r="AL9" s="194"/>
      <c r="AM9" s="195"/>
      <c r="AN9" s="195"/>
    </row>
    <row r="10" spans="1:41">
      <c r="B10" s="253">
        <f>+B9+1</f>
        <v>2</v>
      </c>
      <c r="C10" s="244"/>
      <c r="D10" s="654"/>
      <c r="E10" s="466"/>
      <c r="F10" s="612"/>
      <c r="G10" s="2973"/>
      <c r="H10" s="391"/>
      <c r="I10" s="230"/>
      <c r="J10" s="230"/>
      <c r="K10" s="230"/>
      <c r="L10" s="230"/>
      <c r="M10" s="228"/>
      <c r="N10" s="257"/>
      <c r="O10" s="228"/>
      <c r="P10" s="228"/>
      <c r="Q10" s="258"/>
      <c r="R10" s="2381"/>
      <c r="S10" s="2381"/>
      <c r="T10" s="254"/>
      <c r="U10" s="228"/>
      <c r="V10" s="2357"/>
      <c r="W10" s="256"/>
      <c r="X10" s="248"/>
      <c r="Y10" s="248"/>
      <c r="Z10" s="248"/>
      <c r="AA10" s="247"/>
      <c r="AB10" s="248"/>
      <c r="AC10" s="248"/>
      <c r="AD10" s="194"/>
      <c r="AE10" s="249"/>
      <c r="AF10" s="250"/>
      <c r="AG10" s="251"/>
      <c r="AH10" s="252"/>
      <c r="AI10" s="241"/>
      <c r="AJ10" s="241"/>
      <c r="AK10" s="241"/>
      <c r="AL10" s="194"/>
      <c r="AM10" s="195"/>
      <c r="AN10" s="195"/>
    </row>
    <row r="11" spans="1:41">
      <c r="B11" s="253">
        <f t="shared" ref="B11:B51" si="0">+B10+1</f>
        <v>3</v>
      </c>
      <c r="C11" s="244"/>
      <c r="D11" s="654"/>
      <c r="E11" s="466"/>
      <c r="F11" s="612"/>
      <c r="G11" s="2973"/>
      <c r="H11" s="391"/>
      <c r="I11" s="230"/>
      <c r="J11" s="230"/>
      <c r="K11" s="230"/>
      <c r="L11" s="230"/>
      <c r="M11" s="228"/>
      <c r="N11" s="257"/>
      <c r="O11" s="228"/>
      <c r="P11" s="228"/>
      <c r="Q11" s="258"/>
      <c r="R11" s="2381"/>
      <c r="S11" s="2381"/>
      <c r="T11" s="254"/>
      <c r="U11" s="228"/>
      <c r="V11" s="2357"/>
      <c r="W11" s="256"/>
      <c r="X11" s="248"/>
      <c r="Y11" s="248"/>
      <c r="Z11" s="248"/>
      <c r="AA11" s="247"/>
      <c r="AB11" s="248"/>
      <c r="AC11" s="248"/>
      <c r="AD11" s="194"/>
      <c r="AE11" s="249"/>
      <c r="AF11" s="250"/>
      <c r="AG11" s="251"/>
      <c r="AH11" s="252"/>
      <c r="AI11" s="241"/>
      <c r="AJ11" s="241"/>
      <c r="AK11" s="241"/>
      <c r="AL11" s="194"/>
      <c r="AM11" s="195"/>
      <c r="AN11" s="195"/>
    </row>
    <row r="12" spans="1:41">
      <c r="B12" s="253">
        <f t="shared" si="0"/>
        <v>4</v>
      </c>
      <c r="C12" s="244"/>
      <c r="D12" s="654"/>
      <c r="E12" s="466"/>
      <c r="F12" s="612"/>
      <c r="G12" s="2973"/>
      <c r="H12" s="230"/>
      <c r="I12" s="230"/>
      <c r="J12" s="230"/>
      <c r="K12" s="230"/>
      <c r="L12" s="230"/>
      <c r="M12" s="228"/>
      <c r="N12" s="257"/>
      <c r="O12" s="228"/>
      <c r="P12" s="228"/>
      <c r="Q12" s="258"/>
      <c r="R12" s="2381"/>
      <c r="S12" s="2381"/>
      <c r="T12" s="254"/>
      <c r="U12" s="228"/>
      <c r="V12" s="2357"/>
      <c r="W12" s="256"/>
      <c r="X12" s="248"/>
      <c r="Y12" s="248"/>
      <c r="Z12" s="248"/>
      <c r="AA12" s="247"/>
      <c r="AB12" s="248"/>
      <c r="AC12" s="248"/>
      <c r="AD12" s="194"/>
      <c r="AE12" s="249"/>
      <c r="AF12" s="250"/>
      <c r="AG12" s="251"/>
      <c r="AH12" s="252"/>
      <c r="AI12" s="241"/>
      <c r="AJ12" s="241"/>
      <c r="AK12" s="241"/>
      <c r="AL12" s="194"/>
      <c r="AM12" s="195"/>
      <c r="AN12" s="195"/>
    </row>
    <row r="13" spans="1:41">
      <c r="B13" s="253">
        <f t="shared" si="0"/>
        <v>5</v>
      </c>
      <c r="C13" s="244"/>
      <c r="D13" s="654"/>
      <c r="E13" s="466"/>
      <c r="F13" s="612"/>
      <c r="G13" s="2973"/>
      <c r="H13" s="230"/>
      <c r="I13" s="230"/>
      <c r="J13" s="230"/>
      <c r="K13" s="230"/>
      <c r="L13" s="230"/>
      <c r="M13" s="228"/>
      <c r="N13" s="257"/>
      <c r="O13" s="228"/>
      <c r="P13" s="228"/>
      <c r="Q13" s="258"/>
      <c r="R13" s="2381"/>
      <c r="S13" s="2381"/>
      <c r="T13" s="254"/>
      <c r="U13" s="228"/>
      <c r="V13" s="2357"/>
      <c r="W13" s="256"/>
      <c r="X13" s="248"/>
      <c r="Y13" s="248"/>
      <c r="Z13" s="248"/>
      <c r="AA13" s="247"/>
      <c r="AB13" s="248"/>
      <c r="AC13" s="248"/>
      <c r="AD13" s="194"/>
      <c r="AE13" s="249"/>
      <c r="AF13" s="250"/>
      <c r="AG13" s="251"/>
      <c r="AH13" s="252"/>
      <c r="AI13" s="241"/>
      <c r="AJ13" s="241"/>
      <c r="AK13" s="241"/>
      <c r="AL13" s="194"/>
      <c r="AM13" s="195"/>
      <c r="AN13" s="195"/>
    </row>
    <row r="14" spans="1:41">
      <c r="B14" s="253">
        <f t="shared" si="0"/>
        <v>6</v>
      </c>
      <c r="C14" s="244"/>
      <c r="D14" s="654"/>
      <c r="E14" s="466"/>
      <c r="F14" s="612"/>
      <c r="G14" s="2973"/>
      <c r="H14" s="230"/>
      <c r="I14" s="230"/>
      <c r="J14" s="230"/>
      <c r="K14" s="230"/>
      <c r="L14" s="230"/>
      <c r="M14" s="228"/>
      <c r="N14" s="257"/>
      <c r="O14" s="228"/>
      <c r="P14" s="228"/>
      <c r="Q14" s="258"/>
      <c r="R14" s="2381"/>
      <c r="S14" s="2381"/>
      <c r="T14" s="3073"/>
      <c r="U14" s="228"/>
      <c r="V14" s="2357"/>
      <c r="W14" s="256"/>
      <c r="X14" s="248"/>
      <c r="Y14" s="248"/>
      <c r="Z14" s="248"/>
      <c r="AA14" s="247"/>
      <c r="AB14" s="248"/>
      <c r="AC14" s="248"/>
      <c r="AD14" s="194"/>
      <c r="AE14" s="249"/>
      <c r="AF14" s="250"/>
      <c r="AG14" s="251"/>
      <c r="AH14" s="252"/>
      <c r="AI14" s="241"/>
      <c r="AJ14" s="241"/>
      <c r="AK14" s="241"/>
      <c r="AL14" s="194"/>
      <c r="AM14" s="195"/>
      <c r="AN14" s="195"/>
    </row>
    <row r="15" spans="1:41">
      <c r="B15" s="253">
        <f t="shared" si="0"/>
        <v>7</v>
      </c>
      <c r="C15" s="244"/>
      <c r="D15" s="654"/>
      <c r="E15" s="466"/>
      <c r="F15" s="612"/>
      <c r="G15" s="2973"/>
      <c r="H15" s="230"/>
      <c r="I15" s="230"/>
      <c r="J15" s="230"/>
      <c r="K15" s="230"/>
      <c r="L15" s="230"/>
      <c r="M15" s="228"/>
      <c r="N15" s="257"/>
      <c r="O15" s="228"/>
      <c r="P15" s="228"/>
      <c r="Q15" s="258"/>
      <c r="R15" s="2381"/>
      <c r="S15" s="2381"/>
      <c r="T15" s="254"/>
      <c r="U15" s="228"/>
      <c r="V15" s="2357"/>
      <c r="W15" s="256"/>
      <c r="X15" s="248"/>
      <c r="Y15" s="248"/>
      <c r="Z15" s="248"/>
      <c r="AA15" s="247"/>
      <c r="AB15" s="248"/>
      <c r="AC15" s="248"/>
      <c r="AD15" s="194"/>
      <c r="AE15" s="249"/>
      <c r="AF15" s="250"/>
      <c r="AG15" s="251"/>
      <c r="AH15" s="252"/>
      <c r="AI15" s="241"/>
      <c r="AJ15" s="241"/>
      <c r="AK15" s="241"/>
      <c r="AL15" s="194"/>
      <c r="AM15" s="195"/>
      <c r="AN15" s="195"/>
    </row>
    <row r="16" spans="1:41">
      <c r="B16" s="253">
        <f t="shared" si="0"/>
        <v>8</v>
      </c>
      <c r="C16" s="244"/>
      <c r="D16" s="654"/>
      <c r="E16" s="466"/>
      <c r="F16" s="612"/>
      <c r="G16" s="2973"/>
      <c r="H16" s="230"/>
      <c r="I16" s="230"/>
      <c r="J16" s="230"/>
      <c r="K16" s="230"/>
      <c r="L16" s="230"/>
      <c r="M16" s="228"/>
      <c r="N16" s="257"/>
      <c r="O16" s="228"/>
      <c r="P16" s="228"/>
      <c r="Q16" s="258"/>
      <c r="R16" s="2381"/>
      <c r="S16" s="2381"/>
      <c r="T16" s="254"/>
      <c r="U16" s="228"/>
      <c r="V16" s="2357"/>
      <c r="W16" s="256"/>
      <c r="X16" s="248"/>
      <c r="Y16" s="248"/>
      <c r="Z16" s="248"/>
      <c r="AA16" s="247"/>
      <c r="AB16" s="248"/>
      <c r="AC16" s="248"/>
      <c r="AD16" s="194"/>
      <c r="AE16" s="249"/>
      <c r="AF16" s="250"/>
      <c r="AG16" s="251"/>
      <c r="AH16" s="252"/>
      <c r="AI16" s="241"/>
      <c r="AJ16" s="241"/>
      <c r="AK16" s="241"/>
      <c r="AL16" s="194"/>
      <c r="AM16" s="195"/>
      <c r="AN16" s="195"/>
    </row>
    <row r="17" spans="2:40">
      <c r="B17" s="253">
        <f t="shared" si="0"/>
        <v>9</v>
      </c>
      <c r="C17" s="244"/>
      <c r="D17" s="654"/>
      <c r="E17" s="466"/>
      <c r="F17" s="612"/>
      <c r="G17" s="2973"/>
      <c r="H17" s="230"/>
      <c r="I17" s="230"/>
      <c r="J17" s="230"/>
      <c r="K17" s="230"/>
      <c r="L17" s="230"/>
      <c r="M17" s="228"/>
      <c r="N17" s="257"/>
      <c r="O17" s="228"/>
      <c r="P17" s="228"/>
      <c r="Q17" s="258"/>
      <c r="R17" s="2381"/>
      <c r="S17" s="2381"/>
      <c r="T17" s="254"/>
      <c r="U17" s="228"/>
      <c r="V17" s="2357"/>
      <c r="W17" s="256"/>
      <c r="X17" s="248"/>
      <c r="Y17" s="248"/>
      <c r="Z17" s="248"/>
      <c r="AA17" s="247"/>
      <c r="AB17" s="248"/>
      <c r="AC17" s="248"/>
      <c r="AD17" s="194"/>
      <c r="AE17" s="249"/>
      <c r="AF17" s="250"/>
      <c r="AG17" s="251"/>
      <c r="AH17" s="252"/>
      <c r="AI17" s="241"/>
      <c r="AJ17" s="241"/>
      <c r="AK17" s="241"/>
      <c r="AL17" s="194"/>
      <c r="AM17" s="195"/>
      <c r="AN17" s="195"/>
    </row>
    <row r="18" spans="2:40">
      <c r="B18" s="253">
        <f t="shared" si="0"/>
        <v>10</v>
      </c>
      <c r="C18" s="244"/>
      <c r="D18" s="654"/>
      <c r="E18" s="466"/>
      <c r="F18" s="612"/>
      <c r="G18" s="2973"/>
      <c r="H18" s="230"/>
      <c r="I18" s="230"/>
      <c r="J18" s="230"/>
      <c r="K18" s="230"/>
      <c r="L18" s="230"/>
      <c r="M18" s="228"/>
      <c r="N18" s="257"/>
      <c r="O18" s="228"/>
      <c r="P18" s="228"/>
      <c r="Q18" s="258"/>
      <c r="R18" s="2381"/>
      <c r="S18" s="2381"/>
      <c r="T18" s="254"/>
      <c r="U18" s="228"/>
      <c r="V18" s="2357"/>
      <c r="W18" s="256"/>
      <c r="X18" s="248"/>
      <c r="Y18" s="248"/>
      <c r="Z18" s="248"/>
      <c r="AA18" s="247"/>
      <c r="AB18" s="248"/>
      <c r="AC18" s="248"/>
      <c r="AD18" s="194"/>
      <c r="AE18" s="249"/>
      <c r="AF18" s="250"/>
      <c r="AG18" s="251"/>
      <c r="AH18" s="252"/>
      <c r="AI18" s="241"/>
      <c r="AJ18" s="241"/>
      <c r="AK18" s="241"/>
      <c r="AL18" s="194"/>
      <c r="AM18" s="195"/>
      <c r="AN18" s="195"/>
    </row>
    <row r="19" spans="2:40">
      <c r="B19" s="253">
        <f t="shared" si="0"/>
        <v>11</v>
      </c>
      <c r="C19" s="244"/>
      <c r="D19" s="654"/>
      <c r="E19" s="466"/>
      <c r="F19" s="612"/>
      <c r="G19" s="2973"/>
      <c r="H19" s="230"/>
      <c r="I19" s="230"/>
      <c r="J19" s="230"/>
      <c r="K19" s="230"/>
      <c r="L19" s="230"/>
      <c r="M19" s="228"/>
      <c r="N19" s="257"/>
      <c r="O19" s="228"/>
      <c r="P19" s="228"/>
      <c r="Q19" s="258"/>
      <c r="R19" s="2381"/>
      <c r="S19" s="2381"/>
      <c r="T19" s="254"/>
      <c r="U19" s="228"/>
      <c r="V19" s="2357"/>
      <c r="W19" s="256"/>
      <c r="X19" s="248"/>
      <c r="Y19" s="248"/>
      <c r="Z19" s="248"/>
      <c r="AA19" s="247"/>
      <c r="AB19" s="248"/>
      <c r="AC19" s="248"/>
      <c r="AD19" s="194"/>
      <c r="AE19" s="249"/>
      <c r="AF19" s="250"/>
      <c r="AG19" s="251"/>
      <c r="AH19" s="252"/>
      <c r="AI19" s="241"/>
      <c r="AJ19" s="241"/>
      <c r="AK19" s="241"/>
      <c r="AL19" s="194"/>
      <c r="AM19" s="195"/>
      <c r="AN19" s="195"/>
    </row>
    <row r="20" spans="2:40">
      <c r="B20" s="253">
        <f t="shared" si="0"/>
        <v>12</v>
      </c>
      <c r="C20" s="244"/>
      <c r="D20" s="654"/>
      <c r="E20" s="466"/>
      <c r="F20" s="612"/>
      <c r="G20" s="2973"/>
      <c r="H20" s="230"/>
      <c r="I20" s="230"/>
      <c r="J20" s="230"/>
      <c r="K20" s="230"/>
      <c r="L20" s="230"/>
      <c r="M20" s="228"/>
      <c r="N20" s="257"/>
      <c r="O20" s="228"/>
      <c r="P20" s="228"/>
      <c r="Q20" s="258"/>
      <c r="R20" s="2381"/>
      <c r="S20" s="2381"/>
      <c r="T20" s="254"/>
      <c r="U20" s="228"/>
      <c r="V20" s="2357"/>
      <c r="W20" s="256"/>
      <c r="X20" s="248"/>
      <c r="Y20" s="248"/>
      <c r="Z20" s="248"/>
      <c r="AA20" s="247"/>
      <c r="AB20" s="248"/>
      <c r="AC20" s="248"/>
      <c r="AD20" s="194"/>
      <c r="AE20" s="249"/>
      <c r="AF20" s="250"/>
      <c r="AG20" s="251"/>
      <c r="AH20" s="252"/>
      <c r="AI20" s="241"/>
      <c r="AJ20" s="241"/>
      <c r="AK20" s="241"/>
      <c r="AL20" s="194"/>
      <c r="AM20" s="195"/>
      <c r="AN20" s="195"/>
    </row>
    <row r="21" spans="2:40">
      <c r="B21" s="253">
        <f t="shared" si="0"/>
        <v>13</v>
      </c>
      <c r="C21" s="244"/>
      <c r="D21" s="654"/>
      <c r="E21" s="466"/>
      <c r="F21" s="612"/>
      <c r="G21" s="2973"/>
      <c r="H21" s="230"/>
      <c r="I21" s="230"/>
      <c r="J21" s="230"/>
      <c r="K21" s="230"/>
      <c r="L21" s="230"/>
      <c r="M21" s="228"/>
      <c r="N21" s="257"/>
      <c r="O21" s="228"/>
      <c r="P21" s="228"/>
      <c r="Q21" s="258"/>
      <c r="R21" s="2381"/>
      <c r="S21" s="2381"/>
      <c r="T21" s="254"/>
      <c r="U21" s="228"/>
      <c r="V21" s="2357"/>
      <c r="W21" s="256"/>
      <c r="X21" s="248"/>
      <c r="Y21" s="248"/>
      <c r="Z21" s="248"/>
      <c r="AA21" s="247"/>
      <c r="AB21" s="248"/>
      <c r="AC21" s="248"/>
      <c r="AD21" s="194"/>
      <c r="AE21" s="249"/>
      <c r="AF21" s="250"/>
      <c r="AG21" s="251"/>
      <c r="AH21" s="252"/>
      <c r="AI21" s="241"/>
      <c r="AJ21" s="241"/>
      <c r="AK21" s="241"/>
      <c r="AL21" s="194"/>
      <c r="AM21" s="195"/>
      <c r="AN21" s="195"/>
    </row>
    <row r="22" spans="2:40">
      <c r="B22" s="253">
        <f t="shared" si="0"/>
        <v>14</v>
      </c>
      <c r="C22" s="244"/>
      <c r="D22" s="654"/>
      <c r="E22" s="466"/>
      <c r="F22" s="612"/>
      <c r="G22" s="2973"/>
      <c r="H22" s="230"/>
      <c r="I22" s="230"/>
      <c r="J22" s="230"/>
      <c r="K22" s="230"/>
      <c r="L22" s="230"/>
      <c r="M22" s="228"/>
      <c r="N22" s="257"/>
      <c r="O22" s="228"/>
      <c r="P22" s="228"/>
      <c r="Q22" s="258"/>
      <c r="R22" s="2381"/>
      <c r="S22" s="2381"/>
      <c r="T22" s="254"/>
      <c r="U22" s="228"/>
      <c r="V22" s="2357"/>
      <c r="W22" s="256"/>
      <c r="X22" s="248"/>
      <c r="Y22" s="248"/>
      <c r="Z22" s="248"/>
      <c r="AA22" s="247"/>
      <c r="AB22" s="248"/>
      <c r="AC22" s="248"/>
      <c r="AD22" s="194"/>
      <c r="AE22" s="249"/>
      <c r="AF22" s="250"/>
      <c r="AG22" s="251"/>
      <c r="AH22" s="252"/>
      <c r="AI22" s="241"/>
      <c r="AJ22" s="241"/>
      <c r="AK22" s="241"/>
      <c r="AL22" s="194"/>
      <c r="AM22" s="195"/>
      <c r="AN22" s="195"/>
    </row>
    <row r="23" spans="2:40">
      <c r="B23" s="253">
        <f t="shared" si="0"/>
        <v>15</v>
      </c>
      <c r="C23" s="244"/>
      <c r="D23" s="654"/>
      <c r="E23" s="466"/>
      <c r="F23" s="612"/>
      <c r="H23" s="230"/>
      <c r="I23" s="230"/>
      <c r="J23" s="230"/>
      <c r="K23" s="230"/>
      <c r="L23" s="230"/>
      <c r="M23" s="228"/>
      <c r="N23" s="257"/>
      <c r="O23" s="228"/>
      <c r="P23" s="228"/>
      <c r="Q23" s="258"/>
      <c r="R23" s="2381"/>
      <c r="S23" s="2381"/>
      <c r="T23" s="254"/>
      <c r="U23" s="228"/>
      <c r="V23" s="2357"/>
      <c r="W23" s="256"/>
      <c r="X23" s="248"/>
      <c r="Y23" s="248"/>
      <c r="Z23" s="248"/>
      <c r="AA23" s="247"/>
      <c r="AB23" s="248"/>
      <c r="AC23" s="248"/>
      <c r="AD23" s="194"/>
      <c r="AE23" s="249"/>
      <c r="AF23" s="250"/>
      <c r="AG23" s="251"/>
      <c r="AH23" s="252"/>
      <c r="AI23" s="241"/>
      <c r="AJ23" s="241"/>
      <c r="AK23" s="241"/>
      <c r="AL23" s="194"/>
      <c r="AM23" s="195"/>
      <c r="AN23" s="195"/>
    </row>
    <row r="24" spans="2:40">
      <c r="B24" s="253">
        <f t="shared" si="0"/>
        <v>16</v>
      </c>
      <c r="C24" s="244"/>
      <c r="D24" s="654"/>
      <c r="E24" s="466"/>
      <c r="F24" s="612"/>
      <c r="G24" s="2973"/>
      <c r="H24" s="230"/>
      <c r="I24" s="230"/>
      <c r="J24" s="230"/>
      <c r="K24" s="230"/>
      <c r="L24" s="230"/>
      <c r="M24" s="228"/>
      <c r="N24" s="257"/>
      <c r="O24" s="228"/>
      <c r="P24" s="228"/>
      <c r="Q24" s="258"/>
      <c r="R24" s="2381"/>
      <c r="S24" s="2381"/>
      <c r="T24" s="254"/>
      <c r="U24" s="228"/>
      <c r="V24" s="2357"/>
      <c r="W24" s="256"/>
      <c r="X24" s="248"/>
      <c r="Y24" s="248"/>
      <c r="Z24" s="248"/>
      <c r="AA24" s="247"/>
      <c r="AB24" s="248"/>
      <c r="AC24" s="248"/>
      <c r="AD24" s="194"/>
      <c r="AE24" s="249"/>
      <c r="AF24" s="250"/>
      <c r="AG24" s="251"/>
      <c r="AH24" s="252"/>
      <c r="AI24" s="241"/>
      <c r="AJ24" s="241"/>
      <c r="AK24" s="241"/>
      <c r="AL24" s="194"/>
      <c r="AM24" s="195"/>
      <c r="AN24" s="195"/>
    </row>
    <row r="25" spans="2:40">
      <c r="B25" s="253">
        <f t="shared" si="0"/>
        <v>17</v>
      </c>
      <c r="C25" s="244"/>
      <c r="D25" s="654"/>
      <c r="E25" s="466"/>
      <c r="F25" s="612"/>
      <c r="G25" s="2973"/>
      <c r="H25" s="230"/>
      <c r="I25" s="230"/>
      <c r="J25" s="230"/>
      <c r="K25" s="230"/>
      <c r="L25" s="230"/>
      <c r="M25" s="228"/>
      <c r="N25" s="257"/>
      <c r="O25" s="228"/>
      <c r="P25" s="228"/>
      <c r="Q25" s="258"/>
      <c r="R25" s="2381"/>
      <c r="S25" s="2381"/>
      <c r="T25" s="254"/>
      <c r="U25" s="228"/>
      <c r="V25" s="2357"/>
      <c r="W25" s="256"/>
      <c r="X25" s="248"/>
      <c r="Y25" s="248"/>
      <c r="Z25" s="248"/>
      <c r="AA25" s="247"/>
      <c r="AB25" s="248"/>
      <c r="AC25" s="248"/>
      <c r="AD25" s="194"/>
      <c r="AE25" s="249"/>
      <c r="AF25" s="250"/>
      <c r="AG25" s="251"/>
      <c r="AH25" s="252"/>
      <c r="AI25" s="241"/>
      <c r="AJ25" s="241"/>
      <c r="AK25" s="241"/>
      <c r="AL25" s="194"/>
      <c r="AM25" s="195"/>
      <c r="AN25" s="195"/>
    </row>
    <row r="26" spans="2:40">
      <c r="B26" s="253">
        <f t="shared" si="0"/>
        <v>18</v>
      </c>
      <c r="C26" s="244"/>
      <c r="D26" s="654"/>
      <c r="E26" s="466"/>
      <c r="F26" s="612"/>
      <c r="G26" s="2973"/>
      <c r="H26" s="230"/>
      <c r="I26" s="230"/>
      <c r="J26" s="230"/>
      <c r="K26" s="230"/>
      <c r="L26" s="230"/>
      <c r="M26" s="228"/>
      <c r="N26" s="257"/>
      <c r="O26" s="228"/>
      <c r="P26" s="228"/>
      <c r="Q26" s="258"/>
      <c r="R26" s="2381"/>
      <c r="S26" s="2381"/>
      <c r="T26" s="254"/>
      <c r="U26" s="228"/>
      <c r="V26" s="2357"/>
      <c r="W26" s="256"/>
      <c r="X26" s="248"/>
      <c r="Y26" s="248"/>
      <c r="Z26" s="248"/>
      <c r="AA26" s="247"/>
      <c r="AB26" s="248"/>
      <c r="AC26" s="248"/>
      <c r="AD26" s="194"/>
      <c r="AE26" s="249"/>
      <c r="AF26" s="250"/>
      <c r="AG26" s="251"/>
      <c r="AH26" s="252"/>
      <c r="AI26" s="241"/>
      <c r="AJ26" s="241"/>
      <c r="AK26" s="241"/>
      <c r="AL26" s="194"/>
      <c r="AM26" s="195"/>
      <c r="AN26" s="195"/>
    </row>
    <row r="27" spans="2:40">
      <c r="B27" s="253">
        <f t="shared" si="0"/>
        <v>19</v>
      </c>
      <c r="C27" s="244"/>
      <c r="D27" s="654"/>
      <c r="E27" s="466"/>
      <c r="F27" s="612"/>
      <c r="G27" s="2973"/>
      <c r="H27" s="230"/>
      <c r="I27" s="230"/>
      <c r="J27" s="230"/>
      <c r="K27" s="230"/>
      <c r="L27" s="230"/>
      <c r="M27" s="228"/>
      <c r="N27" s="257"/>
      <c r="O27" s="228"/>
      <c r="P27" s="228"/>
      <c r="Q27" s="258"/>
      <c r="R27" s="2381"/>
      <c r="S27" s="2381"/>
      <c r="T27" s="254"/>
      <c r="U27" s="228"/>
      <c r="V27" s="2357"/>
      <c r="W27" s="256"/>
      <c r="X27" s="248"/>
      <c r="Y27" s="248"/>
      <c r="Z27" s="248"/>
      <c r="AA27" s="247"/>
      <c r="AB27" s="248"/>
      <c r="AC27" s="248"/>
      <c r="AD27" s="194"/>
      <c r="AE27" s="249"/>
      <c r="AF27" s="250"/>
      <c r="AG27" s="251"/>
      <c r="AH27" s="252"/>
      <c r="AI27" s="241"/>
      <c r="AJ27" s="241"/>
      <c r="AK27" s="241"/>
      <c r="AL27" s="194"/>
      <c r="AM27" s="195"/>
      <c r="AN27" s="195"/>
    </row>
    <row r="28" spans="2:40">
      <c r="B28" s="253">
        <f t="shared" si="0"/>
        <v>20</v>
      </c>
      <c r="C28" s="244"/>
      <c r="D28" s="654"/>
      <c r="E28" s="466"/>
      <c r="F28" s="612"/>
      <c r="G28" s="2973"/>
      <c r="H28" s="230"/>
      <c r="I28" s="230"/>
      <c r="J28" s="230"/>
      <c r="K28" s="230"/>
      <c r="L28" s="230"/>
      <c r="M28" s="228"/>
      <c r="N28" s="257"/>
      <c r="O28" s="228"/>
      <c r="P28" s="228"/>
      <c r="Q28" s="258"/>
      <c r="R28" s="2381"/>
      <c r="S28" s="2381"/>
      <c r="T28" s="254"/>
      <c r="U28" s="228"/>
      <c r="V28" s="2357"/>
      <c r="W28" s="256"/>
      <c r="X28" s="248"/>
      <c r="Y28" s="248"/>
      <c r="Z28" s="248"/>
      <c r="AA28" s="247"/>
      <c r="AB28" s="248"/>
      <c r="AC28" s="248"/>
      <c r="AD28" s="194"/>
      <c r="AE28" s="249"/>
      <c r="AF28" s="250"/>
      <c r="AG28" s="251"/>
      <c r="AH28" s="252"/>
      <c r="AI28" s="241"/>
      <c r="AJ28" s="241"/>
      <c r="AK28" s="241"/>
      <c r="AL28" s="194"/>
      <c r="AM28" s="195"/>
      <c r="AN28" s="195"/>
    </row>
    <row r="29" spans="2:40">
      <c r="B29" s="253">
        <f t="shared" si="0"/>
        <v>21</v>
      </c>
      <c r="C29" s="244"/>
      <c r="D29" s="654"/>
      <c r="E29" s="466"/>
      <c r="F29" s="612"/>
      <c r="G29" s="2973"/>
      <c r="H29" s="230"/>
      <c r="I29" s="230"/>
      <c r="J29" s="230"/>
      <c r="K29" s="230"/>
      <c r="L29" s="230"/>
      <c r="M29" s="228"/>
      <c r="N29" s="257"/>
      <c r="O29" s="228"/>
      <c r="P29" s="228"/>
      <c r="Q29" s="258"/>
      <c r="R29" s="2381"/>
      <c r="S29" s="2381"/>
      <c r="T29" s="254"/>
      <c r="U29" s="228"/>
      <c r="V29" s="2357"/>
      <c r="W29" s="256"/>
      <c r="X29" s="248"/>
      <c r="Y29" s="248"/>
      <c r="Z29" s="248"/>
      <c r="AA29" s="247"/>
      <c r="AB29" s="248"/>
      <c r="AC29" s="248"/>
      <c r="AD29" s="194"/>
      <c r="AE29" s="249"/>
      <c r="AF29" s="250"/>
      <c r="AG29" s="251"/>
      <c r="AH29" s="252"/>
      <c r="AI29" s="241"/>
      <c r="AJ29" s="241"/>
      <c r="AK29" s="241"/>
      <c r="AL29" s="194"/>
      <c r="AM29" s="195"/>
      <c r="AN29" s="195"/>
    </row>
    <row r="30" spans="2:40">
      <c r="B30" s="253">
        <f t="shared" si="0"/>
        <v>22</v>
      </c>
      <c r="C30" s="244"/>
      <c r="D30" s="654"/>
      <c r="E30" s="466"/>
      <c r="F30" s="612"/>
      <c r="G30" s="2973"/>
      <c r="H30" s="230"/>
      <c r="I30" s="230"/>
      <c r="J30" s="230"/>
      <c r="K30" s="230"/>
      <c r="L30" s="230"/>
      <c r="M30" s="228"/>
      <c r="N30" s="257"/>
      <c r="O30" s="228"/>
      <c r="P30" s="228"/>
      <c r="Q30" s="258"/>
      <c r="R30" s="2381"/>
      <c r="S30" s="2381"/>
      <c r="T30" s="254"/>
      <c r="U30" s="228"/>
      <c r="V30" s="2357"/>
      <c r="W30" s="256"/>
      <c r="X30" s="248"/>
      <c r="Y30" s="248"/>
      <c r="Z30" s="248"/>
      <c r="AA30" s="247"/>
      <c r="AB30" s="248"/>
      <c r="AC30" s="248"/>
      <c r="AD30" s="194"/>
      <c r="AE30" s="249"/>
      <c r="AF30" s="250"/>
      <c r="AG30" s="251"/>
      <c r="AH30" s="252"/>
      <c r="AI30" s="241"/>
      <c r="AJ30" s="241"/>
      <c r="AK30" s="241"/>
      <c r="AL30" s="194"/>
      <c r="AM30" s="195"/>
      <c r="AN30" s="195"/>
    </row>
    <row r="31" spans="2:40">
      <c r="B31" s="253">
        <f t="shared" si="0"/>
        <v>23</v>
      </c>
      <c r="C31" s="244"/>
      <c r="D31" s="654"/>
      <c r="E31" s="466"/>
      <c r="F31" s="612"/>
      <c r="G31" s="2973"/>
      <c r="H31" s="230"/>
      <c r="I31" s="230"/>
      <c r="J31" s="230"/>
      <c r="K31" s="230"/>
      <c r="L31" s="230"/>
      <c r="M31" s="228"/>
      <c r="N31" s="257"/>
      <c r="O31" s="228"/>
      <c r="P31" s="228"/>
      <c r="Q31" s="258"/>
      <c r="R31" s="2381"/>
      <c r="S31" s="2381"/>
      <c r="T31" s="254"/>
      <c r="U31" s="228"/>
      <c r="V31" s="2357"/>
      <c r="W31" s="256"/>
      <c r="X31" s="248"/>
      <c r="Y31" s="248"/>
      <c r="Z31" s="248"/>
      <c r="AA31" s="247"/>
      <c r="AB31" s="248"/>
      <c r="AC31" s="248"/>
      <c r="AD31" s="194"/>
      <c r="AE31" s="249"/>
      <c r="AF31" s="250"/>
      <c r="AG31" s="251"/>
      <c r="AH31" s="252"/>
      <c r="AI31" s="241"/>
      <c r="AJ31" s="241"/>
      <c r="AK31" s="241"/>
      <c r="AL31" s="194"/>
      <c r="AM31" s="195"/>
      <c r="AN31" s="195"/>
    </row>
    <row r="32" spans="2:40">
      <c r="B32" s="253">
        <f t="shared" si="0"/>
        <v>24</v>
      </c>
      <c r="C32" s="244"/>
      <c r="D32" s="654"/>
      <c r="E32" s="466"/>
      <c r="F32" s="612"/>
      <c r="G32" s="2973"/>
      <c r="H32" s="230"/>
      <c r="I32" s="230"/>
      <c r="J32" s="230"/>
      <c r="K32" s="230"/>
      <c r="L32" s="230"/>
      <c r="M32" s="228"/>
      <c r="N32" s="257"/>
      <c r="O32" s="228"/>
      <c r="P32" s="228"/>
      <c r="Q32" s="258"/>
      <c r="R32" s="2381"/>
      <c r="S32" s="2381"/>
      <c r="T32" s="254"/>
      <c r="U32" s="228"/>
      <c r="V32" s="2357"/>
      <c r="W32" s="256"/>
      <c r="X32" s="248"/>
      <c r="Y32" s="248"/>
      <c r="Z32" s="248"/>
      <c r="AA32" s="247"/>
      <c r="AB32" s="248"/>
      <c r="AC32" s="248"/>
      <c r="AD32" s="194"/>
      <c r="AE32" s="249"/>
      <c r="AF32" s="250"/>
      <c r="AG32" s="251"/>
      <c r="AH32" s="252"/>
      <c r="AI32" s="241"/>
      <c r="AJ32" s="241"/>
      <c r="AK32" s="241"/>
      <c r="AL32" s="194"/>
      <c r="AM32" s="195"/>
      <c r="AN32" s="195"/>
    </row>
    <row r="33" spans="2:40">
      <c r="B33" s="253">
        <f t="shared" si="0"/>
        <v>25</v>
      </c>
      <c r="C33" s="244"/>
      <c r="D33" s="654"/>
      <c r="E33" s="466"/>
      <c r="F33" s="612"/>
      <c r="G33" s="2973"/>
      <c r="H33" s="230"/>
      <c r="I33" s="230"/>
      <c r="J33" s="230"/>
      <c r="K33" s="230"/>
      <c r="L33" s="230"/>
      <c r="M33" s="228"/>
      <c r="N33" s="257"/>
      <c r="O33" s="228"/>
      <c r="P33" s="228"/>
      <c r="Q33" s="258"/>
      <c r="R33" s="2381"/>
      <c r="S33" s="2381"/>
      <c r="T33" s="254"/>
      <c r="U33" s="228"/>
      <c r="V33" s="2357"/>
      <c r="W33" s="256"/>
      <c r="X33" s="248"/>
      <c r="Y33" s="248"/>
      <c r="Z33" s="248"/>
      <c r="AA33" s="247"/>
      <c r="AB33" s="248"/>
      <c r="AC33" s="248"/>
      <c r="AD33" s="194"/>
      <c r="AE33" s="249"/>
      <c r="AF33" s="250"/>
      <c r="AG33" s="251"/>
      <c r="AH33" s="252"/>
      <c r="AI33" s="241"/>
      <c r="AJ33" s="241"/>
      <c r="AK33" s="241"/>
      <c r="AL33" s="194"/>
      <c r="AM33" s="195"/>
      <c r="AN33" s="195"/>
    </row>
    <row r="34" spans="2:40">
      <c r="B34" s="253">
        <f t="shared" si="0"/>
        <v>26</v>
      </c>
      <c r="C34" s="244"/>
      <c r="D34" s="654"/>
      <c r="E34" s="466"/>
      <c r="F34" s="612"/>
      <c r="G34" s="2973"/>
      <c r="H34" s="230"/>
      <c r="I34" s="230"/>
      <c r="J34" s="230"/>
      <c r="K34" s="230"/>
      <c r="L34" s="230"/>
      <c r="M34" s="228"/>
      <c r="N34" s="257"/>
      <c r="O34" s="228"/>
      <c r="P34" s="228"/>
      <c r="Q34" s="258"/>
      <c r="R34" s="2381"/>
      <c r="S34" s="2381"/>
      <c r="T34" s="254"/>
      <c r="U34" s="228"/>
      <c r="V34" s="2357"/>
      <c r="W34" s="256"/>
      <c r="X34" s="248"/>
      <c r="Y34" s="248"/>
      <c r="Z34" s="248"/>
      <c r="AA34" s="247"/>
      <c r="AB34" s="248"/>
      <c r="AC34" s="248"/>
      <c r="AD34" s="194"/>
      <c r="AE34" s="249"/>
      <c r="AF34" s="250"/>
      <c r="AG34" s="251"/>
      <c r="AH34" s="252"/>
      <c r="AI34" s="241"/>
      <c r="AJ34" s="241"/>
      <c r="AK34" s="241"/>
      <c r="AL34" s="194"/>
      <c r="AM34" s="195"/>
      <c r="AN34" s="195"/>
    </row>
    <row r="35" spans="2:40">
      <c r="B35" s="253">
        <f t="shared" si="0"/>
        <v>27</v>
      </c>
      <c r="C35" s="244"/>
      <c r="D35" s="654"/>
      <c r="E35" s="466"/>
      <c r="F35" s="612"/>
      <c r="G35" s="2973"/>
      <c r="H35" s="230"/>
      <c r="I35" s="230"/>
      <c r="J35" s="230"/>
      <c r="K35" s="230"/>
      <c r="L35" s="230"/>
      <c r="M35" s="228"/>
      <c r="N35" s="257"/>
      <c r="O35" s="228"/>
      <c r="P35" s="228"/>
      <c r="Q35" s="258"/>
      <c r="R35" s="2381"/>
      <c r="S35" s="2381"/>
      <c r="T35" s="254"/>
      <c r="U35" s="228"/>
      <c r="V35" s="2357"/>
      <c r="W35" s="256"/>
      <c r="X35" s="248"/>
      <c r="Y35" s="248"/>
      <c r="Z35" s="248"/>
      <c r="AA35" s="247"/>
      <c r="AB35" s="248"/>
      <c r="AC35" s="248"/>
      <c r="AD35" s="194"/>
      <c r="AE35" s="249"/>
      <c r="AF35" s="250"/>
      <c r="AG35" s="251"/>
      <c r="AH35" s="252"/>
      <c r="AI35" s="241"/>
      <c r="AJ35" s="241"/>
      <c r="AK35" s="241"/>
      <c r="AL35" s="194"/>
      <c r="AM35" s="195"/>
      <c r="AN35" s="195"/>
    </row>
    <row r="36" spans="2:40">
      <c r="B36" s="253">
        <f t="shared" si="0"/>
        <v>28</v>
      </c>
      <c r="C36" s="244"/>
      <c r="D36" s="654"/>
      <c r="E36" s="466"/>
      <c r="F36" s="612"/>
      <c r="G36" s="2973"/>
      <c r="H36" s="230"/>
      <c r="I36" s="230"/>
      <c r="J36" s="230"/>
      <c r="K36" s="230"/>
      <c r="L36" s="230"/>
      <c r="M36" s="228"/>
      <c r="N36" s="257"/>
      <c r="O36" s="228"/>
      <c r="P36" s="228"/>
      <c r="Q36" s="258"/>
      <c r="R36" s="2381"/>
      <c r="S36" s="2381"/>
      <c r="T36" s="254"/>
      <c r="U36" s="228"/>
      <c r="V36" s="2357"/>
      <c r="W36" s="256"/>
      <c r="X36" s="248"/>
      <c r="Y36" s="248"/>
      <c r="Z36" s="248"/>
      <c r="AA36" s="247"/>
      <c r="AB36" s="248"/>
      <c r="AC36" s="248"/>
      <c r="AD36" s="194"/>
      <c r="AE36" s="249"/>
      <c r="AF36" s="250"/>
      <c r="AG36" s="251"/>
      <c r="AH36" s="252"/>
      <c r="AI36" s="241"/>
      <c r="AJ36" s="241"/>
      <c r="AK36" s="241"/>
      <c r="AL36" s="194"/>
      <c r="AM36" s="195"/>
      <c r="AN36" s="195"/>
    </row>
    <row r="37" spans="2:40">
      <c r="B37" s="253">
        <f t="shared" si="0"/>
        <v>29</v>
      </c>
      <c r="C37" s="244"/>
      <c r="D37" s="654"/>
      <c r="E37" s="466"/>
      <c r="F37" s="612"/>
      <c r="G37" s="2973"/>
      <c r="H37" s="230"/>
      <c r="I37" s="230"/>
      <c r="J37" s="230"/>
      <c r="K37" s="230"/>
      <c r="L37" s="230"/>
      <c r="M37" s="228"/>
      <c r="N37" s="257"/>
      <c r="O37" s="228"/>
      <c r="P37" s="228"/>
      <c r="Q37" s="258"/>
      <c r="R37" s="2381"/>
      <c r="S37" s="2381"/>
      <c r="T37" s="254"/>
      <c r="U37" s="228"/>
      <c r="V37" s="2357"/>
      <c r="W37" s="256"/>
      <c r="X37" s="248"/>
      <c r="Y37" s="248"/>
      <c r="Z37" s="248"/>
      <c r="AA37" s="247"/>
      <c r="AB37" s="248"/>
      <c r="AC37" s="248"/>
      <c r="AD37" s="194"/>
      <c r="AE37" s="249"/>
      <c r="AF37" s="250"/>
      <c r="AG37" s="251"/>
      <c r="AH37" s="252"/>
      <c r="AI37" s="241"/>
      <c r="AJ37" s="241"/>
      <c r="AK37" s="241"/>
      <c r="AL37" s="194"/>
      <c r="AM37" s="195"/>
      <c r="AN37" s="195"/>
    </row>
    <row r="38" spans="2:40">
      <c r="B38" s="253">
        <f t="shared" si="0"/>
        <v>30</v>
      </c>
      <c r="C38" s="244"/>
      <c r="D38" s="654"/>
      <c r="E38" s="466"/>
      <c r="F38" s="612"/>
      <c r="G38" s="2973"/>
      <c r="H38" s="230"/>
      <c r="I38" s="230"/>
      <c r="J38" s="230"/>
      <c r="K38" s="230"/>
      <c r="L38" s="230"/>
      <c r="M38" s="228"/>
      <c r="N38" s="257"/>
      <c r="O38" s="228"/>
      <c r="P38" s="228"/>
      <c r="Q38" s="258"/>
      <c r="R38" s="2381"/>
      <c r="S38" s="2381"/>
      <c r="T38" s="254"/>
      <c r="U38" s="228"/>
      <c r="V38" s="2357"/>
      <c r="W38" s="256"/>
      <c r="X38" s="248"/>
      <c r="Y38" s="248"/>
      <c r="Z38" s="248"/>
      <c r="AA38" s="247"/>
      <c r="AB38" s="248"/>
      <c r="AC38" s="248"/>
      <c r="AD38" s="194"/>
      <c r="AE38" s="249"/>
      <c r="AF38" s="250"/>
      <c r="AG38" s="251"/>
      <c r="AH38" s="252"/>
      <c r="AI38" s="241"/>
      <c r="AJ38" s="241"/>
      <c r="AK38" s="241"/>
      <c r="AL38" s="194"/>
      <c r="AM38" s="195"/>
      <c r="AN38" s="195"/>
    </row>
    <row r="39" spans="2:40">
      <c r="B39" s="253">
        <f t="shared" si="0"/>
        <v>31</v>
      </c>
      <c r="C39" s="244"/>
      <c r="D39" s="654"/>
      <c r="E39" s="466"/>
      <c r="F39" s="612"/>
      <c r="G39" s="2973"/>
      <c r="H39" s="230"/>
      <c r="I39" s="230"/>
      <c r="J39" s="230"/>
      <c r="K39" s="230"/>
      <c r="L39" s="230"/>
      <c r="M39" s="228"/>
      <c r="N39" s="257"/>
      <c r="O39" s="228"/>
      <c r="P39" s="228"/>
      <c r="Q39" s="258"/>
      <c r="R39" s="2381"/>
      <c r="S39" s="2381"/>
      <c r="T39" s="254"/>
      <c r="U39" s="228"/>
      <c r="V39" s="2357"/>
      <c r="W39" s="256"/>
      <c r="X39" s="248"/>
      <c r="Y39" s="248"/>
      <c r="Z39" s="248"/>
      <c r="AA39" s="247"/>
      <c r="AB39" s="248"/>
      <c r="AC39" s="248"/>
      <c r="AD39" s="194"/>
      <c r="AE39" s="249"/>
      <c r="AF39" s="250"/>
      <c r="AG39" s="251"/>
      <c r="AH39" s="252"/>
      <c r="AI39" s="241"/>
      <c r="AJ39" s="241"/>
      <c r="AK39" s="241"/>
      <c r="AL39" s="194"/>
      <c r="AM39" s="195"/>
      <c r="AN39" s="195"/>
    </row>
    <row r="40" spans="2:40">
      <c r="B40" s="253">
        <f t="shared" si="0"/>
        <v>32</v>
      </c>
      <c r="C40" s="244"/>
      <c r="D40" s="654"/>
      <c r="E40" s="466"/>
      <c r="F40" s="612"/>
      <c r="G40" s="2973"/>
      <c r="H40" s="230"/>
      <c r="I40" s="230"/>
      <c r="J40" s="230"/>
      <c r="K40" s="230"/>
      <c r="L40" s="230"/>
      <c r="M40" s="228"/>
      <c r="N40" s="257"/>
      <c r="O40" s="228"/>
      <c r="P40" s="228"/>
      <c r="Q40" s="258"/>
      <c r="R40" s="2381"/>
      <c r="S40" s="2381"/>
      <c r="T40" s="254"/>
      <c r="U40" s="228"/>
      <c r="V40" s="2357"/>
      <c r="W40" s="256"/>
      <c r="X40" s="248"/>
      <c r="Y40" s="248"/>
      <c r="Z40" s="248"/>
      <c r="AA40" s="247"/>
      <c r="AB40" s="248"/>
      <c r="AC40" s="248"/>
      <c r="AD40" s="194"/>
      <c r="AE40" s="249"/>
      <c r="AF40" s="250"/>
      <c r="AG40" s="251"/>
      <c r="AH40" s="252"/>
      <c r="AI40" s="241"/>
      <c r="AJ40" s="241"/>
      <c r="AK40" s="241"/>
      <c r="AL40" s="194"/>
      <c r="AM40" s="195"/>
      <c r="AN40" s="195"/>
    </row>
    <row r="41" spans="2:40">
      <c r="B41" s="253">
        <f t="shared" si="0"/>
        <v>33</v>
      </c>
      <c r="C41" s="244"/>
      <c r="D41" s="654"/>
      <c r="E41" s="466"/>
      <c r="F41" s="612"/>
      <c r="G41" s="2973"/>
      <c r="H41" s="230"/>
      <c r="I41" s="230"/>
      <c r="J41" s="230"/>
      <c r="K41" s="230"/>
      <c r="L41" s="230"/>
      <c r="M41" s="228"/>
      <c r="N41" s="257"/>
      <c r="O41" s="228"/>
      <c r="P41" s="228"/>
      <c r="Q41" s="258"/>
      <c r="R41" s="2381"/>
      <c r="S41" s="2381"/>
      <c r="T41" s="254"/>
      <c r="U41" s="228"/>
      <c r="V41" s="2357"/>
      <c r="W41" s="256"/>
      <c r="X41" s="248"/>
      <c r="Y41" s="248"/>
      <c r="Z41" s="248"/>
      <c r="AA41" s="247"/>
      <c r="AB41" s="248"/>
      <c r="AC41" s="248"/>
      <c r="AD41" s="194"/>
      <c r="AE41" s="249"/>
      <c r="AF41" s="250"/>
      <c r="AG41" s="251"/>
      <c r="AH41" s="252"/>
      <c r="AI41" s="241"/>
      <c r="AJ41" s="241"/>
      <c r="AK41" s="241"/>
      <c r="AL41" s="194"/>
      <c r="AM41" s="195"/>
      <c r="AN41" s="195"/>
    </row>
    <row r="42" spans="2:40">
      <c r="B42" s="253">
        <f t="shared" si="0"/>
        <v>34</v>
      </c>
      <c r="C42" s="244"/>
      <c r="D42" s="654"/>
      <c r="E42" s="466"/>
      <c r="F42" s="612"/>
      <c r="G42" s="2973"/>
      <c r="H42" s="230"/>
      <c r="I42" s="230"/>
      <c r="J42" s="230"/>
      <c r="K42" s="230"/>
      <c r="L42" s="230"/>
      <c r="M42" s="228"/>
      <c r="N42" s="257"/>
      <c r="O42" s="228"/>
      <c r="P42" s="228"/>
      <c r="Q42" s="258"/>
      <c r="R42" s="2381"/>
      <c r="S42" s="2381"/>
      <c r="T42" s="254"/>
      <c r="U42" s="228"/>
      <c r="V42" s="2357"/>
      <c r="W42" s="256"/>
      <c r="X42" s="248"/>
      <c r="Y42" s="248"/>
      <c r="Z42" s="248"/>
      <c r="AA42" s="247"/>
      <c r="AB42" s="248"/>
      <c r="AC42" s="248"/>
      <c r="AD42" s="194"/>
      <c r="AE42" s="249"/>
      <c r="AF42" s="250"/>
      <c r="AG42" s="251"/>
      <c r="AH42" s="252"/>
      <c r="AI42" s="241"/>
      <c r="AJ42" s="241"/>
      <c r="AK42" s="241"/>
      <c r="AL42" s="194"/>
      <c r="AM42" s="195"/>
      <c r="AN42" s="195"/>
    </row>
    <row r="43" spans="2:40">
      <c r="B43" s="253">
        <f t="shared" si="0"/>
        <v>35</v>
      </c>
      <c r="C43" s="244"/>
      <c r="D43" s="654"/>
      <c r="E43" s="466"/>
      <c r="F43" s="612"/>
      <c r="G43" s="2973"/>
      <c r="H43" s="230"/>
      <c r="I43" s="230"/>
      <c r="J43" s="230"/>
      <c r="K43" s="230"/>
      <c r="L43" s="230"/>
      <c r="M43" s="228"/>
      <c r="N43" s="257"/>
      <c r="O43" s="228"/>
      <c r="P43" s="228"/>
      <c r="Q43" s="258"/>
      <c r="R43" s="2381"/>
      <c r="S43" s="2381"/>
      <c r="T43" s="254"/>
      <c r="U43" s="228"/>
      <c r="V43" s="2357"/>
      <c r="W43" s="256"/>
      <c r="X43" s="248"/>
      <c r="Y43" s="248"/>
      <c r="Z43" s="248"/>
      <c r="AA43" s="247"/>
      <c r="AB43" s="248"/>
      <c r="AC43" s="248"/>
      <c r="AD43" s="194"/>
      <c r="AE43" s="249"/>
      <c r="AF43" s="250"/>
      <c r="AG43" s="251"/>
      <c r="AH43" s="252"/>
      <c r="AI43" s="241"/>
      <c r="AJ43" s="241"/>
      <c r="AK43" s="241"/>
      <c r="AL43" s="194"/>
      <c r="AM43" s="195"/>
      <c r="AN43" s="195"/>
    </row>
    <row r="44" spans="2:40">
      <c r="B44" s="253">
        <f t="shared" si="0"/>
        <v>36</v>
      </c>
      <c r="C44" s="244"/>
      <c r="D44" s="654"/>
      <c r="E44" s="466"/>
      <c r="F44" s="612"/>
      <c r="G44" s="2973"/>
      <c r="H44" s="230"/>
      <c r="I44" s="230"/>
      <c r="J44" s="230"/>
      <c r="K44" s="230"/>
      <c r="L44" s="230"/>
      <c r="M44" s="228"/>
      <c r="N44" s="257"/>
      <c r="O44" s="228"/>
      <c r="P44" s="228"/>
      <c r="Q44" s="258"/>
      <c r="R44" s="2381"/>
      <c r="S44" s="2381"/>
      <c r="T44" s="254"/>
      <c r="U44" s="228"/>
      <c r="V44" s="2357"/>
      <c r="W44" s="256"/>
      <c r="X44" s="248"/>
      <c r="Y44" s="248"/>
      <c r="Z44" s="248"/>
      <c r="AA44" s="247"/>
      <c r="AB44" s="248"/>
      <c r="AC44" s="248"/>
      <c r="AD44" s="194"/>
      <c r="AE44" s="249"/>
      <c r="AF44" s="250"/>
      <c r="AG44" s="251"/>
      <c r="AH44" s="252"/>
      <c r="AI44" s="241"/>
      <c r="AJ44" s="241"/>
      <c r="AK44" s="241"/>
      <c r="AL44" s="194"/>
      <c r="AM44" s="195"/>
      <c r="AN44" s="195"/>
    </row>
    <row r="45" spans="2:40">
      <c r="B45" s="253">
        <f t="shared" si="0"/>
        <v>37</v>
      </c>
      <c r="C45" s="244"/>
      <c r="D45" s="654"/>
      <c r="E45" s="466"/>
      <c r="F45" s="612"/>
      <c r="G45" s="2973"/>
      <c r="H45" s="230"/>
      <c r="I45" s="230"/>
      <c r="J45" s="230"/>
      <c r="K45" s="230"/>
      <c r="L45" s="230"/>
      <c r="M45" s="228"/>
      <c r="N45" s="257"/>
      <c r="O45" s="228"/>
      <c r="P45" s="228"/>
      <c r="Q45" s="258"/>
      <c r="R45" s="2381"/>
      <c r="S45" s="2381"/>
      <c r="T45" s="254"/>
      <c r="U45" s="228"/>
      <c r="V45" s="2357"/>
      <c r="W45" s="256"/>
      <c r="X45" s="248"/>
      <c r="Y45" s="248"/>
      <c r="Z45" s="248"/>
      <c r="AA45" s="247"/>
      <c r="AB45" s="248"/>
      <c r="AC45" s="248"/>
      <c r="AD45" s="194"/>
      <c r="AE45" s="249"/>
      <c r="AF45" s="250"/>
      <c r="AG45" s="251"/>
      <c r="AH45" s="252"/>
      <c r="AI45" s="241"/>
      <c r="AJ45" s="241"/>
      <c r="AK45" s="241"/>
      <c r="AL45" s="194"/>
      <c r="AM45" s="195"/>
      <c r="AN45" s="195"/>
    </row>
    <row r="46" spans="2:40">
      <c r="B46" s="253">
        <f t="shared" si="0"/>
        <v>38</v>
      </c>
      <c r="C46" s="244"/>
      <c r="D46" s="654"/>
      <c r="E46" s="466"/>
      <c r="F46" s="612"/>
      <c r="G46" s="2973"/>
      <c r="H46" s="230"/>
      <c r="I46" s="230"/>
      <c r="J46" s="230"/>
      <c r="K46" s="230"/>
      <c r="L46" s="230"/>
      <c r="M46" s="228"/>
      <c r="N46" s="257"/>
      <c r="O46" s="228"/>
      <c r="P46" s="228"/>
      <c r="Q46" s="258"/>
      <c r="R46" s="2381"/>
      <c r="S46" s="2381"/>
      <c r="T46" s="254"/>
      <c r="U46" s="228"/>
      <c r="V46" s="2357"/>
      <c r="W46" s="256"/>
      <c r="X46" s="248"/>
      <c r="Y46" s="248"/>
      <c r="Z46" s="248"/>
      <c r="AA46" s="247"/>
      <c r="AB46" s="248"/>
      <c r="AC46" s="248"/>
      <c r="AD46" s="194"/>
      <c r="AE46" s="249"/>
      <c r="AF46" s="250"/>
      <c r="AG46" s="251"/>
      <c r="AH46" s="252"/>
      <c r="AI46" s="241"/>
      <c r="AJ46" s="241"/>
      <c r="AK46" s="241"/>
      <c r="AL46" s="194"/>
      <c r="AM46" s="195"/>
      <c r="AN46" s="195"/>
    </row>
    <row r="47" spans="2:40">
      <c r="B47" s="253">
        <f t="shared" si="0"/>
        <v>39</v>
      </c>
      <c r="C47" s="244"/>
      <c r="D47" s="654"/>
      <c r="E47" s="466"/>
      <c r="F47" s="612"/>
      <c r="G47" s="2973"/>
      <c r="H47" s="230"/>
      <c r="I47" s="230"/>
      <c r="J47" s="230"/>
      <c r="K47" s="230"/>
      <c r="L47" s="230"/>
      <c r="M47" s="228"/>
      <c r="N47" s="257"/>
      <c r="O47" s="228"/>
      <c r="P47" s="228"/>
      <c r="Q47" s="258"/>
      <c r="R47" s="2381"/>
      <c r="S47" s="2381"/>
      <c r="T47" s="254"/>
      <c r="U47" s="228"/>
      <c r="V47" s="2357"/>
      <c r="W47" s="256"/>
      <c r="X47" s="248"/>
      <c r="Y47" s="248"/>
      <c r="Z47" s="248"/>
      <c r="AA47" s="247"/>
      <c r="AB47" s="248"/>
      <c r="AC47" s="248"/>
      <c r="AD47" s="194"/>
      <c r="AE47" s="249"/>
      <c r="AF47" s="250"/>
      <c r="AG47" s="251"/>
      <c r="AH47" s="252"/>
      <c r="AI47" s="241"/>
      <c r="AJ47" s="241"/>
      <c r="AK47" s="241"/>
      <c r="AL47" s="194"/>
      <c r="AM47" s="195"/>
      <c r="AN47" s="195"/>
    </row>
    <row r="48" spans="2:40">
      <c r="B48" s="253">
        <f t="shared" si="0"/>
        <v>40</v>
      </c>
      <c r="C48" s="244"/>
      <c r="D48" s="654"/>
      <c r="E48" s="466"/>
      <c r="F48" s="612"/>
      <c r="G48" s="2973"/>
      <c r="H48" s="230"/>
      <c r="I48" s="230"/>
      <c r="J48" s="230"/>
      <c r="K48" s="230"/>
      <c r="L48" s="230"/>
      <c r="M48" s="228"/>
      <c r="N48" s="257"/>
      <c r="O48" s="228"/>
      <c r="P48" s="228"/>
      <c r="Q48" s="258"/>
      <c r="R48" s="2381"/>
      <c r="S48" s="2381"/>
      <c r="T48" s="254"/>
      <c r="U48" s="228"/>
      <c r="V48" s="2357"/>
      <c r="W48" s="256"/>
      <c r="X48" s="248"/>
      <c r="Y48" s="248"/>
      <c r="Z48" s="248"/>
      <c r="AA48" s="247"/>
      <c r="AB48" s="248"/>
      <c r="AC48" s="248"/>
      <c r="AD48" s="194"/>
      <c r="AE48" s="249"/>
      <c r="AF48" s="250"/>
      <c r="AG48" s="251"/>
      <c r="AH48" s="252"/>
      <c r="AI48" s="241"/>
      <c r="AJ48" s="241"/>
      <c r="AK48" s="241"/>
      <c r="AL48" s="194"/>
      <c r="AM48" s="195"/>
      <c r="AN48" s="195"/>
    </row>
    <row r="49" spans="2:40">
      <c r="B49" s="253">
        <f t="shared" si="0"/>
        <v>41</v>
      </c>
      <c r="C49" s="244"/>
      <c r="D49" s="654"/>
      <c r="E49" s="466"/>
      <c r="F49" s="612"/>
      <c r="G49" s="2973"/>
      <c r="H49" s="230"/>
      <c r="I49" s="230"/>
      <c r="J49" s="230"/>
      <c r="K49" s="230"/>
      <c r="L49" s="230"/>
      <c r="M49" s="228"/>
      <c r="N49" s="257"/>
      <c r="O49" s="228"/>
      <c r="P49" s="228"/>
      <c r="Q49" s="258"/>
      <c r="R49" s="2381"/>
      <c r="S49" s="2381"/>
      <c r="T49" s="254"/>
      <c r="U49" s="228"/>
      <c r="V49" s="2357"/>
      <c r="W49" s="256"/>
      <c r="X49" s="248"/>
      <c r="Y49" s="248"/>
      <c r="Z49" s="248"/>
      <c r="AA49" s="247"/>
      <c r="AB49" s="248"/>
      <c r="AC49" s="248"/>
      <c r="AD49" s="194"/>
      <c r="AE49" s="249"/>
      <c r="AF49" s="250"/>
      <c r="AG49" s="251"/>
      <c r="AH49" s="252"/>
      <c r="AI49" s="241"/>
      <c r="AJ49" s="241"/>
      <c r="AK49" s="241"/>
      <c r="AL49" s="194"/>
      <c r="AM49" s="195"/>
      <c r="AN49" s="195"/>
    </row>
    <row r="50" spans="2:40">
      <c r="B50" s="253">
        <f t="shared" si="0"/>
        <v>42</v>
      </c>
      <c r="C50" s="244"/>
      <c r="D50" s="654"/>
      <c r="E50" s="466"/>
      <c r="F50" s="612"/>
      <c r="G50" s="2973"/>
      <c r="H50" s="230"/>
      <c r="I50" s="230"/>
      <c r="J50" s="230"/>
      <c r="K50" s="230"/>
      <c r="L50" s="230"/>
      <c r="M50" s="228"/>
      <c r="N50" s="257"/>
      <c r="O50" s="228"/>
      <c r="P50" s="228"/>
      <c r="Q50" s="258"/>
      <c r="R50" s="2381"/>
      <c r="S50" s="2381"/>
      <c r="T50" s="254"/>
      <c r="U50" s="228"/>
      <c r="V50" s="2357"/>
      <c r="W50" s="256"/>
      <c r="X50" s="248"/>
      <c r="Y50" s="248"/>
      <c r="Z50" s="248"/>
      <c r="AA50" s="247"/>
      <c r="AB50" s="248"/>
      <c r="AC50" s="248"/>
      <c r="AD50" s="194"/>
      <c r="AE50" s="249"/>
      <c r="AF50" s="250"/>
      <c r="AG50" s="251"/>
      <c r="AH50" s="252"/>
      <c r="AI50" s="241"/>
      <c r="AJ50" s="241"/>
      <c r="AK50" s="241"/>
      <c r="AL50" s="194"/>
      <c r="AM50" s="195"/>
      <c r="AN50" s="195"/>
    </row>
    <row r="51" spans="2:40">
      <c r="B51" s="253">
        <f t="shared" si="0"/>
        <v>43</v>
      </c>
      <c r="C51" s="244"/>
      <c r="D51" s="654"/>
      <c r="E51" s="466"/>
      <c r="F51" s="612"/>
      <c r="G51" s="2973"/>
      <c r="H51" s="230"/>
      <c r="I51" s="230"/>
      <c r="J51" s="230"/>
      <c r="K51" s="230"/>
      <c r="L51" s="230"/>
      <c r="M51" s="228"/>
      <c r="N51" s="257"/>
      <c r="O51" s="228"/>
      <c r="P51" s="228"/>
      <c r="Q51" s="258"/>
      <c r="R51" s="2381"/>
      <c r="S51" s="2381"/>
      <c r="T51" s="254"/>
      <c r="U51" s="228"/>
      <c r="V51" s="2357"/>
      <c r="W51" s="256"/>
      <c r="X51" s="248"/>
      <c r="Y51" s="248"/>
      <c r="Z51" s="248"/>
      <c r="AA51" s="247"/>
      <c r="AB51" s="248"/>
      <c r="AC51" s="248"/>
      <c r="AD51" s="194"/>
      <c r="AE51" s="249"/>
      <c r="AF51" s="250"/>
      <c r="AG51" s="251"/>
      <c r="AH51" s="252"/>
      <c r="AI51" s="241"/>
      <c r="AJ51" s="241"/>
      <c r="AK51" s="241"/>
      <c r="AL51" s="194"/>
      <c r="AM51" s="195"/>
      <c r="AN51" s="195"/>
    </row>
    <row r="52" spans="2:40">
      <c r="B52" s="253">
        <f t="shared" ref="B52:B115" si="1">+B51+1</f>
        <v>44</v>
      </c>
      <c r="C52" s="244"/>
      <c r="D52" s="654"/>
      <c r="E52" s="466"/>
      <c r="F52" s="612"/>
      <c r="G52" s="2973"/>
      <c r="H52" s="230"/>
      <c r="I52" s="230"/>
      <c r="J52" s="230"/>
      <c r="K52" s="230"/>
      <c r="L52" s="230"/>
      <c r="M52" s="228"/>
      <c r="N52" s="257"/>
      <c r="O52" s="228"/>
      <c r="P52" s="228"/>
      <c r="Q52" s="258"/>
      <c r="R52" s="2381"/>
      <c r="S52" s="2381"/>
      <c r="T52" s="254"/>
      <c r="U52" s="228"/>
      <c r="V52" s="2357"/>
      <c r="W52" s="256"/>
      <c r="X52" s="248"/>
      <c r="Y52" s="248"/>
      <c r="Z52" s="248"/>
      <c r="AA52" s="247"/>
      <c r="AB52" s="248"/>
      <c r="AC52" s="248"/>
      <c r="AD52" s="194"/>
      <c r="AE52" s="249"/>
      <c r="AF52" s="250"/>
      <c r="AG52" s="251"/>
      <c r="AH52" s="252"/>
      <c r="AI52" s="241"/>
      <c r="AJ52" s="241"/>
      <c r="AK52" s="241"/>
      <c r="AL52" s="194"/>
      <c r="AM52" s="195"/>
      <c r="AN52" s="195"/>
    </row>
    <row r="53" spans="2:40">
      <c r="B53" s="253">
        <f t="shared" si="1"/>
        <v>45</v>
      </c>
      <c r="C53" s="244"/>
      <c r="D53" s="654"/>
      <c r="E53" s="466"/>
      <c r="F53" s="612"/>
      <c r="G53" s="2973"/>
      <c r="H53" s="230"/>
      <c r="I53" s="230"/>
      <c r="J53" s="230"/>
      <c r="K53" s="230"/>
      <c r="L53" s="230"/>
      <c r="M53" s="228"/>
      <c r="N53" s="257"/>
      <c r="O53" s="228"/>
      <c r="P53" s="228"/>
      <c r="Q53" s="258"/>
      <c r="R53" s="2381"/>
      <c r="S53" s="2381"/>
      <c r="T53" s="254"/>
      <c r="U53" s="228"/>
      <c r="V53" s="2357"/>
      <c r="W53" s="256"/>
      <c r="X53" s="248"/>
      <c r="Y53" s="248"/>
      <c r="Z53" s="248"/>
      <c r="AA53" s="247"/>
      <c r="AB53" s="248"/>
      <c r="AC53" s="248"/>
      <c r="AD53" s="194"/>
      <c r="AE53" s="249"/>
      <c r="AF53" s="250"/>
      <c r="AG53" s="251"/>
      <c r="AH53" s="252"/>
      <c r="AI53" s="241"/>
      <c r="AJ53" s="241"/>
      <c r="AK53" s="241"/>
      <c r="AL53" s="194"/>
      <c r="AM53" s="195"/>
      <c r="AN53" s="195"/>
    </row>
    <row r="54" spans="2:40">
      <c r="B54" s="253">
        <f t="shared" si="1"/>
        <v>46</v>
      </c>
      <c r="C54" s="244"/>
      <c r="D54" s="654"/>
      <c r="E54" s="466"/>
      <c r="F54" s="612"/>
      <c r="G54" s="2973"/>
      <c r="H54" s="230"/>
      <c r="I54" s="230"/>
      <c r="J54" s="230"/>
      <c r="K54" s="230"/>
      <c r="L54" s="230"/>
      <c r="M54" s="228"/>
      <c r="N54" s="257"/>
      <c r="O54" s="228"/>
      <c r="P54" s="228"/>
      <c r="Q54" s="258"/>
      <c r="R54" s="2381"/>
      <c r="S54" s="2381"/>
      <c r="T54" s="254"/>
      <c r="U54" s="228"/>
      <c r="V54" s="2357"/>
      <c r="W54" s="256"/>
      <c r="X54" s="248"/>
      <c r="Y54" s="248"/>
      <c r="Z54" s="248"/>
      <c r="AA54" s="247"/>
      <c r="AB54" s="248"/>
      <c r="AC54" s="248"/>
      <c r="AD54" s="194"/>
      <c r="AE54" s="249"/>
      <c r="AF54" s="250"/>
      <c r="AG54" s="251"/>
      <c r="AH54" s="252"/>
      <c r="AI54" s="241"/>
      <c r="AJ54" s="241"/>
      <c r="AK54" s="241"/>
      <c r="AL54" s="194"/>
      <c r="AM54" s="195"/>
      <c r="AN54" s="195"/>
    </row>
    <row r="55" spans="2:40">
      <c r="B55" s="253">
        <f t="shared" si="1"/>
        <v>47</v>
      </c>
      <c r="C55" s="244"/>
      <c r="D55" s="654"/>
      <c r="E55" s="466"/>
      <c r="F55" s="612"/>
      <c r="G55" s="2973"/>
      <c r="H55" s="230"/>
      <c r="I55" s="230"/>
      <c r="J55" s="230"/>
      <c r="K55" s="230"/>
      <c r="L55" s="230"/>
      <c r="M55" s="228"/>
      <c r="N55" s="257"/>
      <c r="O55" s="228"/>
      <c r="P55" s="228"/>
      <c r="Q55" s="258"/>
      <c r="R55" s="2381"/>
      <c r="S55" s="2381"/>
      <c r="T55" s="254"/>
      <c r="U55" s="228"/>
      <c r="V55" s="2357"/>
      <c r="W55" s="256"/>
      <c r="X55" s="248"/>
      <c r="Y55" s="248"/>
      <c r="Z55" s="248"/>
      <c r="AA55" s="247"/>
      <c r="AB55" s="248"/>
      <c r="AC55" s="248"/>
      <c r="AD55" s="194"/>
      <c r="AE55" s="249"/>
      <c r="AF55" s="250"/>
      <c r="AG55" s="251"/>
      <c r="AH55" s="252"/>
      <c r="AI55" s="241"/>
      <c r="AJ55" s="241"/>
      <c r="AK55" s="241"/>
      <c r="AL55" s="194"/>
      <c r="AM55" s="195"/>
      <c r="AN55" s="195"/>
    </row>
    <row r="56" spans="2:40">
      <c r="B56" s="253">
        <f t="shared" si="1"/>
        <v>48</v>
      </c>
      <c r="C56" s="244"/>
      <c r="D56" s="654"/>
      <c r="E56" s="466"/>
      <c r="F56" s="612"/>
      <c r="G56" s="2973"/>
      <c r="H56" s="230"/>
      <c r="I56" s="230"/>
      <c r="J56" s="230"/>
      <c r="K56" s="230"/>
      <c r="L56" s="230"/>
      <c r="M56" s="228"/>
      <c r="N56" s="257"/>
      <c r="O56" s="228"/>
      <c r="P56" s="228"/>
      <c r="Q56" s="258"/>
      <c r="R56" s="2381"/>
      <c r="S56" s="2381"/>
      <c r="T56" s="254"/>
      <c r="U56" s="228"/>
      <c r="V56" s="2357"/>
      <c r="W56" s="256"/>
      <c r="X56" s="248"/>
      <c r="Y56" s="248"/>
      <c r="Z56" s="248"/>
      <c r="AA56" s="247"/>
      <c r="AB56" s="248"/>
      <c r="AC56" s="248"/>
      <c r="AD56" s="194"/>
      <c r="AE56" s="249"/>
      <c r="AF56" s="250"/>
      <c r="AG56" s="251"/>
      <c r="AH56" s="252"/>
      <c r="AI56" s="241"/>
      <c r="AJ56" s="241"/>
      <c r="AK56" s="241"/>
      <c r="AL56" s="194"/>
      <c r="AM56" s="195"/>
      <c r="AN56" s="195"/>
    </row>
    <row r="57" spans="2:40">
      <c r="B57" s="253">
        <f t="shared" si="1"/>
        <v>49</v>
      </c>
      <c r="C57" s="244"/>
      <c r="D57" s="654"/>
      <c r="E57" s="466"/>
      <c r="F57" s="612"/>
      <c r="G57" s="2973"/>
      <c r="H57" s="230"/>
      <c r="I57" s="230"/>
      <c r="J57" s="230"/>
      <c r="K57" s="230"/>
      <c r="L57" s="230"/>
      <c r="M57" s="228"/>
      <c r="N57" s="257"/>
      <c r="O57" s="228"/>
      <c r="P57" s="228"/>
      <c r="Q57" s="258"/>
      <c r="R57" s="2381"/>
      <c r="S57" s="2381"/>
      <c r="T57" s="254"/>
      <c r="U57" s="228"/>
      <c r="V57" s="2357"/>
      <c r="W57" s="256"/>
      <c r="X57" s="248"/>
      <c r="Y57" s="248"/>
      <c r="Z57" s="248"/>
      <c r="AA57" s="247"/>
      <c r="AB57" s="248"/>
      <c r="AC57" s="248"/>
      <c r="AD57" s="194"/>
      <c r="AE57" s="249"/>
      <c r="AF57" s="250"/>
      <c r="AG57" s="251"/>
      <c r="AH57" s="252"/>
      <c r="AI57" s="241"/>
      <c r="AJ57" s="241"/>
      <c r="AK57" s="241"/>
      <c r="AL57" s="194"/>
      <c r="AM57" s="195"/>
      <c r="AN57" s="195"/>
    </row>
    <row r="58" spans="2:40">
      <c r="B58" s="253">
        <f t="shared" si="1"/>
        <v>50</v>
      </c>
      <c r="C58" s="244"/>
      <c r="D58" s="654"/>
      <c r="E58" s="466"/>
      <c r="F58" s="612"/>
      <c r="G58" s="2973"/>
      <c r="H58" s="230"/>
      <c r="I58" s="230"/>
      <c r="J58" s="230"/>
      <c r="K58" s="230"/>
      <c r="L58" s="230"/>
      <c r="M58" s="228"/>
      <c r="N58" s="257"/>
      <c r="O58" s="228"/>
      <c r="P58" s="228"/>
      <c r="Q58" s="258"/>
      <c r="R58" s="2381"/>
      <c r="S58" s="2381"/>
      <c r="T58" s="254"/>
      <c r="U58" s="228"/>
      <c r="V58" s="2357"/>
      <c r="W58" s="256"/>
      <c r="X58" s="248"/>
      <c r="Y58" s="248"/>
      <c r="Z58" s="248"/>
      <c r="AA58" s="247"/>
      <c r="AB58" s="248"/>
      <c r="AC58" s="248"/>
      <c r="AD58" s="194"/>
      <c r="AE58" s="249"/>
      <c r="AF58" s="250"/>
      <c r="AG58" s="251"/>
      <c r="AH58" s="252"/>
      <c r="AI58" s="241"/>
      <c r="AJ58" s="241"/>
      <c r="AK58" s="241"/>
      <c r="AL58" s="194"/>
      <c r="AM58" s="195"/>
      <c r="AN58" s="195"/>
    </row>
    <row r="59" spans="2:40">
      <c r="B59" s="253">
        <f t="shared" si="1"/>
        <v>51</v>
      </c>
      <c r="C59" s="244"/>
      <c r="D59" s="654"/>
      <c r="E59" s="466"/>
      <c r="F59" s="612"/>
      <c r="G59" s="2973"/>
      <c r="H59" s="230"/>
      <c r="I59" s="230"/>
      <c r="J59" s="230"/>
      <c r="K59" s="230"/>
      <c r="L59" s="230"/>
      <c r="M59" s="228"/>
      <c r="N59" s="257"/>
      <c r="O59" s="228"/>
      <c r="P59" s="228"/>
      <c r="Q59" s="258"/>
      <c r="R59" s="2381"/>
      <c r="S59" s="2381"/>
      <c r="T59" s="254"/>
      <c r="U59" s="228"/>
      <c r="V59" s="2357"/>
      <c r="W59" s="256"/>
      <c r="X59" s="248"/>
      <c r="Y59" s="248"/>
      <c r="Z59" s="248"/>
      <c r="AA59" s="247"/>
      <c r="AB59" s="248"/>
      <c r="AC59" s="248"/>
      <c r="AD59" s="194"/>
      <c r="AE59" s="249"/>
      <c r="AF59" s="250"/>
      <c r="AG59" s="251"/>
      <c r="AH59" s="252"/>
      <c r="AI59" s="241"/>
      <c r="AJ59" s="241"/>
      <c r="AK59" s="241"/>
      <c r="AL59" s="194"/>
      <c r="AM59" s="195"/>
      <c r="AN59" s="195"/>
    </row>
    <row r="60" spans="2:40">
      <c r="B60" s="253">
        <f t="shared" si="1"/>
        <v>52</v>
      </c>
      <c r="C60" s="244"/>
      <c r="D60" s="654"/>
      <c r="E60" s="466"/>
      <c r="F60" s="612"/>
      <c r="G60" s="2973"/>
      <c r="H60" s="230"/>
      <c r="I60" s="230"/>
      <c r="J60" s="230"/>
      <c r="K60" s="230"/>
      <c r="L60" s="230"/>
      <c r="M60" s="228"/>
      <c r="N60" s="257"/>
      <c r="O60" s="228"/>
      <c r="P60" s="228"/>
      <c r="Q60" s="258"/>
      <c r="R60" s="2381"/>
      <c r="S60" s="2381"/>
      <c r="T60" s="254"/>
      <c r="U60" s="228"/>
      <c r="V60" s="2357"/>
      <c r="W60" s="256"/>
      <c r="X60" s="248"/>
      <c r="Y60" s="248"/>
      <c r="Z60" s="248"/>
      <c r="AA60" s="247"/>
      <c r="AB60" s="248"/>
      <c r="AC60" s="248"/>
      <c r="AD60" s="194"/>
      <c r="AE60" s="249"/>
      <c r="AF60" s="250"/>
      <c r="AG60" s="251"/>
      <c r="AH60" s="252"/>
      <c r="AI60" s="241"/>
      <c r="AJ60" s="241"/>
      <c r="AK60" s="241"/>
      <c r="AL60" s="194"/>
      <c r="AM60" s="195"/>
      <c r="AN60" s="195"/>
    </row>
    <row r="61" spans="2:40">
      <c r="B61" s="253">
        <f t="shared" si="1"/>
        <v>53</v>
      </c>
      <c r="C61" s="244"/>
      <c r="D61" s="654"/>
      <c r="E61" s="466"/>
      <c r="F61" s="612"/>
      <c r="G61" s="2973"/>
      <c r="H61" s="230"/>
      <c r="I61" s="230"/>
      <c r="J61" s="230"/>
      <c r="K61" s="230"/>
      <c r="L61" s="230"/>
      <c r="M61" s="228"/>
      <c r="N61" s="257"/>
      <c r="O61" s="228"/>
      <c r="P61" s="228"/>
      <c r="Q61" s="258"/>
      <c r="R61" s="2381"/>
      <c r="S61" s="2381"/>
      <c r="T61" s="254"/>
      <c r="U61" s="228"/>
      <c r="V61" s="2357"/>
      <c r="W61" s="256"/>
      <c r="X61" s="248"/>
      <c r="Y61" s="248"/>
      <c r="Z61" s="248"/>
      <c r="AA61" s="247"/>
      <c r="AB61" s="248"/>
      <c r="AC61" s="248"/>
      <c r="AD61" s="194"/>
      <c r="AE61" s="249"/>
      <c r="AF61" s="250"/>
      <c r="AG61" s="251"/>
      <c r="AH61" s="252"/>
      <c r="AI61" s="241"/>
      <c r="AJ61" s="241"/>
      <c r="AK61" s="241"/>
      <c r="AL61" s="194"/>
      <c r="AM61" s="195"/>
      <c r="AN61" s="195"/>
    </row>
    <row r="62" spans="2:40">
      <c r="B62" s="253">
        <f t="shared" si="1"/>
        <v>54</v>
      </c>
      <c r="C62" s="244"/>
      <c r="D62" s="654"/>
      <c r="E62" s="466"/>
      <c r="F62" s="612"/>
      <c r="G62" s="2973"/>
      <c r="H62" s="230"/>
      <c r="I62" s="230"/>
      <c r="J62" s="230"/>
      <c r="K62" s="230"/>
      <c r="L62" s="230"/>
      <c r="M62" s="228"/>
      <c r="N62" s="257"/>
      <c r="O62" s="228"/>
      <c r="P62" s="228"/>
      <c r="Q62" s="258"/>
      <c r="R62" s="2381"/>
      <c r="S62" s="2381"/>
      <c r="T62" s="254"/>
      <c r="U62" s="228"/>
      <c r="V62" s="2357"/>
      <c r="W62" s="256"/>
      <c r="X62" s="248"/>
      <c r="Y62" s="248"/>
      <c r="Z62" s="248"/>
      <c r="AA62" s="247"/>
      <c r="AB62" s="248"/>
      <c r="AC62" s="248"/>
      <c r="AD62" s="194"/>
      <c r="AE62" s="249"/>
      <c r="AF62" s="250"/>
      <c r="AG62" s="251"/>
      <c r="AH62" s="252"/>
      <c r="AI62" s="241"/>
      <c r="AJ62" s="241"/>
      <c r="AK62" s="241"/>
      <c r="AL62" s="194"/>
      <c r="AM62" s="195"/>
      <c r="AN62" s="195"/>
    </row>
    <row r="63" spans="2:40">
      <c r="B63" s="253">
        <f t="shared" si="1"/>
        <v>55</v>
      </c>
      <c r="C63" s="244"/>
      <c r="D63" s="654"/>
      <c r="E63" s="466"/>
      <c r="F63" s="612"/>
      <c r="G63" s="2973"/>
      <c r="H63" s="230"/>
      <c r="I63" s="230"/>
      <c r="J63" s="230"/>
      <c r="K63" s="230"/>
      <c r="L63" s="230"/>
      <c r="M63" s="228"/>
      <c r="N63" s="257"/>
      <c r="O63" s="228"/>
      <c r="P63" s="228"/>
      <c r="Q63" s="258"/>
      <c r="R63" s="2381"/>
      <c r="S63" s="2381"/>
      <c r="T63" s="254"/>
      <c r="U63" s="228"/>
      <c r="V63" s="2357"/>
      <c r="W63" s="256"/>
      <c r="X63" s="248"/>
      <c r="Y63" s="248"/>
      <c r="Z63" s="248"/>
      <c r="AA63" s="247"/>
      <c r="AB63" s="248"/>
      <c r="AC63" s="248"/>
      <c r="AD63" s="194"/>
      <c r="AE63" s="249"/>
      <c r="AF63" s="250"/>
      <c r="AG63" s="251"/>
      <c r="AH63" s="252"/>
      <c r="AI63" s="241"/>
      <c r="AJ63" s="241"/>
      <c r="AK63" s="241"/>
      <c r="AL63" s="194"/>
      <c r="AM63" s="195"/>
      <c r="AN63" s="195"/>
    </row>
    <row r="64" spans="2:40">
      <c r="B64" s="253">
        <f t="shared" si="1"/>
        <v>56</v>
      </c>
      <c r="C64" s="244"/>
      <c r="D64" s="654"/>
      <c r="E64" s="466"/>
      <c r="F64" s="612"/>
      <c r="G64" s="2973"/>
      <c r="H64" s="230"/>
      <c r="I64" s="230"/>
      <c r="J64" s="230"/>
      <c r="K64" s="230"/>
      <c r="L64" s="230"/>
      <c r="M64" s="228"/>
      <c r="N64" s="257"/>
      <c r="O64" s="228"/>
      <c r="P64" s="228"/>
      <c r="Q64" s="258"/>
      <c r="R64" s="2381"/>
      <c r="S64" s="2381"/>
      <c r="T64" s="254"/>
      <c r="U64" s="228"/>
      <c r="V64" s="2357"/>
      <c r="W64" s="256"/>
      <c r="X64" s="248"/>
      <c r="Y64" s="248"/>
      <c r="Z64" s="248"/>
      <c r="AA64" s="247"/>
      <c r="AB64" s="248"/>
      <c r="AC64" s="248"/>
      <c r="AD64" s="194"/>
      <c r="AE64" s="249"/>
      <c r="AF64" s="250"/>
      <c r="AG64" s="251"/>
      <c r="AH64" s="252"/>
      <c r="AI64" s="241"/>
      <c r="AJ64" s="241"/>
      <c r="AK64" s="241"/>
      <c r="AL64" s="194"/>
      <c r="AM64" s="195"/>
      <c r="AN64" s="195"/>
    </row>
    <row r="65" spans="2:40">
      <c r="B65" s="253">
        <f t="shared" si="1"/>
        <v>57</v>
      </c>
      <c r="C65" s="244"/>
      <c r="D65" s="654"/>
      <c r="E65" s="466"/>
      <c r="F65" s="612"/>
      <c r="G65" s="2973"/>
      <c r="H65" s="230"/>
      <c r="I65" s="230"/>
      <c r="J65" s="230"/>
      <c r="K65" s="230"/>
      <c r="L65" s="230"/>
      <c r="M65" s="228"/>
      <c r="N65" s="257"/>
      <c r="O65" s="228"/>
      <c r="P65" s="228"/>
      <c r="Q65" s="258"/>
      <c r="R65" s="2381"/>
      <c r="S65" s="2381"/>
      <c r="T65" s="254"/>
      <c r="U65" s="228"/>
      <c r="V65" s="2357"/>
      <c r="W65" s="256"/>
      <c r="X65" s="248"/>
      <c r="Y65" s="248"/>
      <c r="Z65" s="248"/>
      <c r="AA65" s="247"/>
      <c r="AB65" s="248"/>
      <c r="AC65" s="248"/>
      <c r="AD65" s="194"/>
      <c r="AE65" s="249"/>
      <c r="AF65" s="250"/>
      <c r="AG65" s="251"/>
      <c r="AH65" s="252"/>
      <c r="AI65" s="241"/>
      <c r="AJ65" s="241"/>
      <c r="AK65" s="241"/>
      <c r="AL65" s="194"/>
      <c r="AM65" s="195"/>
      <c r="AN65" s="195"/>
    </row>
    <row r="66" spans="2:40">
      <c r="B66" s="253">
        <f t="shared" si="1"/>
        <v>58</v>
      </c>
      <c r="C66" s="244"/>
      <c r="D66" s="654"/>
      <c r="E66" s="466"/>
      <c r="F66" s="612"/>
      <c r="G66" s="2973"/>
      <c r="H66" s="230"/>
      <c r="I66" s="230"/>
      <c r="J66" s="230"/>
      <c r="K66" s="230"/>
      <c r="L66" s="230"/>
      <c r="M66" s="228"/>
      <c r="N66" s="257"/>
      <c r="O66" s="228"/>
      <c r="P66" s="228"/>
      <c r="Q66" s="258"/>
      <c r="R66" s="2381"/>
      <c r="S66" s="2381"/>
      <c r="T66" s="254"/>
      <c r="U66" s="228"/>
      <c r="V66" s="2357"/>
      <c r="W66" s="256"/>
      <c r="X66" s="248"/>
      <c r="Y66" s="248"/>
      <c r="Z66" s="248"/>
      <c r="AA66" s="247"/>
      <c r="AB66" s="248"/>
      <c r="AC66" s="248"/>
      <c r="AD66" s="194"/>
      <c r="AE66" s="249"/>
      <c r="AF66" s="250"/>
      <c r="AG66" s="251"/>
      <c r="AH66" s="252"/>
      <c r="AI66" s="241"/>
      <c r="AJ66" s="241"/>
      <c r="AK66" s="241"/>
      <c r="AL66" s="194"/>
      <c r="AM66" s="195"/>
      <c r="AN66" s="195"/>
    </row>
    <row r="67" spans="2:40">
      <c r="B67" s="253">
        <f t="shared" si="1"/>
        <v>59</v>
      </c>
      <c r="C67" s="244"/>
      <c r="D67" s="654"/>
      <c r="E67" s="466"/>
      <c r="F67" s="612"/>
      <c r="G67" s="2973"/>
      <c r="H67" s="230"/>
      <c r="I67" s="230"/>
      <c r="J67" s="230"/>
      <c r="K67" s="230"/>
      <c r="L67" s="230"/>
      <c r="M67" s="228"/>
      <c r="N67" s="257"/>
      <c r="O67" s="228"/>
      <c r="P67" s="228"/>
      <c r="Q67" s="258"/>
      <c r="R67" s="2381"/>
      <c r="S67" s="2381"/>
      <c r="T67" s="254"/>
      <c r="U67" s="228"/>
      <c r="V67" s="2357"/>
      <c r="W67" s="256"/>
      <c r="X67" s="248"/>
      <c r="Y67" s="248"/>
      <c r="Z67" s="248"/>
      <c r="AA67" s="247"/>
      <c r="AB67" s="248"/>
      <c r="AC67" s="248"/>
      <c r="AD67" s="194"/>
      <c r="AE67" s="249"/>
      <c r="AF67" s="250"/>
      <c r="AG67" s="251"/>
      <c r="AH67" s="252"/>
      <c r="AI67" s="241"/>
      <c r="AJ67" s="241"/>
      <c r="AK67" s="241"/>
      <c r="AL67" s="194"/>
      <c r="AM67" s="195"/>
      <c r="AN67" s="195"/>
    </row>
    <row r="68" spans="2:40">
      <c r="B68" s="253">
        <f t="shared" si="1"/>
        <v>60</v>
      </c>
      <c r="C68" s="244"/>
      <c r="D68" s="654"/>
      <c r="E68" s="466"/>
      <c r="F68" s="612"/>
      <c r="G68" s="2973"/>
      <c r="H68" s="230"/>
      <c r="I68" s="230"/>
      <c r="J68" s="230"/>
      <c r="K68" s="230"/>
      <c r="L68" s="230"/>
      <c r="M68" s="228"/>
      <c r="N68" s="257"/>
      <c r="O68" s="228"/>
      <c r="P68" s="228"/>
      <c r="Q68" s="258"/>
      <c r="R68" s="2381"/>
      <c r="S68" s="2381"/>
      <c r="T68" s="254"/>
      <c r="U68" s="228"/>
      <c r="V68" s="2357"/>
      <c r="W68" s="256"/>
      <c r="X68" s="248"/>
      <c r="Y68" s="248"/>
      <c r="Z68" s="248"/>
      <c r="AA68" s="247"/>
      <c r="AB68" s="248"/>
      <c r="AC68" s="248"/>
      <c r="AD68" s="194"/>
      <c r="AE68" s="249"/>
      <c r="AF68" s="250"/>
      <c r="AG68" s="251"/>
      <c r="AH68" s="252"/>
      <c r="AI68" s="241"/>
      <c r="AJ68" s="241"/>
      <c r="AK68" s="241"/>
      <c r="AL68" s="194"/>
      <c r="AM68" s="195"/>
      <c r="AN68" s="195"/>
    </row>
    <row r="69" spans="2:40">
      <c r="B69" s="253">
        <f t="shared" si="1"/>
        <v>61</v>
      </c>
      <c r="C69" s="244"/>
      <c r="D69" s="654"/>
      <c r="E69" s="466"/>
      <c r="F69" s="612"/>
      <c r="G69" s="2973"/>
      <c r="H69" s="230"/>
      <c r="I69" s="230"/>
      <c r="J69" s="230"/>
      <c r="K69" s="230"/>
      <c r="L69" s="230"/>
      <c r="M69" s="228"/>
      <c r="N69" s="257"/>
      <c r="O69" s="228"/>
      <c r="P69" s="228"/>
      <c r="Q69" s="258"/>
      <c r="R69" s="2381"/>
      <c r="S69" s="2381"/>
      <c r="T69" s="254"/>
      <c r="U69" s="228"/>
      <c r="V69" s="2357"/>
      <c r="W69" s="256"/>
      <c r="X69" s="248"/>
      <c r="Y69" s="248"/>
      <c r="Z69" s="248"/>
      <c r="AA69" s="247"/>
      <c r="AB69" s="248"/>
      <c r="AC69" s="248"/>
      <c r="AD69" s="194"/>
      <c r="AE69" s="249"/>
      <c r="AF69" s="250"/>
      <c r="AG69" s="251"/>
      <c r="AH69" s="252"/>
      <c r="AI69" s="241"/>
      <c r="AJ69" s="241"/>
      <c r="AK69" s="241"/>
      <c r="AL69" s="194"/>
      <c r="AM69" s="195"/>
      <c r="AN69" s="195"/>
    </row>
    <row r="70" spans="2:40">
      <c r="B70" s="253">
        <f t="shared" si="1"/>
        <v>62</v>
      </c>
      <c r="C70" s="244"/>
      <c r="D70" s="654"/>
      <c r="E70" s="466"/>
      <c r="F70" s="612"/>
      <c r="G70" s="2973"/>
      <c r="H70" s="230"/>
      <c r="I70" s="230"/>
      <c r="J70" s="230"/>
      <c r="K70" s="230"/>
      <c r="L70" s="230"/>
      <c r="M70" s="228"/>
      <c r="N70" s="257"/>
      <c r="O70" s="228"/>
      <c r="P70" s="228"/>
      <c r="Q70" s="258"/>
      <c r="R70" s="2381"/>
      <c r="S70" s="2381"/>
      <c r="T70" s="254"/>
      <c r="U70" s="228"/>
      <c r="V70" s="2357"/>
      <c r="W70" s="256"/>
      <c r="X70" s="248"/>
      <c r="Y70" s="248"/>
      <c r="Z70" s="248"/>
      <c r="AA70" s="247"/>
      <c r="AB70" s="248"/>
      <c r="AC70" s="248"/>
      <c r="AD70" s="194"/>
      <c r="AE70" s="249"/>
      <c r="AF70" s="250"/>
      <c r="AG70" s="251"/>
      <c r="AH70" s="252"/>
      <c r="AI70" s="241"/>
      <c r="AJ70" s="241"/>
      <c r="AK70" s="241"/>
      <c r="AL70" s="194"/>
      <c r="AM70" s="195"/>
      <c r="AN70" s="195"/>
    </row>
    <row r="71" spans="2:40">
      <c r="B71" s="253">
        <f t="shared" si="1"/>
        <v>63</v>
      </c>
      <c r="C71" s="244"/>
      <c r="D71" s="654"/>
      <c r="E71" s="466"/>
      <c r="F71" s="612"/>
      <c r="G71" s="2973"/>
      <c r="H71" s="230"/>
      <c r="I71" s="230"/>
      <c r="J71" s="230"/>
      <c r="K71" s="230"/>
      <c r="L71" s="230"/>
      <c r="M71" s="228"/>
      <c r="N71" s="257"/>
      <c r="O71" s="228"/>
      <c r="P71" s="228"/>
      <c r="Q71" s="258"/>
      <c r="R71" s="2381"/>
      <c r="S71" s="2381"/>
      <c r="T71" s="254"/>
      <c r="U71" s="228"/>
      <c r="V71" s="2357"/>
      <c r="W71" s="256"/>
      <c r="X71" s="248"/>
      <c r="Y71" s="248"/>
      <c r="Z71" s="248"/>
      <c r="AA71" s="247"/>
      <c r="AB71" s="248"/>
      <c r="AC71" s="248"/>
      <c r="AD71" s="194"/>
      <c r="AE71" s="249"/>
      <c r="AF71" s="250"/>
      <c r="AG71" s="251"/>
      <c r="AH71" s="252"/>
      <c r="AI71" s="241"/>
      <c r="AJ71" s="241"/>
      <c r="AK71" s="241"/>
      <c r="AL71" s="194"/>
      <c r="AM71" s="195"/>
      <c r="AN71" s="195"/>
    </row>
    <row r="72" spans="2:40">
      <c r="B72" s="253">
        <f t="shared" si="1"/>
        <v>64</v>
      </c>
      <c r="C72" s="244"/>
      <c r="D72" s="654"/>
      <c r="E72" s="466"/>
      <c r="F72" s="612"/>
      <c r="G72" s="2973"/>
      <c r="H72" s="230"/>
      <c r="I72" s="230"/>
      <c r="J72" s="230"/>
      <c r="K72" s="230"/>
      <c r="L72" s="230"/>
      <c r="M72" s="228"/>
      <c r="N72" s="257"/>
      <c r="O72" s="228"/>
      <c r="P72" s="228"/>
      <c r="Q72" s="258"/>
      <c r="R72" s="2381"/>
      <c r="S72" s="2381"/>
      <c r="T72" s="254"/>
      <c r="U72" s="228"/>
      <c r="V72" s="2357"/>
      <c r="W72" s="256"/>
      <c r="X72" s="248"/>
      <c r="Y72" s="248"/>
      <c r="Z72" s="248"/>
      <c r="AA72" s="247"/>
      <c r="AB72" s="248"/>
      <c r="AC72" s="248"/>
      <c r="AD72" s="194"/>
      <c r="AE72" s="249"/>
      <c r="AF72" s="250"/>
      <c r="AG72" s="251"/>
      <c r="AH72" s="252"/>
      <c r="AI72" s="241"/>
      <c r="AJ72" s="241"/>
      <c r="AK72" s="241"/>
      <c r="AL72" s="194"/>
      <c r="AM72" s="195"/>
      <c r="AN72" s="195"/>
    </row>
    <row r="73" spans="2:40">
      <c r="B73" s="253">
        <f t="shared" si="1"/>
        <v>65</v>
      </c>
      <c r="C73" s="244"/>
      <c r="D73" s="654"/>
      <c r="E73" s="466"/>
      <c r="F73" s="612"/>
      <c r="G73" s="2973"/>
      <c r="H73" s="230"/>
      <c r="I73" s="230"/>
      <c r="J73" s="230"/>
      <c r="K73" s="230"/>
      <c r="L73" s="230"/>
      <c r="M73" s="228"/>
      <c r="N73" s="257"/>
      <c r="O73" s="228"/>
      <c r="P73" s="228"/>
      <c r="Q73" s="258"/>
      <c r="R73" s="2381"/>
      <c r="S73" s="2381"/>
      <c r="T73" s="254"/>
      <c r="U73" s="228"/>
      <c r="V73" s="2357"/>
      <c r="W73" s="256"/>
      <c r="X73" s="248"/>
      <c r="Y73" s="248"/>
      <c r="Z73" s="248"/>
      <c r="AA73" s="247"/>
      <c r="AB73" s="248"/>
      <c r="AC73" s="248"/>
      <c r="AD73" s="194"/>
      <c r="AE73" s="249"/>
      <c r="AF73" s="250"/>
      <c r="AG73" s="251"/>
      <c r="AH73" s="252"/>
      <c r="AI73" s="241"/>
      <c r="AJ73" s="241"/>
      <c r="AK73" s="241"/>
      <c r="AL73" s="194"/>
      <c r="AM73" s="195"/>
      <c r="AN73" s="195"/>
    </row>
    <row r="74" spans="2:40">
      <c r="B74" s="253">
        <f t="shared" si="1"/>
        <v>66</v>
      </c>
      <c r="C74" s="244"/>
      <c r="D74" s="654"/>
      <c r="E74" s="466"/>
      <c r="F74" s="612"/>
      <c r="G74" s="2973"/>
      <c r="H74" s="230"/>
      <c r="I74" s="230"/>
      <c r="J74" s="230"/>
      <c r="K74" s="230"/>
      <c r="L74" s="230"/>
      <c r="M74" s="228"/>
      <c r="N74" s="257"/>
      <c r="O74" s="228"/>
      <c r="P74" s="228"/>
      <c r="Q74" s="258"/>
      <c r="R74" s="2381"/>
      <c r="S74" s="2381"/>
      <c r="T74" s="254"/>
      <c r="U74" s="228"/>
      <c r="V74" s="2357"/>
      <c r="W74" s="256"/>
      <c r="X74" s="248"/>
      <c r="Y74" s="248"/>
      <c r="Z74" s="248"/>
      <c r="AA74" s="247"/>
      <c r="AB74" s="248"/>
      <c r="AC74" s="248"/>
      <c r="AD74" s="194"/>
      <c r="AE74" s="249"/>
      <c r="AF74" s="250"/>
      <c r="AG74" s="251"/>
      <c r="AH74" s="252"/>
      <c r="AI74" s="241"/>
      <c r="AJ74" s="241"/>
      <c r="AK74" s="241"/>
      <c r="AL74" s="194"/>
      <c r="AM74" s="195"/>
      <c r="AN74" s="195"/>
    </row>
    <row r="75" spans="2:40">
      <c r="B75" s="253">
        <f t="shared" si="1"/>
        <v>67</v>
      </c>
      <c r="C75" s="244"/>
      <c r="D75" s="654"/>
      <c r="E75" s="466"/>
      <c r="F75" s="612"/>
      <c r="G75" s="2973"/>
      <c r="H75" s="230"/>
      <c r="I75" s="230"/>
      <c r="J75" s="230"/>
      <c r="K75" s="230"/>
      <c r="L75" s="230"/>
      <c r="M75" s="228"/>
      <c r="N75" s="257"/>
      <c r="O75" s="228"/>
      <c r="P75" s="228"/>
      <c r="Q75" s="258"/>
      <c r="R75" s="2381"/>
      <c r="S75" s="2381"/>
      <c r="T75" s="254"/>
      <c r="U75" s="228"/>
      <c r="V75" s="2357"/>
      <c r="W75" s="256"/>
      <c r="X75" s="248"/>
      <c r="Y75" s="248"/>
      <c r="Z75" s="248"/>
      <c r="AA75" s="247"/>
      <c r="AB75" s="248"/>
      <c r="AC75" s="248"/>
      <c r="AD75" s="194"/>
      <c r="AE75" s="249"/>
      <c r="AF75" s="250"/>
      <c r="AG75" s="251"/>
      <c r="AH75" s="252"/>
      <c r="AI75" s="241"/>
      <c r="AJ75" s="241"/>
      <c r="AK75" s="241"/>
      <c r="AL75" s="194"/>
      <c r="AM75" s="195"/>
      <c r="AN75" s="195"/>
    </row>
    <row r="76" spans="2:40">
      <c r="B76" s="253">
        <f t="shared" si="1"/>
        <v>68</v>
      </c>
      <c r="C76" s="244"/>
      <c r="D76" s="654"/>
      <c r="E76" s="466"/>
      <c r="F76" s="612"/>
      <c r="G76" s="2973"/>
      <c r="H76" s="230"/>
      <c r="I76" s="230"/>
      <c r="J76" s="230"/>
      <c r="K76" s="230"/>
      <c r="L76" s="230"/>
      <c r="M76" s="228"/>
      <c r="N76" s="257"/>
      <c r="O76" s="228"/>
      <c r="P76" s="228"/>
      <c r="Q76" s="258"/>
      <c r="R76" s="2381"/>
      <c r="S76" s="2381"/>
      <c r="T76" s="254"/>
      <c r="U76" s="228"/>
      <c r="V76" s="2357"/>
      <c r="W76" s="256"/>
      <c r="X76" s="248"/>
      <c r="Y76" s="248"/>
      <c r="Z76" s="248"/>
      <c r="AA76" s="247"/>
      <c r="AB76" s="248"/>
      <c r="AC76" s="248"/>
      <c r="AD76" s="194"/>
      <c r="AE76" s="249"/>
      <c r="AF76" s="250"/>
      <c r="AG76" s="251"/>
      <c r="AH76" s="252"/>
      <c r="AI76" s="241"/>
      <c r="AJ76" s="241"/>
      <c r="AK76" s="241"/>
      <c r="AL76" s="194"/>
      <c r="AM76" s="195"/>
      <c r="AN76" s="195"/>
    </row>
    <row r="77" spans="2:40">
      <c r="B77" s="253">
        <f t="shared" si="1"/>
        <v>69</v>
      </c>
      <c r="C77" s="244"/>
      <c r="D77" s="654"/>
      <c r="E77" s="466"/>
      <c r="F77" s="612"/>
      <c r="G77" s="2973"/>
      <c r="H77" s="230"/>
      <c r="I77" s="230"/>
      <c r="J77" s="230"/>
      <c r="K77" s="230"/>
      <c r="L77" s="230"/>
      <c r="M77" s="228"/>
      <c r="N77" s="257"/>
      <c r="O77" s="228"/>
      <c r="P77" s="228"/>
      <c r="Q77" s="258"/>
      <c r="R77" s="2381"/>
      <c r="S77" s="2381"/>
      <c r="T77" s="254"/>
      <c r="U77" s="228"/>
      <c r="V77" s="2357"/>
      <c r="W77" s="256"/>
      <c r="X77" s="248"/>
      <c r="Y77" s="248"/>
      <c r="Z77" s="248"/>
      <c r="AA77" s="247"/>
      <c r="AB77" s="248"/>
      <c r="AC77" s="248"/>
      <c r="AD77" s="194"/>
      <c r="AE77" s="249"/>
      <c r="AF77" s="250"/>
      <c r="AG77" s="251"/>
      <c r="AH77" s="252"/>
      <c r="AI77" s="241"/>
      <c r="AJ77" s="241"/>
      <c r="AK77" s="241"/>
      <c r="AL77" s="194"/>
      <c r="AM77" s="195"/>
      <c r="AN77" s="195"/>
    </row>
    <row r="78" spans="2:40">
      <c r="B78" s="253">
        <f t="shared" si="1"/>
        <v>70</v>
      </c>
      <c r="C78" s="244"/>
      <c r="D78" s="654"/>
      <c r="E78" s="466"/>
      <c r="F78" s="612"/>
      <c r="G78" s="2973"/>
      <c r="H78" s="230"/>
      <c r="I78" s="230"/>
      <c r="J78" s="230"/>
      <c r="K78" s="230"/>
      <c r="L78" s="230"/>
      <c r="M78" s="228"/>
      <c r="N78" s="257"/>
      <c r="O78" s="228"/>
      <c r="P78" s="228"/>
      <c r="Q78" s="258"/>
      <c r="R78" s="2381"/>
      <c r="S78" s="2381"/>
      <c r="T78" s="254"/>
      <c r="U78" s="228"/>
      <c r="V78" s="2357"/>
      <c r="W78" s="256"/>
      <c r="X78" s="248"/>
      <c r="Y78" s="248"/>
      <c r="Z78" s="248"/>
      <c r="AA78" s="247"/>
      <c r="AB78" s="248"/>
      <c r="AC78" s="248"/>
      <c r="AD78" s="194"/>
      <c r="AE78" s="249"/>
      <c r="AF78" s="250"/>
      <c r="AG78" s="251"/>
      <c r="AH78" s="252"/>
      <c r="AI78" s="241"/>
      <c r="AJ78" s="241"/>
      <c r="AK78" s="241"/>
      <c r="AL78" s="194"/>
      <c r="AM78" s="195"/>
      <c r="AN78" s="195"/>
    </row>
    <row r="79" spans="2:40">
      <c r="B79" s="253">
        <f t="shared" si="1"/>
        <v>71</v>
      </c>
      <c r="C79" s="244"/>
      <c r="D79" s="654"/>
      <c r="E79" s="466"/>
      <c r="F79" s="612"/>
      <c r="G79" s="2973"/>
      <c r="H79" s="230"/>
      <c r="I79" s="230"/>
      <c r="J79" s="230"/>
      <c r="K79" s="230"/>
      <c r="L79" s="230"/>
      <c r="M79" s="228"/>
      <c r="N79" s="257"/>
      <c r="O79" s="228"/>
      <c r="P79" s="228"/>
      <c r="Q79" s="258"/>
      <c r="R79" s="2381"/>
      <c r="S79" s="2381"/>
      <c r="T79" s="254"/>
      <c r="U79" s="228"/>
      <c r="V79" s="2357"/>
      <c r="W79" s="256"/>
      <c r="X79" s="248"/>
      <c r="Y79" s="248"/>
      <c r="Z79" s="248"/>
      <c r="AA79" s="247"/>
      <c r="AB79" s="248"/>
      <c r="AC79" s="248"/>
      <c r="AD79" s="194"/>
      <c r="AE79" s="249"/>
      <c r="AF79" s="250"/>
      <c r="AG79" s="251"/>
      <c r="AH79" s="252"/>
      <c r="AI79" s="241"/>
      <c r="AJ79" s="241"/>
      <c r="AK79" s="241"/>
      <c r="AL79" s="194"/>
      <c r="AM79" s="195"/>
      <c r="AN79" s="195"/>
    </row>
    <row r="80" spans="2:40">
      <c r="B80" s="253">
        <f t="shared" si="1"/>
        <v>72</v>
      </c>
      <c r="C80" s="244"/>
      <c r="D80" s="654"/>
      <c r="E80" s="466"/>
      <c r="F80" s="612"/>
      <c r="G80" s="2973"/>
      <c r="H80" s="230"/>
      <c r="I80" s="230"/>
      <c r="J80" s="230"/>
      <c r="K80" s="230"/>
      <c r="L80" s="230"/>
      <c r="M80" s="228"/>
      <c r="N80" s="257"/>
      <c r="O80" s="228"/>
      <c r="P80" s="228"/>
      <c r="Q80" s="258"/>
      <c r="R80" s="2381"/>
      <c r="S80" s="2381"/>
      <c r="T80" s="254"/>
      <c r="U80" s="228"/>
      <c r="V80" s="2357"/>
      <c r="W80" s="256"/>
      <c r="X80" s="248"/>
      <c r="Y80" s="248"/>
      <c r="Z80" s="248"/>
      <c r="AA80" s="247"/>
      <c r="AB80" s="248"/>
      <c r="AC80" s="248"/>
      <c r="AD80" s="194"/>
      <c r="AE80" s="249"/>
      <c r="AF80" s="250"/>
      <c r="AG80" s="251"/>
      <c r="AH80" s="252"/>
      <c r="AI80" s="241"/>
      <c r="AJ80" s="241"/>
      <c r="AK80" s="241"/>
      <c r="AL80" s="194"/>
      <c r="AM80" s="195"/>
      <c r="AN80" s="195"/>
    </row>
    <row r="81" spans="2:40">
      <c r="B81" s="253">
        <f t="shared" si="1"/>
        <v>73</v>
      </c>
      <c r="C81" s="244"/>
      <c r="D81" s="654"/>
      <c r="E81" s="466"/>
      <c r="F81" s="612"/>
      <c r="G81" s="2973"/>
      <c r="H81" s="230"/>
      <c r="I81" s="230"/>
      <c r="J81" s="230"/>
      <c r="K81" s="230"/>
      <c r="L81" s="230"/>
      <c r="M81" s="228"/>
      <c r="N81" s="257"/>
      <c r="O81" s="228"/>
      <c r="P81" s="228"/>
      <c r="Q81" s="258"/>
      <c r="R81" s="2381"/>
      <c r="S81" s="2381"/>
      <c r="T81" s="254"/>
      <c r="U81" s="228"/>
      <c r="V81" s="2357"/>
      <c r="W81" s="256"/>
      <c r="X81" s="248"/>
      <c r="Y81" s="248"/>
      <c r="Z81" s="248"/>
      <c r="AA81" s="247"/>
      <c r="AB81" s="248"/>
      <c r="AC81" s="248"/>
      <c r="AD81" s="194"/>
      <c r="AE81" s="249"/>
      <c r="AF81" s="250"/>
      <c r="AG81" s="251"/>
      <c r="AH81" s="252"/>
      <c r="AI81" s="241"/>
      <c r="AJ81" s="241"/>
      <c r="AK81" s="241"/>
      <c r="AL81" s="194"/>
      <c r="AM81" s="195"/>
      <c r="AN81" s="195"/>
    </row>
    <row r="82" spans="2:40">
      <c r="B82" s="253">
        <f t="shared" si="1"/>
        <v>74</v>
      </c>
      <c r="C82" s="244"/>
      <c r="D82" s="654"/>
      <c r="E82" s="466"/>
      <c r="F82" s="612"/>
      <c r="G82" s="2973"/>
      <c r="H82" s="230"/>
      <c r="I82" s="230"/>
      <c r="J82" s="230"/>
      <c r="K82" s="230"/>
      <c r="L82" s="230"/>
      <c r="M82" s="228"/>
      <c r="N82" s="257"/>
      <c r="O82" s="228"/>
      <c r="P82" s="228"/>
      <c r="Q82" s="258"/>
      <c r="R82" s="2381"/>
      <c r="S82" s="2381"/>
      <c r="T82" s="254"/>
      <c r="U82" s="228"/>
      <c r="V82" s="2357"/>
      <c r="W82" s="256"/>
      <c r="X82" s="248"/>
      <c r="Y82" s="248"/>
      <c r="Z82" s="248"/>
      <c r="AA82" s="247"/>
      <c r="AB82" s="248"/>
      <c r="AC82" s="248"/>
      <c r="AD82" s="194"/>
      <c r="AE82" s="249"/>
      <c r="AF82" s="250"/>
      <c r="AG82" s="251"/>
      <c r="AH82" s="252"/>
      <c r="AI82" s="241"/>
      <c r="AJ82" s="241"/>
      <c r="AK82" s="241"/>
      <c r="AL82" s="194"/>
      <c r="AM82" s="195"/>
      <c r="AN82" s="195"/>
    </row>
    <row r="83" spans="2:40">
      <c r="B83" s="253">
        <f t="shared" si="1"/>
        <v>75</v>
      </c>
      <c r="C83" s="244"/>
      <c r="D83" s="654"/>
      <c r="E83" s="466"/>
      <c r="F83" s="612"/>
      <c r="G83" s="2973"/>
      <c r="H83" s="230"/>
      <c r="I83" s="230"/>
      <c r="J83" s="230"/>
      <c r="K83" s="230"/>
      <c r="L83" s="230"/>
      <c r="M83" s="228"/>
      <c r="N83" s="257"/>
      <c r="O83" s="228"/>
      <c r="P83" s="228"/>
      <c r="Q83" s="258"/>
      <c r="R83" s="2381"/>
      <c r="S83" s="2381"/>
      <c r="T83" s="254"/>
      <c r="U83" s="228"/>
      <c r="V83" s="2357"/>
      <c r="W83" s="256"/>
      <c r="X83" s="248"/>
      <c r="Y83" s="248"/>
      <c r="Z83" s="248"/>
      <c r="AA83" s="247"/>
      <c r="AB83" s="248"/>
      <c r="AC83" s="248"/>
      <c r="AD83" s="194"/>
      <c r="AE83" s="249"/>
      <c r="AF83" s="250"/>
      <c r="AG83" s="251"/>
      <c r="AH83" s="252"/>
      <c r="AI83" s="241"/>
      <c r="AJ83" s="241"/>
      <c r="AK83" s="241"/>
      <c r="AL83" s="194"/>
      <c r="AM83" s="195"/>
      <c r="AN83" s="195"/>
    </row>
    <row r="84" spans="2:40">
      <c r="B84" s="253">
        <f t="shared" si="1"/>
        <v>76</v>
      </c>
      <c r="C84" s="244"/>
      <c r="D84" s="654"/>
      <c r="E84" s="466"/>
      <c r="F84" s="612"/>
      <c r="G84" s="2973"/>
      <c r="H84" s="230"/>
      <c r="I84" s="230"/>
      <c r="J84" s="230"/>
      <c r="K84" s="230"/>
      <c r="L84" s="230"/>
      <c r="M84" s="228"/>
      <c r="N84" s="257"/>
      <c r="O84" s="228"/>
      <c r="P84" s="228"/>
      <c r="Q84" s="258"/>
      <c r="R84" s="2381"/>
      <c r="S84" s="2381"/>
      <c r="T84" s="254"/>
      <c r="U84" s="228"/>
      <c r="V84" s="2357"/>
      <c r="W84" s="256"/>
      <c r="X84" s="248"/>
      <c r="Y84" s="248"/>
      <c r="Z84" s="248"/>
      <c r="AA84" s="247"/>
      <c r="AB84" s="248"/>
      <c r="AC84" s="248"/>
      <c r="AD84" s="194"/>
      <c r="AE84" s="249"/>
      <c r="AF84" s="250"/>
      <c r="AG84" s="251"/>
      <c r="AH84" s="252"/>
      <c r="AI84" s="241"/>
      <c r="AJ84" s="241"/>
      <c r="AK84" s="241"/>
      <c r="AL84" s="194"/>
      <c r="AM84" s="195"/>
      <c r="AN84" s="195"/>
    </row>
    <row r="85" spans="2:40">
      <c r="B85" s="253">
        <f t="shared" si="1"/>
        <v>77</v>
      </c>
      <c r="C85" s="244"/>
      <c r="D85" s="654"/>
      <c r="E85" s="466"/>
      <c r="F85" s="612"/>
      <c r="G85" s="2973"/>
      <c r="H85" s="230"/>
      <c r="I85" s="230"/>
      <c r="J85" s="230"/>
      <c r="K85" s="230"/>
      <c r="L85" s="230"/>
      <c r="M85" s="228"/>
      <c r="N85" s="257"/>
      <c r="O85" s="228"/>
      <c r="P85" s="228"/>
      <c r="Q85" s="258"/>
      <c r="R85" s="2381"/>
      <c r="S85" s="2381"/>
      <c r="T85" s="254"/>
      <c r="U85" s="228"/>
      <c r="V85" s="2357"/>
      <c r="W85" s="256"/>
      <c r="X85" s="248"/>
      <c r="Y85" s="248"/>
      <c r="Z85" s="248"/>
      <c r="AA85" s="247"/>
      <c r="AB85" s="248"/>
      <c r="AC85" s="248"/>
      <c r="AD85" s="194"/>
      <c r="AE85" s="249"/>
      <c r="AF85" s="250"/>
      <c r="AG85" s="251"/>
      <c r="AH85" s="252"/>
      <c r="AI85" s="241"/>
      <c r="AJ85" s="241"/>
      <c r="AK85" s="241"/>
      <c r="AL85" s="194"/>
      <c r="AM85" s="195"/>
      <c r="AN85" s="195"/>
    </row>
    <row r="86" spans="2:40">
      <c r="B86" s="253">
        <f t="shared" si="1"/>
        <v>78</v>
      </c>
      <c r="C86" s="244"/>
      <c r="D86" s="654"/>
      <c r="E86" s="466"/>
      <c r="F86" s="612"/>
      <c r="G86" s="2973"/>
      <c r="H86" s="230"/>
      <c r="I86" s="230"/>
      <c r="J86" s="230"/>
      <c r="K86" s="230"/>
      <c r="L86" s="230"/>
      <c r="M86" s="228"/>
      <c r="N86" s="257"/>
      <c r="O86" s="228"/>
      <c r="P86" s="228"/>
      <c r="Q86" s="258"/>
      <c r="R86" s="2381"/>
      <c r="S86" s="2381"/>
      <c r="T86" s="254"/>
      <c r="U86" s="228"/>
      <c r="V86" s="2357"/>
      <c r="W86" s="256"/>
      <c r="X86" s="248"/>
      <c r="Y86" s="248"/>
      <c r="Z86" s="248"/>
      <c r="AA86" s="247"/>
      <c r="AB86" s="248"/>
      <c r="AC86" s="248"/>
      <c r="AD86" s="194"/>
      <c r="AE86" s="249"/>
      <c r="AF86" s="250"/>
      <c r="AG86" s="251"/>
      <c r="AH86" s="252"/>
      <c r="AI86" s="241"/>
      <c r="AJ86" s="241"/>
      <c r="AK86" s="241"/>
      <c r="AL86" s="194"/>
      <c r="AM86" s="195"/>
      <c r="AN86" s="195"/>
    </row>
    <row r="87" spans="2:40">
      <c r="B87" s="253">
        <f t="shared" si="1"/>
        <v>79</v>
      </c>
      <c r="C87" s="244"/>
      <c r="D87" s="654"/>
      <c r="E87" s="466"/>
      <c r="F87" s="612"/>
      <c r="G87" s="2973"/>
      <c r="H87" s="230"/>
      <c r="I87" s="230"/>
      <c r="J87" s="230"/>
      <c r="K87" s="230"/>
      <c r="L87" s="230"/>
      <c r="M87" s="228"/>
      <c r="N87" s="257"/>
      <c r="O87" s="228"/>
      <c r="P87" s="228"/>
      <c r="Q87" s="258"/>
      <c r="R87" s="2381"/>
      <c r="S87" s="2381"/>
      <c r="T87" s="254"/>
      <c r="U87" s="228"/>
      <c r="V87" s="2357"/>
      <c r="W87" s="256"/>
      <c r="X87" s="248"/>
      <c r="Y87" s="248"/>
      <c r="Z87" s="248"/>
      <c r="AA87" s="247"/>
      <c r="AB87" s="248"/>
      <c r="AC87" s="248"/>
      <c r="AD87" s="194"/>
      <c r="AE87" s="249"/>
      <c r="AF87" s="250"/>
      <c r="AG87" s="251"/>
      <c r="AH87" s="252"/>
      <c r="AI87" s="241"/>
      <c r="AJ87" s="241"/>
      <c r="AK87" s="241"/>
      <c r="AL87" s="194"/>
      <c r="AM87" s="195"/>
      <c r="AN87" s="195"/>
    </row>
    <row r="88" spans="2:40">
      <c r="B88" s="253">
        <f t="shared" si="1"/>
        <v>80</v>
      </c>
      <c r="C88" s="244"/>
      <c r="D88" s="654"/>
      <c r="E88" s="466"/>
      <c r="F88" s="612"/>
      <c r="G88" s="2973"/>
      <c r="H88" s="230"/>
      <c r="I88" s="230"/>
      <c r="J88" s="230"/>
      <c r="K88" s="230"/>
      <c r="L88" s="230"/>
      <c r="M88" s="228"/>
      <c r="N88" s="257"/>
      <c r="O88" s="228"/>
      <c r="P88" s="228"/>
      <c r="Q88" s="258"/>
      <c r="R88" s="2381"/>
      <c r="S88" s="2381"/>
      <c r="T88" s="254"/>
      <c r="U88" s="228"/>
      <c r="V88" s="2357"/>
      <c r="W88" s="256"/>
      <c r="X88" s="248"/>
      <c r="Y88" s="248"/>
      <c r="Z88" s="248"/>
      <c r="AA88" s="247"/>
      <c r="AB88" s="248"/>
      <c r="AC88" s="248"/>
      <c r="AD88" s="194"/>
      <c r="AE88" s="249"/>
      <c r="AF88" s="250"/>
      <c r="AG88" s="251"/>
      <c r="AH88" s="252"/>
      <c r="AI88" s="241"/>
      <c r="AJ88" s="241"/>
      <c r="AK88" s="241"/>
      <c r="AL88" s="194"/>
      <c r="AM88" s="195"/>
      <c r="AN88" s="195"/>
    </row>
    <row r="89" spans="2:40">
      <c r="B89" s="253">
        <f t="shared" si="1"/>
        <v>81</v>
      </c>
      <c r="C89" s="244"/>
      <c r="D89" s="654"/>
      <c r="E89" s="466"/>
      <c r="F89" s="612"/>
      <c r="G89" s="2973"/>
      <c r="H89" s="230"/>
      <c r="I89" s="230"/>
      <c r="J89" s="230"/>
      <c r="K89" s="230"/>
      <c r="L89" s="230"/>
      <c r="M89" s="228"/>
      <c r="N89" s="257"/>
      <c r="O89" s="228"/>
      <c r="P89" s="228"/>
      <c r="Q89" s="258"/>
      <c r="R89" s="2381"/>
      <c r="S89" s="2381"/>
      <c r="T89" s="254"/>
      <c r="U89" s="228"/>
      <c r="V89" s="2357"/>
      <c r="W89" s="256"/>
      <c r="X89" s="248"/>
      <c r="Y89" s="248"/>
      <c r="Z89" s="248"/>
      <c r="AA89" s="247"/>
      <c r="AB89" s="248"/>
      <c r="AC89" s="248"/>
      <c r="AD89" s="194"/>
      <c r="AE89" s="249"/>
      <c r="AF89" s="250"/>
      <c r="AG89" s="251"/>
      <c r="AH89" s="252"/>
      <c r="AI89" s="241"/>
      <c r="AJ89" s="241"/>
      <c r="AK89" s="241"/>
      <c r="AL89" s="194"/>
      <c r="AM89" s="195"/>
      <c r="AN89" s="195"/>
    </row>
    <row r="90" spans="2:40">
      <c r="B90" s="253">
        <f t="shared" si="1"/>
        <v>82</v>
      </c>
      <c r="C90" s="244"/>
      <c r="D90" s="654"/>
      <c r="E90" s="466"/>
      <c r="F90" s="612"/>
      <c r="G90" s="2973"/>
      <c r="H90" s="230"/>
      <c r="I90" s="230"/>
      <c r="J90" s="230"/>
      <c r="K90" s="230"/>
      <c r="L90" s="230"/>
      <c r="M90" s="228"/>
      <c r="N90" s="257"/>
      <c r="O90" s="228"/>
      <c r="P90" s="228"/>
      <c r="Q90" s="258"/>
      <c r="R90" s="2381"/>
      <c r="S90" s="2381"/>
      <c r="T90" s="254"/>
      <c r="U90" s="228"/>
      <c r="V90" s="2357"/>
      <c r="W90" s="256"/>
      <c r="X90" s="248"/>
      <c r="Y90" s="248"/>
      <c r="Z90" s="248"/>
      <c r="AA90" s="247"/>
      <c r="AB90" s="248"/>
      <c r="AC90" s="248"/>
      <c r="AD90" s="194"/>
      <c r="AE90" s="249"/>
      <c r="AF90" s="250"/>
      <c r="AG90" s="251"/>
      <c r="AH90" s="252"/>
      <c r="AI90" s="241"/>
      <c r="AJ90" s="241"/>
      <c r="AK90" s="241"/>
      <c r="AL90" s="194"/>
      <c r="AM90" s="195"/>
      <c r="AN90" s="195"/>
    </row>
    <row r="91" spans="2:40">
      <c r="B91" s="253">
        <f t="shared" si="1"/>
        <v>83</v>
      </c>
      <c r="C91" s="244"/>
      <c r="D91" s="654"/>
      <c r="E91" s="466"/>
      <c r="F91" s="612"/>
      <c r="G91" s="2973"/>
      <c r="H91" s="230"/>
      <c r="I91" s="230"/>
      <c r="J91" s="230"/>
      <c r="K91" s="230"/>
      <c r="L91" s="230"/>
      <c r="M91" s="228"/>
      <c r="N91" s="257"/>
      <c r="O91" s="228"/>
      <c r="P91" s="228"/>
      <c r="Q91" s="258"/>
      <c r="R91" s="2381"/>
      <c r="S91" s="2381"/>
      <c r="T91" s="254"/>
      <c r="U91" s="228"/>
      <c r="V91" s="2357"/>
      <c r="W91" s="256"/>
      <c r="X91" s="248"/>
      <c r="Y91" s="248"/>
      <c r="Z91" s="248"/>
      <c r="AA91" s="247"/>
      <c r="AB91" s="248"/>
      <c r="AC91" s="248"/>
      <c r="AD91" s="194"/>
      <c r="AE91" s="249"/>
      <c r="AF91" s="250"/>
      <c r="AG91" s="251"/>
      <c r="AH91" s="252"/>
      <c r="AI91" s="241"/>
      <c r="AJ91" s="241"/>
      <c r="AK91" s="241"/>
      <c r="AL91" s="194"/>
      <c r="AM91" s="195"/>
      <c r="AN91" s="195"/>
    </row>
    <row r="92" spans="2:40">
      <c r="B92" s="253">
        <f t="shared" si="1"/>
        <v>84</v>
      </c>
      <c r="C92" s="244"/>
      <c r="D92" s="654"/>
      <c r="E92" s="466"/>
      <c r="F92" s="612"/>
      <c r="G92" s="2973"/>
      <c r="H92" s="230"/>
      <c r="I92" s="230"/>
      <c r="J92" s="230"/>
      <c r="K92" s="230"/>
      <c r="L92" s="230"/>
      <c r="M92" s="228"/>
      <c r="N92" s="257"/>
      <c r="O92" s="228"/>
      <c r="P92" s="228"/>
      <c r="Q92" s="258"/>
      <c r="R92" s="2381"/>
      <c r="S92" s="2381"/>
      <c r="T92" s="254"/>
      <c r="U92" s="228"/>
      <c r="V92" s="2357"/>
      <c r="W92" s="256"/>
      <c r="X92" s="248"/>
      <c r="Y92" s="248"/>
      <c r="Z92" s="248"/>
      <c r="AA92" s="247"/>
      <c r="AB92" s="248"/>
      <c r="AC92" s="248"/>
      <c r="AD92" s="194"/>
      <c r="AE92" s="249"/>
      <c r="AF92" s="250"/>
      <c r="AG92" s="251"/>
      <c r="AH92" s="252"/>
      <c r="AI92" s="241"/>
      <c r="AJ92" s="241"/>
      <c r="AK92" s="241"/>
      <c r="AL92" s="194"/>
      <c r="AM92" s="195"/>
      <c r="AN92" s="195"/>
    </row>
    <row r="93" spans="2:40">
      <c r="B93" s="253">
        <f t="shared" si="1"/>
        <v>85</v>
      </c>
      <c r="C93" s="244"/>
      <c r="D93" s="654"/>
      <c r="E93" s="466"/>
      <c r="F93" s="612"/>
      <c r="G93" s="2973"/>
      <c r="H93" s="230"/>
      <c r="I93" s="230"/>
      <c r="J93" s="230"/>
      <c r="K93" s="230"/>
      <c r="L93" s="230"/>
      <c r="M93" s="228"/>
      <c r="N93" s="257"/>
      <c r="O93" s="228"/>
      <c r="P93" s="228"/>
      <c r="Q93" s="258"/>
      <c r="R93" s="2381"/>
      <c r="S93" s="2381"/>
      <c r="T93" s="254"/>
      <c r="U93" s="228"/>
      <c r="V93" s="2357"/>
      <c r="W93" s="256"/>
      <c r="X93" s="248"/>
      <c r="Y93" s="248"/>
      <c r="Z93" s="248"/>
      <c r="AA93" s="247"/>
      <c r="AB93" s="248"/>
      <c r="AC93" s="248"/>
      <c r="AD93" s="194"/>
      <c r="AE93" s="249"/>
      <c r="AF93" s="250"/>
      <c r="AG93" s="251"/>
      <c r="AH93" s="252"/>
      <c r="AI93" s="241"/>
      <c r="AJ93" s="241"/>
      <c r="AK93" s="241"/>
      <c r="AL93" s="194"/>
      <c r="AM93" s="195"/>
      <c r="AN93" s="195"/>
    </row>
    <row r="94" spans="2:40">
      <c r="B94" s="253">
        <f t="shared" si="1"/>
        <v>86</v>
      </c>
      <c r="C94" s="244"/>
      <c r="D94" s="654"/>
      <c r="E94" s="466"/>
      <c r="F94" s="612"/>
      <c r="G94" s="2973"/>
      <c r="H94" s="230"/>
      <c r="I94" s="230"/>
      <c r="J94" s="230"/>
      <c r="K94" s="230"/>
      <c r="L94" s="230"/>
      <c r="M94" s="228"/>
      <c r="N94" s="257"/>
      <c r="O94" s="228"/>
      <c r="P94" s="228"/>
      <c r="Q94" s="258"/>
      <c r="R94" s="2381"/>
      <c r="S94" s="2381"/>
      <c r="T94" s="254"/>
      <c r="U94" s="228"/>
      <c r="V94" s="2357"/>
      <c r="W94" s="256"/>
      <c r="X94" s="248"/>
      <c r="Y94" s="248"/>
      <c r="Z94" s="248"/>
      <c r="AA94" s="247"/>
      <c r="AB94" s="248"/>
      <c r="AC94" s="248"/>
      <c r="AD94" s="194"/>
      <c r="AE94" s="249"/>
      <c r="AF94" s="250"/>
      <c r="AG94" s="251"/>
      <c r="AH94" s="252"/>
      <c r="AI94" s="241"/>
      <c r="AJ94" s="241"/>
      <c r="AK94" s="241"/>
      <c r="AL94" s="194"/>
      <c r="AM94" s="195"/>
      <c r="AN94" s="195"/>
    </row>
    <row r="95" spans="2:40">
      <c r="B95" s="253">
        <f t="shared" si="1"/>
        <v>87</v>
      </c>
      <c r="C95" s="244"/>
      <c r="D95" s="654"/>
      <c r="E95" s="466"/>
      <c r="F95" s="612"/>
      <c r="G95" s="2973"/>
      <c r="H95" s="230"/>
      <c r="I95" s="230"/>
      <c r="J95" s="230"/>
      <c r="K95" s="230"/>
      <c r="L95" s="230"/>
      <c r="M95" s="228"/>
      <c r="N95" s="257"/>
      <c r="O95" s="228"/>
      <c r="P95" s="228"/>
      <c r="Q95" s="258"/>
      <c r="R95" s="2381"/>
      <c r="S95" s="2381"/>
      <c r="T95" s="254"/>
      <c r="U95" s="228"/>
      <c r="V95" s="2357"/>
      <c r="W95" s="256"/>
      <c r="X95" s="248"/>
      <c r="Y95" s="248"/>
      <c r="Z95" s="248"/>
      <c r="AA95" s="247"/>
      <c r="AB95" s="248"/>
      <c r="AC95" s="248"/>
      <c r="AD95" s="194"/>
      <c r="AE95" s="249"/>
      <c r="AF95" s="250"/>
      <c r="AG95" s="251"/>
      <c r="AH95" s="252"/>
      <c r="AI95" s="241"/>
      <c r="AJ95" s="241"/>
      <c r="AK95" s="241"/>
      <c r="AL95" s="194"/>
      <c r="AM95" s="195"/>
      <c r="AN95" s="195"/>
    </row>
    <row r="96" spans="2:40">
      <c r="B96" s="253">
        <f t="shared" si="1"/>
        <v>88</v>
      </c>
      <c r="C96" s="244"/>
      <c r="D96" s="654"/>
      <c r="E96" s="466"/>
      <c r="F96" s="612"/>
      <c r="G96" s="2973"/>
      <c r="H96" s="230"/>
      <c r="I96" s="230"/>
      <c r="J96" s="230"/>
      <c r="K96" s="230"/>
      <c r="L96" s="230"/>
      <c r="M96" s="228"/>
      <c r="N96" s="257"/>
      <c r="O96" s="228"/>
      <c r="P96" s="228"/>
      <c r="Q96" s="258"/>
      <c r="R96" s="2381"/>
      <c r="S96" s="2381"/>
      <c r="T96" s="254"/>
      <c r="U96" s="228"/>
      <c r="V96" s="2357"/>
      <c r="W96" s="256"/>
      <c r="X96" s="248"/>
      <c r="Y96" s="248"/>
      <c r="Z96" s="248"/>
      <c r="AA96" s="247"/>
      <c r="AB96" s="248"/>
      <c r="AC96" s="248"/>
      <c r="AD96" s="194"/>
      <c r="AE96" s="249"/>
      <c r="AF96" s="250"/>
      <c r="AG96" s="251"/>
      <c r="AH96" s="252"/>
      <c r="AI96" s="241"/>
      <c r="AJ96" s="241"/>
      <c r="AK96" s="241"/>
      <c r="AL96" s="194"/>
      <c r="AM96" s="195"/>
      <c r="AN96" s="195"/>
    </row>
    <row r="97" spans="2:40">
      <c r="B97" s="253">
        <f t="shared" si="1"/>
        <v>89</v>
      </c>
      <c r="C97" s="244"/>
      <c r="D97" s="654"/>
      <c r="E97" s="466"/>
      <c r="F97" s="612"/>
      <c r="G97" s="2973"/>
      <c r="H97" s="230"/>
      <c r="I97" s="230"/>
      <c r="J97" s="230"/>
      <c r="K97" s="230"/>
      <c r="L97" s="230"/>
      <c r="M97" s="228"/>
      <c r="N97" s="257"/>
      <c r="O97" s="228"/>
      <c r="P97" s="228"/>
      <c r="Q97" s="258"/>
      <c r="R97" s="2381"/>
      <c r="S97" s="2381"/>
      <c r="T97" s="254"/>
      <c r="U97" s="228"/>
      <c r="V97" s="2357"/>
      <c r="W97" s="256"/>
      <c r="X97" s="248"/>
      <c r="Y97" s="248"/>
      <c r="Z97" s="248"/>
      <c r="AA97" s="247"/>
      <c r="AB97" s="248"/>
      <c r="AC97" s="248"/>
      <c r="AD97" s="194"/>
      <c r="AE97" s="249"/>
      <c r="AF97" s="250"/>
      <c r="AG97" s="251"/>
      <c r="AH97" s="252"/>
      <c r="AI97" s="241"/>
      <c r="AJ97" s="241"/>
      <c r="AK97" s="241"/>
      <c r="AL97" s="194"/>
      <c r="AM97" s="195"/>
      <c r="AN97" s="195"/>
    </row>
    <row r="98" spans="2:40">
      <c r="B98" s="253">
        <f t="shared" si="1"/>
        <v>90</v>
      </c>
      <c r="C98" s="244"/>
      <c r="D98" s="654"/>
      <c r="E98" s="466"/>
      <c r="F98" s="612"/>
      <c r="G98" s="2973"/>
      <c r="H98" s="230"/>
      <c r="I98" s="230"/>
      <c r="J98" s="230"/>
      <c r="K98" s="230"/>
      <c r="L98" s="230"/>
      <c r="M98" s="228"/>
      <c r="N98" s="257"/>
      <c r="O98" s="228"/>
      <c r="P98" s="228"/>
      <c r="Q98" s="258"/>
      <c r="R98" s="2381"/>
      <c r="S98" s="2381"/>
      <c r="T98" s="254"/>
      <c r="U98" s="228"/>
      <c r="V98" s="2357"/>
      <c r="W98" s="256"/>
      <c r="X98" s="248"/>
      <c r="Y98" s="248"/>
      <c r="Z98" s="248"/>
      <c r="AA98" s="247"/>
      <c r="AB98" s="248"/>
      <c r="AC98" s="248"/>
      <c r="AD98" s="194"/>
      <c r="AE98" s="249"/>
      <c r="AF98" s="250"/>
      <c r="AG98" s="251"/>
      <c r="AH98" s="252"/>
      <c r="AI98" s="241"/>
      <c r="AJ98" s="241"/>
      <c r="AK98" s="241"/>
      <c r="AL98" s="194"/>
      <c r="AM98" s="195"/>
      <c r="AN98" s="195"/>
    </row>
    <row r="99" spans="2:40">
      <c r="B99" s="253">
        <f t="shared" si="1"/>
        <v>91</v>
      </c>
      <c r="C99" s="244"/>
      <c r="D99" s="654"/>
      <c r="E99" s="466"/>
      <c r="F99" s="612"/>
      <c r="G99" s="2973"/>
      <c r="H99" s="230"/>
      <c r="I99" s="230"/>
      <c r="J99" s="230"/>
      <c r="K99" s="230"/>
      <c r="L99" s="230"/>
      <c r="M99" s="228"/>
      <c r="N99" s="257"/>
      <c r="O99" s="228"/>
      <c r="P99" s="228"/>
      <c r="Q99" s="258"/>
      <c r="R99" s="2381"/>
      <c r="S99" s="2381"/>
      <c r="T99" s="254"/>
      <c r="U99" s="228"/>
      <c r="V99" s="2357"/>
      <c r="W99" s="256"/>
      <c r="X99" s="248"/>
      <c r="Y99" s="248"/>
      <c r="Z99" s="248"/>
      <c r="AA99" s="247"/>
      <c r="AB99" s="248"/>
      <c r="AC99" s="248"/>
      <c r="AD99" s="194"/>
      <c r="AE99" s="249"/>
      <c r="AF99" s="250"/>
      <c r="AG99" s="251"/>
      <c r="AH99" s="252"/>
      <c r="AI99" s="241"/>
      <c r="AJ99" s="241"/>
      <c r="AK99" s="241"/>
      <c r="AL99" s="194"/>
      <c r="AM99" s="195"/>
      <c r="AN99" s="195"/>
    </row>
    <row r="100" spans="2:40">
      <c r="B100" s="253">
        <f t="shared" si="1"/>
        <v>92</v>
      </c>
      <c r="C100" s="244"/>
      <c r="D100" s="654"/>
      <c r="E100" s="466"/>
      <c r="F100" s="612"/>
      <c r="G100" s="2973"/>
      <c r="H100" s="230"/>
      <c r="I100" s="230"/>
      <c r="J100" s="230"/>
      <c r="K100" s="230"/>
      <c r="L100" s="230"/>
      <c r="M100" s="228"/>
      <c r="N100" s="257"/>
      <c r="O100" s="228"/>
      <c r="P100" s="228"/>
      <c r="Q100" s="258"/>
      <c r="R100" s="2381"/>
      <c r="S100" s="2381"/>
      <c r="T100" s="254"/>
      <c r="U100" s="228"/>
      <c r="V100" s="2357"/>
      <c r="W100" s="256"/>
      <c r="X100" s="248"/>
      <c r="Y100" s="248"/>
      <c r="Z100" s="248"/>
      <c r="AA100" s="247"/>
      <c r="AB100" s="248"/>
      <c r="AC100" s="248"/>
      <c r="AD100" s="194"/>
      <c r="AE100" s="249"/>
      <c r="AF100" s="250"/>
      <c r="AG100" s="251"/>
      <c r="AH100" s="252"/>
      <c r="AI100" s="241"/>
      <c r="AJ100" s="241"/>
      <c r="AK100" s="241"/>
      <c r="AL100" s="194"/>
      <c r="AM100" s="195"/>
      <c r="AN100" s="195"/>
    </row>
    <row r="101" spans="2:40">
      <c r="B101" s="253">
        <f t="shared" si="1"/>
        <v>93</v>
      </c>
      <c r="C101" s="244"/>
      <c r="D101" s="654"/>
      <c r="E101" s="466"/>
      <c r="F101" s="612"/>
      <c r="G101" s="2973"/>
      <c r="H101" s="230"/>
      <c r="I101" s="230"/>
      <c r="J101" s="230"/>
      <c r="K101" s="230"/>
      <c r="L101" s="230"/>
      <c r="M101" s="228"/>
      <c r="N101" s="257"/>
      <c r="O101" s="228"/>
      <c r="P101" s="228"/>
      <c r="Q101" s="258"/>
      <c r="R101" s="2381"/>
      <c r="S101" s="2381"/>
      <c r="T101" s="254"/>
      <c r="U101" s="228"/>
      <c r="V101" s="2357"/>
      <c r="W101" s="256"/>
      <c r="X101" s="248"/>
      <c r="Y101" s="248"/>
      <c r="Z101" s="248"/>
      <c r="AA101" s="247"/>
      <c r="AB101" s="248"/>
      <c r="AC101" s="248"/>
      <c r="AD101" s="194"/>
      <c r="AE101" s="249"/>
      <c r="AF101" s="250"/>
      <c r="AG101" s="251"/>
      <c r="AH101" s="252"/>
      <c r="AI101" s="241"/>
      <c r="AJ101" s="241"/>
      <c r="AK101" s="241"/>
      <c r="AL101" s="194"/>
      <c r="AM101" s="195"/>
      <c r="AN101" s="195"/>
    </row>
    <row r="102" spans="2:40">
      <c r="B102" s="253">
        <f t="shared" si="1"/>
        <v>94</v>
      </c>
      <c r="C102" s="244"/>
      <c r="D102" s="654"/>
      <c r="E102" s="466"/>
      <c r="F102" s="612"/>
      <c r="G102" s="2973"/>
      <c r="H102" s="230"/>
      <c r="I102" s="230"/>
      <c r="J102" s="230"/>
      <c r="K102" s="230"/>
      <c r="L102" s="230"/>
      <c r="M102" s="228"/>
      <c r="N102" s="257"/>
      <c r="O102" s="228"/>
      <c r="P102" s="228"/>
      <c r="Q102" s="258"/>
      <c r="R102" s="2381"/>
      <c r="S102" s="2381"/>
      <c r="T102" s="254"/>
      <c r="U102" s="228"/>
      <c r="V102" s="2357"/>
      <c r="W102" s="256"/>
      <c r="X102" s="248"/>
      <c r="Y102" s="248"/>
      <c r="Z102" s="248"/>
      <c r="AA102" s="247"/>
      <c r="AB102" s="248"/>
      <c r="AC102" s="248"/>
      <c r="AD102" s="194"/>
      <c r="AE102" s="249"/>
      <c r="AF102" s="250"/>
      <c r="AG102" s="251"/>
      <c r="AH102" s="252"/>
      <c r="AI102" s="241"/>
      <c r="AJ102" s="241"/>
      <c r="AK102" s="241"/>
      <c r="AL102" s="194"/>
      <c r="AM102" s="195"/>
      <c r="AN102" s="195"/>
    </row>
    <row r="103" spans="2:40">
      <c r="B103" s="253">
        <f t="shared" si="1"/>
        <v>95</v>
      </c>
      <c r="C103" s="244"/>
      <c r="D103" s="654"/>
      <c r="E103" s="466"/>
      <c r="F103" s="612"/>
      <c r="G103" s="2973"/>
      <c r="H103" s="230"/>
      <c r="I103" s="230"/>
      <c r="J103" s="230"/>
      <c r="K103" s="230"/>
      <c r="L103" s="230"/>
      <c r="M103" s="228"/>
      <c r="N103" s="257"/>
      <c r="O103" s="228"/>
      <c r="P103" s="228"/>
      <c r="Q103" s="258"/>
      <c r="R103" s="2381"/>
      <c r="S103" s="2381"/>
      <c r="T103" s="254"/>
      <c r="U103" s="228"/>
      <c r="V103" s="2357"/>
      <c r="W103" s="256"/>
      <c r="X103" s="248"/>
      <c r="Y103" s="248"/>
      <c r="Z103" s="248"/>
      <c r="AA103" s="247"/>
      <c r="AB103" s="248"/>
      <c r="AC103" s="248"/>
      <c r="AD103" s="194"/>
      <c r="AE103" s="249"/>
      <c r="AF103" s="250"/>
      <c r="AG103" s="251"/>
      <c r="AH103" s="252"/>
      <c r="AI103" s="241"/>
      <c r="AJ103" s="241"/>
      <c r="AK103" s="241"/>
      <c r="AL103" s="194"/>
      <c r="AM103" s="195"/>
      <c r="AN103" s="195"/>
    </row>
    <row r="104" spans="2:40">
      <c r="B104" s="253">
        <f t="shared" si="1"/>
        <v>96</v>
      </c>
      <c r="C104" s="244"/>
      <c r="D104" s="654"/>
      <c r="E104" s="466"/>
      <c r="F104" s="612"/>
      <c r="G104" s="2973"/>
      <c r="H104" s="230"/>
      <c r="I104" s="230"/>
      <c r="J104" s="230"/>
      <c r="K104" s="230"/>
      <c r="L104" s="230"/>
      <c r="M104" s="228"/>
      <c r="N104" s="257"/>
      <c r="O104" s="228"/>
      <c r="P104" s="228"/>
      <c r="Q104" s="258"/>
      <c r="R104" s="2381"/>
      <c r="S104" s="2381"/>
      <c r="T104" s="254"/>
      <c r="U104" s="228"/>
      <c r="V104" s="2357"/>
      <c r="W104" s="256"/>
      <c r="X104" s="248"/>
      <c r="Y104" s="248"/>
      <c r="Z104" s="248"/>
      <c r="AA104" s="247"/>
      <c r="AB104" s="248"/>
      <c r="AC104" s="248"/>
      <c r="AD104" s="194"/>
      <c r="AE104" s="249"/>
      <c r="AF104" s="250"/>
      <c r="AG104" s="251"/>
      <c r="AH104" s="252"/>
      <c r="AI104" s="241"/>
      <c r="AJ104" s="241"/>
      <c r="AK104" s="241"/>
      <c r="AL104" s="194"/>
      <c r="AM104" s="195"/>
      <c r="AN104" s="195"/>
    </row>
    <row r="105" spans="2:40">
      <c r="B105" s="253">
        <f t="shared" si="1"/>
        <v>97</v>
      </c>
      <c r="C105" s="244"/>
      <c r="D105" s="654"/>
      <c r="E105" s="466"/>
      <c r="F105" s="612"/>
      <c r="G105" s="2973"/>
      <c r="H105" s="230"/>
      <c r="I105" s="230"/>
      <c r="J105" s="230"/>
      <c r="K105" s="230"/>
      <c r="L105" s="230"/>
      <c r="M105" s="228"/>
      <c r="N105" s="257"/>
      <c r="O105" s="228"/>
      <c r="P105" s="228"/>
      <c r="Q105" s="258"/>
      <c r="R105" s="2381"/>
      <c r="S105" s="2381"/>
      <c r="T105" s="254"/>
      <c r="U105" s="228"/>
      <c r="V105" s="2357"/>
      <c r="W105" s="256"/>
      <c r="X105" s="248"/>
      <c r="Y105" s="248"/>
      <c r="Z105" s="248"/>
      <c r="AA105" s="247"/>
      <c r="AB105" s="248"/>
      <c r="AC105" s="248"/>
      <c r="AD105" s="194"/>
      <c r="AE105" s="249"/>
      <c r="AF105" s="250"/>
      <c r="AG105" s="251"/>
      <c r="AH105" s="252"/>
      <c r="AI105" s="241"/>
      <c r="AJ105" s="241"/>
      <c r="AK105" s="241"/>
      <c r="AL105" s="194"/>
      <c r="AM105" s="195"/>
      <c r="AN105" s="195"/>
    </row>
    <row r="106" spans="2:40">
      <c r="B106" s="253">
        <f t="shared" si="1"/>
        <v>98</v>
      </c>
      <c r="C106" s="244"/>
      <c r="D106" s="654"/>
      <c r="E106" s="466"/>
      <c r="F106" s="612"/>
      <c r="G106" s="2973"/>
      <c r="H106" s="230"/>
      <c r="I106" s="230"/>
      <c r="J106" s="230"/>
      <c r="K106" s="230"/>
      <c r="L106" s="230"/>
      <c r="M106" s="228"/>
      <c r="N106" s="257"/>
      <c r="O106" s="228"/>
      <c r="P106" s="228"/>
      <c r="Q106" s="258"/>
      <c r="R106" s="2381"/>
      <c r="S106" s="2381"/>
      <c r="T106" s="254"/>
      <c r="U106" s="228"/>
      <c r="V106" s="2357"/>
      <c r="W106" s="256"/>
      <c r="X106" s="248"/>
      <c r="Y106" s="248"/>
      <c r="Z106" s="248"/>
      <c r="AA106" s="247"/>
      <c r="AB106" s="248"/>
      <c r="AC106" s="248"/>
      <c r="AD106" s="194"/>
      <c r="AE106" s="249"/>
      <c r="AF106" s="250"/>
      <c r="AG106" s="251"/>
      <c r="AH106" s="252"/>
      <c r="AI106" s="241"/>
      <c r="AJ106" s="241"/>
      <c r="AK106" s="241"/>
      <c r="AL106" s="194"/>
      <c r="AM106" s="195"/>
      <c r="AN106" s="195"/>
    </row>
    <row r="107" spans="2:40">
      <c r="B107" s="253">
        <f t="shared" si="1"/>
        <v>99</v>
      </c>
      <c r="C107" s="244"/>
      <c r="D107" s="654"/>
      <c r="E107" s="466"/>
      <c r="F107" s="612"/>
      <c r="G107" s="2973"/>
      <c r="H107" s="230"/>
      <c r="I107" s="230"/>
      <c r="J107" s="230"/>
      <c r="K107" s="230"/>
      <c r="L107" s="230"/>
      <c r="M107" s="228"/>
      <c r="N107" s="257"/>
      <c r="O107" s="228"/>
      <c r="P107" s="228"/>
      <c r="Q107" s="258"/>
      <c r="R107" s="2381"/>
      <c r="S107" s="2381"/>
      <c r="T107" s="254"/>
      <c r="U107" s="228"/>
      <c r="V107" s="2357"/>
      <c r="W107" s="256"/>
      <c r="X107" s="248"/>
      <c r="Y107" s="248"/>
      <c r="Z107" s="248"/>
      <c r="AA107" s="247"/>
      <c r="AB107" s="248"/>
      <c r="AC107" s="248"/>
      <c r="AD107" s="194"/>
      <c r="AE107" s="249"/>
      <c r="AF107" s="250"/>
      <c r="AG107" s="251"/>
      <c r="AH107" s="252"/>
      <c r="AI107" s="241"/>
      <c r="AJ107" s="241"/>
      <c r="AK107" s="241"/>
      <c r="AL107" s="194"/>
      <c r="AM107" s="195"/>
      <c r="AN107" s="195"/>
    </row>
    <row r="108" spans="2:40">
      <c r="B108" s="253">
        <f t="shared" si="1"/>
        <v>100</v>
      </c>
      <c r="C108" s="244"/>
      <c r="D108" s="654"/>
      <c r="E108" s="466"/>
      <c r="F108" s="612"/>
      <c r="G108" s="2973"/>
      <c r="H108" s="230"/>
      <c r="I108" s="230"/>
      <c r="J108" s="230"/>
      <c r="K108" s="230"/>
      <c r="L108" s="230"/>
      <c r="M108" s="228"/>
      <c r="N108" s="257"/>
      <c r="O108" s="228"/>
      <c r="P108" s="228"/>
      <c r="Q108" s="258"/>
      <c r="R108" s="2381"/>
      <c r="S108" s="2381"/>
      <c r="T108" s="254"/>
      <c r="U108" s="228"/>
      <c r="V108" s="2357"/>
      <c r="W108" s="256"/>
      <c r="X108" s="248"/>
      <c r="Y108" s="248"/>
      <c r="Z108" s="248"/>
      <c r="AA108" s="247"/>
      <c r="AB108" s="248"/>
      <c r="AC108" s="248"/>
      <c r="AD108" s="194"/>
      <c r="AE108" s="249"/>
      <c r="AF108" s="250"/>
      <c r="AG108" s="251"/>
      <c r="AH108" s="252"/>
      <c r="AI108" s="241"/>
      <c r="AJ108" s="241"/>
      <c r="AK108" s="241"/>
      <c r="AL108" s="194"/>
      <c r="AM108" s="195"/>
      <c r="AN108" s="195"/>
    </row>
    <row r="109" spans="2:40">
      <c r="B109" s="253">
        <f t="shared" si="1"/>
        <v>101</v>
      </c>
      <c r="C109" s="244"/>
      <c r="D109" s="654"/>
      <c r="E109" s="466"/>
      <c r="F109" s="612"/>
      <c r="G109" s="2973"/>
      <c r="H109" s="230"/>
      <c r="I109" s="230"/>
      <c r="J109" s="230"/>
      <c r="K109" s="230"/>
      <c r="L109" s="230"/>
      <c r="M109" s="228"/>
      <c r="N109" s="257"/>
      <c r="O109" s="228"/>
      <c r="P109" s="228"/>
      <c r="Q109" s="258"/>
      <c r="R109" s="2381"/>
      <c r="S109" s="2381"/>
      <c r="T109" s="254"/>
      <c r="U109" s="228"/>
      <c r="V109" s="2357"/>
      <c r="W109" s="256"/>
      <c r="X109" s="248"/>
      <c r="Y109" s="248"/>
      <c r="Z109" s="248"/>
      <c r="AA109" s="247"/>
      <c r="AB109" s="248"/>
      <c r="AC109" s="248"/>
      <c r="AD109" s="194"/>
      <c r="AE109" s="249"/>
      <c r="AF109" s="250"/>
      <c r="AG109" s="251"/>
      <c r="AH109" s="252"/>
      <c r="AI109" s="241"/>
      <c r="AJ109" s="241"/>
      <c r="AK109" s="241"/>
      <c r="AL109" s="194"/>
      <c r="AM109" s="195"/>
      <c r="AN109" s="195"/>
    </row>
    <row r="110" spans="2:40">
      <c r="B110" s="253">
        <f t="shared" si="1"/>
        <v>102</v>
      </c>
      <c r="C110" s="244"/>
      <c r="D110" s="654"/>
      <c r="E110" s="466"/>
      <c r="F110" s="612"/>
      <c r="G110" s="2973"/>
      <c r="H110" s="230"/>
      <c r="I110" s="230"/>
      <c r="J110" s="230"/>
      <c r="K110" s="230"/>
      <c r="L110" s="230"/>
      <c r="M110" s="228"/>
      <c r="N110" s="257"/>
      <c r="O110" s="228"/>
      <c r="P110" s="228"/>
      <c r="Q110" s="258"/>
      <c r="R110" s="2381"/>
      <c r="S110" s="2381"/>
      <c r="T110" s="254"/>
      <c r="U110" s="228"/>
      <c r="V110" s="2357"/>
      <c r="W110" s="256"/>
      <c r="X110" s="248"/>
      <c r="Y110" s="248"/>
      <c r="Z110" s="248"/>
      <c r="AA110" s="247"/>
      <c r="AB110" s="248"/>
      <c r="AC110" s="248"/>
      <c r="AD110" s="194"/>
      <c r="AE110" s="249"/>
      <c r="AF110" s="250"/>
      <c r="AG110" s="251"/>
      <c r="AH110" s="252"/>
      <c r="AI110" s="241"/>
      <c r="AJ110" s="241"/>
      <c r="AK110" s="241"/>
      <c r="AL110" s="194"/>
      <c r="AM110" s="195"/>
      <c r="AN110" s="195"/>
    </row>
    <row r="111" spans="2:40">
      <c r="B111" s="253">
        <f t="shared" si="1"/>
        <v>103</v>
      </c>
      <c r="C111" s="244"/>
      <c r="D111" s="654"/>
      <c r="E111" s="466"/>
      <c r="F111" s="612"/>
      <c r="G111" s="2973"/>
      <c r="H111" s="230"/>
      <c r="I111" s="230"/>
      <c r="J111" s="230"/>
      <c r="K111" s="230"/>
      <c r="L111" s="230"/>
      <c r="M111" s="228"/>
      <c r="N111" s="257"/>
      <c r="O111" s="228"/>
      <c r="P111" s="228"/>
      <c r="Q111" s="258"/>
      <c r="R111" s="2381"/>
      <c r="S111" s="2381"/>
      <c r="T111" s="254"/>
      <c r="U111" s="228"/>
      <c r="V111" s="2357"/>
      <c r="W111" s="256"/>
      <c r="X111" s="248"/>
      <c r="Y111" s="248"/>
      <c r="Z111" s="248"/>
      <c r="AA111" s="247"/>
      <c r="AB111" s="248"/>
      <c r="AC111" s="248"/>
      <c r="AD111" s="194"/>
      <c r="AE111" s="249"/>
      <c r="AF111" s="250"/>
      <c r="AG111" s="251"/>
      <c r="AH111" s="252"/>
      <c r="AI111" s="241"/>
      <c r="AJ111" s="241"/>
      <c r="AK111" s="241"/>
      <c r="AL111" s="194"/>
      <c r="AM111" s="195"/>
      <c r="AN111" s="195"/>
    </row>
    <row r="112" spans="2:40">
      <c r="B112" s="253">
        <f t="shared" si="1"/>
        <v>104</v>
      </c>
      <c r="C112" s="244"/>
      <c r="D112" s="654"/>
      <c r="E112" s="466"/>
      <c r="F112" s="612"/>
      <c r="G112" s="2973"/>
      <c r="H112" s="230"/>
      <c r="I112" s="230"/>
      <c r="J112" s="230"/>
      <c r="K112" s="230"/>
      <c r="L112" s="230"/>
      <c r="M112" s="228"/>
      <c r="N112" s="257"/>
      <c r="O112" s="228"/>
      <c r="P112" s="228"/>
      <c r="Q112" s="258"/>
      <c r="R112" s="2381"/>
      <c r="S112" s="2381"/>
      <c r="T112" s="254"/>
      <c r="U112" s="228"/>
      <c r="V112" s="2357"/>
      <c r="W112" s="256"/>
      <c r="X112" s="248"/>
      <c r="Y112" s="248"/>
      <c r="Z112" s="248"/>
      <c r="AA112" s="247"/>
      <c r="AB112" s="248"/>
      <c r="AC112" s="248"/>
      <c r="AD112" s="194"/>
      <c r="AE112" s="249"/>
      <c r="AF112" s="250"/>
      <c r="AG112" s="251"/>
      <c r="AH112" s="252"/>
      <c r="AI112" s="241"/>
      <c r="AJ112" s="241"/>
      <c r="AK112" s="241"/>
      <c r="AL112" s="194"/>
      <c r="AM112" s="195"/>
      <c r="AN112" s="195"/>
    </row>
    <row r="113" spans="2:40">
      <c r="B113" s="253">
        <f t="shared" si="1"/>
        <v>105</v>
      </c>
      <c r="C113" s="244"/>
      <c r="D113" s="654"/>
      <c r="E113" s="466"/>
      <c r="F113" s="612"/>
      <c r="G113" s="2973"/>
      <c r="H113" s="230"/>
      <c r="I113" s="230"/>
      <c r="J113" s="230"/>
      <c r="K113" s="230"/>
      <c r="L113" s="230"/>
      <c r="M113" s="228"/>
      <c r="N113" s="257"/>
      <c r="O113" s="228"/>
      <c r="P113" s="228"/>
      <c r="Q113" s="258"/>
      <c r="R113" s="2381"/>
      <c r="S113" s="2381"/>
      <c r="T113" s="254"/>
      <c r="U113" s="228"/>
      <c r="V113" s="2357"/>
      <c r="W113" s="256"/>
      <c r="X113" s="248"/>
      <c r="Y113" s="248"/>
      <c r="Z113" s="248"/>
      <c r="AA113" s="247"/>
      <c r="AB113" s="248"/>
      <c r="AC113" s="248"/>
      <c r="AD113" s="194"/>
      <c r="AE113" s="249"/>
      <c r="AF113" s="250"/>
      <c r="AG113" s="251"/>
      <c r="AH113" s="252"/>
      <c r="AI113" s="241"/>
      <c r="AJ113" s="241"/>
      <c r="AK113" s="241"/>
      <c r="AL113" s="194"/>
      <c r="AM113" s="195"/>
      <c r="AN113" s="195"/>
    </row>
    <row r="114" spans="2:40">
      <c r="B114" s="253">
        <f t="shared" si="1"/>
        <v>106</v>
      </c>
      <c r="C114" s="244"/>
      <c r="D114" s="654"/>
      <c r="E114" s="466"/>
      <c r="F114" s="612"/>
      <c r="G114" s="2973"/>
      <c r="H114" s="230"/>
      <c r="I114" s="230"/>
      <c r="J114" s="230"/>
      <c r="K114" s="230"/>
      <c r="L114" s="230"/>
      <c r="M114" s="228"/>
      <c r="N114" s="257"/>
      <c r="O114" s="228"/>
      <c r="P114" s="228"/>
      <c r="Q114" s="258"/>
      <c r="R114" s="2381"/>
      <c r="S114" s="2381"/>
      <c r="T114" s="254"/>
      <c r="U114" s="228"/>
      <c r="V114" s="2357"/>
      <c r="W114" s="256"/>
      <c r="X114" s="248"/>
      <c r="Y114" s="248"/>
      <c r="Z114" s="248"/>
      <c r="AA114" s="247"/>
      <c r="AB114" s="248"/>
      <c r="AC114" s="248"/>
      <c r="AD114" s="194"/>
      <c r="AE114" s="249"/>
      <c r="AF114" s="250"/>
      <c r="AG114" s="251"/>
      <c r="AH114" s="252"/>
      <c r="AI114" s="241"/>
      <c r="AJ114" s="241"/>
      <c r="AK114" s="241"/>
      <c r="AL114" s="194"/>
      <c r="AM114" s="195"/>
      <c r="AN114" s="195"/>
    </row>
    <row r="115" spans="2:40">
      <c r="B115" s="253">
        <f t="shared" si="1"/>
        <v>107</v>
      </c>
      <c r="C115" s="244"/>
      <c r="D115" s="654"/>
      <c r="E115" s="466"/>
      <c r="F115" s="612"/>
      <c r="G115" s="2973"/>
      <c r="H115" s="230"/>
      <c r="I115" s="230"/>
      <c r="J115" s="230"/>
      <c r="K115" s="230"/>
      <c r="L115" s="230"/>
      <c r="M115" s="228"/>
      <c r="N115" s="257"/>
      <c r="O115" s="228"/>
      <c r="P115" s="228"/>
      <c r="Q115" s="258"/>
      <c r="R115" s="2381"/>
      <c r="S115" s="2381"/>
      <c r="T115" s="254"/>
      <c r="U115" s="228"/>
      <c r="V115" s="2357"/>
      <c r="W115" s="256"/>
      <c r="X115" s="248"/>
      <c r="Y115" s="248"/>
      <c r="Z115" s="248"/>
      <c r="AA115" s="247"/>
      <c r="AB115" s="248"/>
      <c r="AC115" s="248"/>
      <c r="AD115" s="194"/>
      <c r="AE115" s="249"/>
      <c r="AF115" s="250"/>
      <c r="AG115" s="251"/>
      <c r="AH115" s="252"/>
      <c r="AI115" s="241"/>
      <c r="AJ115" s="241"/>
      <c r="AK115" s="241"/>
      <c r="AL115" s="194"/>
      <c r="AM115" s="195"/>
      <c r="AN115" s="195"/>
    </row>
    <row r="116" spans="2:40">
      <c r="B116" s="253">
        <f t="shared" ref="B116:B179" si="2">+B115+1</f>
        <v>108</v>
      </c>
      <c r="C116" s="244"/>
      <c r="D116" s="654"/>
      <c r="E116" s="466"/>
      <c r="F116" s="612"/>
      <c r="G116" s="2973"/>
      <c r="H116" s="230"/>
      <c r="I116" s="230"/>
      <c r="J116" s="230"/>
      <c r="K116" s="230"/>
      <c r="L116" s="230"/>
      <c r="M116" s="228"/>
      <c r="N116" s="257"/>
      <c r="O116" s="228"/>
      <c r="P116" s="228"/>
      <c r="Q116" s="258"/>
      <c r="R116" s="2381"/>
      <c r="S116" s="2381"/>
      <c r="T116" s="254"/>
      <c r="U116" s="228"/>
      <c r="V116" s="2357"/>
      <c r="W116" s="256"/>
      <c r="X116" s="248"/>
      <c r="Y116" s="248"/>
      <c r="Z116" s="248"/>
      <c r="AA116" s="247"/>
      <c r="AB116" s="248"/>
      <c r="AC116" s="248"/>
      <c r="AD116" s="194"/>
      <c r="AE116" s="249"/>
      <c r="AF116" s="250"/>
      <c r="AG116" s="251"/>
      <c r="AH116" s="252"/>
      <c r="AI116" s="241"/>
      <c r="AJ116" s="241"/>
      <c r="AK116" s="241"/>
      <c r="AL116" s="194"/>
      <c r="AM116" s="195"/>
      <c r="AN116" s="195"/>
    </row>
    <row r="117" spans="2:40">
      <c r="B117" s="253">
        <f t="shared" si="2"/>
        <v>109</v>
      </c>
      <c r="C117" s="244"/>
      <c r="D117" s="654"/>
      <c r="E117" s="466"/>
      <c r="F117" s="612"/>
      <c r="G117" s="2973"/>
      <c r="H117" s="230"/>
      <c r="I117" s="230"/>
      <c r="J117" s="230"/>
      <c r="K117" s="230"/>
      <c r="L117" s="230"/>
      <c r="M117" s="228"/>
      <c r="N117" s="257"/>
      <c r="O117" s="228"/>
      <c r="P117" s="228"/>
      <c r="Q117" s="258"/>
      <c r="R117" s="2381"/>
      <c r="S117" s="2381"/>
      <c r="T117" s="254"/>
      <c r="U117" s="228"/>
      <c r="V117" s="2357"/>
      <c r="W117" s="256"/>
      <c r="X117" s="248"/>
      <c r="Y117" s="248"/>
      <c r="Z117" s="248"/>
      <c r="AA117" s="247"/>
      <c r="AB117" s="248"/>
      <c r="AC117" s="248"/>
      <c r="AD117" s="194"/>
      <c r="AE117" s="249"/>
      <c r="AF117" s="250"/>
      <c r="AG117" s="251"/>
      <c r="AH117" s="252"/>
      <c r="AI117" s="241"/>
      <c r="AJ117" s="241"/>
      <c r="AK117" s="241"/>
      <c r="AL117" s="194"/>
      <c r="AM117" s="195"/>
      <c r="AN117" s="195"/>
    </row>
    <row r="118" spans="2:40">
      <c r="B118" s="253">
        <f t="shared" si="2"/>
        <v>110</v>
      </c>
      <c r="C118" s="244"/>
      <c r="D118" s="654"/>
      <c r="E118" s="466"/>
      <c r="F118" s="612"/>
      <c r="G118" s="2973"/>
      <c r="H118" s="230"/>
      <c r="I118" s="230"/>
      <c r="J118" s="230"/>
      <c r="K118" s="230"/>
      <c r="L118" s="230"/>
      <c r="M118" s="228"/>
      <c r="N118" s="257"/>
      <c r="O118" s="228"/>
      <c r="P118" s="228"/>
      <c r="Q118" s="258"/>
      <c r="R118" s="2381"/>
      <c r="S118" s="2381"/>
      <c r="T118" s="254"/>
      <c r="U118" s="228"/>
      <c r="V118" s="2357"/>
      <c r="W118" s="256"/>
      <c r="X118" s="248"/>
      <c r="Y118" s="248"/>
      <c r="Z118" s="248"/>
      <c r="AA118" s="247"/>
      <c r="AB118" s="248"/>
      <c r="AC118" s="248"/>
      <c r="AD118" s="194"/>
      <c r="AE118" s="249"/>
      <c r="AF118" s="250"/>
      <c r="AG118" s="251"/>
      <c r="AH118" s="252"/>
      <c r="AI118" s="241"/>
      <c r="AJ118" s="241"/>
      <c r="AK118" s="241"/>
      <c r="AL118" s="194"/>
      <c r="AM118" s="195"/>
      <c r="AN118" s="195"/>
    </row>
    <row r="119" spans="2:40">
      <c r="B119" s="253">
        <f t="shared" si="2"/>
        <v>111</v>
      </c>
      <c r="C119" s="244"/>
      <c r="D119" s="654"/>
      <c r="E119" s="466"/>
      <c r="F119" s="612"/>
      <c r="G119" s="2973"/>
      <c r="H119" s="230"/>
      <c r="I119" s="230"/>
      <c r="J119" s="230"/>
      <c r="K119" s="230"/>
      <c r="L119" s="230"/>
      <c r="M119" s="228"/>
      <c r="N119" s="257"/>
      <c r="O119" s="228"/>
      <c r="P119" s="228"/>
      <c r="Q119" s="258"/>
      <c r="R119" s="2381"/>
      <c r="S119" s="2381"/>
      <c r="T119" s="254"/>
      <c r="U119" s="228"/>
      <c r="V119" s="2357"/>
      <c r="W119" s="256"/>
      <c r="X119" s="248"/>
      <c r="Y119" s="248"/>
      <c r="Z119" s="248"/>
      <c r="AA119" s="247"/>
      <c r="AB119" s="248"/>
      <c r="AC119" s="248"/>
      <c r="AD119" s="194"/>
      <c r="AE119" s="249"/>
      <c r="AF119" s="250"/>
      <c r="AG119" s="251"/>
      <c r="AH119" s="252"/>
      <c r="AI119" s="241"/>
      <c r="AJ119" s="241"/>
      <c r="AK119" s="241"/>
      <c r="AL119" s="194"/>
      <c r="AM119" s="195"/>
      <c r="AN119" s="195"/>
    </row>
    <row r="120" spans="2:40">
      <c r="B120" s="253">
        <f t="shared" si="2"/>
        <v>112</v>
      </c>
      <c r="C120" s="244"/>
      <c r="D120" s="654"/>
      <c r="E120" s="466"/>
      <c r="F120" s="612"/>
      <c r="G120" s="2973"/>
      <c r="H120" s="230"/>
      <c r="I120" s="230"/>
      <c r="J120" s="230"/>
      <c r="K120" s="230"/>
      <c r="L120" s="230"/>
      <c r="M120" s="228"/>
      <c r="N120" s="257"/>
      <c r="O120" s="228"/>
      <c r="P120" s="228"/>
      <c r="Q120" s="258"/>
      <c r="R120" s="2381"/>
      <c r="S120" s="2381"/>
      <c r="T120" s="254"/>
      <c r="U120" s="228"/>
      <c r="V120" s="2357"/>
      <c r="W120" s="256"/>
      <c r="X120" s="248"/>
      <c r="Y120" s="248"/>
      <c r="Z120" s="248"/>
      <c r="AA120" s="247"/>
      <c r="AB120" s="248"/>
      <c r="AC120" s="248"/>
      <c r="AD120" s="194"/>
      <c r="AE120" s="249"/>
      <c r="AF120" s="250"/>
      <c r="AG120" s="251"/>
      <c r="AH120" s="252"/>
      <c r="AI120" s="241"/>
      <c r="AJ120" s="241"/>
      <c r="AK120" s="241"/>
      <c r="AL120" s="194"/>
      <c r="AM120" s="195"/>
      <c r="AN120" s="195"/>
    </row>
    <row r="121" spans="2:40">
      <c r="B121" s="253">
        <f t="shared" si="2"/>
        <v>113</v>
      </c>
      <c r="C121" s="244"/>
      <c r="D121" s="654"/>
      <c r="E121" s="466"/>
      <c r="F121" s="612"/>
      <c r="G121" s="2973"/>
      <c r="H121" s="230"/>
      <c r="I121" s="230"/>
      <c r="J121" s="230"/>
      <c r="K121" s="230"/>
      <c r="L121" s="230"/>
      <c r="M121" s="228"/>
      <c r="N121" s="257"/>
      <c r="O121" s="228"/>
      <c r="P121" s="228"/>
      <c r="Q121" s="258"/>
      <c r="R121" s="2381"/>
      <c r="S121" s="2381"/>
      <c r="T121" s="254"/>
      <c r="U121" s="228"/>
      <c r="V121" s="2357"/>
      <c r="W121" s="256"/>
      <c r="X121" s="248"/>
      <c r="Y121" s="248"/>
      <c r="Z121" s="248"/>
      <c r="AA121" s="247"/>
      <c r="AB121" s="248"/>
      <c r="AC121" s="248"/>
      <c r="AD121" s="194"/>
      <c r="AE121" s="249"/>
      <c r="AF121" s="250"/>
      <c r="AG121" s="251"/>
      <c r="AH121" s="252"/>
      <c r="AI121" s="241"/>
      <c r="AJ121" s="241"/>
      <c r="AK121" s="241"/>
      <c r="AL121" s="194"/>
      <c r="AM121" s="195"/>
      <c r="AN121" s="195"/>
    </row>
    <row r="122" spans="2:40">
      <c r="B122" s="253">
        <f t="shared" si="2"/>
        <v>114</v>
      </c>
      <c r="C122" s="244"/>
      <c r="D122" s="654"/>
      <c r="E122" s="466"/>
      <c r="F122" s="612"/>
      <c r="G122" s="2973"/>
      <c r="H122" s="230"/>
      <c r="I122" s="230"/>
      <c r="J122" s="230"/>
      <c r="K122" s="230"/>
      <c r="L122" s="230"/>
      <c r="M122" s="228"/>
      <c r="N122" s="257"/>
      <c r="O122" s="228"/>
      <c r="P122" s="228"/>
      <c r="Q122" s="258"/>
      <c r="R122" s="2381"/>
      <c r="S122" s="2381"/>
      <c r="T122" s="254"/>
      <c r="U122" s="228"/>
      <c r="V122" s="2357"/>
      <c r="W122" s="256"/>
      <c r="X122" s="248"/>
      <c r="Y122" s="248"/>
      <c r="Z122" s="248"/>
      <c r="AA122" s="247"/>
      <c r="AB122" s="248"/>
      <c r="AC122" s="248"/>
      <c r="AD122" s="194"/>
      <c r="AE122" s="249"/>
      <c r="AF122" s="250"/>
      <c r="AG122" s="251"/>
      <c r="AH122" s="252"/>
      <c r="AI122" s="241"/>
      <c r="AJ122" s="241"/>
      <c r="AK122" s="241"/>
      <c r="AL122" s="194"/>
      <c r="AM122" s="195"/>
      <c r="AN122" s="195"/>
    </row>
    <row r="123" spans="2:40">
      <c r="B123" s="253">
        <f t="shared" si="2"/>
        <v>115</v>
      </c>
      <c r="C123" s="244"/>
      <c r="D123" s="654"/>
      <c r="E123" s="466"/>
      <c r="F123" s="612"/>
      <c r="G123" s="2973"/>
      <c r="H123" s="230"/>
      <c r="I123" s="230"/>
      <c r="J123" s="230"/>
      <c r="K123" s="230"/>
      <c r="L123" s="230"/>
      <c r="M123" s="228"/>
      <c r="N123" s="257"/>
      <c r="O123" s="228"/>
      <c r="P123" s="228"/>
      <c r="Q123" s="258"/>
      <c r="R123" s="2381"/>
      <c r="S123" s="2381"/>
      <c r="T123" s="254"/>
      <c r="U123" s="228"/>
      <c r="V123" s="2357"/>
      <c r="W123" s="256"/>
      <c r="X123" s="248"/>
      <c r="Y123" s="248"/>
      <c r="Z123" s="248"/>
      <c r="AA123" s="247"/>
      <c r="AB123" s="248"/>
      <c r="AC123" s="248"/>
      <c r="AD123" s="194"/>
      <c r="AE123" s="249"/>
      <c r="AF123" s="250"/>
      <c r="AG123" s="251"/>
      <c r="AH123" s="252"/>
      <c r="AI123" s="241"/>
      <c r="AJ123" s="241"/>
      <c r="AK123" s="241"/>
      <c r="AL123" s="194"/>
      <c r="AM123" s="195"/>
      <c r="AN123" s="195"/>
    </row>
    <row r="124" spans="2:40">
      <c r="B124" s="253">
        <f t="shared" si="2"/>
        <v>116</v>
      </c>
      <c r="C124" s="244"/>
      <c r="D124" s="654"/>
      <c r="E124" s="466"/>
      <c r="F124" s="612"/>
      <c r="G124" s="2973"/>
      <c r="H124" s="230"/>
      <c r="I124" s="230"/>
      <c r="J124" s="230"/>
      <c r="K124" s="230"/>
      <c r="L124" s="230"/>
      <c r="M124" s="228"/>
      <c r="N124" s="257"/>
      <c r="O124" s="228"/>
      <c r="P124" s="228"/>
      <c r="Q124" s="258"/>
      <c r="R124" s="2381"/>
      <c r="S124" s="2381"/>
      <c r="T124" s="254"/>
      <c r="U124" s="228"/>
      <c r="V124" s="2357"/>
      <c r="W124" s="256"/>
      <c r="X124" s="248"/>
      <c r="Y124" s="248"/>
      <c r="Z124" s="248"/>
      <c r="AA124" s="247"/>
      <c r="AB124" s="248"/>
      <c r="AC124" s="248"/>
      <c r="AD124" s="194"/>
      <c r="AE124" s="249"/>
      <c r="AF124" s="250"/>
      <c r="AG124" s="251"/>
      <c r="AH124" s="252"/>
      <c r="AI124" s="241"/>
      <c r="AJ124" s="241"/>
      <c r="AK124" s="241"/>
      <c r="AL124" s="194"/>
      <c r="AM124" s="195"/>
      <c r="AN124" s="195"/>
    </row>
    <row r="125" spans="2:40">
      <c r="B125" s="253">
        <f t="shared" si="2"/>
        <v>117</v>
      </c>
      <c r="C125" s="244"/>
      <c r="D125" s="654"/>
      <c r="E125" s="466"/>
      <c r="F125" s="612"/>
      <c r="G125" s="2973"/>
      <c r="H125" s="230"/>
      <c r="I125" s="230"/>
      <c r="J125" s="230"/>
      <c r="K125" s="230"/>
      <c r="L125" s="230"/>
      <c r="M125" s="228"/>
      <c r="N125" s="257"/>
      <c r="O125" s="228"/>
      <c r="P125" s="228"/>
      <c r="Q125" s="258"/>
      <c r="R125" s="2381"/>
      <c r="S125" s="2381"/>
      <c r="T125" s="254"/>
      <c r="U125" s="228"/>
      <c r="V125" s="2357"/>
      <c r="W125" s="256"/>
      <c r="X125" s="248"/>
      <c r="Y125" s="248"/>
      <c r="Z125" s="248"/>
      <c r="AA125" s="247"/>
      <c r="AB125" s="248"/>
      <c r="AC125" s="248"/>
      <c r="AD125" s="194"/>
      <c r="AE125" s="249"/>
      <c r="AF125" s="250"/>
      <c r="AG125" s="251"/>
      <c r="AH125" s="252"/>
      <c r="AI125" s="241"/>
      <c r="AJ125" s="241"/>
      <c r="AK125" s="241"/>
      <c r="AL125" s="194"/>
      <c r="AM125" s="195"/>
      <c r="AN125" s="195"/>
    </row>
    <row r="126" spans="2:40">
      <c r="B126" s="253">
        <f t="shared" si="2"/>
        <v>118</v>
      </c>
      <c r="C126" s="244"/>
      <c r="D126" s="654"/>
      <c r="E126" s="466"/>
      <c r="F126" s="612"/>
      <c r="G126" s="2973"/>
      <c r="H126" s="230"/>
      <c r="I126" s="230"/>
      <c r="J126" s="230"/>
      <c r="K126" s="230"/>
      <c r="L126" s="230"/>
      <c r="M126" s="228"/>
      <c r="N126" s="257"/>
      <c r="O126" s="228"/>
      <c r="P126" s="228"/>
      <c r="Q126" s="258"/>
      <c r="R126" s="2381"/>
      <c r="S126" s="2381"/>
      <c r="T126" s="254"/>
      <c r="U126" s="228"/>
      <c r="V126" s="2357"/>
      <c r="W126" s="256"/>
      <c r="X126" s="248"/>
      <c r="Y126" s="248"/>
      <c r="Z126" s="248"/>
      <c r="AA126" s="247"/>
      <c r="AB126" s="248"/>
      <c r="AC126" s="248"/>
      <c r="AD126" s="194"/>
      <c r="AE126" s="249"/>
      <c r="AF126" s="250"/>
      <c r="AG126" s="251"/>
      <c r="AH126" s="252"/>
      <c r="AI126" s="241"/>
      <c r="AJ126" s="241"/>
      <c r="AK126" s="241"/>
      <c r="AL126" s="194"/>
      <c r="AM126" s="195"/>
      <c r="AN126" s="195"/>
    </row>
    <row r="127" spans="2:40">
      <c r="B127" s="253">
        <f t="shared" si="2"/>
        <v>119</v>
      </c>
      <c r="C127" s="244"/>
      <c r="D127" s="654"/>
      <c r="E127" s="466"/>
      <c r="F127" s="612"/>
      <c r="G127" s="2973"/>
      <c r="H127" s="230"/>
      <c r="I127" s="230"/>
      <c r="J127" s="230"/>
      <c r="K127" s="230"/>
      <c r="L127" s="230"/>
      <c r="M127" s="228"/>
      <c r="N127" s="257"/>
      <c r="O127" s="228"/>
      <c r="P127" s="228"/>
      <c r="Q127" s="258"/>
      <c r="R127" s="2381"/>
      <c r="S127" s="2381"/>
      <c r="T127" s="254"/>
      <c r="U127" s="228"/>
      <c r="V127" s="2357"/>
      <c r="W127" s="256"/>
      <c r="X127" s="248"/>
      <c r="Y127" s="248"/>
      <c r="Z127" s="248"/>
      <c r="AA127" s="247"/>
      <c r="AB127" s="248"/>
      <c r="AC127" s="248"/>
      <c r="AD127" s="194"/>
      <c r="AE127" s="249"/>
      <c r="AF127" s="250"/>
      <c r="AG127" s="251"/>
      <c r="AH127" s="252"/>
      <c r="AI127" s="241"/>
      <c r="AJ127" s="241"/>
      <c r="AK127" s="241"/>
      <c r="AL127" s="194"/>
      <c r="AM127" s="195"/>
      <c r="AN127" s="195"/>
    </row>
    <row r="128" spans="2:40">
      <c r="B128" s="253">
        <f t="shared" si="2"/>
        <v>120</v>
      </c>
      <c r="C128" s="244"/>
      <c r="D128" s="654"/>
      <c r="E128" s="466"/>
      <c r="F128" s="612"/>
      <c r="G128" s="2973"/>
      <c r="H128" s="230"/>
      <c r="I128" s="230"/>
      <c r="J128" s="230"/>
      <c r="K128" s="230"/>
      <c r="L128" s="230"/>
      <c r="M128" s="228"/>
      <c r="N128" s="257"/>
      <c r="O128" s="228"/>
      <c r="P128" s="228"/>
      <c r="Q128" s="258"/>
      <c r="R128" s="2381"/>
      <c r="S128" s="2381"/>
      <c r="T128" s="254"/>
      <c r="U128" s="228"/>
      <c r="V128" s="2357"/>
      <c r="W128" s="256"/>
      <c r="X128" s="248"/>
      <c r="Y128" s="248"/>
      <c r="Z128" s="248"/>
      <c r="AA128" s="247"/>
      <c r="AB128" s="248"/>
      <c r="AC128" s="248"/>
      <c r="AD128" s="194"/>
      <c r="AE128" s="249"/>
      <c r="AF128" s="250"/>
      <c r="AG128" s="251"/>
      <c r="AH128" s="252"/>
      <c r="AI128" s="241"/>
      <c r="AJ128" s="241"/>
      <c r="AK128" s="241"/>
      <c r="AL128" s="194"/>
      <c r="AM128" s="195"/>
      <c r="AN128" s="195"/>
    </row>
    <row r="129" spans="2:40">
      <c r="B129" s="253">
        <f t="shared" si="2"/>
        <v>121</v>
      </c>
      <c r="C129" s="244"/>
      <c r="D129" s="654"/>
      <c r="E129" s="466"/>
      <c r="F129" s="612"/>
      <c r="G129" s="2973"/>
      <c r="H129" s="230"/>
      <c r="I129" s="230"/>
      <c r="J129" s="230"/>
      <c r="K129" s="230"/>
      <c r="L129" s="230"/>
      <c r="M129" s="228"/>
      <c r="N129" s="257"/>
      <c r="O129" s="228"/>
      <c r="P129" s="228"/>
      <c r="Q129" s="258"/>
      <c r="R129" s="2381"/>
      <c r="S129" s="2381"/>
      <c r="T129" s="254"/>
      <c r="U129" s="228"/>
      <c r="V129" s="2357"/>
      <c r="W129" s="256"/>
      <c r="X129" s="248"/>
      <c r="Y129" s="248"/>
      <c r="Z129" s="248"/>
      <c r="AA129" s="247"/>
      <c r="AB129" s="248"/>
      <c r="AC129" s="248"/>
      <c r="AD129" s="194"/>
      <c r="AE129" s="249"/>
      <c r="AF129" s="250"/>
      <c r="AG129" s="251"/>
      <c r="AH129" s="252"/>
      <c r="AI129" s="241"/>
      <c r="AJ129" s="241"/>
      <c r="AK129" s="241"/>
      <c r="AL129" s="194"/>
      <c r="AM129" s="195"/>
      <c r="AN129" s="195"/>
    </row>
    <row r="130" spans="2:40">
      <c r="B130" s="253">
        <f t="shared" si="2"/>
        <v>122</v>
      </c>
      <c r="C130" s="244"/>
      <c r="D130" s="654"/>
      <c r="E130" s="466"/>
      <c r="F130" s="612"/>
      <c r="G130" s="2973"/>
      <c r="H130" s="230"/>
      <c r="I130" s="230"/>
      <c r="J130" s="230"/>
      <c r="K130" s="230"/>
      <c r="L130" s="230"/>
      <c r="M130" s="228"/>
      <c r="N130" s="257"/>
      <c r="O130" s="228"/>
      <c r="P130" s="228"/>
      <c r="Q130" s="258"/>
      <c r="R130" s="2381"/>
      <c r="S130" s="2381"/>
      <c r="T130" s="254"/>
      <c r="U130" s="228"/>
      <c r="V130" s="2357"/>
      <c r="W130" s="256"/>
      <c r="X130" s="248"/>
      <c r="Y130" s="248"/>
      <c r="Z130" s="248"/>
      <c r="AA130" s="247"/>
      <c r="AB130" s="248"/>
      <c r="AC130" s="248"/>
      <c r="AD130" s="194"/>
      <c r="AE130" s="249"/>
      <c r="AF130" s="250"/>
      <c r="AG130" s="251"/>
      <c r="AH130" s="252"/>
      <c r="AI130" s="241"/>
      <c r="AJ130" s="241"/>
      <c r="AK130" s="241"/>
      <c r="AL130" s="194"/>
      <c r="AM130" s="195"/>
      <c r="AN130" s="195"/>
    </row>
    <row r="131" spans="2:40">
      <c r="B131" s="253">
        <f t="shared" si="2"/>
        <v>123</v>
      </c>
      <c r="C131" s="244"/>
      <c r="D131" s="654"/>
      <c r="E131" s="466"/>
      <c r="F131" s="612"/>
      <c r="G131" s="2973"/>
      <c r="H131" s="230"/>
      <c r="I131" s="230"/>
      <c r="J131" s="230"/>
      <c r="K131" s="230"/>
      <c r="L131" s="230"/>
      <c r="M131" s="228"/>
      <c r="N131" s="257"/>
      <c r="O131" s="228"/>
      <c r="P131" s="228"/>
      <c r="Q131" s="258"/>
      <c r="R131" s="2381"/>
      <c r="S131" s="2381"/>
      <c r="T131" s="254"/>
      <c r="U131" s="228"/>
      <c r="V131" s="2357"/>
      <c r="W131" s="256"/>
      <c r="X131" s="248"/>
      <c r="Y131" s="248"/>
      <c r="Z131" s="248"/>
      <c r="AA131" s="247"/>
      <c r="AB131" s="248"/>
      <c r="AC131" s="248"/>
      <c r="AD131" s="194"/>
      <c r="AE131" s="249"/>
      <c r="AF131" s="250"/>
      <c r="AG131" s="251"/>
      <c r="AH131" s="252"/>
      <c r="AI131" s="241"/>
      <c r="AJ131" s="241"/>
      <c r="AK131" s="241"/>
      <c r="AL131" s="194"/>
      <c r="AM131" s="195"/>
      <c r="AN131" s="195"/>
    </row>
    <row r="132" spans="2:40">
      <c r="B132" s="253">
        <f t="shared" si="2"/>
        <v>124</v>
      </c>
      <c r="C132" s="244"/>
      <c r="D132" s="654"/>
      <c r="E132" s="466"/>
      <c r="F132" s="612"/>
      <c r="G132" s="2973"/>
      <c r="H132" s="230"/>
      <c r="I132" s="230"/>
      <c r="J132" s="230"/>
      <c r="K132" s="230"/>
      <c r="L132" s="230"/>
      <c r="M132" s="228"/>
      <c r="N132" s="257"/>
      <c r="O132" s="228"/>
      <c r="P132" s="228"/>
      <c r="Q132" s="258"/>
      <c r="R132" s="2381"/>
      <c r="S132" s="2381"/>
      <c r="T132" s="254"/>
      <c r="U132" s="228"/>
      <c r="V132" s="2357"/>
      <c r="W132" s="256"/>
      <c r="X132" s="248"/>
      <c r="Y132" s="248"/>
      <c r="Z132" s="248"/>
      <c r="AA132" s="247"/>
      <c r="AB132" s="248"/>
      <c r="AC132" s="248"/>
      <c r="AD132" s="194"/>
      <c r="AE132" s="249"/>
      <c r="AF132" s="250"/>
      <c r="AG132" s="251"/>
      <c r="AH132" s="252"/>
      <c r="AI132" s="241"/>
      <c r="AJ132" s="241"/>
      <c r="AK132" s="241"/>
      <c r="AL132" s="194"/>
      <c r="AM132" s="195"/>
      <c r="AN132" s="195"/>
    </row>
    <row r="133" spans="2:40">
      <c r="B133" s="253">
        <f t="shared" si="2"/>
        <v>125</v>
      </c>
      <c r="C133" s="244"/>
      <c r="D133" s="654"/>
      <c r="E133" s="466"/>
      <c r="F133" s="612"/>
      <c r="G133" s="2973"/>
      <c r="H133" s="230"/>
      <c r="I133" s="230"/>
      <c r="J133" s="230"/>
      <c r="K133" s="230"/>
      <c r="L133" s="230"/>
      <c r="M133" s="228"/>
      <c r="N133" s="257"/>
      <c r="O133" s="228"/>
      <c r="P133" s="228"/>
      <c r="Q133" s="258"/>
      <c r="R133" s="2381"/>
      <c r="S133" s="2381"/>
      <c r="T133" s="254"/>
      <c r="U133" s="228"/>
      <c r="V133" s="2357"/>
      <c r="W133" s="256"/>
      <c r="X133" s="248"/>
      <c r="Y133" s="248"/>
      <c r="Z133" s="248"/>
      <c r="AA133" s="247"/>
      <c r="AB133" s="248"/>
      <c r="AC133" s="248"/>
      <c r="AD133" s="194"/>
      <c r="AE133" s="249"/>
      <c r="AF133" s="250"/>
      <c r="AG133" s="251"/>
      <c r="AH133" s="252"/>
      <c r="AI133" s="241"/>
      <c r="AJ133" s="241"/>
      <c r="AK133" s="241"/>
      <c r="AL133" s="194"/>
      <c r="AM133" s="195"/>
      <c r="AN133" s="195"/>
    </row>
    <row r="134" spans="2:40">
      <c r="B134" s="253">
        <f t="shared" si="2"/>
        <v>126</v>
      </c>
      <c r="C134" s="244"/>
      <c r="D134" s="654"/>
      <c r="E134" s="466"/>
      <c r="F134" s="612"/>
      <c r="G134" s="2973"/>
      <c r="H134" s="230"/>
      <c r="I134" s="230"/>
      <c r="J134" s="230"/>
      <c r="K134" s="230"/>
      <c r="L134" s="230"/>
      <c r="M134" s="228"/>
      <c r="N134" s="257"/>
      <c r="O134" s="228"/>
      <c r="P134" s="228"/>
      <c r="Q134" s="258"/>
      <c r="R134" s="2381"/>
      <c r="S134" s="2381"/>
      <c r="T134" s="254"/>
      <c r="U134" s="228"/>
      <c r="V134" s="2357"/>
      <c r="W134" s="256"/>
      <c r="X134" s="248"/>
      <c r="Y134" s="248"/>
      <c r="Z134" s="248"/>
      <c r="AA134" s="247"/>
      <c r="AB134" s="248"/>
      <c r="AC134" s="248"/>
      <c r="AD134" s="194"/>
      <c r="AE134" s="249"/>
      <c r="AF134" s="250"/>
      <c r="AG134" s="251"/>
      <c r="AH134" s="252"/>
      <c r="AI134" s="241"/>
      <c r="AJ134" s="241"/>
      <c r="AK134" s="241"/>
      <c r="AL134" s="194"/>
      <c r="AM134" s="195"/>
      <c r="AN134" s="195"/>
    </row>
    <row r="135" spans="2:40">
      <c r="B135" s="253">
        <f t="shared" si="2"/>
        <v>127</v>
      </c>
      <c r="C135" s="244"/>
      <c r="D135" s="654"/>
      <c r="E135" s="466"/>
      <c r="F135" s="612"/>
      <c r="G135" s="2973"/>
      <c r="H135" s="230"/>
      <c r="I135" s="230"/>
      <c r="J135" s="230"/>
      <c r="K135" s="230"/>
      <c r="L135" s="230"/>
      <c r="M135" s="228"/>
      <c r="N135" s="257"/>
      <c r="O135" s="228"/>
      <c r="P135" s="228"/>
      <c r="Q135" s="258"/>
      <c r="R135" s="2381"/>
      <c r="S135" s="2381"/>
      <c r="T135" s="254"/>
      <c r="U135" s="228"/>
      <c r="V135" s="2357"/>
      <c r="W135" s="256"/>
      <c r="X135" s="248"/>
      <c r="Y135" s="248"/>
      <c r="Z135" s="248"/>
      <c r="AA135" s="247"/>
      <c r="AB135" s="248"/>
      <c r="AC135" s="248"/>
      <c r="AD135" s="194"/>
      <c r="AE135" s="249"/>
      <c r="AF135" s="250"/>
      <c r="AG135" s="251"/>
      <c r="AH135" s="252"/>
      <c r="AI135" s="241"/>
      <c r="AJ135" s="241"/>
      <c r="AK135" s="241"/>
      <c r="AL135" s="194"/>
      <c r="AM135" s="195"/>
      <c r="AN135" s="195"/>
    </row>
    <row r="136" spans="2:40">
      <c r="B136" s="253">
        <f t="shared" si="2"/>
        <v>128</v>
      </c>
      <c r="C136" s="244"/>
      <c r="D136" s="654"/>
      <c r="E136" s="466"/>
      <c r="F136" s="612"/>
      <c r="G136" s="2973"/>
      <c r="H136" s="230"/>
      <c r="I136" s="230"/>
      <c r="J136" s="230"/>
      <c r="K136" s="230"/>
      <c r="L136" s="230"/>
      <c r="M136" s="228"/>
      <c r="N136" s="257"/>
      <c r="O136" s="228"/>
      <c r="P136" s="228"/>
      <c r="Q136" s="258"/>
      <c r="R136" s="2381"/>
      <c r="S136" s="2381"/>
      <c r="T136" s="254"/>
      <c r="U136" s="228"/>
      <c r="V136" s="2357"/>
      <c r="W136" s="256"/>
      <c r="X136" s="248"/>
      <c r="Y136" s="248"/>
      <c r="Z136" s="248"/>
      <c r="AA136" s="247"/>
      <c r="AB136" s="248"/>
      <c r="AC136" s="248"/>
      <c r="AD136" s="194"/>
      <c r="AE136" s="249"/>
      <c r="AF136" s="250"/>
      <c r="AG136" s="251"/>
      <c r="AH136" s="252"/>
      <c r="AI136" s="241"/>
      <c r="AJ136" s="241"/>
      <c r="AK136" s="241"/>
      <c r="AL136" s="194"/>
      <c r="AM136" s="195"/>
      <c r="AN136" s="195"/>
    </row>
    <row r="137" spans="2:40">
      <c r="B137" s="253">
        <f t="shared" si="2"/>
        <v>129</v>
      </c>
      <c r="C137" s="244"/>
      <c r="D137" s="654"/>
      <c r="E137" s="466"/>
      <c r="F137" s="612"/>
      <c r="G137" s="2973"/>
      <c r="H137" s="230"/>
      <c r="I137" s="230"/>
      <c r="J137" s="230"/>
      <c r="K137" s="230"/>
      <c r="L137" s="230"/>
      <c r="M137" s="228"/>
      <c r="N137" s="257"/>
      <c r="O137" s="228"/>
      <c r="P137" s="228"/>
      <c r="Q137" s="258"/>
      <c r="R137" s="2381"/>
      <c r="S137" s="2381"/>
      <c r="T137" s="254"/>
      <c r="U137" s="228"/>
      <c r="V137" s="2357"/>
      <c r="W137" s="256"/>
      <c r="X137" s="248"/>
      <c r="Y137" s="248"/>
      <c r="Z137" s="248"/>
      <c r="AA137" s="247"/>
      <c r="AB137" s="248"/>
      <c r="AC137" s="248"/>
      <c r="AD137" s="194"/>
      <c r="AE137" s="249"/>
      <c r="AF137" s="250"/>
      <c r="AG137" s="251"/>
      <c r="AH137" s="252"/>
      <c r="AI137" s="241"/>
      <c r="AJ137" s="241"/>
      <c r="AK137" s="241"/>
      <c r="AL137" s="194"/>
      <c r="AM137" s="195"/>
      <c r="AN137" s="195"/>
    </row>
    <row r="138" spans="2:40">
      <c r="B138" s="253">
        <f t="shared" si="2"/>
        <v>130</v>
      </c>
      <c r="C138" s="244"/>
      <c r="D138" s="654"/>
      <c r="E138" s="466"/>
      <c r="F138" s="612"/>
      <c r="G138" s="2973"/>
      <c r="H138" s="230"/>
      <c r="I138" s="230"/>
      <c r="J138" s="230"/>
      <c r="K138" s="230"/>
      <c r="L138" s="230"/>
      <c r="M138" s="228"/>
      <c r="N138" s="257"/>
      <c r="O138" s="228"/>
      <c r="P138" s="228"/>
      <c r="Q138" s="258"/>
      <c r="R138" s="2381"/>
      <c r="S138" s="2381"/>
      <c r="T138" s="254"/>
      <c r="U138" s="228"/>
      <c r="V138" s="2357"/>
      <c r="W138" s="256"/>
      <c r="X138" s="248"/>
      <c r="Y138" s="248"/>
      <c r="Z138" s="248"/>
      <c r="AA138" s="247"/>
      <c r="AB138" s="248"/>
      <c r="AC138" s="248"/>
      <c r="AD138" s="194"/>
      <c r="AE138" s="249"/>
      <c r="AF138" s="250"/>
      <c r="AG138" s="251"/>
      <c r="AH138" s="252"/>
      <c r="AI138" s="241"/>
      <c r="AJ138" s="241"/>
      <c r="AK138" s="241"/>
      <c r="AL138" s="194"/>
      <c r="AM138" s="195"/>
      <c r="AN138" s="195"/>
    </row>
    <row r="139" spans="2:40">
      <c r="B139" s="253">
        <f t="shared" si="2"/>
        <v>131</v>
      </c>
      <c r="C139" s="244"/>
      <c r="D139" s="654"/>
      <c r="E139" s="466"/>
      <c r="F139" s="612"/>
      <c r="G139" s="2973"/>
      <c r="H139" s="230"/>
      <c r="I139" s="230"/>
      <c r="J139" s="230"/>
      <c r="K139" s="230"/>
      <c r="L139" s="230"/>
      <c r="M139" s="228"/>
      <c r="N139" s="257"/>
      <c r="O139" s="228"/>
      <c r="P139" s="228"/>
      <c r="Q139" s="258"/>
      <c r="R139" s="2381"/>
      <c r="S139" s="2381"/>
      <c r="T139" s="254"/>
      <c r="U139" s="228"/>
      <c r="V139" s="2357"/>
      <c r="W139" s="256"/>
      <c r="X139" s="248"/>
      <c r="Y139" s="248"/>
      <c r="Z139" s="248"/>
      <c r="AA139" s="247"/>
      <c r="AB139" s="248"/>
      <c r="AC139" s="248"/>
      <c r="AD139" s="194"/>
      <c r="AE139" s="249"/>
      <c r="AF139" s="250"/>
      <c r="AG139" s="251"/>
      <c r="AH139" s="252"/>
      <c r="AI139" s="241"/>
      <c r="AJ139" s="241"/>
      <c r="AK139" s="241"/>
      <c r="AL139" s="194"/>
      <c r="AM139" s="195"/>
      <c r="AN139" s="195"/>
    </row>
    <row r="140" spans="2:40">
      <c r="B140" s="253">
        <f t="shared" si="2"/>
        <v>132</v>
      </c>
      <c r="C140" s="244"/>
      <c r="D140" s="654"/>
      <c r="E140" s="466"/>
      <c r="F140" s="612"/>
      <c r="G140" s="2973"/>
      <c r="H140" s="230"/>
      <c r="I140" s="230"/>
      <c r="J140" s="230"/>
      <c r="K140" s="230"/>
      <c r="L140" s="230"/>
      <c r="M140" s="228"/>
      <c r="N140" s="257"/>
      <c r="O140" s="228"/>
      <c r="P140" s="228"/>
      <c r="Q140" s="258"/>
      <c r="R140" s="2381"/>
      <c r="S140" s="2381"/>
      <c r="T140" s="254"/>
      <c r="U140" s="228"/>
      <c r="V140" s="2357"/>
      <c r="W140" s="256"/>
      <c r="X140" s="248"/>
      <c r="Y140" s="248"/>
      <c r="Z140" s="248"/>
      <c r="AA140" s="247"/>
      <c r="AB140" s="248"/>
      <c r="AC140" s="248"/>
      <c r="AD140" s="194"/>
      <c r="AE140" s="249"/>
      <c r="AF140" s="250"/>
      <c r="AG140" s="251"/>
      <c r="AH140" s="252"/>
      <c r="AI140" s="241"/>
      <c r="AJ140" s="241"/>
      <c r="AK140" s="241"/>
      <c r="AL140" s="194"/>
      <c r="AM140" s="195"/>
      <c r="AN140" s="195"/>
    </row>
    <row r="141" spans="2:40">
      <c r="B141" s="253">
        <f t="shared" si="2"/>
        <v>133</v>
      </c>
      <c r="C141" s="244"/>
      <c r="D141" s="654"/>
      <c r="E141" s="466"/>
      <c r="F141" s="612"/>
      <c r="G141" s="2973"/>
      <c r="H141" s="230"/>
      <c r="I141" s="230"/>
      <c r="J141" s="230"/>
      <c r="K141" s="230"/>
      <c r="L141" s="230"/>
      <c r="M141" s="228"/>
      <c r="N141" s="257"/>
      <c r="O141" s="228"/>
      <c r="P141" s="228"/>
      <c r="Q141" s="258"/>
      <c r="R141" s="2381"/>
      <c r="S141" s="2381"/>
      <c r="T141" s="254"/>
      <c r="U141" s="228"/>
      <c r="V141" s="2357"/>
      <c r="W141" s="256"/>
      <c r="X141" s="248"/>
      <c r="Y141" s="248"/>
      <c r="Z141" s="248"/>
      <c r="AA141" s="247"/>
      <c r="AB141" s="248"/>
      <c r="AC141" s="248"/>
      <c r="AD141" s="194"/>
      <c r="AE141" s="249"/>
      <c r="AF141" s="250"/>
      <c r="AG141" s="251"/>
      <c r="AH141" s="252"/>
      <c r="AI141" s="241"/>
      <c r="AJ141" s="241"/>
      <c r="AK141" s="241"/>
      <c r="AL141" s="194"/>
      <c r="AM141" s="195"/>
      <c r="AN141" s="195"/>
    </row>
    <row r="142" spans="2:40">
      <c r="B142" s="253">
        <f t="shared" si="2"/>
        <v>134</v>
      </c>
      <c r="C142" s="244"/>
      <c r="D142" s="654"/>
      <c r="E142" s="466"/>
      <c r="F142" s="612"/>
      <c r="G142" s="2973"/>
      <c r="H142" s="230"/>
      <c r="I142" s="230"/>
      <c r="J142" s="230"/>
      <c r="K142" s="230"/>
      <c r="L142" s="230"/>
      <c r="M142" s="228"/>
      <c r="N142" s="257"/>
      <c r="O142" s="228"/>
      <c r="P142" s="228"/>
      <c r="Q142" s="258"/>
      <c r="R142" s="2381"/>
      <c r="S142" s="2381"/>
      <c r="T142" s="254"/>
      <c r="U142" s="228"/>
      <c r="V142" s="2357"/>
      <c r="W142" s="256"/>
      <c r="X142" s="248"/>
      <c r="Y142" s="248"/>
      <c r="Z142" s="248"/>
      <c r="AA142" s="247"/>
      <c r="AB142" s="248"/>
      <c r="AC142" s="248"/>
      <c r="AD142" s="194"/>
      <c r="AE142" s="249"/>
      <c r="AF142" s="250"/>
      <c r="AG142" s="251"/>
      <c r="AH142" s="252"/>
      <c r="AI142" s="241"/>
      <c r="AJ142" s="241"/>
      <c r="AK142" s="241"/>
      <c r="AL142" s="194"/>
      <c r="AM142" s="195"/>
      <c r="AN142" s="195"/>
    </row>
    <row r="143" spans="2:40">
      <c r="B143" s="253">
        <f t="shared" si="2"/>
        <v>135</v>
      </c>
      <c r="C143" s="244"/>
      <c r="D143" s="654"/>
      <c r="E143" s="466"/>
      <c r="F143" s="612"/>
      <c r="G143" s="2973"/>
      <c r="H143" s="230"/>
      <c r="I143" s="230"/>
      <c r="J143" s="230"/>
      <c r="K143" s="230"/>
      <c r="L143" s="230"/>
      <c r="M143" s="228"/>
      <c r="N143" s="257"/>
      <c r="O143" s="228"/>
      <c r="P143" s="228"/>
      <c r="Q143" s="258"/>
      <c r="R143" s="2381"/>
      <c r="S143" s="2381"/>
      <c r="T143" s="254"/>
      <c r="U143" s="228"/>
      <c r="V143" s="2357"/>
      <c r="W143" s="256"/>
      <c r="X143" s="248"/>
      <c r="Y143" s="248"/>
      <c r="Z143" s="248"/>
      <c r="AA143" s="247"/>
      <c r="AB143" s="248"/>
      <c r="AC143" s="248"/>
      <c r="AD143" s="194"/>
      <c r="AE143" s="249"/>
      <c r="AF143" s="250"/>
      <c r="AG143" s="251"/>
      <c r="AH143" s="252"/>
      <c r="AI143" s="241"/>
      <c r="AJ143" s="241"/>
      <c r="AK143" s="241"/>
      <c r="AL143" s="194"/>
      <c r="AM143" s="195"/>
      <c r="AN143" s="195"/>
    </row>
    <row r="144" spans="2:40">
      <c r="B144" s="253">
        <f t="shared" si="2"/>
        <v>136</v>
      </c>
      <c r="C144" s="244"/>
      <c r="D144" s="654"/>
      <c r="E144" s="466"/>
      <c r="F144" s="612"/>
      <c r="G144" s="2973"/>
      <c r="H144" s="230"/>
      <c r="I144" s="230"/>
      <c r="J144" s="230"/>
      <c r="K144" s="230"/>
      <c r="L144" s="230"/>
      <c r="M144" s="228"/>
      <c r="N144" s="257"/>
      <c r="O144" s="228"/>
      <c r="P144" s="228"/>
      <c r="Q144" s="258"/>
      <c r="R144" s="2381"/>
      <c r="S144" s="2381"/>
      <c r="T144" s="254"/>
      <c r="U144" s="228"/>
      <c r="V144" s="2357"/>
      <c r="W144" s="256"/>
      <c r="X144" s="248"/>
      <c r="Y144" s="248"/>
      <c r="Z144" s="248"/>
      <c r="AA144" s="247"/>
      <c r="AB144" s="248"/>
      <c r="AC144" s="248"/>
      <c r="AD144" s="194"/>
      <c r="AE144" s="249"/>
      <c r="AF144" s="250"/>
      <c r="AG144" s="251"/>
      <c r="AH144" s="252"/>
      <c r="AI144" s="241"/>
      <c r="AJ144" s="241"/>
      <c r="AK144" s="241"/>
      <c r="AL144" s="194"/>
      <c r="AM144" s="195"/>
      <c r="AN144" s="195"/>
    </row>
    <row r="145" spans="2:40">
      <c r="B145" s="253">
        <f t="shared" si="2"/>
        <v>137</v>
      </c>
      <c r="C145" s="244"/>
      <c r="D145" s="654"/>
      <c r="E145" s="466"/>
      <c r="F145" s="612"/>
      <c r="G145" s="2973"/>
      <c r="H145" s="230"/>
      <c r="I145" s="230"/>
      <c r="J145" s="230"/>
      <c r="K145" s="230"/>
      <c r="L145" s="230"/>
      <c r="M145" s="228"/>
      <c r="N145" s="257"/>
      <c r="O145" s="228"/>
      <c r="P145" s="228"/>
      <c r="Q145" s="258"/>
      <c r="R145" s="2381"/>
      <c r="S145" s="2381"/>
      <c r="T145" s="254"/>
      <c r="U145" s="228"/>
      <c r="V145" s="2357"/>
      <c r="W145" s="256"/>
      <c r="X145" s="248"/>
      <c r="Y145" s="248"/>
      <c r="Z145" s="248"/>
      <c r="AA145" s="247"/>
      <c r="AB145" s="248"/>
      <c r="AC145" s="248"/>
      <c r="AD145" s="194"/>
      <c r="AE145" s="249"/>
      <c r="AF145" s="250"/>
      <c r="AG145" s="251"/>
      <c r="AH145" s="252"/>
      <c r="AI145" s="241"/>
      <c r="AJ145" s="241"/>
      <c r="AK145" s="241"/>
      <c r="AL145" s="194"/>
      <c r="AM145" s="195"/>
      <c r="AN145" s="195"/>
    </row>
    <row r="146" spans="2:40">
      <c r="B146" s="253">
        <f t="shared" si="2"/>
        <v>138</v>
      </c>
      <c r="C146" s="244"/>
      <c r="D146" s="654"/>
      <c r="E146" s="466"/>
      <c r="F146" s="612"/>
      <c r="G146" s="2973"/>
      <c r="H146" s="230"/>
      <c r="I146" s="230"/>
      <c r="J146" s="230"/>
      <c r="K146" s="230"/>
      <c r="L146" s="230"/>
      <c r="M146" s="228"/>
      <c r="N146" s="257"/>
      <c r="O146" s="228"/>
      <c r="P146" s="228"/>
      <c r="Q146" s="258"/>
      <c r="R146" s="2381"/>
      <c r="S146" s="2381"/>
      <c r="T146" s="254"/>
      <c r="U146" s="228"/>
      <c r="V146" s="2357"/>
      <c r="W146" s="256"/>
      <c r="X146" s="248"/>
      <c r="Y146" s="248"/>
      <c r="Z146" s="248"/>
      <c r="AA146" s="247"/>
      <c r="AB146" s="248"/>
      <c r="AC146" s="248"/>
      <c r="AD146" s="194"/>
      <c r="AE146" s="249"/>
      <c r="AF146" s="250"/>
      <c r="AG146" s="251"/>
      <c r="AH146" s="252"/>
      <c r="AI146" s="241"/>
      <c r="AJ146" s="241"/>
      <c r="AK146" s="241"/>
      <c r="AL146" s="194"/>
      <c r="AM146" s="195"/>
      <c r="AN146" s="195"/>
    </row>
    <row r="147" spans="2:40">
      <c r="B147" s="253">
        <f t="shared" si="2"/>
        <v>139</v>
      </c>
      <c r="C147" s="244"/>
      <c r="D147" s="654"/>
      <c r="E147" s="466"/>
      <c r="F147" s="612"/>
      <c r="G147" s="2973"/>
      <c r="H147" s="230"/>
      <c r="I147" s="230"/>
      <c r="J147" s="230"/>
      <c r="K147" s="230"/>
      <c r="L147" s="230"/>
      <c r="M147" s="228"/>
      <c r="N147" s="257"/>
      <c r="O147" s="228"/>
      <c r="P147" s="228"/>
      <c r="Q147" s="258"/>
      <c r="R147" s="2381"/>
      <c r="S147" s="2381"/>
      <c r="T147" s="254"/>
      <c r="U147" s="228"/>
      <c r="V147" s="2357"/>
      <c r="W147" s="256"/>
      <c r="X147" s="248"/>
      <c r="Y147" s="248"/>
      <c r="Z147" s="248"/>
      <c r="AA147" s="247"/>
      <c r="AB147" s="248"/>
      <c r="AC147" s="248"/>
      <c r="AD147" s="194"/>
      <c r="AE147" s="249"/>
      <c r="AF147" s="250"/>
      <c r="AG147" s="251"/>
      <c r="AH147" s="252"/>
      <c r="AI147" s="241"/>
      <c r="AJ147" s="241"/>
      <c r="AK147" s="241"/>
      <c r="AL147" s="194"/>
      <c r="AM147" s="195"/>
      <c r="AN147" s="195"/>
    </row>
    <row r="148" spans="2:40">
      <c r="B148" s="253">
        <f t="shared" si="2"/>
        <v>140</v>
      </c>
      <c r="C148" s="244"/>
      <c r="D148" s="654"/>
      <c r="E148" s="466"/>
      <c r="F148" s="612"/>
      <c r="G148" s="2973"/>
      <c r="H148" s="230"/>
      <c r="I148" s="230"/>
      <c r="J148" s="230"/>
      <c r="K148" s="230"/>
      <c r="L148" s="230"/>
      <c r="M148" s="228"/>
      <c r="N148" s="257"/>
      <c r="O148" s="228"/>
      <c r="P148" s="228"/>
      <c r="Q148" s="258"/>
      <c r="R148" s="2381"/>
      <c r="S148" s="2381"/>
      <c r="T148" s="254"/>
      <c r="U148" s="228"/>
      <c r="V148" s="2357"/>
      <c r="W148" s="256"/>
      <c r="X148" s="248"/>
      <c r="Y148" s="248"/>
      <c r="Z148" s="248"/>
      <c r="AA148" s="247"/>
      <c r="AB148" s="248"/>
      <c r="AC148" s="248"/>
      <c r="AD148" s="194"/>
      <c r="AE148" s="249"/>
      <c r="AF148" s="250"/>
      <c r="AG148" s="251"/>
      <c r="AH148" s="252"/>
      <c r="AI148" s="241"/>
      <c r="AJ148" s="241"/>
      <c r="AK148" s="241"/>
      <c r="AL148" s="194"/>
      <c r="AM148" s="195"/>
      <c r="AN148" s="195"/>
    </row>
    <row r="149" spans="2:40">
      <c r="B149" s="253">
        <f t="shared" si="2"/>
        <v>141</v>
      </c>
      <c r="C149" s="244"/>
      <c r="D149" s="654"/>
      <c r="E149" s="466"/>
      <c r="F149" s="612"/>
      <c r="G149" s="2973"/>
      <c r="H149" s="230"/>
      <c r="I149" s="230"/>
      <c r="J149" s="230"/>
      <c r="K149" s="230"/>
      <c r="L149" s="230"/>
      <c r="M149" s="228"/>
      <c r="N149" s="257"/>
      <c r="O149" s="228"/>
      <c r="P149" s="228"/>
      <c r="Q149" s="258"/>
      <c r="R149" s="2381"/>
      <c r="S149" s="2381"/>
      <c r="T149" s="254"/>
      <c r="U149" s="228"/>
      <c r="V149" s="2357"/>
      <c r="W149" s="256"/>
      <c r="X149" s="248"/>
      <c r="Y149" s="248"/>
      <c r="Z149" s="248"/>
      <c r="AA149" s="247"/>
      <c r="AB149" s="248"/>
      <c r="AC149" s="248"/>
      <c r="AD149" s="194"/>
      <c r="AE149" s="249"/>
      <c r="AF149" s="250"/>
      <c r="AG149" s="251"/>
      <c r="AH149" s="252"/>
      <c r="AI149" s="241"/>
      <c r="AJ149" s="241"/>
      <c r="AK149" s="241"/>
      <c r="AL149" s="194"/>
      <c r="AM149" s="195"/>
      <c r="AN149" s="195"/>
    </row>
    <row r="150" spans="2:40">
      <c r="B150" s="253">
        <f t="shared" si="2"/>
        <v>142</v>
      </c>
      <c r="C150" s="244"/>
      <c r="D150" s="654"/>
      <c r="E150" s="466"/>
      <c r="F150" s="612"/>
      <c r="G150" s="2973"/>
      <c r="H150" s="230"/>
      <c r="I150" s="230"/>
      <c r="J150" s="230"/>
      <c r="K150" s="230"/>
      <c r="L150" s="230"/>
      <c r="M150" s="228"/>
      <c r="N150" s="257"/>
      <c r="O150" s="228"/>
      <c r="P150" s="228"/>
      <c r="Q150" s="258"/>
      <c r="R150" s="2381"/>
      <c r="S150" s="2381"/>
      <c r="T150" s="254"/>
      <c r="U150" s="228"/>
      <c r="V150" s="2357"/>
      <c r="W150" s="256"/>
      <c r="X150" s="248"/>
      <c r="Y150" s="248"/>
      <c r="Z150" s="248"/>
      <c r="AA150" s="247"/>
      <c r="AB150" s="248"/>
      <c r="AC150" s="248"/>
      <c r="AD150" s="194"/>
      <c r="AE150" s="249"/>
      <c r="AF150" s="250"/>
      <c r="AG150" s="251"/>
      <c r="AH150" s="252"/>
      <c r="AI150" s="241"/>
      <c r="AJ150" s="241"/>
      <c r="AK150" s="241"/>
      <c r="AL150" s="194"/>
      <c r="AM150" s="195"/>
      <c r="AN150" s="195"/>
    </row>
    <row r="151" spans="2:40">
      <c r="B151" s="253">
        <f t="shared" si="2"/>
        <v>143</v>
      </c>
      <c r="C151" s="244"/>
      <c r="D151" s="654"/>
      <c r="E151" s="466"/>
      <c r="F151" s="612"/>
      <c r="G151" s="2973"/>
      <c r="H151" s="230"/>
      <c r="I151" s="230"/>
      <c r="J151" s="230"/>
      <c r="K151" s="230"/>
      <c r="L151" s="230"/>
      <c r="M151" s="228"/>
      <c r="N151" s="257"/>
      <c r="O151" s="228"/>
      <c r="P151" s="228"/>
      <c r="Q151" s="258"/>
      <c r="R151" s="2381"/>
      <c r="S151" s="2381"/>
      <c r="T151" s="254"/>
      <c r="U151" s="228"/>
      <c r="V151" s="2357"/>
      <c r="W151" s="256"/>
      <c r="X151" s="248"/>
      <c r="Y151" s="248"/>
      <c r="Z151" s="248"/>
      <c r="AA151" s="247"/>
      <c r="AB151" s="248"/>
      <c r="AC151" s="248"/>
      <c r="AD151" s="194"/>
      <c r="AE151" s="249"/>
      <c r="AF151" s="250"/>
      <c r="AG151" s="251"/>
      <c r="AH151" s="252"/>
      <c r="AI151" s="241"/>
      <c r="AJ151" s="241"/>
      <c r="AK151" s="241"/>
      <c r="AL151" s="194"/>
      <c r="AM151" s="195"/>
      <c r="AN151" s="195"/>
    </row>
    <row r="152" spans="2:40">
      <c r="B152" s="253">
        <f t="shared" si="2"/>
        <v>144</v>
      </c>
      <c r="C152" s="244"/>
      <c r="D152" s="654"/>
      <c r="E152" s="466"/>
      <c r="F152" s="612"/>
      <c r="G152" s="2973"/>
      <c r="H152" s="230"/>
      <c r="I152" s="230"/>
      <c r="J152" s="230"/>
      <c r="K152" s="230"/>
      <c r="L152" s="230"/>
      <c r="M152" s="228"/>
      <c r="N152" s="257"/>
      <c r="O152" s="228"/>
      <c r="P152" s="228"/>
      <c r="Q152" s="258"/>
      <c r="R152" s="2381"/>
      <c r="S152" s="2381"/>
      <c r="T152" s="254"/>
      <c r="U152" s="228"/>
      <c r="V152" s="2357"/>
      <c r="W152" s="256"/>
      <c r="X152" s="248"/>
      <c r="Y152" s="248"/>
      <c r="Z152" s="248"/>
      <c r="AA152" s="247"/>
      <c r="AB152" s="248"/>
      <c r="AC152" s="248"/>
      <c r="AD152" s="194"/>
      <c r="AE152" s="249"/>
      <c r="AF152" s="250"/>
      <c r="AG152" s="251"/>
      <c r="AH152" s="252"/>
      <c r="AI152" s="241"/>
      <c r="AJ152" s="241"/>
      <c r="AK152" s="241"/>
      <c r="AL152" s="194"/>
      <c r="AM152" s="195"/>
      <c r="AN152" s="195"/>
    </row>
    <row r="153" spans="2:40">
      <c r="B153" s="253">
        <f t="shared" si="2"/>
        <v>145</v>
      </c>
      <c r="C153" s="244"/>
      <c r="D153" s="654"/>
      <c r="E153" s="466"/>
      <c r="F153" s="612"/>
      <c r="G153" s="2973"/>
      <c r="H153" s="230"/>
      <c r="I153" s="230"/>
      <c r="J153" s="230"/>
      <c r="K153" s="230"/>
      <c r="L153" s="230"/>
      <c r="M153" s="228"/>
      <c r="N153" s="257"/>
      <c r="O153" s="228"/>
      <c r="P153" s="228"/>
      <c r="Q153" s="258"/>
      <c r="R153" s="2381"/>
      <c r="S153" s="2381"/>
      <c r="T153" s="254"/>
      <c r="U153" s="228"/>
      <c r="V153" s="2357"/>
      <c r="W153" s="256"/>
      <c r="X153" s="248"/>
      <c r="Y153" s="248"/>
      <c r="Z153" s="248"/>
      <c r="AA153" s="247"/>
      <c r="AB153" s="248"/>
      <c r="AC153" s="248"/>
      <c r="AD153" s="194"/>
      <c r="AE153" s="249"/>
      <c r="AF153" s="250"/>
      <c r="AG153" s="251"/>
      <c r="AH153" s="252"/>
      <c r="AI153" s="241"/>
      <c r="AJ153" s="241"/>
      <c r="AK153" s="241"/>
      <c r="AL153" s="194"/>
      <c r="AM153" s="195"/>
      <c r="AN153" s="195"/>
    </row>
    <row r="154" spans="2:40">
      <c r="B154" s="253">
        <f t="shared" si="2"/>
        <v>146</v>
      </c>
      <c r="C154" s="244"/>
      <c r="D154" s="654"/>
      <c r="E154" s="466"/>
      <c r="F154" s="612"/>
      <c r="G154" s="2973"/>
      <c r="H154" s="230"/>
      <c r="I154" s="230"/>
      <c r="J154" s="230"/>
      <c r="K154" s="230"/>
      <c r="L154" s="230"/>
      <c r="M154" s="228"/>
      <c r="N154" s="257"/>
      <c r="O154" s="228"/>
      <c r="P154" s="228"/>
      <c r="Q154" s="258"/>
      <c r="R154" s="2381"/>
      <c r="S154" s="2381"/>
      <c r="T154" s="254"/>
      <c r="U154" s="228"/>
      <c r="V154" s="2357"/>
      <c r="W154" s="256"/>
      <c r="X154" s="248"/>
      <c r="Y154" s="248"/>
      <c r="Z154" s="248"/>
      <c r="AA154" s="247"/>
      <c r="AB154" s="248"/>
      <c r="AC154" s="248"/>
      <c r="AD154" s="194"/>
      <c r="AE154" s="249"/>
      <c r="AF154" s="250"/>
      <c r="AG154" s="251"/>
      <c r="AH154" s="252"/>
      <c r="AI154" s="241"/>
      <c r="AJ154" s="241"/>
      <c r="AK154" s="241"/>
      <c r="AL154" s="194"/>
      <c r="AM154" s="195"/>
      <c r="AN154" s="195"/>
    </row>
    <row r="155" spans="2:40">
      <c r="B155" s="253">
        <f t="shared" si="2"/>
        <v>147</v>
      </c>
      <c r="C155" s="244"/>
      <c r="D155" s="654"/>
      <c r="E155" s="466"/>
      <c r="F155" s="612"/>
      <c r="G155" s="2973"/>
      <c r="H155" s="230"/>
      <c r="I155" s="230"/>
      <c r="J155" s="230"/>
      <c r="K155" s="230"/>
      <c r="L155" s="230"/>
      <c r="M155" s="228"/>
      <c r="N155" s="257"/>
      <c r="O155" s="228"/>
      <c r="P155" s="228"/>
      <c r="Q155" s="258"/>
      <c r="R155" s="2381"/>
      <c r="S155" s="2381"/>
      <c r="T155" s="254"/>
      <c r="U155" s="228"/>
      <c r="V155" s="2357"/>
      <c r="W155" s="256"/>
      <c r="X155" s="248"/>
      <c r="Y155" s="248"/>
      <c r="Z155" s="248"/>
      <c r="AA155" s="247"/>
      <c r="AB155" s="248"/>
      <c r="AC155" s="248"/>
      <c r="AD155" s="194"/>
      <c r="AE155" s="249"/>
      <c r="AF155" s="250"/>
      <c r="AG155" s="251"/>
      <c r="AH155" s="252"/>
      <c r="AI155" s="241"/>
      <c r="AJ155" s="241"/>
      <c r="AK155" s="241"/>
      <c r="AL155" s="194"/>
      <c r="AM155" s="195"/>
      <c r="AN155" s="195"/>
    </row>
    <row r="156" spans="2:40">
      <c r="B156" s="253">
        <f t="shared" si="2"/>
        <v>148</v>
      </c>
      <c r="C156" s="244"/>
      <c r="D156" s="654"/>
      <c r="E156" s="466"/>
      <c r="F156" s="612"/>
      <c r="G156" s="2973"/>
      <c r="H156" s="230"/>
      <c r="I156" s="230"/>
      <c r="J156" s="230"/>
      <c r="K156" s="230"/>
      <c r="L156" s="230"/>
      <c r="M156" s="228"/>
      <c r="N156" s="257"/>
      <c r="O156" s="228"/>
      <c r="P156" s="228"/>
      <c r="Q156" s="258"/>
      <c r="R156" s="2381"/>
      <c r="S156" s="2381"/>
      <c r="T156" s="254"/>
      <c r="U156" s="228"/>
      <c r="V156" s="2357"/>
      <c r="W156" s="256"/>
      <c r="X156" s="248"/>
      <c r="Y156" s="248"/>
      <c r="Z156" s="248"/>
      <c r="AA156" s="247"/>
      <c r="AB156" s="248"/>
      <c r="AC156" s="248"/>
      <c r="AD156" s="194"/>
      <c r="AE156" s="249"/>
      <c r="AF156" s="250"/>
      <c r="AG156" s="251"/>
      <c r="AH156" s="252"/>
      <c r="AI156" s="241"/>
      <c r="AJ156" s="241"/>
      <c r="AK156" s="241"/>
      <c r="AL156" s="194"/>
      <c r="AM156" s="195"/>
      <c r="AN156" s="195"/>
    </row>
    <row r="157" spans="2:40">
      <c r="B157" s="253">
        <f t="shared" si="2"/>
        <v>149</v>
      </c>
      <c r="C157" s="244"/>
      <c r="D157" s="654"/>
      <c r="E157" s="466"/>
      <c r="F157" s="612"/>
      <c r="G157" s="2973"/>
      <c r="H157" s="230"/>
      <c r="I157" s="230"/>
      <c r="J157" s="230"/>
      <c r="K157" s="230"/>
      <c r="L157" s="230"/>
      <c r="M157" s="228"/>
      <c r="N157" s="257"/>
      <c r="O157" s="228"/>
      <c r="P157" s="228"/>
      <c r="Q157" s="258"/>
      <c r="R157" s="2381"/>
      <c r="S157" s="2381"/>
      <c r="T157" s="254"/>
      <c r="U157" s="228"/>
      <c r="V157" s="2357"/>
      <c r="W157" s="256"/>
      <c r="X157" s="248"/>
      <c r="Y157" s="248"/>
      <c r="Z157" s="248"/>
      <c r="AA157" s="247"/>
      <c r="AB157" s="248"/>
      <c r="AC157" s="248"/>
      <c r="AD157" s="194"/>
      <c r="AE157" s="249"/>
      <c r="AF157" s="250"/>
      <c r="AG157" s="251"/>
      <c r="AH157" s="252"/>
      <c r="AI157" s="241"/>
      <c r="AJ157" s="241"/>
      <c r="AK157" s="241"/>
      <c r="AL157" s="194"/>
      <c r="AM157" s="195"/>
      <c r="AN157" s="195"/>
    </row>
    <row r="158" spans="2:40">
      <c r="B158" s="253">
        <f t="shared" si="2"/>
        <v>150</v>
      </c>
      <c r="C158" s="244"/>
      <c r="D158" s="654"/>
      <c r="E158" s="466"/>
      <c r="F158" s="612"/>
      <c r="G158" s="2973"/>
      <c r="H158" s="230"/>
      <c r="I158" s="230"/>
      <c r="J158" s="230"/>
      <c r="K158" s="230"/>
      <c r="L158" s="230"/>
      <c r="M158" s="228"/>
      <c r="N158" s="257"/>
      <c r="O158" s="228"/>
      <c r="P158" s="228"/>
      <c r="Q158" s="258"/>
      <c r="R158" s="2381"/>
      <c r="S158" s="2381"/>
      <c r="T158" s="254"/>
      <c r="U158" s="228"/>
      <c r="V158" s="2357"/>
      <c r="W158" s="256"/>
      <c r="X158" s="248"/>
      <c r="Y158" s="248"/>
      <c r="Z158" s="248"/>
      <c r="AA158" s="247"/>
      <c r="AB158" s="248"/>
      <c r="AC158" s="248"/>
      <c r="AD158" s="194"/>
      <c r="AE158" s="249"/>
      <c r="AF158" s="250"/>
      <c r="AG158" s="251"/>
      <c r="AH158" s="252"/>
      <c r="AI158" s="241"/>
      <c r="AJ158" s="241"/>
      <c r="AK158" s="241"/>
      <c r="AL158" s="194"/>
      <c r="AM158" s="195"/>
      <c r="AN158" s="195"/>
    </row>
    <row r="159" spans="2:40">
      <c r="B159" s="253">
        <f t="shared" si="2"/>
        <v>151</v>
      </c>
      <c r="C159" s="244"/>
      <c r="D159" s="654"/>
      <c r="E159" s="466"/>
      <c r="F159" s="612"/>
      <c r="G159" s="2973"/>
      <c r="H159" s="230"/>
      <c r="I159" s="230"/>
      <c r="J159" s="230"/>
      <c r="K159" s="230"/>
      <c r="L159" s="230"/>
      <c r="M159" s="228"/>
      <c r="N159" s="257"/>
      <c r="O159" s="228"/>
      <c r="P159" s="228"/>
      <c r="Q159" s="258"/>
      <c r="R159" s="2381"/>
      <c r="S159" s="2381"/>
      <c r="T159" s="254"/>
      <c r="U159" s="228"/>
      <c r="V159" s="2357"/>
      <c r="W159" s="256"/>
      <c r="X159" s="248"/>
      <c r="Y159" s="248"/>
      <c r="Z159" s="248"/>
      <c r="AA159" s="247"/>
      <c r="AB159" s="248"/>
      <c r="AC159" s="248"/>
      <c r="AD159" s="194"/>
      <c r="AE159" s="249"/>
      <c r="AF159" s="250"/>
      <c r="AG159" s="251"/>
      <c r="AH159" s="252"/>
      <c r="AI159" s="241"/>
      <c r="AJ159" s="241"/>
      <c r="AK159" s="241"/>
      <c r="AL159" s="194"/>
      <c r="AM159" s="195"/>
      <c r="AN159" s="195"/>
    </row>
    <row r="160" spans="2:40">
      <c r="B160" s="253">
        <f t="shared" si="2"/>
        <v>152</v>
      </c>
      <c r="C160" s="244"/>
      <c r="D160" s="654"/>
      <c r="E160" s="466"/>
      <c r="F160" s="612"/>
      <c r="G160" s="2973"/>
      <c r="H160" s="230"/>
      <c r="I160" s="230"/>
      <c r="J160" s="230"/>
      <c r="K160" s="230"/>
      <c r="L160" s="230"/>
      <c r="M160" s="228"/>
      <c r="N160" s="257"/>
      <c r="O160" s="228"/>
      <c r="P160" s="228"/>
      <c r="Q160" s="258"/>
      <c r="R160" s="2381"/>
      <c r="S160" s="2381"/>
      <c r="T160" s="254"/>
      <c r="U160" s="228"/>
      <c r="V160" s="2357"/>
      <c r="W160" s="256"/>
      <c r="X160" s="248"/>
      <c r="Y160" s="248"/>
      <c r="Z160" s="248"/>
      <c r="AA160" s="247"/>
      <c r="AB160" s="248"/>
      <c r="AC160" s="248"/>
      <c r="AD160" s="194"/>
      <c r="AE160" s="249"/>
      <c r="AF160" s="250"/>
      <c r="AG160" s="251"/>
      <c r="AH160" s="252"/>
      <c r="AI160" s="241"/>
      <c r="AJ160" s="241"/>
      <c r="AK160" s="241"/>
      <c r="AL160" s="194"/>
      <c r="AM160" s="195"/>
      <c r="AN160" s="195"/>
    </row>
    <row r="161" spans="2:40">
      <c r="B161" s="253">
        <f t="shared" si="2"/>
        <v>153</v>
      </c>
      <c r="C161" s="244"/>
      <c r="D161" s="654"/>
      <c r="E161" s="466"/>
      <c r="F161" s="612"/>
      <c r="G161" s="2973"/>
      <c r="H161" s="230"/>
      <c r="I161" s="230"/>
      <c r="J161" s="230"/>
      <c r="K161" s="230"/>
      <c r="L161" s="230"/>
      <c r="M161" s="228"/>
      <c r="N161" s="257"/>
      <c r="O161" s="228"/>
      <c r="P161" s="228"/>
      <c r="Q161" s="258"/>
      <c r="R161" s="2381"/>
      <c r="S161" s="2381"/>
      <c r="T161" s="254"/>
      <c r="U161" s="228"/>
      <c r="V161" s="2357"/>
      <c r="W161" s="256"/>
      <c r="X161" s="248"/>
      <c r="Y161" s="248"/>
      <c r="Z161" s="248"/>
      <c r="AA161" s="247"/>
      <c r="AB161" s="248"/>
      <c r="AC161" s="248"/>
      <c r="AD161" s="194"/>
      <c r="AE161" s="249"/>
      <c r="AF161" s="250"/>
      <c r="AG161" s="251"/>
      <c r="AH161" s="252"/>
      <c r="AI161" s="241"/>
      <c r="AJ161" s="241"/>
      <c r="AK161" s="241"/>
      <c r="AL161" s="194"/>
      <c r="AM161" s="195"/>
      <c r="AN161" s="195"/>
    </row>
    <row r="162" spans="2:40">
      <c r="B162" s="253">
        <f t="shared" si="2"/>
        <v>154</v>
      </c>
      <c r="C162" s="244"/>
      <c r="D162" s="654"/>
      <c r="E162" s="466"/>
      <c r="F162" s="612"/>
      <c r="G162" s="2973"/>
      <c r="H162" s="230"/>
      <c r="I162" s="230"/>
      <c r="J162" s="230"/>
      <c r="K162" s="230"/>
      <c r="L162" s="230"/>
      <c r="M162" s="228"/>
      <c r="N162" s="257"/>
      <c r="O162" s="228"/>
      <c r="P162" s="228"/>
      <c r="Q162" s="258"/>
      <c r="R162" s="2381"/>
      <c r="S162" s="2381"/>
      <c r="T162" s="254"/>
      <c r="U162" s="228"/>
      <c r="V162" s="2357"/>
      <c r="W162" s="256"/>
      <c r="X162" s="248"/>
      <c r="Y162" s="248"/>
      <c r="Z162" s="248"/>
      <c r="AA162" s="247"/>
      <c r="AB162" s="248"/>
      <c r="AC162" s="248"/>
      <c r="AD162" s="194"/>
      <c r="AE162" s="249"/>
      <c r="AF162" s="250"/>
      <c r="AG162" s="251"/>
      <c r="AH162" s="252"/>
      <c r="AI162" s="241"/>
      <c r="AJ162" s="241"/>
      <c r="AK162" s="241"/>
      <c r="AL162" s="194"/>
      <c r="AM162" s="195"/>
      <c r="AN162" s="195"/>
    </row>
    <row r="163" spans="2:40">
      <c r="B163" s="253">
        <f t="shared" si="2"/>
        <v>155</v>
      </c>
      <c r="C163" s="244"/>
      <c r="D163" s="654"/>
      <c r="E163" s="466"/>
      <c r="F163" s="612"/>
      <c r="G163" s="2973"/>
      <c r="H163" s="230"/>
      <c r="I163" s="230"/>
      <c r="J163" s="230"/>
      <c r="K163" s="230"/>
      <c r="L163" s="230"/>
      <c r="M163" s="228"/>
      <c r="N163" s="257"/>
      <c r="O163" s="228"/>
      <c r="P163" s="228"/>
      <c r="Q163" s="258"/>
      <c r="R163" s="2381"/>
      <c r="S163" s="2381"/>
      <c r="T163" s="254"/>
      <c r="U163" s="228"/>
      <c r="V163" s="2357"/>
      <c r="W163" s="256"/>
      <c r="X163" s="248"/>
      <c r="Y163" s="248"/>
      <c r="Z163" s="248"/>
      <c r="AA163" s="247"/>
      <c r="AB163" s="248"/>
      <c r="AC163" s="248"/>
      <c r="AD163" s="194"/>
      <c r="AE163" s="249"/>
      <c r="AF163" s="250"/>
      <c r="AG163" s="251"/>
      <c r="AH163" s="252"/>
      <c r="AI163" s="241"/>
      <c r="AJ163" s="241"/>
      <c r="AK163" s="241"/>
      <c r="AL163" s="194"/>
      <c r="AM163" s="195"/>
      <c r="AN163" s="195"/>
    </row>
    <row r="164" spans="2:40">
      <c r="B164" s="253">
        <f t="shared" si="2"/>
        <v>156</v>
      </c>
      <c r="C164" s="244"/>
      <c r="D164" s="654"/>
      <c r="E164" s="466"/>
      <c r="F164" s="612"/>
      <c r="G164" s="2973"/>
      <c r="H164" s="230"/>
      <c r="I164" s="230"/>
      <c r="J164" s="230"/>
      <c r="K164" s="230"/>
      <c r="L164" s="230"/>
      <c r="M164" s="228"/>
      <c r="N164" s="257"/>
      <c r="O164" s="228"/>
      <c r="P164" s="228"/>
      <c r="Q164" s="258"/>
      <c r="R164" s="2381"/>
      <c r="S164" s="2381"/>
      <c r="T164" s="254"/>
      <c r="U164" s="228"/>
      <c r="V164" s="2357"/>
      <c r="W164" s="256"/>
      <c r="X164" s="248"/>
      <c r="Y164" s="248"/>
      <c r="Z164" s="248"/>
      <c r="AA164" s="247"/>
      <c r="AB164" s="248"/>
      <c r="AC164" s="248"/>
      <c r="AD164" s="194"/>
      <c r="AE164" s="249"/>
      <c r="AF164" s="250"/>
      <c r="AG164" s="251"/>
      <c r="AH164" s="252"/>
      <c r="AI164" s="241"/>
      <c r="AJ164" s="241"/>
      <c r="AK164" s="241"/>
      <c r="AL164" s="194"/>
      <c r="AM164" s="195"/>
      <c r="AN164" s="195"/>
    </row>
    <row r="165" spans="2:40">
      <c r="B165" s="253">
        <f t="shared" si="2"/>
        <v>157</v>
      </c>
      <c r="C165" s="244"/>
      <c r="D165" s="654"/>
      <c r="E165" s="466"/>
      <c r="F165" s="612"/>
      <c r="G165" s="2973"/>
      <c r="H165" s="230"/>
      <c r="I165" s="230"/>
      <c r="J165" s="230"/>
      <c r="K165" s="230"/>
      <c r="L165" s="230"/>
      <c r="M165" s="228"/>
      <c r="N165" s="257"/>
      <c r="O165" s="228"/>
      <c r="P165" s="228"/>
      <c r="Q165" s="258"/>
      <c r="R165" s="2381"/>
      <c r="S165" s="2381"/>
      <c r="T165" s="254"/>
      <c r="U165" s="228"/>
      <c r="V165" s="2357"/>
      <c r="W165" s="256"/>
      <c r="X165" s="248"/>
      <c r="Y165" s="248"/>
      <c r="Z165" s="248"/>
      <c r="AA165" s="247"/>
      <c r="AB165" s="248"/>
      <c r="AC165" s="248"/>
      <c r="AD165" s="194"/>
      <c r="AE165" s="249"/>
      <c r="AF165" s="250"/>
      <c r="AG165" s="251"/>
      <c r="AH165" s="252"/>
      <c r="AI165" s="241"/>
      <c r="AJ165" s="241"/>
      <c r="AK165" s="241"/>
      <c r="AL165" s="194"/>
      <c r="AM165" s="195"/>
      <c r="AN165" s="195"/>
    </row>
    <row r="166" spans="2:40">
      <c r="B166" s="253">
        <f t="shared" si="2"/>
        <v>158</v>
      </c>
      <c r="C166" s="244"/>
      <c r="D166" s="654"/>
      <c r="E166" s="466"/>
      <c r="F166" s="612"/>
      <c r="G166" s="2973"/>
      <c r="H166" s="230"/>
      <c r="I166" s="230"/>
      <c r="J166" s="230"/>
      <c r="K166" s="230"/>
      <c r="L166" s="230"/>
      <c r="M166" s="228"/>
      <c r="N166" s="257"/>
      <c r="O166" s="228"/>
      <c r="P166" s="228"/>
      <c r="Q166" s="258"/>
      <c r="R166" s="2381"/>
      <c r="S166" s="2381"/>
      <c r="T166" s="254"/>
      <c r="U166" s="228"/>
      <c r="V166" s="2357"/>
      <c r="W166" s="256"/>
      <c r="X166" s="248"/>
      <c r="Y166" s="248"/>
      <c r="Z166" s="248"/>
      <c r="AA166" s="247"/>
      <c r="AB166" s="248"/>
      <c r="AC166" s="248"/>
      <c r="AD166" s="194"/>
      <c r="AE166" s="249"/>
      <c r="AF166" s="250"/>
      <c r="AG166" s="251"/>
      <c r="AH166" s="252"/>
      <c r="AI166" s="241"/>
      <c r="AJ166" s="241"/>
      <c r="AK166" s="241"/>
      <c r="AL166" s="194"/>
      <c r="AM166" s="195"/>
      <c r="AN166" s="195"/>
    </row>
    <row r="167" spans="2:40">
      <c r="B167" s="253">
        <f t="shared" si="2"/>
        <v>159</v>
      </c>
      <c r="C167" s="244"/>
      <c r="D167" s="654"/>
      <c r="E167" s="466"/>
      <c r="F167" s="612"/>
      <c r="G167" s="2973"/>
      <c r="H167" s="230"/>
      <c r="I167" s="230"/>
      <c r="J167" s="230"/>
      <c r="K167" s="230"/>
      <c r="L167" s="230"/>
      <c r="M167" s="228"/>
      <c r="N167" s="257"/>
      <c r="O167" s="228"/>
      <c r="P167" s="228"/>
      <c r="Q167" s="258"/>
      <c r="R167" s="2381"/>
      <c r="S167" s="2381"/>
      <c r="T167" s="254"/>
      <c r="U167" s="228"/>
      <c r="V167" s="2357"/>
      <c r="W167" s="256"/>
      <c r="X167" s="248"/>
      <c r="Y167" s="248"/>
      <c r="Z167" s="248"/>
      <c r="AA167" s="247"/>
      <c r="AB167" s="248"/>
      <c r="AC167" s="248"/>
      <c r="AD167" s="194"/>
      <c r="AE167" s="249"/>
      <c r="AF167" s="250"/>
      <c r="AG167" s="251"/>
      <c r="AH167" s="252"/>
      <c r="AI167" s="241"/>
      <c r="AJ167" s="241"/>
      <c r="AK167" s="241"/>
      <c r="AL167" s="194"/>
      <c r="AM167" s="195"/>
      <c r="AN167" s="195"/>
    </row>
    <row r="168" spans="2:40">
      <c r="B168" s="253">
        <f t="shared" si="2"/>
        <v>160</v>
      </c>
      <c r="C168" s="244"/>
      <c r="D168" s="654"/>
      <c r="E168" s="466"/>
      <c r="F168" s="612"/>
      <c r="G168" s="2973"/>
      <c r="H168" s="230"/>
      <c r="I168" s="230"/>
      <c r="J168" s="230"/>
      <c r="K168" s="230"/>
      <c r="L168" s="230"/>
      <c r="M168" s="228"/>
      <c r="N168" s="257"/>
      <c r="O168" s="228"/>
      <c r="P168" s="228"/>
      <c r="Q168" s="258"/>
      <c r="R168" s="2381"/>
      <c r="S168" s="2381"/>
      <c r="T168" s="254"/>
      <c r="U168" s="228"/>
      <c r="V168" s="2357"/>
      <c r="W168" s="256"/>
      <c r="X168" s="248"/>
      <c r="Y168" s="248"/>
      <c r="Z168" s="248"/>
      <c r="AA168" s="247"/>
      <c r="AB168" s="248"/>
      <c r="AC168" s="248"/>
      <c r="AD168" s="194"/>
      <c r="AE168" s="249"/>
      <c r="AF168" s="250"/>
      <c r="AG168" s="251"/>
      <c r="AH168" s="252"/>
      <c r="AI168" s="241"/>
      <c r="AJ168" s="241"/>
      <c r="AK168" s="241"/>
      <c r="AL168" s="194"/>
      <c r="AM168" s="195"/>
      <c r="AN168" s="195"/>
    </row>
    <row r="169" spans="2:40">
      <c r="B169" s="253">
        <f t="shared" si="2"/>
        <v>161</v>
      </c>
      <c r="C169" s="244"/>
      <c r="D169" s="654"/>
      <c r="E169" s="466"/>
      <c r="F169" s="612"/>
      <c r="G169" s="2973"/>
      <c r="H169" s="230"/>
      <c r="I169" s="230"/>
      <c r="J169" s="230"/>
      <c r="K169" s="230"/>
      <c r="L169" s="230"/>
      <c r="M169" s="228"/>
      <c r="N169" s="257"/>
      <c r="O169" s="228"/>
      <c r="P169" s="228"/>
      <c r="Q169" s="258"/>
      <c r="R169" s="2381"/>
      <c r="S169" s="2381"/>
      <c r="T169" s="254"/>
      <c r="U169" s="228"/>
      <c r="V169" s="2357"/>
      <c r="W169" s="256"/>
      <c r="X169" s="248"/>
      <c r="Y169" s="248"/>
      <c r="Z169" s="248"/>
      <c r="AA169" s="247"/>
      <c r="AB169" s="248"/>
      <c r="AC169" s="248"/>
      <c r="AD169" s="194"/>
      <c r="AE169" s="249"/>
      <c r="AF169" s="250"/>
      <c r="AG169" s="251"/>
      <c r="AH169" s="252"/>
      <c r="AI169" s="241"/>
      <c r="AJ169" s="241"/>
      <c r="AK169" s="241"/>
      <c r="AL169" s="194"/>
      <c r="AM169" s="195"/>
      <c r="AN169" s="195"/>
    </row>
    <row r="170" spans="2:40">
      <c r="B170" s="253">
        <f t="shared" si="2"/>
        <v>162</v>
      </c>
      <c r="C170" s="244"/>
      <c r="D170" s="654"/>
      <c r="E170" s="466"/>
      <c r="F170" s="612"/>
      <c r="G170" s="2973"/>
      <c r="H170" s="230"/>
      <c r="I170" s="230"/>
      <c r="J170" s="230"/>
      <c r="K170" s="230"/>
      <c r="L170" s="230"/>
      <c r="M170" s="228"/>
      <c r="N170" s="257"/>
      <c r="O170" s="228"/>
      <c r="P170" s="228"/>
      <c r="Q170" s="258"/>
      <c r="R170" s="2381"/>
      <c r="S170" s="2381"/>
      <c r="T170" s="254"/>
      <c r="U170" s="228"/>
      <c r="V170" s="2357"/>
      <c r="W170" s="256"/>
      <c r="X170" s="248"/>
      <c r="Y170" s="248"/>
      <c r="Z170" s="248"/>
      <c r="AA170" s="247"/>
      <c r="AB170" s="248"/>
      <c r="AC170" s="248"/>
      <c r="AD170" s="194"/>
      <c r="AE170" s="249"/>
      <c r="AF170" s="250"/>
      <c r="AG170" s="251"/>
      <c r="AH170" s="252"/>
      <c r="AI170" s="241"/>
      <c r="AJ170" s="241"/>
      <c r="AK170" s="241"/>
      <c r="AL170" s="194"/>
      <c r="AM170" s="195"/>
      <c r="AN170" s="195"/>
    </row>
    <row r="171" spans="2:40">
      <c r="B171" s="253">
        <f t="shared" si="2"/>
        <v>163</v>
      </c>
      <c r="C171" s="244"/>
      <c r="D171" s="654"/>
      <c r="E171" s="466"/>
      <c r="F171" s="612"/>
      <c r="G171" s="2973"/>
      <c r="H171" s="230"/>
      <c r="I171" s="230"/>
      <c r="J171" s="230"/>
      <c r="K171" s="230"/>
      <c r="L171" s="230"/>
      <c r="M171" s="228"/>
      <c r="N171" s="257"/>
      <c r="O171" s="228"/>
      <c r="P171" s="228"/>
      <c r="Q171" s="258"/>
      <c r="R171" s="2381"/>
      <c r="S171" s="2381"/>
      <c r="T171" s="254"/>
      <c r="U171" s="228"/>
      <c r="V171" s="2357"/>
      <c r="W171" s="256"/>
      <c r="X171" s="248"/>
      <c r="Y171" s="248"/>
      <c r="Z171" s="248"/>
      <c r="AA171" s="247"/>
      <c r="AB171" s="248"/>
      <c r="AC171" s="248"/>
      <c r="AD171" s="194"/>
      <c r="AE171" s="249"/>
      <c r="AF171" s="250"/>
      <c r="AG171" s="251"/>
      <c r="AH171" s="252"/>
      <c r="AI171" s="241"/>
      <c r="AJ171" s="241"/>
      <c r="AK171" s="241"/>
      <c r="AL171" s="194"/>
      <c r="AM171" s="195"/>
      <c r="AN171" s="195"/>
    </row>
    <row r="172" spans="2:40">
      <c r="B172" s="253">
        <f t="shared" si="2"/>
        <v>164</v>
      </c>
      <c r="C172" s="244"/>
      <c r="D172" s="654"/>
      <c r="E172" s="466"/>
      <c r="F172" s="612"/>
      <c r="G172" s="2973"/>
      <c r="H172" s="230"/>
      <c r="I172" s="230"/>
      <c r="J172" s="230"/>
      <c r="K172" s="230"/>
      <c r="L172" s="230"/>
      <c r="M172" s="228"/>
      <c r="N172" s="257"/>
      <c r="O172" s="228"/>
      <c r="P172" s="228"/>
      <c r="Q172" s="258"/>
      <c r="R172" s="2381"/>
      <c r="S172" s="2381"/>
      <c r="T172" s="254"/>
      <c r="U172" s="228"/>
      <c r="V172" s="2357"/>
      <c r="W172" s="256"/>
      <c r="X172" s="248"/>
      <c r="Y172" s="248"/>
      <c r="Z172" s="248"/>
      <c r="AA172" s="247"/>
      <c r="AB172" s="248"/>
      <c r="AC172" s="248"/>
      <c r="AD172" s="194"/>
      <c r="AE172" s="249"/>
      <c r="AF172" s="250"/>
      <c r="AG172" s="251"/>
      <c r="AH172" s="252"/>
      <c r="AI172" s="241"/>
      <c r="AJ172" s="241"/>
      <c r="AK172" s="241"/>
      <c r="AL172" s="194"/>
      <c r="AM172" s="195"/>
      <c r="AN172" s="195"/>
    </row>
    <row r="173" spans="2:40">
      <c r="B173" s="253">
        <f t="shared" si="2"/>
        <v>165</v>
      </c>
      <c r="C173" s="244"/>
      <c r="D173" s="654"/>
      <c r="E173" s="466"/>
      <c r="F173" s="612"/>
      <c r="G173" s="2973"/>
      <c r="H173" s="230"/>
      <c r="I173" s="230"/>
      <c r="J173" s="230"/>
      <c r="K173" s="230"/>
      <c r="L173" s="230"/>
      <c r="M173" s="228"/>
      <c r="N173" s="257"/>
      <c r="O173" s="228"/>
      <c r="P173" s="228"/>
      <c r="Q173" s="258"/>
      <c r="R173" s="2381"/>
      <c r="S173" s="2381"/>
      <c r="T173" s="254"/>
      <c r="U173" s="228"/>
      <c r="V173" s="2357"/>
      <c r="W173" s="256"/>
      <c r="X173" s="248"/>
      <c r="Y173" s="248"/>
      <c r="Z173" s="248"/>
      <c r="AA173" s="247"/>
      <c r="AB173" s="248"/>
      <c r="AC173" s="248"/>
      <c r="AD173" s="194"/>
      <c r="AE173" s="249"/>
      <c r="AF173" s="250"/>
      <c r="AG173" s="251"/>
      <c r="AH173" s="252"/>
      <c r="AI173" s="241"/>
      <c r="AJ173" s="241"/>
      <c r="AK173" s="241"/>
      <c r="AL173" s="194"/>
      <c r="AM173" s="195"/>
      <c r="AN173" s="195"/>
    </row>
    <row r="174" spans="2:40">
      <c r="B174" s="253">
        <f t="shared" si="2"/>
        <v>166</v>
      </c>
      <c r="C174" s="244"/>
      <c r="D174" s="654"/>
      <c r="E174" s="466"/>
      <c r="F174" s="612"/>
      <c r="G174" s="2973"/>
      <c r="H174" s="230"/>
      <c r="I174" s="230"/>
      <c r="J174" s="230"/>
      <c r="K174" s="230"/>
      <c r="L174" s="230"/>
      <c r="M174" s="228"/>
      <c r="N174" s="257"/>
      <c r="O174" s="228"/>
      <c r="P174" s="228"/>
      <c r="Q174" s="258"/>
      <c r="R174" s="2381"/>
      <c r="S174" s="2381"/>
      <c r="T174" s="254"/>
      <c r="U174" s="228"/>
      <c r="V174" s="2357"/>
      <c r="W174" s="256"/>
      <c r="X174" s="248"/>
      <c r="Y174" s="248"/>
      <c r="Z174" s="248"/>
      <c r="AA174" s="247"/>
      <c r="AB174" s="248"/>
      <c r="AC174" s="248"/>
      <c r="AD174" s="194"/>
      <c r="AE174" s="249"/>
      <c r="AF174" s="250"/>
      <c r="AG174" s="251"/>
      <c r="AH174" s="252"/>
      <c r="AI174" s="241"/>
      <c r="AJ174" s="241"/>
      <c r="AK174" s="241"/>
      <c r="AL174" s="194"/>
      <c r="AM174" s="195"/>
      <c r="AN174" s="195"/>
    </row>
    <row r="175" spans="2:40">
      <c r="B175" s="253">
        <f t="shared" si="2"/>
        <v>167</v>
      </c>
      <c r="C175" s="244"/>
      <c r="D175" s="654"/>
      <c r="E175" s="466"/>
      <c r="F175" s="612"/>
      <c r="G175" s="2973"/>
      <c r="H175" s="230"/>
      <c r="I175" s="230"/>
      <c r="J175" s="230"/>
      <c r="K175" s="230"/>
      <c r="L175" s="230"/>
      <c r="M175" s="228"/>
      <c r="N175" s="257"/>
      <c r="O175" s="228"/>
      <c r="P175" s="228"/>
      <c r="Q175" s="258"/>
      <c r="R175" s="2381"/>
      <c r="S175" s="2381"/>
      <c r="T175" s="254"/>
      <c r="U175" s="228"/>
      <c r="V175" s="2357"/>
      <c r="W175" s="256"/>
      <c r="X175" s="248"/>
      <c r="Y175" s="248"/>
      <c r="Z175" s="248"/>
      <c r="AA175" s="247"/>
      <c r="AB175" s="248"/>
      <c r="AC175" s="248"/>
      <c r="AD175" s="194"/>
      <c r="AE175" s="249"/>
      <c r="AF175" s="250"/>
      <c r="AG175" s="251"/>
      <c r="AH175" s="252"/>
      <c r="AI175" s="241"/>
      <c r="AJ175" s="241"/>
      <c r="AK175" s="241"/>
      <c r="AL175" s="194"/>
      <c r="AM175" s="195"/>
      <c r="AN175" s="195"/>
    </row>
    <row r="176" spans="2:40">
      <c r="B176" s="253">
        <f t="shared" si="2"/>
        <v>168</v>
      </c>
      <c r="C176" s="244"/>
      <c r="D176" s="654"/>
      <c r="E176" s="466"/>
      <c r="F176" s="612"/>
      <c r="G176" s="2973"/>
      <c r="H176" s="230"/>
      <c r="I176" s="230"/>
      <c r="J176" s="230"/>
      <c r="K176" s="230"/>
      <c r="L176" s="230"/>
      <c r="M176" s="228"/>
      <c r="N176" s="257"/>
      <c r="O176" s="228"/>
      <c r="P176" s="228"/>
      <c r="Q176" s="258"/>
      <c r="R176" s="2381"/>
      <c r="S176" s="2381"/>
      <c r="T176" s="254"/>
      <c r="U176" s="228"/>
      <c r="V176" s="2357"/>
      <c r="W176" s="256"/>
      <c r="X176" s="248"/>
      <c r="Y176" s="248"/>
      <c r="Z176" s="248"/>
      <c r="AA176" s="247"/>
      <c r="AB176" s="248"/>
      <c r="AC176" s="248"/>
      <c r="AD176" s="194"/>
      <c r="AE176" s="249"/>
      <c r="AF176" s="250"/>
      <c r="AG176" s="251"/>
      <c r="AH176" s="252"/>
      <c r="AI176" s="241"/>
      <c r="AJ176" s="241"/>
      <c r="AK176" s="241"/>
      <c r="AL176" s="194"/>
      <c r="AM176" s="195"/>
      <c r="AN176" s="195"/>
    </row>
    <row r="177" spans="2:40">
      <c r="B177" s="253">
        <f t="shared" si="2"/>
        <v>169</v>
      </c>
      <c r="C177" s="244"/>
      <c r="D177" s="654"/>
      <c r="E177" s="466"/>
      <c r="F177" s="612"/>
      <c r="G177" s="2973"/>
      <c r="H177" s="230"/>
      <c r="I177" s="230"/>
      <c r="J177" s="230"/>
      <c r="K177" s="230"/>
      <c r="L177" s="230"/>
      <c r="M177" s="228"/>
      <c r="N177" s="257"/>
      <c r="O177" s="228"/>
      <c r="P177" s="228"/>
      <c r="Q177" s="258"/>
      <c r="R177" s="2381"/>
      <c r="S177" s="2381"/>
      <c r="T177" s="254"/>
      <c r="U177" s="228"/>
      <c r="V177" s="2357"/>
      <c r="W177" s="256"/>
      <c r="X177" s="248"/>
      <c r="Y177" s="248"/>
      <c r="Z177" s="248"/>
      <c r="AA177" s="247"/>
      <c r="AB177" s="248"/>
      <c r="AC177" s="248"/>
      <c r="AD177" s="194"/>
      <c r="AE177" s="249"/>
      <c r="AF177" s="250"/>
      <c r="AG177" s="251"/>
      <c r="AH177" s="252"/>
      <c r="AI177" s="241"/>
      <c r="AJ177" s="241"/>
      <c r="AK177" s="241"/>
      <c r="AL177" s="194"/>
      <c r="AM177" s="195"/>
      <c r="AN177" s="195"/>
    </row>
    <row r="178" spans="2:40">
      <c r="B178" s="253">
        <f t="shared" si="2"/>
        <v>170</v>
      </c>
      <c r="C178" s="244"/>
      <c r="D178" s="654"/>
      <c r="E178" s="466"/>
      <c r="F178" s="612"/>
      <c r="G178" s="2973"/>
      <c r="H178" s="230"/>
      <c r="I178" s="230"/>
      <c r="J178" s="230"/>
      <c r="K178" s="230"/>
      <c r="L178" s="230"/>
      <c r="M178" s="228"/>
      <c r="N178" s="257"/>
      <c r="O178" s="228"/>
      <c r="P178" s="228"/>
      <c r="Q178" s="258"/>
      <c r="R178" s="2381"/>
      <c r="S178" s="2381"/>
      <c r="T178" s="254"/>
      <c r="U178" s="228"/>
      <c r="V178" s="2357"/>
      <c r="W178" s="256"/>
      <c r="X178" s="248"/>
      <c r="Y178" s="248"/>
      <c r="Z178" s="248"/>
      <c r="AA178" s="247"/>
      <c r="AB178" s="248"/>
      <c r="AC178" s="248"/>
      <c r="AD178" s="194"/>
      <c r="AE178" s="249"/>
      <c r="AF178" s="250"/>
      <c r="AG178" s="251"/>
      <c r="AH178" s="252"/>
      <c r="AI178" s="241"/>
      <c r="AJ178" s="241"/>
      <c r="AK178" s="241"/>
      <c r="AL178" s="194"/>
      <c r="AM178" s="195"/>
      <c r="AN178" s="195"/>
    </row>
    <row r="179" spans="2:40">
      <c r="B179" s="253">
        <f t="shared" si="2"/>
        <v>171</v>
      </c>
      <c r="C179" s="244"/>
      <c r="D179" s="654"/>
      <c r="E179" s="466"/>
      <c r="F179" s="612"/>
      <c r="G179" s="2973"/>
      <c r="H179" s="230"/>
      <c r="I179" s="230"/>
      <c r="J179" s="230"/>
      <c r="K179" s="230"/>
      <c r="L179" s="230"/>
      <c r="M179" s="228"/>
      <c r="N179" s="257"/>
      <c r="O179" s="228"/>
      <c r="P179" s="228"/>
      <c r="Q179" s="258"/>
      <c r="R179" s="2381"/>
      <c r="S179" s="2381"/>
      <c r="T179" s="254"/>
      <c r="U179" s="228"/>
      <c r="V179" s="2357"/>
      <c r="W179" s="256"/>
      <c r="X179" s="248"/>
      <c r="Y179" s="248"/>
      <c r="Z179" s="248"/>
      <c r="AA179" s="247"/>
      <c r="AB179" s="248"/>
      <c r="AC179" s="248"/>
      <c r="AD179" s="194"/>
      <c r="AE179" s="249"/>
      <c r="AF179" s="250"/>
      <c r="AG179" s="251"/>
      <c r="AH179" s="252"/>
      <c r="AI179" s="241"/>
      <c r="AJ179" s="241"/>
      <c r="AK179" s="241"/>
      <c r="AL179" s="194"/>
      <c r="AM179" s="195"/>
      <c r="AN179" s="195"/>
    </row>
    <row r="180" spans="2:40">
      <c r="B180" s="253">
        <f t="shared" ref="B180:B243" si="3">+B179+1</f>
        <v>172</v>
      </c>
      <c r="C180" s="244"/>
      <c r="D180" s="654"/>
      <c r="E180" s="466"/>
      <c r="F180" s="612"/>
      <c r="G180" s="2973"/>
      <c r="H180" s="230"/>
      <c r="I180" s="230"/>
      <c r="J180" s="230"/>
      <c r="K180" s="230"/>
      <c r="L180" s="230"/>
      <c r="M180" s="228"/>
      <c r="N180" s="257"/>
      <c r="O180" s="228"/>
      <c r="P180" s="228"/>
      <c r="Q180" s="258"/>
      <c r="R180" s="2381"/>
      <c r="S180" s="2381"/>
      <c r="T180" s="254"/>
      <c r="U180" s="228"/>
      <c r="V180" s="2357"/>
      <c r="W180" s="256"/>
      <c r="X180" s="248"/>
      <c r="Y180" s="248"/>
      <c r="Z180" s="248"/>
      <c r="AA180" s="247"/>
      <c r="AB180" s="248"/>
      <c r="AC180" s="248"/>
      <c r="AD180" s="194"/>
      <c r="AE180" s="249"/>
      <c r="AF180" s="250"/>
      <c r="AG180" s="251"/>
      <c r="AH180" s="252"/>
      <c r="AI180" s="241"/>
      <c r="AJ180" s="241"/>
      <c r="AK180" s="241"/>
      <c r="AL180" s="194"/>
      <c r="AM180" s="195"/>
      <c r="AN180" s="195"/>
    </row>
    <row r="181" spans="2:40">
      <c r="B181" s="253">
        <f t="shared" si="3"/>
        <v>173</v>
      </c>
      <c r="C181" s="244"/>
      <c r="D181" s="654"/>
      <c r="E181" s="466"/>
      <c r="F181" s="612"/>
      <c r="G181" s="2973"/>
      <c r="H181" s="230"/>
      <c r="I181" s="230"/>
      <c r="J181" s="230"/>
      <c r="K181" s="230"/>
      <c r="L181" s="230"/>
      <c r="M181" s="228"/>
      <c r="N181" s="257"/>
      <c r="O181" s="228"/>
      <c r="P181" s="228"/>
      <c r="Q181" s="258"/>
      <c r="R181" s="2381"/>
      <c r="S181" s="2381"/>
      <c r="T181" s="254"/>
      <c r="U181" s="228"/>
      <c r="V181" s="2357"/>
      <c r="W181" s="256"/>
      <c r="X181" s="248"/>
      <c r="Y181" s="248"/>
      <c r="Z181" s="248"/>
      <c r="AA181" s="247"/>
      <c r="AB181" s="248"/>
      <c r="AC181" s="248"/>
      <c r="AD181" s="194"/>
      <c r="AE181" s="249"/>
      <c r="AF181" s="250"/>
      <c r="AG181" s="251"/>
      <c r="AH181" s="252"/>
      <c r="AI181" s="241"/>
      <c r="AJ181" s="241"/>
      <c r="AK181" s="241"/>
      <c r="AL181" s="194"/>
      <c r="AM181" s="195"/>
      <c r="AN181" s="195"/>
    </row>
    <row r="182" spans="2:40">
      <c r="B182" s="253">
        <f t="shared" si="3"/>
        <v>174</v>
      </c>
      <c r="C182" s="244"/>
      <c r="D182" s="654"/>
      <c r="E182" s="466"/>
      <c r="F182" s="612"/>
      <c r="G182" s="2973"/>
      <c r="H182" s="230"/>
      <c r="I182" s="230"/>
      <c r="J182" s="230"/>
      <c r="K182" s="230"/>
      <c r="L182" s="230"/>
      <c r="M182" s="228"/>
      <c r="N182" s="257"/>
      <c r="O182" s="228"/>
      <c r="P182" s="228"/>
      <c r="Q182" s="258"/>
      <c r="R182" s="2381"/>
      <c r="S182" s="2381"/>
      <c r="T182" s="254"/>
      <c r="U182" s="228"/>
      <c r="V182" s="2357"/>
      <c r="W182" s="256"/>
      <c r="X182" s="248"/>
      <c r="Y182" s="248"/>
      <c r="Z182" s="248"/>
      <c r="AA182" s="247"/>
      <c r="AB182" s="248"/>
      <c r="AC182" s="248"/>
      <c r="AD182" s="194"/>
      <c r="AE182" s="249"/>
      <c r="AF182" s="250"/>
      <c r="AG182" s="251"/>
      <c r="AH182" s="252"/>
      <c r="AI182" s="241"/>
      <c r="AJ182" s="241"/>
      <c r="AK182" s="241"/>
      <c r="AL182" s="194"/>
      <c r="AM182" s="195"/>
      <c r="AN182" s="195"/>
    </row>
    <row r="183" spans="2:40">
      <c r="B183" s="253">
        <f t="shared" si="3"/>
        <v>175</v>
      </c>
      <c r="C183" s="244"/>
      <c r="D183" s="654"/>
      <c r="E183" s="466"/>
      <c r="F183" s="612"/>
      <c r="G183" s="2973"/>
      <c r="H183" s="230"/>
      <c r="I183" s="230"/>
      <c r="J183" s="230"/>
      <c r="K183" s="230"/>
      <c r="L183" s="230"/>
      <c r="M183" s="228"/>
      <c r="N183" s="257"/>
      <c r="O183" s="228"/>
      <c r="P183" s="228"/>
      <c r="Q183" s="258"/>
      <c r="R183" s="2381"/>
      <c r="S183" s="2381"/>
      <c r="T183" s="254"/>
      <c r="U183" s="228"/>
      <c r="V183" s="2357"/>
      <c r="W183" s="256"/>
      <c r="X183" s="248"/>
      <c r="Y183" s="248"/>
      <c r="Z183" s="248"/>
      <c r="AA183" s="247"/>
      <c r="AB183" s="248"/>
      <c r="AC183" s="248"/>
      <c r="AD183" s="194"/>
      <c r="AE183" s="249"/>
      <c r="AF183" s="250"/>
      <c r="AG183" s="251"/>
      <c r="AH183" s="252"/>
      <c r="AI183" s="241"/>
      <c r="AJ183" s="241"/>
      <c r="AK183" s="241"/>
      <c r="AL183" s="194"/>
      <c r="AM183" s="195"/>
      <c r="AN183" s="195"/>
    </row>
    <row r="184" spans="2:40">
      <c r="B184" s="253">
        <f t="shared" si="3"/>
        <v>176</v>
      </c>
      <c r="C184" s="244"/>
      <c r="D184" s="654"/>
      <c r="E184" s="466"/>
      <c r="F184" s="612"/>
      <c r="G184" s="2973"/>
      <c r="H184" s="230"/>
      <c r="I184" s="230"/>
      <c r="J184" s="230"/>
      <c r="K184" s="230"/>
      <c r="L184" s="230"/>
      <c r="M184" s="228"/>
      <c r="N184" s="257"/>
      <c r="O184" s="228"/>
      <c r="P184" s="228"/>
      <c r="Q184" s="258"/>
      <c r="R184" s="2381"/>
      <c r="S184" s="2381"/>
      <c r="T184" s="254"/>
      <c r="U184" s="228"/>
      <c r="V184" s="2357"/>
      <c r="W184" s="256"/>
      <c r="X184" s="248"/>
      <c r="Y184" s="248"/>
      <c r="Z184" s="248"/>
      <c r="AA184" s="247"/>
      <c r="AB184" s="248"/>
      <c r="AC184" s="248"/>
      <c r="AD184" s="194"/>
      <c r="AE184" s="249"/>
      <c r="AF184" s="250"/>
      <c r="AG184" s="251"/>
      <c r="AH184" s="252"/>
      <c r="AI184" s="241"/>
      <c r="AJ184" s="241"/>
      <c r="AK184" s="241"/>
      <c r="AL184" s="194"/>
      <c r="AM184" s="195"/>
      <c r="AN184" s="195"/>
    </row>
    <row r="185" spans="2:40">
      <c r="B185" s="253">
        <f t="shared" si="3"/>
        <v>177</v>
      </c>
      <c r="C185" s="244"/>
      <c r="D185" s="654"/>
      <c r="E185" s="466"/>
      <c r="F185" s="612"/>
      <c r="G185" s="2973"/>
      <c r="H185" s="230"/>
      <c r="I185" s="230"/>
      <c r="J185" s="230"/>
      <c r="K185" s="230"/>
      <c r="L185" s="230"/>
      <c r="M185" s="228"/>
      <c r="N185" s="257"/>
      <c r="O185" s="228"/>
      <c r="P185" s="228"/>
      <c r="Q185" s="258"/>
      <c r="R185" s="2381"/>
      <c r="S185" s="2381"/>
      <c r="T185" s="254"/>
      <c r="U185" s="228"/>
      <c r="V185" s="2357"/>
      <c r="W185" s="256"/>
      <c r="X185" s="248"/>
      <c r="Y185" s="248"/>
      <c r="Z185" s="248"/>
      <c r="AA185" s="247"/>
      <c r="AB185" s="248"/>
      <c r="AC185" s="248"/>
      <c r="AD185" s="194"/>
      <c r="AE185" s="249"/>
      <c r="AF185" s="250"/>
      <c r="AG185" s="251"/>
      <c r="AH185" s="252"/>
      <c r="AI185" s="241"/>
      <c r="AJ185" s="241"/>
      <c r="AK185" s="241"/>
      <c r="AL185" s="194"/>
      <c r="AM185" s="195"/>
      <c r="AN185" s="195"/>
    </row>
    <row r="186" spans="2:40">
      <c r="B186" s="253">
        <f t="shared" si="3"/>
        <v>178</v>
      </c>
      <c r="C186" s="244"/>
      <c r="D186" s="654"/>
      <c r="E186" s="466"/>
      <c r="F186" s="612"/>
      <c r="G186" s="2973"/>
      <c r="H186" s="230"/>
      <c r="I186" s="230"/>
      <c r="J186" s="230"/>
      <c r="K186" s="230"/>
      <c r="L186" s="230"/>
      <c r="M186" s="228"/>
      <c r="N186" s="257"/>
      <c r="O186" s="228"/>
      <c r="P186" s="228"/>
      <c r="Q186" s="258"/>
      <c r="R186" s="2381"/>
      <c r="S186" s="2381"/>
      <c r="T186" s="254"/>
      <c r="U186" s="228"/>
      <c r="V186" s="2357"/>
      <c r="W186" s="256"/>
      <c r="X186" s="248"/>
      <c r="Y186" s="248"/>
      <c r="Z186" s="248"/>
      <c r="AA186" s="247"/>
      <c r="AB186" s="248"/>
      <c r="AC186" s="248"/>
      <c r="AD186" s="194"/>
      <c r="AE186" s="249"/>
      <c r="AF186" s="250"/>
      <c r="AG186" s="251"/>
      <c r="AH186" s="252"/>
      <c r="AI186" s="241"/>
      <c r="AJ186" s="241"/>
      <c r="AK186" s="241"/>
      <c r="AL186" s="194"/>
      <c r="AM186" s="195"/>
      <c r="AN186" s="195"/>
    </row>
    <row r="187" spans="2:40">
      <c r="B187" s="253">
        <f t="shared" si="3"/>
        <v>179</v>
      </c>
      <c r="C187" s="244"/>
      <c r="D187" s="654"/>
      <c r="E187" s="466"/>
      <c r="F187" s="612"/>
      <c r="G187" s="2973"/>
      <c r="H187" s="230"/>
      <c r="I187" s="230"/>
      <c r="J187" s="230"/>
      <c r="K187" s="230"/>
      <c r="L187" s="230"/>
      <c r="M187" s="228"/>
      <c r="N187" s="257"/>
      <c r="O187" s="228"/>
      <c r="P187" s="228"/>
      <c r="Q187" s="258"/>
      <c r="R187" s="2381"/>
      <c r="S187" s="2381"/>
      <c r="T187" s="254"/>
      <c r="U187" s="228"/>
      <c r="V187" s="2357"/>
      <c r="W187" s="256"/>
      <c r="X187" s="248"/>
      <c r="Y187" s="248"/>
      <c r="Z187" s="248"/>
      <c r="AA187" s="247"/>
      <c r="AB187" s="248"/>
      <c r="AC187" s="248"/>
      <c r="AD187" s="194"/>
      <c r="AE187" s="249"/>
      <c r="AF187" s="250"/>
      <c r="AG187" s="251"/>
      <c r="AH187" s="252"/>
      <c r="AI187" s="241"/>
      <c r="AJ187" s="241"/>
      <c r="AK187" s="241"/>
      <c r="AL187" s="194"/>
      <c r="AM187" s="195"/>
      <c r="AN187" s="195"/>
    </row>
    <row r="188" spans="2:40">
      <c r="B188" s="253">
        <f t="shared" si="3"/>
        <v>180</v>
      </c>
      <c r="C188" s="244"/>
      <c r="D188" s="654"/>
      <c r="E188" s="466"/>
      <c r="F188" s="612"/>
      <c r="G188" s="2973"/>
      <c r="H188" s="230"/>
      <c r="I188" s="230"/>
      <c r="J188" s="230"/>
      <c r="K188" s="230"/>
      <c r="L188" s="230"/>
      <c r="M188" s="228"/>
      <c r="N188" s="257"/>
      <c r="O188" s="228"/>
      <c r="P188" s="228"/>
      <c r="Q188" s="258"/>
      <c r="R188" s="2381"/>
      <c r="S188" s="2381"/>
      <c r="T188" s="254"/>
      <c r="U188" s="228"/>
      <c r="V188" s="2357"/>
      <c r="W188" s="256"/>
      <c r="X188" s="248"/>
      <c r="Y188" s="248"/>
      <c r="Z188" s="248"/>
      <c r="AA188" s="247"/>
      <c r="AB188" s="248"/>
      <c r="AC188" s="248"/>
      <c r="AD188" s="194"/>
      <c r="AE188" s="249"/>
      <c r="AF188" s="250"/>
      <c r="AG188" s="251"/>
      <c r="AH188" s="252"/>
      <c r="AI188" s="241"/>
      <c r="AJ188" s="241"/>
      <c r="AK188" s="241"/>
      <c r="AL188" s="194"/>
      <c r="AM188" s="195"/>
      <c r="AN188" s="195"/>
    </row>
    <row r="189" spans="2:40">
      <c r="B189" s="253">
        <f t="shared" si="3"/>
        <v>181</v>
      </c>
      <c r="C189" s="244"/>
      <c r="D189" s="654"/>
      <c r="E189" s="466"/>
      <c r="F189" s="612"/>
      <c r="G189" s="2973"/>
      <c r="H189" s="230"/>
      <c r="I189" s="230"/>
      <c r="J189" s="230"/>
      <c r="K189" s="230"/>
      <c r="L189" s="230"/>
      <c r="M189" s="228"/>
      <c r="N189" s="257"/>
      <c r="O189" s="228"/>
      <c r="P189" s="228"/>
      <c r="Q189" s="258"/>
      <c r="R189" s="2381"/>
      <c r="S189" s="2381"/>
      <c r="T189" s="254"/>
      <c r="U189" s="228"/>
      <c r="V189" s="2357"/>
      <c r="W189" s="256"/>
      <c r="X189" s="248"/>
      <c r="Y189" s="248"/>
      <c r="Z189" s="248"/>
      <c r="AA189" s="247"/>
      <c r="AB189" s="248"/>
      <c r="AC189" s="248"/>
      <c r="AD189" s="194"/>
      <c r="AE189" s="249"/>
      <c r="AF189" s="250"/>
      <c r="AG189" s="251"/>
      <c r="AH189" s="252"/>
      <c r="AI189" s="241"/>
      <c r="AJ189" s="241"/>
      <c r="AK189" s="241"/>
      <c r="AL189" s="194"/>
      <c r="AM189" s="195"/>
      <c r="AN189" s="195"/>
    </row>
    <row r="190" spans="2:40">
      <c r="B190" s="253">
        <f t="shared" si="3"/>
        <v>182</v>
      </c>
      <c r="C190" s="244"/>
      <c r="D190" s="654"/>
      <c r="E190" s="466"/>
      <c r="F190" s="612"/>
      <c r="G190" s="2973"/>
      <c r="H190" s="230"/>
      <c r="I190" s="230"/>
      <c r="J190" s="230"/>
      <c r="K190" s="230"/>
      <c r="L190" s="230"/>
      <c r="M190" s="228"/>
      <c r="N190" s="257"/>
      <c r="O190" s="228"/>
      <c r="P190" s="228"/>
      <c r="Q190" s="258"/>
      <c r="R190" s="2381"/>
      <c r="S190" s="2381"/>
      <c r="T190" s="254"/>
      <c r="U190" s="228"/>
      <c r="V190" s="2357"/>
      <c r="W190" s="256"/>
      <c r="X190" s="248"/>
      <c r="Y190" s="248"/>
      <c r="Z190" s="248"/>
      <c r="AA190" s="247"/>
      <c r="AB190" s="248"/>
      <c r="AC190" s="248"/>
      <c r="AD190" s="194"/>
      <c r="AE190" s="249"/>
      <c r="AF190" s="250"/>
      <c r="AG190" s="251"/>
      <c r="AH190" s="252"/>
      <c r="AI190" s="241"/>
      <c r="AJ190" s="241"/>
      <c r="AK190" s="241"/>
      <c r="AL190" s="194"/>
      <c r="AM190" s="195"/>
      <c r="AN190" s="195"/>
    </row>
    <row r="191" spans="2:40">
      <c r="B191" s="253">
        <f t="shared" si="3"/>
        <v>183</v>
      </c>
      <c r="C191" s="244"/>
      <c r="D191" s="654"/>
      <c r="E191" s="466"/>
      <c r="F191" s="612"/>
      <c r="G191" s="2973"/>
      <c r="H191" s="230"/>
      <c r="I191" s="230"/>
      <c r="J191" s="230"/>
      <c r="K191" s="230"/>
      <c r="L191" s="230"/>
      <c r="M191" s="228"/>
      <c r="N191" s="257"/>
      <c r="O191" s="228"/>
      <c r="P191" s="228"/>
      <c r="Q191" s="258"/>
      <c r="R191" s="2381"/>
      <c r="S191" s="2381"/>
      <c r="T191" s="254"/>
      <c r="U191" s="228"/>
      <c r="V191" s="2357"/>
      <c r="W191" s="256"/>
      <c r="X191" s="248"/>
      <c r="Y191" s="248"/>
      <c r="Z191" s="248"/>
      <c r="AA191" s="247"/>
      <c r="AB191" s="248"/>
      <c r="AC191" s="248"/>
      <c r="AD191" s="194"/>
      <c r="AE191" s="249"/>
      <c r="AF191" s="250"/>
      <c r="AG191" s="251"/>
      <c r="AH191" s="252"/>
      <c r="AI191" s="241"/>
      <c r="AJ191" s="241"/>
      <c r="AK191" s="241"/>
      <c r="AL191" s="194"/>
      <c r="AM191" s="195"/>
      <c r="AN191" s="195"/>
    </row>
    <row r="192" spans="2:40">
      <c r="B192" s="253">
        <f t="shared" si="3"/>
        <v>184</v>
      </c>
      <c r="C192" s="244"/>
      <c r="D192" s="654"/>
      <c r="E192" s="466"/>
      <c r="F192" s="612"/>
      <c r="G192" s="2973"/>
      <c r="H192" s="230"/>
      <c r="I192" s="230"/>
      <c r="J192" s="230"/>
      <c r="K192" s="230"/>
      <c r="L192" s="230"/>
      <c r="M192" s="228"/>
      <c r="N192" s="257"/>
      <c r="O192" s="228"/>
      <c r="P192" s="228"/>
      <c r="Q192" s="258"/>
      <c r="R192" s="2381"/>
      <c r="S192" s="2381"/>
      <c r="T192" s="254"/>
      <c r="U192" s="228"/>
      <c r="V192" s="2357"/>
      <c r="W192" s="256"/>
      <c r="X192" s="248"/>
      <c r="Y192" s="248"/>
      <c r="Z192" s="248"/>
      <c r="AA192" s="247"/>
      <c r="AB192" s="248"/>
      <c r="AC192" s="248"/>
      <c r="AD192" s="194"/>
      <c r="AE192" s="249"/>
      <c r="AF192" s="250"/>
      <c r="AG192" s="251"/>
      <c r="AH192" s="252"/>
      <c r="AI192" s="241"/>
      <c r="AJ192" s="241"/>
      <c r="AK192" s="241"/>
      <c r="AL192" s="194"/>
      <c r="AM192" s="195"/>
      <c r="AN192" s="195"/>
    </row>
    <row r="193" spans="2:40">
      <c r="B193" s="253">
        <f t="shared" si="3"/>
        <v>185</v>
      </c>
      <c r="C193" s="244"/>
      <c r="D193" s="654"/>
      <c r="E193" s="466"/>
      <c r="F193" s="612"/>
      <c r="G193" s="2973"/>
      <c r="H193" s="230"/>
      <c r="I193" s="230"/>
      <c r="J193" s="230"/>
      <c r="K193" s="230"/>
      <c r="L193" s="230"/>
      <c r="M193" s="228"/>
      <c r="N193" s="257"/>
      <c r="O193" s="228"/>
      <c r="P193" s="228"/>
      <c r="Q193" s="258"/>
      <c r="R193" s="2381"/>
      <c r="S193" s="2381"/>
      <c r="T193" s="254"/>
      <c r="U193" s="228"/>
      <c r="V193" s="2357"/>
      <c r="W193" s="256"/>
      <c r="X193" s="248"/>
      <c r="Y193" s="248"/>
      <c r="Z193" s="248"/>
      <c r="AA193" s="247"/>
      <c r="AB193" s="248"/>
      <c r="AC193" s="248"/>
      <c r="AD193" s="194"/>
      <c r="AE193" s="249"/>
      <c r="AF193" s="250"/>
      <c r="AG193" s="251"/>
      <c r="AH193" s="252"/>
      <c r="AI193" s="241"/>
      <c r="AJ193" s="241"/>
      <c r="AK193" s="241"/>
      <c r="AL193" s="194"/>
      <c r="AM193" s="195"/>
      <c r="AN193" s="195"/>
    </row>
    <row r="194" spans="2:40">
      <c r="B194" s="253">
        <f t="shared" si="3"/>
        <v>186</v>
      </c>
      <c r="C194" s="244"/>
      <c r="D194" s="654"/>
      <c r="E194" s="466"/>
      <c r="F194" s="612"/>
      <c r="G194" s="2973"/>
      <c r="H194" s="230"/>
      <c r="I194" s="230"/>
      <c r="J194" s="230"/>
      <c r="K194" s="230"/>
      <c r="L194" s="230"/>
      <c r="M194" s="228"/>
      <c r="N194" s="257"/>
      <c r="O194" s="228"/>
      <c r="P194" s="228"/>
      <c r="Q194" s="258"/>
      <c r="R194" s="2381"/>
      <c r="S194" s="2381"/>
      <c r="T194" s="254"/>
      <c r="U194" s="228"/>
      <c r="V194" s="2357"/>
      <c r="W194" s="256"/>
      <c r="X194" s="248"/>
      <c r="Y194" s="248"/>
      <c r="Z194" s="248"/>
      <c r="AA194" s="247"/>
      <c r="AB194" s="248"/>
      <c r="AC194" s="248"/>
      <c r="AD194" s="194"/>
      <c r="AE194" s="249"/>
      <c r="AF194" s="250"/>
      <c r="AG194" s="251"/>
      <c r="AH194" s="252"/>
      <c r="AI194" s="241"/>
      <c r="AJ194" s="241"/>
      <c r="AK194" s="241"/>
      <c r="AL194" s="194"/>
      <c r="AM194" s="195"/>
      <c r="AN194" s="195"/>
    </row>
    <row r="195" spans="2:40">
      <c r="B195" s="253">
        <f t="shared" si="3"/>
        <v>187</v>
      </c>
      <c r="C195" s="244"/>
      <c r="D195" s="654"/>
      <c r="E195" s="466"/>
      <c r="F195" s="612"/>
      <c r="G195" s="2973"/>
      <c r="H195" s="230"/>
      <c r="I195" s="230"/>
      <c r="J195" s="230"/>
      <c r="K195" s="230"/>
      <c r="L195" s="230"/>
      <c r="M195" s="228"/>
      <c r="N195" s="257"/>
      <c r="O195" s="228"/>
      <c r="P195" s="228"/>
      <c r="Q195" s="258"/>
      <c r="R195" s="2381"/>
      <c r="S195" s="2381"/>
      <c r="T195" s="254"/>
      <c r="U195" s="228"/>
      <c r="V195" s="2357"/>
      <c r="W195" s="256"/>
      <c r="X195" s="248"/>
      <c r="Y195" s="248"/>
      <c r="Z195" s="248"/>
      <c r="AA195" s="247"/>
      <c r="AB195" s="248"/>
      <c r="AC195" s="248"/>
      <c r="AD195" s="194"/>
      <c r="AE195" s="249"/>
      <c r="AF195" s="250"/>
      <c r="AG195" s="251"/>
      <c r="AH195" s="252"/>
      <c r="AI195" s="241"/>
      <c r="AJ195" s="241"/>
      <c r="AK195" s="241"/>
      <c r="AL195" s="194"/>
      <c r="AM195" s="195"/>
      <c r="AN195" s="195"/>
    </row>
    <row r="196" spans="2:40">
      <c r="B196" s="253">
        <f t="shared" si="3"/>
        <v>188</v>
      </c>
      <c r="C196" s="244"/>
      <c r="D196" s="654"/>
      <c r="E196" s="466"/>
      <c r="F196" s="612"/>
      <c r="G196" s="2973"/>
      <c r="H196" s="230"/>
      <c r="I196" s="230"/>
      <c r="J196" s="230"/>
      <c r="K196" s="230"/>
      <c r="L196" s="230"/>
      <c r="M196" s="228"/>
      <c r="N196" s="257"/>
      <c r="O196" s="228"/>
      <c r="P196" s="228"/>
      <c r="Q196" s="258"/>
      <c r="R196" s="2381"/>
      <c r="S196" s="2381"/>
      <c r="T196" s="254"/>
      <c r="U196" s="228"/>
      <c r="V196" s="2357"/>
      <c r="W196" s="256"/>
      <c r="X196" s="248"/>
      <c r="Y196" s="248"/>
      <c r="Z196" s="248"/>
      <c r="AA196" s="247"/>
      <c r="AB196" s="248"/>
      <c r="AC196" s="248"/>
      <c r="AD196" s="194"/>
      <c r="AE196" s="249"/>
      <c r="AF196" s="250"/>
      <c r="AG196" s="251"/>
      <c r="AH196" s="252"/>
      <c r="AI196" s="241"/>
      <c r="AJ196" s="241"/>
      <c r="AK196" s="241"/>
      <c r="AL196" s="194"/>
      <c r="AM196" s="195"/>
      <c r="AN196" s="195"/>
    </row>
    <row r="197" spans="2:40">
      <c r="B197" s="253">
        <f t="shared" si="3"/>
        <v>189</v>
      </c>
      <c r="C197" s="244"/>
      <c r="D197" s="654"/>
      <c r="E197" s="466"/>
      <c r="F197" s="612"/>
      <c r="G197" s="2973"/>
      <c r="H197" s="230"/>
      <c r="I197" s="230"/>
      <c r="J197" s="230"/>
      <c r="K197" s="230"/>
      <c r="L197" s="230"/>
      <c r="M197" s="228"/>
      <c r="N197" s="257"/>
      <c r="O197" s="228"/>
      <c r="P197" s="228"/>
      <c r="Q197" s="258"/>
      <c r="R197" s="2381"/>
      <c r="S197" s="2381"/>
      <c r="T197" s="254"/>
      <c r="U197" s="228"/>
      <c r="V197" s="2357"/>
      <c r="W197" s="256"/>
      <c r="X197" s="248"/>
      <c r="Y197" s="248"/>
      <c r="Z197" s="248"/>
      <c r="AA197" s="247"/>
      <c r="AB197" s="248"/>
      <c r="AC197" s="248"/>
      <c r="AD197" s="194"/>
      <c r="AE197" s="249"/>
      <c r="AF197" s="250"/>
      <c r="AG197" s="251"/>
      <c r="AH197" s="252"/>
      <c r="AI197" s="241"/>
      <c r="AJ197" s="241"/>
      <c r="AK197" s="241"/>
      <c r="AL197" s="194"/>
      <c r="AM197" s="195"/>
      <c r="AN197" s="195"/>
    </row>
    <row r="198" spans="2:40">
      <c r="B198" s="253">
        <f t="shared" si="3"/>
        <v>190</v>
      </c>
      <c r="C198" s="244"/>
      <c r="D198" s="654"/>
      <c r="E198" s="466"/>
      <c r="F198" s="612"/>
      <c r="G198" s="2973"/>
      <c r="H198" s="230"/>
      <c r="I198" s="230"/>
      <c r="J198" s="230"/>
      <c r="K198" s="230"/>
      <c r="L198" s="230"/>
      <c r="M198" s="228"/>
      <c r="N198" s="257"/>
      <c r="O198" s="228"/>
      <c r="P198" s="228"/>
      <c r="Q198" s="258"/>
      <c r="R198" s="2381"/>
      <c r="S198" s="2381"/>
      <c r="T198" s="254"/>
      <c r="U198" s="228"/>
      <c r="V198" s="2357"/>
      <c r="W198" s="256"/>
      <c r="X198" s="248"/>
      <c r="Y198" s="248"/>
      <c r="Z198" s="248"/>
      <c r="AA198" s="247"/>
      <c r="AB198" s="248"/>
      <c r="AC198" s="248"/>
      <c r="AD198" s="194"/>
      <c r="AE198" s="249"/>
      <c r="AF198" s="250"/>
      <c r="AG198" s="251"/>
      <c r="AH198" s="252"/>
      <c r="AI198" s="241"/>
      <c r="AJ198" s="241"/>
      <c r="AK198" s="241"/>
      <c r="AL198" s="194"/>
      <c r="AM198" s="195"/>
      <c r="AN198" s="195"/>
    </row>
    <row r="199" spans="2:40">
      <c r="B199" s="253">
        <f t="shared" si="3"/>
        <v>191</v>
      </c>
      <c r="C199" s="244"/>
      <c r="D199" s="654"/>
      <c r="E199" s="466"/>
      <c r="F199" s="612"/>
      <c r="G199" s="2973"/>
      <c r="H199" s="230"/>
      <c r="I199" s="230"/>
      <c r="J199" s="230"/>
      <c r="K199" s="230"/>
      <c r="L199" s="230"/>
      <c r="M199" s="228"/>
      <c r="N199" s="257"/>
      <c r="O199" s="228"/>
      <c r="P199" s="228"/>
      <c r="Q199" s="258"/>
      <c r="R199" s="2381"/>
      <c r="S199" s="2381"/>
      <c r="T199" s="254"/>
      <c r="U199" s="228"/>
      <c r="V199" s="2357"/>
      <c r="W199" s="256"/>
      <c r="X199" s="248"/>
      <c r="Y199" s="248"/>
      <c r="Z199" s="248"/>
      <c r="AA199" s="247"/>
      <c r="AB199" s="248"/>
      <c r="AC199" s="248"/>
      <c r="AD199" s="194"/>
      <c r="AE199" s="249"/>
      <c r="AF199" s="250"/>
      <c r="AG199" s="251"/>
      <c r="AH199" s="252"/>
      <c r="AI199" s="241"/>
      <c r="AJ199" s="241"/>
      <c r="AK199" s="241"/>
      <c r="AL199" s="194"/>
      <c r="AM199" s="195"/>
      <c r="AN199" s="195"/>
    </row>
    <row r="200" spans="2:40">
      <c r="B200" s="253">
        <f t="shared" si="3"/>
        <v>192</v>
      </c>
      <c r="C200" s="244"/>
      <c r="D200" s="654"/>
      <c r="E200" s="466"/>
      <c r="F200" s="612"/>
      <c r="G200" s="2973"/>
      <c r="H200" s="230"/>
      <c r="I200" s="230"/>
      <c r="J200" s="230"/>
      <c r="K200" s="230"/>
      <c r="L200" s="230"/>
      <c r="M200" s="228"/>
      <c r="N200" s="257"/>
      <c r="O200" s="228"/>
      <c r="P200" s="228"/>
      <c r="Q200" s="258"/>
      <c r="R200" s="2381"/>
      <c r="S200" s="2381"/>
      <c r="T200" s="254"/>
      <c r="U200" s="228"/>
      <c r="V200" s="2357"/>
      <c r="W200" s="256"/>
      <c r="X200" s="248"/>
      <c r="Y200" s="248"/>
      <c r="Z200" s="248"/>
      <c r="AA200" s="247"/>
      <c r="AB200" s="248"/>
      <c r="AC200" s="248"/>
      <c r="AD200" s="194"/>
      <c r="AE200" s="249"/>
      <c r="AF200" s="250"/>
      <c r="AG200" s="251"/>
      <c r="AH200" s="252"/>
      <c r="AI200" s="241"/>
      <c r="AJ200" s="241"/>
      <c r="AK200" s="241"/>
      <c r="AL200" s="194"/>
      <c r="AM200" s="195"/>
      <c r="AN200" s="195"/>
    </row>
    <row r="201" spans="2:40">
      <c r="B201" s="253">
        <f t="shared" si="3"/>
        <v>193</v>
      </c>
      <c r="C201" s="244"/>
      <c r="D201" s="654"/>
      <c r="E201" s="466"/>
      <c r="F201" s="612"/>
      <c r="G201" s="2973"/>
      <c r="H201" s="230"/>
      <c r="I201" s="230"/>
      <c r="J201" s="230"/>
      <c r="K201" s="230"/>
      <c r="L201" s="230"/>
      <c r="M201" s="228"/>
      <c r="N201" s="257"/>
      <c r="O201" s="228"/>
      <c r="P201" s="228"/>
      <c r="Q201" s="258"/>
      <c r="R201" s="2381"/>
      <c r="S201" s="2381"/>
      <c r="T201" s="254"/>
      <c r="U201" s="228"/>
      <c r="V201" s="2357"/>
      <c r="W201" s="256"/>
      <c r="X201" s="248"/>
      <c r="Y201" s="248"/>
      <c r="Z201" s="248"/>
      <c r="AA201" s="247"/>
      <c r="AB201" s="248"/>
      <c r="AC201" s="248"/>
      <c r="AD201" s="194"/>
      <c r="AE201" s="249"/>
      <c r="AF201" s="250"/>
      <c r="AG201" s="251"/>
      <c r="AH201" s="252"/>
      <c r="AI201" s="241"/>
      <c r="AJ201" s="241"/>
      <c r="AK201" s="241"/>
      <c r="AL201" s="194"/>
      <c r="AM201" s="195"/>
      <c r="AN201" s="195"/>
    </row>
    <row r="202" spans="2:40">
      <c r="B202" s="253">
        <f t="shared" si="3"/>
        <v>194</v>
      </c>
      <c r="C202" s="244"/>
      <c r="D202" s="654"/>
      <c r="E202" s="466"/>
      <c r="F202" s="612"/>
      <c r="G202" s="2973"/>
      <c r="H202" s="230"/>
      <c r="I202" s="230"/>
      <c r="J202" s="230"/>
      <c r="K202" s="230"/>
      <c r="L202" s="230"/>
      <c r="M202" s="228"/>
      <c r="N202" s="257"/>
      <c r="O202" s="228"/>
      <c r="P202" s="228"/>
      <c r="Q202" s="258"/>
      <c r="R202" s="2381"/>
      <c r="S202" s="2381"/>
      <c r="T202" s="254"/>
      <c r="U202" s="228"/>
      <c r="V202" s="2357"/>
      <c r="W202" s="256"/>
      <c r="X202" s="248"/>
      <c r="Y202" s="248"/>
      <c r="Z202" s="248"/>
      <c r="AA202" s="247"/>
      <c r="AB202" s="248"/>
      <c r="AC202" s="248"/>
      <c r="AD202" s="194"/>
      <c r="AE202" s="249"/>
      <c r="AF202" s="250"/>
      <c r="AG202" s="251"/>
      <c r="AH202" s="252"/>
      <c r="AI202" s="241"/>
      <c r="AJ202" s="241"/>
      <c r="AK202" s="241"/>
      <c r="AL202" s="194"/>
      <c r="AM202" s="195"/>
      <c r="AN202" s="195"/>
    </row>
    <row r="203" spans="2:40">
      <c r="B203" s="253">
        <f t="shared" si="3"/>
        <v>195</v>
      </c>
      <c r="C203" s="244"/>
      <c r="D203" s="654"/>
      <c r="E203" s="466"/>
      <c r="F203" s="612"/>
      <c r="G203" s="2973"/>
      <c r="H203" s="230"/>
      <c r="I203" s="230"/>
      <c r="J203" s="230"/>
      <c r="K203" s="230"/>
      <c r="L203" s="230"/>
      <c r="M203" s="228"/>
      <c r="N203" s="257"/>
      <c r="O203" s="228"/>
      <c r="P203" s="228"/>
      <c r="Q203" s="258"/>
      <c r="R203" s="2381"/>
      <c r="S203" s="2381"/>
      <c r="T203" s="254"/>
      <c r="U203" s="228"/>
      <c r="V203" s="2357"/>
      <c r="W203" s="256"/>
      <c r="X203" s="248"/>
      <c r="Y203" s="248"/>
      <c r="Z203" s="248"/>
      <c r="AA203" s="247"/>
      <c r="AB203" s="248"/>
      <c r="AC203" s="248"/>
      <c r="AD203" s="194"/>
      <c r="AE203" s="249"/>
      <c r="AF203" s="250"/>
      <c r="AG203" s="251"/>
      <c r="AH203" s="252"/>
      <c r="AI203" s="241"/>
      <c r="AJ203" s="241"/>
      <c r="AK203" s="241"/>
      <c r="AL203" s="194"/>
      <c r="AM203" s="195"/>
      <c r="AN203" s="195"/>
    </row>
    <row r="204" spans="2:40">
      <c r="B204" s="253">
        <f t="shared" si="3"/>
        <v>196</v>
      </c>
      <c r="C204" s="244"/>
      <c r="D204" s="654"/>
      <c r="E204" s="466"/>
      <c r="F204" s="612"/>
      <c r="G204" s="2973"/>
      <c r="H204" s="230"/>
      <c r="I204" s="230"/>
      <c r="J204" s="230"/>
      <c r="K204" s="230"/>
      <c r="L204" s="230"/>
      <c r="M204" s="228"/>
      <c r="N204" s="257"/>
      <c r="O204" s="228"/>
      <c r="P204" s="228"/>
      <c r="Q204" s="258"/>
      <c r="R204" s="2381"/>
      <c r="S204" s="2381"/>
      <c r="T204" s="254"/>
      <c r="U204" s="228"/>
      <c r="V204" s="2357"/>
      <c r="W204" s="256"/>
      <c r="X204" s="248"/>
      <c r="Y204" s="248"/>
      <c r="Z204" s="248"/>
      <c r="AA204" s="247"/>
      <c r="AB204" s="248"/>
      <c r="AC204" s="248"/>
      <c r="AD204" s="194"/>
      <c r="AE204" s="249"/>
      <c r="AF204" s="250"/>
      <c r="AG204" s="251"/>
      <c r="AH204" s="252"/>
      <c r="AI204" s="241"/>
      <c r="AJ204" s="241"/>
      <c r="AK204" s="241"/>
      <c r="AL204" s="194"/>
      <c r="AM204" s="195"/>
      <c r="AN204" s="195"/>
    </row>
    <row r="205" spans="2:40">
      <c r="B205" s="253">
        <f t="shared" si="3"/>
        <v>197</v>
      </c>
      <c r="C205" s="244"/>
      <c r="D205" s="654"/>
      <c r="E205" s="466"/>
      <c r="F205" s="612"/>
      <c r="G205" s="2973"/>
      <c r="H205" s="230"/>
      <c r="I205" s="230"/>
      <c r="J205" s="230"/>
      <c r="K205" s="230"/>
      <c r="L205" s="230"/>
      <c r="M205" s="228"/>
      <c r="N205" s="257"/>
      <c r="O205" s="228"/>
      <c r="P205" s="228"/>
      <c r="Q205" s="258"/>
      <c r="R205" s="2381"/>
      <c r="S205" s="2381"/>
      <c r="T205" s="254"/>
      <c r="U205" s="228"/>
      <c r="V205" s="2357"/>
      <c r="W205" s="256"/>
      <c r="X205" s="248"/>
      <c r="Y205" s="248"/>
      <c r="Z205" s="248"/>
      <c r="AA205" s="247"/>
      <c r="AB205" s="248"/>
      <c r="AC205" s="248"/>
      <c r="AD205" s="194"/>
      <c r="AE205" s="249"/>
      <c r="AF205" s="250"/>
      <c r="AG205" s="251"/>
      <c r="AH205" s="252"/>
      <c r="AI205" s="241"/>
      <c r="AJ205" s="241"/>
      <c r="AK205" s="241"/>
      <c r="AL205" s="194"/>
      <c r="AM205" s="195"/>
      <c r="AN205" s="195"/>
    </row>
    <row r="206" spans="2:40">
      <c r="B206" s="253">
        <f t="shared" si="3"/>
        <v>198</v>
      </c>
      <c r="C206" s="244"/>
      <c r="D206" s="654"/>
      <c r="E206" s="466"/>
      <c r="F206" s="612"/>
      <c r="G206" s="2973"/>
      <c r="H206" s="230"/>
      <c r="I206" s="230"/>
      <c r="J206" s="230"/>
      <c r="K206" s="230"/>
      <c r="L206" s="230"/>
      <c r="M206" s="228"/>
      <c r="N206" s="257"/>
      <c r="O206" s="228"/>
      <c r="P206" s="228"/>
      <c r="Q206" s="258"/>
      <c r="R206" s="2381"/>
      <c r="S206" s="2381"/>
      <c r="T206" s="254"/>
      <c r="U206" s="228"/>
      <c r="V206" s="2357"/>
      <c r="W206" s="256"/>
      <c r="X206" s="248"/>
      <c r="Y206" s="248"/>
      <c r="Z206" s="248"/>
      <c r="AA206" s="247"/>
      <c r="AB206" s="248"/>
      <c r="AC206" s="248"/>
      <c r="AD206" s="194"/>
      <c r="AE206" s="249"/>
      <c r="AF206" s="250"/>
      <c r="AG206" s="251"/>
      <c r="AH206" s="252"/>
      <c r="AI206" s="241"/>
      <c r="AJ206" s="241"/>
      <c r="AK206" s="241"/>
      <c r="AL206" s="194"/>
      <c r="AM206" s="195"/>
      <c r="AN206" s="195"/>
    </row>
    <row r="207" spans="2:40">
      <c r="B207" s="253">
        <f t="shared" si="3"/>
        <v>199</v>
      </c>
      <c r="C207" s="244"/>
      <c r="D207" s="654"/>
      <c r="E207" s="466"/>
      <c r="F207" s="612"/>
      <c r="G207" s="2973"/>
      <c r="H207" s="230"/>
      <c r="I207" s="230"/>
      <c r="J207" s="230"/>
      <c r="K207" s="230"/>
      <c r="L207" s="230"/>
      <c r="M207" s="228"/>
      <c r="N207" s="257"/>
      <c r="O207" s="228"/>
      <c r="P207" s="228"/>
      <c r="Q207" s="258"/>
      <c r="R207" s="2381"/>
      <c r="S207" s="2381"/>
      <c r="T207" s="254"/>
      <c r="U207" s="228"/>
      <c r="V207" s="2357"/>
      <c r="W207" s="256"/>
      <c r="X207" s="248"/>
      <c r="Y207" s="248"/>
      <c r="Z207" s="248"/>
      <c r="AA207" s="247"/>
      <c r="AB207" s="248"/>
      <c r="AC207" s="248"/>
      <c r="AD207" s="194"/>
      <c r="AE207" s="249"/>
      <c r="AF207" s="250"/>
      <c r="AG207" s="251"/>
      <c r="AH207" s="252"/>
      <c r="AI207" s="241"/>
      <c r="AJ207" s="241"/>
      <c r="AK207" s="241"/>
      <c r="AL207" s="194"/>
      <c r="AM207" s="195"/>
      <c r="AN207" s="195"/>
    </row>
    <row r="208" spans="2:40">
      <c r="B208" s="253">
        <f t="shared" si="3"/>
        <v>200</v>
      </c>
      <c r="C208" s="244"/>
      <c r="D208" s="654"/>
      <c r="E208" s="466"/>
      <c r="F208" s="612"/>
      <c r="G208" s="2973"/>
      <c r="H208" s="230"/>
      <c r="I208" s="230"/>
      <c r="J208" s="230"/>
      <c r="K208" s="230"/>
      <c r="L208" s="230"/>
      <c r="M208" s="228"/>
      <c r="N208" s="257"/>
      <c r="O208" s="228"/>
      <c r="P208" s="228"/>
      <c r="Q208" s="258"/>
      <c r="R208" s="2381"/>
      <c r="S208" s="2381"/>
      <c r="T208" s="254"/>
      <c r="U208" s="228"/>
      <c r="V208" s="2357"/>
      <c r="W208" s="256"/>
      <c r="X208" s="248"/>
      <c r="Y208" s="248"/>
      <c r="Z208" s="248"/>
      <c r="AA208" s="247"/>
      <c r="AB208" s="248"/>
      <c r="AC208" s="248"/>
      <c r="AD208" s="194"/>
      <c r="AE208" s="249"/>
      <c r="AF208" s="250"/>
      <c r="AG208" s="251"/>
      <c r="AH208" s="252"/>
      <c r="AI208" s="241"/>
      <c r="AJ208" s="241"/>
      <c r="AK208" s="241"/>
      <c r="AL208" s="194"/>
      <c r="AM208" s="195"/>
      <c r="AN208" s="195"/>
    </row>
    <row r="209" spans="2:40">
      <c r="B209" s="253">
        <f t="shared" si="3"/>
        <v>201</v>
      </c>
      <c r="C209" s="244"/>
      <c r="D209" s="654"/>
      <c r="E209" s="466"/>
      <c r="F209" s="612"/>
      <c r="G209" s="2973"/>
      <c r="H209" s="230"/>
      <c r="I209" s="230"/>
      <c r="J209" s="230"/>
      <c r="K209" s="230"/>
      <c r="L209" s="230"/>
      <c r="M209" s="228"/>
      <c r="N209" s="257"/>
      <c r="O209" s="228"/>
      <c r="P209" s="228"/>
      <c r="Q209" s="258"/>
      <c r="R209" s="2381"/>
      <c r="S209" s="2381"/>
      <c r="T209" s="254"/>
      <c r="U209" s="228"/>
      <c r="V209" s="2357"/>
      <c r="W209" s="256"/>
      <c r="X209" s="248"/>
      <c r="Y209" s="248"/>
      <c r="Z209" s="248"/>
      <c r="AA209" s="247"/>
      <c r="AB209" s="248"/>
      <c r="AC209" s="248"/>
      <c r="AD209" s="194"/>
      <c r="AE209" s="249"/>
      <c r="AF209" s="250"/>
      <c r="AG209" s="251"/>
      <c r="AH209" s="252"/>
      <c r="AI209" s="241"/>
      <c r="AJ209" s="241"/>
      <c r="AK209" s="241"/>
      <c r="AL209" s="194"/>
      <c r="AM209" s="195"/>
      <c r="AN209" s="195"/>
    </row>
    <row r="210" spans="2:40">
      <c r="B210" s="253">
        <f t="shared" si="3"/>
        <v>202</v>
      </c>
      <c r="C210" s="244"/>
      <c r="D210" s="654"/>
      <c r="E210" s="466"/>
      <c r="F210" s="612"/>
      <c r="G210" s="2973"/>
      <c r="H210" s="230"/>
      <c r="I210" s="230"/>
      <c r="J210" s="230"/>
      <c r="K210" s="230"/>
      <c r="L210" s="230"/>
      <c r="M210" s="228"/>
      <c r="N210" s="257"/>
      <c r="O210" s="228"/>
      <c r="P210" s="228"/>
      <c r="Q210" s="258"/>
      <c r="R210" s="2381"/>
      <c r="S210" s="2381"/>
      <c r="T210" s="254"/>
      <c r="U210" s="228"/>
      <c r="V210" s="2357"/>
      <c r="W210" s="256"/>
      <c r="X210" s="248"/>
      <c r="Y210" s="248"/>
      <c r="Z210" s="248"/>
      <c r="AA210" s="247"/>
      <c r="AB210" s="248"/>
      <c r="AC210" s="248"/>
      <c r="AD210" s="194"/>
      <c r="AE210" s="249"/>
      <c r="AF210" s="250"/>
      <c r="AG210" s="251"/>
      <c r="AH210" s="252"/>
      <c r="AI210" s="241"/>
      <c r="AJ210" s="241"/>
      <c r="AK210" s="241"/>
      <c r="AL210" s="194"/>
      <c r="AM210" s="195"/>
      <c r="AN210" s="195"/>
    </row>
    <row r="211" spans="2:40">
      <c r="B211" s="253">
        <f t="shared" si="3"/>
        <v>203</v>
      </c>
      <c r="C211" s="244"/>
      <c r="D211" s="654"/>
      <c r="E211" s="466"/>
      <c r="F211" s="612"/>
      <c r="G211" s="2973"/>
      <c r="H211" s="230"/>
      <c r="I211" s="230"/>
      <c r="J211" s="230"/>
      <c r="K211" s="230"/>
      <c r="L211" s="230"/>
      <c r="M211" s="228"/>
      <c r="N211" s="257"/>
      <c r="O211" s="228"/>
      <c r="P211" s="228"/>
      <c r="Q211" s="258"/>
      <c r="R211" s="2381"/>
      <c r="S211" s="2381"/>
      <c r="T211" s="254"/>
      <c r="U211" s="228"/>
      <c r="V211" s="2357"/>
      <c r="W211" s="256"/>
      <c r="X211" s="248"/>
      <c r="Y211" s="248"/>
      <c r="Z211" s="248"/>
      <c r="AA211" s="247"/>
      <c r="AB211" s="248"/>
      <c r="AC211" s="248"/>
      <c r="AD211" s="194"/>
      <c r="AE211" s="249"/>
      <c r="AF211" s="250"/>
      <c r="AG211" s="251"/>
      <c r="AH211" s="252"/>
      <c r="AI211" s="241"/>
      <c r="AJ211" s="241"/>
      <c r="AK211" s="241"/>
      <c r="AL211" s="194"/>
      <c r="AM211" s="195"/>
      <c r="AN211" s="195"/>
    </row>
    <row r="212" spans="2:40">
      <c r="B212" s="253">
        <f t="shared" si="3"/>
        <v>204</v>
      </c>
      <c r="C212" s="244"/>
      <c r="D212" s="654"/>
      <c r="E212" s="466"/>
      <c r="F212" s="612"/>
      <c r="G212" s="2973"/>
      <c r="H212" s="230"/>
      <c r="I212" s="230"/>
      <c r="J212" s="230"/>
      <c r="K212" s="230"/>
      <c r="L212" s="230"/>
      <c r="M212" s="228"/>
      <c r="N212" s="257"/>
      <c r="O212" s="228"/>
      <c r="P212" s="228"/>
      <c r="Q212" s="258"/>
      <c r="R212" s="2381"/>
      <c r="S212" s="2381"/>
      <c r="T212" s="254"/>
      <c r="U212" s="228"/>
      <c r="V212" s="2357"/>
      <c r="W212" s="256"/>
      <c r="X212" s="248"/>
      <c r="Y212" s="248"/>
      <c r="Z212" s="248"/>
      <c r="AA212" s="247"/>
      <c r="AB212" s="248"/>
      <c r="AC212" s="248"/>
      <c r="AD212" s="194"/>
      <c r="AE212" s="249"/>
      <c r="AF212" s="250"/>
      <c r="AG212" s="251"/>
      <c r="AH212" s="252"/>
      <c r="AI212" s="241"/>
      <c r="AJ212" s="241"/>
      <c r="AK212" s="241"/>
      <c r="AL212" s="194"/>
      <c r="AM212" s="195"/>
      <c r="AN212" s="195"/>
    </row>
    <row r="213" spans="2:40">
      <c r="B213" s="253">
        <f t="shared" si="3"/>
        <v>205</v>
      </c>
      <c r="C213" s="244"/>
      <c r="D213" s="654"/>
      <c r="E213" s="466"/>
      <c r="F213" s="612"/>
      <c r="G213" s="2973"/>
      <c r="H213" s="230"/>
      <c r="I213" s="230"/>
      <c r="J213" s="230"/>
      <c r="K213" s="230"/>
      <c r="L213" s="230"/>
      <c r="M213" s="228"/>
      <c r="N213" s="257"/>
      <c r="O213" s="228"/>
      <c r="P213" s="228"/>
      <c r="Q213" s="258"/>
      <c r="R213" s="2381"/>
      <c r="S213" s="2381"/>
      <c r="T213" s="254"/>
      <c r="U213" s="228"/>
      <c r="V213" s="2357"/>
      <c r="W213" s="256"/>
      <c r="X213" s="248"/>
      <c r="Y213" s="248"/>
      <c r="Z213" s="248"/>
      <c r="AA213" s="247"/>
      <c r="AB213" s="248"/>
      <c r="AC213" s="248"/>
      <c r="AD213" s="194"/>
      <c r="AE213" s="249"/>
      <c r="AF213" s="250"/>
      <c r="AG213" s="251"/>
      <c r="AH213" s="252"/>
      <c r="AI213" s="241"/>
      <c r="AJ213" s="241"/>
      <c r="AK213" s="241"/>
      <c r="AL213" s="194"/>
      <c r="AM213" s="195"/>
      <c r="AN213" s="195"/>
    </row>
    <row r="214" spans="2:40">
      <c r="B214" s="253">
        <f t="shared" si="3"/>
        <v>206</v>
      </c>
      <c r="C214" s="244"/>
      <c r="D214" s="654"/>
      <c r="E214" s="466"/>
      <c r="F214" s="612"/>
      <c r="G214" s="2973"/>
      <c r="H214" s="230"/>
      <c r="I214" s="230"/>
      <c r="J214" s="230"/>
      <c r="K214" s="230"/>
      <c r="L214" s="230"/>
      <c r="M214" s="228"/>
      <c r="N214" s="257"/>
      <c r="O214" s="228"/>
      <c r="P214" s="228"/>
      <c r="Q214" s="258"/>
      <c r="R214" s="2381"/>
      <c r="S214" s="2381"/>
      <c r="T214" s="254"/>
      <c r="U214" s="228"/>
      <c r="V214" s="2357"/>
      <c r="W214" s="256"/>
      <c r="X214" s="248"/>
      <c r="Y214" s="248"/>
      <c r="Z214" s="248"/>
      <c r="AA214" s="247"/>
      <c r="AB214" s="248"/>
      <c r="AC214" s="248"/>
      <c r="AD214" s="194"/>
      <c r="AE214" s="249"/>
      <c r="AF214" s="250"/>
      <c r="AG214" s="251"/>
      <c r="AH214" s="252"/>
      <c r="AI214" s="241"/>
      <c r="AJ214" s="241"/>
      <c r="AK214" s="241"/>
      <c r="AL214" s="194"/>
      <c r="AM214" s="195"/>
      <c r="AN214" s="195"/>
    </row>
    <row r="215" spans="2:40">
      <c r="B215" s="253">
        <f t="shared" si="3"/>
        <v>207</v>
      </c>
      <c r="C215" s="244"/>
      <c r="D215" s="654"/>
      <c r="E215" s="466"/>
      <c r="F215" s="612"/>
      <c r="G215" s="2973"/>
      <c r="H215" s="230"/>
      <c r="I215" s="230"/>
      <c r="J215" s="230"/>
      <c r="K215" s="230"/>
      <c r="L215" s="230"/>
      <c r="M215" s="228"/>
      <c r="N215" s="257"/>
      <c r="O215" s="228"/>
      <c r="P215" s="228"/>
      <c r="Q215" s="258"/>
      <c r="R215" s="2381"/>
      <c r="S215" s="2381"/>
      <c r="T215" s="254"/>
      <c r="U215" s="228"/>
      <c r="V215" s="2357"/>
      <c r="W215" s="256"/>
      <c r="X215" s="248"/>
      <c r="Y215" s="248"/>
      <c r="Z215" s="248"/>
      <c r="AA215" s="247"/>
      <c r="AB215" s="248"/>
      <c r="AC215" s="248"/>
      <c r="AD215" s="194"/>
      <c r="AE215" s="249"/>
      <c r="AF215" s="250"/>
      <c r="AG215" s="251"/>
      <c r="AH215" s="252"/>
      <c r="AI215" s="241"/>
      <c r="AJ215" s="241"/>
      <c r="AK215" s="241"/>
      <c r="AL215" s="194"/>
      <c r="AM215" s="195"/>
      <c r="AN215" s="195"/>
    </row>
    <row r="216" spans="2:40">
      <c r="B216" s="253">
        <f t="shared" si="3"/>
        <v>208</v>
      </c>
      <c r="C216" s="244"/>
      <c r="D216" s="654"/>
      <c r="E216" s="466"/>
      <c r="F216" s="612"/>
      <c r="G216" s="2973"/>
      <c r="H216" s="230"/>
      <c r="I216" s="230"/>
      <c r="J216" s="230"/>
      <c r="K216" s="230"/>
      <c r="L216" s="230"/>
      <c r="M216" s="228"/>
      <c r="N216" s="257"/>
      <c r="O216" s="228"/>
      <c r="P216" s="228"/>
      <c r="Q216" s="258"/>
      <c r="R216" s="2381"/>
      <c r="S216" s="2381"/>
      <c r="T216" s="254"/>
      <c r="U216" s="228"/>
      <c r="V216" s="2357"/>
      <c r="W216" s="256"/>
      <c r="X216" s="248"/>
      <c r="Y216" s="248"/>
      <c r="Z216" s="248"/>
      <c r="AA216" s="247"/>
      <c r="AB216" s="248"/>
      <c r="AC216" s="248"/>
      <c r="AD216" s="194"/>
      <c r="AE216" s="249"/>
      <c r="AF216" s="250"/>
      <c r="AG216" s="251"/>
      <c r="AH216" s="252"/>
      <c r="AI216" s="241"/>
      <c r="AJ216" s="241"/>
      <c r="AK216" s="241"/>
      <c r="AL216" s="194"/>
      <c r="AM216" s="195"/>
      <c r="AN216" s="195"/>
    </row>
    <row r="217" spans="2:40">
      <c r="B217" s="253">
        <f t="shared" si="3"/>
        <v>209</v>
      </c>
      <c r="C217" s="244"/>
      <c r="D217" s="654"/>
      <c r="E217" s="466"/>
      <c r="F217" s="612"/>
      <c r="G217" s="2973"/>
      <c r="H217" s="230"/>
      <c r="I217" s="230"/>
      <c r="J217" s="230"/>
      <c r="K217" s="230"/>
      <c r="L217" s="230"/>
      <c r="M217" s="228"/>
      <c r="N217" s="257"/>
      <c r="O217" s="228"/>
      <c r="P217" s="228"/>
      <c r="Q217" s="258"/>
      <c r="R217" s="2381"/>
      <c r="S217" s="2381"/>
      <c r="T217" s="254"/>
      <c r="U217" s="228"/>
      <c r="V217" s="2357"/>
      <c r="W217" s="256"/>
      <c r="X217" s="248"/>
      <c r="Y217" s="248"/>
      <c r="Z217" s="248"/>
      <c r="AA217" s="247"/>
      <c r="AB217" s="248"/>
      <c r="AC217" s="248"/>
      <c r="AD217" s="194"/>
      <c r="AE217" s="249"/>
      <c r="AF217" s="250"/>
      <c r="AG217" s="251"/>
      <c r="AH217" s="252"/>
      <c r="AI217" s="241"/>
      <c r="AJ217" s="241"/>
      <c r="AK217" s="241"/>
      <c r="AL217" s="194"/>
      <c r="AM217" s="195"/>
      <c r="AN217" s="195"/>
    </row>
    <row r="218" spans="2:40">
      <c r="B218" s="253">
        <f t="shared" si="3"/>
        <v>210</v>
      </c>
      <c r="C218" s="244"/>
      <c r="D218" s="654"/>
      <c r="E218" s="466"/>
      <c r="F218" s="612"/>
      <c r="G218" s="2973"/>
      <c r="H218" s="230"/>
      <c r="I218" s="230"/>
      <c r="J218" s="230"/>
      <c r="K218" s="230"/>
      <c r="L218" s="230"/>
      <c r="M218" s="228"/>
      <c r="N218" s="257"/>
      <c r="O218" s="228"/>
      <c r="P218" s="228"/>
      <c r="Q218" s="258"/>
      <c r="R218" s="2381"/>
      <c r="S218" s="2381"/>
      <c r="T218" s="254"/>
      <c r="U218" s="228"/>
      <c r="V218" s="2357"/>
      <c r="W218" s="256"/>
      <c r="X218" s="248"/>
      <c r="Y218" s="248"/>
      <c r="Z218" s="248"/>
      <c r="AA218" s="247"/>
      <c r="AB218" s="248"/>
      <c r="AC218" s="248"/>
      <c r="AD218" s="194"/>
      <c r="AE218" s="249"/>
      <c r="AF218" s="250"/>
      <c r="AG218" s="251"/>
      <c r="AH218" s="252"/>
      <c r="AI218" s="241"/>
      <c r="AJ218" s="241"/>
      <c r="AK218" s="241"/>
      <c r="AL218" s="194"/>
      <c r="AM218" s="195"/>
      <c r="AN218" s="195"/>
    </row>
    <row r="219" spans="2:40">
      <c r="B219" s="253">
        <f t="shared" si="3"/>
        <v>211</v>
      </c>
      <c r="C219" s="244"/>
      <c r="D219" s="654"/>
      <c r="E219" s="466"/>
      <c r="F219" s="612"/>
      <c r="G219" s="2973"/>
      <c r="H219" s="230"/>
      <c r="I219" s="230"/>
      <c r="J219" s="230"/>
      <c r="K219" s="230"/>
      <c r="L219" s="230"/>
      <c r="M219" s="228"/>
      <c r="N219" s="257"/>
      <c r="O219" s="228"/>
      <c r="P219" s="228"/>
      <c r="Q219" s="258"/>
      <c r="R219" s="2381"/>
      <c r="S219" s="2381"/>
      <c r="T219" s="254"/>
      <c r="U219" s="228"/>
      <c r="V219" s="2357"/>
      <c r="W219" s="256"/>
      <c r="X219" s="248"/>
      <c r="Y219" s="248"/>
      <c r="Z219" s="248"/>
      <c r="AA219" s="247"/>
      <c r="AB219" s="248"/>
      <c r="AC219" s="248"/>
      <c r="AD219" s="194"/>
      <c r="AE219" s="249"/>
      <c r="AF219" s="250"/>
      <c r="AG219" s="251"/>
      <c r="AH219" s="252"/>
      <c r="AI219" s="241"/>
      <c r="AJ219" s="241"/>
      <c r="AK219" s="241"/>
      <c r="AL219" s="194"/>
      <c r="AM219" s="195"/>
      <c r="AN219" s="195"/>
    </row>
    <row r="220" spans="2:40">
      <c r="B220" s="253">
        <f t="shared" si="3"/>
        <v>212</v>
      </c>
      <c r="C220" s="244"/>
      <c r="D220" s="654"/>
      <c r="E220" s="466"/>
      <c r="F220" s="612"/>
      <c r="G220" s="2973"/>
      <c r="H220" s="230"/>
      <c r="I220" s="230"/>
      <c r="J220" s="230"/>
      <c r="K220" s="230"/>
      <c r="L220" s="230"/>
      <c r="M220" s="228"/>
      <c r="N220" s="257"/>
      <c r="O220" s="228"/>
      <c r="P220" s="228"/>
      <c r="Q220" s="258"/>
      <c r="R220" s="2381"/>
      <c r="S220" s="2381"/>
      <c r="T220" s="254"/>
      <c r="U220" s="228"/>
      <c r="V220" s="2357"/>
      <c r="W220" s="256"/>
      <c r="X220" s="248"/>
      <c r="Y220" s="248"/>
      <c r="Z220" s="248"/>
      <c r="AA220" s="247"/>
      <c r="AB220" s="248"/>
      <c r="AC220" s="248"/>
      <c r="AD220" s="194"/>
      <c r="AE220" s="249"/>
      <c r="AF220" s="250"/>
      <c r="AG220" s="251"/>
      <c r="AH220" s="252"/>
      <c r="AI220" s="241"/>
      <c r="AJ220" s="241"/>
      <c r="AK220" s="241"/>
      <c r="AL220" s="194"/>
      <c r="AM220" s="195"/>
      <c r="AN220" s="195"/>
    </row>
    <row r="221" spans="2:40">
      <c r="B221" s="253">
        <f t="shared" si="3"/>
        <v>213</v>
      </c>
      <c r="C221" s="244"/>
      <c r="D221" s="654"/>
      <c r="E221" s="466"/>
      <c r="F221" s="612"/>
      <c r="G221" s="2973"/>
      <c r="H221" s="230"/>
      <c r="I221" s="230"/>
      <c r="J221" s="230"/>
      <c r="K221" s="230"/>
      <c r="L221" s="230"/>
      <c r="M221" s="228"/>
      <c r="N221" s="257"/>
      <c r="O221" s="228"/>
      <c r="P221" s="228"/>
      <c r="Q221" s="258"/>
      <c r="R221" s="2381"/>
      <c r="S221" s="2381"/>
      <c r="T221" s="254"/>
      <c r="U221" s="228"/>
      <c r="V221" s="2357"/>
      <c r="W221" s="256"/>
      <c r="X221" s="248"/>
      <c r="Y221" s="248"/>
      <c r="Z221" s="248"/>
      <c r="AA221" s="247"/>
      <c r="AB221" s="248"/>
      <c r="AC221" s="248"/>
      <c r="AD221" s="194"/>
      <c r="AE221" s="249"/>
      <c r="AF221" s="250"/>
      <c r="AG221" s="251"/>
      <c r="AH221" s="252"/>
      <c r="AI221" s="241"/>
      <c r="AJ221" s="241"/>
      <c r="AK221" s="241"/>
      <c r="AL221" s="194"/>
      <c r="AM221" s="195"/>
      <c r="AN221" s="195"/>
    </row>
    <row r="222" spans="2:40">
      <c r="B222" s="253">
        <f t="shared" si="3"/>
        <v>214</v>
      </c>
      <c r="C222" s="244"/>
      <c r="D222" s="654"/>
      <c r="E222" s="466"/>
      <c r="F222" s="612"/>
      <c r="G222" s="2973"/>
      <c r="H222" s="230"/>
      <c r="I222" s="230"/>
      <c r="J222" s="230"/>
      <c r="K222" s="230"/>
      <c r="L222" s="230"/>
      <c r="M222" s="228"/>
      <c r="N222" s="257"/>
      <c r="O222" s="228"/>
      <c r="P222" s="228"/>
      <c r="Q222" s="258"/>
      <c r="R222" s="2381"/>
      <c r="S222" s="2381"/>
      <c r="T222" s="254"/>
      <c r="U222" s="228"/>
      <c r="V222" s="2357"/>
      <c r="W222" s="256"/>
      <c r="X222" s="248"/>
      <c r="Y222" s="248"/>
      <c r="Z222" s="248"/>
      <c r="AA222" s="247"/>
      <c r="AB222" s="248"/>
      <c r="AC222" s="248"/>
      <c r="AD222" s="194"/>
      <c r="AE222" s="249"/>
      <c r="AF222" s="250"/>
      <c r="AG222" s="251"/>
      <c r="AH222" s="252"/>
      <c r="AI222" s="241"/>
      <c r="AJ222" s="241"/>
      <c r="AK222" s="241"/>
      <c r="AL222" s="194"/>
      <c r="AM222" s="195"/>
      <c r="AN222" s="195"/>
    </row>
    <row r="223" spans="2:40">
      <c r="B223" s="253">
        <f t="shared" si="3"/>
        <v>215</v>
      </c>
      <c r="C223" s="244"/>
      <c r="D223" s="654"/>
      <c r="E223" s="466"/>
      <c r="F223" s="612"/>
      <c r="G223" s="2973"/>
      <c r="H223" s="230"/>
      <c r="I223" s="230"/>
      <c r="J223" s="230"/>
      <c r="K223" s="230"/>
      <c r="L223" s="230"/>
      <c r="M223" s="228"/>
      <c r="N223" s="257"/>
      <c r="O223" s="228"/>
      <c r="P223" s="228"/>
      <c r="Q223" s="258"/>
      <c r="R223" s="2381"/>
      <c r="S223" s="2381"/>
      <c r="T223" s="254"/>
      <c r="U223" s="228"/>
      <c r="V223" s="2357"/>
      <c r="W223" s="256"/>
      <c r="X223" s="248"/>
      <c r="Y223" s="248"/>
      <c r="Z223" s="248"/>
      <c r="AA223" s="247"/>
      <c r="AB223" s="248"/>
      <c r="AC223" s="248"/>
      <c r="AD223" s="194"/>
      <c r="AE223" s="249"/>
      <c r="AF223" s="250"/>
      <c r="AG223" s="251"/>
      <c r="AH223" s="252"/>
      <c r="AI223" s="241"/>
      <c r="AJ223" s="241"/>
      <c r="AK223" s="241"/>
      <c r="AL223" s="194"/>
      <c r="AM223" s="195"/>
      <c r="AN223" s="195"/>
    </row>
    <row r="224" spans="2:40">
      <c r="B224" s="253">
        <f t="shared" si="3"/>
        <v>216</v>
      </c>
      <c r="C224" s="244"/>
      <c r="D224" s="654"/>
      <c r="E224" s="466"/>
      <c r="F224" s="612"/>
      <c r="G224" s="2973"/>
      <c r="H224" s="230"/>
      <c r="I224" s="230"/>
      <c r="J224" s="230"/>
      <c r="K224" s="230"/>
      <c r="L224" s="230"/>
      <c r="M224" s="228"/>
      <c r="N224" s="257"/>
      <c r="O224" s="228"/>
      <c r="P224" s="228"/>
      <c r="Q224" s="258"/>
      <c r="R224" s="2381"/>
      <c r="S224" s="2381"/>
      <c r="T224" s="254"/>
      <c r="U224" s="228"/>
      <c r="V224" s="2357"/>
      <c r="W224" s="256"/>
      <c r="X224" s="248"/>
      <c r="Y224" s="248"/>
      <c r="Z224" s="248"/>
      <c r="AA224" s="247"/>
      <c r="AB224" s="248"/>
      <c r="AC224" s="248"/>
      <c r="AD224" s="194"/>
      <c r="AE224" s="249"/>
      <c r="AF224" s="250"/>
      <c r="AG224" s="251"/>
      <c r="AH224" s="252"/>
      <c r="AI224" s="241"/>
      <c r="AJ224" s="241"/>
      <c r="AK224" s="241"/>
      <c r="AL224" s="194"/>
      <c r="AM224" s="195"/>
      <c r="AN224" s="195"/>
    </row>
    <row r="225" spans="2:40">
      <c r="B225" s="253">
        <f t="shared" si="3"/>
        <v>217</v>
      </c>
      <c r="C225" s="244"/>
      <c r="D225" s="654"/>
      <c r="E225" s="466"/>
      <c r="F225" s="612"/>
      <c r="G225" s="2973"/>
      <c r="H225" s="230"/>
      <c r="I225" s="230"/>
      <c r="J225" s="230"/>
      <c r="K225" s="230"/>
      <c r="L225" s="230"/>
      <c r="M225" s="228"/>
      <c r="N225" s="257"/>
      <c r="O225" s="228"/>
      <c r="P225" s="228"/>
      <c r="Q225" s="258"/>
      <c r="R225" s="2381"/>
      <c r="S225" s="2381"/>
      <c r="T225" s="254"/>
      <c r="U225" s="228"/>
      <c r="V225" s="2357"/>
      <c r="W225" s="256"/>
      <c r="X225" s="248"/>
      <c r="Y225" s="248"/>
      <c r="Z225" s="248"/>
      <c r="AA225" s="247"/>
      <c r="AB225" s="248"/>
      <c r="AC225" s="248"/>
      <c r="AD225" s="194"/>
      <c r="AE225" s="249"/>
      <c r="AF225" s="250"/>
      <c r="AG225" s="251"/>
      <c r="AH225" s="252"/>
      <c r="AI225" s="241"/>
      <c r="AJ225" s="241"/>
      <c r="AK225" s="241"/>
      <c r="AL225" s="194"/>
      <c r="AM225" s="195"/>
      <c r="AN225" s="195"/>
    </row>
    <row r="226" spans="2:40">
      <c r="B226" s="253">
        <f t="shared" si="3"/>
        <v>218</v>
      </c>
      <c r="C226" s="244"/>
      <c r="D226" s="654"/>
      <c r="E226" s="466"/>
      <c r="F226" s="612"/>
      <c r="G226" s="2973"/>
      <c r="H226" s="230"/>
      <c r="I226" s="230"/>
      <c r="J226" s="230"/>
      <c r="K226" s="230"/>
      <c r="L226" s="230"/>
      <c r="M226" s="228"/>
      <c r="N226" s="257"/>
      <c r="O226" s="228"/>
      <c r="P226" s="228"/>
      <c r="Q226" s="258"/>
      <c r="R226" s="2381"/>
      <c r="S226" s="2381"/>
      <c r="T226" s="254"/>
      <c r="U226" s="228"/>
      <c r="V226" s="2357"/>
      <c r="W226" s="256"/>
      <c r="X226" s="248"/>
      <c r="Y226" s="248"/>
      <c r="Z226" s="248"/>
      <c r="AA226" s="247"/>
      <c r="AB226" s="248"/>
      <c r="AC226" s="248"/>
      <c r="AD226" s="194"/>
      <c r="AE226" s="249"/>
      <c r="AF226" s="250"/>
      <c r="AG226" s="251"/>
      <c r="AH226" s="252"/>
      <c r="AI226" s="241"/>
      <c r="AJ226" s="241"/>
      <c r="AK226" s="241"/>
      <c r="AL226" s="194"/>
      <c r="AM226" s="195"/>
      <c r="AN226" s="195"/>
    </row>
    <row r="227" spans="2:40">
      <c r="B227" s="253">
        <f t="shared" si="3"/>
        <v>219</v>
      </c>
      <c r="C227" s="244"/>
      <c r="D227" s="654"/>
      <c r="E227" s="466"/>
      <c r="F227" s="612"/>
      <c r="G227" s="2973"/>
      <c r="H227" s="230"/>
      <c r="I227" s="230"/>
      <c r="J227" s="230"/>
      <c r="K227" s="230"/>
      <c r="L227" s="230"/>
      <c r="M227" s="228"/>
      <c r="N227" s="257"/>
      <c r="O227" s="228"/>
      <c r="P227" s="228"/>
      <c r="Q227" s="258"/>
      <c r="R227" s="2381"/>
      <c r="S227" s="2381"/>
      <c r="T227" s="254"/>
      <c r="U227" s="228"/>
      <c r="V227" s="2357"/>
      <c r="W227" s="256"/>
      <c r="X227" s="248"/>
      <c r="Y227" s="248"/>
      <c r="Z227" s="248"/>
      <c r="AA227" s="247"/>
      <c r="AB227" s="248"/>
      <c r="AC227" s="248"/>
      <c r="AD227" s="194"/>
      <c r="AE227" s="249"/>
      <c r="AF227" s="250"/>
      <c r="AG227" s="251"/>
      <c r="AH227" s="252"/>
      <c r="AI227" s="241"/>
      <c r="AJ227" s="241"/>
      <c r="AK227" s="241"/>
      <c r="AL227" s="194"/>
      <c r="AM227" s="195"/>
      <c r="AN227" s="195"/>
    </row>
    <row r="228" spans="2:40">
      <c r="B228" s="253">
        <f t="shared" si="3"/>
        <v>220</v>
      </c>
      <c r="C228" s="244"/>
      <c r="D228" s="654"/>
      <c r="E228" s="466"/>
      <c r="F228" s="612"/>
      <c r="G228" s="2973"/>
      <c r="H228" s="230"/>
      <c r="I228" s="230"/>
      <c r="J228" s="230"/>
      <c r="K228" s="230"/>
      <c r="L228" s="230"/>
      <c r="M228" s="228"/>
      <c r="N228" s="257"/>
      <c r="O228" s="228"/>
      <c r="P228" s="228"/>
      <c r="Q228" s="258"/>
      <c r="R228" s="2381"/>
      <c r="S228" s="2381"/>
      <c r="T228" s="254"/>
      <c r="U228" s="228"/>
      <c r="V228" s="2357"/>
      <c r="W228" s="256"/>
      <c r="X228" s="248"/>
      <c r="Y228" s="248"/>
      <c r="Z228" s="248"/>
      <c r="AA228" s="247"/>
      <c r="AB228" s="248"/>
      <c r="AC228" s="248"/>
      <c r="AD228" s="194"/>
      <c r="AE228" s="249"/>
      <c r="AF228" s="250"/>
      <c r="AG228" s="251"/>
      <c r="AH228" s="252"/>
      <c r="AI228" s="241"/>
      <c r="AJ228" s="241"/>
      <c r="AK228" s="241"/>
      <c r="AL228" s="194"/>
      <c r="AM228" s="195"/>
      <c r="AN228" s="195"/>
    </row>
    <row r="229" spans="2:40">
      <c r="B229" s="253">
        <f t="shared" si="3"/>
        <v>221</v>
      </c>
      <c r="C229" s="244"/>
      <c r="D229" s="654"/>
      <c r="E229" s="466"/>
      <c r="F229" s="612"/>
      <c r="G229" s="2973"/>
      <c r="H229" s="230"/>
      <c r="I229" s="230"/>
      <c r="J229" s="230"/>
      <c r="K229" s="230"/>
      <c r="L229" s="230"/>
      <c r="M229" s="228"/>
      <c r="N229" s="257"/>
      <c r="O229" s="228"/>
      <c r="P229" s="228"/>
      <c r="Q229" s="258"/>
      <c r="R229" s="2381"/>
      <c r="S229" s="2381"/>
      <c r="T229" s="254"/>
      <c r="U229" s="228"/>
      <c r="V229" s="2357"/>
      <c r="W229" s="256"/>
      <c r="X229" s="248"/>
      <c r="Y229" s="248"/>
      <c r="Z229" s="248"/>
      <c r="AA229" s="247"/>
      <c r="AB229" s="248"/>
      <c r="AC229" s="248"/>
      <c r="AD229" s="194"/>
      <c r="AE229" s="249"/>
      <c r="AF229" s="250"/>
      <c r="AG229" s="251"/>
      <c r="AH229" s="252"/>
      <c r="AI229" s="241"/>
      <c r="AJ229" s="241"/>
      <c r="AK229" s="241"/>
      <c r="AL229" s="194"/>
      <c r="AM229" s="195"/>
      <c r="AN229" s="195"/>
    </row>
    <row r="230" spans="2:40">
      <c r="B230" s="253">
        <f t="shared" si="3"/>
        <v>222</v>
      </c>
      <c r="C230" s="244"/>
      <c r="D230" s="654"/>
      <c r="E230" s="466"/>
      <c r="F230" s="612"/>
      <c r="G230" s="2973"/>
      <c r="H230" s="230"/>
      <c r="I230" s="230"/>
      <c r="J230" s="230"/>
      <c r="K230" s="230"/>
      <c r="L230" s="230"/>
      <c r="M230" s="228"/>
      <c r="N230" s="257"/>
      <c r="O230" s="228"/>
      <c r="P230" s="228"/>
      <c r="Q230" s="258"/>
      <c r="R230" s="2381"/>
      <c r="S230" s="2381"/>
      <c r="T230" s="254"/>
      <c r="U230" s="228"/>
      <c r="V230" s="2357"/>
      <c r="W230" s="256"/>
      <c r="X230" s="248"/>
      <c r="Y230" s="248"/>
      <c r="Z230" s="248"/>
      <c r="AA230" s="247"/>
      <c r="AB230" s="248"/>
      <c r="AC230" s="248"/>
      <c r="AD230" s="194"/>
      <c r="AE230" s="249"/>
      <c r="AF230" s="250"/>
      <c r="AG230" s="251"/>
      <c r="AH230" s="252"/>
      <c r="AI230" s="241"/>
      <c r="AJ230" s="241"/>
      <c r="AK230" s="241"/>
      <c r="AL230" s="194"/>
      <c r="AM230" s="195"/>
      <c r="AN230" s="195"/>
    </row>
    <row r="231" spans="2:40">
      <c r="B231" s="253">
        <f t="shared" si="3"/>
        <v>223</v>
      </c>
      <c r="C231" s="244"/>
      <c r="D231" s="654"/>
      <c r="E231" s="466"/>
      <c r="F231" s="612"/>
      <c r="G231" s="2973"/>
      <c r="H231" s="230"/>
      <c r="I231" s="230"/>
      <c r="J231" s="230"/>
      <c r="K231" s="230"/>
      <c r="L231" s="230"/>
      <c r="M231" s="228"/>
      <c r="N231" s="257"/>
      <c r="O231" s="228"/>
      <c r="P231" s="228"/>
      <c r="Q231" s="258"/>
      <c r="R231" s="2381"/>
      <c r="S231" s="2381"/>
      <c r="T231" s="254"/>
      <c r="U231" s="228"/>
      <c r="V231" s="2357"/>
      <c r="W231" s="256"/>
      <c r="X231" s="248"/>
      <c r="Y231" s="248"/>
      <c r="Z231" s="248"/>
      <c r="AA231" s="247"/>
      <c r="AB231" s="248"/>
      <c r="AC231" s="248"/>
      <c r="AD231" s="194"/>
      <c r="AE231" s="249"/>
      <c r="AF231" s="250"/>
      <c r="AG231" s="251"/>
      <c r="AH231" s="252"/>
      <c r="AI231" s="241"/>
      <c r="AJ231" s="241"/>
      <c r="AK231" s="241"/>
      <c r="AL231" s="194"/>
      <c r="AM231" s="195"/>
      <c r="AN231" s="195"/>
    </row>
    <row r="232" spans="2:40">
      <c r="B232" s="253">
        <f t="shared" si="3"/>
        <v>224</v>
      </c>
      <c r="C232" s="244"/>
      <c r="D232" s="654"/>
      <c r="E232" s="466"/>
      <c r="F232" s="612"/>
      <c r="G232" s="2973"/>
      <c r="H232" s="230"/>
      <c r="I232" s="230"/>
      <c r="J232" s="230"/>
      <c r="K232" s="230"/>
      <c r="L232" s="230"/>
      <c r="M232" s="228"/>
      <c r="N232" s="257"/>
      <c r="O232" s="228"/>
      <c r="P232" s="228"/>
      <c r="Q232" s="258"/>
      <c r="R232" s="2381"/>
      <c r="S232" s="2381"/>
      <c r="T232" s="254"/>
      <c r="U232" s="228"/>
      <c r="V232" s="2357"/>
      <c r="W232" s="256"/>
      <c r="X232" s="248"/>
      <c r="Y232" s="248"/>
      <c r="Z232" s="248"/>
      <c r="AA232" s="247"/>
      <c r="AB232" s="248"/>
      <c r="AC232" s="248"/>
      <c r="AD232" s="194"/>
      <c r="AE232" s="249"/>
      <c r="AF232" s="250"/>
      <c r="AG232" s="251"/>
      <c r="AH232" s="252"/>
      <c r="AI232" s="241"/>
      <c r="AJ232" s="241"/>
      <c r="AK232" s="241"/>
      <c r="AL232" s="194"/>
      <c r="AM232" s="195"/>
      <c r="AN232" s="195"/>
    </row>
    <row r="233" spans="2:40">
      <c r="B233" s="253">
        <f t="shared" si="3"/>
        <v>225</v>
      </c>
      <c r="C233" s="244"/>
      <c r="D233" s="654"/>
      <c r="E233" s="466"/>
      <c r="F233" s="612"/>
      <c r="G233" s="2973"/>
      <c r="H233" s="230"/>
      <c r="I233" s="230"/>
      <c r="J233" s="230"/>
      <c r="K233" s="230"/>
      <c r="L233" s="230"/>
      <c r="M233" s="228"/>
      <c r="N233" s="257"/>
      <c r="O233" s="228"/>
      <c r="P233" s="228"/>
      <c r="Q233" s="258"/>
      <c r="R233" s="2381"/>
      <c r="S233" s="2381"/>
      <c r="T233" s="254"/>
      <c r="U233" s="228"/>
      <c r="V233" s="2357"/>
      <c r="W233" s="256"/>
      <c r="X233" s="248"/>
      <c r="Y233" s="248"/>
      <c r="Z233" s="248"/>
      <c r="AA233" s="247"/>
      <c r="AB233" s="248"/>
      <c r="AC233" s="248"/>
      <c r="AD233" s="194"/>
      <c r="AE233" s="249"/>
      <c r="AF233" s="250"/>
      <c r="AG233" s="251"/>
      <c r="AH233" s="252"/>
      <c r="AI233" s="241"/>
      <c r="AJ233" s="241"/>
      <c r="AK233" s="241"/>
      <c r="AL233" s="194"/>
      <c r="AM233" s="195"/>
      <c r="AN233" s="195"/>
    </row>
    <row r="234" spans="2:40">
      <c r="B234" s="253">
        <f t="shared" si="3"/>
        <v>226</v>
      </c>
      <c r="C234" s="244"/>
      <c r="D234" s="654"/>
      <c r="E234" s="466"/>
      <c r="F234" s="612"/>
      <c r="G234" s="2973"/>
      <c r="H234" s="230"/>
      <c r="I234" s="230"/>
      <c r="J234" s="230"/>
      <c r="K234" s="230"/>
      <c r="L234" s="230"/>
      <c r="M234" s="228"/>
      <c r="N234" s="257"/>
      <c r="O234" s="228"/>
      <c r="P234" s="228"/>
      <c r="Q234" s="258"/>
      <c r="R234" s="2381"/>
      <c r="S234" s="2381"/>
      <c r="T234" s="254"/>
      <c r="U234" s="228"/>
      <c r="V234" s="2357"/>
      <c r="W234" s="256"/>
      <c r="X234" s="248"/>
      <c r="Y234" s="248"/>
      <c r="Z234" s="248"/>
      <c r="AA234" s="247"/>
      <c r="AB234" s="248"/>
      <c r="AC234" s="248"/>
      <c r="AD234" s="194"/>
      <c r="AE234" s="249"/>
      <c r="AF234" s="250"/>
      <c r="AG234" s="251"/>
      <c r="AH234" s="252"/>
      <c r="AI234" s="241"/>
      <c r="AJ234" s="241"/>
      <c r="AK234" s="241"/>
      <c r="AL234" s="194"/>
      <c r="AM234" s="195"/>
      <c r="AN234" s="195"/>
    </row>
    <row r="235" spans="2:40">
      <c r="B235" s="253">
        <f t="shared" si="3"/>
        <v>227</v>
      </c>
      <c r="C235" s="244"/>
      <c r="D235" s="654"/>
      <c r="E235" s="466"/>
      <c r="F235" s="612"/>
      <c r="G235" s="2973"/>
      <c r="H235" s="230"/>
      <c r="I235" s="230"/>
      <c r="J235" s="230"/>
      <c r="K235" s="230"/>
      <c r="L235" s="230"/>
      <c r="M235" s="228"/>
      <c r="N235" s="257"/>
      <c r="O235" s="228"/>
      <c r="P235" s="228"/>
      <c r="Q235" s="258"/>
      <c r="R235" s="2381"/>
      <c r="S235" s="2381"/>
      <c r="T235" s="254"/>
      <c r="U235" s="228"/>
      <c r="V235" s="2357"/>
      <c r="W235" s="256"/>
      <c r="X235" s="248"/>
      <c r="Y235" s="248"/>
      <c r="Z235" s="248"/>
      <c r="AA235" s="247"/>
      <c r="AB235" s="248"/>
      <c r="AC235" s="248"/>
      <c r="AD235" s="194"/>
      <c r="AE235" s="249"/>
      <c r="AF235" s="250"/>
      <c r="AG235" s="251"/>
      <c r="AH235" s="252"/>
      <c r="AI235" s="241"/>
      <c r="AJ235" s="241"/>
      <c r="AK235" s="241"/>
      <c r="AL235" s="194"/>
      <c r="AM235" s="195"/>
      <c r="AN235" s="195"/>
    </row>
    <row r="236" spans="2:40">
      <c r="B236" s="253">
        <f t="shared" si="3"/>
        <v>228</v>
      </c>
      <c r="C236" s="244"/>
      <c r="D236" s="654"/>
      <c r="E236" s="466"/>
      <c r="F236" s="612"/>
      <c r="G236" s="2973"/>
      <c r="H236" s="230"/>
      <c r="I236" s="230"/>
      <c r="J236" s="230"/>
      <c r="K236" s="230"/>
      <c r="L236" s="230"/>
      <c r="M236" s="228"/>
      <c r="N236" s="257"/>
      <c r="O236" s="228"/>
      <c r="P236" s="228"/>
      <c r="Q236" s="258"/>
      <c r="R236" s="2381"/>
      <c r="S236" s="2381"/>
      <c r="T236" s="254"/>
      <c r="U236" s="228"/>
      <c r="V236" s="2357"/>
      <c r="W236" s="256"/>
      <c r="X236" s="248"/>
      <c r="Y236" s="248"/>
      <c r="Z236" s="248"/>
      <c r="AA236" s="247"/>
      <c r="AB236" s="248"/>
      <c r="AC236" s="248"/>
      <c r="AD236" s="194"/>
      <c r="AE236" s="249"/>
      <c r="AF236" s="250"/>
      <c r="AG236" s="251"/>
      <c r="AH236" s="252"/>
      <c r="AI236" s="241"/>
      <c r="AJ236" s="241"/>
      <c r="AK236" s="241"/>
      <c r="AL236" s="194"/>
      <c r="AM236" s="195"/>
      <c r="AN236" s="195"/>
    </row>
    <row r="237" spans="2:40">
      <c r="B237" s="253">
        <f t="shared" si="3"/>
        <v>229</v>
      </c>
      <c r="C237" s="244"/>
      <c r="D237" s="654"/>
      <c r="E237" s="466"/>
      <c r="F237" s="612"/>
      <c r="G237" s="2973"/>
      <c r="H237" s="230"/>
      <c r="I237" s="230"/>
      <c r="J237" s="230"/>
      <c r="K237" s="230"/>
      <c r="L237" s="230"/>
      <c r="M237" s="228"/>
      <c r="N237" s="257"/>
      <c r="O237" s="228"/>
      <c r="P237" s="228"/>
      <c r="Q237" s="258"/>
      <c r="R237" s="2381"/>
      <c r="S237" s="2381"/>
      <c r="T237" s="254"/>
      <c r="U237" s="228"/>
      <c r="V237" s="2357"/>
      <c r="W237" s="256"/>
      <c r="X237" s="248"/>
      <c r="Y237" s="248"/>
      <c r="Z237" s="248"/>
      <c r="AA237" s="247"/>
      <c r="AB237" s="248"/>
      <c r="AC237" s="248"/>
      <c r="AD237" s="194"/>
      <c r="AE237" s="249"/>
      <c r="AF237" s="250"/>
      <c r="AG237" s="251"/>
      <c r="AH237" s="252"/>
      <c r="AI237" s="241"/>
      <c r="AJ237" s="241"/>
      <c r="AK237" s="241"/>
      <c r="AL237" s="194"/>
      <c r="AM237" s="195"/>
      <c r="AN237" s="195"/>
    </row>
    <row r="238" spans="2:40">
      <c r="B238" s="253">
        <f t="shared" si="3"/>
        <v>230</v>
      </c>
      <c r="C238" s="244"/>
      <c r="D238" s="654"/>
      <c r="E238" s="466"/>
      <c r="F238" s="612"/>
      <c r="G238" s="2973"/>
      <c r="H238" s="230"/>
      <c r="I238" s="230"/>
      <c r="J238" s="230"/>
      <c r="K238" s="230"/>
      <c r="L238" s="230"/>
      <c r="M238" s="228"/>
      <c r="N238" s="257"/>
      <c r="O238" s="228"/>
      <c r="P238" s="228"/>
      <c r="Q238" s="258"/>
      <c r="R238" s="2381"/>
      <c r="S238" s="2381"/>
      <c r="T238" s="254"/>
      <c r="U238" s="228"/>
      <c r="V238" s="2357"/>
      <c r="W238" s="256"/>
      <c r="X238" s="248"/>
      <c r="Y238" s="248"/>
      <c r="Z238" s="248"/>
      <c r="AA238" s="247"/>
      <c r="AB238" s="248"/>
      <c r="AC238" s="248"/>
      <c r="AD238" s="194"/>
      <c r="AE238" s="249"/>
      <c r="AF238" s="250"/>
      <c r="AG238" s="251"/>
      <c r="AH238" s="252"/>
      <c r="AI238" s="241"/>
      <c r="AJ238" s="241"/>
      <c r="AK238" s="241"/>
      <c r="AL238" s="194"/>
      <c r="AM238" s="195"/>
      <c r="AN238" s="195"/>
    </row>
    <row r="239" spans="2:40">
      <c r="B239" s="253">
        <f t="shared" si="3"/>
        <v>231</v>
      </c>
      <c r="C239" s="244"/>
      <c r="D239" s="654"/>
      <c r="E239" s="466"/>
      <c r="F239" s="612"/>
      <c r="G239" s="2973"/>
      <c r="H239" s="230"/>
      <c r="I239" s="230"/>
      <c r="J239" s="230"/>
      <c r="K239" s="230"/>
      <c r="L239" s="230"/>
      <c r="M239" s="228"/>
      <c r="N239" s="257"/>
      <c r="O239" s="228"/>
      <c r="P239" s="228"/>
      <c r="Q239" s="258"/>
      <c r="R239" s="2381"/>
      <c r="S239" s="2381"/>
      <c r="T239" s="254"/>
      <c r="U239" s="228"/>
      <c r="V239" s="2357"/>
      <c r="W239" s="256"/>
      <c r="X239" s="248"/>
      <c r="Y239" s="248"/>
      <c r="Z239" s="248"/>
      <c r="AA239" s="247"/>
      <c r="AB239" s="248"/>
      <c r="AC239" s="248"/>
      <c r="AD239" s="194"/>
      <c r="AE239" s="249"/>
      <c r="AF239" s="250"/>
      <c r="AG239" s="251"/>
      <c r="AH239" s="252"/>
      <c r="AI239" s="241"/>
      <c r="AJ239" s="241"/>
      <c r="AK239" s="241"/>
      <c r="AL239" s="194"/>
      <c r="AM239" s="195"/>
      <c r="AN239" s="195"/>
    </row>
    <row r="240" spans="2:40">
      <c r="B240" s="253">
        <f t="shared" si="3"/>
        <v>232</v>
      </c>
      <c r="C240" s="244"/>
      <c r="D240" s="654"/>
      <c r="E240" s="466"/>
      <c r="F240" s="612"/>
      <c r="G240" s="2973"/>
      <c r="H240" s="230"/>
      <c r="I240" s="230"/>
      <c r="J240" s="230"/>
      <c r="K240" s="230"/>
      <c r="L240" s="230"/>
      <c r="M240" s="228"/>
      <c r="N240" s="257"/>
      <c r="O240" s="228"/>
      <c r="P240" s="228"/>
      <c r="Q240" s="258"/>
      <c r="R240" s="2381"/>
      <c r="S240" s="2381"/>
      <c r="T240" s="254"/>
      <c r="U240" s="228"/>
      <c r="V240" s="2357"/>
      <c r="W240" s="256"/>
      <c r="X240" s="248"/>
      <c r="Y240" s="248"/>
      <c r="Z240" s="248"/>
      <c r="AA240" s="247"/>
      <c r="AB240" s="248"/>
      <c r="AC240" s="248"/>
      <c r="AD240" s="194"/>
      <c r="AE240" s="249"/>
      <c r="AF240" s="250"/>
      <c r="AG240" s="251"/>
      <c r="AH240" s="252"/>
      <c r="AI240" s="241"/>
      <c r="AJ240" s="241"/>
      <c r="AK240" s="241"/>
      <c r="AL240" s="194"/>
      <c r="AM240" s="195"/>
      <c r="AN240" s="195"/>
    </row>
    <row r="241" spans="2:40">
      <c r="B241" s="253">
        <f t="shared" si="3"/>
        <v>233</v>
      </c>
      <c r="C241" s="244"/>
      <c r="D241" s="654"/>
      <c r="E241" s="466"/>
      <c r="F241" s="612"/>
      <c r="G241" s="2973"/>
      <c r="H241" s="230"/>
      <c r="I241" s="230"/>
      <c r="J241" s="230"/>
      <c r="K241" s="230"/>
      <c r="L241" s="230"/>
      <c r="M241" s="228"/>
      <c r="N241" s="257"/>
      <c r="O241" s="228"/>
      <c r="P241" s="228"/>
      <c r="Q241" s="258"/>
      <c r="R241" s="2381"/>
      <c r="S241" s="2381"/>
      <c r="T241" s="254"/>
      <c r="U241" s="228"/>
      <c r="V241" s="2357"/>
      <c r="W241" s="256"/>
      <c r="X241" s="248"/>
      <c r="Y241" s="248"/>
      <c r="Z241" s="248"/>
      <c r="AA241" s="247"/>
      <c r="AB241" s="248"/>
      <c r="AC241" s="248"/>
      <c r="AD241" s="194"/>
      <c r="AE241" s="249"/>
      <c r="AF241" s="250"/>
      <c r="AG241" s="251"/>
      <c r="AH241" s="252"/>
      <c r="AI241" s="241"/>
      <c r="AJ241" s="241"/>
      <c r="AK241" s="241"/>
      <c r="AL241" s="194"/>
      <c r="AM241" s="195"/>
      <c r="AN241" s="195"/>
    </row>
    <row r="242" spans="2:40">
      <c r="B242" s="253">
        <f t="shared" si="3"/>
        <v>234</v>
      </c>
      <c r="C242" s="244"/>
      <c r="D242" s="654"/>
      <c r="E242" s="466"/>
      <c r="F242" s="612"/>
      <c r="G242" s="2973"/>
      <c r="H242" s="230"/>
      <c r="I242" s="230"/>
      <c r="J242" s="230"/>
      <c r="K242" s="230"/>
      <c r="L242" s="230"/>
      <c r="M242" s="228"/>
      <c r="N242" s="257"/>
      <c r="O242" s="228"/>
      <c r="P242" s="228"/>
      <c r="Q242" s="258"/>
      <c r="R242" s="2381"/>
      <c r="S242" s="2381"/>
      <c r="T242" s="254"/>
      <c r="U242" s="228"/>
      <c r="V242" s="2357"/>
      <c r="W242" s="256"/>
      <c r="X242" s="248"/>
      <c r="Y242" s="248"/>
      <c r="Z242" s="248"/>
      <c r="AA242" s="247"/>
      <c r="AB242" s="248"/>
      <c r="AC242" s="248"/>
      <c r="AD242" s="194"/>
      <c r="AE242" s="249"/>
      <c r="AF242" s="250"/>
      <c r="AG242" s="251"/>
      <c r="AH242" s="252"/>
      <c r="AI242" s="241"/>
      <c r="AJ242" s="241"/>
      <c r="AK242" s="241"/>
      <c r="AL242" s="194"/>
      <c r="AM242" s="195"/>
      <c r="AN242" s="195"/>
    </row>
    <row r="243" spans="2:40">
      <c r="B243" s="253">
        <f t="shared" si="3"/>
        <v>235</v>
      </c>
      <c r="C243" s="244"/>
      <c r="D243" s="654"/>
      <c r="E243" s="466"/>
      <c r="F243" s="612"/>
      <c r="G243" s="2973"/>
      <c r="H243" s="230"/>
      <c r="I243" s="230"/>
      <c r="J243" s="230"/>
      <c r="K243" s="230"/>
      <c r="L243" s="230"/>
      <c r="M243" s="228"/>
      <c r="N243" s="257"/>
      <c r="O243" s="228"/>
      <c r="P243" s="228"/>
      <c r="Q243" s="258"/>
      <c r="R243" s="2381"/>
      <c r="S243" s="2381"/>
      <c r="T243" s="254"/>
      <c r="U243" s="228"/>
      <c r="V243" s="2357"/>
      <c r="W243" s="256"/>
      <c r="X243" s="248"/>
      <c r="Y243" s="248"/>
      <c r="Z243" s="248"/>
      <c r="AA243" s="247"/>
      <c r="AB243" s="248"/>
      <c r="AC243" s="248"/>
      <c r="AD243" s="194"/>
      <c r="AE243" s="249"/>
      <c r="AF243" s="250"/>
      <c r="AG243" s="251"/>
      <c r="AH243" s="252"/>
      <c r="AI243" s="241"/>
      <c r="AJ243" s="241"/>
      <c r="AK243" s="241"/>
      <c r="AL243" s="194"/>
      <c r="AM243" s="195"/>
      <c r="AN243" s="195"/>
    </row>
    <row r="244" spans="2:40">
      <c r="B244" s="253">
        <f t="shared" ref="B244:B278" si="4">+B243+1</f>
        <v>236</v>
      </c>
      <c r="C244" s="244"/>
      <c r="D244" s="654"/>
      <c r="E244" s="466"/>
      <c r="F244" s="612"/>
      <c r="G244" s="2973"/>
      <c r="H244" s="230"/>
      <c r="I244" s="230"/>
      <c r="J244" s="230"/>
      <c r="K244" s="230"/>
      <c r="L244" s="230"/>
      <c r="M244" s="228"/>
      <c r="N244" s="257"/>
      <c r="O244" s="228"/>
      <c r="P244" s="228"/>
      <c r="Q244" s="258"/>
      <c r="R244" s="2381"/>
      <c r="S244" s="2381"/>
      <c r="T244" s="254"/>
      <c r="U244" s="228"/>
      <c r="V244" s="2357"/>
      <c r="W244" s="256"/>
      <c r="X244" s="248"/>
      <c r="Y244" s="248"/>
      <c r="Z244" s="248"/>
      <c r="AA244" s="247"/>
      <c r="AB244" s="248"/>
      <c r="AC244" s="248"/>
      <c r="AD244" s="194"/>
      <c r="AE244" s="249"/>
      <c r="AF244" s="250"/>
      <c r="AG244" s="251"/>
      <c r="AH244" s="252"/>
      <c r="AI244" s="241"/>
      <c r="AJ244" s="241"/>
      <c r="AK244" s="241"/>
      <c r="AL244" s="194"/>
      <c r="AM244" s="195"/>
      <c r="AN244" s="195"/>
    </row>
    <row r="245" spans="2:40">
      <c r="B245" s="253">
        <f t="shared" si="4"/>
        <v>237</v>
      </c>
      <c r="C245" s="244"/>
      <c r="D245" s="654"/>
      <c r="E245" s="466"/>
      <c r="F245" s="612"/>
      <c r="G245" s="2973"/>
      <c r="H245" s="230"/>
      <c r="I245" s="230"/>
      <c r="J245" s="230"/>
      <c r="K245" s="230"/>
      <c r="L245" s="230"/>
      <c r="M245" s="228"/>
      <c r="N245" s="257"/>
      <c r="O245" s="228"/>
      <c r="P245" s="228"/>
      <c r="Q245" s="258"/>
      <c r="R245" s="2381"/>
      <c r="S245" s="2381"/>
      <c r="T245" s="254"/>
      <c r="U245" s="228"/>
      <c r="V245" s="2357"/>
      <c r="W245" s="256"/>
      <c r="X245" s="248"/>
      <c r="Y245" s="248"/>
      <c r="Z245" s="248"/>
      <c r="AA245" s="247"/>
      <c r="AB245" s="248"/>
      <c r="AC245" s="248"/>
      <c r="AD245" s="194"/>
      <c r="AE245" s="249"/>
      <c r="AF245" s="250"/>
      <c r="AG245" s="251"/>
      <c r="AH245" s="252"/>
      <c r="AI245" s="241"/>
      <c r="AJ245" s="241"/>
      <c r="AK245" s="241"/>
      <c r="AL245" s="194"/>
      <c r="AM245" s="195"/>
      <c r="AN245" s="195"/>
    </row>
    <row r="246" spans="2:40">
      <c r="B246" s="253">
        <f t="shared" si="4"/>
        <v>238</v>
      </c>
      <c r="C246" s="244"/>
      <c r="D246" s="654"/>
      <c r="E246" s="466"/>
      <c r="F246" s="612"/>
      <c r="G246" s="2973"/>
      <c r="H246" s="230"/>
      <c r="I246" s="230"/>
      <c r="J246" s="230"/>
      <c r="K246" s="230"/>
      <c r="L246" s="230"/>
      <c r="M246" s="228"/>
      <c r="N246" s="257"/>
      <c r="O246" s="228"/>
      <c r="P246" s="228"/>
      <c r="Q246" s="258"/>
      <c r="R246" s="2381"/>
      <c r="S246" s="2381"/>
      <c r="T246" s="254"/>
      <c r="U246" s="228"/>
      <c r="V246" s="2357"/>
      <c r="W246" s="256"/>
      <c r="X246" s="248"/>
      <c r="Y246" s="248"/>
      <c r="Z246" s="248"/>
      <c r="AA246" s="247"/>
      <c r="AB246" s="248"/>
      <c r="AC246" s="248"/>
      <c r="AD246" s="194"/>
      <c r="AE246" s="249"/>
      <c r="AF246" s="250"/>
      <c r="AG246" s="251"/>
      <c r="AH246" s="252"/>
      <c r="AI246" s="241"/>
      <c r="AJ246" s="241"/>
      <c r="AK246" s="241"/>
      <c r="AL246" s="194"/>
      <c r="AM246" s="195"/>
      <c r="AN246" s="195"/>
    </row>
    <row r="247" spans="2:40">
      <c r="B247" s="253">
        <f t="shared" si="4"/>
        <v>239</v>
      </c>
      <c r="C247" s="244"/>
      <c r="D247" s="654"/>
      <c r="E247" s="466"/>
      <c r="F247" s="612"/>
      <c r="G247" s="2973"/>
      <c r="H247" s="230"/>
      <c r="I247" s="230"/>
      <c r="J247" s="230"/>
      <c r="K247" s="230"/>
      <c r="L247" s="230"/>
      <c r="M247" s="228"/>
      <c r="N247" s="257"/>
      <c r="O247" s="228"/>
      <c r="P247" s="228"/>
      <c r="Q247" s="258"/>
      <c r="R247" s="2381"/>
      <c r="S247" s="2381"/>
      <c r="T247" s="254"/>
      <c r="U247" s="228"/>
      <c r="V247" s="2357"/>
      <c r="W247" s="256"/>
      <c r="X247" s="248"/>
      <c r="Y247" s="248"/>
      <c r="Z247" s="248"/>
      <c r="AA247" s="247"/>
      <c r="AB247" s="248"/>
      <c r="AC247" s="248"/>
      <c r="AD247" s="194"/>
      <c r="AE247" s="249"/>
      <c r="AF247" s="250"/>
      <c r="AG247" s="251"/>
      <c r="AH247" s="252"/>
      <c r="AI247" s="241"/>
      <c r="AJ247" s="241"/>
      <c r="AK247" s="241"/>
      <c r="AL247" s="194"/>
      <c r="AM247" s="195"/>
      <c r="AN247" s="195"/>
    </row>
    <row r="248" spans="2:40">
      <c r="B248" s="253">
        <f t="shared" si="4"/>
        <v>240</v>
      </c>
      <c r="C248" s="244"/>
      <c r="D248" s="654"/>
      <c r="E248" s="466"/>
      <c r="F248" s="612"/>
      <c r="G248" s="2973"/>
      <c r="H248" s="230"/>
      <c r="I248" s="230"/>
      <c r="J248" s="230"/>
      <c r="K248" s="230"/>
      <c r="L248" s="230"/>
      <c r="M248" s="228"/>
      <c r="N248" s="257"/>
      <c r="O248" s="228"/>
      <c r="P248" s="228"/>
      <c r="Q248" s="258"/>
      <c r="R248" s="2381"/>
      <c r="S248" s="2381"/>
      <c r="T248" s="254"/>
      <c r="U248" s="228"/>
      <c r="V248" s="2357"/>
      <c r="W248" s="256"/>
      <c r="X248" s="248"/>
      <c r="Y248" s="248"/>
      <c r="Z248" s="248"/>
      <c r="AA248" s="247"/>
      <c r="AB248" s="248"/>
      <c r="AC248" s="248"/>
      <c r="AD248" s="194"/>
      <c r="AE248" s="249"/>
      <c r="AF248" s="250"/>
      <c r="AG248" s="251"/>
      <c r="AH248" s="252"/>
      <c r="AI248" s="241"/>
      <c r="AJ248" s="241"/>
      <c r="AK248" s="241"/>
      <c r="AL248" s="194"/>
      <c r="AM248" s="195"/>
      <c r="AN248" s="195"/>
    </row>
    <row r="249" spans="2:40">
      <c r="B249" s="253">
        <f t="shared" si="4"/>
        <v>241</v>
      </c>
      <c r="C249" s="244"/>
      <c r="D249" s="654"/>
      <c r="E249" s="466"/>
      <c r="F249" s="612"/>
      <c r="G249" s="2973"/>
      <c r="H249" s="230"/>
      <c r="I249" s="230"/>
      <c r="J249" s="230"/>
      <c r="K249" s="230"/>
      <c r="L249" s="230"/>
      <c r="M249" s="228"/>
      <c r="N249" s="257"/>
      <c r="O249" s="228"/>
      <c r="P249" s="228"/>
      <c r="Q249" s="258"/>
      <c r="R249" s="2381"/>
      <c r="S249" s="2381"/>
      <c r="T249" s="254"/>
      <c r="U249" s="228"/>
      <c r="V249" s="2357"/>
      <c r="W249" s="256"/>
      <c r="X249" s="248"/>
      <c r="Y249" s="248"/>
      <c r="Z249" s="248"/>
      <c r="AA249" s="247"/>
      <c r="AB249" s="248"/>
      <c r="AC249" s="248"/>
      <c r="AD249" s="194"/>
      <c r="AE249" s="249"/>
      <c r="AF249" s="250"/>
      <c r="AG249" s="251"/>
      <c r="AH249" s="252"/>
      <c r="AI249" s="241"/>
      <c r="AJ249" s="241"/>
      <c r="AK249" s="241"/>
      <c r="AL249" s="194"/>
      <c r="AM249" s="195"/>
      <c r="AN249" s="195"/>
    </row>
    <row r="250" spans="2:40">
      <c r="B250" s="253">
        <f t="shared" si="4"/>
        <v>242</v>
      </c>
      <c r="C250" s="244"/>
      <c r="D250" s="654"/>
      <c r="E250" s="466"/>
      <c r="F250" s="612"/>
      <c r="G250" s="2973"/>
      <c r="H250" s="230"/>
      <c r="I250" s="230"/>
      <c r="J250" s="230"/>
      <c r="K250" s="230"/>
      <c r="L250" s="230"/>
      <c r="M250" s="228"/>
      <c r="N250" s="257"/>
      <c r="O250" s="228"/>
      <c r="P250" s="228"/>
      <c r="Q250" s="258"/>
      <c r="R250" s="2381"/>
      <c r="S250" s="2381"/>
      <c r="T250" s="254"/>
      <c r="U250" s="228"/>
      <c r="V250" s="2357"/>
      <c r="W250" s="256"/>
      <c r="X250" s="248"/>
      <c r="Y250" s="248"/>
      <c r="Z250" s="248"/>
      <c r="AA250" s="247"/>
      <c r="AB250" s="248"/>
      <c r="AC250" s="248"/>
      <c r="AD250" s="194"/>
      <c r="AE250" s="249"/>
      <c r="AF250" s="250"/>
      <c r="AG250" s="251"/>
      <c r="AH250" s="252"/>
      <c r="AI250" s="241"/>
      <c r="AJ250" s="241"/>
      <c r="AK250" s="241"/>
      <c r="AL250" s="194"/>
      <c r="AM250" s="195"/>
      <c r="AN250" s="195"/>
    </row>
    <row r="251" spans="2:40">
      <c r="B251" s="253">
        <f t="shared" si="4"/>
        <v>243</v>
      </c>
      <c r="C251" s="244"/>
      <c r="D251" s="654"/>
      <c r="E251" s="466"/>
      <c r="F251" s="612"/>
      <c r="G251" s="2973"/>
      <c r="H251" s="230"/>
      <c r="I251" s="230"/>
      <c r="J251" s="230"/>
      <c r="K251" s="230"/>
      <c r="L251" s="230"/>
      <c r="M251" s="228"/>
      <c r="N251" s="257"/>
      <c r="O251" s="228"/>
      <c r="P251" s="228"/>
      <c r="Q251" s="258"/>
      <c r="R251" s="2381"/>
      <c r="S251" s="2381"/>
      <c r="T251" s="254"/>
      <c r="U251" s="228"/>
      <c r="V251" s="2357"/>
      <c r="W251" s="256"/>
      <c r="X251" s="248"/>
      <c r="Y251" s="248"/>
      <c r="Z251" s="248"/>
      <c r="AA251" s="247"/>
      <c r="AB251" s="248"/>
      <c r="AC251" s="248"/>
      <c r="AD251" s="194"/>
      <c r="AE251" s="249"/>
      <c r="AF251" s="250"/>
      <c r="AG251" s="251"/>
      <c r="AH251" s="252"/>
      <c r="AI251" s="241"/>
      <c r="AJ251" s="241"/>
      <c r="AK251" s="241"/>
      <c r="AL251" s="194"/>
      <c r="AM251" s="195"/>
      <c r="AN251" s="195"/>
    </row>
    <row r="252" spans="2:40">
      <c r="B252" s="253">
        <f t="shared" si="4"/>
        <v>244</v>
      </c>
      <c r="C252" s="244"/>
      <c r="D252" s="654"/>
      <c r="E252" s="466"/>
      <c r="F252" s="612"/>
      <c r="G252" s="2973"/>
      <c r="H252" s="230"/>
      <c r="I252" s="230"/>
      <c r="J252" s="230"/>
      <c r="K252" s="230"/>
      <c r="L252" s="230"/>
      <c r="M252" s="228"/>
      <c r="N252" s="257"/>
      <c r="O252" s="228"/>
      <c r="P252" s="228"/>
      <c r="Q252" s="258"/>
      <c r="R252" s="2381"/>
      <c r="S252" s="2381"/>
      <c r="T252" s="254"/>
      <c r="U252" s="228"/>
      <c r="V252" s="2357"/>
      <c r="W252" s="256"/>
      <c r="X252" s="248"/>
      <c r="Y252" s="248"/>
      <c r="Z252" s="248"/>
      <c r="AA252" s="247"/>
      <c r="AB252" s="248"/>
      <c r="AC252" s="248"/>
      <c r="AD252" s="194"/>
      <c r="AE252" s="249"/>
      <c r="AF252" s="250"/>
      <c r="AG252" s="251"/>
      <c r="AH252" s="252"/>
      <c r="AI252" s="241"/>
      <c r="AJ252" s="241"/>
      <c r="AK252" s="241"/>
      <c r="AL252" s="194"/>
      <c r="AM252" s="195"/>
      <c r="AN252" s="195"/>
    </row>
    <row r="253" spans="2:40">
      <c r="B253" s="253">
        <f t="shared" si="4"/>
        <v>245</v>
      </c>
      <c r="C253" s="244"/>
      <c r="D253" s="654"/>
      <c r="E253" s="466"/>
      <c r="F253" s="612"/>
      <c r="G253" s="2973"/>
      <c r="H253" s="230"/>
      <c r="I253" s="230"/>
      <c r="J253" s="230"/>
      <c r="K253" s="230"/>
      <c r="L253" s="230"/>
      <c r="M253" s="228"/>
      <c r="N253" s="257"/>
      <c r="O253" s="228"/>
      <c r="P253" s="228"/>
      <c r="Q253" s="258"/>
      <c r="R253" s="2381"/>
      <c r="S253" s="2381"/>
      <c r="T253" s="254"/>
      <c r="U253" s="228"/>
      <c r="V253" s="2357"/>
      <c r="W253" s="256"/>
      <c r="X253" s="248"/>
      <c r="Y253" s="248"/>
      <c r="Z253" s="248"/>
      <c r="AA253" s="247"/>
      <c r="AB253" s="248"/>
      <c r="AC253" s="248"/>
      <c r="AD253" s="194"/>
      <c r="AE253" s="249"/>
      <c r="AF253" s="250"/>
      <c r="AG253" s="251"/>
      <c r="AH253" s="252"/>
      <c r="AI253" s="241"/>
      <c r="AJ253" s="241"/>
      <c r="AK253" s="241"/>
      <c r="AL253" s="194"/>
      <c r="AM253" s="195"/>
      <c r="AN253" s="195"/>
    </row>
    <row r="254" spans="2:40">
      <c r="B254" s="253">
        <f t="shared" si="4"/>
        <v>246</v>
      </c>
      <c r="C254" s="244"/>
      <c r="D254" s="654"/>
      <c r="E254" s="466"/>
      <c r="F254" s="612"/>
      <c r="G254" s="2973"/>
      <c r="H254" s="230"/>
      <c r="I254" s="230"/>
      <c r="J254" s="230"/>
      <c r="K254" s="230"/>
      <c r="L254" s="230"/>
      <c r="M254" s="228"/>
      <c r="N254" s="257"/>
      <c r="O254" s="228"/>
      <c r="P254" s="228"/>
      <c r="Q254" s="258"/>
      <c r="R254" s="2381"/>
      <c r="S254" s="2381"/>
      <c r="T254" s="254"/>
      <c r="U254" s="228"/>
      <c r="V254" s="2357"/>
      <c r="W254" s="256"/>
      <c r="X254" s="248"/>
      <c r="Y254" s="248"/>
      <c r="Z254" s="248"/>
      <c r="AA254" s="247"/>
      <c r="AB254" s="248"/>
      <c r="AC254" s="248"/>
      <c r="AD254" s="194"/>
      <c r="AE254" s="249"/>
      <c r="AF254" s="250"/>
      <c r="AG254" s="251"/>
      <c r="AH254" s="252"/>
      <c r="AI254" s="241"/>
      <c r="AJ254" s="241"/>
      <c r="AK254" s="241"/>
      <c r="AL254" s="194"/>
      <c r="AM254" s="195"/>
      <c r="AN254" s="195"/>
    </row>
    <row r="255" spans="2:40">
      <c r="B255" s="253">
        <f t="shared" si="4"/>
        <v>247</v>
      </c>
      <c r="C255" s="244"/>
      <c r="D255" s="654"/>
      <c r="E255" s="466"/>
      <c r="F255" s="612"/>
      <c r="G255" s="2973"/>
      <c r="H255" s="230"/>
      <c r="I255" s="230"/>
      <c r="J255" s="230"/>
      <c r="K255" s="230"/>
      <c r="L255" s="230"/>
      <c r="M255" s="228"/>
      <c r="N255" s="257"/>
      <c r="O255" s="228"/>
      <c r="P255" s="228"/>
      <c r="Q255" s="258"/>
      <c r="R255" s="2381"/>
      <c r="S255" s="2381"/>
      <c r="T255" s="254"/>
      <c r="U255" s="228"/>
      <c r="V255" s="2357"/>
      <c r="W255" s="256"/>
      <c r="X255" s="248"/>
      <c r="Y255" s="248"/>
      <c r="Z255" s="248"/>
      <c r="AA255" s="247"/>
      <c r="AB255" s="248"/>
      <c r="AC255" s="248"/>
      <c r="AD255" s="194"/>
      <c r="AE255" s="249"/>
      <c r="AF255" s="250"/>
      <c r="AG255" s="251"/>
      <c r="AH255" s="252"/>
      <c r="AI255" s="241"/>
      <c r="AJ255" s="241"/>
      <c r="AK255" s="241"/>
      <c r="AL255" s="194"/>
      <c r="AM255" s="195"/>
      <c r="AN255" s="195"/>
    </row>
    <row r="256" spans="2:40">
      <c r="B256" s="253">
        <f t="shared" si="4"/>
        <v>248</v>
      </c>
      <c r="C256" s="244"/>
      <c r="D256" s="654"/>
      <c r="E256" s="466"/>
      <c r="F256" s="612"/>
      <c r="G256" s="2973"/>
      <c r="H256" s="230"/>
      <c r="I256" s="230"/>
      <c r="J256" s="230"/>
      <c r="K256" s="230"/>
      <c r="L256" s="230"/>
      <c r="M256" s="228"/>
      <c r="N256" s="257"/>
      <c r="O256" s="228"/>
      <c r="P256" s="228"/>
      <c r="Q256" s="258"/>
      <c r="R256" s="2381"/>
      <c r="S256" s="2381"/>
      <c r="T256" s="254"/>
      <c r="U256" s="228"/>
      <c r="V256" s="2357"/>
      <c r="W256" s="256"/>
      <c r="X256" s="248"/>
      <c r="Y256" s="248"/>
      <c r="Z256" s="248"/>
      <c r="AA256" s="247"/>
      <c r="AB256" s="248"/>
      <c r="AC256" s="248"/>
      <c r="AD256" s="194"/>
      <c r="AE256" s="249"/>
      <c r="AF256" s="250"/>
      <c r="AG256" s="251"/>
      <c r="AH256" s="252"/>
      <c r="AI256" s="241"/>
      <c r="AJ256" s="241"/>
      <c r="AK256" s="241"/>
      <c r="AL256" s="194"/>
      <c r="AM256" s="195"/>
      <c r="AN256" s="195"/>
    </row>
    <row r="257" spans="2:40">
      <c r="B257" s="253">
        <f t="shared" si="4"/>
        <v>249</v>
      </c>
      <c r="C257" s="244"/>
      <c r="D257" s="654"/>
      <c r="E257" s="466"/>
      <c r="F257" s="612"/>
      <c r="G257" s="2973"/>
      <c r="H257" s="230"/>
      <c r="I257" s="230"/>
      <c r="J257" s="230"/>
      <c r="K257" s="230"/>
      <c r="L257" s="230"/>
      <c r="M257" s="228"/>
      <c r="N257" s="257"/>
      <c r="O257" s="228"/>
      <c r="P257" s="228"/>
      <c r="Q257" s="258"/>
      <c r="R257" s="2381"/>
      <c r="S257" s="2381"/>
      <c r="T257" s="254"/>
      <c r="U257" s="228"/>
      <c r="V257" s="2357"/>
      <c r="W257" s="256"/>
      <c r="X257" s="248"/>
      <c r="Y257" s="248"/>
      <c r="Z257" s="248"/>
      <c r="AA257" s="247"/>
      <c r="AB257" s="248"/>
      <c r="AC257" s="248"/>
      <c r="AD257" s="194"/>
      <c r="AE257" s="249"/>
      <c r="AF257" s="250"/>
      <c r="AG257" s="251"/>
      <c r="AH257" s="252"/>
      <c r="AI257" s="241"/>
      <c r="AJ257" s="241"/>
      <c r="AK257" s="241"/>
      <c r="AL257" s="194"/>
      <c r="AM257" s="195"/>
      <c r="AN257" s="195"/>
    </row>
    <row r="258" spans="2:40">
      <c r="B258" s="253">
        <f t="shared" si="4"/>
        <v>250</v>
      </c>
      <c r="C258" s="244"/>
      <c r="D258" s="654"/>
      <c r="E258" s="466"/>
      <c r="F258" s="612"/>
      <c r="G258" s="2973"/>
      <c r="H258" s="230"/>
      <c r="I258" s="230"/>
      <c r="J258" s="230"/>
      <c r="K258" s="230"/>
      <c r="L258" s="230"/>
      <c r="M258" s="228"/>
      <c r="N258" s="257"/>
      <c r="O258" s="228"/>
      <c r="P258" s="228"/>
      <c r="Q258" s="258"/>
      <c r="R258" s="2381"/>
      <c r="S258" s="2381"/>
      <c r="T258" s="254"/>
      <c r="U258" s="228"/>
      <c r="V258" s="2357"/>
      <c r="W258" s="256"/>
      <c r="X258" s="248"/>
      <c r="Y258" s="248"/>
      <c r="Z258" s="248"/>
      <c r="AA258" s="247"/>
      <c r="AB258" s="248"/>
      <c r="AC258" s="248"/>
      <c r="AD258" s="194"/>
      <c r="AE258" s="249"/>
      <c r="AF258" s="250"/>
      <c r="AG258" s="251"/>
      <c r="AH258" s="252"/>
      <c r="AI258" s="241"/>
      <c r="AJ258" s="241"/>
      <c r="AK258" s="241"/>
      <c r="AL258" s="194"/>
      <c r="AM258" s="195"/>
      <c r="AN258" s="195"/>
    </row>
    <row r="259" spans="2:40">
      <c r="B259" s="253">
        <f t="shared" si="4"/>
        <v>251</v>
      </c>
      <c r="C259" s="244"/>
      <c r="D259" s="654"/>
      <c r="E259" s="466"/>
      <c r="F259" s="612"/>
      <c r="G259" s="2973"/>
      <c r="H259" s="230"/>
      <c r="I259" s="230"/>
      <c r="J259" s="230"/>
      <c r="K259" s="230"/>
      <c r="L259" s="230"/>
      <c r="M259" s="228"/>
      <c r="N259" s="257"/>
      <c r="O259" s="228"/>
      <c r="P259" s="228"/>
      <c r="Q259" s="258"/>
      <c r="R259" s="2381"/>
      <c r="S259" s="2381"/>
      <c r="T259" s="254"/>
      <c r="U259" s="228"/>
      <c r="V259" s="2357"/>
      <c r="W259" s="256"/>
      <c r="X259" s="248"/>
      <c r="Y259" s="248"/>
      <c r="Z259" s="248"/>
      <c r="AA259" s="247"/>
      <c r="AB259" s="248"/>
      <c r="AC259" s="248"/>
      <c r="AD259" s="194"/>
      <c r="AE259" s="249"/>
      <c r="AF259" s="250"/>
      <c r="AG259" s="251"/>
      <c r="AH259" s="252"/>
      <c r="AI259" s="241"/>
      <c r="AJ259" s="241"/>
      <c r="AK259" s="241"/>
      <c r="AL259" s="194"/>
      <c r="AM259" s="195"/>
      <c r="AN259" s="195"/>
    </row>
    <row r="260" spans="2:40">
      <c r="B260" s="253">
        <f t="shared" si="4"/>
        <v>252</v>
      </c>
      <c r="C260" s="244"/>
      <c r="D260" s="654"/>
      <c r="E260" s="466"/>
      <c r="F260" s="612"/>
      <c r="G260" s="2973"/>
      <c r="H260" s="230"/>
      <c r="I260" s="230"/>
      <c r="J260" s="230"/>
      <c r="K260" s="230"/>
      <c r="L260" s="230"/>
      <c r="M260" s="228"/>
      <c r="N260" s="257"/>
      <c r="O260" s="228"/>
      <c r="P260" s="228"/>
      <c r="Q260" s="258"/>
      <c r="R260" s="2381"/>
      <c r="S260" s="2381"/>
      <c r="T260" s="254"/>
      <c r="U260" s="228"/>
      <c r="V260" s="2357"/>
      <c r="W260" s="256"/>
      <c r="X260" s="248"/>
      <c r="Y260" s="248"/>
      <c r="Z260" s="248"/>
      <c r="AA260" s="247"/>
      <c r="AB260" s="248"/>
      <c r="AC260" s="248"/>
      <c r="AD260" s="194"/>
      <c r="AE260" s="249"/>
      <c r="AF260" s="250"/>
      <c r="AG260" s="251"/>
      <c r="AH260" s="252"/>
      <c r="AI260" s="241"/>
      <c r="AJ260" s="241"/>
      <c r="AK260" s="241"/>
      <c r="AL260" s="194"/>
      <c r="AM260" s="195"/>
      <c r="AN260" s="195"/>
    </row>
    <row r="261" spans="2:40">
      <c r="B261" s="253">
        <f t="shared" si="4"/>
        <v>253</v>
      </c>
      <c r="C261" s="244"/>
      <c r="D261" s="654"/>
      <c r="E261" s="466"/>
      <c r="F261" s="612"/>
      <c r="G261" s="2973"/>
      <c r="H261" s="230"/>
      <c r="I261" s="230"/>
      <c r="J261" s="230"/>
      <c r="K261" s="230"/>
      <c r="L261" s="230"/>
      <c r="M261" s="228"/>
      <c r="N261" s="257"/>
      <c r="O261" s="228"/>
      <c r="P261" s="228"/>
      <c r="Q261" s="258"/>
      <c r="R261" s="2381"/>
      <c r="S261" s="2381"/>
      <c r="T261" s="254"/>
      <c r="U261" s="228"/>
      <c r="V261" s="2357"/>
      <c r="W261" s="256"/>
      <c r="X261" s="248"/>
      <c r="Y261" s="248"/>
      <c r="Z261" s="248"/>
      <c r="AA261" s="247"/>
      <c r="AB261" s="248"/>
      <c r="AC261" s="248"/>
      <c r="AD261" s="194"/>
      <c r="AE261" s="249"/>
      <c r="AF261" s="250"/>
      <c r="AG261" s="251"/>
      <c r="AH261" s="252"/>
      <c r="AI261" s="241"/>
      <c r="AJ261" s="241"/>
      <c r="AK261" s="241"/>
      <c r="AL261" s="194"/>
      <c r="AM261" s="195"/>
      <c r="AN261" s="195"/>
    </row>
    <row r="262" spans="2:40">
      <c r="B262" s="253">
        <f t="shared" si="4"/>
        <v>254</v>
      </c>
      <c r="C262" s="244"/>
      <c r="D262" s="654"/>
      <c r="E262" s="466"/>
      <c r="F262" s="612"/>
      <c r="G262" s="2973"/>
      <c r="H262" s="230"/>
      <c r="I262" s="230"/>
      <c r="J262" s="230"/>
      <c r="K262" s="230"/>
      <c r="L262" s="230"/>
      <c r="M262" s="228"/>
      <c r="N262" s="257"/>
      <c r="O262" s="228"/>
      <c r="P262" s="228"/>
      <c r="Q262" s="258"/>
      <c r="R262" s="2381"/>
      <c r="S262" s="2381"/>
      <c r="T262" s="254"/>
      <c r="U262" s="228"/>
      <c r="V262" s="2357"/>
      <c r="W262" s="256"/>
      <c r="X262" s="248"/>
      <c r="Y262" s="248"/>
      <c r="Z262" s="248"/>
      <c r="AA262" s="247"/>
      <c r="AB262" s="248"/>
      <c r="AC262" s="248"/>
      <c r="AD262" s="194"/>
      <c r="AE262" s="249"/>
      <c r="AF262" s="250"/>
      <c r="AG262" s="251"/>
      <c r="AH262" s="252"/>
      <c r="AI262" s="241"/>
      <c r="AJ262" s="241"/>
      <c r="AK262" s="241"/>
      <c r="AL262" s="194"/>
      <c r="AM262" s="195"/>
      <c r="AN262" s="195"/>
    </row>
    <row r="263" spans="2:40">
      <c r="B263" s="253">
        <f t="shared" si="4"/>
        <v>255</v>
      </c>
      <c r="C263" s="244"/>
      <c r="D263" s="654"/>
      <c r="E263" s="466"/>
      <c r="F263" s="612"/>
      <c r="G263" s="2973"/>
      <c r="H263" s="230"/>
      <c r="I263" s="230"/>
      <c r="J263" s="230"/>
      <c r="K263" s="230"/>
      <c r="L263" s="230"/>
      <c r="M263" s="228"/>
      <c r="N263" s="257"/>
      <c r="O263" s="228"/>
      <c r="P263" s="228"/>
      <c r="Q263" s="258"/>
      <c r="R263" s="2381"/>
      <c r="S263" s="2381"/>
      <c r="T263" s="254"/>
      <c r="U263" s="228"/>
      <c r="V263" s="2357"/>
      <c r="W263" s="256"/>
      <c r="X263" s="248"/>
      <c r="Y263" s="248"/>
      <c r="Z263" s="248"/>
      <c r="AA263" s="247"/>
      <c r="AB263" s="248"/>
      <c r="AC263" s="248"/>
      <c r="AD263" s="194"/>
      <c r="AE263" s="249"/>
      <c r="AF263" s="250"/>
      <c r="AG263" s="251"/>
      <c r="AH263" s="252"/>
      <c r="AI263" s="241"/>
      <c r="AJ263" s="241"/>
      <c r="AK263" s="241"/>
      <c r="AL263" s="194"/>
      <c r="AM263" s="195"/>
      <c r="AN263" s="195"/>
    </row>
    <row r="264" spans="2:40">
      <c r="B264" s="253">
        <f t="shared" si="4"/>
        <v>256</v>
      </c>
      <c r="C264" s="244"/>
      <c r="D264" s="654"/>
      <c r="E264" s="466"/>
      <c r="F264" s="612"/>
      <c r="G264" s="2973"/>
      <c r="H264" s="230"/>
      <c r="I264" s="230"/>
      <c r="J264" s="230"/>
      <c r="K264" s="230"/>
      <c r="L264" s="230"/>
      <c r="M264" s="228"/>
      <c r="N264" s="257"/>
      <c r="O264" s="228"/>
      <c r="P264" s="228"/>
      <c r="Q264" s="258"/>
      <c r="R264" s="2381"/>
      <c r="S264" s="2381"/>
      <c r="T264" s="254"/>
      <c r="U264" s="228"/>
      <c r="V264" s="2357"/>
      <c r="W264" s="256"/>
      <c r="X264" s="248"/>
      <c r="Y264" s="248"/>
      <c r="Z264" s="248"/>
      <c r="AA264" s="247"/>
      <c r="AB264" s="248"/>
      <c r="AC264" s="248"/>
      <c r="AD264" s="194"/>
      <c r="AE264" s="249"/>
      <c r="AF264" s="250"/>
      <c r="AG264" s="251"/>
      <c r="AH264" s="252"/>
      <c r="AI264" s="241"/>
      <c r="AJ264" s="241"/>
      <c r="AK264" s="241"/>
      <c r="AL264" s="194"/>
      <c r="AM264" s="195"/>
      <c r="AN264" s="195"/>
    </row>
    <row r="265" spans="2:40">
      <c r="B265" s="253">
        <f t="shared" si="4"/>
        <v>257</v>
      </c>
      <c r="C265" s="244"/>
      <c r="D265" s="654"/>
      <c r="E265" s="466"/>
      <c r="F265" s="612"/>
      <c r="G265" s="2973"/>
      <c r="H265" s="230"/>
      <c r="I265" s="230"/>
      <c r="J265" s="230"/>
      <c r="K265" s="230"/>
      <c r="L265" s="230"/>
      <c r="M265" s="228"/>
      <c r="N265" s="257"/>
      <c r="O265" s="228"/>
      <c r="P265" s="228"/>
      <c r="Q265" s="258"/>
      <c r="R265" s="2381"/>
      <c r="S265" s="2381"/>
      <c r="T265" s="254"/>
      <c r="U265" s="228"/>
      <c r="V265" s="2357"/>
      <c r="W265" s="256"/>
      <c r="X265" s="248"/>
      <c r="Y265" s="248"/>
      <c r="Z265" s="248"/>
      <c r="AA265" s="247"/>
      <c r="AB265" s="248"/>
      <c r="AC265" s="248"/>
      <c r="AD265" s="194"/>
      <c r="AE265" s="249"/>
      <c r="AF265" s="250"/>
      <c r="AG265" s="251"/>
      <c r="AH265" s="252"/>
      <c r="AI265" s="241"/>
      <c r="AJ265" s="241"/>
      <c r="AK265" s="241"/>
      <c r="AL265" s="194"/>
      <c r="AM265" s="195"/>
      <c r="AN265" s="195"/>
    </row>
    <row r="266" spans="2:40">
      <c r="B266" s="253">
        <f t="shared" si="4"/>
        <v>258</v>
      </c>
      <c r="C266" s="244"/>
      <c r="D266" s="654"/>
      <c r="E266" s="466"/>
      <c r="F266" s="612"/>
      <c r="G266" s="2973"/>
      <c r="H266" s="230"/>
      <c r="I266" s="230"/>
      <c r="J266" s="230"/>
      <c r="K266" s="230"/>
      <c r="L266" s="230"/>
      <c r="M266" s="228"/>
      <c r="N266" s="257"/>
      <c r="O266" s="228"/>
      <c r="P266" s="228"/>
      <c r="Q266" s="258"/>
      <c r="R266" s="2381"/>
      <c r="S266" s="2381"/>
      <c r="T266" s="254"/>
      <c r="U266" s="228"/>
      <c r="V266" s="2357"/>
      <c r="W266" s="256"/>
      <c r="X266" s="248"/>
      <c r="Y266" s="248"/>
      <c r="Z266" s="248"/>
      <c r="AA266" s="247"/>
      <c r="AB266" s="248"/>
      <c r="AC266" s="248"/>
      <c r="AD266" s="194"/>
      <c r="AE266" s="249"/>
      <c r="AF266" s="250"/>
      <c r="AG266" s="251"/>
      <c r="AH266" s="252"/>
      <c r="AI266" s="241"/>
      <c r="AJ266" s="241"/>
      <c r="AK266" s="241"/>
      <c r="AL266" s="194"/>
      <c r="AM266" s="195"/>
      <c r="AN266" s="195"/>
    </row>
    <row r="267" spans="2:40">
      <c r="B267" s="253">
        <f t="shared" si="4"/>
        <v>259</v>
      </c>
      <c r="C267" s="244"/>
      <c r="D267" s="654"/>
      <c r="E267" s="466"/>
      <c r="F267" s="612"/>
      <c r="G267" s="2973"/>
      <c r="H267" s="230"/>
      <c r="I267" s="230"/>
      <c r="J267" s="230"/>
      <c r="K267" s="230"/>
      <c r="L267" s="230"/>
      <c r="M267" s="228"/>
      <c r="N267" s="257"/>
      <c r="O267" s="228"/>
      <c r="P267" s="228"/>
      <c r="Q267" s="258"/>
      <c r="R267" s="2381"/>
      <c r="S267" s="2381"/>
      <c r="T267" s="254"/>
      <c r="U267" s="228"/>
      <c r="V267" s="2357"/>
      <c r="W267" s="256"/>
      <c r="X267" s="248"/>
      <c r="Y267" s="248"/>
      <c r="Z267" s="248"/>
      <c r="AA267" s="247"/>
      <c r="AB267" s="248"/>
      <c r="AC267" s="248"/>
      <c r="AD267" s="194"/>
      <c r="AE267" s="249"/>
      <c r="AF267" s="250"/>
      <c r="AG267" s="251"/>
      <c r="AH267" s="252"/>
      <c r="AI267" s="241"/>
      <c r="AJ267" s="241"/>
      <c r="AK267" s="241"/>
      <c r="AL267" s="194"/>
      <c r="AM267" s="195"/>
      <c r="AN267" s="195"/>
    </row>
    <row r="268" spans="2:40">
      <c r="B268" s="253">
        <f t="shared" si="4"/>
        <v>260</v>
      </c>
      <c r="C268" s="244"/>
      <c r="D268" s="654"/>
      <c r="E268" s="466"/>
      <c r="F268" s="612"/>
      <c r="G268" s="2973"/>
      <c r="H268" s="230"/>
      <c r="I268" s="230"/>
      <c r="J268" s="230"/>
      <c r="K268" s="230"/>
      <c r="L268" s="230"/>
      <c r="M268" s="228"/>
      <c r="N268" s="257"/>
      <c r="O268" s="228"/>
      <c r="P268" s="228"/>
      <c r="Q268" s="258"/>
      <c r="R268" s="2381"/>
      <c r="S268" s="2381"/>
      <c r="T268" s="254"/>
      <c r="U268" s="228"/>
      <c r="V268" s="2357"/>
      <c r="W268" s="256"/>
      <c r="X268" s="248"/>
      <c r="Y268" s="248"/>
      <c r="Z268" s="248"/>
      <c r="AA268" s="247"/>
      <c r="AB268" s="248"/>
      <c r="AC268" s="248"/>
      <c r="AD268" s="194"/>
      <c r="AE268" s="249"/>
      <c r="AF268" s="250"/>
      <c r="AG268" s="251"/>
      <c r="AH268" s="252"/>
      <c r="AI268" s="241"/>
      <c r="AJ268" s="241"/>
      <c r="AK268" s="241"/>
      <c r="AL268" s="194"/>
      <c r="AM268" s="195"/>
      <c r="AN268" s="195"/>
    </row>
    <row r="269" spans="2:40">
      <c r="B269" s="253">
        <f t="shared" si="4"/>
        <v>261</v>
      </c>
      <c r="C269" s="244"/>
      <c r="D269" s="654"/>
      <c r="E269" s="466"/>
      <c r="F269" s="612"/>
      <c r="G269" s="2973"/>
      <c r="H269" s="230"/>
      <c r="I269" s="230"/>
      <c r="J269" s="230"/>
      <c r="K269" s="230"/>
      <c r="L269" s="230"/>
      <c r="M269" s="228"/>
      <c r="N269" s="257"/>
      <c r="O269" s="228"/>
      <c r="P269" s="228"/>
      <c r="Q269" s="258"/>
      <c r="R269" s="2381"/>
      <c r="S269" s="2381"/>
      <c r="T269" s="254"/>
      <c r="U269" s="228"/>
      <c r="V269" s="2357"/>
      <c r="W269" s="256"/>
      <c r="X269" s="248"/>
      <c r="Y269" s="248"/>
      <c r="Z269" s="248"/>
      <c r="AA269" s="247"/>
      <c r="AB269" s="248"/>
      <c r="AC269" s="248"/>
      <c r="AD269" s="194"/>
      <c r="AE269" s="249"/>
      <c r="AF269" s="250"/>
      <c r="AG269" s="251"/>
      <c r="AH269" s="252"/>
      <c r="AI269" s="241"/>
      <c r="AJ269" s="241"/>
      <c r="AK269" s="241"/>
      <c r="AL269" s="194"/>
      <c r="AM269" s="195"/>
      <c r="AN269" s="195"/>
    </row>
    <row r="270" spans="2:40">
      <c r="B270" s="253">
        <f t="shared" si="4"/>
        <v>262</v>
      </c>
      <c r="C270" s="244"/>
      <c r="D270" s="654"/>
      <c r="E270" s="466"/>
      <c r="F270" s="612"/>
      <c r="G270" s="2973"/>
      <c r="H270" s="230"/>
      <c r="I270" s="230"/>
      <c r="J270" s="230"/>
      <c r="K270" s="230"/>
      <c r="L270" s="230"/>
      <c r="M270" s="228"/>
      <c r="N270" s="257"/>
      <c r="O270" s="228"/>
      <c r="P270" s="228"/>
      <c r="Q270" s="258"/>
      <c r="R270" s="2381"/>
      <c r="S270" s="2381"/>
      <c r="T270" s="254"/>
      <c r="U270" s="228"/>
      <c r="V270" s="2357"/>
      <c r="W270" s="256"/>
      <c r="X270" s="248"/>
      <c r="Y270" s="248"/>
      <c r="Z270" s="248"/>
      <c r="AA270" s="247"/>
      <c r="AB270" s="248"/>
      <c r="AC270" s="248"/>
      <c r="AD270" s="194"/>
      <c r="AE270" s="249"/>
      <c r="AF270" s="250"/>
      <c r="AG270" s="251"/>
      <c r="AH270" s="252"/>
      <c r="AI270" s="241"/>
      <c r="AJ270" s="241"/>
      <c r="AK270" s="241"/>
      <c r="AL270" s="194"/>
      <c r="AM270" s="195"/>
      <c r="AN270" s="195"/>
    </row>
    <row r="271" spans="2:40">
      <c r="B271" s="253">
        <f t="shared" si="4"/>
        <v>263</v>
      </c>
      <c r="C271" s="244"/>
      <c r="D271" s="654"/>
      <c r="E271" s="466"/>
      <c r="F271" s="612"/>
      <c r="G271" s="2973"/>
      <c r="H271" s="230"/>
      <c r="I271" s="230"/>
      <c r="J271" s="230"/>
      <c r="K271" s="230"/>
      <c r="L271" s="230"/>
      <c r="M271" s="228"/>
      <c r="N271" s="257"/>
      <c r="O271" s="228"/>
      <c r="P271" s="228"/>
      <c r="Q271" s="258"/>
      <c r="R271" s="2381"/>
      <c r="S271" s="2381"/>
      <c r="T271" s="254"/>
      <c r="U271" s="228"/>
      <c r="V271" s="2357"/>
      <c r="W271" s="256"/>
      <c r="X271" s="248"/>
      <c r="Y271" s="248"/>
      <c r="Z271" s="248"/>
      <c r="AA271" s="247"/>
      <c r="AB271" s="248"/>
      <c r="AC271" s="248"/>
      <c r="AD271" s="194"/>
      <c r="AE271" s="249"/>
      <c r="AF271" s="250"/>
      <c r="AG271" s="251"/>
      <c r="AH271" s="252"/>
      <c r="AI271" s="241"/>
      <c r="AJ271" s="241"/>
      <c r="AK271" s="241"/>
      <c r="AL271" s="194"/>
      <c r="AM271" s="195"/>
      <c r="AN271" s="195"/>
    </row>
    <row r="272" spans="2:40">
      <c r="B272" s="253">
        <f t="shared" si="4"/>
        <v>264</v>
      </c>
      <c r="C272" s="244"/>
      <c r="D272" s="654"/>
      <c r="E272" s="466"/>
      <c r="F272" s="612"/>
      <c r="G272" s="2973"/>
      <c r="H272" s="230"/>
      <c r="I272" s="230"/>
      <c r="J272" s="230"/>
      <c r="K272" s="230"/>
      <c r="L272" s="230"/>
      <c r="M272" s="228"/>
      <c r="N272" s="257"/>
      <c r="O272" s="228"/>
      <c r="P272" s="228"/>
      <c r="Q272" s="258"/>
      <c r="R272" s="2381"/>
      <c r="S272" s="2381"/>
      <c r="T272" s="254"/>
      <c r="U272" s="228"/>
      <c r="V272" s="2357"/>
      <c r="W272" s="256"/>
      <c r="X272" s="248"/>
      <c r="Y272" s="248"/>
      <c r="Z272" s="248"/>
      <c r="AA272" s="247"/>
      <c r="AB272" s="248"/>
      <c r="AC272" s="248"/>
      <c r="AD272" s="194"/>
      <c r="AE272" s="249"/>
      <c r="AF272" s="250"/>
      <c r="AG272" s="251"/>
      <c r="AH272" s="252"/>
      <c r="AI272" s="241"/>
      <c r="AJ272" s="241"/>
      <c r="AK272" s="241"/>
      <c r="AL272" s="194"/>
      <c r="AM272" s="195"/>
      <c r="AN272" s="195"/>
    </row>
    <row r="273" spans="2:40">
      <c r="B273" s="253">
        <f t="shared" si="4"/>
        <v>265</v>
      </c>
      <c r="C273" s="244"/>
      <c r="D273" s="654"/>
      <c r="E273" s="466"/>
      <c r="F273" s="612"/>
      <c r="G273" s="2973"/>
      <c r="H273" s="230"/>
      <c r="I273" s="230"/>
      <c r="J273" s="230"/>
      <c r="K273" s="230"/>
      <c r="L273" s="230"/>
      <c r="M273" s="228"/>
      <c r="N273" s="257"/>
      <c r="O273" s="228"/>
      <c r="P273" s="228"/>
      <c r="Q273" s="258"/>
      <c r="R273" s="2381"/>
      <c r="S273" s="2381"/>
      <c r="T273" s="254"/>
      <c r="U273" s="228"/>
      <c r="V273" s="2357"/>
      <c r="W273" s="256"/>
      <c r="X273" s="248"/>
      <c r="Y273" s="248"/>
      <c r="Z273" s="248"/>
      <c r="AA273" s="247"/>
      <c r="AB273" s="248"/>
      <c r="AC273" s="248"/>
      <c r="AD273" s="194"/>
      <c r="AE273" s="249"/>
      <c r="AF273" s="250"/>
      <c r="AG273" s="251"/>
      <c r="AH273" s="252"/>
      <c r="AI273" s="241"/>
      <c r="AJ273" s="241"/>
      <c r="AK273" s="241"/>
      <c r="AL273" s="194"/>
      <c r="AM273" s="195"/>
      <c r="AN273" s="195"/>
    </row>
    <row r="274" spans="2:40">
      <c r="B274" s="253">
        <f t="shared" si="4"/>
        <v>266</v>
      </c>
      <c r="C274" s="244"/>
      <c r="D274" s="654"/>
      <c r="E274" s="466"/>
      <c r="F274" s="612"/>
      <c r="G274" s="2973"/>
      <c r="H274" s="230"/>
      <c r="I274" s="230"/>
      <c r="J274" s="230"/>
      <c r="K274" s="230"/>
      <c r="L274" s="230"/>
      <c r="M274" s="228"/>
      <c r="N274" s="257"/>
      <c r="O274" s="228"/>
      <c r="P274" s="228"/>
      <c r="Q274" s="258"/>
      <c r="R274" s="2381"/>
      <c r="S274" s="2381"/>
      <c r="T274" s="254"/>
      <c r="U274" s="228"/>
      <c r="V274" s="2357"/>
      <c r="W274" s="256"/>
      <c r="X274" s="248"/>
      <c r="Y274" s="248"/>
      <c r="Z274" s="248"/>
      <c r="AA274" s="247"/>
      <c r="AB274" s="248"/>
      <c r="AC274" s="248"/>
      <c r="AD274" s="194"/>
      <c r="AE274" s="249"/>
      <c r="AF274" s="250"/>
      <c r="AG274" s="251"/>
      <c r="AH274" s="252"/>
      <c r="AI274" s="241"/>
      <c r="AJ274" s="241"/>
      <c r="AK274" s="241"/>
      <c r="AL274" s="194"/>
      <c r="AM274" s="195"/>
      <c r="AN274" s="195"/>
    </row>
    <row r="275" spans="2:40">
      <c r="B275" s="253">
        <f t="shared" si="4"/>
        <v>267</v>
      </c>
      <c r="C275" s="244"/>
      <c r="D275" s="654"/>
      <c r="E275" s="466"/>
      <c r="F275" s="612"/>
      <c r="G275" s="2973"/>
      <c r="H275" s="230"/>
      <c r="I275" s="230"/>
      <c r="J275" s="230"/>
      <c r="K275" s="230"/>
      <c r="L275" s="230"/>
      <c r="M275" s="228"/>
      <c r="N275" s="257"/>
      <c r="O275" s="228"/>
      <c r="P275" s="228"/>
      <c r="Q275" s="258"/>
      <c r="R275" s="2381"/>
      <c r="S275" s="2381"/>
      <c r="T275" s="254"/>
      <c r="U275" s="228"/>
      <c r="V275" s="2357"/>
      <c r="W275" s="256"/>
      <c r="X275" s="248"/>
      <c r="Y275" s="248"/>
      <c r="Z275" s="248"/>
      <c r="AA275" s="247"/>
      <c r="AB275" s="248"/>
      <c r="AC275" s="248"/>
      <c r="AD275" s="194"/>
      <c r="AE275" s="249"/>
      <c r="AF275" s="250"/>
      <c r="AG275" s="251"/>
      <c r="AH275" s="252"/>
      <c r="AI275" s="241"/>
      <c r="AJ275" s="241"/>
      <c r="AK275" s="241"/>
      <c r="AL275" s="194"/>
      <c r="AM275" s="195"/>
      <c r="AN275" s="195"/>
    </row>
    <row r="276" spans="2:40">
      <c r="B276" s="253">
        <f t="shared" si="4"/>
        <v>268</v>
      </c>
      <c r="C276" s="244"/>
      <c r="D276" s="654"/>
      <c r="E276" s="466"/>
      <c r="F276" s="612"/>
      <c r="G276" s="2973"/>
      <c r="H276" s="230"/>
      <c r="I276" s="230"/>
      <c r="J276" s="230"/>
      <c r="K276" s="230"/>
      <c r="L276" s="230"/>
      <c r="M276" s="228"/>
      <c r="N276" s="257"/>
      <c r="O276" s="228"/>
      <c r="P276" s="228"/>
      <c r="Q276" s="258"/>
      <c r="R276" s="2381"/>
      <c r="S276" s="2381"/>
      <c r="T276" s="254"/>
      <c r="U276" s="228"/>
      <c r="V276" s="2357"/>
      <c r="W276" s="256"/>
      <c r="X276" s="248"/>
      <c r="Y276" s="248"/>
      <c r="Z276" s="248"/>
      <c r="AA276" s="247"/>
      <c r="AB276" s="248"/>
      <c r="AC276" s="248"/>
      <c r="AD276" s="194"/>
      <c r="AE276" s="249"/>
      <c r="AF276" s="250"/>
      <c r="AG276" s="251"/>
      <c r="AH276" s="252"/>
      <c r="AI276" s="241"/>
      <c r="AJ276" s="241"/>
      <c r="AK276" s="241"/>
      <c r="AL276" s="194"/>
      <c r="AM276" s="195"/>
      <c r="AN276" s="195"/>
    </row>
    <row r="277" spans="2:40">
      <c r="B277" s="253">
        <f t="shared" si="4"/>
        <v>269</v>
      </c>
      <c r="C277" s="244"/>
      <c r="D277" s="654"/>
      <c r="E277" s="466"/>
      <c r="F277" s="612"/>
      <c r="G277" s="2973"/>
      <c r="H277" s="230"/>
      <c r="I277" s="230"/>
      <c r="J277" s="230"/>
      <c r="K277" s="230"/>
      <c r="L277" s="230"/>
      <c r="M277" s="228"/>
      <c r="N277" s="257"/>
      <c r="O277" s="228"/>
      <c r="P277" s="228"/>
      <c r="Q277" s="258"/>
      <c r="R277" s="2381"/>
      <c r="S277" s="2381"/>
      <c r="T277" s="254"/>
      <c r="U277" s="228"/>
      <c r="V277" s="2357"/>
      <c r="W277" s="256"/>
      <c r="X277" s="248"/>
      <c r="Y277" s="248"/>
      <c r="Z277" s="248"/>
      <c r="AA277" s="247"/>
      <c r="AB277" s="248"/>
      <c r="AC277" s="248"/>
      <c r="AD277" s="194"/>
      <c r="AE277" s="249"/>
      <c r="AF277" s="250"/>
      <c r="AG277" s="251"/>
      <c r="AH277" s="252"/>
      <c r="AI277" s="241"/>
      <c r="AJ277" s="241"/>
      <c r="AK277" s="241"/>
      <c r="AL277" s="194"/>
      <c r="AM277" s="195"/>
      <c r="AN277" s="195"/>
    </row>
    <row r="278" spans="2:40">
      <c r="B278" s="253">
        <f t="shared" si="4"/>
        <v>270</v>
      </c>
      <c r="C278" s="244"/>
      <c r="D278" s="654"/>
      <c r="E278" s="466"/>
      <c r="F278" s="612"/>
      <c r="G278" s="2973"/>
      <c r="H278" s="230"/>
      <c r="I278" s="230"/>
      <c r="J278" s="230"/>
      <c r="K278" s="230"/>
      <c r="L278" s="230"/>
      <c r="M278" s="228"/>
      <c r="N278" s="257"/>
      <c r="O278" s="228"/>
      <c r="P278" s="228"/>
      <c r="Q278" s="258"/>
      <c r="R278" s="2381"/>
      <c r="S278" s="2381"/>
      <c r="T278" s="254"/>
      <c r="U278" s="228"/>
      <c r="V278" s="2357"/>
      <c r="W278" s="256"/>
      <c r="X278" s="248"/>
      <c r="Y278" s="248"/>
      <c r="Z278" s="248"/>
      <c r="AA278" s="247"/>
      <c r="AB278" s="248"/>
      <c r="AC278" s="248"/>
      <c r="AD278" s="194"/>
      <c r="AE278" s="249"/>
      <c r="AF278" s="250"/>
      <c r="AG278" s="251"/>
      <c r="AH278" s="252"/>
      <c r="AI278" s="241"/>
      <c r="AJ278" s="241"/>
      <c r="AK278" s="241"/>
      <c r="AL278" s="194"/>
      <c r="AM278" s="195"/>
      <c r="AN278" s="195"/>
    </row>
  </sheetData>
  <autoFilter ref="A3:AO3" xr:uid="{401A7730-CBFE-4F25-8570-4999DF5933D2}"/>
  <mergeCells count="4">
    <mergeCell ref="B4:M4"/>
    <mergeCell ref="B1:T1"/>
    <mergeCell ref="B6:M6"/>
    <mergeCell ref="B8:M8"/>
  </mergeCells>
  <conditionalFormatting sqref="E5">
    <cfRule type="duplicateValues" dxfId="224" priority="6"/>
  </conditionalFormatting>
  <conditionalFormatting sqref="E7">
    <cfRule type="duplicateValues" dxfId="223" priority="3"/>
  </conditionalFormatting>
  <conditionalFormatting sqref="E9:E278">
    <cfRule type="duplicateValues" dxfId="222" priority="184"/>
  </conditionalFormatting>
  <conditionalFormatting sqref="P4">
    <cfRule type="duplicateValues" dxfId="221" priority="7"/>
  </conditionalFormatting>
  <conditionalFormatting sqref="P5 P7 P9:P278">
    <cfRule type="duplicateValues" dxfId="220" priority="182"/>
  </conditionalFormatting>
  <conditionalFormatting sqref="P5">
    <cfRule type="duplicateValues" dxfId="219" priority="183"/>
  </conditionalFormatting>
  <conditionalFormatting sqref="P6">
    <cfRule type="duplicateValues" dxfId="218" priority="4"/>
  </conditionalFormatting>
  <conditionalFormatting sqref="P8">
    <cfRule type="duplicateValues" dxfId="217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3FF5C-87FA-4E48-91F8-BE9BB3D268A4}">
  <dimension ref="A1:AK271"/>
  <sheetViews>
    <sheetView topLeftCell="B1" zoomScale="70" zoomScaleNormal="70" workbookViewId="0">
      <pane xSplit="21" ySplit="3" topLeftCell="AE4" activePane="bottomRight" state="frozen"/>
      <selection activeCell="H139" sqref="H139"/>
      <selection pane="topRight" activeCell="H139" sqref="H139"/>
      <selection pane="bottomLeft" activeCell="H139" sqref="H139"/>
      <selection pane="bottomRight" activeCell="AE8" sqref="AE8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19.5546875" style="604" customWidth="1"/>
    <col min="8" max="8" width="17.5546875" style="262" customWidth="1"/>
    <col min="9" max="9" width="6.6640625" style="261" customWidth="1"/>
    <col min="10" max="12" width="5.109375" style="261" customWidth="1"/>
    <col min="13" max="13" width="7.33203125" style="263" customWidth="1"/>
    <col min="14" max="14" width="7.5546875" style="265" customWidth="1"/>
    <col min="15" max="15" width="19.33203125" style="263" customWidth="1"/>
    <col min="16" max="16" width="28.109375" style="263" customWidth="1"/>
    <col min="17" max="17" width="21.33203125" style="263" customWidth="1"/>
    <col min="18" max="18" width="21.44140625" style="266" customWidth="1"/>
    <col min="19" max="20" width="11.109375" style="266" customWidth="1"/>
    <col min="21" max="21" width="12.33203125" style="263" customWidth="1"/>
    <col min="22" max="23" width="0.109375" style="263" customWidth="1"/>
    <col min="24" max="24" width="14.33203125" style="264" customWidth="1"/>
    <col min="25" max="25" width="15.6640625" style="268" customWidth="1"/>
    <col min="26" max="26" width="12.6640625" style="268" customWidth="1"/>
    <col min="27" max="27" width="14" style="268" customWidth="1"/>
    <col min="28" max="28" width="15.6640625" style="264" customWidth="1"/>
    <col min="29" max="29" width="14.44140625" style="268" customWidth="1"/>
    <col min="30" max="30" width="19.44140625" style="268" customWidth="1"/>
    <col min="31" max="31" width="15.5546875" style="269" customWidth="1"/>
    <col min="32" max="32" width="27" style="270" customWidth="1"/>
    <col min="33" max="33" width="18.6640625" style="271" customWidth="1"/>
    <col min="34" max="34" width="16.6640625" style="272" customWidth="1"/>
    <col min="35" max="35" width="15.109375" style="273" customWidth="1"/>
    <col min="36" max="36" width="15" style="196" bestFit="1" customWidth="1"/>
    <col min="37" max="37" width="13" style="196" bestFit="1" customWidth="1"/>
    <col min="38" max="16384" width="9.109375" style="196"/>
  </cols>
  <sheetData>
    <row r="1" spans="1:37" s="688" customFormat="1" ht="15.75" customHeight="1">
      <c r="A1" s="687"/>
      <c r="B1" s="3407" t="s">
        <v>7099</v>
      </c>
      <c r="C1" s="3407"/>
      <c r="D1" s="3407"/>
      <c r="E1" s="3407"/>
      <c r="F1" s="3407"/>
      <c r="G1" s="3407"/>
      <c r="H1" s="3407"/>
      <c r="I1" s="3407"/>
      <c r="J1" s="3407"/>
      <c r="K1" s="3407"/>
      <c r="L1" s="3407"/>
      <c r="M1" s="3407"/>
      <c r="N1" s="3407"/>
      <c r="O1" s="3407"/>
      <c r="P1" s="3407"/>
      <c r="Q1" s="3407"/>
      <c r="R1" s="3407"/>
      <c r="S1" s="3407"/>
      <c r="T1" s="3407"/>
      <c r="U1" s="3407"/>
    </row>
    <row r="2" spans="1:37" ht="18">
      <c r="A2" s="193"/>
      <c r="B2" s="197"/>
      <c r="C2" s="198"/>
      <c r="D2" s="2609" t="s">
        <v>7919</v>
      </c>
      <c r="F2" s="599"/>
      <c r="G2" s="455" t="s">
        <v>7920</v>
      </c>
      <c r="H2" s="2612" t="s">
        <v>7921</v>
      </c>
      <c r="I2" s="2606"/>
      <c r="J2" s="2607"/>
      <c r="K2" s="2606"/>
      <c r="L2" s="2606"/>
      <c r="M2" s="2608"/>
      <c r="N2" s="2609"/>
      <c r="O2" s="2609"/>
      <c r="P2" s="2609"/>
      <c r="Q2" s="3130"/>
      <c r="R2" s="2610"/>
      <c r="S2" s="2611"/>
      <c r="T2" s="2611"/>
      <c r="U2" s="202"/>
      <c r="V2" s="203"/>
      <c r="W2" s="2354"/>
      <c r="X2" s="202"/>
      <c r="Y2" s="198"/>
      <c r="Z2" s="198"/>
      <c r="AA2" s="198"/>
      <c r="AB2" s="199"/>
      <c r="AC2" s="199"/>
      <c r="AD2" s="199"/>
      <c r="AE2" s="199"/>
      <c r="AF2" s="205"/>
      <c r="AG2" s="199"/>
      <c r="AH2" s="199"/>
      <c r="AI2" s="206"/>
    </row>
    <row r="3" spans="1:37" s="226" customFormat="1" ht="47.25" customHeight="1">
      <c r="A3" s="208" t="s">
        <v>174</v>
      </c>
      <c r="B3" s="209" t="s">
        <v>2</v>
      </c>
      <c r="C3" s="210" t="s">
        <v>3571</v>
      </c>
      <c r="D3" s="213" t="s">
        <v>7506</v>
      </c>
      <c r="E3" s="456" t="s">
        <v>175</v>
      </c>
      <c r="F3" s="600" t="s">
        <v>176</v>
      </c>
      <c r="G3" s="2972" t="s">
        <v>7922</v>
      </c>
      <c r="H3" s="212" t="s">
        <v>177</v>
      </c>
      <c r="I3" s="211" t="s">
        <v>179</v>
      </c>
      <c r="J3" s="211" t="s">
        <v>8</v>
      </c>
      <c r="K3" s="211" t="s">
        <v>9</v>
      </c>
      <c r="L3" s="211" t="s">
        <v>102</v>
      </c>
      <c r="M3" s="211" t="s">
        <v>404</v>
      </c>
      <c r="N3" s="214" t="s">
        <v>183</v>
      </c>
      <c r="O3" s="211" t="s">
        <v>185</v>
      </c>
      <c r="P3" s="210" t="s">
        <v>188</v>
      </c>
      <c r="Q3" s="3131" t="s">
        <v>7928</v>
      </c>
      <c r="R3" s="215" t="s">
        <v>186</v>
      </c>
      <c r="S3" s="2366" t="s">
        <v>5941</v>
      </c>
      <c r="T3" s="2366" t="s">
        <v>4397</v>
      </c>
      <c r="U3" s="210" t="s">
        <v>8096</v>
      </c>
      <c r="V3" s="211" t="s">
        <v>3572</v>
      </c>
      <c r="W3" s="2355"/>
      <c r="X3" s="212" t="s">
        <v>1291</v>
      </c>
      <c r="Y3" s="217" t="s">
        <v>190</v>
      </c>
      <c r="Z3" s="217" t="s">
        <v>191</v>
      </c>
      <c r="AA3" s="218" t="s">
        <v>3574</v>
      </c>
      <c r="AB3" s="218" t="s">
        <v>1313</v>
      </c>
      <c r="AC3" s="219" t="s">
        <v>194</v>
      </c>
      <c r="AD3" s="219" t="s">
        <v>7995</v>
      </c>
      <c r="AE3" s="220" t="s">
        <v>196</v>
      </c>
      <c r="AF3" s="221" t="s">
        <v>197</v>
      </c>
      <c r="AG3" s="218" t="s">
        <v>198</v>
      </c>
      <c r="AH3" s="219" t="s">
        <v>199</v>
      </c>
      <c r="AI3" s="222" t="s">
        <v>200</v>
      </c>
      <c r="AJ3" s="3149" t="s">
        <v>7998</v>
      </c>
      <c r="AK3" s="3149" t="s">
        <v>7999</v>
      </c>
    </row>
    <row r="4" spans="1:37" ht="25.5" customHeight="1" thickBot="1">
      <c r="B4" s="3405" t="s">
        <v>7528</v>
      </c>
      <c r="C4" s="3312"/>
      <c r="D4" s="3312"/>
      <c r="E4" s="3312"/>
      <c r="F4" s="3312"/>
      <c r="G4" s="3406"/>
      <c r="H4" s="3312"/>
      <c r="I4" s="3312"/>
      <c r="J4" s="3312"/>
      <c r="K4" s="3312"/>
      <c r="L4" s="3312"/>
      <c r="M4" s="3312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590"/>
      <c r="Y4" s="2022"/>
      <c r="Z4" s="590"/>
      <c r="AA4" s="357"/>
      <c r="AB4" s="357"/>
      <c r="AC4" s="357"/>
      <c r="AD4" s="590"/>
      <c r="AE4" s="358"/>
      <c r="AF4" s="358"/>
      <c r="AG4" s="1231"/>
      <c r="AH4" s="1231"/>
      <c r="AI4" s="1231"/>
      <c r="AJ4" s="1087">
        <f t="shared" ref="AJ4:AJ8" si="0">IF(G4="VIỆT CHÂU",3650000,
 IF(G4="NOVA STONE",3950000,
 IF(G4="SANYANG",4200000,
 IF(G4="TÂN HỒNG",3650000,
 IF(G4="MAESTRO",4000000,0)))))</f>
        <v>0</v>
      </c>
      <c r="AK4" s="3150">
        <v>1900000</v>
      </c>
    </row>
    <row r="5" spans="1:37" ht="31.8" thickBot="1">
      <c r="A5" s="3104"/>
      <c r="B5" s="3105">
        <v>1</v>
      </c>
      <c r="C5" s="3106"/>
      <c r="D5" s="3153" t="s">
        <v>7945</v>
      </c>
      <c r="E5" s="3137">
        <v>307992157930</v>
      </c>
      <c r="F5" s="3136" t="s">
        <v>7945</v>
      </c>
      <c r="G5" s="3107" t="s">
        <v>7996</v>
      </c>
      <c r="H5" s="3145" t="s">
        <v>7993</v>
      </c>
      <c r="I5" s="3108" t="s">
        <v>210</v>
      </c>
      <c r="J5" s="3108"/>
      <c r="K5" s="3108">
        <v>2</v>
      </c>
      <c r="L5" s="3108"/>
      <c r="M5" s="3109" t="s">
        <v>210</v>
      </c>
      <c r="N5" s="3110"/>
      <c r="O5" s="3108" t="s">
        <v>7923</v>
      </c>
      <c r="P5" s="3112" t="s">
        <v>7946</v>
      </c>
      <c r="Q5" s="3109" t="s">
        <v>7935</v>
      </c>
      <c r="R5" s="3111" t="s">
        <v>7925</v>
      </c>
      <c r="S5" s="3111" t="s">
        <v>7947</v>
      </c>
      <c r="T5" s="3112" t="s">
        <v>2966</v>
      </c>
      <c r="U5" s="3112"/>
      <c r="V5" s="3109"/>
      <c r="W5" s="3109"/>
      <c r="X5" s="3113"/>
      <c r="Y5" s="3170">
        <f>1500000*2</f>
        <v>3000000</v>
      </c>
      <c r="Z5" s="3171">
        <v>1764000</v>
      </c>
      <c r="AA5" s="3114"/>
      <c r="AB5" s="3175">
        <v>1000000</v>
      </c>
      <c r="AC5" s="3114"/>
      <c r="AD5" s="3157"/>
      <c r="AE5" s="2647">
        <f>+X5+Y5+Z5+AA5+AB5+AC5+W5</f>
        <v>5764000</v>
      </c>
      <c r="AF5" s="3115"/>
      <c r="AG5" s="3147">
        <f>+(($AK$4*(J5+K5+L5))+(AJ5*(J5+K5+L5))+AD5)*1.08</f>
        <v>11988000</v>
      </c>
      <c r="AH5" s="2864">
        <f>+AE5+AG5</f>
        <v>17752000</v>
      </c>
      <c r="AI5" s="3116"/>
      <c r="AJ5" s="1087">
        <f t="shared" si="0"/>
        <v>3650000</v>
      </c>
    </row>
    <row r="6" spans="1:37" ht="47.4" thickBot="1">
      <c r="A6" s="3117"/>
      <c r="B6" s="3118">
        <f t="shared" ref="B6:B65" si="1">+B5+1</f>
        <v>2</v>
      </c>
      <c r="C6" s="3119"/>
      <c r="D6" s="3153" t="s">
        <v>7945</v>
      </c>
      <c r="E6" s="3135">
        <v>307993152260</v>
      </c>
      <c r="F6" s="3136" t="s">
        <v>7945</v>
      </c>
      <c r="G6" s="3120" t="s">
        <v>7997</v>
      </c>
      <c r="H6" s="3146" t="s">
        <v>7994</v>
      </c>
      <c r="I6" s="3121" t="s">
        <v>210</v>
      </c>
      <c r="J6" s="3121"/>
      <c r="K6" s="3121">
        <v>1</v>
      </c>
      <c r="L6" s="3121"/>
      <c r="M6" s="3122" t="s">
        <v>210</v>
      </c>
      <c r="N6" s="3123"/>
      <c r="O6" s="3121" t="s">
        <v>7924</v>
      </c>
      <c r="P6" s="3122" t="s">
        <v>7941</v>
      </c>
      <c r="Q6" s="3109" t="s">
        <v>7929</v>
      </c>
      <c r="R6" s="3124" t="s">
        <v>7925</v>
      </c>
      <c r="S6" s="3140" t="s">
        <v>6056</v>
      </c>
      <c r="T6" s="3125" t="s">
        <v>4181</v>
      </c>
      <c r="U6" s="3200"/>
      <c r="V6" s="3122"/>
      <c r="W6" s="3122"/>
      <c r="X6" s="3126"/>
      <c r="Y6" s="3170">
        <v>1500000</v>
      </c>
      <c r="Z6" s="3172">
        <v>1276000</v>
      </c>
      <c r="AA6" s="3127"/>
      <c r="AB6" s="3176">
        <v>500000</v>
      </c>
      <c r="AC6" s="3127"/>
      <c r="AD6" s="3157">
        <v>650000</v>
      </c>
      <c r="AE6" s="2647">
        <f>+X6+Y6+Z6+AA6+AB6+AC6+W6</f>
        <v>3276000</v>
      </c>
      <c r="AF6" s="3128" t="s">
        <v>8019</v>
      </c>
      <c r="AG6" s="3147">
        <f>+(($AK$4*(J6+K6+L6))+(AJ6*(J6+K6+L6))+AD6)*1.08</f>
        <v>7020000</v>
      </c>
      <c r="AH6" s="2864">
        <f t="shared" ref="AH6:AH8" si="2">+AE6+AG6</f>
        <v>10296000</v>
      </c>
      <c r="AI6" s="3129"/>
      <c r="AJ6" s="1087">
        <f t="shared" si="0"/>
        <v>3950000</v>
      </c>
    </row>
    <row r="7" spans="1:37" ht="27" customHeight="1" thickBot="1">
      <c r="B7" s="3101">
        <f t="shared" si="1"/>
        <v>3</v>
      </c>
      <c r="C7" s="3102"/>
      <c r="D7" s="3410" t="s">
        <v>7955</v>
      </c>
      <c r="E7" s="3418">
        <v>308006669260</v>
      </c>
      <c r="F7" s="3420" t="s">
        <v>7955</v>
      </c>
      <c r="G7" s="3103" t="s">
        <v>7997</v>
      </c>
      <c r="H7" s="3422" t="s">
        <v>8024</v>
      </c>
      <c r="I7" s="3408" t="s">
        <v>210</v>
      </c>
      <c r="J7" s="419">
        <v>1</v>
      </c>
      <c r="K7" s="419"/>
      <c r="L7" s="419"/>
      <c r="M7" s="3416" t="s">
        <v>210</v>
      </c>
      <c r="N7" s="422"/>
      <c r="O7" s="3408" t="s">
        <v>7926</v>
      </c>
      <c r="P7" s="396" t="s">
        <v>8000</v>
      </c>
      <c r="Q7" s="3416" t="s">
        <v>7934</v>
      </c>
      <c r="R7" s="3412" t="s">
        <v>7927</v>
      </c>
      <c r="S7" s="3151" t="s">
        <v>7176</v>
      </c>
      <c r="T7" s="3414" t="s">
        <v>2966</v>
      </c>
      <c r="U7" s="2374"/>
      <c r="V7" s="396"/>
      <c r="W7" s="396"/>
      <c r="X7" s="421"/>
      <c r="Y7" s="3173">
        <v>1000000</v>
      </c>
      <c r="Z7" s="3174">
        <v>1528000</v>
      </c>
      <c r="AA7" s="425"/>
      <c r="AB7" s="3177">
        <v>250000</v>
      </c>
      <c r="AC7" s="425"/>
      <c r="AD7" s="3158"/>
      <c r="AE7" s="2647">
        <f t="shared" ref="AE7:AE8" si="3">+X7+Y7+Z7+AA7+AB7+AC7+W7</f>
        <v>2778000</v>
      </c>
      <c r="AF7" s="3148"/>
      <c r="AG7" s="3147">
        <f>+(($AK$4*(J7+K7+L7))+(AJ7*(J7+K7+L7))+AD7)*1.08</f>
        <v>6318000</v>
      </c>
      <c r="AH7" s="2864">
        <f>+AE7+AG7</f>
        <v>9096000</v>
      </c>
      <c r="AI7" s="782"/>
      <c r="AJ7" s="1087">
        <f t="shared" si="0"/>
        <v>3950000</v>
      </c>
    </row>
    <row r="8" spans="1:37" ht="26.25" customHeight="1" thickBot="1">
      <c r="A8" s="3104"/>
      <c r="B8" s="3105">
        <f t="shared" si="1"/>
        <v>4</v>
      </c>
      <c r="C8" s="3106"/>
      <c r="D8" s="3411"/>
      <c r="E8" s="3419"/>
      <c r="F8" s="3421"/>
      <c r="G8" s="3107" t="s">
        <v>7996</v>
      </c>
      <c r="H8" s="3423"/>
      <c r="I8" s="3409"/>
      <c r="J8" s="3108"/>
      <c r="K8" s="3108">
        <v>1</v>
      </c>
      <c r="L8" s="3108"/>
      <c r="M8" s="3417"/>
      <c r="N8" s="3110"/>
      <c r="O8" s="3409"/>
      <c r="P8" s="3109" t="s">
        <v>8001</v>
      </c>
      <c r="Q8" s="3417"/>
      <c r="R8" s="3413"/>
      <c r="S8" s="3152" t="s">
        <v>5942</v>
      </c>
      <c r="T8" s="3415"/>
      <c r="U8" s="3181"/>
      <c r="V8" s="3109"/>
      <c r="W8" s="3109"/>
      <c r="X8" s="3113"/>
      <c r="Y8" s="3173">
        <v>2250000</v>
      </c>
      <c r="Z8" s="3178"/>
      <c r="AA8" s="3114"/>
      <c r="AB8" s="3175">
        <v>500000</v>
      </c>
      <c r="AC8" s="3114"/>
      <c r="AD8" s="3157"/>
      <c r="AE8" s="2647">
        <f t="shared" si="3"/>
        <v>2750000</v>
      </c>
      <c r="AF8" s="3115"/>
      <c r="AG8" s="3147">
        <f t="shared" ref="AG8" si="4">+(($AK$4*(J8+K8+L8))+(AJ8*(J8+K8+L8))+AD8)*1.08</f>
        <v>5994000</v>
      </c>
      <c r="AH8" s="2864">
        <f t="shared" si="2"/>
        <v>8744000</v>
      </c>
      <c r="AI8" s="3116"/>
      <c r="AJ8" s="1087">
        <f t="shared" si="0"/>
        <v>3650000</v>
      </c>
    </row>
    <row r="9" spans="1:37" ht="25.5" customHeight="1">
      <c r="B9" s="3405" t="s">
        <v>7960</v>
      </c>
      <c r="C9" s="3312"/>
      <c r="D9" s="3312"/>
      <c r="E9" s="3312"/>
      <c r="F9" s="3312"/>
      <c r="G9" s="3406"/>
      <c r="H9" s="3312"/>
      <c r="I9" s="3312"/>
      <c r="J9" s="3312"/>
      <c r="K9" s="3312"/>
      <c r="L9" s="3312"/>
      <c r="M9" s="3312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590"/>
      <c r="Y9" s="2022"/>
      <c r="Z9" s="590"/>
      <c r="AA9" s="357"/>
      <c r="AB9" s="357"/>
      <c r="AC9" s="357"/>
      <c r="AD9" s="590"/>
      <c r="AE9" s="358"/>
      <c r="AF9" s="358"/>
      <c r="AG9" s="1231"/>
      <c r="AH9" s="1231"/>
      <c r="AI9" s="1231"/>
      <c r="AJ9" s="1087">
        <f t="shared" ref="AJ9" si="5">IF(G9="VIỆT CHÂU",3650000,
 IF(G9="NOVA STONE",3950000,
 IF(G9="SANYANG",4200000,
 IF(G9="TÂN HỒNG",3650000,
 IF(G9="MAESTRO",4000000,0)))))</f>
        <v>0</v>
      </c>
      <c r="AK9" s="3150"/>
    </row>
    <row r="10" spans="1:37">
      <c r="B10" s="253">
        <v>1</v>
      </c>
      <c r="C10" s="244"/>
      <c r="D10" s="654"/>
      <c r="E10" s="466"/>
      <c r="F10" s="612"/>
      <c r="G10" s="2973"/>
      <c r="H10" s="230"/>
      <c r="I10" s="230"/>
      <c r="J10" s="230"/>
      <c r="K10" s="230"/>
      <c r="L10" s="230"/>
      <c r="M10" s="228"/>
      <c r="N10" s="257"/>
      <c r="O10" s="228"/>
      <c r="P10" s="228"/>
      <c r="Q10" s="2357"/>
      <c r="R10" s="258"/>
      <c r="S10" s="2381"/>
      <c r="T10" s="2381"/>
      <c r="U10" s="254"/>
      <c r="V10" s="228"/>
      <c r="W10" s="2357"/>
      <c r="X10" s="256"/>
      <c r="Y10" s="248"/>
      <c r="Z10" s="248"/>
      <c r="AA10" s="248"/>
      <c r="AB10" s="247"/>
      <c r="AC10" s="248"/>
      <c r="AD10" s="248"/>
      <c r="AE10" s="194"/>
      <c r="AF10" s="249"/>
      <c r="AG10" s="250"/>
      <c r="AH10" s="251"/>
      <c r="AI10" s="252"/>
      <c r="AJ10" s="1087">
        <f t="shared" ref="AJ10:AJ13" si="6">IF(G10="VIỆT CHÂU",3650000,
 IF(G10="NOVA STONE",3950000,
 IF(G10="SANYANG",4200000,
 IF(G10="TÂN HỒNG",3650000,
 IF(G10="MAESTRO",4000000,0)))))</f>
        <v>0</v>
      </c>
    </row>
    <row r="11" spans="1:37">
      <c r="B11" s="253">
        <f t="shared" si="1"/>
        <v>2</v>
      </c>
      <c r="C11" s="244"/>
      <c r="D11" s="654"/>
      <c r="E11" s="466"/>
      <c r="F11" s="612"/>
      <c r="G11" s="2973"/>
      <c r="H11" s="230"/>
      <c r="I11" s="230"/>
      <c r="J11" s="230"/>
      <c r="K11" s="230"/>
      <c r="L11" s="230"/>
      <c r="M11" s="228"/>
      <c r="N11" s="257"/>
      <c r="O11" s="228"/>
      <c r="P11" s="228"/>
      <c r="Q11" s="2357"/>
      <c r="R11" s="258"/>
      <c r="S11" s="2381"/>
      <c r="T11" s="2381"/>
      <c r="U11" s="254"/>
      <c r="V11" s="228"/>
      <c r="W11" s="2357"/>
      <c r="X11" s="256"/>
      <c r="Y11" s="248"/>
      <c r="Z11" s="248"/>
      <c r="AA11" s="248"/>
      <c r="AB11" s="247"/>
      <c r="AC11" s="248"/>
      <c r="AD11" s="248"/>
      <c r="AE11" s="194"/>
      <c r="AF11" s="249"/>
      <c r="AG11" s="250"/>
      <c r="AH11" s="251"/>
      <c r="AI11" s="252"/>
      <c r="AJ11" s="1087">
        <f t="shared" si="6"/>
        <v>0</v>
      </c>
    </row>
    <row r="12" spans="1:37">
      <c r="B12" s="253">
        <f t="shared" si="1"/>
        <v>3</v>
      </c>
      <c r="C12" s="244"/>
      <c r="D12" s="654"/>
      <c r="E12" s="466"/>
      <c r="F12" s="612"/>
      <c r="G12" s="2973"/>
      <c r="H12" s="230"/>
      <c r="I12" s="230"/>
      <c r="J12" s="230"/>
      <c r="K12" s="230"/>
      <c r="L12" s="230"/>
      <c r="M12" s="228"/>
      <c r="N12" s="257"/>
      <c r="O12" s="228"/>
      <c r="P12" s="228"/>
      <c r="Q12" s="2357"/>
      <c r="R12" s="258"/>
      <c r="S12" s="2381"/>
      <c r="T12" s="2381"/>
      <c r="U12" s="254"/>
      <c r="V12" s="228"/>
      <c r="W12" s="2357"/>
      <c r="X12" s="256"/>
      <c r="Y12" s="248"/>
      <c r="Z12" s="248"/>
      <c r="AA12" s="248"/>
      <c r="AB12" s="247"/>
      <c r="AC12" s="248"/>
      <c r="AD12" s="248"/>
      <c r="AE12" s="194"/>
      <c r="AF12" s="249"/>
      <c r="AG12" s="250"/>
      <c r="AH12" s="251"/>
      <c r="AI12" s="252"/>
      <c r="AJ12" s="1087">
        <f t="shared" si="6"/>
        <v>0</v>
      </c>
    </row>
    <row r="13" spans="1:37">
      <c r="B13" s="253">
        <f t="shared" si="1"/>
        <v>4</v>
      </c>
      <c r="C13" s="244"/>
      <c r="D13" s="654"/>
      <c r="E13" s="466"/>
      <c r="F13" s="612"/>
      <c r="G13" s="2973"/>
      <c r="H13" s="230"/>
      <c r="I13" s="230"/>
      <c r="J13" s="230"/>
      <c r="K13" s="230"/>
      <c r="L13" s="230"/>
      <c r="M13" s="228"/>
      <c r="N13" s="257"/>
      <c r="O13" s="228"/>
      <c r="P13" s="228"/>
      <c r="Q13" s="2357"/>
      <c r="R13" s="258"/>
      <c r="S13" s="2381"/>
      <c r="T13" s="2381"/>
      <c r="U13" s="254"/>
      <c r="V13" s="228"/>
      <c r="W13" s="2357"/>
      <c r="X13" s="256"/>
      <c r="Z13" s="248"/>
      <c r="AA13" s="248"/>
      <c r="AB13" s="247"/>
      <c r="AC13" s="248"/>
      <c r="AD13" s="248"/>
      <c r="AE13" s="194"/>
      <c r="AF13" s="249"/>
      <c r="AG13" s="250"/>
      <c r="AH13" s="251"/>
      <c r="AI13" s="252"/>
      <c r="AJ13" s="1087">
        <f t="shared" si="6"/>
        <v>0</v>
      </c>
    </row>
    <row r="14" spans="1:37">
      <c r="B14" s="253">
        <f t="shared" si="1"/>
        <v>5</v>
      </c>
      <c r="C14" s="244"/>
      <c r="D14" s="654"/>
      <c r="E14" s="466"/>
      <c r="F14" s="612"/>
      <c r="G14" s="2973"/>
      <c r="H14" s="230"/>
      <c r="I14" s="230"/>
      <c r="J14" s="230"/>
      <c r="K14" s="230"/>
      <c r="L14" s="230"/>
      <c r="M14" s="228"/>
      <c r="N14" s="2358"/>
      <c r="O14" s="2357"/>
      <c r="P14" s="2357"/>
      <c r="Q14" s="2357"/>
      <c r="R14" s="2381"/>
      <c r="S14" s="2381"/>
      <c r="T14" s="2381"/>
      <c r="U14" s="254"/>
      <c r="V14" s="228"/>
      <c r="W14" s="2357"/>
      <c r="X14" s="256"/>
      <c r="Y14" s="248"/>
      <c r="Z14" s="248"/>
      <c r="AA14" s="248"/>
      <c r="AB14" s="247"/>
      <c r="AC14" s="248"/>
      <c r="AD14" s="248"/>
      <c r="AE14" s="194"/>
      <c r="AF14" s="249"/>
      <c r="AG14" s="250"/>
      <c r="AH14" s="251"/>
      <c r="AI14" s="252"/>
      <c r="AJ14" s="1087">
        <f t="shared" ref="AJ14:AJ27" si="7">IF(G14="VIỆT CHÂU",3650000,
 IF(G14="NOVA STONE",3950000,
 IF(G14="SANYANG",4200000,
 IF(G14="TÂN HỒNG",3650000,
 IF(G14="MAESTRO",4000000,0)))))</f>
        <v>0</v>
      </c>
    </row>
    <row r="15" spans="1:37">
      <c r="B15" s="253">
        <f t="shared" si="1"/>
        <v>6</v>
      </c>
      <c r="C15" s="244"/>
      <c r="D15" s="654"/>
      <c r="E15" s="466"/>
      <c r="F15" s="612"/>
      <c r="G15" s="2973"/>
      <c r="H15" s="230"/>
      <c r="I15" s="230"/>
      <c r="J15" s="230"/>
      <c r="K15" s="230"/>
      <c r="L15" s="230"/>
      <c r="M15" s="228"/>
      <c r="N15" s="2358"/>
      <c r="O15" s="2357"/>
      <c r="P15" s="2357"/>
      <c r="Q15" s="2357"/>
      <c r="R15" s="2381"/>
      <c r="S15" s="2381"/>
      <c r="T15" s="2381"/>
      <c r="U15" s="254"/>
      <c r="V15" s="228"/>
      <c r="W15" s="2357"/>
      <c r="X15" s="256"/>
      <c r="Y15" s="248"/>
      <c r="Z15" s="248"/>
      <c r="AA15" s="248"/>
      <c r="AB15" s="247"/>
      <c r="AC15" s="248"/>
      <c r="AD15" s="248"/>
      <c r="AE15" s="194"/>
      <c r="AF15" s="249"/>
      <c r="AG15" s="250"/>
      <c r="AH15" s="251"/>
      <c r="AI15" s="252"/>
      <c r="AJ15" s="1087">
        <f t="shared" si="7"/>
        <v>0</v>
      </c>
    </row>
    <row r="16" spans="1:37">
      <c r="B16" s="253">
        <f t="shared" si="1"/>
        <v>7</v>
      </c>
      <c r="C16" s="244"/>
      <c r="D16" s="654"/>
      <c r="E16" s="466"/>
      <c r="F16" s="612"/>
      <c r="H16" s="230"/>
      <c r="I16" s="230"/>
      <c r="J16" s="230"/>
      <c r="K16" s="230"/>
      <c r="L16" s="230"/>
      <c r="M16" s="228"/>
      <c r="N16" s="2358"/>
      <c r="O16" s="1472"/>
      <c r="P16" s="1472"/>
      <c r="Q16" s="1472"/>
      <c r="R16" s="2381"/>
      <c r="S16" s="2381"/>
      <c r="T16" s="2381"/>
      <c r="U16" s="254"/>
      <c r="V16" s="228"/>
      <c r="W16" s="2357"/>
      <c r="X16" s="256"/>
      <c r="Y16" s="248"/>
      <c r="Z16" s="248"/>
      <c r="AA16" s="248"/>
      <c r="AB16" s="247"/>
      <c r="AC16" s="248"/>
      <c r="AD16" s="248"/>
      <c r="AE16" s="194"/>
      <c r="AF16" s="249"/>
      <c r="AG16" s="250"/>
      <c r="AH16" s="251"/>
      <c r="AI16" s="252"/>
      <c r="AJ16" s="1087">
        <f t="shared" si="7"/>
        <v>0</v>
      </c>
    </row>
    <row r="17" spans="2:36">
      <c r="B17" s="253">
        <f t="shared" si="1"/>
        <v>8</v>
      </c>
      <c r="C17" s="244"/>
      <c r="D17" s="654"/>
      <c r="E17" s="466"/>
      <c r="F17" s="612"/>
      <c r="G17" s="2973"/>
      <c r="H17" s="230"/>
      <c r="I17" s="230"/>
      <c r="J17" s="230"/>
      <c r="K17" s="230"/>
      <c r="L17" s="230"/>
      <c r="M17" s="228"/>
      <c r="N17" s="2358"/>
      <c r="O17" s="2357"/>
      <c r="P17" s="1472"/>
      <c r="Q17" s="1472"/>
      <c r="R17" s="1472"/>
      <c r="S17" s="1472"/>
      <c r="T17" s="1472"/>
      <c r="U17" s="254"/>
      <c r="V17" s="228"/>
      <c r="W17" s="2357"/>
      <c r="X17" s="256"/>
      <c r="Y17" s="248"/>
      <c r="Z17" s="248"/>
      <c r="AA17" s="248"/>
      <c r="AB17" s="247"/>
      <c r="AC17" s="248"/>
      <c r="AD17" s="248"/>
      <c r="AE17" s="194"/>
      <c r="AF17" s="249"/>
      <c r="AG17" s="250"/>
      <c r="AH17" s="251"/>
      <c r="AI17" s="252"/>
      <c r="AJ17" s="1087">
        <f t="shared" si="7"/>
        <v>0</v>
      </c>
    </row>
    <row r="18" spans="2:36">
      <c r="B18" s="253">
        <f t="shared" si="1"/>
        <v>9</v>
      </c>
      <c r="C18" s="244"/>
      <c r="D18" s="654"/>
      <c r="E18" s="466"/>
      <c r="F18" s="612"/>
      <c r="G18" s="2973"/>
      <c r="H18" s="230"/>
      <c r="I18" s="230"/>
      <c r="J18" s="230"/>
      <c r="K18" s="230"/>
      <c r="L18" s="230"/>
      <c r="M18" s="228"/>
      <c r="N18" s="2358"/>
      <c r="O18" s="2357"/>
      <c r="P18" s="2357"/>
      <c r="Q18" s="2357"/>
      <c r="R18" s="2381"/>
      <c r="S18" s="2381"/>
      <c r="T18" s="2381"/>
      <c r="U18" s="254"/>
      <c r="V18" s="228"/>
      <c r="W18" s="2357"/>
      <c r="X18" s="256"/>
      <c r="Y18" s="248"/>
      <c r="Z18" s="248"/>
      <c r="AA18" s="248"/>
      <c r="AB18" s="247"/>
      <c r="AC18" s="248"/>
      <c r="AD18" s="248"/>
      <c r="AE18" s="194"/>
      <c r="AF18" s="249"/>
      <c r="AG18" s="250"/>
      <c r="AH18" s="251"/>
      <c r="AI18" s="252"/>
      <c r="AJ18" s="1087">
        <f t="shared" si="7"/>
        <v>0</v>
      </c>
    </row>
    <row r="19" spans="2:36">
      <c r="B19" s="253">
        <f t="shared" si="1"/>
        <v>10</v>
      </c>
      <c r="C19" s="244"/>
      <c r="D19" s="654"/>
      <c r="E19" s="466"/>
      <c r="F19" s="612"/>
      <c r="G19" s="2973"/>
      <c r="H19" s="230"/>
      <c r="I19" s="230"/>
      <c r="J19" s="230"/>
      <c r="K19" s="230"/>
      <c r="L19" s="230"/>
      <c r="M19" s="228"/>
      <c r="N19" s="2358"/>
      <c r="O19" s="2357"/>
      <c r="P19" s="2357"/>
      <c r="Q19" s="2357"/>
      <c r="R19" s="2381"/>
      <c r="S19" s="2381"/>
      <c r="T19" s="2381"/>
      <c r="U19" s="254"/>
      <c r="V19" s="228"/>
      <c r="W19" s="2357"/>
      <c r="X19" s="256"/>
      <c r="Y19" s="248"/>
      <c r="Z19" s="248"/>
      <c r="AA19" s="248"/>
      <c r="AB19" s="247"/>
      <c r="AC19" s="248"/>
      <c r="AD19" s="248"/>
      <c r="AE19" s="194"/>
      <c r="AF19" s="249"/>
      <c r="AG19" s="250"/>
      <c r="AH19" s="251"/>
      <c r="AI19" s="252"/>
      <c r="AJ19" s="1087">
        <f t="shared" si="7"/>
        <v>0</v>
      </c>
    </row>
    <row r="20" spans="2:36">
      <c r="B20" s="253">
        <f t="shared" si="1"/>
        <v>11</v>
      </c>
      <c r="C20" s="244"/>
      <c r="D20" s="654"/>
      <c r="E20" s="466"/>
      <c r="F20" s="612"/>
      <c r="G20" s="2973"/>
      <c r="H20" s="230"/>
      <c r="I20" s="230"/>
      <c r="J20" s="230"/>
      <c r="K20" s="230"/>
      <c r="L20" s="230"/>
      <c r="M20" s="228"/>
      <c r="N20" s="2358"/>
      <c r="O20" s="2357"/>
      <c r="P20" s="2357"/>
      <c r="Q20" s="2357"/>
      <c r="R20" s="2381"/>
      <c r="S20" s="2381"/>
      <c r="T20" s="2381"/>
      <c r="U20" s="254"/>
      <c r="V20" s="228"/>
      <c r="W20" s="2357"/>
      <c r="X20" s="256"/>
      <c r="Y20" s="248"/>
      <c r="Z20" s="248"/>
      <c r="AA20" s="248"/>
      <c r="AB20" s="247"/>
      <c r="AC20" s="248"/>
      <c r="AD20" s="248"/>
      <c r="AE20" s="194"/>
      <c r="AF20" s="249"/>
      <c r="AG20" s="250"/>
      <c r="AH20" s="251"/>
      <c r="AI20" s="252"/>
      <c r="AJ20" s="1087">
        <f t="shared" si="7"/>
        <v>0</v>
      </c>
    </row>
    <row r="21" spans="2:36">
      <c r="B21" s="253">
        <f t="shared" si="1"/>
        <v>12</v>
      </c>
      <c r="C21" s="244"/>
      <c r="D21" s="654"/>
      <c r="E21" s="466"/>
      <c r="F21" s="612"/>
      <c r="G21" s="2973"/>
      <c r="H21" s="230"/>
      <c r="I21" s="230"/>
      <c r="J21" s="230"/>
      <c r="K21" s="230"/>
      <c r="L21" s="230"/>
      <c r="M21" s="228"/>
      <c r="N21" s="2358"/>
      <c r="O21" s="2357"/>
      <c r="P21" s="2357"/>
      <c r="Q21" s="2357"/>
      <c r="R21" s="2381"/>
      <c r="S21" s="2381"/>
      <c r="T21" s="2381"/>
      <c r="U21" s="254"/>
      <c r="V21" s="228"/>
      <c r="W21" s="2357"/>
      <c r="X21" s="256"/>
      <c r="Y21" s="248"/>
      <c r="Z21" s="248"/>
      <c r="AA21" s="248"/>
      <c r="AB21" s="247"/>
      <c r="AC21" s="248"/>
      <c r="AD21" s="248"/>
      <c r="AE21" s="194"/>
      <c r="AF21" s="249"/>
      <c r="AG21" s="250"/>
      <c r="AH21" s="251"/>
      <c r="AI21" s="252"/>
      <c r="AJ21" s="1087">
        <f t="shared" si="7"/>
        <v>0</v>
      </c>
    </row>
    <row r="22" spans="2:36">
      <c r="B22" s="253">
        <f t="shared" si="1"/>
        <v>13</v>
      </c>
      <c r="C22" s="244"/>
      <c r="D22" s="654"/>
      <c r="E22" s="466"/>
      <c r="F22" s="612"/>
      <c r="G22" s="2973"/>
      <c r="H22" s="230"/>
      <c r="I22" s="230"/>
      <c r="J22" s="230"/>
      <c r="K22" s="230"/>
      <c r="L22" s="230"/>
      <c r="M22" s="228"/>
      <c r="N22" s="257"/>
      <c r="O22" s="228"/>
      <c r="P22" s="228"/>
      <c r="Q22" s="2357"/>
      <c r="R22" s="258"/>
      <c r="S22" s="2381"/>
      <c r="T22" s="2381"/>
      <c r="U22" s="254"/>
      <c r="V22" s="228"/>
      <c r="W22" s="2357"/>
      <c r="X22" s="256"/>
      <c r="Y22" s="248"/>
      <c r="Z22" s="248"/>
      <c r="AA22" s="248"/>
      <c r="AB22" s="247"/>
      <c r="AC22" s="248"/>
      <c r="AD22" s="248"/>
      <c r="AE22" s="194"/>
      <c r="AF22" s="249"/>
      <c r="AG22" s="250"/>
      <c r="AH22" s="251"/>
      <c r="AI22" s="252"/>
      <c r="AJ22" s="1087">
        <f t="shared" si="7"/>
        <v>0</v>
      </c>
    </row>
    <row r="23" spans="2:36">
      <c r="B23" s="253">
        <f t="shared" si="1"/>
        <v>14</v>
      </c>
      <c r="C23" s="244"/>
      <c r="D23" s="654"/>
      <c r="E23" s="466"/>
      <c r="F23" s="612"/>
      <c r="G23" s="2973"/>
      <c r="H23" s="230"/>
      <c r="I23" s="230"/>
      <c r="J23" s="230"/>
      <c r="K23" s="230"/>
      <c r="L23" s="230"/>
      <c r="M23" s="228"/>
      <c r="N23" s="257"/>
      <c r="O23" s="228"/>
      <c r="P23" s="228"/>
      <c r="Q23" s="2357"/>
      <c r="R23" s="258"/>
      <c r="S23" s="2381"/>
      <c r="T23" s="2381"/>
      <c r="U23" s="254"/>
      <c r="V23" s="228"/>
      <c r="W23" s="2357"/>
      <c r="X23" s="256"/>
      <c r="Y23" s="248"/>
      <c r="Z23" s="248"/>
      <c r="AA23" s="248"/>
      <c r="AB23" s="247"/>
      <c r="AC23" s="248"/>
      <c r="AD23" s="248"/>
      <c r="AE23" s="194"/>
      <c r="AF23" s="249"/>
      <c r="AG23" s="250"/>
      <c r="AH23" s="251"/>
      <c r="AI23" s="252"/>
      <c r="AJ23" s="1087">
        <f t="shared" si="7"/>
        <v>0</v>
      </c>
    </row>
    <row r="24" spans="2:36">
      <c r="B24" s="253">
        <f t="shared" si="1"/>
        <v>15</v>
      </c>
      <c r="C24" s="244"/>
      <c r="D24" s="654"/>
      <c r="E24" s="466"/>
      <c r="F24" s="612"/>
      <c r="G24" s="2973"/>
      <c r="H24" s="230"/>
      <c r="I24" s="230"/>
      <c r="J24" s="230"/>
      <c r="K24" s="230"/>
      <c r="L24" s="230"/>
      <c r="M24" s="228"/>
      <c r="N24" s="257"/>
      <c r="O24" s="228"/>
      <c r="P24" s="228"/>
      <c r="Q24" s="2357"/>
      <c r="R24" s="258"/>
      <c r="S24" s="2381"/>
      <c r="T24" s="2381"/>
      <c r="U24" s="254"/>
      <c r="V24" s="228"/>
      <c r="W24" s="2357"/>
      <c r="X24" s="256"/>
      <c r="Y24" s="248"/>
      <c r="Z24" s="248"/>
      <c r="AA24" s="248"/>
      <c r="AB24" s="247"/>
      <c r="AC24" s="248"/>
      <c r="AD24" s="248"/>
      <c r="AE24" s="194"/>
      <c r="AF24" s="249"/>
      <c r="AG24" s="250"/>
      <c r="AH24" s="251"/>
      <c r="AI24" s="252"/>
      <c r="AJ24" s="1087">
        <f t="shared" si="7"/>
        <v>0</v>
      </c>
    </row>
    <row r="25" spans="2:36">
      <c r="B25" s="253">
        <f t="shared" si="1"/>
        <v>16</v>
      </c>
      <c r="C25" s="244"/>
      <c r="D25" s="654"/>
      <c r="E25" s="466"/>
      <c r="F25" s="612"/>
      <c r="G25" s="2973"/>
      <c r="H25" s="230"/>
      <c r="I25" s="230"/>
      <c r="J25" s="230"/>
      <c r="K25" s="230"/>
      <c r="L25" s="230"/>
      <c r="M25" s="228"/>
      <c r="N25" s="257"/>
      <c r="O25" s="228"/>
      <c r="P25" s="228"/>
      <c r="Q25" s="2357"/>
      <c r="R25" s="258"/>
      <c r="S25" s="2381"/>
      <c r="T25" s="2381"/>
      <c r="U25" s="254"/>
      <c r="V25" s="228"/>
      <c r="W25" s="2357"/>
      <c r="X25" s="256"/>
      <c r="Y25" s="248"/>
      <c r="Z25" s="248"/>
      <c r="AA25" s="248"/>
      <c r="AB25" s="247"/>
      <c r="AC25" s="248"/>
      <c r="AD25" s="248"/>
      <c r="AE25" s="194"/>
      <c r="AF25" s="249"/>
      <c r="AG25" s="250"/>
      <c r="AH25" s="251"/>
      <c r="AI25" s="252"/>
      <c r="AJ25" s="1087">
        <f t="shared" si="7"/>
        <v>0</v>
      </c>
    </row>
    <row r="26" spans="2:36">
      <c r="B26" s="253">
        <f t="shared" si="1"/>
        <v>17</v>
      </c>
      <c r="C26" s="244"/>
      <c r="D26" s="654"/>
      <c r="E26" s="466"/>
      <c r="F26" s="612"/>
      <c r="G26" s="2973"/>
      <c r="H26" s="230"/>
      <c r="I26" s="230"/>
      <c r="J26" s="230"/>
      <c r="K26" s="230"/>
      <c r="L26" s="230"/>
      <c r="M26" s="228"/>
      <c r="N26" s="257"/>
      <c r="O26" s="228"/>
      <c r="P26" s="228"/>
      <c r="Q26" s="2357"/>
      <c r="R26" s="258"/>
      <c r="S26" s="2381"/>
      <c r="T26" s="2381"/>
      <c r="U26" s="254"/>
      <c r="V26" s="228"/>
      <c r="W26" s="2357"/>
      <c r="X26" s="256"/>
      <c r="Y26" s="248"/>
      <c r="Z26" s="248"/>
      <c r="AA26" s="248"/>
      <c r="AB26" s="247"/>
      <c r="AC26" s="248"/>
      <c r="AD26" s="248"/>
      <c r="AE26" s="194"/>
      <c r="AF26" s="249"/>
      <c r="AG26" s="250"/>
      <c r="AH26" s="251"/>
      <c r="AI26" s="252"/>
      <c r="AJ26" s="1087">
        <f t="shared" si="7"/>
        <v>0</v>
      </c>
    </row>
    <row r="27" spans="2:36">
      <c r="B27" s="253">
        <f t="shared" si="1"/>
        <v>18</v>
      </c>
      <c r="C27" s="244"/>
      <c r="D27" s="654"/>
      <c r="E27" s="466"/>
      <c r="F27" s="612"/>
      <c r="G27" s="2973"/>
      <c r="H27" s="230"/>
      <c r="I27" s="230"/>
      <c r="J27" s="230"/>
      <c r="K27" s="230"/>
      <c r="L27" s="230"/>
      <c r="M27" s="228"/>
      <c r="N27" s="257"/>
      <c r="O27" s="228"/>
      <c r="P27" s="228"/>
      <c r="Q27" s="2357"/>
      <c r="R27" s="258"/>
      <c r="S27" s="2381"/>
      <c r="T27" s="2381"/>
      <c r="U27" s="254"/>
      <c r="V27" s="228"/>
      <c r="W27" s="2357"/>
      <c r="X27" s="256"/>
      <c r="Y27" s="248"/>
      <c r="Z27" s="248"/>
      <c r="AA27" s="248"/>
      <c r="AB27" s="247"/>
      <c r="AC27" s="248"/>
      <c r="AD27" s="248"/>
      <c r="AE27" s="194"/>
      <c r="AF27" s="249"/>
      <c r="AG27" s="250"/>
      <c r="AH27" s="251"/>
      <c r="AI27" s="252"/>
      <c r="AJ27" s="1087">
        <f t="shared" si="7"/>
        <v>0</v>
      </c>
    </row>
    <row r="28" spans="2:36">
      <c r="B28" s="253">
        <f t="shared" si="1"/>
        <v>19</v>
      </c>
      <c r="C28" s="244"/>
      <c r="D28" s="654"/>
      <c r="E28" s="466"/>
      <c r="F28" s="612"/>
      <c r="G28" s="2973"/>
      <c r="H28" s="230"/>
      <c r="I28" s="230"/>
      <c r="J28" s="230"/>
      <c r="K28" s="230"/>
      <c r="L28" s="230"/>
      <c r="M28" s="228"/>
      <c r="N28" s="257"/>
      <c r="O28" s="228"/>
      <c r="P28" s="228"/>
      <c r="Q28" s="2357"/>
      <c r="R28" s="258"/>
      <c r="S28" s="2381"/>
      <c r="T28" s="2381"/>
      <c r="U28" s="254"/>
      <c r="V28" s="228"/>
      <c r="W28" s="2357"/>
      <c r="X28" s="256"/>
      <c r="Y28" s="248"/>
      <c r="Z28" s="248"/>
      <c r="AA28" s="248"/>
      <c r="AB28" s="247"/>
      <c r="AC28" s="248"/>
      <c r="AD28" s="248"/>
      <c r="AE28" s="194"/>
      <c r="AF28" s="249"/>
      <c r="AG28" s="250"/>
      <c r="AH28" s="251"/>
      <c r="AI28" s="252"/>
    </row>
    <row r="29" spans="2:36">
      <c r="B29" s="253">
        <f t="shared" si="1"/>
        <v>20</v>
      </c>
      <c r="C29" s="244"/>
      <c r="D29" s="654"/>
      <c r="E29" s="466"/>
      <c r="F29" s="612"/>
      <c r="G29" s="2973"/>
      <c r="H29" s="230"/>
      <c r="I29" s="230"/>
      <c r="J29" s="230"/>
      <c r="K29" s="230"/>
      <c r="L29" s="230"/>
      <c r="M29" s="228"/>
      <c r="N29" s="257"/>
      <c r="O29" s="228"/>
      <c r="P29" s="228"/>
      <c r="Q29" s="2357"/>
      <c r="R29" s="258"/>
      <c r="S29" s="2381"/>
      <c r="T29" s="2381"/>
      <c r="U29" s="254"/>
      <c r="V29" s="228"/>
      <c r="W29" s="2357"/>
      <c r="X29" s="256"/>
      <c r="Y29" s="248"/>
      <c r="Z29" s="248"/>
      <c r="AA29" s="248"/>
      <c r="AB29" s="247"/>
      <c r="AC29" s="248"/>
      <c r="AD29" s="248"/>
      <c r="AE29" s="194"/>
      <c r="AF29" s="249"/>
      <c r="AG29" s="250"/>
      <c r="AH29" s="251"/>
      <c r="AI29" s="252"/>
    </row>
    <row r="30" spans="2:36">
      <c r="B30" s="253">
        <f t="shared" si="1"/>
        <v>21</v>
      </c>
      <c r="C30" s="244"/>
      <c r="D30" s="654"/>
      <c r="E30" s="466"/>
      <c r="F30" s="612"/>
      <c r="G30" s="2973"/>
      <c r="H30" s="230"/>
      <c r="I30" s="230"/>
      <c r="J30" s="230"/>
      <c r="K30" s="230"/>
      <c r="L30" s="230"/>
      <c r="M30" s="228"/>
      <c r="N30" s="257"/>
      <c r="O30" s="228"/>
      <c r="P30" s="228"/>
      <c r="Q30" s="2357"/>
      <c r="R30" s="258"/>
      <c r="S30" s="2381"/>
      <c r="T30" s="2381"/>
      <c r="U30" s="254"/>
      <c r="V30" s="228"/>
      <c r="W30" s="2357"/>
      <c r="X30" s="256"/>
      <c r="Y30" s="248"/>
      <c r="Z30" s="248"/>
      <c r="AA30" s="248"/>
      <c r="AB30" s="247"/>
      <c r="AC30" s="248"/>
      <c r="AD30" s="248"/>
      <c r="AE30" s="194"/>
      <c r="AF30" s="249"/>
      <c r="AG30" s="250"/>
      <c r="AH30" s="251"/>
      <c r="AI30" s="252"/>
    </row>
    <row r="31" spans="2:36">
      <c r="B31" s="253">
        <f t="shared" si="1"/>
        <v>22</v>
      </c>
      <c r="C31" s="244"/>
      <c r="D31" s="654"/>
      <c r="E31" s="466"/>
      <c r="F31" s="612"/>
      <c r="G31" s="2973"/>
      <c r="H31" s="230"/>
      <c r="I31" s="230"/>
      <c r="J31" s="230"/>
      <c r="K31" s="230"/>
      <c r="L31" s="230"/>
      <c r="M31" s="228"/>
      <c r="N31" s="257"/>
      <c r="O31" s="228"/>
      <c r="P31" s="228"/>
      <c r="Q31" s="2357"/>
      <c r="R31" s="258"/>
      <c r="S31" s="2381"/>
      <c r="T31" s="2381"/>
      <c r="U31" s="254"/>
      <c r="V31" s="228"/>
      <c r="W31" s="2357"/>
      <c r="X31" s="256"/>
      <c r="Y31" s="248"/>
      <c r="Z31" s="248"/>
      <c r="AA31" s="248"/>
      <c r="AB31" s="247"/>
      <c r="AC31" s="248"/>
      <c r="AD31" s="248"/>
      <c r="AE31" s="194"/>
      <c r="AF31" s="249"/>
      <c r="AG31" s="250"/>
      <c r="AH31" s="251"/>
      <c r="AI31" s="252"/>
    </row>
    <row r="32" spans="2:36">
      <c r="B32" s="253">
        <f t="shared" si="1"/>
        <v>23</v>
      </c>
      <c r="C32" s="244"/>
      <c r="D32" s="654"/>
      <c r="E32" s="466"/>
      <c r="F32" s="612"/>
      <c r="G32" s="2973"/>
      <c r="H32" s="230"/>
      <c r="I32" s="230"/>
      <c r="J32" s="230"/>
      <c r="K32" s="230"/>
      <c r="L32" s="230"/>
      <c r="M32" s="228"/>
      <c r="N32" s="257"/>
      <c r="O32" s="228"/>
      <c r="P32" s="228"/>
      <c r="Q32" s="2357"/>
      <c r="R32" s="258"/>
      <c r="S32" s="2381"/>
      <c r="T32" s="2381"/>
      <c r="U32" s="254"/>
      <c r="V32" s="228"/>
      <c r="W32" s="2357"/>
      <c r="X32" s="256"/>
      <c r="Y32" s="248"/>
      <c r="Z32" s="248"/>
      <c r="AA32" s="248"/>
      <c r="AB32" s="247"/>
      <c r="AC32" s="248"/>
      <c r="AD32" s="248"/>
      <c r="AE32" s="194"/>
      <c r="AF32" s="249"/>
      <c r="AG32" s="250"/>
      <c r="AH32" s="251"/>
      <c r="AI32" s="252"/>
    </row>
    <row r="33" spans="2:35">
      <c r="B33" s="253">
        <f t="shared" si="1"/>
        <v>24</v>
      </c>
      <c r="C33" s="244"/>
      <c r="D33" s="654"/>
      <c r="E33" s="466"/>
      <c r="F33" s="612"/>
      <c r="G33" s="2973"/>
      <c r="H33" s="230"/>
      <c r="I33" s="230"/>
      <c r="J33" s="230"/>
      <c r="K33" s="230"/>
      <c r="L33" s="230"/>
      <c r="M33" s="228"/>
      <c r="N33" s="257"/>
      <c r="O33" s="228"/>
      <c r="P33" s="228"/>
      <c r="Q33" s="2357"/>
      <c r="R33" s="258"/>
      <c r="S33" s="2381"/>
      <c r="T33" s="2381"/>
      <c r="U33" s="254"/>
      <c r="V33" s="228"/>
      <c r="W33" s="2357"/>
      <c r="X33" s="256"/>
      <c r="Y33" s="248"/>
      <c r="Z33" s="248"/>
      <c r="AA33" s="248"/>
      <c r="AB33" s="247"/>
      <c r="AC33" s="248"/>
      <c r="AD33" s="248"/>
      <c r="AE33" s="194"/>
      <c r="AF33" s="249"/>
      <c r="AG33" s="250"/>
      <c r="AH33" s="251"/>
      <c r="AI33" s="252"/>
    </row>
    <row r="34" spans="2:35">
      <c r="B34" s="253">
        <f t="shared" si="1"/>
        <v>25</v>
      </c>
      <c r="C34" s="244"/>
      <c r="D34" s="654"/>
      <c r="E34" s="466"/>
      <c r="F34" s="612"/>
      <c r="G34" s="2973"/>
      <c r="H34" s="230"/>
      <c r="I34" s="230"/>
      <c r="J34" s="230"/>
      <c r="K34" s="230"/>
      <c r="L34" s="230"/>
      <c r="M34" s="228"/>
      <c r="N34" s="257"/>
      <c r="O34" s="228"/>
      <c r="P34" s="228"/>
      <c r="Q34" s="2357"/>
      <c r="R34" s="258"/>
      <c r="S34" s="2381"/>
      <c r="T34" s="2381"/>
      <c r="U34" s="254"/>
      <c r="V34" s="228"/>
      <c r="W34" s="2357"/>
      <c r="X34" s="256"/>
      <c r="Y34" s="248"/>
      <c r="Z34" s="248"/>
      <c r="AA34" s="248"/>
      <c r="AB34" s="247"/>
      <c r="AC34" s="248"/>
      <c r="AD34" s="248"/>
      <c r="AE34" s="194"/>
      <c r="AF34" s="249"/>
      <c r="AG34" s="250"/>
      <c r="AH34" s="251"/>
      <c r="AI34" s="252"/>
    </row>
    <row r="35" spans="2:35">
      <c r="B35" s="253">
        <f t="shared" si="1"/>
        <v>26</v>
      </c>
      <c r="C35" s="244"/>
      <c r="D35" s="654"/>
      <c r="E35" s="466"/>
      <c r="F35" s="612"/>
      <c r="G35" s="2973"/>
      <c r="H35" s="230"/>
      <c r="I35" s="230"/>
      <c r="J35" s="230"/>
      <c r="K35" s="230"/>
      <c r="L35" s="230"/>
      <c r="M35" s="228"/>
      <c r="N35" s="257"/>
      <c r="O35" s="228"/>
      <c r="P35" s="228"/>
      <c r="Q35" s="2357"/>
      <c r="R35" s="258"/>
      <c r="S35" s="2381"/>
      <c r="T35" s="2381"/>
      <c r="U35" s="254"/>
      <c r="V35" s="228"/>
      <c r="W35" s="2357"/>
      <c r="X35" s="256"/>
      <c r="Y35" s="248"/>
      <c r="Z35" s="248"/>
      <c r="AA35" s="248"/>
      <c r="AB35" s="247"/>
      <c r="AC35" s="248"/>
      <c r="AD35" s="248"/>
      <c r="AE35" s="194"/>
      <c r="AF35" s="249"/>
      <c r="AG35" s="250"/>
      <c r="AH35" s="251"/>
      <c r="AI35" s="252"/>
    </row>
    <row r="36" spans="2:35">
      <c r="B36" s="253">
        <f t="shared" si="1"/>
        <v>27</v>
      </c>
      <c r="C36" s="244"/>
      <c r="D36" s="654"/>
      <c r="E36" s="466"/>
      <c r="F36" s="612"/>
      <c r="G36" s="2973"/>
      <c r="H36" s="230"/>
      <c r="I36" s="230"/>
      <c r="J36" s="230"/>
      <c r="K36" s="230"/>
      <c r="L36" s="230"/>
      <c r="M36" s="228"/>
      <c r="N36" s="257"/>
      <c r="O36" s="228"/>
      <c r="P36" s="228"/>
      <c r="Q36" s="2357"/>
      <c r="R36" s="258"/>
      <c r="S36" s="2381"/>
      <c r="T36" s="2381"/>
      <c r="U36" s="254"/>
      <c r="V36" s="228"/>
      <c r="W36" s="2357"/>
      <c r="X36" s="256"/>
      <c r="Y36" s="248"/>
      <c r="Z36" s="248"/>
      <c r="AA36" s="248"/>
      <c r="AB36" s="247"/>
      <c r="AC36" s="248"/>
      <c r="AD36" s="248"/>
      <c r="AE36" s="194"/>
      <c r="AF36" s="249"/>
      <c r="AG36" s="250"/>
      <c r="AH36" s="251"/>
      <c r="AI36" s="252"/>
    </row>
    <row r="37" spans="2:35">
      <c r="B37" s="253">
        <f t="shared" si="1"/>
        <v>28</v>
      </c>
      <c r="C37" s="244"/>
      <c r="D37" s="654"/>
      <c r="E37" s="466"/>
      <c r="F37" s="612"/>
      <c r="G37" s="2973"/>
      <c r="H37" s="230"/>
      <c r="I37" s="230"/>
      <c r="J37" s="230"/>
      <c r="K37" s="230"/>
      <c r="L37" s="230"/>
      <c r="M37" s="228"/>
      <c r="N37" s="257"/>
      <c r="O37" s="228"/>
      <c r="P37" s="228"/>
      <c r="Q37" s="2357"/>
      <c r="R37" s="258"/>
      <c r="S37" s="2381"/>
      <c r="T37" s="2381"/>
      <c r="U37" s="254"/>
      <c r="V37" s="228"/>
      <c r="W37" s="2357"/>
      <c r="X37" s="256"/>
      <c r="Y37" s="248"/>
      <c r="Z37" s="248"/>
      <c r="AA37" s="248"/>
      <c r="AB37" s="247"/>
      <c r="AC37" s="248"/>
      <c r="AD37" s="248"/>
      <c r="AE37" s="194"/>
      <c r="AF37" s="249"/>
      <c r="AG37" s="250"/>
      <c r="AH37" s="251"/>
      <c r="AI37" s="252"/>
    </row>
    <row r="38" spans="2:35">
      <c r="B38" s="253">
        <f t="shared" si="1"/>
        <v>29</v>
      </c>
      <c r="C38" s="244"/>
      <c r="D38" s="654"/>
      <c r="E38" s="466"/>
      <c r="F38" s="612"/>
      <c r="G38" s="2973"/>
      <c r="H38" s="230"/>
      <c r="I38" s="230"/>
      <c r="J38" s="230"/>
      <c r="K38" s="230"/>
      <c r="L38" s="230"/>
      <c r="M38" s="228"/>
      <c r="N38" s="257"/>
      <c r="O38" s="228"/>
      <c r="P38" s="228"/>
      <c r="Q38" s="2357"/>
      <c r="R38" s="258"/>
      <c r="S38" s="2381"/>
      <c r="T38" s="2381"/>
      <c r="U38" s="254"/>
      <c r="V38" s="228"/>
      <c r="W38" s="2357"/>
      <c r="X38" s="256"/>
      <c r="Y38" s="248"/>
      <c r="Z38" s="248"/>
      <c r="AA38" s="248"/>
      <c r="AB38" s="247"/>
      <c r="AC38" s="248"/>
      <c r="AD38" s="248"/>
      <c r="AE38" s="194"/>
      <c r="AF38" s="249"/>
      <c r="AG38" s="250"/>
      <c r="AH38" s="251"/>
      <c r="AI38" s="252"/>
    </row>
    <row r="39" spans="2:35">
      <c r="B39" s="253">
        <f t="shared" si="1"/>
        <v>30</v>
      </c>
      <c r="C39" s="244"/>
      <c r="D39" s="654"/>
      <c r="E39" s="466"/>
      <c r="F39" s="612"/>
      <c r="G39" s="2973"/>
      <c r="H39" s="230"/>
      <c r="I39" s="230"/>
      <c r="J39" s="230"/>
      <c r="K39" s="230"/>
      <c r="L39" s="230"/>
      <c r="M39" s="228"/>
      <c r="N39" s="257"/>
      <c r="O39" s="228"/>
      <c r="P39" s="228"/>
      <c r="Q39" s="2357"/>
      <c r="R39" s="258"/>
      <c r="S39" s="2381"/>
      <c r="T39" s="2381"/>
      <c r="U39" s="254"/>
      <c r="V39" s="228"/>
      <c r="W39" s="2357"/>
      <c r="X39" s="256"/>
      <c r="Y39" s="248"/>
      <c r="Z39" s="248"/>
      <c r="AA39" s="248"/>
      <c r="AB39" s="247"/>
      <c r="AC39" s="248"/>
      <c r="AD39" s="248"/>
      <c r="AE39" s="194"/>
      <c r="AF39" s="249"/>
      <c r="AG39" s="250"/>
      <c r="AH39" s="251"/>
      <c r="AI39" s="252"/>
    </row>
    <row r="40" spans="2:35">
      <c r="B40" s="253">
        <f t="shared" si="1"/>
        <v>31</v>
      </c>
      <c r="C40" s="244"/>
      <c r="D40" s="654"/>
      <c r="E40" s="466"/>
      <c r="F40" s="612"/>
      <c r="G40" s="2973"/>
      <c r="H40" s="230"/>
      <c r="I40" s="230"/>
      <c r="J40" s="230"/>
      <c r="K40" s="230"/>
      <c r="L40" s="230"/>
      <c r="M40" s="228"/>
      <c r="N40" s="257"/>
      <c r="O40" s="228"/>
      <c r="P40" s="228"/>
      <c r="Q40" s="2357"/>
      <c r="R40" s="258"/>
      <c r="S40" s="2381"/>
      <c r="T40" s="2381"/>
      <c r="U40" s="254"/>
      <c r="V40" s="228"/>
      <c r="W40" s="2357"/>
      <c r="X40" s="256"/>
      <c r="Y40" s="248"/>
      <c r="Z40" s="248"/>
      <c r="AA40" s="248"/>
      <c r="AB40" s="247"/>
      <c r="AC40" s="248"/>
      <c r="AD40" s="248"/>
      <c r="AE40" s="194"/>
      <c r="AF40" s="249"/>
      <c r="AG40" s="250"/>
      <c r="AH40" s="251"/>
      <c r="AI40" s="252"/>
    </row>
    <row r="41" spans="2:35">
      <c r="B41" s="253">
        <f t="shared" si="1"/>
        <v>32</v>
      </c>
      <c r="C41" s="244"/>
      <c r="D41" s="654"/>
      <c r="E41" s="466"/>
      <c r="F41" s="612"/>
      <c r="G41" s="2973"/>
      <c r="H41" s="230"/>
      <c r="I41" s="230"/>
      <c r="J41" s="230"/>
      <c r="K41" s="230"/>
      <c r="L41" s="230"/>
      <c r="M41" s="228"/>
      <c r="N41" s="257"/>
      <c r="O41" s="228"/>
      <c r="P41" s="228"/>
      <c r="Q41" s="2357"/>
      <c r="R41" s="258"/>
      <c r="S41" s="2381"/>
      <c r="T41" s="2381"/>
      <c r="U41" s="254"/>
      <c r="V41" s="228"/>
      <c r="W41" s="2357"/>
      <c r="X41" s="256"/>
      <c r="Y41" s="248"/>
      <c r="Z41" s="248"/>
      <c r="AA41" s="248"/>
      <c r="AB41" s="247"/>
      <c r="AC41" s="248"/>
      <c r="AD41" s="248"/>
      <c r="AE41" s="194"/>
      <c r="AF41" s="249"/>
      <c r="AG41" s="250"/>
      <c r="AH41" s="251"/>
      <c r="AI41" s="252"/>
    </row>
    <row r="42" spans="2:35">
      <c r="B42" s="253">
        <f t="shared" si="1"/>
        <v>33</v>
      </c>
      <c r="C42" s="244"/>
      <c r="D42" s="654"/>
      <c r="E42" s="466"/>
      <c r="F42" s="612"/>
      <c r="G42" s="2973"/>
      <c r="H42" s="230"/>
      <c r="I42" s="230"/>
      <c r="J42" s="230"/>
      <c r="K42" s="230"/>
      <c r="L42" s="230"/>
      <c r="M42" s="228"/>
      <c r="N42" s="257"/>
      <c r="O42" s="228"/>
      <c r="P42" s="228"/>
      <c r="Q42" s="2357"/>
      <c r="R42" s="258"/>
      <c r="S42" s="2381"/>
      <c r="T42" s="2381"/>
      <c r="U42" s="254"/>
      <c r="V42" s="228"/>
      <c r="W42" s="2357"/>
      <c r="X42" s="256"/>
      <c r="Y42" s="248"/>
      <c r="Z42" s="248"/>
      <c r="AA42" s="248"/>
      <c r="AB42" s="247"/>
      <c r="AC42" s="248"/>
      <c r="AD42" s="248"/>
      <c r="AE42" s="194"/>
      <c r="AF42" s="249"/>
      <c r="AG42" s="250"/>
      <c r="AH42" s="251"/>
      <c r="AI42" s="252"/>
    </row>
    <row r="43" spans="2:35">
      <c r="B43" s="253">
        <f t="shared" si="1"/>
        <v>34</v>
      </c>
      <c r="C43" s="244"/>
      <c r="D43" s="654"/>
      <c r="E43" s="466"/>
      <c r="F43" s="612"/>
      <c r="G43" s="2973"/>
      <c r="H43" s="230"/>
      <c r="I43" s="230"/>
      <c r="J43" s="230"/>
      <c r="K43" s="230"/>
      <c r="L43" s="230"/>
      <c r="M43" s="228"/>
      <c r="N43" s="257"/>
      <c r="O43" s="228"/>
      <c r="P43" s="228"/>
      <c r="Q43" s="2357"/>
      <c r="R43" s="258"/>
      <c r="S43" s="2381"/>
      <c r="T43" s="2381"/>
      <c r="U43" s="254"/>
      <c r="V43" s="228"/>
      <c r="W43" s="2357"/>
      <c r="X43" s="256"/>
      <c r="Y43" s="248"/>
      <c r="Z43" s="248"/>
      <c r="AA43" s="248"/>
      <c r="AB43" s="247"/>
      <c r="AC43" s="248"/>
      <c r="AD43" s="248"/>
      <c r="AE43" s="194"/>
      <c r="AF43" s="249"/>
      <c r="AG43" s="250"/>
      <c r="AH43" s="251"/>
      <c r="AI43" s="252"/>
    </row>
    <row r="44" spans="2:35">
      <c r="B44" s="253">
        <f t="shared" si="1"/>
        <v>35</v>
      </c>
      <c r="C44" s="244"/>
      <c r="D44" s="654"/>
      <c r="E44" s="466"/>
      <c r="F44" s="612"/>
      <c r="G44" s="2973"/>
      <c r="H44" s="230"/>
      <c r="I44" s="230"/>
      <c r="J44" s="230"/>
      <c r="K44" s="230"/>
      <c r="L44" s="230"/>
      <c r="M44" s="228"/>
      <c r="N44" s="257"/>
      <c r="O44" s="228"/>
      <c r="P44" s="228"/>
      <c r="Q44" s="2357"/>
      <c r="R44" s="258"/>
      <c r="S44" s="2381"/>
      <c r="T44" s="2381"/>
      <c r="U44" s="254"/>
      <c r="V44" s="228"/>
      <c r="W44" s="2357"/>
      <c r="X44" s="256"/>
      <c r="Y44" s="248"/>
      <c r="Z44" s="248"/>
      <c r="AA44" s="248"/>
      <c r="AB44" s="247"/>
      <c r="AC44" s="248"/>
      <c r="AD44" s="248"/>
      <c r="AE44" s="194"/>
      <c r="AF44" s="249"/>
      <c r="AG44" s="250"/>
      <c r="AH44" s="251"/>
      <c r="AI44" s="252"/>
    </row>
    <row r="45" spans="2:35">
      <c r="B45" s="253">
        <f t="shared" si="1"/>
        <v>36</v>
      </c>
      <c r="C45" s="244"/>
      <c r="D45" s="654"/>
      <c r="E45" s="466"/>
      <c r="F45" s="612"/>
      <c r="G45" s="2973"/>
      <c r="H45" s="230"/>
      <c r="I45" s="230"/>
      <c r="J45" s="230"/>
      <c r="K45" s="230"/>
      <c r="L45" s="230"/>
      <c r="M45" s="228"/>
      <c r="N45" s="257"/>
      <c r="O45" s="228"/>
      <c r="P45" s="228"/>
      <c r="Q45" s="2357"/>
      <c r="R45" s="258"/>
      <c r="S45" s="2381"/>
      <c r="T45" s="2381"/>
      <c r="U45" s="254"/>
      <c r="V45" s="228"/>
      <c r="W45" s="2357"/>
      <c r="X45" s="256"/>
      <c r="Y45" s="248"/>
      <c r="Z45" s="248"/>
      <c r="AA45" s="248"/>
      <c r="AB45" s="247"/>
      <c r="AC45" s="248"/>
      <c r="AD45" s="248"/>
      <c r="AE45" s="194"/>
      <c r="AF45" s="249"/>
      <c r="AG45" s="250"/>
      <c r="AH45" s="251"/>
      <c r="AI45" s="252"/>
    </row>
    <row r="46" spans="2:35">
      <c r="B46" s="253">
        <f t="shared" si="1"/>
        <v>37</v>
      </c>
      <c r="C46" s="244"/>
      <c r="D46" s="654"/>
      <c r="E46" s="466"/>
      <c r="F46" s="612"/>
      <c r="G46" s="2973"/>
      <c r="H46" s="230"/>
      <c r="I46" s="230"/>
      <c r="J46" s="230"/>
      <c r="K46" s="230"/>
      <c r="L46" s="230"/>
      <c r="M46" s="228"/>
      <c r="N46" s="257"/>
      <c r="O46" s="228"/>
      <c r="P46" s="228"/>
      <c r="Q46" s="2357"/>
      <c r="R46" s="258"/>
      <c r="S46" s="2381"/>
      <c r="T46" s="2381"/>
      <c r="U46" s="254"/>
      <c r="V46" s="228"/>
      <c r="W46" s="2357"/>
      <c r="X46" s="256"/>
      <c r="Y46" s="248"/>
      <c r="Z46" s="248"/>
      <c r="AA46" s="248"/>
      <c r="AB46" s="247"/>
      <c r="AC46" s="248"/>
      <c r="AD46" s="248"/>
      <c r="AE46" s="194"/>
      <c r="AF46" s="249"/>
      <c r="AG46" s="250"/>
      <c r="AH46" s="251"/>
      <c r="AI46" s="252"/>
    </row>
    <row r="47" spans="2:35">
      <c r="B47" s="253">
        <f t="shared" si="1"/>
        <v>38</v>
      </c>
      <c r="C47" s="244"/>
      <c r="D47" s="654"/>
      <c r="E47" s="466"/>
      <c r="F47" s="612"/>
      <c r="G47" s="2973"/>
      <c r="H47" s="230"/>
      <c r="I47" s="230"/>
      <c r="J47" s="230"/>
      <c r="K47" s="230"/>
      <c r="L47" s="230"/>
      <c r="M47" s="228"/>
      <c r="N47" s="257"/>
      <c r="O47" s="228"/>
      <c r="P47" s="228"/>
      <c r="Q47" s="2357"/>
      <c r="R47" s="258"/>
      <c r="S47" s="2381"/>
      <c r="T47" s="2381"/>
      <c r="U47" s="254"/>
      <c r="V47" s="228"/>
      <c r="W47" s="2357"/>
      <c r="X47" s="256"/>
      <c r="Y47" s="248"/>
      <c r="Z47" s="248"/>
      <c r="AA47" s="248"/>
      <c r="AB47" s="247"/>
      <c r="AC47" s="248"/>
      <c r="AD47" s="248"/>
      <c r="AE47" s="194"/>
      <c r="AF47" s="249"/>
      <c r="AG47" s="250"/>
      <c r="AH47" s="251"/>
      <c r="AI47" s="252"/>
    </row>
    <row r="48" spans="2:35">
      <c r="B48" s="253">
        <f t="shared" si="1"/>
        <v>39</v>
      </c>
      <c r="C48" s="244"/>
      <c r="D48" s="654"/>
      <c r="E48" s="466"/>
      <c r="F48" s="612"/>
      <c r="G48" s="2973"/>
      <c r="H48" s="230"/>
      <c r="I48" s="230"/>
      <c r="J48" s="230"/>
      <c r="K48" s="230"/>
      <c r="L48" s="230"/>
      <c r="M48" s="228"/>
      <c r="N48" s="257"/>
      <c r="O48" s="228"/>
      <c r="P48" s="228"/>
      <c r="Q48" s="2357"/>
      <c r="R48" s="258"/>
      <c r="S48" s="2381"/>
      <c r="T48" s="2381"/>
      <c r="U48" s="254"/>
      <c r="V48" s="228"/>
      <c r="W48" s="2357"/>
      <c r="X48" s="256"/>
      <c r="Y48" s="248"/>
      <c r="Z48" s="248"/>
      <c r="AA48" s="248"/>
      <c r="AB48" s="247"/>
      <c r="AC48" s="248"/>
      <c r="AD48" s="248"/>
      <c r="AE48" s="194"/>
      <c r="AF48" s="249"/>
      <c r="AG48" s="250"/>
      <c r="AH48" s="251"/>
      <c r="AI48" s="252"/>
    </row>
    <row r="49" spans="2:35">
      <c r="B49" s="253">
        <f t="shared" si="1"/>
        <v>40</v>
      </c>
      <c r="C49" s="244"/>
      <c r="D49" s="654"/>
      <c r="E49" s="466"/>
      <c r="F49" s="612"/>
      <c r="G49" s="2973"/>
      <c r="H49" s="230"/>
      <c r="I49" s="230"/>
      <c r="J49" s="230"/>
      <c r="K49" s="230"/>
      <c r="L49" s="230"/>
      <c r="M49" s="228"/>
      <c r="N49" s="257"/>
      <c r="O49" s="228"/>
      <c r="P49" s="228"/>
      <c r="Q49" s="2357"/>
      <c r="R49" s="258"/>
      <c r="S49" s="2381"/>
      <c r="T49" s="2381"/>
      <c r="U49" s="254"/>
      <c r="V49" s="228"/>
      <c r="W49" s="2357"/>
      <c r="X49" s="256"/>
      <c r="Y49" s="248"/>
      <c r="Z49" s="248"/>
      <c r="AA49" s="248"/>
      <c r="AB49" s="247"/>
      <c r="AC49" s="248"/>
      <c r="AD49" s="248"/>
      <c r="AE49" s="194"/>
      <c r="AF49" s="249"/>
      <c r="AG49" s="250"/>
      <c r="AH49" s="251"/>
      <c r="AI49" s="252"/>
    </row>
    <row r="50" spans="2:35">
      <c r="B50" s="253">
        <f t="shared" si="1"/>
        <v>41</v>
      </c>
      <c r="C50" s="244"/>
      <c r="D50" s="654"/>
      <c r="E50" s="466"/>
      <c r="F50" s="612"/>
      <c r="G50" s="2973"/>
      <c r="H50" s="230"/>
      <c r="I50" s="230"/>
      <c r="J50" s="230"/>
      <c r="K50" s="230"/>
      <c r="L50" s="230"/>
      <c r="M50" s="228"/>
      <c r="N50" s="257"/>
      <c r="O50" s="228"/>
      <c r="P50" s="228"/>
      <c r="Q50" s="2357"/>
      <c r="R50" s="258"/>
      <c r="S50" s="2381"/>
      <c r="T50" s="2381"/>
      <c r="U50" s="254"/>
      <c r="V50" s="228"/>
      <c r="W50" s="2357"/>
      <c r="X50" s="256"/>
      <c r="Y50" s="248"/>
      <c r="Z50" s="248"/>
      <c r="AA50" s="248"/>
      <c r="AB50" s="247"/>
      <c r="AC50" s="248"/>
      <c r="AD50" s="248"/>
      <c r="AE50" s="194"/>
      <c r="AF50" s="249"/>
      <c r="AG50" s="250"/>
      <c r="AH50" s="251"/>
      <c r="AI50" s="252"/>
    </row>
    <row r="51" spans="2:35">
      <c r="B51" s="253">
        <f t="shared" si="1"/>
        <v>42</v>
      </c>
      <c r="C51" s="244"/>
      <c r="D51" s="654"/>
      <c r="E51" s="466"/>
      <c r="F51" s="612"/>
      <c r="G51" s="2973"/>
      <c r="H51" s="230"/>
      <c r="I51" s="230"/>
      <c r="J51" s="230"/>
      <c r="K51" s="230"/>
      <c r="L51" s="230"/>
      <c r="M51" s="228"/>
      <c r="N51" s="257"/>
      <c r="O51" s="228"/>
      <c r="P51" s="228"/>
      <c r="Q51" s="2357"/>
      <c r="R51" s="258"/>
      <c r="S51" s="2381"/>
      <c r="T51" s="2381"/>
      <c r="U51" s="254"/>
      <c r="V51" s="228"/>
      <c r="W51" s="2357"/>
      <c r="X51" s="256"/>
      <c r="Y51" s="248"/>
      <c r="Z51" s="248"/>
      <c r="AA51" s="248"/>
      <c r="AB51" s="247"/>
      <c r="AC51" s="248"/>
      <c r="AD51" s="248"/>
      <c r="AE51" s="194"/>
      <c r="AF51" s="249"/>
      <c r="AG51" s="250"/>
      <c r="AH51" s="251"/>
      <c r="AI51" s="252"/>
    </row>
    <row r="52" spans="2:35">
      <c r="B52" s="253">
        <f t="shared" si="1"/>
        <v>43</v>
      </c>
      <c r="C52" s="244"/>
      <c r="D52" s="654"/>
      <c r="E52" s="466"/>
      <c r="F52" s="612"/>
      <c r="G52" s="2973"/>
      <c r="H52" s="230"/>
      <c r="I52" s="230"/>
      <c r="J52" s="230"/>
      <c r="K52" s="230"/>
      <c r="L52" s="230"/>
      <c r="M52" s="228"/>
      <c r="N52" s="257"/>
      <c r="O52" s="228"/>
      <c r="P52" s="228"/>
      <c r="Q52" s="2357"/>
      <c r="R52" s="258"/>
      <c r="S52" s="2381"/>
      <c r="T52" s="2381"/>
      <c r="U52" s="254"/>
      <c r="V52" s="228"/>
      <c r="W52" s="2357"/>
      <c r="X52" s="256"/>
      <c r="Y52" s="248"/>
      <c r="Z52" s="248"/>
      <c r="AA52" s="248"/>
      <c r="AB52" s="247"/>
      <c r="AC52" s="248"/>
      <c r="AD52" s="248"/>
      <c r="AE52" s="194"/>
      <c r="AF52" s="249"/>
      <c r="AG52" s="250"/>
      <c r="AH52" s="251"/>
      <c r="AI52" s="252"/>
    </row>
    <row r="53" spans="2:35">
      <c r="B53" s="253">
        <f t="shared" si="1"/>
        <v>44</v>
      </c>
      <c r="C53" s="244"/>
      <c r="D53" s="654"/>
      <c r="E53" s="466"/>
      <c r="F53" s="612"/>
      <c r="G53" s="2973"/>
      <c r="H53" s="230"/>
      <c r="I53" s="230"/>
      <c r="J53" s="230"/>
      <c r="K53" s="230"/>
      <c r="L53" s="230"/>
      <c r="M53" s="228"/>
      <c r="N53" s="257"/>
      <c r="O53" s="228"/>
      <c r="P53" s="228"/>
      <c r="Q53" s="2357"/>
      <c r="R53" s="258"/>
      <c r="S53" s="2381"/>
      <c r="T53" s="2381"/>
      <c r="U53" s="254"/>
      <c r="V53" s="228"/>
      <c r="W53" s="2357"/>
      <c r="X53" s="256"/>
      <c r="Y53" s="248"/>
      <c r="Z53" s="248"/>
      <c r="AA53" s="248"/>
      <c r="AB53" s="247"/>
      <c r="AC53" s="248"/>
      <c r="AD53" s="248"/>
      <c r="AE53" s="194"/>
      <c r="AF53" s="249"/>
      <c r="AG53" s="250"/>
      <c r="AH53" s="251"/>
      <c r="AI53" s="252"/>
    </row>
    <row r="54" spans="2:35">
      <c r="B54" s="253">
        <f t="shared" si="1"/>
        <v>45</v>
      </c>
      <c r="C54" s="244"/>
      <c r="D54" s="654"/>
      <c r="E54" s="466"/>
      <c r="F54" s="612"/>
      <c r="G54" s="2973"/>
      <c r="H54" s="230"/>
      <c r="I54" s="230"/>
      <c r="J54" s="230"/>
      <c r="K54" s="230"/>
      <c r="L54" s="230"/>
      <c r="M54" s="228"/>
      <c r="N54" s="257"/>
      <c r="O54" s="228"/>
      <c r="P54" s="228"/>
      <c r="Q54" s="2357"/>
      <c r="R54" s="258"/>
      <c r="S54" s="2381"/>
      <c r="T54" s="2381"/>
      <c r="U54" s="254"/>
      <c r="V54" s="228"/>
      <c r="W54" s="2357"/>
      <c r="X54" s="256"/>
      <c r="Y54" s="248"/>
      <c r="Z54" s="248"/>
      <c r="AA54" s="248"/>
      <c r="AB54" s="247"/>
      <c r="AC54" s="248"/>
      <c r="AD54" s="248"/>
      <c r="AE54" s="194"/>
      <c r="AF54" s="249"/>
      <c r="AG54" s="250"/>
      <c r="AH54" s="251"/>
      <c r="AI54" s="252"/>
    </row>
    <row r="55" spans="2:35">
      <c r="B55" s="253">
        <f t="shared" si="1"/>
        <v>46</v>
      </c>
      <c r="C55" s="244"/>
      <c r="D55" s="654"/>
      <c r="E55" s="466"/>
      <c r="F55" s="612"/>
      <c r="G55" s="2973"/>
      <c r="H55" s="230"/>
      <c r="I55" s="230"/>
      <c r="J55" s="230"/>
      <c r="K55" s="230"/>
      <c r="L55" s="230"/>
      <c r="M55" s="228"/>
      <c r="N55" s="257"/>
      <c r="O55" s="228"/>
      <c r="P55" s="228"/>
      <c r="Q55" s="2357"/>
      <c r="R55" s="258"/>
      <c r="S55" s="2381"/>
      <c r="T55" s="2381"/>
      <c r="U55" s="254"/>
      <c r="V55" s="228"/>
      <c r="W55" s="2357"/>
      <c r="X55" s="256"/>
      <c r="Y55" s="248"/>
      <c r="Z55" s="248"/>
      <c r="AA55" s="248"/>
      <c r="AB55" s="247"/>
      <c r="AC55" s="248"/>
      <c r="AD55" s="248"/>
      <c r="AE55" s="194"/>
      <c r="AF55" s="249"/>
      <c r="AG55" s="250"/>
      <c r="AH55" s="251"/>
      <c r="AI55" s="252"/>
    </row>
    <row r="56" spans="2:35">
      <c r="B56" s="253">
        <f t="shared" si="1"/>
        <v>47</v>
      </c>
      <c r="C56" s="244"/>
      <c r="D56" s="654"/>
      <c r="E56" s="466"/>
      <c r="F56" s="612"/>
      <c r="G56" s="2973"/>
      <c r="H56" s="230"/>
      <c r="I56" s="230"/>
      <c r="J56" s="230"/>
      <c r="K56" s="230"/>
      <c r="L56" s="230"/>
      <c r="M56" s="228"/>
      <c r="N56" s="257"/>
      <c r="O56" s="228"/>
      <c r="P56" s="228"/>
      <c r="Q56" s="2357"/>
      <c r="R56" s="258"/>
      <c r="S56" s="2381"/>
      <c r="T56" s="2381"/>
      <c r="U56" s="254"/>
      <c r="V56" s="228"/>
      <c r="W56" s="2357"/>
      <c r="X56" s="256"/>
      <c r="Y56" s="248"/>
      <c r="Z56" s="248"/>
      <c r="AA56" s="248"/>
      <c r="AB56" s="247"/>
      <c r="AC56" s="248"/>
      <c r="AD56" s="248"/>
      <c r="AE56" s="194"/>
      <c r="AF56" s="249"/>
      <c r="AG56" s="250"/>
      <c r="AH56" s="251"/>
      <c r="AI56" s="252"/>
    </row>
    <row r="57" spans="2:35">
      <c r="B57" s="253">
        <f t="shared" si="1"/>
        <v>48</v>
      </c>
      <c r="C57" s="244"/>
      <c r="D57" s="654"/>
      <c r="E57" s="466"/>
      <c r="F57" s="612"/>
      <c r="G57" s="2973"/>
      <c r="H57" s="230"/>
      <c r="I57" s="230"/>
      <c r="J57" s="230"/>
      <c r="K57" s="230"/>
      <c r="L57" s="230"/>
      <c r="M57" s="228"/>
      <c r="N57" s="257"/>
      <c r="O57" s="228"/>
      <c r="P57" s="228"/>
      <c r="Q57" s="2357"/>
      <c r="R57" s="258"/>
      <c r="S57" s="2381"/>
      <c r="T57" s="2381"/>
      <c r="U57" s="254"/>
      <c r="V57" s="228"/>
      <c r="W57" s="2357"/>
      <c r="X57" s="256"/>
      <c r="Y57" s="248"/>
      <c r="Z57" s="248"/>
      <c r="AA57" s="248"/>
      <c r="AB57" s="247"/>
      <c r="AC57" s="248"/>
      <c r="AD57" s="248"/>
      <c r="AE57" s="194"/>
      <c r="AF57" s="249"/>
      <c r="AG57" s="250"/>
      <c r="AH57" s="251"/>
      <c r="AI57" s="252"/>
    </row>
    <row r="58" spans="2:35">
      <c r="B58" s="253">
        <f t="shared" si="1"/>
        <v>49</v>
      </c>
      <c r="C58" s="244"/>
      <c r="D58" s="654"/>
      <c r="E58" s="466"/>
      <c r="F58" s="612"/>
      <c r="G58" s="2973"/>
      <c r="H58" s="230"/>
      <c r="I58" s="230"/>
      <c r="J58" s="230"/>
      <c r="K58" s="230"/>
      <c r="L58" s="230"/>
      <c r="M58" s="228"/>
      <c r="N58" s="257"/>
      <c r="O58" s="228"/>
      <c r="P58" s="228"/>
      <c r="Q58" s="2357"/>
      <c r="R58" s="258"/>
      <c r="S58" s="2381"/>
      <c r="T58" s="2381"/>
      <c r="U58" s="254"/>
      <c r="V58" s="228"/>
      <c r="W58" s="2357"/>
      <c r="X58" s="256"/>
      <c r="Y58" s="248"/>
      <c r="Z58" s="248"/>
      <c r="AA58" s="248"/>
      <c r="AB58" s="247"/>
      <c r="AC58" s="248"/>
      <c r="AD58" s="248"/>
      <c r="AE58" s="194"/>
      <c r="AF58" s="249"/>
      <c r="AG58" s="250"/>
      <c r="AH58" s="251"/>
      <c r="AI58" s="252"/>
    </row>
    <row r="59" spans="2:35">
      <c r="B59" s="253">
        <f t="shared" si="1"/>
        <v>50</v>
      </c>
      <c r="C59" s="244"/>
      <c r="D59" s="654"/>
      <c r="E59" s="466"/>
      <c r="F59" s="612"/>
      <c r="G59" s="2973"/>
      <c r="H59" s="230"/>
      <c r="I59" s="230"/>
      <c r="J59" s="230"/>
      <c r="K59" s="230"/>
      <c r="L59" s="230"/>
      <c r="M59" s="228"/>
      <c r="N59" s="257"/>
      <c r="O59" s="228"/>
      <c r="P59" s="228"/>
      <c r="Q59" s="2357"/>
      <c r="R59" s="258"/>
      <c r="S59" s="2381"/>
      <c r="T59" s="2381"/>
      <c r="U59" s="254"/>
      <c r="V59" s="228"/>
      <c r="W59" s="2357"/>
      <c r="X59" s="256"/>
      <c r="Y59" s="248"/>
      <c r="Z59" s="248"/>
      <c r="AA59" s="248"/>
      <c r="AB59" s="247"/>
      <c r="AC59" s="248"/>
      <c r="AD59" s="248"/>
      <c r="AE59" s="194"/>
      <c r="AF59" s="249"/>
      <c r="AG59" s="250"/>
      <c r="AH59" s="251"/>
      <c r="AI59" s="252"/>
    </row>
    <row r="60" spans="2:35">
      <c r="B60" s="253">
        <f t="shared" si="1"/>
        <v>51</v>
      </c>
      <c r="C60" s="244"/>
      <c r="D60" s="654"/>
      <c r="E60" s="466"/>
      <c r="F60" s="612"/>
      <c r="G60" s="2973"/>
      <c r="H60" s="230"/>
      <c r="I60" s="230"/>
      <c r="J60" s="230"/>
      <c r="K60" s="230"/>
      <c r="L60" s="230"/>
      <c r="M60" s="228"/>
      <c r="N60" s="257"/>
      <c r="O60" s="228"/>
      <c r="P60" s="228"/>
      <c r="Q60" s="2357"/>
      <c r="R60" s="258"/>
      <c r="S60" s="2381"/>
      <c r="T60" s="2381"/>
      <c r="U60" s="254"/>
      <c r="V60" s="228"/>
      <c r="W60" s="2357"/>
      <c r="X60" s="256"/>
      <c r="Y60" s="248"/>
      <c r="Z60" s="248"/>
      <c r="AA60" s="248"/>
      <c r="AB60" s="247"/>
      <c r="AC60" s="248"/>
      <c r="AD60" s="248"/>
      <c r="AE60" s="194"/>
      <c r="AF60" s="249"/>
      <c r="AG60" s="250"/>
      <c r="AH60" s="251"/>
      <c r="AI60" s="252"/>
    </row>
    <row r="61" spans="2:35">
      <c r="B61" s="253">
        <f t="shared" si="1"/>
        <v>52</v>
      </c>
      <c r="C61" s="244"/>
      <c r="D61" s="654"/>
      <c r="E61" s="466"/>
      <c r="F61" s="612"/>
      <c r="G61" s="2973"/>
      <c r="H61" s="230"/>
      <c r="I61" s="230"/>
      <c r="J61" s="230"/>
      <c r="K61" s="230"/>
      <c r="L61" s="230"/>
      <c r="M61" s="228"/>
      <c r="N61" s="257"/>
      <c r="O61" s="228"/>
      <c r="P61" s="228"/>
      <c r="Q61" s="2357"/>
      <c r="R61" s="258"/>
      <c r="S61" s="2381"/>
      <c r="T61" s="2381"/>
      <c r="U61" s="254"/>
      <c r="V61" s="228"/>
      <c r="W61" s="2357"/>
      <c r="X61" s="256"/>
      <c r="Y61" s="248"/>
      <c r="Z61" s="248"/>
      <c r="AA61" s="248"/>
      <c r="AB61" s="247"/>
      <c r="AC61" s="248"/>
      <c r="AD61" s="248"/>
      <c r="AE61" s="194"/>
      <c r="AF61" s="249"/>
      <c r="AG61" s="250"/>
      <c r="AH61" s="251"/>
      <c r="AI61" s="252"/>
    </row>
    <row r="62" spans="2:35">
      <c r="B62" s="253">
        <f t="shared" si="1"/>
        <v>53</v>
      </c>
      <c r="C62" s="244"/>
      <c r="D62" s="654"/>
      <c r="E62" s="466"/>
      <c r="F62" s="612"/>
      <c r="G62" s="2973"/>
      <c r="H62" s="230"/>
      <c r="I62" s="230"/>
      <c r="J62" s="230"/>
      <c r="K62" s="230"/>
      <c r="L62" s="230"/>
      <c r="M62" s="228"/>
      <c r="N62" s="257"/>
      <c r="O62" s="228"/>
      <c r="P62" s="228"/>
      <c r="Q62" s="2357"/>
      <c r="R62" s="258"/>
      <c r="S62" s="2381"/>
      <c r="T62" s="2381"/>
      <c r="U62" s="254"/>
      <c r="V62" s="228"/>
      <c r="W62" s="2357"/>
      <c r="X62" s="256"/>
      <c r="Y62" s="248"/>
      <c r="Z62" s="248"/>
      <c r="AA62" s="248"/>
      <c r="AB62" s="247"/>
      <c r="AC62" s="248"/>
      <c r="AD62" s="248"/>
      <c r="AE62" s="194"/>
      <c r="AF62" s="249"/>
      <c r="AG62" s="250"/>
      <c r="AH62" s="251"/>
      <c r="AI62" s="252"/>
    </row>
    <row r="63" spans="2:35">
      <c r="B63" s="253">
        <f t="shared" si="1"/>
        <v>54</v>
      </c>
      <c r="C63" s="244"/>
      <c r="D63" s="654"/>
      <c r="E63" s="466"/>
      <c r="F63" s="612"/>
      <c r="G63" s="2973"/>
      <c r="H63" s="230"/>
      <c r="I63" s="230"/>
      <c r="J63" s="230"/>
      <c r="K63" s="230"/>
      <c r="L63" s="230"/>
      <c r="M63" s="228"/>
      <c r="N63" s="257"/>
      <c r="O63" s="228"/>
      <c r="P63" s="228"/>
      <c r="Q63" s="2357"/>
      <c r="R63" s="258"/>
      <c r="S63" s="2381"/>
      <c r="T63" s="2381"/>
      <c r="U63" s="254"/>
      <c r="V63" s="228"/>
      <c r="W63" s="2357"/>
      <c r="X63" s="256"/>
      <c r="Y63" s="248"/>
      <c r="Z63" s="248"/>
      <c r="AA63" s="248"/>
      <c r="AB63" s="247"/>
      <c r="AC63" s="248"/>
      <c r="AD63" s="248"/>
      <c r="AE63" s="194"/>
      <c r="AF63" s="249"/>
      <c r="AG63" s="250"/>
      <c r="AH63" s="251"/>
      <c r="AI63" s="252"/>
    </row>
    <row r="64" spans="2:35">
      <c r="B64" s="253">
        <f t="shared" si="1"/>
        <v>55</v>
      </c>
      <c r="C64" s="244"/>
      <c r="D64" s="654"/>
      <c r="E64" s="466"/>
      <c r="F64" s="612"/>
      <c r="G64" s="2973"/>
      <c r="H64" s="230"/>
      <c r="I64" s="230"/>
      <c r="J64" s="230"/>
      <c r="K64" s="230"/>
      <c r="L64" s="230"/>
      <c r="M64" s="228"/>
      <c r="N64" s="257"/>
      <c r="O64" s="228"/>
      <c r="P64" s="228"/>
      <c r="Q64" s="2357"/>
      <c r="R64" s="258"/>
      <c r="S64" s="2381"/>
      <c r="T64" s="2381"/>
      <c r="U64" s="254"/>
      <c r="V64" s="228"/>
      <c r="W64" s="2357"/>
      <c r="X64" s="256"/>
      <c r="Y64" s="248"/>
      <c r="Z64" s="248"/>
      <c r="AA64" s="248"/>
      <c r="AB64" s="247"/>
      <c r="AC64" s="248"/>
      <c r="AD64" s="248"/>
      <c r="AE64" s="194"/>
      <c r="AF64" s="249"/>
      <c r="AG64" s="250"/>
      <c r="AH64" s="251"/>
      <c r="AI64" s="252"/>
    </row>
    <row r="65" spans="2:35">
      <c r="B65" s="253">
        <f t="shared" si="1"/>
        <v>56</v>
      </c>
      <c r="C65" s="244"/>
      <c r="D65" s="654"/>
      <c r="E65" s="466"/>
      <c r="F65" s="612"/>
      <c r="G65" s="2973"/>
      <c r="H65" s="230"/>
      <c r="I65" s="230"/>
      <c r="J65" s="230"/>
      <c r="K65" s="230"/>
      <c r="L65" s="230"/>
      <c r="M65" s="228"/>
      <c r="N65" s="257"/>
      <c r="O65" s="228"/>
      <c r="P65" s="228"/>
      <c r="Q65" s="2357"/>
      <c r="R65" s="258"/>
      <c r="S65" s="2381"/>
      <c r="T65" s="2381"/>
      <c r="U65" s="254"/>
      <c r="V65" s="228"/>
      <c r="W65" s="2357"/>
      <c r="X65" s="256"/>
      <c r="Y65" s="248"/>
      <c r="Z65" s="248"/>
      <c r="AA65" s="248"/>
      <c r="AB65" s="247"/>
      <c r="AC65" s="248"/>
      <c r="AD65" s="248"/>
      <c r="AE65" s="194"/>
      <c r="AF65" s="249"/>
      <c r="AG65" s="250"/>
      <c r="AH65" s="251"/>
      <c r="AI65" s="252"/>
    </row>
    <row r="66" spans="2:35">
      <c r="B66" s="253">
        <f t="shared" ref="B66:B129" si="8">+B65+1</f>
        <v>57</v>
      </c>
      <c r="C66" s="244"/>
      <c r="D66" s="654"/>
      <c r="E66" s="466"/>
      <c r="F66" s="612"/>
      <c r="G66" s="2973"/>
      <c r="H66" s="230"/>
      <c r="I66" s="230"/>
      <c r="J66" s="230"/>
      <c r="K66" s="230"/>
      <c r="L66" s="230"/>
      <c r="M66" s="228"/>
      <c r="N66" s="257"/>
      <c r="O66" s="228"/>
      <c r="P66" s="228"/>
      <c r="Q66" s="2357"/>
      <c r="R66" s="258"/>
      <c r="S66" s="2381"/>
      <c r="T66" s="2381"/>
      <c r="U66" s="254"/>
      <c r="V66" s="228"/>
      <c r="W66" s="2357"/>
      <c r="X66" s="256"/>
      <c r="Y66" s="248"/>
      <c r="Z66" s="248"/>
      <c r="AA66" s="248"/>
      <c r="AB66" s="247"/>
      <c r="AC66" s="248"/>
      <c r="AD66" s="248"/>
      <c r="AE66" s="194"/>
      <c r="AF66" s="249"/>
      <c r="AG66" s="250"/>
      <c r="AH66" s="251"/>
      <c r="AI66" s="252"/>
    </row>
    <row r="67" spans="2:35">
      <c r="B67" s="253">
        <f t="shared" si="8"/>
        <v>58</v>
      </c>
      <c r="C67" s="244"/>
      <c r="D67" s="654"/>
      <c r="E67" s="466"/>
      <c r="F67" s="612"/>
      <c r="G67" s="2973"/>
      <c r="H67" s="230"/>
      <c r="I67" s="230"/>
      <c r="J67" s="230"/>
      <c r="K67" s="230"/>
      <c r="L67" s="230"/>
      <c r="M67" s="228"/>
      <c r="N67" s="257"/>
      <c r="O67" s="228"/>
      <c r="P67" s="228"/>
      <c r="Q67" s="2357"/>
      <c r="R67" s="258"/>
      <c r="S67" s="2381"/>
      <c r="T67" s="2381"/>
      <c r="U67" s="254"/>
      <c r="V67" s="228"/>
      <c r="W67" s="2357"/>
      <c r="X67" s="256"/>
      <c r="Y67" s="248"/>
      <c r="Z67" s="248"/>
      <c r="AA67" s="248"/>
      <c r="AB67" s="247"/>
      <c r="AC67" s="248"/>
      <c r="AD67" s="248"/>
      <c r="AE67" s="194"/>
      <c r="AF67" s="249"/>
      <c r="AG67" s="250"/>
      <c r="AH67" s="251"/>
      <c r="AI67" s="252"/>
    </row>
    <row r="68" spans="2:35">
      <c r="B68" s="253">
        <f t="shared" si="8"/>
        <v>59</v>
      </c>
      <c r="C68" s="244"/>
      <c r="D68" s="654"/>
      <c r="E68" s="466"/>
      <c r="F68" s="612"/>
      <c r="G68" s="2973"/>
      <c r="H68" s="230"/>
      <c r="I68" s="230"/>
      <c r="J68" s="230"/>
      <c r="K68" s="230"/>
      <c r="L68" s="230"/>
      <c r="M68" s="228"/>
      <c r="N68" s="257"/>
      <c r="O68" s="228"/>
      <c r="P68" s="228"/>
      <c r="Q68" s="2357"/>
      <c r="R68" s="258"/>
      <c r="S68" s="2381"/>
      <c r="T68" s="2381"/>
      <c r="U68" s="254"/>
      <c r="V68" s="228"/>
      <c r="W68" s="2357"/>
      <c r="X68" s="256"/>
      <c r="Y68" s="248"/>
      <c r="Z68" s="248"/>
      <c r="AA68" s="248"/>
      <c r="AB68" s="247"/>
      <c r="AC68" s="248"/>
      <c r="AD68" s="248"/>
      <c r="AE68" s="194"/>
      <c r="AF68" s="249"/>
      <c r="AG68" s="250"/>
      <c r="AH68" s="251"/>
      <c r="AI68" s="252"/>
    </row>
    <row r="69" spans="2:35">
      <c r="B69" s="253">
        <f t="shared" si="8"/>
        <v>60</v>
      </c>
      <c r="C69" s="244"/>
      <c r="D69" s="654"/>
      <c r="E69" s="466"/>
      <c r="F69" s="612"/>
      <c r="G69" s="2973"/>
      <c r="H69" s="230"/>
      <c r="I69" s="230"/>
      <c r="J69" s="230"/>
      <c r="K69" s="230"/>
      <c r="L69" s="230"/>
      <c r="M69" s="228"/>
      <c r="N69" s="257"/>
      <c r="O69" s="228"/>
      <c r="P69" s="228"/>
      <c r="Q69" s="2357"/>
      <c r="R69" s="258"/>
      <c r="S69" s="2381"/>
      <c r="T69" s="2381"/>
      <c r="U69" s="254"/>
      <c r="V69" s="228"/>
      <c r="W69" s="2357"/>
      <c r="X69" s="256"/>
      <c r="Y69" s="248"/>
      <c r="Z69" s="248"/>
      <c r="AA69" s="248"/>
      <c r="AB69" s="247"/>
      <c r="AC69" s="248"/>
      <c r="AD69" s="248"/>
      <c r="AE69" s="194"/>
      <c r="AF69" s="249"/>
      <c r="AG69" s="250"/>
      <c r="AH69" s="251"/>
      <c r="AI69" s="252"/>
    </row>
    <row r="70" spans="2:35">
      <c r="B70" s="253">
        <f t="shared" si="8"/>
        <v>61</v>
      </c>
      <c r="C70" s="244"/>
      <c r="D70" s="654"/>
      <c r="E70" s="466"/>
      <c r="F70" s="612"/>
      <c r="G70" s="2973"/>
      <c r="H70" s="230"/>
      <c r="I70" s="230"/>
      <c r="J70" s="230"/>
      <c r="K70" s="230"/>
      <c r="L70" s="230"/>
      <c r="M70" s="228"/>
      <c r="N70" s="257"/>
      <c r="O70" s="228"/>
      <c r="P70" s="228"/>
      <c r="Q70" s="2357"/>
      <c r="R70" s="258"/>
      <c r="S70" s="2381"/>
      <c r="T70" s="2381"/>
      <c r="U70" s="254"/>
      <c r="V70" s="228"/>
      <c r="W70" s="2357"/>
      <c r="X70" s="256"/>
      <c r="Y70" s="248"/>
      <c r="Z70" s="248"/>
      <c r="AA70" s="248"/>
      <c r="AB70" s="247"/>
      <c r="AC70" s="248"/>
      <c r="AD70" s="248"/>
      <c r="AE70" s="194"/>
      <c r="AF70" s="249"/>
      <c r="AG70" s="250"/>
      <c r="AH70" s="251"/>
      <c r="AI70" s="252"/>
    </row>
    <row r="71" spans="2:35">
      <c r="B71" s="253">
        <f t="shared" si="8"/>
        <v>62</v>
      </c>
      <c r="C71" s="244"/>
      <c r="D71" s="654"/>
      <c r="E71" s="466"/>
      <c r="F71" s="612"/>
      <c r="G71" s="2973"/>
      <c r="H71" s="230"/>
      <c r="I71" s="230"/>
      <c r="J71" s="230"/>
      <c r="K71" s="230"/>
      <c r="L71" s="230"/>
      <c r="M71" s="228"/>
      <c r="N71" s="257"/>
      <c r="O71" s="228"/>
      <c r="P71" s="228"/>
      <c r="Q71" s="2357"/>
      <c r="R71" s="258"/>
      <c r="S71" s="2381"/>
      <c r="T71" s="2381"/>
      <c r="U71" s="254"/>
      <c r="V71" s="228"/>
      <c r="W71" s="2357"/>
      <c r="X71" s="256"/>
      <c r="Y71" s="248"/>
      <c r="Z71" s="248"/>
      <c r="AA71" s="248"/>
      <c r="AB71" s="247"/>
      <c r="AC71" s="248"/>
      <c r="AD71" s="248"/>
      <c r="AE71" s="194"/>
      <c r="AF71" s="249"/>
      <c r="AG71" s="250"/>
      <c r="AH71" s="251"/>
      <c r="AI71" s="252"/>
    </row>
    <row r="72" spans="2:35">
      <c r="B72" s="253">
        <f t="shared" si="8"/>
        <v>63</v>
      </c>
      <c r="C72" s="244"/>
      <c r="D72" s="654"/>
      <c r="E72" s="466"/>
      <c r="F72" s="612"/>
      <c r="G72" s="2973"/>
      <c r="H72" s="230"/>
      <c r="I72" s="230"/>
      <c r="J72" s="230"/>
      <c r="K72" s="230"/>
      <c r="L72" s="230"/>
      <c r="M72" s="228"/>
      <c r="N72" s="257"/>
      <c r="O72" s="228"/>
      <c r="P72" s="228"/>
      <c r="Q72" s="2357"/>
      <c r="R72" s="258"/>
      <c r="S72" s="2381"/>
      <c r="T72" s="2381"/>
      <c r="U72" s="254"/>
      <c r="V72" s="228"/>
      <c r="W72" s="2357"/>
      <c r="X72" s="256"/>
      <c r="Y72" s="248"/>
      <c r="Z72" s="248"/>
      <c r="AA72" s="248"/>
      <c r="AB72" s="247"/>
      <c r="AC72" s="248"/>
      <c r="AD72" s="248"/>
      <c r="AE72" s="194"/>
      <c r="AF72" s="249"/>
      <c r="AG72" s="250"/>
      <c r="AH72" s="251"/>
      <c r="AI72" s="252"/>
    </row>
    <row r="73" spans="2:35">
      <c r="B73" s="253">
        <f t="shared" si="8"/>
        <v>64</v>
      </c>
      <c r="C73" s="244"/>
      <c r="D73" s="654"/>
      <c r="E73" s="466"/>
      <c r="F73" s="612"/>
      <c r="G73" s="2973"/>
      <c r="H73" s="230"/>
      <c r="I73" s="230"/>
      <c r="J73" s="230"/>
      <c r="K73" s="230"/>
      <c r="L73" s="230"/>
      <c r="M73" s="228"/>
      <c r="N73" s="257"/>
      <c r="O73" s="228"/>
      <c r="P73" s="228"/>
      <c r="Q73" s="2357"/>
      <c r="R73" s="258"/>
      <c r="S73" s="2381"/>
      <c r="T73" s="2381"/>
      <c r="U73" s="254"/>
      <c r="V73" s="228"/>
      <c r="W73" s="2357"/>
      <c r="X73" s="256"/>
      <c r="Y73" s="248"/>
      <c r="Z73" s="248"/>
      <c r="AA73" s="248"/>
      <c r="AB73" s="247"/>
      <c r="AC73" s="248"/>
      <c r="AD73" s="248"/>
      <c r="AE73" s="194"/>
      <c r="AF73" s="249"/>
      <c r="AG73" s="250"/>
      <c r="AH73" s="251"/>
      <c r="AI73" s="252"/>
    </row>
    <row r="74" spans="2:35">
      <c r="B74" s="253">
        <f t="shared" si="8"/>
        <v>65</v>
      </c>
      <c r="C74" s="244"/>
      <c r="D74" s="654"/>
      <c r="E74" s="466"/>
      <c r="F74" s="612"/>
      <c r="G74" s="2973"/>
      <c r="H74" s="230"/>
      <c r="I74" s="230"/>
      <c r="J74" s="230"/>
      <c r="K74" s="230"/>
      <c r="L74" s="230"/>
      <c r="M74" s="228"/>
      <c r="N74" s="257"/>
      <c r="O74" s="228"/>
      <c r="P74" s="228"/>
      <c r="Q74" s="2357"/>
      <c r="R74" s="258"/>
      <c r="S74" s="2381"/>
      <c r="T74" s="2381"/>
      <c r="U74" s="254"/>
      <c r="V74" s="228"/>
      <c r="W74" s="2357"/>
      <c r="X74" s="256"/>
      <c r="Y74" s="248"/>
      <c r="Z74" s="248"/>
      <c r="AA74" s="248"/>
      <c r="AB74" s="247"/>
      <c r="AC74" s="248"/>
      <c r="AD74" s="248"/>
      <c r="AE74" s="194"/>
      <c r="AF74" s="249"/>
      <c r="AG74" s="250"/>
      <c r="AH74" s="251"/>
      <c r="AI74" s="252"/>
    </row>
    <row r="75" spans="2:35">
      <c r="B75" s="253">
        <f t="shared" si="8"/>
        <v>66</v>
      </c>
      <c r="C75" s="244"/>
      <c r="D75" s="654"/>
      <c r="E75" s="466"/>
      <c r="F75" s="612"/>
      <c r="G75" s="2973"/>
      <c r="H75" s="230"/>
      <c r="I75" s="230"/>
      <c r="J75" s="230"/>
      <c r="K75" s="230"/>
      <c r="L75" s="230"/>
      <c r="M75" s="228"/>
      <c r="N75" s="257"/>
      <c r="O75" s="228"/>
      <c r="P75" s="228"/>
      <c r="Q75" s="2357"/>
      <c r="R75" s="258"/>
      <c r="S75" s="2381"/>
      <c r="T75" s="2381"/>
      <c r="U75" s="254"/>
      <c r="V75" s="228"/>
      <c r="W75" s="2357"/>
      <c r="X75" s="256"/>
      <c r="Y75" s="248"/>
      <c r="Z75" s="248"/>
      <c r="AA75" s="248"/>
      <c r="AB75" s="247"/>
      <c r="AC75" s="248"/>
      <c r="AD75" s="248"/>
      <c r="AE75" s="194"/>
      <c r="AF75" s="249"/>
      <c r="AG75" s="250"/>
      <c r="AH75" s="251"/>
      <c r="AI75" s="252"/>
    </row>
    <row r="76" spans="2:35">
      <c r="B76" s="253">
        <f t="shared" si="8"/>
        <v>67</v>
      </c>
      <c r="C76" s="244"/>
      <c r="D76" s="654"/>
      <c r="E76" s="466"/>
      <c r="F76" s="612"/>
      <c r="G76" s="2973"/>
      <c r="H76" s="230"/>
      <c r="I76" s="230"/>
      <c r="J76" s="230"/>
      <c r="K76" s="230"/>
      <c r="L76" s="230"/>
      <c r="M76" s="228"/>
      <c r="N76" s="257"/>
      <c r="O76" s="228"/>
      <c r="P76" s="228"/>
      <c r="Q76" s="2357"/>
      <c r="R76" s="258"/>
      <c r="S76" s="2381"/>
      <c r="T76" s="2381"/>
      <c r="U76" s="254"/>
      <c r="V76" s="228"/>
      <c r="W76" s="2357"/>
      <c r="X76" s="256"/>
      <c r="Y76" s="248"/>
      <c r="Z76" s="248"/>
      <c r="AA76" s="248"/>
      <c r="AB76" s="247"/>
      <c r="AC76" s="248"/>
      <c r="AD76" s="248"/>
      <c r="AE76" s="194"/>
      <c r="AF76" s="249"/>
      <c r="AG76" s="250"/>
      <c r="AH76" s="251"/>
      <c r="AI76" s="252"/>
    </row>
    <row r="77" spans="2:35">
      <c r="B77" s="253">
        <f t="shared" si="8"/>
        <v>68</v>
      </c>
      <c r="C77" s="244"/>
      <c r="D77" s="654"/>
      <c r="E77" s="466"/>
      <c r="F77" s="612"/>
      <c r="G77" s="2973"/>
      <c r="H77" s="230"/>
      <c r="I77" s="230"/>
      <c r="J77" s="230"/>
      <c r="K77" s="230"/>
      <c r="L77" s="230"/>
      <c r="M77" s="228"/>
      <c r="N77" s="257"/>
      <c r="O77" s="228"/>
      <c r="P77" s="228"/>
      <c r="Q77" s="2357"/>
      <c r="R77" s="258"/>
      <c r="S77" s="2381"/>
      <c r="T77" s="2381"/>
      <c r="U77" s="254"/>
      <c r="V77" s="228"/>
      <c r="W77" s="2357"/>
      <c r="X77" s="256"/>
      <c r="Y77" s="248"/>
      <c r="Z77" s="248"/>
      <c r="AA77" s="248"/>
      <c r="AB77" s="247"/>
      <c r="AC77" s="248"/>
      <c r="AD77" s="248"/>
      <c r="AE77" s="194"/>
      <c r="AF77" s="249"/>
      <c r="AG77" s="250"/>
      <c r="AH77" s="251"/>
      <c r="AI77" s="252"/>
    </row>
    <row r="78" spans="2:35">
      <c r="B78" s="253">
        <f t="shared" si="8"/>
        <v>69</v>
      </c>
      <c r="C78" s="244"/>
      <c r="D78" s="654"/>
      <c r="E78" s="466"/>
      <c r="F78" s="612"/>
      <c r="G78" s="2973"/>
      <c r="H78" s="230"/>
      <c r="I78" s="230"/>
      <c r="J78" s="230"/>
      <c r="K78" s="230"/>
      <c r="L78" s="230"/>
      <c r="M78" s="228"/>
      <c r="N78" s="257"/>
      <c r="O78" s="228"/>
      <c r="P78" s="228"/>
      <c r="Q78" s="2357"/>
      <c r="R78" s="258"/>
      <c r="S78" s="2381"/>
      <c r="T78" s="2381"/>
      <c r="U78" s="254"/>
      <c r="V78" s="228"/>
      <c r="W78" s="2357"/>
      <c r="X78" s="256"/>
      <c r="Y78" s="248"/>
      <c r="Z78" s="248"/>
      <c r="AA78" s="248"/>
      <c r="AB78" s="247"/>
      <c r="AC78" s="248"/>
      <c r="AD78" s="248"/>
      <c r="AE78" s="194"/>
      <c r="AF78" s="249"/>
      <c r="AG78" s="250"/>
      <c r="AH78" s="251"/>
      <c r="AI78" s="252"/>
    </row>
    <row r="79" spans="2:35">
      <c r="B79" s="253">
        <f t="shared" si="8"/>
        <v>70</v>
      </c>
      <c r="C79" s="244"/>
      <c r="D79" s="654"/>
      <c r="E79" s="466"/>
      <c r="F79" s="612"/>
      <c r="G79" s="2973"/>
      <c r="H79" s="230"/>
      <c r="I79" s="230"/>
      <c r="J79" s="230"/>
      <c r="K79" s="230"/>
      <c r="L79" s="230"/>
      <c r="M79" s="228"/>
      <c r="N79" s="257"/>
      <c r="O79" s="228"/>
      <c r="P79" s="228"/>
      <c r="Q79" s="2357"/>
      <c r="R79" s="258"/>
      <c r="S79" s="2381"/>
      <c r="T79" s="2381"/>
      <c r="U79" s="254"/>
      <c r="V79" s="228"/>
      <c r="W79" s="2357"/>
      <c r="X79" s="256"/>
      <c r="Y79" s="248"/>
      <c r="Z79" s="248"/>
      <c r="AA79" s="248"/>
      <c r="AB79" s="247"/>
      <c r="AC79" s="248"/>
      <c r="AD79" s="248"/>
      <c r="AE79" s="194"/>
      <c r="AF79" s="249"/>
      <c r="AG79" s="250"/>
      <c r="AH79" s="251"/>
      <c r="AI79" s="252"/>
    </row>
    <row r="80" spans="2:35">
      <c r="B80" s="253">
        <f t="shared" si="8"/>
        <v>71</v>
      </c>
      <c r="C80" s="244"/>
      <c r="D80" s="654"/>
      <c r="E80" s="466"/>
      <c r="F80" s="612"/>
      <c r="G80" s="2973"/>
      <c r="H80" s="230"/>
      <c r="I80" s="230"/>
      <c r="J80" s="230"/>
      <c r="K80" s="230"/>
      <c r="L80" s="230"/>
      <c r="M80" s="228"/>
      <c r="N80" s="257"/>
      <c r="O80" s="228"/>
      <c r="P80" s="228"/>
      <c r="Q80" s="2357"/>
      <c r="R80" s="258"/>
      <c r="S80" s="2381"/>
      <c r="T80" s="2381"/>
      <c r="U80" s="254"/>
      <c r="V80" s="228"/>
      <c r="W80" s="2357"/>
      <c r="X80" s="256"/>
      <c r="Y80" s="248"/>
      <c r="Z80" s="248"/>
      <c r="AA80" s="248"/>
      <c r="AB80" s="247"/>
      <c r="AC80" s="248"/>
      <c r="AD80" s="248"/>
      <c r="AE80" s="194"/>
      <c r="AF80" s="249"/>
      <c r="AG80" s="250"/>
      <c r="AH80" s="251"/>
      <c r="AI80" s="252"/>
    </row>
    <row r="81" spans="2:35">
      <c r="B81" s="253">
        <f t="shared" si="8"/>
        <v>72</v>
      </c>
      <c r="C81" s="244"/>
      <c r="D81" s="654"/>
      <c r="E81" s="466"/>
      <c r="F81" s="612"/>
      <c r="G81" s="2973"/>
      <c r="H81" s="230"/>
      <c r="I81" s="230"/>
      <c r="J81" s="230"/>
      <c r="K81" s="230"/>
      <c r="L81" s="230"/>
      <c r="M81" s="228"/>
      <c r="N81" s="257"/>
      <c r="O81" s="228"/>
      <c r="P81" s="228"/>
      <c r="Q81" s="2357"/>
      <c r="R81" s="258"/>
      <c r="S81" s="2381"/>
      <c r="T81" s="2381"/>
      <c r="U81" s="254"/>
      <c r="V81" s="228"/>
      <c r="W81" s="2357"/>
      <c r="X81" s="256"/>
      <c r="Y81" s="248"/>
      <c r="Z81" s="248"/>
      <c r="AA81" s="248"/>
      <c r="AB81" s="247"/>
      <c r="AC81" s="248"/>
      <c r="AD81" s="248"/>
      <c r="AE81" s="194"/>
      <c r="AF81" s="249"/>
      <c r="AG81" s="250"/>
      <c r="AH81" s="251"/>
      <c r="AI81" s="252"/>
    </row>
    <row r="82" spans="2:35">
      <c r="B82" s="253">
        <f t="shared" si="8"/>
        <v>73</v>
      </c>
      <c r="C82" s="244"/>
      <c r="D82" s="654"/>
      <c r="E82" s="466"/>
      <c r="F82" s="612"/>
      <c r="G82" s="2973"/>
      <c r="H82" s="230"/>
      <c r="I82" s="230"/>
      <c r="J82" s="230"/>
      <c r="K82" s="230"/>
      <c r="L82" s="230"/>
      <c r="M82" s="228"/>
      <c r="N82" s="257"/>
      <c r="O82" s="228"/>
      <c r="P82" s="228"/>
      <c r="Q82" s="2357"/>
      <c r="R82" s="258"/>
      <c r="S82" s="2381"/>
      <c r="T82" s="2381"/>
      <c r="U82" s="254"/>
      <c r="V82" s="228"/>
      <c r="W82" s="2357"/>
      <c r="X82" s="256"/>
      <c r="Y82" s="248"/>
      <c r="Z82" s="248"/>
      <c r="AA82" s="248"/>
      <c r="AB82" s="247"/>
      <c r="AC82" s="248"/>
      <c r="AD82" s="248"/>
      <c r="AE82" s="194"/>
      <c r="AF82" s="249"/>
      <c r="AG82" s="250"/>
      <c r="AH82" s="251"/>
      <c r="AI82" s="252"/>
    </row>
    <row r="83" spans="2:35">
      <c r="B83" s="253">
        <f t="shared" si="8"/>
        <v>74</v>
      </c>
      <c r="C83" s="244"/>
      <c r="D83" s="654"/>
      <c r="E83" s="466"/>
      <c r="F83" s="612"/>
      <c r="G83" s="2973"/>
      <c r="H83" s="230"/>
      <c r="I83" s="230"/>
      <c r="J83" s="230"/>
      <c r="K83" s="230"/>
      <c r="L83" s="230"/>
      <c r="M83" s="228"/>
      <c r="N83" s="257"/>
      <c r="O83" s="228"/>
      <c r="P83" s="228"/>
      <c r="Q83" s="2357"/>
      <c r="R83" s="258"/>
      <c r="S83" s="2381"/>
      <c r="T83" s="2381"/>
      <c r="U83" s="254"/>
      <c r="V83" s="228"/>
      <c r="W83" s="2357"/>
      <c r="X83" s="256"/>
      <c r="Y83" s="248"/>
      <c r="Z83" s="248"/>
      <c r="AA83" s="248"/>
      <c r="AB83" s="247"/>
      <c r="AC83" s="248"/>
      <c r="AD83" s="248"/>
      <c r="AE83" s="194"/>
      <c r="AF83" s="249"/>
      <c r="AG83" s="250"/>
      <c r="AH83" s="251"/>
      <c r="AI83" s="252"/>
    </row>
    <row r="84" spans="2:35">
      <c r="B84" s="253">
        <f t="shared" si="8"/>
        <v>75</v>
      </c>
      <c r="C84" s="244"/>
      <c r="D84" s="654"/>
      <c r="E84" s="466"/>
      <c r="F84" s="612"/>
      <c r="G84" s="2973"/>
      <c r="H84" s="230"/>
      <c r="I84" s="230"/>
      <c r="J84" s="230"/>
      <c r="K84" s="230"/>
      <c r="L84" s="230"/>
      <c r="M84" s="228"/>
      <c r="N84" s="257"/>
      <c r="O84" s="228"/>
      <c r="P84" s="228"/>
      <c r="Q84" s="2357"/>
      <c r="R84" s="258"/>
      <c r="S84" s="2381"/>
      <c r="T84" s="2381"/>
      <c r="U84" s="254"/>
      <c r="V84" s="228"/>
      <c r="W84" s="2357"/>
      <c r="X84" s="256"/>
      <c r="Y84" s="248"/>
      <c r="Z84" s="248"/>
      <c r="AA84" s="248"/>
      <c r="AB84" s="247"/>
      <c r="AC84" s="248"/>
      <c r="AD84" s="248"/>
      <c r="AE84" s="194"/>
      <c r="AF84" s="249"/>
      <c r="AG84" s="250"/>
      <c r="AH84" s="251"/>
      <c r="AI84" s="252"/>
    </row>
    <row r="85" spans="2:35">
      <c r="B85" s="253">
        <f t="shared" si="8"/>
        <v>76</v>
      </c>
      <c r="C85" s="244"/>
      <c r="D85" s="654"/>
      <c r="E85" s="466"/>
      <c r="F85" s="612"/>
      <c r="G85" s="2973"/>
      <c r="H85" s="230"/>
      <c r="I85" s="230"/>
      <c r="J85" s="230"/>
      <c r="K85" s="230"/>
      <c r="L85" s="230"/>
      <c r="M85" s="228"/>
      <c r="N85" s="257"/>
      <c r="O85" s="228"/>
      <c r="P85" s="228"/>
      <c r="Q85" s="2357"/>
      <c r="R85" s="258"/>
      <c r="S85" s="2381"/>
      <c r="T85" s="2381"/>
      <c r="U85" s="254"/>
      <c r="V85" s="228"/>
      <c r="W85" s="2357"/>
      <c r="X85" s="256"/>
      <c r="Y85" s="248"/>
      <c r="Z85" s="248"/>
      <c r="AA85" s="248"/>
      <c r="AB85" s="247"/>
      <c r="AC85" s="248"/>
      <c r="AD85" s="248"/>
      <c r="AE85" s="194"/>
      <c r="AF85" s="249"/>
      <c r="AG85" s="250"/>
      <c r="AH85" s="251"/>
      <c r="AI85" s="252"/>
    </row>
    <row r="86" spans="2:35">
      <c r="B86" s="253">
        <f t="shared" si="8"/>
        <v>77</v>
      </c>
      <c r="C86" s="244"/>
      <c r="D86" s="654"/>
      <c r="E86" s="466"/>
      <c r="F86" s="612"/>
      <c r="G86" s="2973"/>
      <c r="H86" s="230"/>
      <c r="I86" s="230"/>
      <c r="J86" s="230"/>
      <c r="K86" s="230"/>
      <c r="L86" s="230"/>
      <c r="M86" s="228"/>
      <c r="N86" s="257"/>
      <c r="O86" s="228"/>
      <c r="P86" s="228"/>
      <c r="Q86" s="2357"/>
      <c r="R86" s="258"/>
      <c r="S86" s="2381"/>
      <c r="T86" s="2381"/>
      <c r="U86" s="254"/>
      <c r="V86" s="228"/>
      <c r="W86" s="2357"/>
      <c r="X86" s="256"/>
      <c r="Y86" s="248"/>
      <c r="Z86" s="248"/>
      <c r="AA86" s="248"/>
      <c r="AB86" s="247"/>
      <c r="AC86" s="248"/>
      <c r="AD86" s="248"/>
      <c r="AE86" s="194"/>
      <c r="AF86" s="249"/>
      <c r="AG86" s="250"/>
      <c r="AH86" s="251"/>
      <c r="AI86" s="252"/>
    </row>
    <row r="87" spans="2:35">
      <c r="B87" s="253">
        <f t="shared" si="8"/>
        <v>78</v>
      </c>
      <c r="C87" s="244"/>
      <c r="D87" s="654"/>
      <c r="E87" s="466"/>
      <c r="F87" s="612"/>
      <c r="G87" s="2973"/>
      <c r="H87" s="230"/>
      <c r="I87" s="230"/>
      <c r="J87" s="230"/>
      <c r="K87" s="230"/>
      <c r="L87" s="230"/>
      <c r="M87" s="228"/>
      <c r="N87" s="257"/>
      <c r="O87" s="228"/>
      <c r="P87" s="228"/>
      <c r="Q87" s="2357"/>
      <c r="R87" s="258"/>
      <c r="S87" s="2381"/>
      <c r="T87" s="2381"/>
      <c r="U87" s="254"/>
      <c r="V87" s="228"/>
      <c r="W87" s="2357"/>
      <c r="X87" s="256"/>
      <c r="Y87" s="248"/>
      <c r="Z87" s="248"/>
      <c r="AA87" s="248"/>
      <c r="AB87" s="247"/>
      <c r="AC87" s="248"/>
      <c r="AD87" s="248"/>
      <c r="AE87" s="194"/>
      <c r="AF87" s="249"/>
      <c r="AG87" s="250"/>
      <c r="AH87" s="251"/>
      <c r="AI87" s="252"/>
    </row>
    <row r="88" spans="2:35">
      <c r="B88" s="253">
        <f t="shared" si="8"/>
        <v>79</v>
      </c>
      <c r="C88" s="244"/>
      <c r="D88" s="654"/>
      <c r="E88" s="466"/>
      <c r="F88" s="612"/>
      <c r="G88" s="2973"/>
      <c r="H88" s="230"/>
      <c r="I88" s="230"/>
      <c r="J88" s="230"/>
      <c r="K88" s="230"/>
      <c r="L88" s="230"/>
      <c r="M88" s="228"/>
      <c r="N88" s="257"/>
      <c r="O88" s="228"/>
      <c r="P88" s="228"/>
      <c r="Q88" s="2357"/>
      <c r="R88" s="258"/>
      <c r="S88" s="2381"/>
      <c r="T88" s="2381"/>
      <c r="U88" s="254"/>
      <c r="V88" s="228"/>
      <c r="W88" s="2357"/>
      <c r="X88" s="256"/>
      <c r="Y88" s="248"/>
      <c r="Z88" s="248"/>
      <c r="AA88" s="248"/>
      <c r="AB88" s="247"/>
      <c r="AC88" s="248"/>
      <c r="AD88" s="248"/>
      <c r="AE88" s="194"/>
      <c r="AF88" s="249"/>
      <c r="AG88" s="250"/>
      <c r="AH88" s="251"/>
      <c r="AI88" s="252"/>
    </row>
    <row r="89" spans="2:35">
      <c r="B89" s="253">
        <f t="shared" si="8"/>
        <v>80</v>
      </c>
      <c r="C89" s="244"/>
      <c r="D89" s="654"/>
      <c r="E89" s="466"/>
      <c r="F89" s="612"/>
      <c r="G89" s="2973"/>
      <c r="H89" s="230"/>
      <c r="I89" s="230"/>
      <c r="J89" s="230"/>
      <c r="K89" s="230"/>
      <c r="L89" s="230"/>
      <c r="M89" s="228"/>
      <c r="N89" s="257"/>
      <c r="O89" s="228"/>
      <c r="P89" s="228"/>
      <c r="Q89" s="2357"/>
      <c r="R89" s="258"/>
      <c r="S89" s="2381"/>
      <c r="T89" s="2381"/>
      <c r="U89" s="254"/>
      <c r="V89" s="228"/>
      <c r="W89" s="2357"/>
      <c r="X89" s="256"/>
      <c r="Y89" s="248"/>
      <c r="Z89" s="248"/>
      <c r="AA89" s="248"/>
      <c r="AB89" s="247"/>
      <c r="AC89" s="248"/>
      <c r="AD89" s="248"/>
      <c r="AE89" s="194"/>
      <c r="AF89" s="249"/>
      <c r="AG89" s="250"/>
      <c r="AH89" s="251"/>
      <c r="AI89" s="252"/>
    </row>
    <row r="90" spans="2:35">
      <c r="B90" s="253">
        <f t="shared" si="8"/>
        <v>81</v>
      </c>
      <c r="C90" s="244"/>
      <c r="D90" s="654"/>
      <c r="E90" s="466"/>
      <c r="F90" s="612"/>
      <c r="G90" s="2973"/>
      <c r="H90" s="230"/>
      <c r="I90" s="230"/>
      <c r="J90" s="230"/>
      <c r="K90" s="230"/>
      <c r="L90" s="230"/>
      <c r="M90" s="228"/>
      <c r="N90" s="257"/>
      <c r="O90" s="228"/>
      <c r="P90" s="228"/>
      <c r="Q90" s="2357"/>
      <c r="R90" s="258"/>
      <c r="S90" s="2381"/>
      <c r="T90" s="2381"/>
      <c r="U90" s="254"/>
      <c r="V90" s="228"/>
      <c r="W90" s="2357"/>
      <c r="X90" s="256"/>
      <c r="Y90" s="248"/>
      <c r="Z90" s="248"/>
      <c r="AA90" s="248"/>
      <c r="AB90" s="247"/>
      <c r="AC90" s="248"/>
      <c r="AD90" s="248"/>
      <c r="AE90" s="194"/>
      <c r="AF90" s="249"/>
      <c r="AG90" s="250"/>
      <c r="AH90" s="251"/>
      <c r="AI90" s="252"/>
    </row>
    <row r="91" spans="2:35">
      <c r="B91" s="253">
        <f t="shared" si="8"/>
        <v>82</v>
      </c>
      <c r="C91" s="244"/>
      <c r="D91" s="654"/>
      <c r="E91" s="466"/>
      <c r="F91" s="612"/>
      <c r="G91" s="2973"/>
      <c r="H91" s="230"/>
      <c r="I91" s="230"/>
      <c r="J91" s="230"/>
      <c r="K91" s="230"/>
      <c r="L91" s="230"/>
      <c r="M91" s="228"/>
      <c r="N91" s="257"/>
      <c r="O91" s="228"/>
      <c r="P91" s="228"/>
      <c r="Q91" s="2357"/>
      <c r="R91" s="258"/>
      <c r="S91" s="2381"/>
      <c r="T91" s="2381"/>
      <c r="U91" s="254"/>
      <c r="V91" s="228"/>
      <c r="W91" s="2357"/>
      <c r="X91" s="256"/>
      <c r="Y91" s="248"/>
      <c r="Z91" s="248"/>
      <c r="AA91" s="248"/>
      <c r="AB91" s="247"/>
      <c r="AC91" s="248"/>
      <c r="AD91" s="248"/>
      <c r="AE91" s="194"/>
      <c r="AF91" s="249"/>
      <c r="AG91" s="250"/>
      <c r="AH91" s="251"/>
      <c r="AI91" s="252"/>
    </row>
    <row r="92" spans="2:35">
      <c r="B92" s="253">
        <f t="shared" si="8"/>
        <v>83</v>
      </c>
      <c r="C92" s="244"/>
      <c r="D92" s="654"/>
      <c r="E92" s="466"/>
      <c r="F92" s="612"/>
      <c r="G92" s="2973"/>
      <c r="H92" s="230"/>
      <c r="I92" s="230"/>
      <c r="J92" s="230"/>
      <c r="K92" s="230"/>
      <c r="L92" s="230"/>
      <c r="M92" s="228"/>
      <c r="N92" s="257"/>
      <c r="O92" s="228"/>
      <c r="P92" s="228"/>
      <c r="Q92" s="2357"/>
      <c r="R92" s="258"/>
      <c r="S92" s="2381"/>
      <c r="T92" s="2381"/>
      <c r="U92" s="254"/>
      <c r="V92" s="228"/>
      <c r="W92" s="2357"/>
      <c r="X92" s="256"/>
      <c r="Y92" s="248"/>
      <c r="Z92" s="248"/>
      <c r="AA92" s="248"/>
      <c r="AB92" s="247"/>
      <c r="AC92" s="248"/>
      <c r="AD92" s="248"/>
      <c r="AE92" s="194"/>
      <c r="AF92" s="249"/>
      <c r="AG92" s="250"/>
      <c r="AH92" s="251"/>
      <c r="AI92" s="252"/>
    </row>
    <row r="93" spans="2:35">
      <c r="B93" s="253">
        <f t="shared" si="8"/>
        <v>84</v>
      </c>
      <c r="C93" s="244"/>
      <c r="D93" s="654"/>
      <c r="E93" s="466"/>
      <c r="F93" s="612"/>
      <c r="G93" s="2973"/>
      <c r="H93" s="230"/>
      <c r="I93" s="230"/>
      <c r="J93" s="230"/>
      <c r="K93" s="230"/>
      <c r="L93" s="230"/>
      <c r="M93" s="228"/>
      <c r="N93" s="257"/>
      <c r="O93" s="228"/>
      <c r="P93" s="228"/>
      <c r="Q93" s="2357"/>
      <c r="R93" s="258"/>
      <c r="S93" s="2381"/>
      <c r="T93" s="2381"/>
      <c r="U93" s="254"/>
      <c r="V93" s="228"/>
      <c r="W93" s="2357"/>
      <c r="X93" s="256"/>
      <c r="Y93" s="248"/>
      <c r="Z93" s="248"/>
      <c r="AA93" s="248"/>
      <c r="AB93" s="247"/>
      <c r="AC93" s="248"/>
      <c r="AD93" s="248"/>
      <c r="AE93" s="194"/>
      <c r="AF93" s="249"/>
      <c r="AG93" s="250"/>
      <c r="AH93" s="251"/>
      <c r="AI93" s="252"/>
    </row>
    <row r="94" spans="2:35">
      <c r="B94" s="253">
        <f t="shared" si="8"/>
        <v>85</v>
      </c>
      <c r="C94" s="244"/>
      <c r="D94" s="654"/>
      <c r="E94" s="466"/>
      <c r="F94" s="612"/>
      <c r="G94" s="2973"/>
      <c r="H94" s="230"/>
      <c r="I94" s="230"/>
      <c r="J94" s="230"/>
      <c r="K94" s="230"/>
      <c r="L94" s="230"/>
      <c r="M94" s="228"/>
      <c r="N94" s="257"/>
      <c r="O94" s="228"/>
      <c r="P94" s="228"/>
      <c r="Q94" s="2357"/>
      <c r="R94" s="258"/>
      <c r="S94" s="2381"/>
      <c r="T94" s="2381"/>
      <c r="U94" s="254"/>
      <c r="V94" s="228"/>
      <c r="W94" s="2357"/>
      <c r="X94" s="256"/>
      <c r="Y94" s="248"/>
      <c r="Z94" s="248"/>
      <c r="AA94" s="248"/>
      <c r="AB94" s="247"/>
      <c r="AC94" s="248"/>
      <c r="AD94" s="248"/>
      <c r="AE94" s="194"/>
      <c r="AF94" s="249"/>
      <c r="AG94" s="250"/>
      <c r="AH94" s="251"/>
      <c r="AI94" s="252"/>
    </row>
    <row r="95" spans="2:35">
      <c r="B95" s="253">
        <f t="shared" si="8"/>
        <v>86</v>
      </c>
      <c r="C95" s="244"/>
      <c r="D95" s="654"/>
      <c r="E95" s="466"/>
      <c r="F95" s="612"/>
      <c r="G95" s="2973"/>
      <c r="H95" s="230"/>
      <c r="I95" s="230"/>
      <c r="J95" s="230"/>
      <c r="K95" s="230"/>
      <c r="L95" s="230"/>
      <c r="M95" s="228"/>
      <c r="N95" s="257"/>
      <c r="O95" s="228"/>
      <c r="P95" s="228"/>
      <c r="Q95" s="2357"/>
      <c r="R95" s="258"/>
      <c r="S95" s="2381"/>
      <c r="T95" s="2381"/>
      <c r="U95" s="254"/>
      <c r="V95" s="228"/>
      <c r="W95" s="2357"/>
      <c r="X95" s="256"/>
      <c r="Y95" s="248"/>
      <c r="Z95" s="248"/>
      <c r="AA95" s="248"/>
      <c r="AB95" s="247"/>
      <c r="AC95" s="248"/>
      <c r="AD95" s="248"/>
      <c r="AE95" s="194"/>
      <c r="AF95" s="249"/>
      <c r="AG95" s="250"/>
      <c r="AH95" s="251"/>
      <c r="AI95" s="252"/>
    </row>
    <row r="96" spans="2:35">
      <c r="B96" s="253">
        <f t="shared" si="8"/>
        <v>87</v>
      </c>
      <c r="C96" s="244"/>
      <c r="D96" s="654"/>
      <c r="E96" s="466"/>
      <c r="F96" s="612"/>
      <c r="G96" s="2973"/>
      <c r="H96" s="230"/>
      <c r="I96" s="230"/>
      <c r="J96" s="230"/>
      <c r="K96" s="230"/>
      <c r="L96" s="230"/>
      <c r="M96" s="228"/>
      <c r="N96" s="257"/>
      <c r="O96" s="228"/>
      <c r="P96" s="228"/>
      <c r="Q96" s="2357"/>
      <c r="R96" s="258"/>
      <c r="S96" s="2381"/>
      <c r="T96" s="2381"/>
      <c r="U96" s="254"/>
      <c r="V96" s="228"/>
      <c r="W96" s="2357"/>
      <c r="X96" s="256"/>
      <c r="Y96" s="248"/>
      <c r="Z96" s="248"/>
      <c r="AA96" s="248"/>
      <c r="AB96" s="247"/>
      <c r="AC96" s="248"/>
      <c r="AD96" s="248"/>
      <c r="AE96" s="194"/>
      <c r="AF96" s="249"/>
      <c r="AG96" s="250"/>
      <c r="AH96" s="251"/>
      <c r="AI96" s="252"/>
    </row>
    <row r="97" spans="2:35">
      <c r="B97" s="253">
        <f t="shared" si="8"/>
        <v>88</v>
      </c>
      <c r="C97" s="244"/>
      <c r="D97" s="654"/>
      <c r="E97" s="466"/>
      <c r="F97" s="612"/>
      <c r="G97" s="2973"/>
      <c r="H97" s="230"/>
      <c r="I97" s="230"/>
      <c r="J97" s="230"/>
      <c r="K97" s="230"/>
      <c r="L97" s="230"/>
      <c r="M97" s="228"/>
      <c r="N97" s="257"/>
      <c r="O97" s="228"/>
      <c r="P97" s="228"/>
      <c r="Q97" s="2357"/>
      <c r="R97" s="258"/>
      <c r="S97" s="2381"/>
      <c r="T97" s="2381"/>
      <c r="U97" s="254"/>
      <c r="V97" s="228"/>
      <c r="W97" s="2357"/>
      <c r="X97" s="256"/>
      <c r="Y97" s="248"/>
      <c r="Z97" s="248"/>
      <c r="AA97" s="248"/>
      <c r="AB97" s="247"/>
      <c r="AC97" s="248"/>
      <c r="AD97" s="248"/>
      <c r="AE97" s="194"/>
      <c r="AF97" s="249"/>
      <c r="AG97" s="250"/>
      <c r="AH97" s="251"/>
      <c r="AI97" s="252"/>
    </row>
    <row r="98" spans="2:35">
      <c r="B98" s="253">
        <f t="shared" si="8"/>
        <v>89</v>
      </c>
      <c r="C98" s="244"/>
      <c r="D98" s="654"/>
      <c r="E98" s="466"/>
      <c r="F98" s="612"/>
      <c r="G98" s="2973"/>
      <c r="H98" s="230"/>
      <c r="I98" s="230"/>
      <c r="J98" s="230"/>
      <c r="K98" s="230"/>
      <c r="L98" s="230"/>
      <c r="M98" s="228"/>
      <c r="N98" s="257"/>
      <c r="O98" s="228"/>
      <c r="P98" s="228"/>
      <c r="Q98" s="2357"/>
      <c r="R98" s="258"/>
      <c r="S98" s="2381"/>
      <c r="T98" s="2381"/>
      <c r="U98" s="254"/>
      <c r="V98" s="228"/>
      <c r="W98" s="2357"/>
      <c r="X98" s="256"/>
      <c r="Y98" s="248"/>
      <c r="Z98" s="248"/>
      <c r="AA98" s="248"/>
      <c r="AB98" s="247"/>
      <c r="AC98" s="248"/>
      <c r="AD98" s="248"/>
      <c r="AE98" s="194"/>
      <c r="AF98" s="249"/>
      <c r="AG98" s="250"/>
      <c r="AH98" s="251"/>
      <c r="AI98" s="252"/>
    </row>
    <row r="99" spans="2:35">
      <c r="B99" s="253">
        <f t="shared" si="8"/>
        <v>90</v>
      </c>
      <c r="C99" s="244"/>
      <c r="D99" s="654"/>
      <c r="E99" s="466"/>
      <c r="F99" s="612"/>
      <c r="G99" s="2973"/>
      <c r="H99" s="230"/>
      <c r="I99" s="230"/>
      <c r="J99" s="230"/>
      <c r="K99" s="230"/>
      <c r="L99" s="230"/>
      <c r="M99" s="228"/>
      <c r="N99" s="257"/>
      <c r="O99" s="228"/>
      <c r="P99" s="228"/>
      <c r="Q99" s="2357"/>
      <c r="R99" s="258"/>
      <c r="S99" s="2381"/>
      <c r="T99" s="2381"/>
      <c r="U99" s="254"/>
      <c r="V99" s="228"/>
      <c r="W99" s="2357"/>
      <c r="X99" s="256"/>
      <c r="Y99" s="248"/>
      <c r="Z99" s="248"/>
      <c r="AA99" s="248"/>
      <c r="AB99" s="247"/>
      <c r="AC99" s="248"/>
      <c r="AD99" s="248"/>
      <c r="AE99" s="194"/>
      <c r="AF99" s="249"/>
      <c r="AG99" s="250"/>
      <c r="AH99" s="251"/>
      <c r="AI99" s="252"/>
    </row>
    <row r="100" spans="2:35">
      <c r="B100" s="253">
        <f t="shared" si="8"/>
        <v>91</v>
      </c>
      <c r="C100" s="244"/>
      <c r="D100" s="654"/>
      <c r="E100" s="466"/>
      <c r="F100" s="612"/>
      <c r="G100" s="2973"/>
      <c r="H100" s="230"/>
      <c r="I100" s="230"/>
      <c r="J100" s="230"/>
      <c r="K100" s="230"/>
      <c r="L100" s="230"/>
      <c r="M100" s="228"/>
      <c r="N100" s="257"/>
      <c r="O100" s="228"/>
      <c r="P100" s="228"/>
      <c r="Q100" s="2357"/>
      <c r="R100" s="258"/>
      <c r="S100" s="2381"/>
      <c r="T100" s="2381"/>
      <c r="U100" s="254"/>
      <c r="V100" s="228"/>
      <c r="W100" s="2357"/>
      <c r="X100" s="256"/>
      <c r="Y100" s="248"/>
      <c r="Z100" s="248"/>
      <c r="AA100" s="248"/>
      <c r="AB100" s="247"/>
      <c r="AC100" s="248"/>
      <c r="AD100" s="248"/>
      <c r="AE100" s="194"/>
      <c r="AF100" s="249"/>
      <c r="AG100" s="250"/>
      <c r="AH100" s="251"/>
      <c r="AI100" s="252"/>
    </row>
    <row r="101" spans="2:35">
      <c r="B101" s="253">
        <f t="shared" si="8"/>
        <v>92</v>
      </c>
      <c r="C101" s="244"/>
      <c r="D101" s="654"/>
      <c r="E101" s="466"/>
      <c r="F101" s="612"/>
      <c r="G101" s="2973"/>
      <c r="H101" s="230"/>
      <c r="I101" s="230"/>
      <c r="J101" s="230"/>
      <c r="K101" s="230"/>
      <c r="L101" s="230"/>
      <c r="M101" s="228"/>
      <c r="N101" s="257"/>
      <c r="O101" s="228"/>
      <c r="P101" s="228"/>
      <c r="Q101" s="2357"/>
      <c r="R101" s="258"/>
      <c r="S101" s="2381"/>
      <c r="T101" s="2381"/>
      <c r="U101" s="254"/>
      <c r="V101" s="228"/>
      <c r="W101" s="2357"/>
      <c r="X101" s="256"/>
      <c r="Y101" s="248"/>
      <c r="Z101" s="248"/>
      <c r="AA101" s="248"/>
      <c r="AB101" s="247"/>
      <c r="AC101" s="248"/>
      <c r="AD101" s="248"/>
      <c r="AE101" s="194"/>
      <c r="AF101" s="249"/>
      <c r="AG101" s="250"/>
      <c r="AH101" s="251"/>
      <c r="AI101" s="252"/>
    </row>
    <row r="102" spans="2:35">
      <c r="B102" s="253">
        <f t="shared" si="8"/>
        <v>93</v>
      </c>
      <c r="C102" s="244"/>
      <c r="D102" s="654"/>
      <c r="E102" s="466"/>
      <c r="F102" s="612"/>
      <c r="G102" s="2973"/>
      <c r="H102" s="230"/>
      <c r="I102" s="230"/>
      <c r="J102" s="230"/>
      <c r="K102" s="230"/>
      <c r="L102" s="230"/>
      <c r="M102" s="228"/>
      <c r="N102" s="257"/>
      <c r="O102" s="228"/>
      <c r="P102" s="228"/>
      <c r="Q102" s="2357"/>
      <c r="R102" s="258"/>
      <c r="S102" s="2381"/>
      <c r="T102" s="2381"/>
      <c r="U102" s="254"/>
      <c r="V102" s="228"/>
      <c r="W102" s="2357"/>
      <c r="X102" s="256"/>
      <c r="Y102" s="248"/>
      <c r="Z102" s="248"/>
      <c r="AA102" s="248"/>
      <c r="AB102" s="247"/>
      <c r="AC102" s="248"/>
      <c r="AD102" s="248"/>
      <c r="AE102" s="194"/>
      <c r="AF102" s="249"/>
      <c r="AG102" s="250"/>
      <c r="AH102" s="251"/>
      <c r="AI102" s="252"/>
    </row>
    <row r="103" spans="2:35">
      <c r="B103" s="253">
        <f t="shared" si="8"/>
        <v>94</v>
      </c>
      <c r="C103" s="244"/>
      <c r="D103" s="654"/>
      <c r="E103" s="466"/>
      <c r="F103" s="612"/>
      <c r="G103" s="2973"/>
      <c r="H103" s="230"/>
      <c r="I103" s="230"/>
      <c r="J103" s="230"/>
      <c r="K103" s="230"/>
      <c r="L103" s="230"/>
      <c r="M103" s="228"/>
      <c r="N103" s="257"/>
      <c r="O103" s="228"/>
      <c r="P103" s="228"/>
      <c r="Q103" s="2357"/>
      <c r="R103" s="258"/>
      <c r="S103" s="2381"/>
      <c r="T103" s="2381"/>
      <c r="U103" s="254"/>
      <c r="V103" s="228"/>
      <c r="W103" s="2357"/>
      <c r="X103" s="256"/>
      <c r="Y103" s="248"/>
      <c r="Z103" s="248"/>
      <c r="AA103" s="248"/>
      <c r="AB103" s="247"/>
      <c r="AC103" s="248"/>
      <c r="AD103" s="248"/>
      <c r="AE103" s="194"/>
      <c r="AF103" s="249"/>
      <c r="AG103" s="250"/>
      <c r="AH103" s="251"/>
      <c r="AI103" s="252"/>
    </row>
    <row r="104" spans="2:35">
      <c r="B104" s="253">
        <f t="shared" si="8"/>
        <v>95</v>
      </c>
      <c r="C104" s="244"/>
      <c r="D104" s="654"/>
      <c r="E104" s="466"/>
      <c r="F104" s="612"/>
      <c r="G104" s="2973"/>
      <c r="H104" s="230"/>
      <c r="I104" s="230"/>
      <c r="J104" s="230"/>
      <c r="K104" s="230"/>
      <c r="L104" s="230"/>
      <c r="M104" s="228"/>
      <c r="N104" s="257"/>
      <c r="O104" s="228"/>
      <c r="P104" s="228"/>
      <c r="Q104" s="2357"/>
      <c r="R104" s="258"/>
      <c r="S104" s="2381"/>
      <c r="T104" s="2381"/>
      <c r="U104" s="254"/>
      <c r="V104" s="228"/>
      <c r="W104" s="2357"/>
      <c r="X104" s="256"/>
      <c r="Y104" s="248"/>
      <c r="Z104" s="248"/>
      <c r="AA104" s="248"/>
      <c r="AB104" s="247"/>
      <c r="AC104" s="248"/>
      <c r="AD104" s="248"/>
      <c r="AE104" s="194"/>
      <c r="AF104" s="249"/>
      <c r="AG104" s="250"/>
      <c r="AH104" s="251"/>
      <c r="AI104" s="252"/>
    </row>
    <row r="105" spans="2:35">
      <c r="B105" s="253">
        <f t="shared" si="8"/>
        <v>96</v>
      </c>
      <c r="C105" s="244"/>
      <c r="D105" s="654"/>
      <c r="E105" s="466"/>
      <c r="F105" s="612"/>
      <c r="G105" s="2973"/>
      <c r="H105" s="230"/>
      <c r="I105" s="230"/>
      <c r="J105" s="230"/>
      <c r="K105" s="230"/>
      <c r="L105" s="230"/>
      <c r="M105" s="228"/>
      <c r="N105" s="257"/>
      <c r="O105" s="228"/>
      <c r="P105" s="228"/>
      <c r="Q105" s="2357"/>
      <c r="R105" s="258"/>
      <c r="S105" s="2381"/>
      <c r="T105" s="2381"/>
      <c r="U105" s="254"/>
      <c r="V105" s="228"/>
      <c r="W105" s="2357"/>
      <c r="X105" s="256"/>
      <c r="Y105" s="248"/>
      <c r="Z105" s="248"/>
      <c r="AA105" s="248"/>
      <c r="AB105" s="247"/>
      <c r="AC105" s="248"/>
      <c r="AD105" s="248"/>
      <c r="AE105" s="194"/>
      <c r="AF105" s="249"/>
      <c r="AG105" s="250"/>
      <c r="AH105" s="251"/>
      <c r="AI105" s="252"/>
    </row>
    <row r="106" spans="2:35">
      <c r="B106" s="253">
        <f t="shared" si="8"/>
        <v>97</v>
      </c>
      <c r="C106" s="244"/>
      <c r="D106" s="654"/>
      <c r="E106" s="466"/>
      <c r="F106" s="612"/>
      <c r="G106" s="2973"/>
      <c r="H106" s="230"/>
      <c r="I106" s="230"/>
      <c r="J106" s="230"/>
      <c r="K106" s="230"/>
      <c r="L106" s="230"/>
      <c r="M106" s="228"/>
      <c r="N106" s="257"/>
      <c r="O106" s="228"/>
      <c r="P106" s="228"/>
      <c r="Q106" s="2357"/>
      <c r="R106" s="258"/>
      <c r="S106" s="2381"/>
      <c r="T106" s="2381"/>
      <c r="U106" s="254"/>
      <c r="V106" s="228"/>
      <c r="W106" s="2357"/>
      <c r="X106" s="256"/>
      <c r="Y106" s="248"/>
      <c r="Z106" s="248"/>
      <c r="AA106" s="248"/>
      <c r="AB106" s="247"/>
      <c r="AC106" s="248"/>
      <c r="AD106" s="248"/>
      <c r="AE106" s="194"/>
      <c r="AF106" s="249"/>
      <c r="AG106" s="250"/>
      <c r="AH106" s="251"/>
      <c r="AI106" s="252"/>
    </row>
    <row r="107" spans="2:35">
      <c r="B107" s="253">
        <f t="shared" si="8"/>
        <v>98</v>
      </c>
      <c r="C107" s="244"/>
      <c r="D107" s="654"/>
      <c r="E107" s="466"/>
      <c r="F107" s="612"/>
      <c r="G107" s="2973"/>
      <c r="H107" s="230"/>
      <c r="I107" s="230"/>
      <c r="J107" s="230"/>
      <c r="K107" s="230"/>
      <c r="L107" s="230"/>
      <c r="M107" s="228"/>
      <c r="N107" s="257"/>
      <c r="O107" s="228"/>
      <c r="P107" s="228"/>
      <c r="Q107" s="2357"/>
      <c r="R107" s="258"/>
      <c r="S107" s="2381"/>
      <c r="T107" s="2381"/>
      <c r="U107" s="254"/>
      <c r="V107" s="228"/>
      <c r="W107" s="2357"/>
      <c r="X107" s="256"/>
      <c r="Y107" s="248"/>
      <c r="Z107" s="248"/>
      <c r="AA107" s="248"/>
      <c r="AB107" s="247"/>
      <c r="AC107" s="248"/>
      <c r="AD107" s="248"/>
      <c r="AE107" s="194"/>
      <c r="AF107" s="249"/>
      <c r="AG107" s="250"/>
      <c r="AH107" s="251"/>
      <c r="AI107" s="252"/>
    </row>
    <row r="108" spans="2:35">
      <c r="B108" s="253">
        <f t="shared" si="8"/>
        <v>99</v>
      </c>
      <c r="C108" s="244"/>
      <c r="D108" s="654"/>
      <c r="E108" s="466"/>
      <c r="F108" s="612"/>
      <c r="G108" s="2973"/>
      <c r="H108" s="230"/>
      <c r="I108" s="230"/>
      <c r="J108" s="230"/>
      <c r="K108" s="230"/>
      <c r="L108" s="230"/>
      <c r="M108" s="228"/>
      <c r="N108" s="257"/>
      <c r="O108" s="228"/>
      <c r="P108" s="228"/>
      <c r="Q108" s="2357"/>
      <c r="R108" s="258"/>
      <c r="S108" s="2381"/>
      <c r="T108" s="2381"/>
      <c r="U108" s="254"/>
      <c r="V108" s="228"/>
      <c r="W108" s="2357"/>
      <c r="X108" s="256"/>
      <c r="Y108" s="248"/>
      <c r="Z108" s="248"/>
      <c r="AA108" s="248"/>
      <c r="AB108" s="247"/>
      <c r="AC108" s="248"/>
      <c r="AD108" s="248"/>
      <c r="AE108" s="194"/>
      <c r="AF108" s="249"/>
      <c r="AG108" s="250"/>
      <c r="AH108" s="251"/>
      <c r="AI108" s="252"/>
    </row>
    <row r="109" spans="2:35">
      <c r="B109" s="253">
        <f t="shared" si="8"/>
        <v>100</v>
      </c>
      <c r="C109" s="244"/>
      <c r="D109" s="654"/>
      <c r="E109" s="466"/>
      <c r="F109" s="612"/>
      <c r="G109" s="2973"/>
      <c r="H109" s="230"/>
      <c r="I109" s="230"/>
      <c r="J109" s="230"/>
      <c r="K109" s="230"/>
      <c r="L109" s="230"/>
      <c r="M109" s="228"/>
      <c r="N109" s="257"/>
      <c r="O109" s="228"/>
      <c r="P109" s="228"/>
      <c r="Q109" s="2357"/>
      <c r="R109" s="258"/>
      <c r="S109" s="2381"/>
      <c r="T109" s="2381"/>
      <c r="U109" s="254"/>
      <c r="V109" s="228"/>
      <c r="W109" s="2357"/>
      <c r="X109" s="256"/>
      <c r="Y109" s="248"/>
      <c r="Z109" s="248"/>
      <c r="AA109" s="248"/>
      <c r="AB109" s="247"/>
      <c r="AC109" s="248"/>
      <c r="AD109" s="248"/>
      <c r="AE109" s="194"/>
      <c r="AF109" s="249"/>
      <c r="AG109" s="250"/>
      <c r="AH109" s="251"/>
      <c r="AI109" s="252"/>
    </row>
    <row r="110" spans="2:35">
      <c r="B110" s="253">
        <f t="shared" si="8"/>
        <v>101</v>
      </c>
      <c r="C110" s="244"/>
      <c r="D110" s="654"/>
      <c r="E110" s="466"/>
      <c r="F110" s="612"/>
      <c r="G110" s="2973"/>
      <c r="H110" s="230"/>
      <c r="I110" s="230"/>
      <c r="J110" s="230"/>
      <c r="K110" s="230"/>
      <c r="L110" s="230"/>
      <c r="M110" s="228"/>
      <c r="N110" s="257"/>
      <c r="O110" s="228"/>
      <c r="P110" s="228"/>
      <c r="Q110" s="2357"/>
      <c r="R110" s="258"/>
      <c r="S110" s="2381"/>
      <c r="T110" s="2381"/>
      <c r="U110" s="254"/>
      <c r="V110" s="228"/>
      <c r="W110" s="2357"/>
      <c r="X110" s="256"/>
      <c r="Y110" s="248"/>
      <c r="Z110" s="248"/>
      <c r="AA110" s="248"/>
      <c r="AB110" s="247"/>
      <c r="AC110" s="248"/>
      <c r="AD110" s="248"/>
      <c r="AE110" s="194"/>
      <c r="AF110" s="249"/>
      <c r="AG110" s="250"/>
      <c r="AH110" s="251"/>
      <c r="AI110" s="252"/>
    </row>
    <row r="111" spans="2:35">
      <c r="B111" s="253">
        <f t="shared" si="8"/>
        <v>102</v>
      </c>
      <c r="C111" s="244"/>
      <c r="D111" s="654"/>
      <c r="E111" s="466"/>
      <c r="F111" s="612"/>
      <c r="G111" s="2973"/>
      <c r="H111" s="230"/>
      <c r="I111" s="230"/>
      <c r="J111" s="230"/>
      <c r="K111" s="230"/>
      <c r="L111" s="230"/>
      <c r="M111" s="228"/>
      <c r="N111" s="257"/>
      <c r="O111" s="228"/>
      <c r="P111" s="228"/>
      <c r="Q111" s="2357"/>
      <c r="R111" s="258"/>
      <c r="S111" s="2381"/>
      <c r="T111" s="2381"/>
      <c r="U111" s="254"/>
      <c r="V111" s="228"/>
      <c r="W111" s="2357"/>
      <c r="X111" s="256"/>
      <c r="Y111" s="248"/>
      <c r="Z111" s="248"/>
      <c r="AA111" s="248"/>
      <c r="AB111" s="247"/>
      <c r="AC111" s="248"/>
      <c r="AD111" s="248"/>
      <c r="AE111" s="194"/>
      <c r="AF111" s="249"/>
      <c r="AG111" s="250"/>
      <c r="AH111" s="251"/>
      <c r="AI111" s="252"/>
    </row>
    <row r="112" spans="2:35">
      <c r="B112" s="253">
        <f t="shared" si="8"/>
        <v>103</v>
      </c>
      <c r="C112" s="244"/>
      <c r="D112" s="654"/>
      <c r="E112" s="466"/>
      <c r="F112" s="612"/>
      <c r="G112" s="2973"/>
      <c r="H112" s="230"/>
      <c r="I112" s="230"/>
      <c r="J112" s="230"/>
      <c r="K112" s="230"/>
      <c r="L112" s="230"/>
      <c r="M112" s="228"/>
      <c r="N112" s="257"/>
      <c r="O112" s="228"/>
      <c r="P112" s="228"/>
      <c r="Q112" s="2357"/>
      <c r="R112" s="258"/>
      <c r="S112" s="2381"/>
      <c r="T112" s="2381"/>
      <c r="U112" s="254"/>
      <c r="V112" s="228"/>
      <c r="W112" s="2357"/>
      <c r="X112" s="256"/>
      <c r="Y112" s="248"/>
      <c r="Z112" s="248"/>
      <c r="AA112" s="248"/>
      <c r="AB112" s="247"/>
      <c r="AC112" s="248"/>
      <c r="AD112" s="248"/>
      <c r="AE112" s="194"/>
      <c r="AF112" s="249"/>
      <c r="AG112" s="250"/>
      <c r="AH112" s="251"/>
      <c r="AI112" s="252"/>
    </row>
    <row r="113" spans="2:35">
      <c r="B113" s="253">
        <f t="shared" si="8"/>
        <v>104</v>
      </c>
      <c r="C113" s="244"/>
      <c r="D113" s="654"/>
      <c r="E113" s="466"/>
      <c r="F113" s="612"/>
      <c r="G113" s="2973"/>
      <c r="H113" s="230"/>
      <c r="I113" s="230"/>
      <c r="J113" s="230"/>
      <c r="K113" s="230"/>
      <c r="L113" s="230"/>
      <c r="M113" s="228"/>
      <c r="N113" s="257"/>
      <c r="O113" s="228"/>
      <c r="P113" s="228"/>
      <c r="Q113" s="2357"/>
      <c r="R113" s="258"/>
      <c r="S113" s="2381"/>
      <c r="T113" s="2381"/>
      <c r="U113" s="254"/>
      <c r="V113" s="228"/>
      <c r="W113" s="2357"/>
      <c r="X113" s="256"/>
      <c r="Y113" s="248"/>
      <c r="Z113" s="248"/>
      <c r="AA113" s="248"/>
      <c r="AB113" s="247"/>
      <c r="AC113" s="248"/>
      <c r="AD113" s="248"/>
      <c r="AE113" s="194"/>
      <c r="AF113" s="249"/>
      <c r="AG113" s="250"/>
      <c r="AH113" s="251"/>
      <c r="AI113" s="252"/>
    </row>
    <row r="114" spans="2:35">
      <c r="B114" s="253">
        <f t="shared" si="8"/>
        <v>105</v>
      </c>
      <c r="C114" s="244"/>
      <c r="D114" s="654"/>
      <c r="E114" s="466"/>
      <c r="F114" s="612"/>
      <c r="G114" s="2973"/>
      <c r="H114" s="230"/>
      <c r="I114" s="230"/>
      <c r="J114" s="230"/>
      <c r="K114" s="230"/>
      <c r="L114" s="230"/>
      <c r="M114" s="228"/>
      <c r="N114" s="257"/>
      <c r="O114" s="228"/>
      <c r="P114" s="228"/>
      <c r="Q114" s="2357"/>
      <c r="R114" s="258"/>
      <c r="S114" s="2381"/>
      <c r="T114" s="2381"/>
      <c r="U114" s="254"/>
      <c r="V114" s="228"/>
      <c r="W114" s="2357"/>
      <c r="X114" s="256"/>
      <c r="Y114" s="248"/>
      <c r="Z114" s="248"/>
      <c r="AA114" s="248"/>
      <c r="AB114" s="247"/>
      <c r="AC114" s="248"/>
      <c r="AD114" s="248"/>
      <c r="AE114" s="194"/>
      <c r="AF114" s="249"/>
      <c r="AG114" s="250"/>
      <c r="AH114" s="251"/>
      <c r="AI114" s="252"/>
    </row>
    <row r="115" spans="2:35">
      <c r="B115" s="253">
        <f t="shared" si="8"/>
        <v>106</v>
      </c>
      <c r="C115" s="244"/>
      <c r="D115" s="654"/>
      <c r="E115" s="466"/>
      <c r="F115" s="612"/>
      <c r="G115" s="2973"/>
      <c r="H115" s="230"/>
      <c r="I115" s="230"/>
      <c r="J115" s="230"/>
      <c r="K115" s="230"/>
      <c r="L115" s="230"/>
      <c r="M115" s="228"/>
      <c r="N115" s="257"/>
      <c r="O115" s="228"/>
      <c r="P115" s="228"/>
      <c r="Q115" s="2357"/>
      <c r="R115" s="258"/>
      <c r="S115" s="2381"/>
      <c r="T115" s="2381"/>
      <c r="U115" s="254"/>
      <c r="V115" s="228"/>
      <c r="W115" s="2357"/>
      <c r="X115" s="256"/>
      <c r="Y115" s="248"/>
      <c r="Z115" s="248"/>
      <c r="AA115" s="248"/>
      <c r="AB115" s="247"/>
      <c r="AC115" s="248"/>
      <c r="AD115" s="248"/>
      <c r="AE115" s="194"/>
      <c r="AF115" s="249"/>
      <c r="AG115" s="250"/>
      <c r="AH115" s="251"/>
      <c r="AI115" s="252"/>
    </row>
    <row r="116" spans="2:35">
      <c r="B116" s="253">
        <f t="shared" si="8"/>
        <v>107</v>
      </c>
      <c r="C116" s="244"/>
      <c r="D116" s="654"/>
      <c r="E116" s="466"/>
      <c r="F116" s="612"/>
      <c r="G116" s="2973"/>
      <c r="H116" s="230"/>
      <c r="I116" s="230"/>
      <c r="J116" s="230"/>
      <c r="K116" s="230"/>
      <c r="L116" s="230"/>
      <c r="M116" s="228"/>
      <c r="N116" s="257"/>
      <c r="O116" s="228"/>
      <c r="P116" s="228"/>
      <c r="Q116" s="2357"/>
      <c r="R116" s="258"/>
      <c r="S116" s="2381"/>
      <c r="T116" s="2381"/>
      <c r="U116" s="254"/>
      <c r="V116" s="228"/>
      <c r="W116" s="2357"/>
      <c r="X116" s="256"/>
      <c r="Y116" s="248"/>
      <c r="Z116" s="248"/>
      <c r="AA116" s="248"/>
      <c r="AB116" s="247"/>
      <c r="AC116" s="248"/>
      <c r="AD116" s="248"/>
      <c r="AE116" s="194"/>
      <c r="AF116" s="249"/>
      <c r="AG116" s="250"/>
      <c r="AH116" s="251"/>
      <c r="AI116" s="252"/>
    </row>
    <row r="117" spans="2:35">
      <c r="B117" s="253">
        <f t="shared" si="8"/>
        <v>108</v>
      </c>
      <c r="C117" s="244"/>
      <c r="D117" s="654"/>
      <c r="E117" s="466"/>
      <c r="F117" s="612"/>
      <c r="G117" s="2973"/>
      <c r="H117" s="230"/>
      <c r="I117" s="230"/>
      <c r="J117" s="230"/>
      <c r="K117" s="230"/>
      <c r="L117" s="230"/>
      <c r="M117" s="228"/>
      <c r="N117" s="257"/>
      <c r="O117" s="228"/>
      <c r="P117" s="228"/>
      <c r="Q117" s="2357"/>
      <c r="R117" s="258"/>
      <c r="S117" s="2381"/>
      <c r="T117" s="2381"/>
      <c r="U117" s="254"/>
      <c r="V117" s="228"/>
      <c r="W117" s="2357"/>
      <c r="X117" s="256"/>
      <c r="Y117" s="248"/>
      <c r="Z117" s="248"/>
      <c r="AA117" s="248"/>
      <c r="AB117" s="247"/>
      <c r="AC117" s="248"/>
      <c r="AD117" s="248"/>
      <c r="AE117" s="194"/>
      <c r="AF117" s="249"/>
      <c r="AG117" s="250"/>
      <c r="AH117" s="251"/>
      <c r="AI117" s="252"/>
    </row>
    <row r="118" spans="2:35">
      <c r="B118" s="253">
        <f t="shared" si="8"/>
        <v>109</v>
      </c>
      <c r="C118" s="244"/>
      <c r="D118" s="654"/>
      <c r="E118" s="466"/>
      <c r="F118" s="612"/>
      <c r="G118" s="2973"/>
      <c r="H118" s="230"/>
      <c r="I118" s="230"/>
      <c r="J118" s="230"/>
      <c r="K118" s="230"/>
      <c r="L118" s="230"/>
      <c r="M118" s="228"/>
      <c r="N118" s="257"/>
      <c r="O118" s="228"/>
      <c r="P118" s="228"/>
      <c r="Q118" s="2357"/>
      <c r="R118" s="258"/>
      <c r="S118" s="2381"/>
      <c r="T118" s="2381"/>
      <c r="U118" s="254"/>
      <c r="V118" s="228"/>
      <c r="W118" s="2357"/>
      <c r="X118" s="256"/>
      <c r="Y118" s="248"/>
      <c r="Z118" s="248"/>
      <c r="AA118" s="248"/>
      <c r="AB118" s="247"/>
      <c r="AC118" s="248"/>
      <c r="AD118" s="248"/>
      <c r="AE118" s="194"/>
      <c r="AF118" s="249"/>
      <c r="AG118" s="250"/>
      <c r="AH118" s="251"/>
      <c r="AI118" s="252"/>
    </row>
    <row r="119" spans="2:35">
      <c r="B119" s="253">
        <f t="shared" si="8"/>
        <v>110</v>
      </c>
      <c r="C119" s="244"/>
      <c r="D119" s="654"/>
      <c r="E119" s="466"/>
      <c r="F119" s="612"/>
      <c r="G119" s="2973"/>
      <c r="H119" s="230"/>
      <c r="I119" s="230"/>
      <c r="J119" s="230"/>
      <c r="K119" s="230"/>
      <c r="L119" s="230"/>
      <c r="M119" s="228"/>
      <c r="N119" s="257"/>
      <c r="O119" s="228"/>
      <c r="P119" s="228"/>
      <c r="Q119" s="2357"/>
      <c r="R119" s="258"/>
      <c r="S119" s="2381"/>
      <c r="T119" s="2381"/>
      <c r="U119" s="254"/>
      <c r="V119" s="228"/>
      <c r="W119" s="2357"/>
      <c r="X119" s="256"/>
      <c r="Y119" s="248"/>
      <c r="Z119" s="248"/>
      <c r="AA119" s="248"/>
      <c r="AB119" s="247"/>
      <c r="AC119" s="248"/>
      <c r="AD119" s="248"/>
      <c r="AE119" s="194"/>
      <c r="AF119" s="249"/>
      <c r="AG119" s="250"/>
      <c r="AH119" s="251"/>
      <c r="AI119" s="252"/>
    </row>
    <row r="120" spans="2:35">
      <c r="B120" s="253">
        <f t="shared" si="8"/>
        <v>111</v>
      </c>
      <c r="C120" s="244"/>
      <c r="D120" s="654"/>
      <c r="E120" s="466"/>
      <c r="F120" s="612"/>
      <c r="G120" s="2973"/>
      <c r="H120" s="230"/>
      <c r="I120" s="230"/>
      <c r="J120" s="230"/>
      <c r="K120" s="230"/>
      <c r="L120" s="230"/>
      <c r="M120" s="228"/>
      <c r="N120" s="257"/>
      <c r="O120" s="228"/>
      <c r="P120" s="228"/>
      <c r="Q120" s="2357"/>
      <c r="R120" s="258"/>
      <c r="S120" s="2381"/>
      <c r="T120" s="2381"/>
      <c r="U120" s="254"/>
      <c r="V120" s="228"/>
      <c r="W120" s="2357"/>
      <c r="X120" s="256"/>
      <c r="Y120" s="248"/>
      <c r="Z120" s="248"/>
      <c r="AA120" s="248"/>
      <c r="AB120" s="247"/>
      <c r="AC120" s="248"/>
      <c r="AD120" s="248"/>
      <c r="AE120" s="194"/>
      <c r="AF120" s="249"/>
      <c r="AG120" s="250"/>
      <c r="AH120" s="251"/>
      <c r="AI120" s="252"/>
    </row>
    <row r="121" spans="2:35">
      <c r="B121" s="253">
        <f t="shared" si="8"/>
        <v>112</v>
      </c>
      <c r="C121" s="244"/>
      <c r="D121" s="654"/>
      <c r="E121" s="466"/>
      <c r="F121" s="612"/>
      <c r="G121" s="2973"/>
      <c r="H121" s="230"/>
      <c r="I121" s="230"/>
      <c r="J121" s="230"/>
      <c r="K121" s="230"/>
      <c r="L121" s="230"/>
      <c r="M121" s="228"/>
      <c r="N121" s="257"/>
      <c r="O121" s="228"/>
      <c r="P121" s="228"/>
      <c r="Q121" s="2357"/>
      <c r="R121" s="258"/>
      <c r="S121" s="2381"/>
      <c r="T121" s="2381"/>
      <c r="U121" s="254"/>
      <c r="V121" s="228"/>
      <c r="W121" s="2357"/>
      <c r="X121" s="256"/>
      <c r="Y121" s="248"/>
      <c r="Z121" s="248"/>
      <c r="AA121" s="248"/>
      <c r="AB121" s="247"/>
      <c r="AC121" s="248"/>
      <c r="AD121" s="248"/>
      <c r="AE121" s="194"/>
      <c r="AF121" s="249"/>
      <c r="AG121" s="250"/>
      <c r="AH121" s="251"/>
      <c r="AI121" s="252"/>
    </row>
    <row r="122" spans="2:35">
      <c r="B122" s="253">
        <f t="shared" si="8"/>
        <v>113</v>
      </c>
      <c r="C122" s="244"/>
      <c r="D122" s="654"/>
      <c r="E122" s="466"/>
      <c r="F122" s="612"/>
      <c r="G122" s="2973"/>
      <c r="H122" s="230"/>
      <c r="I122" s="230"/>
      <c r="J122" s="230"/>
      <c r="K122" s="230"/>
      <c r="L122" s="230"/>
      <c r="M122" s="228"/>
      <c r="N122" s="257"/>
      <c r="O122" s="228"/>
      <c r="P122" s="228"/>
      <c r="Q122" s="2357"/>
      <c r="R122" s="258"/>
      <c r="S122" s="2381"/>
      <c r="T122" s="2381"/>
      <c r="U122" s="254"/>
      <c r="V122" s="228"/>
      <c r="W122" s="2357"/>
      <c r="X122" s="256"/>
      <c r="Y122" s="248"/>
      <c r="Z122" s="248"/>
      <c r="AA122" s="248"/>
      <c r="AB122" s="247"/>
      <c r="AC122" s="248"/>
      <c r="AD122" s="248"/>
      <c r="AE122" s="194"/>
      <c r="AF122" s="249"/>
      <c r="AG122" s="250"/>
      <c r="AH122" s="251"/>
      <c r="AI122" s="252"/>
    </row>
    <row r="123" spans="2:35">
      <c r="B123" s="253">
        <f t="shared" si="8"/>
        <v>114</v>
      </c>
      <c r="C123" s="244"/>
      <c r="D123" s="654"/>
      <c r="E123" s="466"/>
      <c r="F123" s="612"/>
      <c r="G123" s="2973"/>
      <c r="H123" s="230"/>
      <c r="I123" s="230"/>
      <c r="J123" s="230"/>
      <c r="K123" s="230"/>
      <c r="L123" s="230"/>
      <c r="M123" s="228"/>
      <c r="N123" s="257"/>
      <c r="O123" s="228"/>
      <c r="P123" s="228"/>
      <c r="Q123" s="2357"/>
      <c r="R123" s="258"/>
      <c r="S123" s="2381"/>
      <c r="T123" s="2381"/>
      <c r="U123" s="254"/>
      <c r="V123" s="228"/>
      <c r="W123" s="2357"/>
      <c r="X123" s="256"/>
      <c r="Y123" s="248"/>
      <c r="Z123" s="248"/>
      <c r="AA123" s="248"/>
      <c r="AB123" s="247"/>
      <c r="AC123" s="248"/>
      <c r="AD123" s="248"/>
      <c r="AE123" s="194"/>
      <c r="AF123" s="249"/>
      <c r="AG123" s="250"/>
      <c r="AH123" s="251"/>
      <c r="AI123" s="252"/>
    </row>
    <row r="124" spans="2:35">
      <c r="B124" s="253">
        <f t="shared" si="8"/>
        <v>115</v>
      </c>
      <c r="C124" s="244"/>
      <c r="D124" s="654"/>
      <c r="E124" s="466"/>
      <c r="F124" s="612"/>
      <c r="G124" s="2973"/>
      <c r="H124" s="230"/>
      <c r="I124" s="230"/>
      <c r="J124" s="230"/>
      <c r="K124" s="230"/>
      <c r="L124" s="230"/>
      <c r="M124" s="228"/>
      <c r="N124" s="257"/>
      <c r="O124" s="228"/>
      <c r="P124" s="228"/>
      <c r="Q124" s="2357"/>
      <c r="R124" s="258"/>
      <c r="S124" s="2381"/>
      <c r="T124" s="2381"/>
      <c r="U124" s="254"/>
      <c r="V124" s="228"/>
      <c r="W124" s="2357"/>
      <c r="X124" s="256"/>
      <c r="Y124" s="248"/>
      <c r="Z124" s="248"/>
      <c r="AA124" s="248"/>
      <c r="AB124" s="247"/>
      <c r="AC124" s="248"/>
      <c r="AD124" s="248"/>
      <c r="AE124" s="194"/>
      <c r="AF124" s="249"/>
      <c r="AG124" s="250"/>
      <c r="AH124" s="251"/>
      <c r="AI124" s="252"/>
    </row>
    <row r="125" spans="2:35">
      <c r="B125" s="253">
        <f t="shared" si="8"/>
        <v>116</v>
      </c>
      <c r="C125" s="244"/>
      <c r="D125" s="654"/>
      <c r="E125" s="466"/>
      <c r="F125" s="612"/>
      <c r="G125" s="2973"/>
      <c r="H125" s="230"/>
      <c r="I125" s="230"/>
      <c r="J125" s="230"/>
      <c r="K125" s="230"/>
      <c r="L125" s="230"/>
      <c r="M125" s="228"/>
      <c r="N125" s="257"/>
      <c r="O125" s="228"/>
      <c r="P125" s="228"/>
      <c r="Q125" s="2357"/>
      <c r="R125" s="258"/>
      <c r="S125" s="2381"/>
      <c r="T125" s="2381"/>
      <c r="U125" s="254"/>
      <c r="V125" s="228"/>
      <c r="W125" s="2357"/>
      <c r="X125" s="256"/>
      <c r="Y125" s="248"/>
      <c r="Z125" s="248"/>
      <c r="AA125" s="248"/>
      <c r="AB125" s="247"/>
      <c r="AC125" s="248"/>
      <c r="AD125" s="248"/>
      <c r="AE125" s="194"/>
      <c r="AF125" s="249"/>
      <c r="AG125" s="250"/>
      <c r="AH125" s="251"/>
      <c r="AI125" s="252"/>
    </row>
    <row r="126" spans="2:35">
      <c r="B126" s="253">
        <f t="shared" si="8"/>
        <v>117</v>
      </c>
      <c r="C126" s="244"/>
      <c r="D126" s="654"/>
      <c r="E126" s="466"/>
      <c r="F126" s="612"/>
      <c r="G126" s="2973"/>
      <c r="H126" s="230"/>
      <c r="I126" s="230"/>
      <c r="J126" s="230"/>
      <c r="K126" s="230"/>
      <c r="L126" s="230"/>
      <c r="M126" s="228"/>
      <c r="N126" s="257"/>
      <c r="O126" s="228"/>
      <c r="P126" s="228"/>
      <c r="Q126" s="2357"/>
      <c r="R126" s="258"/>
      <c r="S126" s="2381"/>
      <c r="T126" s="2381"/>
      <c r="U126" s="254"/>
      <c r="V126" s="228"/>
      <c r="W126" s="2357"/>
      <c r="X126" s="256"/>
      <c r="Y126" s="248"/>
      <c r="Z126" s="248"/>
      <c r="AA126" s="248"/>
      <c r="AB126" s="247"/>
      <c r="AC126" s="248"/>
      <c r="AD126" s="248"/>
      <c r="AE126" s="194"/>
      <c r="AF126" s="249"/>
      <c r="AG126" s="250"/>
      <c r="AH126" s="251"/>
      <c r="AI126" s="252"/>
    </row>
    <row r="127" spans="2:35">
      <c r="B127" s="253">
        <f t="shared" si="8"/>
        <v>118</v>
      </c>
      <c r="C127" s="244"/>
      <c r="D127" s="654"/>
      <c r="E127" s="466"/>
      <c r="F127" s="612"/>
      <c r="G127" s="2973"/>
      <c r="H127" s="230"/>
      <c r="I127" s="230"/>
      <c r="J127" s="230"/>
      <c r="K127" s="230"/>
      <c r="L127" s="230"/>
      <c r="M127" s="228"/>
      <c r="N127" s="257"/>
      <c r="O127" s="228"/>
      <c r="P127" s="228"/>
      <c r="Q127" s="2357"/>
      <c r="R127" s="258"/>
      <c r="S127" s="2381"/>
      <c r="T127" s="2381"/>
      <c r="U127" s="254"/>
      <c r="V127" s="228"/>
      <c r="W127" s="2357"/>
      <c r="X127" s="256"/>
      <c r="Y127" s="248"/>
      <c r="Z127" s="248"/>
      <c r="AA127" s="248"/>
      <c r="AB127" s="247"/>
      <c r="AC127" s="248"/>
      <c r="AD127" s="248"/>
      <c r="AE127" s="194"/>
      <c r="AF127" s="249"/>
      <c r="AG127" s="250"/>
      <c r="AH127" s="251"/>
      <c r="AI127" s="252"/>
    </row>
    <row r="128" spans="2:35">
      <c r="B128" s="253">
        <f t="shared" si="8"/>
        <v>119</v>
      </c>
      <c r="C128" s="244"/>
      <c r="D128" s="654"/>
      <c r="E128" s="466"/>
      <c r="F128" s="612"/>
      <c r="G128" s="2973"/>
      <c r="H128" s="230"/>
      <c r="I128" s="230"/>
      <c r="J128" s="230"/>
      <c r="K128" s="230"/>
      <c r="L128" s="230"/>
      <c r="M128" s="228"/>
      <c r="N128" s="257"/>
      <c r="O128" s="228"/>
      <c r="P128" s="228"/>
      <c r="Q128" s="2357"/>
      <c r="R128" s="258"/>
      <c r="S128" s="2381"/>
      <c r="T128" s="2381"/>
      <c r="U128" s="254"/>
      <c r="V128" s="228"/>
      <c r="W128" s="2357"/>
      <c r="X128" s="256"/>
      <c r="Y128" s="248"/>
      <c r="Z128" s="248"/>
      <c r="AA128" s="248"/>
      <c r="AB128" s="247"/>
      <c r="AC128" s="248"/>
      <c r="AD128" s="248"/>
      <c r="AE128" s="194"/>
      <c r="AF128" s="249"/>
      <c r="AG128" s="250"/>
      <c r="AH128" s="251"/>
      <c r="AI128" s="252"/>
    </row>
    <row r="129" spans="2:35">
      <c r="B129" s="253">
        <f t="shared" si="8"/>
        <v>120</v>
      </c>
      <c r="C129" s="244"/>
      <c r="D129" s="654"/>
      <c r="E129" s="466"/>
      <c r="F129" s="612"/>
      <c r="G129" s="2973"/>
      <c r="H129" s="230"/>
      <c r="I129" s="230"/>
      <c r="J129" s="230"/>
      <c r="K129" s="230"/>
      <c r="L129" s="230"/>
      <c r="M129" s="228"/>
      <c r="N129" s="257"/>
      <c r="O129" s="228"/>
      <c r="P129" s="228"/>
      <c r="Q129" s="2357"/>
      <c r="R129" s="258"/>
      <c r="S129" s="2381"/>
      <c r="T129" s="2381"/>
      <c r="U129" s="254"/>
      <c r="V129" s="228"/>
      <c r="W129" s="2357"/>
      <c r="X129" s="256"/>
      <c r="Y129" s="248"/>
      <c r="Z129" s="248"/>
      <c r="AA129" s="248"/>
      <c r="AB129" s="247"/>
      <c r="AC129" s="248"/>
      <c r="AD129" s="248"/>
      <c r="AE129" s="194"/>
      <c r="AF129" s="249"/>
      <c r="AG129" s="250"/>
      <c r="AH129" s="251"/>
      <c r="AI129" s="252"/>
    </row>
    <row r="130" spans="2:35">
      <c r="B130" s="253">
        <f t="shared" ref="B130:B193" si="9">+B129+1</f>
        <v>121</v>
      </c>
      <c r="C130" s="244"/>
      <c r="D130" s="654"/>
      <c r="E130" s="466"/>
      <c r="F130" s="612"/>
      <c r="G130" s="2973"/>
      <c r="H130" s="230"/>
      <c r="I130" s="230"/>
      <c r="J130" s="230"/>
      <c r="K130" s="230"/>
      <c r="L130" s="230"/>
      <c r="M130" s="228"/>
      <c r="N130" s="257"/>
      <c r="O130" s="228"/>
      <c r="P130" s="228"/>
      <c r="Q130" s="2357"/>
      <c r="R130" s="258"/>
      <c r="S130" s="2381"/>
      <c r="T130" s="2381"/>
      <c r="U130" s="254"/>
      <c r="V130" s="228"/>
      <c r="W130" s="2357"/>
      <c r="X130" s="256"/>
      <c r="Y130" s="248"/>
      <c r="Z130" s="248"/>
      <c r="AA130" s="248"/>
      <c r="AB130" s="247"/>
      <c r="AC130" s="248"/>
      <c r="AD130" s="248"/>
      <c r="AE130" s="194"/>
      <c r="AF130" s="249"/>
      <c r="AG130" s="250"/>
      <c r="AH130" s="251"/>
      <c r="AI130" s="252"/>
    </row>
    <row r="131" spans="2:35">
      <c r="B131" s="253">
        <f t="shared" si="9"/>
        <v>122</v>
      </c>
      <c r="C131" s="244"/>
      <c r="D131" s="654"/>
      <c r="E131" s="466"/>
      <c r="F131" s="612"/>
      <c r="G131" s="2973"/>
      <c r="H131" s="230"/>
      <c r="I131" s="230"/>
      <c r="J131" s="230"/>
      <c r="K131" s="230"/>
      <c r="L131" s="230"/>
      <c r="M131" s="228"/>
      <c r="N131" s="257"/>
      <c r="O131" s="228"/>
      <c r="P131" s="228"/>
      <c r="Q131" s="2357"/>
      <c r="R131" s="258"/>
      <c r="S131" s="2381"/>
      <c r="T131" s="2381"/>
      <c r="U131" s="254"/>
      <c r="V131" s="228"/>
      <c r="W131" s="2357"/>
      <c r="X131" s="256"/>
      <c r="Y131" s="248"/>
      <c r="Z131" s="248"/>
      <c r="AA131" s="248"/>
      <c r="AB131" s="247"/>
      <c r="AC131" s="248"/>
      <c r="AD131" s="248"/>
      <c r="AE131" s="194"/>
      <c r="AF131" s="249"/>
      <c r="AG131" s="250"/>
      <c r="AH131" s="251"/>
      <c r="AI131" s="252"/>
    </row>
    <row r="132" spans="2:35">
      <c r="B132" s="253">
        <f t="shared" si="9"/>
        <v>123</v>
      </c>
      <c r="C132" s="244"/>
      <c r="D132" s="654"/>
      <c r="E132" s="466"/>
      <c r="F132" s="612"/>
      <c r="G132" s="2973"/>
      <c r="H132" s="230"/>
      <c r="I132" s="230"/>
      <c r="J132" s="230"/>
      <c r="K132" s="230"/>
      <c r="L132" s="230"/>
      <c r="M132" s="228"/>
      <c r="N132" s="257"/>
      <c r="O132" s="228"/>
      <c r="P132" s="228"/>
      <c r="Q132" s="2357"/>
      <c r="R132" s="258"/>
      <c r="S132" s="2381"/>
      <c r="T132" s="2381"/>
      <c r="U132" s="254"/>
      <c r="V132" s="228"/>
      <c r="W132" s="2357"/>
      <c r="X132" s="256"/>
      <c r="Y132" s="248"/>
      <c r="Z132" s="248"/>
      <c r="AA132" s="248"/>
      <c r="AB132" s="247"/>
      <c r="AC132" s="248"/>
      <c r="AD132" s="248"/>
      <c r="AE132" s="194"/>
      <c r="AF132" s="249"/>
      <c r="AG132" s="250"/>
      <c r="AH132" s="251"/>
      <c r="AI132" s="252"/>
    </row>
    <row r="133" spans="2:35">
      <c r="B133" s="253">
        <f t="shared" si="9"/>
        <v>124</v>
      </c>
      <c r="C133" s="244"/>
      <c r="D133" s="654"/>
      <c r="E133" s="466"/>
      <c r="F133" s="612"/>
      <c r="G133" s="2973"/>
      <c r="H133" s="230"/>
      <c r="I133" s="230"/>
      <c r="J133" s="230"/>
      <c r="K133" s="230"/>
      <c r="L133" s="230"/>
      <c r="M133" s="228"/>
      <c r="N133" s="257"/>
      <c r="O133" s="228"/>
      <c r="P133" s="228"/>
      <c r="Q133" s="2357"/>
      <c r="R133" s="258"/>
      <c r="S133" s="2381"/>
      <c r="T133" s="2381"/>
      <c r="U133" s="254"/>
      <c r="V133" s="228"/>
      <c r="W133" s="2357"/>
      <c r="X133" s="256"/>
      <c r="Y133" s="248"/>
      <c r="Z133" s="248"/>
      <c r="AA133" s="248"/>
      <c r="AB133" s="247"/>
      <c r="AC133" s="248"/>
      <c r="AD133" s="248"/>
      <c r="AE133" s="194"/>
      <c r="AF133" s="249"/>
      <c r="AG133" s="250"/>
      <c r="AH133" s="251"/>
      <c r="AI133" s="252"/>
    </row>
    <row r="134" spans="2:35">
      <c r="B134" s="253">
        <f t="shared" si="9"/>
        <v>125</v>
      </c>
      <c r="C134" s="244"/>
      <c r="D134" s="654"/>
      <c r="E134" s="466"/>
      <c r="F134" s="612"/>
      <c r="G134" s="2973"/>
      <c r="H134" s="230"/>
      <c r="I134" s="230"/>
      <c r="J134" s="230"/>
      <c r="K134" s="230"/>
      <c r="L134" s="230"/>
      <c r="M134" s="228"/>
      <c r="N134" s="257"/>
      <c r="O134" s="228"/>
      <c r="P134" s="228"/>
      <c r="Q134" s="2357"/>
      <c r="R134" s="258"/>
      <c r="S134" s="2381"/>
      <c r="T134" s="2381"/>
      <c r="U134" s="254"/>
      <c r="V134" s="228"/>
      <c r="W134" s="2357"/>
      <c r="X134" s="256"/>
      <c r="Y134" s="248"/>
      <c r="Z134" s="248"/>
      <c r="AA134" s="248"/>
      <c r="AB134" s="247"/>
      <c r="AC134" s="248"/>
      <c r="AD134" s="248"/>
      <c r="AE134" s="194"/>
      <c r="AF134" s="249"/>
      <c r="AG134" s="250"/>
      <c r="AH134" s="251"/>
      <c r="AI134" s="252"/>
    </row>
    <row r="135" spans="2:35">
      <c r="B135" s="253">
        <f t="shared" si="9"/>
        <v>126</v>
      </c>
      <c r="C135" s="244"/>
      <c r="D135" s="654"/>
      <c r="E135" s="466"/>
      <c r="F135" s="612"/>
      <c r="G135" s="2973"/>
      <c r="H135" s="230"/>
      <c r="I135" s="230"/>
      <c r="J135" s="230"/>
      <c r="K135" s="230"/>
      <c r="L135" s="230"/>
      <c r="M135" s="228"/>
      <c r="N135" s="257"/>
      <c r="O135" s="228"/>
      <c r="P135" s="228"/>
      <c r="Q135" s="2357"/>
      <c r="R135" s="258"/>
      <c r="S135" s="2381"/>
      <c r="T135" s="2381"/>
      <c r="U135" s="254"/>
      <c r="V135" s="228"/>
      <c r="W135" s="2357"/>
      <c r="X135" s="256"/>
      <c r="Y135" s="248"/>
      <c r="Z135" s="248"/>
      <c r="AA135" s="248"/>
      <c r="AB135" s="247"/>
      <c r="AC135" s="248"/>
      <c r="AD135" s="248"/>
      <c r="AE135" s="194"/>
      <c r="AF135" s="249"/>
      <c r="AG135" s="250"/>
      <c r="AH135" s="251"/>
      <c r="AI135" s="252"/>
    </row>
    <row r="136" spans="2:35">
      <c r="B136" s="253">
        <f t="shared" si="9"/>
        <v>127</v>
      </c>
      <c r="C136" s="244"/>
      <c r="D136" s="654"/>
      <c r="E136" s="466"/>
      <c r="F136" s="612"/>
      <c r="G136" s="2973"/>
      <c r="H136" s="230"/>
      <c r="I136" s="230"/>
      <c r="J136" s="230"/>
      <c r="K136" s="230"/>
      <c r="L136" s="230"/>
      <c r="M136" s="228"/>
      <c r="N136" s="257"/>
      <c r="O136" s="228"/>
      <c r="P136" s="228"/>
      <c r="Q136" s="2357"/>
      <c r="R136" s="258"/>
      <c r="S136" s="2381"/>
      <c r="T136" s="2381"/>
      <c r="U136" s="254"/>
      <c r="V136" s="228"/>
      <c r="W136" s="2357"/>
      <c r="X136" s="256"/>
      <c r="Y136" s="248"/>
      <c r="Z136" s="248"/>
      <c r="AA136" s="248"/>
      <c r="AB136" s="247"/>
      <c r="AC136" s="248"/>
      <c r="AD136" s="248"/>
      <c r="AE136" s="194"/>
      <c r="AF136" s="249"/>
      <c r="AG136" s="250"/>
      <c r="AH136" s="251"/>
      <c r="AI136" s="252"/>
    </row>
    <row r="137" spans="2:35">
      <c r="B137" s="253">
        <f t="shared" si="9"/>
        <v>128</v>
      </c>
      <c r="C137" s="244"/>
      <c r="D137" s="654"/>
      <c r="E137" s="466"/>
      <c r="F137" s="612"/>
      <c r="G137" s="2973"/>
      <c r="H137" s="230"/>
      <c r="I137" s="230"/>
      <c r="J137" s="230"/>
      <c r="K137" s="230"/>
      <c r="L137" s="230"/>
      <c r="M137" s="228"/>
      <c r="N137" s="257"/>
      <c r="O137" s="228"/>
      <c r="P137" s="228"/>
      <c r="Q137" s="2357"/>
      <c r="R137" s="258"/>
      <c r="S137" s="2381"/>
      <c r="T137" s="2381"/>
      <c r="U137" s="254"/>
      <c r="V137" s="228"/>
      <c r="W137" s="2357"/>
      <c r="X137" s="256"/>
      <c r="Y137" s="248"/>
      <c r="Z137" s="248"/>
      <c r="AA137" s="248"/>
      <c r="AB137" s="247"/>
      <c r="AC137" s="248"/>
      <c r="AD137" s="248"/>
      <c r="AE137" s="194"/>
      <c r="AF137" s="249"/>
      <c r="AG137" s="250"/>
      <c r="AH137" s="251"/>
      <c r="AI137" s="252"/>
    </row>
    <row r="138" spans="2:35">
      <c r="B138" s="253">
        <f t="shared" si="9"/>
        <v>129</v>
      </c>
      <c r="C138" s="244"/>
      <c r="D138" s="654"/>
      <c r="E138" s="466"/>
      <c r="F138" s="612"/>
      <c r="G138" s="2973"/>
      <c r="H138" s="230"/>
      <c r="I138" s="230"/>
      <c r="J138" s="230"/>
      <c r="K138" s="230"/>
      <c r="L138" s="230"/>
      <c r="M138" s="228"/>
      <c r="N138" s="257"/>
      <c r="O138" s="228"/>
      <c r="P138" s="228"/>
      <c r="Q138" s="2357"/>
      <c r="R138" s="258"/>
      <c r="S138" s="2381"/>
      <c r="T138" s="2381"/>
      <c r="U138" s="254"/>
      <c r="V138" s="228"/>
      <c r="W138" s="2357"/>
      <c r="X138" s="256"/>
      <c r="Y138" s="248"/>
      <c r="Z138" s="248"/>
      <c r="AA138" s="248"/>
      <c r="AB138" s="247"/>
      <c r="AC138" s="248"/>
      <c r="AD138" s="248"/>
      <c r="AE138" s="194"/>
      <c r="AF138" s="249"/>
      <c r="AG138" s="250"/>
      <c r="AH138" s="251"/>
      <c r="AI138" s="252"/>
    </row>
    <row r="139" spans="2:35">
      <c r="B139" s="253">
        <f t="shared" si="9"/>
        <v>130</v>
      </c>
      <c r="C139" s="244"/>
      <c r="D139" s="654"/>
      <c r="E139" s="466"/>
      <c r="F139" s="612"/>
      <c r="G139" s="2973"/>
      <c r="H139" s="230"/>
      <c r="I139" s="230"/>
      <c r="J139" s="230"/>
      <c r="K139" s="230"/>
      <c r="L139" s="230"/>
      <c r="M139" s="228"/>
      <c r="N139" s="257"/>
      <c r="O139" s="228"/>
      <c r="P139" s="228"/>
      <c r="Q139" s="2357"/>
      <c r="R139" s="258"/>
      <c r="S139" s="2381"/>
      <c r="T139" s="2381"/>
      <c r="U139" s="254"/>
      <c r="V139" s="228"/>
      <c r="W139" s="2357"/>
      <c r="X139" s="256"/>
      <c r="Y139" s="248"/>
      <c r="Z139" s="248"/>
      <c r="AA139" s="248"/>
      <c r="AB139" s="247"/>
      <c r="AC139" s="248"/>
      <c r="AD139" s="248"/>
      <c r="AE139" s="194"/>
      <c r="AF139" s="249"/>
      <c r="AG139" s="250"/>
      <c r="AH139" s="251"/>
      <c r="AI139" s="252"/>
    </row>
    <row r="140" spans="2:35">
      <c r="B140" s="253">
        <f t="shared" si="9"/>
        <v>131</v>
      </c>
      <c r="C140" s="244"/>
      <c r="D140" s="654"/>
      <c r="E140" s="466"/>
      <c r="F140" s="612"/>
      <c r="G140" s="2973"/>
      <c r="H140" s="230"/>
      <c r="I140" s="230"/>
      <c r="J140" s="230"/>
      <c r="K140" s="230"/>
      <c r="L140" s="230"/>
      <c r="M140" s="228"/>
      <c r="N140" s="257"/>
      <c r="O140" s="228"/>
      <c r="P140" s="228"/>
      <c r="Q140" s="2357"/>
      <c r="R140" s="258"/>
      <c r="S140" s="2381"/>
      <c r="T140" s="2381"/>
      <c r="U140" s="254"/>
      <c r="V140" s="228"/>
      <c r="W140" s="2357"/>
      <c r="X140" s="256"/>
      <c r="Y140" s="248"/>
      <c r="Z140" s="248"/>
      <c r="AA140" s="248"/>
      <c r="AB140" s="247"/>
      <c r="AC140" s="248"/>
      <c r="AD140" s="248"/>
      <c r="AE140" s="194"/>
      <c r="AF140" s="249"/>
      <c r="AG140" s="250"/>
      <c r="AH140" s="251"/>
      <c r="AI140" s="252"/>
    </row>
    <row r="141" spans="2:35">
      <c r="B141" s="253">
        <f t="shared" si="9"/>
        <v>132</v>
      </c>
      <c r="C141" s="244"/>
      <c r="D141" s="654"/>
      <c r="E141" s="466"/>
      <c r="F141" s="612"/>
      <c r="G141" s="2973"/>
      <c r="H141" s="230"/>
      <c r="I141" s="230"/>
      <c r="J141" s="230"/>
      <c r="K141" s="230"/>
      <c r="L141" s="230"/>
      <c r="M141" s="228"/>
      <c r="N141" s="257"/>
      <c r="O141" s="228"/>
      <c r="P141" s="228"/>
      <c r="Q141" s="2357"/>
      <c r="R141" s="258"/>
      <c r="S141" s="2381"/>
      <c r="T141" s="2381"/>
      <c r="U141" s="254"/>
      <c r="V141" s="228"/>
      <c r="W141" s="2357"/>
      <c r="X141" s="256"/>
      <c r="Y141" s="248"/>
      <c r="Z141" s="248"/>
      <c r="AA141" s="248"/>
      <c r="AB141" s="247"/>
      <c r="AC141" s="248"/>
      <c r="AD141" s="248"/>
      <c r="AE141" s="194"/>
      <c r="AF141" s="249"/>
      <c r="AG141" s="250"/>
      <c r="AH141" s="251"/>
      <c r="AI141" s="252"/>
    </row>
    <row r="142" spans="2:35">
      <c r="B142" s="253">
        <f t="shared" si="9"/>
        <v>133</v>
      </c>
      <c r="C142" s="244"/>
      <c r="D142" s="654"/>
      <c r="E142" s="466"/>
      <c r="F142" s="612"/>
      <c r="G142" s="2973"/>
      <c r="H142" s="230"/>
      <c r="I142" s="230"/>
      <c r="J142" s="230"/>
      <c r="K142" s="230"/>
      <c r="L142" s="230"/>
      <c r="M142" s="228"/>
      <c r="N142" s="257"/>
      <c r="O142" s="228"/>
      <c r="P142" s="228"/>
      <c r="Q142" s="2357"/>
      <c r="R142" s="258"/>
      <c r="S142" s="2381"/>
      <c r="T142" s="2381"/>
      <c r="U142" s="254"/>
      <c r="V142" s="228"/>
      <c r="W142" s="2357"/>
      <c r="X142" s="256"/>
      <c r="Y142" s="248"/>
      <c r="Z142" s="248"/>
      <c r="AA142" s="248"/>
      <c r="AB142" s="247"/>
      <c r="AC142" s="248"/>
      <c r="AD142" s="248"/>
      <c r="AE142" s="194"/>
      <c r="AF142" s="249"/>
      <c r="AG142" s="250"/>
      <c r="AH142" s="251"/>
      <c r="AI142" s="252"/>
    </row>
    <row r="143" spans="2:35">
      <c r="B143" s="253">
        <f t="shared" si="9"/>
        <v>134</v>
      </c>
      <c r="C143" s="244"/>
      <c r="D143" s="654"/>
      <c r="E143" s="466"/>
      <c r="F143" s="612"/>
      <c r="G143" s="2973"/>
      <c r="H143" s="230"/>
      <c r="I143" s="230"/>
      <c r="J143" s="230"/>
      <c r="K143" s="230"/>
      <c r="L143" s="230"/>
      <c r="M143" s="228"/>
      <c r="N143" s="257"/>
      <c r="O143" s="228"/>
      <c r="P143" s="228"/>
      <c r="Q143" s="2357"/>
      <c r="R143" s="258"/>
      <c r="S143" s="2381"/>
      <c r="T143" s="2381"/>
      <c r="U143" s="254"/>
      <c r="V143" s="228"/>
      <c r="W143" s="2357"/>
      <c r="X143" s="256"/>
      <c r="Y143" s="248"/>
      <c r="Z143" s="248"/>
      <c r="AA143" s="248"/>
      <c r="AB143" s="247"/>
      <c r="AC143" s="248"/>
      <c r="AD143" s="248"/>
      <c r="AE143" s="194"/>
      <c r="AF143" s="249"/>
      <c r="AG143" s="250"/>
      <c r="AH143" s="251"/>
      <c r="AI143" s="252"/>
    </row>
    <row r="144" spans="2:35">
      <c r="B144" s="253">
        <f t="shared" si="9"/>
        <v>135</v>
      </c>
      <c r="C144" s="244"/>
      <c r="D144" s="654"/>
      <c r="E144" s="466"/>
      <c r="F144" s="612"/>
      <c r="G144" s="2973"/>
      <c r="H144" s="230"/>
      <c r="I144" s="230"/>
      <c r="J144" s="230"/>
      <c r="K144" s="230"/>
      <c r="L144" s="230"/>
      <c r="M144" s="228"/>
      <c r="N144" s="257"/>
      <c r="O144" s="228"/>
      <c r="P144" s="228"/>
      <c r="Q144" s="2357"/>
      <c r="R144" s="258"/>
      <c r="S144" s="2381"/>
      <c r="T144" s="2381"/>
      <c r="U144" s="254"/>
      <c r="V144" s="228"/>
      <c r="W144" s="2357"/>
      <c r="X144" s="256"/>
      <c r="Y144" s="248"/>
      <c r="Z144" s="248"/>
      <c r="AA144" s="248"/>
      <c r="AB144" s="247"/>
      <c r="AC144" s="248"/>
      <c r="AD144" s="248"/>
      <c r="AE144" s="194"/>
      <c r="AF144" s="249"/>
      <c r="AG144" s="250"/>
      <c r="AH144" s="251"/>
      <c r="AI144" s="252"/>
    </row>
    <row r="145" spans="2:35">
      <c r="B145" s="253">
        <f t="shared" si="9"/>
        <v>136</v>
      </c>
      <c r="C145" s="244"/>
      <c r="D145" s="654"/>
      <c r="E145" s="466"/>
      <c r="F145" s="612"/>
      <c r="G145" s="2973"/>
      <c r="H145" s="230"/>
      <c r="I145" s="230"/>
      <c r="J145" s="230"/>
      <c r="K145" s="230"/>
      <c r="L145" s="230"/>
      <c r="M145" s="228"/>
      <c r="N145" s="257"/>
      <c r="O145" s="228"/>
      <c r="P145" s="228"/>
      <c r="Q145" s="2357"/>
      <c r="R145" s="258"/>
      <c r="S145" s="2381"/>
      <c r="T145" s="2381"/>
      <c r="U145" s="254"/>
      <c r="V145" s="228"/>
      <c r="W145" s="2357"/>
      <c r="X145" s="256"/>
      <c r="Y145" s="248"/>
      <c r="Z145" s="248"/>
      <c r="AA145" s="248"/>
      <c r="AB145" s="247"/>
      <c r="AC145" s="248"/>
      <c r="AD145" s="248"/>
      <c r="AE145" s="194"/>
      <c r="AF145" s="249"/>
      <c r="AG145" s="250"/>
      <c r="AH145" s="251"/>
      <c r="AI145" s="252"/>
    </row>
    <row r="146" spans="2:35">
      <c r="B146" s="253">
        <f t="shared" si="9"/>
        <v>137</v>
      </c>
      <c r="C146" s="244"/>
      <c r="D146" s="654"/>
      <c r="E146" s="466"/>
      <c r="F146" s="612"/>
      <c r="G146" s="2973"/>
      <c r="H146" s="230"/>
      <c r="I146" s="230"/>
      <c r="J146" s="230"/>
      <c r="K146" s="230"/>
      <c r="L146" s="230"/>
      <c r="M146" s="228"/>
      <c r="N146" s="257"/>
      <c r="O146" s="228"/>
      <c r="P146" s="228"/>
      <c r="Q146" s="2357"/>
      <c r="R146" s="258"/>
      <c r="S146" s="2381"/>
      <c r="T146" s="2381"/>
      <c r="U146" s="254"/>
      <c r="V146" s="228"/>
      <c r="W146" s="2357"/>
      <c r="X146" s="256"/>
      <c r="Y146" s="248"/>
      <c r="Z146" s="248"/>
      <c r="AA146" s="248"/>
      <c r="AB146" s="247"/>
      <c r="AC146" s="248"/>
      <c r="AD146" s="248"/>
      <c r="AE146" s="194"/>
      <c r="AF146" s="249"/>
      <c r="AG146" s="250"/>
      <c r="AH146" s="251"/>
      <c r="AI146" s="252"/>
    </row>
    <row r="147" spans="2:35">
      <c r="B147" s="253">
        <f t="shared" si="9"/>
        <v>138</v>
      </c>
      <c r="C147" s="244"/>
      <c r="D147" s="654"/>
      <c r="E147" s="466"/>
      <c r="F147" s="612"/>
      <c r="G147" s="2973"/>
      <c r="H147" s="230"/>
      <c r="I147" s="230"/>
      <c r="J147" s="230"/>
      <c r="K147" s="230"/>
      <c r="L147" s="230"/>
      <c r="M147" s="228"/>
      <c r="N147" s="257"/>
      <c r="O147" s="228"/>
      <c r="P147" s="228"/>
      <c r="Q147" s="2357"/>
      <c r="R147" s="258"/>
      <c r="S147" s="2381"/>
      <c r="T147" s="2381"/>
      <c r="U147" s="254"/>
      <c r="V147" s="228"/>
      <c r="W147" s="2357"/>
      <c r="X147" s="256"/>
      <c r="Y147" s="248"/>
      <c r="Z147" s="248"/>
      <c r="AA147" s="248"/>
      <c r="AB147" s="247"/>
      <c r="AC147" s="248"/>
      <c r="AD147" s="248"/>
      <c r="AE147" s="194"/>
      <c r="AF147" s="249"/>
      <c r="AG147" s="250"/>
      <c r="AH147" s="251"/>
      <c r="AI147" s="252"/>
    </row>
    <row r="148" spans="2:35">
      <c r="B148" s="253">
        <f t="shared" si="9"/>
        <v>139</v>
      </c>
      <c r="C148" s="244"/>
      <c r="D148" s="654"/>
      <c r="E148" s="466"/>
      <c r="F148" s="612"/>
      <c r="G148" s="2973"/>
      <c r="H148" s="230"/>
      <c r="I148" s="230"/>
      <c r="J148" s="230"/>
      <c r="K148" s="230"/>
      <c r="L148" s="230"/>
      <c r="M148" s="228"/>
      <c r="N148" s="257"/>
      <c r="O148" s="228"/>
      <c r="P148" s="228"/>
      <c r="Q148" s="2357"/>
      <c r="R148" s="258"/>
      <c r="S148" s="2381"/>
      <c r="T148" s="2381"/>
      <c r="U148" s="254"/>
      <c r="V148" s="228"/>
      <c r="W148" s="2357"/>
      <c r="X148" s="256"/>
      <c r="Y148" s="248"/>
      <c r="Z148" s="248"/>
      <c r="AA148" s="248"/>
      <c r="AB148" s="247"/>
      <c r="AC148" s="248"/>
      <c r="AD148" s="248"/>
      <c r="AE148" s="194"/>
      <c r="AF148" s="249"/>
      <c r="AG148" s="250"/>
      <c r="AH148" s="251"/>
      <c r="AI148" s="252"/>
    </row>
    <row r="149" spans="2:35">
      <c r="B149" s="253">
        <f t="shared" si="9"/>
        <v>140</v>
      </c>
      <c r="C149" s="244"/>
      <c r="D149" s="654"/>
      <c r="E149" s="466"/>
      <c r="F149" s="612"/>
      <c r="G149" s="2973"/>
      <c r="H149" s="230"/>
      <c r="I149" s="230"/>
      <c r="J149" s="230"/>
      <c r="K149" s="230"/>
      <c r="L149" s="230"/>
      <c r="M149" s="228"/>
      <c r="N149" s="257"/>
      <c r="O149" s="228"/>
      <c r="P149" s="228"/>
      <c r="Q149" s="2357"/>
      <c r="R149" s="258"/>
      <c r="S149" s="2381"/>
      <c r="T149" s="2381"/>
      <c r="U149" s="254"/>
      <c r="V149" s="228"/>
      <c r="W149" s="2357"/>
      <c r="X149" s="256"/>
      <c r="Y149" s="248"/>
      <c r="Z149" s="248"/>
      <c r="AA149" s="248"/>
      <c r="AB149" s="247"/>
      <c r="AC149" s="248"/>
      <c r="AD149" s="248"/>
      <c r="AE149" s="194"/>
      <c r="AF149" s="249"/>
      <c r="AG149" s="250"/>
      <c r="AH149" s="251"/>
      <c r="AI149" s="252"/>
    </row>
    <row r="150" spans="2:35">
      <c r="B150" s="253">
        <f t="shared" si="9"/>
        <v>141</v>
      </c>
      <c r="C150" s="244"/>
      <c r="D150" s="654"/>
      <c r="E150" s="466"/>
      <c r="F150" s="612"/>
      <c r="G150" s="2973"/>
      <c r="H150" s="230"/>
      <c r="I150" s="230"/>
      <c r="J150" s="230"/>
      <c r="K150" s="230"/>
      <c r="L150" s="230"/>
      <c r="M150" s="228"/>
      <c r="N150" s="257"/>
      <c r="O150" s="228"/>
      <c r="P150" s="228"/>
      <c r="Q150" s="2357"/>
      <c r="R150" s="258"/>
      <c r="S150" s="2381"/>
      <c r="T150" s="2381"/>
      <c r="U150" s="254"/>
      <c r="V150" s="228"/>
      <c r="W150" s="2357"/>
      <c r="X150" s="256"/>
      <c r="Y150" s="248"/>
      <c r="Z150" s="248"/>
      <c r="AA150" s="248"/>
      <c r="AB150" s="247"/>
      <c r="AC150" s="248"/>
      <c r="AD150" s="248"/>
      <c r="AE150" s="194"/>
      <c r="AF150" s="249"/>
      <c r="AG150" s="250"/>
      <c r="AH150" s="251"/>
      <c r="AI150" s="252"/>
    </row>
    <row r="151" spans="2:35">
      <c r="B151" s="253">
        <f t="shared" si="9"/>
        <v>142</v>
      </c>
      <c r="C151" s="244"/>
      <c r="D151" s="654"/>
      <c r="E151" s="466"/>
      <c r="F151" s="612"/>
      <c r="G151" s="2973"/>
      <c r="H151" s="230"/>
      <c r="I151" s="230"/>
      <c r="J151" s="230"/>
      <c r="K151" s="230"/>
      <c r="L151" s="230"/>
      <c r="M151" s="228"/>
      <c r="N151" s="257"/>
      <c r="O151" s="228"/>
      <c r="P151" s="228"/>
      <c r="Q151" s="2357"/>
      <c r="R151" s="258"/>
      <c r="S151" s="2381"/>
      <c r="T151" s="2381"/>
      <c r="U151" s="254"/>
      <c r="V151" s="228"/>
      <c r="W151" s="2357"/>
      <c r="X151" s="256"/>
      <c r="Y151" s="248"/>
      <c r="Z151" s="248"/>
      <c r="AA151" s="248"/>
      <c r="AB151" s="247"/>
      <c r="AC151" s="248"/>
      <c r="AD151" s="248"/>
      <c r="AE151" s="194"/>
      <c r="AF151" s="249"/>
      <c r="AG151" s="250"/>
      <c r="AH151" s="251"/>
      <c r="AI151" s="252"/>
    </row>
    <row r="152" spans="2:35">
      <c r="B152" s="253">
        <f t="shared" si="9"/>
        <v>143</v>
      </c>
      <c r="C152" s="244"/>
      <c r="D152" s="654"/>
      <c r="E152" s="466"/>
      <c r="F152" s="612"/>
      <c r="G152" s="2973"/>
      <c r="H152" s="230"/>
      <c r="I152" s="230"/>
      <c r="J152" s="230"/>
      <c r="K152" s="230"/>
      <c r="L152" s="230"/>
      <c r="M152" s="228"/>
      <c r="N152" s="257"/>
      <c r="O152" s="228"/>
      <c r="P152" s="228"/>
      <c r="Q152" s="2357"/>
      <c r="R152" s="258"/>
      <c r="S152" s="2381"/>
      <c r="T152" s="2381"/>
      <c r="U152" s="254"/>
      <c r="V152" s="228"/>
      <c r="W152" s="2357"/>
      <c r="X152" s="256"/>
      <c r="Y152" s="248"/>
      <c r="Z152" s="248"/>
      <c r="AA152" s="248"/>
      <c r="AB152" s="247"/>
      <c r="AC152" s="248"/>
      <c r="AD152" s="248"/>
      <c r="AE152" s="194"/>
      <c r="AF152" s="249"/>
      <c r="AG152" s="250"/>
      <c r="AH152" s="251"/>
      <c r="AI152" s="252"/>
    </row>
    <row r="153" spans="2:35">
      <c r="B153" s="253">
        <f t="shared" si="9"/>
        <v>144</v>
      </c>
      <c r="C153" s="244"/>
      <c r="D153" s="654"/>
      <c r="E153" s="466"/>
      <c r="F153" s="612"/>
      <c r="G153" s="2973"/>
      <c r="H153" s="230"/>
      <c r="I153" s="230"/>
      <c r="J153" s="230"/>
      <c r="K153" s="230"/>
      <c r="L153" s="230"/>
      <c r="M153" s="228"/>
      <c r="N153" s="257"/>
      <c r="O153" s="228"/>
      <c r="P153" s="228"/>
      <c r="Q153" s="2357"/>
      <c r="R153" s="258"/>
      <c r="S153" s="2381"/>
      <c r="T153" s="2381"/>
      <c r="U153" s="254"/>
      <c r="V153" s="228"/>
      <c r="W153" s="2357"/>
      <c r="X153" s="256"/>
      <c r="Y153" s="248"/>
      <c r="Z153" s="248"/>
      <c r="AA153" s="248"/>
      <c r="AB153" s="247"/>
      <c r="AC153" s="248"/>
      <c r="AD153" s="248"/>
      <c r="AE153" s="194"/>
      <c r="AF153" s="249"/>
      <c r="AG153" s="250"/>
      <c r="AH153" s="251"/>
      <c r="AI153" s="252"/>
    </row>
    <row r="154" spans="2:35">
      <c r="B154" s="253">
        <f t="shared" si="9"/>
        <v>145</v>
      </c>
      <c r="C154" s="244"/>
      <c r="D154" s="654"/>
      <c r="E154" s="466"/>
      <c r="F154" s="612"/>
      <c r="G154" s="2973"/>
      <c r="H154" s="230"/>
      <c r="I154" s="230"/>
      <c r="J154" s="230"/>
      <c r="K154" s="230"/>
      <c r="L154" s="230"/>
      <c r="M154" s="228"/>
      <c r="N154" s="257"/>
      <c r="O154" s="228"/>
      <c r="P154" s="228"/>
      <c r="Q154" s="2357"/>
      <c r="R154" s="258"/>
      <c r="S154" s="2381"/>
      <c r="T154" s="2381"/>
      <c r="U154" s="254"/>
      <c r="V154" s="228"/>
      <c r="W154" s="2357"/>
      <c r="X154" s="256"/>
      <c r="Y154" s="248"/>
      <c r="Z154" s="248"/>
      <c r="AA154" s="248"/>
      <c r="AB154" s="247"/>
      <c r="AC154" s="248"/>
      <c r="AD154" s="248"/>
      <c r="AE154" s="194"/>
      <c r="AF154" s="249"/>
      <c r="AG154" s="250"/>
      <c r="AH154" s="251"/>
      <c r="AI154" s="252"/>
    </row>
    <row r="155" spans="2:35">
      <c r="B155" s="253">
        <f t="shared" si="9"/>
        <v>146</v>
      </c>
      <c r="C155" s="244"/>
      <c r="D155" s="654"/>
      <c r="E155" s="466"/>
      <c r="F155" s="612"/>
      <c r="G155" s="2973"/>
      <c r="H155" s="230"/>
      <c r="I155" s="230"/>
      <c r="J155" s="230"/>
      <c r="K155" s="230"/>
      <c r="L155" s="230"/>
      <c r="M155" s="228"/>
      <c r="N155" s="257"/>
      <c r="O155" s="228"/>
      <c r="P155" s="228"/>
      <c r="Q155" s="2357"/>
      <c r="R155" s="258"/>
      <c r="S155" s="2381"/>
      <c r="T155" s="2381"/>
      <c r="U155" s="254"/>
      <c r="V155" s="228"/>
      <c r="W155" s="2357"/>
      <c r="X155" s="256"/>
      <c r="Y155" s="248"/>
      <c r="Z155" s="248"/>
      <c r="AA155" s="248"/>
      <c r="AB155" s="247"/>
      <c r="AC155" s="248"/>
      <c r="AD155" s="248"/>
      <c r="AE155" s="194"/>
      <c r="AF155" s="249"/>
      <c r="AG155" s="250"/>
      <c r="AH155" s="251"/>
      <c r="AI155" s="252"/>
    </row>
    <row r="156" spans="2:35">
      <c r="B156" s="253">
        <f t="shared" si="9"/>
        <v>147</v>
      </c>
      <c r="C156" s="244"/>
      <c r="D156" s="654"/>
      <c r="E156" s="466"/>
      <c r="F156" s="612"/>
      <c r="G156" s="2973"/>
      <c r="H156" s="230"/>
      <c r="I156" s="230"/>
      <c r="J156" s="230"/>
      <c r="K156" s="230"/>
      <c r="L156" s="230"/>
      <c r="M156" s="228"/>
      <c r="N156" s="257"/>
      <c r="O156" s="228"/>
      <c r="P156" s="228"/>
      <c r="Q156" s="2357"/>
      <c r="R156" s="258"/>
      <c r="S156" s="2381"/>
      <c r="T156" s="2381"/>
      <c r="U156" s="254"/>
      <c r="V156" s="228"/>
      <c r="W156" s="2357"/>
      <c r="X156" s="256"/>
      <c r="Y156" s="248"/>
      <c r="Z156" s="248"/>
      <c r="AA156" s="248"/>
      <c r="AB156" s="247"/>
      <c r="AC156" s="248"/>
      <c r="AD156" s="248"/>
      <c r="AE156" s="194"/>
      <c r="AF156" s="249"/>
      <c r="AG156" s="250"/>
      <c r="AH156" s="251"/>
      <c r="AI156" s="252"/>
    </row>
    <row r="157" spans="2:35">
      <c r="B157" s="253">
        <f t="shared" si="9"/>
        <v>148</v>
      </c>
      <c r="C157" s="244"/>
      <c r="D157" s="654"/>
      <c r="E157" s="466"/>
      <c r="F157" s="612"/>
      <c r="G157" s="2973"/>
      <c r="H157" s="230"/>
      <c r="I157" s="230"/>
      <c r="J157" s="230"/>
      <c r="K157" s="230"/>
      <c r="L157" s="230"/>
      <c r="M157" s="228"/>
      <c r="N157" s="257"/>
      <c r="O157" s="228"/>
      <c r="P157" s="228"/>
      <c r="Q157" s="2357"/>
      <c r="R157" s="258"/>
      <c r="S157" s="2381"/>
      <c r="T157" s="2381"/>
      <c r="U157" s="254"/>
      <c r="V157" s="228"/>
      <c r="W157" s="2357"/>
      <c r="X157" s="256"/>
      <c r="Y157" s="248"/>
      <c r="Z157" s="248"/>
      <c r="AA157" s="248"/>
      <c r="AB157" s="247"/>
      <c r="AC157" s="248"/>
      <c r="AD157" s="248"/>
      <c r="AE157" s="194"/>
      <c r="AF157" s="249"/>
      <c r="AG157" s="250"/>
      <c r="AH157" s="251"/>
      <c r="AI157" s="252"/>
    </row>
    <row r="158" spans="2:35">
      <c r="B158" s="253">
        <f t="shared" si="9"/>
        <v>149</v>
      </c>
      <c r="C158" s="244"/>
      <c r="D158" s="654"/>
      <c r="E158" s="466"/>
      <c r="F158" s="612"/>
      <c r="G158" s="2973"/>
      <c r="H158" s="230"/>
      <c r="I158" s="230"/>
      <c r="J158" s="230"/>
      <c r="K158" s="230"/>
      <c r="L158" s="230"/>
      <c r="M158" s="228"/>
      <c r="N158" s="257"/>
      <c r="O158" s="228"/>
      <c r="P158" s="228"/>
      <c r="Q158" s="2357"/>
      <c r="R158" s="258"/>
      <c r="S158" s="2381"/>
      <c r="T158" s="2381"/>
      <c r="U158" s="254"/>
      <c r="V158" s="228"/>
      <c r="W158" s="2357"/>
      <c r="X158" s="256"/>
      <c r="Y158" s="248"/>
      <c r="Z158" s="248"/>
      <c r="AA158" s="248"/>
      <c r="AB158" s="247"/>
      <c r="AC158" s="248"/>
      <c r="AD158" s="248"/>
      <c r="AE158" s="194"/>
      <c r="AF158" s="249"/>
      <c r="AG158" s="250"/>
      <c r="AH158" s="251"/>
      <c r="AI158" s="252"/>
    </row>
    <row r="159" spans="2:35">
      <c r="B159" s="253">
        <f t="shared" si="9"/>
        <v>150</v>
      </c>
      <c r="C159" s="244"/>
      <c r="D159" s="654"/>
      <c r="E159" s="466"/>
      <c r="F159" s="612"/>
      <c r="G159" s="2973"/>
      <c r="H159" s="230"/>
      <c r="I159" s="230"/>
      <c r="J159" s="230"/>
      <c r="K159" s="230"/>
      <c r="L159" s="230"/>
      <c r="M159" s="228"/>
      <c r="N159" s="257"/>
      <c r="O159" s="228"/>
      <c r="P159" s="228"/>
      <c r="Q159" s="2357"/>
      <c r="R159" s="258"/>
      <c r="S159" s="2381"/>
      <c r="T159" s="2381"/>
      <c r="U159" s="254"/>
      <c r="V159" s="228"/>
      <c r="W159" s="2357"/>
      <c r="X159" s="256"/>
      <c r="Y159" s="248"/>
      <c r="Z159" s="248"/>
      <c r="AA159" s="248"/>
      <c r="AB159" s="247"/>
      <c r="AC159" s="248"/>
      <c r="AD159" s="248"/>
      <c r="AE159" s="194"/>
      <c r="AF159" s="249"/>
      <c r="AG159" s="250"/>
      <c r="AH159" s="251"/>
      <c r="AI159" s="252"/>
    </row>
    <row r="160" spans="2:35">
      <c r="B160" s="253">
        <f t="shared" si="9"/>
        <v>151</v>
      </c>
      <c r="C160" s="244"/>
      <c r="D160" s="654"/>
      <c r="E160" s="466"/>
      <c r="F160" s="612"/>
      <c r="G160" s="2973"/>
      <c r="H160" s="230"/>
      <c r="I160" s="230"/>
      <c r="J160" s="230"/>
      <c r="K160" s="230"/>
      <c r="L160" s="230"/>
      <c r="M160" s="228"/>
      <c r="N160" s="257"/>
      <c r="O160" s="228"/>
      <c r="P160" s="228"/>
      <c r="Q160" s="2357"/>
      <c r="R160" s="258"/>
      <c r="S160" s="2381"/>
      <c r="T160" s="2381"/>
      <c r="U160" s="254"/>
      <c r="V160" s="228"/>
      <c r="W160" s="2357"/>
      <c r="X160" s="256"/>
      <c r="Y160" s="248"/>
      <c r="Z160" s="248"/>
      <c r="AA160" s="248"/>
      <c r="AB160" s="247"/>
      <c r="AC160" s="248"/>
      <c r="AD160" s="248"/>
      <c r="AE160" s="194"/>
      <c r="AF160" s="249"/>
      <c r="AG160" s="250"/>
      <c r="AH160" s="251"/>
      <c r="AI160" s="252"/>
    </row>
    <row r="161" spans="2:35">
      <c r="B161" s="253">
        <f t="shared" si="9"/>
        <v>152</v>
      </c>
      <c r="C161" s="244"/>
      <c r="D161" s="654"/>
      <c r="E161" s="466"/>
      <c r="F161" s="612"/>
      <c r="G161" s="2973"/>
      <c r="H161" s="230"/>
      <c r="I161" s="230"/>
      <c r="J161" s="230"/>
      <c r="K161" s="230"/>
      <c r="L161" s="230"/>
      <c r="M161" s="228"/>
      <c r="N161" s="257"/>
      <c r="O161" s="228"/>
      <c r="P161" s="228"/>
      <c r="Q161" s="2357"/>
      <c r="R161" s="258"/>
      <c r="S161" s="2381"/>
      <c r="T161" s="2381"/>
      <c r="U161" s="254"/>
      <c r="V161" s="228"/>
      <c r="W161" s="2357"/>
      <c r="X161" s="256"/>
      <c r="Y161" s="248"/>
      <c r="Z161" s="248"/>
      <c r="AA161" s="248"/>
      <c r="AB161" s="247"/>
      <c r="AC161" s="248"/>
      <c r="AD161" s="248"/>
      <c r="AE161" s="194"/>
      <c r="AF161" s="249"/>
      <c r="AG161" s="250"/>
      <c r="AH161" s="251"/>
      <c r="AI161" s="252"/>
    </row>
    <row r="162" spans="2:35">
      <c r="B162" s="253">
        <f t="shared" si="9"/>
        <v>153</v>
      </c>
      <c r="C162" s="244"/>
      <c r="D162" s="654"/>
      <c r="E162" s="466"/>
      <c r="F162" s="612"/>
      <c r="G162" s="2973"/>
      <c r="H162" s="230"/>
      <c r="I162" s="230"/>
      <c r="J162" s="230"/>
      <c r="K162" s="230"/>
      <c r="L162" s="230"/>
      <c r="M162" s="228"/>
      <c r="N162" s="257"/>
      <c r="O162" s="228"/>
      <c r="P162" s="228"/>
      <c r="Q162" s="2357"/>
      <c r="R162" s="258"/>
      <c r="S162" s="2381"/>
      <c r="T162" s="2381"/>
      <c r="U162" s="254"/>
      <c r="V162" s="228"/>
      <c r="W162" s="2357"/>
      <c r="X162" s="256"/>
      <c r="Y162" s="248"/>
      <c r="Z162" s="248"/>
      <c r="AA162" s="248"/>
      <c r="AB162" s="247"/>
      <c r="AC162" s="248"/>
      <c r="AD162" s="248"/>
      <c r="AE162" s="194"/>
      <c r="AF162" s="249"/>
      <c r="AG162" s="250"/>
      <c r="AH162" s="251"/>
      <c r="AI162" s="252"/>
    </row>
    <row r="163" spans="2:35">
      <c r="B163" s="253">
        <f t="shared" si="9"/>
        <v>154</v>
      </c>
      <c r="C163" s="244"/>
      <c r="D163" s="654"/>
      <c r="E163" s="466"/>
      <c r="F163" s="612"/>
      <c r="G163" s="2973"/>
      <c r="H163" s="230"/>
      <c r="I163" s="230"/>
      <c r="J163" s="230"/>
      <c r="K163" s="230"/>
      <c r="L163" s="230"/>
      <c r="M163" s="228"/>
      <c r="N163" s="257"/>
      <c r="O163" s="228"/>
      <c r="P163" s="228"/>
      <c r="Q163" s="2357"/>
      <c r="R163" s="258"/>
      <c r="S163" s="2381"/>
      <c r="T163" s="2381"/>
      <c r="U163" s="254"/>
      <c r="V163" s="228"/>
      <c r="W163" s="2357"/>
      <c r="X163" s="256"/>
      <c r="Y163" s="248"/>
      <c r="Z163" s="248"/>
      <c r="AA163" s="248"/>
      <c r="AB163" s="247"/>
      <c r="AC163" s="248"/>
      <c r="AD163" s="248"/>
      <c r="AE163" s="194"/>
      <c r="AF163" s="249"/>
      <c r="AG163" s="250"/>
      <c r="AH163" s="251"/>
      <c r="AI163" s="252"/>
    </row>
    <row r="164" spans="2:35">
      <c r="B164" s="253">
        <f t="shared" si="9"/>
        <v>155</v>
      </c>
      <c r="C164" s="244"/>
      <c r="D164" s="654"/>
      <c r="E164" s="466"/>
      <c r="F164" s="612"/>
      <c r="G164" s="2973"/>
      <c r="H164" s="230"/>
      <c r="I164" s="230"/>
      <c r="J164" s="230"/>
      <c r="K164" s="230"/>
      <c r="L164" s="230"/>
      <c r="M164" s="228"/>
      <c r="N164" s="257"/>
      <c r="O164" s="228"/>
      <c r="P164" s="228"/>
      <c r="Q164" s="2357"/>
      <c r="R164" s="258"/>
      <c r="S164" s="2381"/>
      <c r="T164" s="2381"/>
      <c r="U164" s="254"/>
      <c r="V164" s="228"/>
      <c r="W164" s="2357"/>
      <c r="X164" s="256"/>
      <c r="Y164" s="248"/>
      <c r="Z164" s="248"/>
      <c r="AA164" s="248"/>
      <c r="AB164" s="247"/>
      <c r="AC164" s="248"/>
      <c r="AD164" s="248"/>
      <c r="AE164" s="194"/>
      <c r="AF164" s="249"/>
      <c r="AG164" s="250"/>
      <c r="AH164" s="251"/>
      <c r="AI164" s="252"/>
    </row>
    <row r="165" spans="2:35">
      <c r="B165" s="253">
        <f t="shared" si="9"/>
        <v>156</v>
      </c>
      <c r="C165" s="244"/>
      <c r="D165" s="654"/>
      <c r="E165" s="466"/>
      <c r="F165" s="612"/>
      <c r="G165" s="2973"/>
      <c r="H165" s="230"/>
      <c r="I165" s="230"/>
      <c r="J165" s="230"/>
      <c r="K165" s="230"/>
      <c r="L165" s="230"/>
      <c r="M165" s="228"/>
      <c r="N165" s="257"/>
      <c r="O165" s="228"/>
      <c r="P165" s="228"/>
      <c r="Q165" s="2357"/>
      <c r="R165" s="258"/>
      <c r="S165" s="2381"/>
      <c r="T165" s="2381"/>
      <c r="U165" s="254"/>
      <c r="V165" s="228"/>
      <c r="W165" s="2357"/>
      <c r="X165" s="256"/>
      <c r="Y165" s="248"/>
      <c r="Z165" s="248"/>
      <c r="AA165" s="248"/>
      <c r="AB165" s="247"/>
      <c r="AC165" s="248"/>
      <c r="AD165" s="248"/>
      <c r="AE165" s="194"/>
      <c r="AF165" s="249"/>
      <c r="AG165" s="250"/>
      <c r="AH165" s="251"/>
      <c r="AI165" s="252"/>
    </row>
    <row r="166" spans="2:35">
      <c r="B166" s="253">
        <f t="shared" si="9"/>
        <v>157</v>
      </c>
      <c r="C166" s="244"/>
      <c r="D166" s="654"/>
      <c r="E166" s="466"/>
      <c r="F166" s="612"/>
      <c r="G166" s="2973"/>
      <c r="H166" s="230"/>
      <c r="I166" s="230"/>
      <c r="J166" s="230"/>
      <c r="K166" s="230"/>
      <c r="L166" s="230"/>
      <c r="M166" s="228"/>
      <c r="N166" s="257"/>
      <c r="O166" s="228"/>
      <c r="P166" s="228"/>
      <c r="Q166" s="2357"/>
      <c r="R166" s="258"/>
      <c r="S166" s="2381"/>
      <c r="T166" s="2381"/>
      <c r="U166" s="254"/>
      <c r="V166" s="228"/>
      <c r="W166" s="2357"/>
      <c r="X166" s="256"/>
      <c r="Y166" s="248"/>
      <c r="Z166" s="248"/>
      <c r="AA166" s="248"/>
      <c r="AB166" s="247"/>
      <c r="AC166" s="248"/>
      <c r="AD166" s="248"/>
      <c r="AE166" s="194"/>
      <c r="AF166" s="249"/>
      <c r="AG166" s="250"/>
      <c r="AH166" s="251"/>
      <c r="AI166" s="252"/>
    </row>
    <row r="167" spans="2:35">
      <c r="B167" s="253">
        <f t="shared" si="9"/>
        <v>158</v>
      </c>
      <c r="C167" s="244"/>
      <c r="D167" s="654"/>
      <c r="E167" s="466"/>
      <c r="F167" s="612"/>
      <c r="G167" s="2973"/>
      <c r="H167" s="230"/>
      <c r="I167" s="230"/>
      <c r="J167" s="230"/>
      <c r="K167" s="230"/>
      <c r="L167" s="230"/>
      <c r="M167" s="228"/>
      <c r="N167" s="257"/>
      <c r="O167" s="228"/>
      <c r="P167" s="228"/>
      <c r="Q167" s="2357"/>
      <c r="R167" s="258"/>
      <c r="S167" s="2381"/>
      <c r="T167" s="2381"/>
      <c r="U167" s="254"/>
      <c r="V167" s="228"/>
      <c r="W167" s="2357"/>
      <c r="X167" s="256"/>
      <c r="Y167" s="248"/>
      <c r="Z167" s="248"/>
      <c r="AA167" s="248"/>
      <c r="AB167" s="247"/>
      <c r="AC167" s="248"/>
      <c r="AD167" s="248"/>
      <c r="AE167" s="194"/>
      <c r="AF167" s="249"/>
      <c r="AG167" s="250"/>
      <c r="AH167" s="251"/>
      <c r="AI167" s="252"/>
    </row>
    <row r="168" spans="2:35">
      <c r="B168" s="253">
        <f t="shared" si="9"/>
        <v>159</v>
      </c>
      <c r="C168" s="244"/>
      <c r="D168" s="654"/>
      <c r="E168" s="466"/>
      <c r="F168" s="612"/>
      <c r="G168" s="2973"/>
      <c r="H168" s="230"/>
      <c r="I168" s="230"/>
      <c r="J168" s="230"/>
      <c r="K168" s="230"/>
      <c r="L168" s="230"/>
      <c r="M168" s="228"/>
      <c r="N168" s="257"/>
      <c r="O168" s="228"/>
      <c r="P168" s="228"/>
      <c r="Q168" s="2357"/>
      <c r="R168" s="258"/>
      <c r="S168" s="2381"/>
      <c r="T168" s="2381"/>
      <c r="U168" s="254"/>
      <c r="V168" s="228"/>
      <c r="W168" s="2357"/>
      <c r="X168" s="256"/>
      <c r="Y168" s="248"/>
      <c r="Z168" s="248"/>
      <c r="AA168" s="248"/>
      <c r="AB168" s="247"/>
      <c r="AC168" s="248"/>
      <c r="AD168" s="248"/>
      <c r="AE168" s="194"/>
      <c r="AF168" s="249"/>
      <c r="AG168" s="250"/>
      <c r="AH168" s="251"/>
      <c r="AI168" s="252"/>
    </row>
    <row r="169" spans="2:35">
      <c r="B169" s="253">
        <f t="shared" si="9"/>
        <v>160</v>
      </c>
      <c r="C169" s="244"/>
      <c r="D169" s="654"/>
      <c r="E169" s="466"/>
      <c r="F169" s="612"/>
      <c r="G169" s="2973"/>
      <c r="H169" s="230"/>
      <c r="I169" s="230"/>
      <c r="J169" s="230"/>
      <c r="K169" s="230"/>
      <c r="L169" s="230"/>
      <c r="M169" s="228"/>
      <c r="N169" s="257"/>
      <c r="O169" s="228"/>
      <c r="P169" s="228"/>
      <c r="Q169" s="2357"/>
      <c r="R169" s="258"/>
      <c r="S169" s="2381"/>
      <c r="T169" s="2381"/>
      <c r="U169" s="254"/>
      <c r="V169" s="228"/>
      <c r="W169" s="2357"/>
      <c r="X169" s="256"/>
      <c r="Y169" s="248"/>
      <c r="Z169" s="248"/>
      <c r="AA169" s="248"/>
      <c r="AB169" s="247"/>
      <c r="AC169" s="248"/>
      <c r="AD169" s="248"/>
      <c r="AE169" s="194"/>
      <c r="AF169" s="249"/>
      <c r="AG169" s="250"/>
      <c r="AH169" s="251"/>
      <c r="AI169" s="252"/>
    </row>
    <row r="170" spans="2:35">
      <c r="B170" s="253">
        <f t="shared" si="9"/>
        <v>161</v>
      </c>
      <c r="C170" s="244"/>
      <c r="D170" s="654"/>
      <c r="E170" s="466"/>
      <c r="F170" s="612"/>
      <c r="G170" s="2973"/>
      <c r="H170" s="230"/>
      <c r="I170" s="230"/>
      <c r="J170" s="230"/>
      <c r="K170" s="230"/>
      <c r="L170" s="230"/>
      <c r="M170" s="228"/>
      <c r="N170" s="257"/>
      <c r="O170" s="228"/>
      <c r="P170" s="228"/>
      <c r="Q170" s="2357"/>
      <c r="R170" s="258"/>
      <c r="S170" s="2381"/>
      <c r="T170" s="2381"/>
      <c r="U170" s="254"/>
      <c r="V170" s="228"/>
      <c r="W170" s="2357"/>
      <c r="X170" s="256"/>
      <c r="Y170" s="248"/>
      <c r="Z170" s="248"/>
      <c r="AA170" s="248"/>
      <c r="AB170" s="247"/>
      <c r="AC170" s="248"/>
      <c r="AD170" s="248"/>
      <c r="AE170" s="194"/>
      <c r="AF170" s="249"/>
      <c r="AG170" s="250"/>
      <c r="AH170" s="251"/>
      <c r="AI170" s="252"/>
    </row>
    <row r="171" spans="2:35">
      <c r="B171" s="253">
        <f t="shared" si="9"/>
        <v>162</v>
      </c>
      <c r="C171" s="244"/>
      <c r="D171" s="654"/>
      <c r="E171" s="466"/>
      <c r="F171" s="612"/>
      <c r="G171" s="2973"/>
      <c r="H171" s="230"/>
      <c r="I171" s="230"/>
      <c r="J171" s="230"/>
      <c r="K171" s="230"/>
      <c r="L171" s="230"/>
      <c r="M171" s="228"/>
      <c r="N171" s="257"/>
      <c r="O171" s="228"/>
      <c r="P171" s="228"/>
      <c r="Q171" s="2357"/>
      <c r="R171" s="258"/>
      <c r="S171" s="2381"/>
      <c r="T171" s="2381"/>
      <c r="U171" s="254"/>
      <c r="V171" s="228"/>
      <c r="W171" s="2357"/>
      <c r="X171" s="256"/>
      <c r="Y171" s="248"/>
      <c r="Z171" s="248"/>
      <c r="AA171" s="248"/>
      <c r="AB171" s="247"/>
      <c r="AC171" s="248"/>
      <c r="AD171" s="248"/>
      <c r="AE171" s="194"/>
      <c r="AF171" s="249"/>
      <c r="AG171" s="250"/>
      <c r="AH171" s="251"/>
      <c r="AI171" s="252"/>
    </row>
    <row r="172" spans="2:35">
      <c r="B172" s="253">
        <f t="shared" si="9"/>
        <v>163</v>
      </c>
      <c r="C172" s="244"/>
      <c r="D172" s="654"/>
      <c r="E172" s="466"/>
      <c r="F172" s="612"/>
      <c r="G172" s="2973"/>
      <c r="H172" s="230"/>
      <c r="I172" s="230"/>
      <c r="J172" s="230"/>
      <c r="K172" s="230"/>
      <c r="L172" s="230"/>
      <c r="M172" s="228"/>
      <c r="N172" s="257"/>
      <c r="O172" s="228"/>
      <c r="P172" s="228"/>
      <c r="Q172" s="2357"/>
      <c r="R172" s="258"/>
      <c r="S172" s="2381"/>
      <c r="T172" s="2381"/>
      <c r="U172" s="254"/>
      <c r="V172" s="228"/>
      <c r="W172" s="2357"/>
      <c r="X172" s="256"/>
      <c r="Y172" s="248"/>
      <c r="Z172" s="248"/>
      <c r="AA172" s="248"/>
      <c r="AB172" s="247"/>
      <c r="AC172" s="248"/>
      <c r="AD172" s="248"/>
      <c r="AE172" s="194"/>
      <c r="AF172" s="249"/>
      <c r="AG172" s="250"/>
      <c r="AH172" s="251"/>
      <c r="AI172" s="252"/>
    </row>
    <row r="173" spans="2:35">
      <c r="B173" s="253">
        <f t="shared" si="9"/>
        <v>164</v>
      </c>
      <c r="C173" s="244"/>
      <c r="D173" s="654"/>
      <c r="E173" s="466"/>
      <c r="F173" s="612"/>
      <c r="G173" s="2973"/>
      <c r="H173" s="230"/>
      <c r="I173" s="230"/>
      <c r="J173" s="230"/>
      <c r="K173" s="230"/>
      <c r="L173" s="230"/>
      <c r="M173" s="228"/>
      <c r="N173" s="257"/>
      <c r="O173" s="228"/>
      <c r="P173" s="228"/>
      <c r="Q173" s="2357"/>
      <c r="R173" s="258"/>
      <c r="S173" s="2381"/>
      <c r="T173" s="2381"/>
      <c r="U173" s="254"/>
      <c r="V173" s="228"/>
      <c r="W173" s="2357"/>
      <c r="X173" s="256"/>
      <c r="Y173" s="248"/>
      <c r="Z173" s="248"/>
      <c r="AA173" s="248"/>
      <c r="AB173" s="247"/>
      <c r="AC173" s="248"/>
      <c r="AD173" s="248"/>
      <c r="AE173" s="194"/>
      <c r="AF173" s="249"/>
      <c r="AG173" s="250"/>
      <c r="AH173" s="251"/>
      <c r="AI173" s="252"/>
    </row>
    <row r="174" spans="2:35">
      <c r="B174" s="253">
        <f t="shared" si="9"/>
        <v>165</v>
      </c>
      <c r="C174" s="244"/>
      <c r="D174" s="654"/>
      <c r="E174" s="466"/>
      <c r="F174" s="612"/>
      <c r="G174" s="2973"/>
      <c r="H174" s="230"/>
      <c r="I174" s="230"/>
      <c r="J174" s="230"/>
      <c r="K174" s="230"/>
      <c r="L174" s="230"/>
      <c r="M174" s="228"/>
      <c r="N174" s="257"/>
      <c r="O174" s="228"/>
      <c r="P174" s="228"/>
      <c r="Q174" s="2357"/>
      <c r="R174" s="258"/>
      <c r="S174" s="2381"/>
      <c r="T174" s="2381"/>
      <c r="U174" s="254"/>
      <c r="V174" s="228"/>
      <c r="W174" s="2357"/>
      <c r="X174" s="256"/>
      <c r="Y174" s="248"/>
      <c r="Z174" s="248"/>
      <c r="AA174" s="248"/>
      <c r="AB174" s="247"/>
      <c r="AC174" s="248"/>
      <c r="AD174" s="248"/>
      <c r="AE174" s="194"/>
      <c r="AF174" s="249"/>
      <c r="AG174" s="250"/>
      <c r="AH174" s="251"/>
      <c r="AI174" s="252"/>
    </row>
    <row r="175" spans="2:35">
      <c r="B175" s="253">
        <f t="shared" si="9"/>
        <v>166</v>
      </c>
      <c r="C175" s="244"/>
      <c r="D175" s="654"/>
      <c r="E175" s="466"/>
      <c r="F175" s="612"/>
      <c r="G175" s="2973"/>
      <c r="H175" s="230"/>
      <c r="I175" s="230"/>
      <c r="J175" s="230"/>
      <c r="K175" s="230"/>
      <c r="L175" s="230"/>
      <c r="M175" s="228"/>
      <c r="N175" s="257"/>
      <c r="O175" s="228"/>
      <c r="P175" s="228"/>
      <c r="Q175" s="2357"/>
      <c r="R175" s="258"/>
      <c r="S175" s="2381"/>
      <c r="T175" s="2381"/>
      <c r="U175" s="254"/>
      <c r="V175" s="228"/>
      <c r="W175" s="2357"/>
      <c r="X175" s="256"/>
      <c r="Y175" s="248"/>
      <c r="Z175" s="248"/>
      <c r="AA175" s="248"/>
      <c r="AB175" s="247"/>
      <c r="AC175" s="248"/>
      <c r="AD175" s="248"/>
      <c r="AE175" s="194"/>
      <c r="AF175" s="249"/>
      <c r="AG175" s="250"/>
      <c r="AH175" s="251"/>
      <c r="AI175" s="252"/>
    </row>
    <row r="176" spans="2:35">
      <c r="B176" s="253">
        <f t="shared" si="9"/>
        <v>167</v>
      </c>
      <c r="C176" s="244"/>
      <c r="D176" s="654"/>
      <c r="E176" s="466"/>
      <c r="F176" s="612"/>
      <c r="G176" s="2973"/>
      <c r="H176" s="230"/>
      <c r="I176" s="230"/>
      <c r="J176" s="230"/>
      <c r="K176" s="230"/>
      <c r="L176" s="230"/>
      <c r="M176" s="228"/>
      <c r="N176" s="257"/>
      <c r="O176" s="228"/>
      <c r="P176" s="228"/>
      <c r="Q176" s="2357"/>
      <c r="R176" s="258"/>
      <c r="S176" s="2381"/>
      <c r="T176" s="2381"/>
      <c r="U176" s="254"/>
      <c r="V176" s="228"/>
      <c r="W176" s="2357"/>
      <c r="X176" s="256"/>
      <c r="Y176" s="248"/>
      <c r="Z176" s="248"/>
      <c r="AA176" s="248"/>
      <c r="AB176" s="247"/>
      <c r="AC176" s="248"/>
      <c r="AD176" s="248"/>
      <c r="AE176" s="194"/>
      <c r="AF176" s="249"/>
      <c r="AG176" s="250"/>
      <c r="AH176" s="251"/>
      <c r="AI176" s="252"/>
    </row>
    <row r="177" spans="2:35">
      <c r="B177" s="253">
        <f t="shared" si="9"/>
        <v>168</v>
      </c>
      <c r="C177" s="244"/>
      <c r="D177" s="654"/>
      <c r="E177" s="466"/>
      <c r="F177" s="612"/>
      <c r="G177" s="2973"/>
      <c r="H177" s="230"/>
      <c r="I177" s="230"/>
      <c r="J177" s="230"/>
      <c r="K177" s="230"/>
      <c r="L177" s="230"/>
      <c r="M177" s="228"/>
      <c r="N177" s="257"/>
      <c r="O177" s="228"/>
      <c r="P177" s="228"/>
      <c r="Q177" s="2357"/>
      <c r="R177" s="258"/>
      <c r="S177" s="2381"/>
      <c r="T177" s="2381"/>
      <c r="U177" s="254"/>
      <c r="V177" s="228"/>
      <c r="W177" s="2357"/>
      <c r="X177" s="256"/>
      <c r="Y177" s="248"/>
      <c r="Z177" s="248"/>
      <c r="AA177" s="248"/>
      <c r="AB177" s="247"/>
      <c r="AC177" s="248"/>
      <c r="AD177" s="248"/>
      <c r="AE177" s="194"/>
      <c r="AF177" s="249"/>
      <c r="AG177" s="250"/>
      <c r="AH177" s="251"/>
      <c r="AI177" s="252"/>
    </row>
    <row r="178" spans="2:35">
      <c r="B178" s="253">
        <f t="shared" si="9"/>
        <v>169</v>
      </c>
      <c r="C178" s="244"/>
      <c r="D178" s="654"/>
      <c r="E178" s="466"/>
      <c r="F178" s="612"/>
      <c r="G178" s="2973"/>
      <c r="H178" s="230"/>
      <c r="I178" s="230"/>
      <c r="J178" s="230"/>
      <c r="K178" s="230"/>
      <c r="L178" s="230"/>
      <c r="M178" s="228"/>
      <c r="N178" s="257"/>
      <c r="O178" s="228"/>
      <c r="P178" s="228"/>
      <c r="Q178" s="2357"/>
      <c r="R178" s="258"/>
      <c r="S178" s="2381"/>
      <c r="T178" s="2381"/>
      <c r="U178" s="254"/>
      <c r="V178" s="228"/>
      <c r="W178" s="2357"/>
      <c r="X178" s="256"/>
      <c r="Y178" s="248"/>
      <c r="Z178" s="248"/>
      <c r="AA178" s="248"/>
      <c r="AB178" s="247"/>
      <c r="AC178" s="248"/>
      <c r="AD178" s="248"/>
      <c r="AE178" s="194"/>
      <c r="AF178" s="249"/>
      <c r="AG178" s="250"/>
      <c r="AH178" s="251"/>
      <c r="AI178" s="252"/>
    </row>
    <row r="179" spans="2:35">
      <c r="B179" s="253">
        <f t="shared" si="9"/>
        <v>170</v>
      </c>
      <c r="C179" s="244"/>
      <c r="D179" s="654"/>
      <c r="E179" s="466"/>
      <c r="F179" s="612"/>
      <c r="G179" s="2973"/>
      <c r="H179" s="230"/>
      <c r="I179" s="230"/>
      <c r="J179" s="230"/>
      <c r="K179" s="230"/>
      <c r="L179" s="230"/>
      <c r="M179" s="228"/>
      <c r="N179" s="257"/>
      <c r="O179" s="228"/>
      <c r="P179" s="228"/>
      <c r="Q179" s="2357"/>
      <c r="R179" s="258"/>
      <c r="S179" s="2381"/>
      <c r="T179" s="2381"/>
      <c r="U179" s="254"/>
      <c r="V179" s="228"/>
      <c r="W179" s="2357"/>
      <c r="X179" s="256"/>
      <c r="Y179" s="248"/>
      <c r="Z179" s="248"/>
      <c r="AA179" s="248"/>
      <c r="AB179" s="247"/>
      <c r="AC179" s="248"/>
      <c r="AD179" s="248"/>
      <c r="AE179" s="194"/>
      <c r="AF179" s="249"/>
      <c r="AG179" s="250"/>
      <c r="AH179" s="251"/>
      <c r="AI179" s="252"/>
    </row>
    <row r="180" spans="2:35">
      <c r="B180" s="253">
        <f t="shared" si="9"/>
        <v>171</v>
      </c>
      <c r="C180" s="244"/>
      <c r="D180" s="654"/>
      <c r="E180" s="466"/>
      <c r="F180" s="612"/>
      <c r="G180" s="2973"/>
      <c r="H180" s="230"/>
      <c r="I180" s="230"/>
      <c r="J180" s="230"/>
      <c r="K180" s="230"/>
      <c r="L180" s="230"/>
      <c r="M180" s="228"/>
      <c r="N180" s="257"/>
      <c r="O180" s="228"/>
      <c r="P180" s="228"/>
      <c r="Q180" s="2357"/>
      <c r="R180" s="258"/>
      <c r="S180" s="2381"/>
      <c r="T180" s="2381"/>
      <c r="U180" s="254"/>
      <c r="V180" s="228"/>
      <c r="W180" s="2357"/>
      <c r="X180" s="256"/>
      <c r="Y180" s="248"/>
      <c r="Z180" s="248"/>
      <c r="AA180" s="248"/>
      <c r="AB180" s="247"/>
      <c r="AC180" s="248"/>
      <c r="AD180" s="248"/>
      <c r="AE180" s="194"/>
      <c r="AF180" s="249"/>
      <c r="AG180" s="250"/>
      <c r="AH180" s="251"/>
      <c r="AI180" s="252"/>
    </row>
    <row r="181" spans="2:35">
      <c r="B181" s="253">
        <f t="shared" si="9"/>
        <v>172</v>
      </c>
      <c r="C181" s="244"/>
      <c r="D181" s="654"/>
      <c r="E181" s="466"/>
      <c r="F181" s="612"/>
      <c r="G181" s="2973"/>
      <c r="H181" s="230"/>
      <c r="I181" s="230"/>
      <c r="J181" s="230"/>
      <c r="K181" s="230"/>
      <c r="L181" s="230"/>
      <c r="M181" s="228"/>
      <c r="N181" s="257"/>
      <c r="O181" s="228"/>
      <c r="P181" s="228"/>
      <c r="Q181" s="2357"/>
      <c r="R181" s="258"/>
      <c r="S181" s="2381"/>
      <c r="T181" s="2381"/>
      <c r="U181" s="254"/>
      <c r="V181" s="228"/>
      <c r="W181" s="2357"/>
      <c r="X181" s="256"/>
      <c r="Y181" s="248"/>
      <c r="Z181" s="248"/>
      <c r="AA181" s="248"/>
      <c r="AB181" s="247"/>
      <c r="AC181" s="248"/>
      <c r="AD181" s="248"/>
      <c r="AE181" s="194"/>
      <c r="AF181" s="249"/>
      <c r="AG181" s="250"/>
      <c r="AH181" s="251"/>
      <c r="AI181" s="252"/>
    </row>
    <row r="182" spans="2:35">
      <c r="B182" s="253">
        <f t="shared" si="9"/>
        <v>173</v>
      </c>
      <c r="C182" s="244"/>
      <c r="D182" s="654"/>
      <c r="E182" s="466"/>
      <c r="F182" s="612"/>
      <c r="G182" s="2973"/>
      <c r="H182" s="230"/>
      <c r="I182" s="230"/>
      <c r="J182" s="230"/>
      <c r="K182" s="230"/>
      <c r="L182" s="230"/>
      <c r="M182" s="228"/>
      <c r="N182" s="257"/>
      <c r="O182" s="228"/>
      <c r="P182" s="228"/>
      <c r="Q182" s="2357"/>
      <c r="R182" s="258"/>
      <c r="S182" s="2381"/>
      <c r="T182" s="2381"/>
      <c r="U182" s="254"/>
      <c r="V182" s="228"/>
      <c r="W182" s="2357"/>
      <c r="X182" s="256"/>
      <c r="Y182" s="248"/>
      <c r="Z182" s="248"/>
      <c r="AA182" s="248"/>
      <c r="AB182" s="247"/>
      <c r="AC182" s="248"/>
      <c r="AD182" s="248"/>
      <c r="AE182" s="194"/>
      <c r="AF182" s="249"/>
      <c r="AG182" s="250"/>
      <c r="AH182" s="251"/>
      <c r="AI182" s="252"/>
    </row>
    <row r="183" spans="2:35">
      <c r="B183" s="253">
        <f t="shared" si="9"/>
        <v>174</v>
      </c>
      <c r="C183" s="244"/>
      <c r="D183" s="654"/>
      <c r="E183" s="466"/>
      <c r="F183" s="612"/>
      <c r="G183" s="2973"/>
      <c r="H183" s="230"/>
      <c r="I183" s="230"/>
      <c r="J183" s="230"/>
      <c r="K183" s="230"/>
      <c r="L183" s="230"/>
      <c r="M183" s="228"/>
      <c r="N183" s="257"/>
      <c r="O183" s="228"/>
      <c r="P183" s="228"/>
      <c r="Q183" s="2357"/>
      <c r="R183" s="258"/>
      <c r="S183" s="2381"/>
      <c r="T183" s="2381"/>
      <c r="U183" s="254"/>
      <c r="V183" s="228"/>
      <c r="W183" s="2357"/>
      <c r="X183" s="256"/>
      <c r="Y183" s="248"/>
      <c r="Z183" s="248"/>
      <c r="AA183" s="248"/>
      <c r="AB183" s="247"/>
      <c r="AC183" s="248"/>
      <c r="AD183" s="248"/>
      <c r="AE183" s="194"/>
      <c r="AF183" s="249"/>
      <c r="AG183" s="250"/>
      <c r="AH183" s="251"/>
      <c r="AI183" s="252"/>
    </row>
    <row r="184" spans="2:35">
      <c r="B184" s="253">
        <f t="shared" si="9"/>
        <v>175</v>
      </c>
      <c r="C184" s="244"/>
      <c r="D184" s="654"/>
      <c r="E184" s="466"/>
      <c r="F184" s="612"/>
      <c r="G184" s="2973"/>
      <c r="H184" s="230"/>
      <c r="I184" s="230"/>
      <c r="J184" s="230"/>
      <c r="K184" s="230"/>
      <c r="L184" s="230"/>
      <c r="M184" s="228"/>
      <c r="N184" s="257"/>
      <c r="O184" s="228"/>
      <c r="P184" s="228"/>
      <c r="Q184" s="2357"/>
      <c r="R184" s="258"/>
      <c r="S184" s="2381"/>
      <c r="T184" s="2381"/>
      <c r="U184" s="254"/>
      <c r="V184" s="228"/>
      <c r="W184" s="2357"/>
      <c r="X184" s="256"/>
      <c r="Y184" s="248"/>
      <c r="Z184" s="248"/>
      <c r="AA184" s="248"/>
      <c r="AB184" s="247"/>
      <c r="AC184" s="248"/>
      <c r="AD184" s="248"/>
      <c r="AE184" s="194"/>
      <c r="AF184" s="249"/>
      <c r="AG184" s="250"/>
      <c r="AH184" s="251"/>
      <c r="AI184" s="252"/>
    </row>
    <row r="185" spans="2:35">
      <c r="B185" s="253">
        <f t="shared" si="9"/>
        <v>176</v>
      </c>
      <c r="C185" s="244"/>
      <c r="D185" s="654"/>
      <c r="E185" s="466"/>
      <c r="F185" s="612"/>
      <c r="G185" s="2973"/>
      <c r="H185" s="230"/>
      <c r="I185" s="230"/>
      <c r="J185" s="230"/>
      <c r="K185" s="230"/>
      <c r="L185" s="230"/>
      <c r="M185" s="228"/>
      <c r="N185" s="257"/>
      <c r="O185" s="228"/>
      <c r="P185" s="228"/>
      <c r="Q185" s="2357"/>
      <c r="R185" s="258"/>
      <c r="S185" s="2381"/>
      <c r="T185" s="2381"/>
      <c r="U185" s="254"/>
      <c r="V185" s="228"/>
      <c r="W185" s="2357"/>
      <c r="X185" s="256"/>
      <c r="Y185" s="248"/>
      <c r="Z185" s="248"/>
      <c r="AA185" s="248"/>
      <c r="AB185" s="247"/>
      <c r="AC185" s="248"/>
      <c r="AD185" s="248"/>
      <c r="AE185" s="194"/>
      <c r="AF185" s="249"/>
      <c r="AG185" s="250"/>
      <c r="AH185" s="251"/>
      <c r="AI185" s="252"/>
    </row>
    <row r="186" spans="2:35">
      <c r="B186" s="253">
        <f t="shared" si="9"/>
        <v>177</v>
      </c>
      <c r="C186" s="244"/>
      <c r="D186" s="654"/>
      <c r="E186" s="466"/>
      <c r="F186" s="612"/>
      <c r="G186" s="2973"/>
      <c r="H186" s="230"/>
      <c r="I186" s="230"/>
      <c r="J186" s="230"/>
      <c r="K186" s="230"/>
      <c r="L186" s="230"/>
      <c r="M186" s="228"/>
      <c r="N186" s="257"/>
      <c r="O186" s="228"/>
      <c r="P186" s="228"/>
      <c r="Q186" s="2357"/>
      <c r="R186" s="258"/>
      <c r="S186" s="2381"/>
      <c r="T186" s="2381"/>
      <c r="U186" s="254"/>
      <c r="V186" s="228"/>
      <c r="W186" s="2357"/>
      <c r="X186" s="256"/>
      <c r="Y186" s="248"/>
      <c r="Z186" s="248"/>
      <c r="AA186" s="248"/>
      <c r="AB186" s="247"/>
      <c r="AC186" s="248"/>
      <c r="AD186" s="248"/>
      <c r="AE186" s="194"/>
      <c r="AF186" s="249"/>
      <c r="AG186" s="250"/>
      <c r="AH186" s="251"/>
      <c r="AI186" s="252"/>
    </row>
    <row r="187" spans="2:35">
      <c r="B187" s="253">
        <f t="shared" si="9"/>
        <v>178</v>
      </c>
      <c r="C187" s="244"/>
      <c r="D187" s="654"/>
      <c r="E187" s="466"/>
      <c r="F187" s="612"/>
      <c r="G187" s="2973"/>
      <c r="H187" s="230"/>
      <c r="I187" s="230"/>
      <c r="J187" s="230"/>
      <c r="K187" s="230"/>
      <c r="L187" s="230"/>
      <c r="M187" s="228"/>
      <c r="N187" s="257"/>
      <c r="O187" s="228"/>
      <c r="P187" s="228"/>
      <c r="Q187" s="2357"/>
      <c r="R187" s="258"/>
      <c r="S187" s="2381"/>
      <c r="T187" s="2381"/>
      <c r="U187" s="254"/>
      <c r="V187" s="228"/>
      <c r="W187" s="2357"/>
      <c r="X187" s="256"/>
      <c r="Y187" s="248"/>
      <c r="Z187" s="248"/>
      <c r="AA187" s="248"/>
      <c r="AB187" s="247"/>
      <c r="AC187" s="248"/>
      <c r="AD187" s="248"/>
      <c r="AE187" s="194"/>
      <c r="AF187" s="249"/>
      <c r="AG187" s="250"/>
      <c r="AH187" s="251"/>
      <c r="AI187" s="252"/>
    </row>
    <row r="188" spans="2:35">
      <c r="B188" s="253">
        <f t="shared" si="9"/>
        <v>179</v>
      </c>
      <c r="C188" s="244"/>
      <c r="D188" s="654"/>
      <c r="E188" s="466"/>
      <c r="F188" s="612"/>
      <c r="G188" s="2973"/>
      <c r="H188" s="230"/>
      <c r="I188" s="230"/>
      <c r="J188" s="230"/>
      <c r="K188" s="230"/>
      <c r="L188" s="230"/>
      <c r="M188" s="228"/>
      <c r="N188" s="257"/>
      <c r="O188" s="228"/>
      <c r="P188" s="228"/>
      <c r="Q188" s="2357"/>
      <c r="R188" s="258"/>
      <c r="S188" s="2381"/>
      <c r="T188" s="2381"/>
      <c r="U188" s="254"/>
      <c r="V188" s="228"/>
      <c r="W188" s="2357"/>
      <c r="X188" s="256"/>
      <c r="Y188" s="248"/>
      <c r="Z188" s="248"/>
      <c r="AA188" s="248"/>
      <c r="AB188" s="247"/>
      <c r="AC188" s="248"/>
      <c r="AD188" s="248"/>
      <c r="AE188" s="194"/>
      <c r="AF188" s="249"/>
      <c r="AG188" s="250"/>
      <c r="AH188" s="251"/>
      <c r="AI188" s="252"/>
    </row>
    <row r="189" spans="2:35">
      <c r="B189" s="253">
        <f t="shared" si="9"/>
        <v>180</v>
      </c>
      <c r="C189" s="244"/>
      <c r="D189" s="654"/>
      <c r="E189" s="466"/>
      <c r="F189" s="612"/>
      <c r="G189" s="2973"/>
      <c r="H189" s="230"/>
      <c r="I189" s="230"/>
      <c r="J189" s="230"/>
      <c r="K189" s="230"/>
      <c r="L189" s="230"/>
      <c r="M189" s="228"/>
      <c r="N189" s="257"/>
      <c r="O189" s="228"/>
      <c r="P189" s="228"/>
      <c r="Q189" s="2357"/>
      <c r="R189" s="258"/>
      <c r="S189" s="2381"/>
      <c r="T189" s="2381"/>
      <c r="U189" s="254"/>
      <c r="V189" s="228"/>
      <c r="W189" s="2357"/>
      <c r="X189" s="256"/>
      <c r="Y189" s="248"/>
      <c r="Z189" s="248"/>
      <c r="AA189" s="248"/>
      <c r="AB189" s="247"/>
      <c r="AC189" s="248"/>
      <c r="AD189" s="248"/>
      <c r="AE189" s="194"/>
      <c r="AF189" s="249"/>
      <c r="AG189" s="250"/>
      <c r="AH189" s="251"/>
      <c r="AI189" s="252"/>
    </row>
    <row r="190" spans="2:35">
      <c r="B190" s="253">
        <f t="shared" si="9"/>
        <v>181</v>
      </c>
      <c r="C190" s="244"/>
      <c r="D190" s="654"/>
      <c r="E190" s="466"/>
      <c r="F190" s="612"/>
      <c r="G190" s="2973"/>
      <c r="H190" s="230"/>
      <c r="I190" s="230"/>
      <c r="J190" s="230"/>
      <c r="K190" s="230"/>
      <c r="L190" s="230"/>
      <c r="M190" s="228"/>
      <c r="N190" s="257"/>
      <c r="O190" s="228"/>
      <c r="P190" s="228"/>
      <c r="Q190" s="2357"/>
      <c r="R190" s="258"/>
      <c r="S190" s="2381"/>
      <c r="T190" s="2381"/>
      <c r="U190" s="254"/>
      <c r="V190" s="228"/>
      <c r="W190" s="2357"/>
      <c r="X190" s="256"/>
      <c r="Y190" s="248"/>
      <c r="Z190" s="248"/>
      <c r="AA190" s="248"/>
      <c r="AB190" s="247"/>
      <c r="AC190" s="248"/>
      <c r="AD190" s="248"/>
      <c r="AE190" s="194"/>
      <c r="AF190" s="249"/>
      <c r="AG190" s="250"/>
      <c r="AH190" s="251"/>
      <c r="AI190" s="252"/>
    </row>
    <row r="191" spans="2:35">
      <c r="B191" s="253">
        <f t="shared" si="9"/>
        <v>182</v>
      </c>
      <c r="C191" s="244"/>
      <c r="D191" s="654"/>
      <c r="E191" s="466"/>
      <c r="F191" s="612"/>
      <c r="G191" s="2973"/>
      <c r="H191" s="230"/>
      <c r="I191" s="230"/>
      <c r="J191" s="230"/>
      <c r="K191" s="230"/>
      <c r="L191" s="230"/>
      <c r="M191" s="228"/>
      <c r="N191" s="257"/>
      <c r="O191" s="228"/>
      <c r="P191" s="228"/>
      <c r="Q191" s="2357"/>
      <c r="R191" s="258"/>
      <c r="S191" s="2381"/>
      <c r="T191" s="2381"/>
      <c r="U191" s="254"/>
      <c r="V191" s="228"/>
      <c r="W191" s="2357"/>
      <c r="X191" s="256"/>
      <c r="Y191" s="248"/>
      <c r="Z191" s="248"/>
      <c r="AA191" s="248"/>
      <c r="AB191" s="247"/>
      <c r="AC191" s="248"/>
      <c r="AD191" s="248"/>
      <c r="AE191" s="194"/>
      <c r="AF191" s="249"/>
      <c r="AG191" s="250"/>
      <c r="AH191" s="251"/>
      <c r="AI191" s="252"/>
    </row>
    <row r="192" spans="2:35">
      <c r="B192" s="253">
        <f t="shared" si="9"/>
        <v>183</v>
      </c>
      <c r="C192" s="244"/>
      <c r="D192" s="654"/>
      <c r="E192" s="466"/>
      <c r="F192" s="612"/>
      <c r="G192" s="2973"/>
      <c r="H192" s="230"/>
      <c r="I192" s="230"/>
      <c r="J192" s="230"/>
      <c r="K192" s="230"/>
      <c r="L192" s="230"/>
      <c r="M192" s="228"/>
      <c r="N192" s="257"/>
      <c r="O192" s="228"/>
      <c r="P192" s="228"/>
      <c r="Q192" s="2357"/>
      <c r="R192" s="258"/>
      <c r="S192" s="2381"/>
      <c r="T192" s="2381"/>
      <c r="U192" s="254"/>
      <c r="V192" s="228"/>
      <c r="W192" s="2357"/>
      <c r="X192" s="256"/>
      <c r="Y192" s="248"/>
      <c r="Z192" s="248"/>
      <c r="AA192" s="248"/>
      <c r="AB192" s="247"/>
      <c r="AC192" s="248"/>
      <c r="AD192" s="248"/>
      <c r="AE192" s="194"/>
      <c r="AF192" s="249"/>
      <c r="AG192" s="250"/>
      <c r="AH192" s="251"/>
      <c r="AI192" s="252"/>
    </row>
    <row r="193" spans="2:35">
      <c r="B193" s="253">
        <f t="shared" si="9"/>
        <v>184</v>
      </c>
      <c r="C193" s="244"/>
      <c r="D193" s="654"/>
      <c r="E193" s="466"/>
      <c r="F193" s="612"/>
      <c r="G193" s="2973"/>
      <c r="H193" s="230"/>
      <c r="I193" s="230"/>
      <c r="J193" s="230"/>
      <c r="K193" s="230"/>
      <c r="L193" s="230"/>
      <c r="M193" s="228"/>
      <c r="N193" s="257"/>
      <c r="O193" s="228"/>
      <c r="P193" s="228"/>
      <c r="Q193" s="2357"/>
      <c r="R193" s="258"/>
      <c r="S193" s="2381"/>
      <c r="T193" s="2381"/>
      <c r="U193" s="254"/>
      <c r="V193" s="228"/>
      <c r="W193" s="2357"/>
      <c r="X193" s="256"/>
      <c r="Y193" s="248"/>
      <c r="Z193" s="248"/>
      <c r="AA193" s="248"/>
      <c r="AB193" s="247"/>
      <c r="AC193" s="248"/>
      <c r="AD193" s="248"/>
      <c r="AE193" s="194"/>
      <c r="AF193" s="249"/>
      <c r="AG193" s="250"/>
      <c r="AH193" s="251"/>
      <c r="AI193" s="252"/>
    </row>
    <row r="194" spans="2:35">
      <c r="B194" s="253">
        <f t="shared" ref="B194:B257" si="10">+B193+1</f>
        <v>185</v>
      </c>
      <c r="C194" s="244"/>
      <c r="D194" s="654"/>
      <c r="E194" s="466"/>
      <c r="F194" s="612"/>
      <c r="G194" s="2973"/>
      <c r="H194" s="230"/>
      <c r="I194" s="230"/>
      <c r="J194" s="230"/>
      <c r="K194" s="230"/>
      <c r="L194" s="230"/>
      <c r="M194" s="228"/>
      <c r="N194" s="257"/>
      <c r="O194" s="228"/>
      <c r="P194" s="228"/>
      <c r="Q194" s="2357"/>
      <c r="R194" s="258"/>
      <c r="S194" s="2381"/>
      <c r="T194" s="2381"/>
      <c r="U194" s="254"/>
      <c r="V194" s="228"/>
      <c r="W194" s="2357"/>
      <c r="X194" s="256"/>
      <c r="Y194" s="248"/>
      <c r="Z194" s="248"/>
      <c r="AA194" s="248"/>
      <c r="AB194" s="247"/>
      <c r="AC194" s="248"/>
      <c r="AD194" s="248"/>
      <c r="AE194" s="194"/>
      <c r="AF194" s="249"/>
      <c r="AG194" s="250"/>
      <c r="AH194" s="251"/>
      <c r="AI194" s="252"/>
    </row>
    <row r="195" spans="2:35">
      <c r="B195" s="253">
        <f t="shared" si="10"/>
        <v>186</v>
      </c>
      <c r="C195" s="244"/>
      <c r="D195" s="654"/>
      <c r="E195" s="466"/>
      <c r="F195" s="612"/>
      <c r="G195" s="2973"/>
      <c r="H195" s="230"/>
      <c r="I195" s="230"/>
      <c r="J195" s="230"/>
      <c r="K195" s="230"/>
      <c r="L195" s="230"/>
      <c r="M195" s="228"/>
      <c r="N195" s="257"/>
      <c r="O195" s="228"/>
      <c r="P195" s="228"/>
      <c r="Q195" s="2357"/>
      <c r="R195" s="258"/>
      <c r="S195" s="2381"/>
      <c r="T195" s="2381"/>
      <c r="U195" s="254"/>
      <c r="V195" s="228"/>
      <c r="W195" s="2357"/>
      <c r="X195" s="256"/>
      <c r="Y195" s="248"/>
      <c r="Z195" s="248"/>
      <c r="AA195" s="248"/>
      <c r="AB195" s="247"/>
      <c r="AC195" s="248"/>
      <c r="AD195" s="248"/>
      <c r="AE195" s="194"/>
      <c r="AF195" s="249"/>
      <c r="AG195" s="250"/>
      <c r="AH195" s="251"/>
      <c r="AI195" s="252"/>
    </row>
    <row r="196" spans="2:35">
      <c r="B196" s="253">
        <f t="shared" si="10"/>
        <v>187</v>
      </c>
      <c r="C196" s="244"/>
      <c r="D196" s="654"/>
      <c r="E196" s="466"/>
      <c r="F196" s="612"/>
      <c r="G196" s="2973"/>
      <c r="H196" s="230"/>
      <c r="I196" s="230"/>
      <c r="J196" s="230"/>
      <c r="K196" s="230"/>
      <c r="L196" s="230"/>
      <c r="M196" s="228"/>
      <c r="N196" s="257"/>
      <c r="O196" s="228"/>
      <c r="P196" s="228"/>
      <c r="Q196" s="2357"/>
      <c r="R196" s="258"/>
      <c r="S196" s="2381"/>
      <c r="T196" s="2381"/>
      <c r="U196" s="254"/>
      <c r="V196" s="228"/>
      <c r="W196" s="2357"/>
      <c r="X196" s="256"/>
      <c r="Y196" s="248"/>
      <c r="Z196" s="248"/>
      <c r="AA196" s="248"/>
      <c r="AB196" s="247"/>
      <c r="AC196" s="248"/>
      <c r="AD196" s="248"/>
      <c r="AE196" s="194"/>
      <c r="AF196" s="249"/>
      <c r="AG196" s="250"/>
      <c r="AH196" s="251"/>
      <c r="AI196" s="252"/>
    </row>
    <row r="197" spans="2:35">
      <c r="B197" s="253">
        <f t="shared" si="10"/>
        <v>188</v>
      </c>
      <c r="C197" s="244"/>
      <c r="D197" s="654"/>
      <c r="E197" s="466"/>
      <c r="F197" s="612"/>
      <c r="G197" s="2973"/>
      <c r="H197" s="230"/>
      <c r="I197" s="230"/>
      <c r="J197" s="230"/>
      <c r="K197" s="230"/>
      <c r="L197" s="230"/>
      <c r="M197" s="228"/>
      <c r="N197" s="257"/>
      <c r="O197" s="228"/>
      <c r="P197" s="228"/>
      <c r="Q197" s="2357"/>
      <c r="R197" s="258"/>
      <c r="S197" s="2381"/>
      <c r="T197" s="2381"/>
      <c r="U197" s="254"/>
      <c r="V197" s="228"/>
      <c r="W197" s="2357"/>
      <c r="X197" s="256"/>
      <c r="Y197" s="248"/>
      <c r="Z197" s="248"/>
      <c r="AA197" s="248"/>
      <c r="AB197" s="247"/>
      <c r="AC197" s="248"/>
      <c r="AD197" s="248"/>
      <c r="AE197" s="194"/>
      <c r="AF197" s="249"/>
      <c r="AG197" s="250"/>
      <c r="AH197" s="251"/>
      <c r="AI197" s="252"/>
    </row>
    <row r="198" spans="2:35">
      <c r="B198" s="253">
        <f t="shared" si="10"/>
        <v>189</v>
      </c>
      <c r="C198" s="244"/>
      <c r="D198" s="654"/>
      <c r="E198" s="466"/>
      <c r="F198" s="612"/>
      <c r="G198" s="2973"/>
      <c r="H198" s="230"/>
      <c r="I198" s="230"/>
      <c r="J198" s="230"/>
      <c r="K198" s="230"/>
      <c r="L198" s="230"/>
      <c r="M198" s="228"/>
      <c r="N198" s="257"/>
      <c r="O198" s="228"/>
      <c r="P198" s="228"/>
      <c r="Q198" s="2357"/>
      <c r="R198" s="258"/>
      <c r="S198" s="2381"/>
      <c r="T198" s="2381"/>
      <c r="U198" s="254"/>
      <c r="V198" s="228"/>
      <c r="W198" s="2357"/>
      <c r="X198" s="256"/>
      <c r="Y198" s="248"/>
      <c r="Z198" s="248"/>
      <c r="AA198" s="248"/>
      <c r="AB198" s="247"/>
      <c r="AC198" s="248"/>
      <c r="AD198" s="248"/>
      <c r="AE198" s="194"/>
      <c r="AF198" s="249"/>
      <c r="AG198" s="250"/>
      <c r="AH198" s="251"/>
      <c r="AI198" s="252"/>
    </row>
    <row r="199" spans="2:35">
      <c r="B199" s="253">
        <f t="shared" si="10"/>
        <v>190</v>
      </c>
      <c r="C199" s="244"/>
      <c r="D199" s="654"/>
      <c r="E199" s="466"/>
      <c r="F199" s="612"/>
      <c r="G199" s="2973"/>
      <c r="H199" s="230"/>
      <c r="I199" s="230"/>
      <c r="J199" s="230"/>
      <c r="K199" s="230"/>
      <c r="L199" s="230"/>
      <c r="M199" s="228"/>
      <c r="N199" s="257"/>
      <c r="O199" s="228"/>
      <c r="P199" s="228"/>
      <c r="Q199" s="2357"/>
      <c r="R199" s="258"/>
      <c r="S199" s="2381"/>
      <c r="T199" s="2381"/>
      <c r="U199" s="254"/>
      <c r="V199" s="228"/>
      <c r="W199" s="2357"/>
      <c r="X199" s="256"/>
      <c r="Y199" s="248"/>
      <c r="Z199" s="248"/>
      <c r="AA199" s="248"/>
      <c r="AB199" s="247"/>
      <c r="AC199" s="248"/>
      <c r="AD199" s="248"/>
      <c r="AE199" s="194"/>
      <c r="AF199" s="249"/>
      <c r="AG199" s="250"/>
      <c r="AH199" s="251"/>
      <c r="AI199" s="252"/>
    </row>
    <row r="200" spans="2:35">
      <c r="B200" s="253">
        <f t="shared" si="10"/>
        <v>191</v>
      </c>
      <c r="C200" s="244"/>
      <c r="D200" s="654"/>
      <c r="E200" s="466"/>
      <c r="F200" s="612"/>
      <c r="G200" s="2973"/>
      <c r="H200" s="230"/>
      <c r="I200" s="230"/>
      <c r="J200" s="230"/>
      <c r="K200" s="230"/>
      <c r="L200" s="230"/>
      <c r="M200" s="228"/>
      <c r="N200" s="257"/>
      <c r="O200" s="228"/>
      <c r="P200" s="228"/>
      <c r="Q200" s="2357"/>
      <c r="R200" s="258"/>
      <c r="S200" s="2381"/>
      <c r="T200" s="2381"/>
      <c r="U200" s="254"/>
      <c r="V200" s="228"/>
      <c r="W200" s="2357"/>
      <c r="X200" s="256"/>
      <c r="Y200" s="248"/>
      <c r="Z200" s="248"/>
      <c r="AA200" s="248"/>
      <c r="AB200" s="247"/>
      <c r="AC200" s="248"/>
      <c r="AD200" s="248"/>
      <c r="AE200" s="194"/>
      <c r="AF200" s="249"/>
      <c r="AG200" s="250"/>
      <c r="AH200" s="251"/>
      <c r="AI200" s="252"/>
    </row>
    <row r="201" spans="2:35">
      <c r="B201" s="253">
        <f t="shared" si="10"/>
        <v>192</v>
      </c>
      <c r="C201" s="244"/>
      <c r="D201" s="654"/>
      <c r="E201" s="466"/>
      <c r="F201" s="612"/>
      <c r="G201" s="2973"/>
      <c r="H201" s="230"/>
      <c r="I201" s="230"/>
      <c r="J201" s="230"/>
      <c r="K201" s="230"/>
      <c r="L201" s="230"/>
      <c r="M201" s="228"/>
      <c r="N201" s="257"/>
      <c r="O201" s="228"/>
      <c r="P201" s="228"/>
      <c r="Q201" s="2357"/>
      <c r="R201" s="258"/>
      <c r="S201" s="2381"/>
      <c r="T201" s="2381"/>
      <c r="U201" s="254"/>
      <c r="V201" s="228"/>
      <c r="W201" s="2357"/>
      <c r="X201" s="256"/>
      <c r="Y201" s="248"/>
      <c r="Z201" s="248"/>
      <c r="AA201" s="248"/>
      <c r="AB201" s="247"/>
      <c r="AC201" s="248"/>
      <c r="AD201" s="248"/>
      <c r="AE201" s="194"/>
      <c r="AF201" s="249"/>
      <c r="AG201" s="250"/>
      <c r="AH201" s="251"/>
      <c r="AI201" s="252"/>
    </row>
    <row r="202" spans="2:35">
      <c r="B202" s="253">
        <f t="shared" si="10"/>
        <v>193</v>
      </c>
      <c r="C202" s="244"/>
      <c r="D202" s="654"/>
      <c r="E202" s="466"/>
      <c r="F202" s="612"/>
      <c r="G202" s="2973"/>
      <c r="H202" s="230"/>
      <c r="I202" s="230"/>
      <c r="J202" s="230"/>
      <c r="K202" s="230"/>
      <c r="L202" s="230"/>
      <c r="M202" s="228"/>
      <c r="N202" s="257"/>
      <c r="O202" s="228"/>
      <c r="P202" s="228"/>
      <c r="Q202" s="2357"/>
      <c r="R202" s="258"/>
      <c r="S202" s="2381"/>
      <c r="T202" s="2381"/>
      <c r="U202" s="254"/>
      <c r="V202" s="228"/>
      <c r="W202" s="2357"/>
      <c r="X202" s="256"/>
      <c r="Y202" s="248"/>
      <c r="Z202" s="248"/>
      <c r="AA202" s="248"/>
      <c r="AB202" s="247"/>
      <c r="AC202" s="248"/>
      <c r="AD202" s="248"/>
      <c r="AE202" s="194"/>
      <c r="AF202" s="249"/>
      <c r="AG202" s="250"/>
      <c r="AH202" s="251"/>
      <c r="AI202" s="252"/>
    </row>
    <row r="203" spans="2:35">
      <c r="B203" s="253">
        <f t="shared" si="10"/>
        <v>194</v>
      </c>
      <c r="C203" s="244"/>
      <c r="D203" s="654"/>
      <c r="E203" s="466"/>
      <c r="F203" s="612"/>
      <c r="G203" s="2973"/>
      <c r="H203" s="230"/>
      <c r="I203" s="230"/>
      <c r="J203" s="230"/>
      <c r="K203" s="230"/>
      <c r="L203" s="230"/>
      <c r="M203" s="228"/>
      <c r="N203" s="257"/>
      <c r="O203" s="228"/>
      <c r="P203" s="228"/>
      <c r="Q203" s="2357"/>
      <c r="R203" s="258"/>
      <c r="S203" s="2381"/>
      <c r="T203" s="2381"/>
      <c r="U203" s="254"/>
      <c r="V203" s="228"/>
      <c r="W203" s="2357"/>
      <c r="X203" s="256"/>
      <c r="Y203" s="248"/>
      <c r="Z203" s="248"/>
      <c r="AA203" s="248"/>
      <c r="AB203" s="247"/>
      <c r="AC203" s="248"/>
      <c r="AD203" s="248"/>
      <c r="AE203" s="194"/>
      <c r="AF203" s="249"/>
      <c r="AG203" s="250"/>
      <c r="AH203" s="251"/>
      <c r="AI203" s="252"/>
    </row>
    <row r="204" spans="2:35">
      <c r="B204" s="253">
        <f t="shared" si="10"/>
        <v>195</v>
      </c>
      <c r="C204" s="244"/>
      <c r="D204" s="654"/>
      <c r="E204" s="466"/>
      <c r="F204" s="612"/>
      <c r="G204" s="2973"/>
      <c r="H204" s="230"/>
      <c r="I204" s="230"/>
      <c r="J204" s="230"/>
      <c r="K204" s="230"/>
      <c r="L204" s="230"/>
      <c r="M204" s="228"/>
      <c r="N204" s="257"/>
      <c r="O204" s="228"/>
      <c r="P204" s="228"/>
      <c r="Q204" s="2357"/>
      <c r="R204" s="258"/>
      <c r="S204" s="2381"/>
      <c r="T204" s="2381"/>
      <c r="U204" s="254"/>
      <c r="V204" s="228"/>
      <c r="W204" s="2357"/>
      <c r="X204" s="256"/>
      <c r="Y204" s="248"/>
      <c r="Z204" s="248"/>
      <c r="AA204" s="248"/>
      <c r="AB204" s="247"/>
      <c r="AC204" s="248"/>
      <c r="AD204" s="248"/>
      <c r="AE204" s="194"/>
      <c r="AF204" s="249"/>
      <c r="AG204" s="250"/>
      <c r="AH204" s="251"/>
      <c r="AI204" s="252"/>
    </row>
    <row r="205" spans="2:35">
      <c r="B205" s="253">
        <f t="shared" si="10"/>
        <v>196</v>
      </c>
      <c r="C205" s="244"/>
      <c r="D205" s="654"/>
      <c r="E205" s="466"/>
      <c r="F205" s="612"/>
      <c r="G205" s="2973"/>
      <c r="H205" s="230"/>
      <c r="I205" s="230"/>
      <c r="J205" s="230"/>
      <c r="K205" s="230"/>
      <c r="L205" s="230"/>
      <c r="M205" s="228"/>
      <c r="N205" s="257"/>
      <c r="O205" s="228"/>
      <c r="P205" s="228"/>
      <c r="Q205" s="2357"/>
      <c r="R205" s="258"/>
      <c r="S205" s="2381"/>
      <c r="T205" s="2381"/>
      <c r="U205" s="254"/>
      <c r="V205" s="228"/>
      <c r="W205" s="2357"/>
      <c r="X205" s="256"/>
      <c r="Y205" s="248"/>
      <c r="Z205" s="248"/>
      <c r="AA205" s="248"/>
      <c r="AB205" s="247"/>
      <c r="AC205" s="248"/>
      <c r="AD205" s="248"/>
      <c r="AE205" s="194"/>
      <c r="AF205" s="249"/>
      <c r="AG205" s="250"/>
      <c r="AH205" s="251"/>
      <c r="AI205" s="252"/>
    </row>
    <row r="206" spans="2:35">
      <c r="B206" s="253">
        <f t="shared" si="10"/>
        <v>197</v>
      </c>
      <c r="C206" s="244"/>
      <c r="D206" s="654"/>
      <c r="E206" s="466"/>
      <c r="F206" s="612"/>
      <c r="G206" s="2973"/>
      <c r="H206" s="230"/>
      <c r="I206" s="230"/>
      <c r="J206" s="230"/>
      <c r="K206" s="230"/>
      <c r="L206" s="230"/>
      <c r="M206" s="228"/>
      <c r="N206" s="257"/>
      <c r="O206" s="228"/>
      <c r="P206" s="228"/>
      <c r="Q206" s="2357"/>
      <c r="R206" s="258"/>
      <c r="S206" s="2381"/>
      <c r="T206" s="2381"/>
      <c r="U206" s="254"/>
      <c r="V206" s="228"/>
      <c r="W206" s="2357"/>
      <c r="X206" s="256"/>
      <c r="Y206" s="248"/>
      <c r="Z206" s="248"/>
      <c r="AA206" s="248"/>
      <c r="AB206" s="247"/>
      <c r="AC206" s="248"/>
      <c r="AD206" s="248"/>
      <c r="AE206" s="194"/>
      <c r="AF206" s="249"/>
      <c r="AG206" s="250"/>
      <c r="AH206" s="251"/>
      <c r="AI206" s="252"/>
    </row>
    <row r="207" spans="2:35">
      <c r="B207" s="253">
        <f t="shared" si="10"/>
        <v>198</v>
      </c>
      <c r="C207" s="244"/>
      <c r="D207" s="654"/>
      <c r="E207" s="466"/>
      <c r="F207" s="612"/>
      <c r="G207" s="2973"/>
      <c r="H207" s="230"/>
      <c r="I207" s="230"/>
      <c r="J207" s="230"/>
      <c r="K207" s="230"/>
      <c r="L207" s="230"/>
      <c r="M207" s="228"/>
      <c r="N207" s="257"/>
      <c r="O207" s="228"/>
      <c r="P207" s="228"/>
      <c r="Q207" s="2357"/>
      <c r="R207" s="258"/>
      <c r="S207" s="2381"/>
      <c r="T207" s="2381"/>
      <c r="U207" s="254"/>
      <c r="V207" s="228"/>
      <c r="W207" s="2357"/>
      <c r="X207" s="256"/>
      <c r="Y207" s="248"/>
      <c r="Z207" s="248"/>
      <c r="AA207" s="248"/>
      <c r="AB207" s="247"/>
      <c r="AC207" s="248"/>
      <c r="AD207" s="248"/>
      <c r="AE207" s="194"/>
      <c r="AF207" s="249"/>
      <c r="AG207" s="250"/>
      <c r="AH207" s="251"/>
      <c r="AI207" s="252"/>
    </row>
    <row r="208" spans="2:35">
      <c r="B208" s="253">
        <f t="shared" si="10"/>
        <v>199</v>
      </c>
      <c r="C208" s="244"/>
      <c r="D208" s="654"/>
      <c r="E208" s="466"/>
      <c r="F208" s="612"/>
      <c r="G208" s="2973"/>
      <c r="H208" s="230"/>
      <c r="I208" s="230"/>
      <c r="J208" s="230"/>
      <c r="K208" s="230"/>
      <c r="L208" s="230"/>
      <c r="M208" s="228"/>
      <c r="N208" s="257"/>
      <c r="O208" s="228"/>
      <c r="P208" s="228"/>
      <c r="Q208" s="2357"/>
      <c r="R208" s="258"/>
      <c r="S208" s="2381"/>
      <c r="T208" s="2381"/>
      <c r="U208" s="254"/>
      <c r="V208" s="228"/>
      <c r="W208" s="2357"/>
      <c r="X208" s="256"/>
      <c r="Y208" s="248"/>
      <c r="Z208" s="248"/>
      <c r="AA208" s="248"/>
      <c r="AB208" s="247"/>
      <c r="AC208" s="248"/>
      <c r="AD208" s="248"/>
      <c r="AE208" s="194"/>
      <c r="AF208" s="249"/>
      <c r="AG208" s="250"/>
      <c r="AH208" s="251"/>
      <c r="AI208" s="252"/>
    </row>
    <row r="209" spans="2:35">
      <c r="B209" s="253">
        <f t="shared" si="10"/>
        <v>200</v>
      </c>
      <c r="C209" s="244"/>
      <c r="D209" s="654"/>
      <c r="E209" s="466"/>
      <c r="F209" s="612"/>
      <c r="G209" s="2973"/>
      <c r="H209" s="230"/>
      <c r="I209" s="230"/>
      <c r="J209" s="230"/>
      <c r="K209" s="230"/>
      <c r="L209" s="230"/>
      <c r="M209" s="228"/>
      <c r="N209" s="257"/>
      <c r="O209" s="228"/>
      <c r="P209" s="228"/>
      <c r="Q209" s="2357"/>
      <c r="R209" s="258"/>
      <c r="S209" s="2381"/>
      <c r="T209" s="2381"/>
      <c r="U209" s="254"/>
      <c r="V209" s="228"/>
      <c r="W209" s="2357"/>
      <c r="X209" s="256"/>
      <c r="Y209" s="248"/>
      <c r="Z209" s="248"/>
      <c r="AA209" s="248"/>
      <c r="AB209" s="247"/>
      <c r="AC209" s="248"/>
      <c r="AD209" s="248"/>
      <c r="AE209" s="194"/>
      <c r="AF209" s="249"/>
      <c r="AG209" s="250"/>
      <c r="AH209" s="251"/>
      <c r="AI209" s="252"/>
    </row>
    <row r="210" spans="2:35">
      <c r="B210" s="253">
        <f t="shared" si="10"/>
        <v>201</v>
      </c>
      <c r="C210" s="244"/>
      <c r="D210" s="654"/>
      <c r="E210" s="466"/>
      <c r="F210" s="612"/>
      <c r="G210" s="2973"/>
      <c r="H210" s="230"/>
      <c r="I210" s="230"/>
      <c r="J210" s="230"/>
      <c r="K210" s="230"/>
      <c r="L210" s="230"/>
      <c r="M210" s="228"/>
      <c r="N210" s="257"/>
      <c r="O210" s="228"/>
      <c r="P210" s="228"/>
      <c r="Q210" s="2357"/>
      <c r="R210" s="258"/>
      <c r="S210" s="2381"/>
      <c r="T210" s="2381"/>
      <c r="U210" s="254"/>
      <c r="V210" s="228"/>
      <c r="W210" s="2357"/>
      <c r="X210" s="256"/>
      <c r="Y210" s="248"/>
      <c r="Z210" s="248"/>
      <c r="AA210" s="248"/>
      <c r="AB210" s="247"/>
      <c r="AC210" s="248"/>
      <c r="AD210" s="248"/>
      <c r="AE210" s="194"/>
      <c r="AF210" s="249"/>
      <c r="AG210" s="250"/>
      <c r="AH210" s="251"/>
      <c r="AI210" s="252"/>
    </row>
    <row r="211" spans="2:35">
      <c r="B211" s="253">
        <f t="shared" si="10"/>
        <v>202</v>
      </c>
      <c r="C211" s="244"/>
      <c r="D211" s="654"/>
      <c r="E211" s="466"/>
      <c r="F211" s="612"/>
      <c r="G211" s="2973"/>
      <c r="H211" s="230"/>
      <c r="I211" s="230"/>
      <c r="J211" s="230"/>
      <c r="K211" s="230"/>
      <c r="L211" s="230"/>
      <c r="M211" s="228"/>
      <c r="N211" s="257"/>
      <c r="O211" s="228"/>
      <c r="P211" s="228"/>
      <c r="Q211" s="2357"/>
      <c r="R211" s="258"/>
      <c r="S211" s="2381"/>
      <c r="T211" s="2381"/>
      <c r="U211" s="254"/>
      <c r="V211" s="228"/>
      <c r="W211" s="2357"/>
      <c r="X211" s="256"/>
      <c r="Y211" s="248"/>
      <c r="Z211" s="248"/>
      <c r="AA211" s="248"/>
      <c r="AB211" s="247"/>
      <c r="AC211" s="248"/>
      <c r="AD211" s="248"/>
      <c r="AE211" s="194"/>
      <c r="AF211" s="249"/>
      <c r="AG211" s="250"/>
      <c r="AH211" s="251"/>
      <c r="AI211" s="252"/>
    </row>
    <row r="212" spans="2:35">
      <c r="B212" s="253">
        <f t="shared" si="10"/>
        <v>203</v>
      </c>
      <c r="C212" s="244"/>
      <c r="D212" s="654"/>
      <c r="E212" s="466"/>
      <c r="F212" s="612"/>
      <c r="G212" s="2973"/>
      <c r="H212" s="230"/>
      <c r="I212" s="230"/>
      <c r="J212" s="230"/>
      <c r="K212" s="230"/>
      <c r="L212" s="230"/>
      <c r="M212" s="228"/>
      <c r="N212" s="257"/>
      <c r="O212" s="228"/>
      <c r="P212" s="228"/>
      <c r="Q212" s="2357"/>
      <c r="R212" s="258"/>
      <c r="S212" s="2381"/>
      <c r="T212" s="2381"/>
      <c r="U212" s="254"/>
      <c r="V212" s="228"/>
      <c r="W212" s="2357"/>
      <c r="X212" s="256"/>
      <c r="Y212" s="248"/>
      <c r="Z212" s="248"/>
      <c r="AA212" s="248"/>
      <c r="AB212" s="247"/>
      <c r="AC212" s="248"/>
      <c r="AD212" s="248"/>
      <c r="AE212" s="194"/>
      <c r="AF212" s="249"/>
      <c r="AG212" s="250"/>
      <c r="AH212" s="251"/>
      <c r="AI212" s="252"/>
    </row>
    <row r="213" spans="2:35">
      <c r="B213" s="253">
        <f t="shared" si="10"/>
        <v>204</v>
      </c>
      <c r="C213" s="244"/>
      <c r="D213" s="654"/>
      <c r="E213" s="466"/>
      <c r="F213" s="612"/>
      <c r="G213" s="2973"/>
      <c r="H213" s="230"/>
      <c r="I213" s="230"/>
      <c r="J213" s="230"/>
      <c r="K213" s="230"/>
      <c r="L213" s="230"/>
      <c r="M213" s="228"/>
      <c r="N213" s="257"/>
      <c r="O213" s="228"/>
      <c r="P213" s="228"/>
      <c r="Q213" s="2357"/>
      <c r="R213" s="258"/>
      <c r="S213" s="2381"/>
      <c r="T213" s="2381"/>
      <c r="U213" s="254"/>
      <c r="V213" s="228"/>
      <c r="W213" s="2357"/>
      <c r="X213" s="256"/>
      <c r="Y213" s="248"/>
      <c r="Z213" s="248"/>
      <c r="AA213" s="248"/>
      <c r="AB213" s="247"/>
      <c r="AC213" s="248"/>
      <c r="AD213" s="248"/>
      <c r="AE213" s="194"/>
      <c r="AF213" s="249"/>
      <c r="AG213" s="250"/>
      <c r="AH213" s="251"/>
      <c r="AI213" s="252"/>
    </row>
    <row r="214" spans="2:35">
      <c r="B214" s="253">
        <f t="shared" si="10"/>
        <v>205</v>
      </c>
      <c r="C214" s="244"/>
      <c r="D214" s="654"/>
      <c r="E214" s="466"/>
      <c r="F214" s="612"/>
      <c r="G214" s="2973"/>
      <c r="H214" s="230"/>
      <c r="I214" s="230"/>
      <c r="J214" s="230"/>
      <c r="K214" s="230"/>
      <c r="L214" s="230"/>
      <c r="M214" s="228"/>
      <c r="N214" s="257"/>
      <c r="O214" s="228"/>
      <c r="P214" s="228"/>
      <c r="Q214" s="2357"/>
      <c r="R214" s="258"/>
      <c r="S214" s="2381"/>
      <c r="T214" s="2381"/>
      <c r="U214" s="254"/>
      <c r="V214" s="228"/>
      <c r="W214" s="2357"/>
      <c r="X214" s="256"/>
      <c r="Y214" s="248"/>
      <c r="Z214" s="248"/>
      <c r="AA214" s="248"/>
      <c r="AB214" s="247"/>
      <c r="AC214" s="248"/>
      <c r="AD214" s="248"/>
      <c r="AE214" s="194"/>
      <c r="AF214" s="249"/>
      <c r="AG214" s="250"/>
      <c r="AH214" s="251"/>
      <c r="AI214" s="252"/>
    </row>
    <row r="215" spans="2:35">
      <c r="B215" s="253">
        <f t="shared" si="10"/>
        <v>206</v>
      </c>
      <c r="C215" s="244"/>
      <c r="D215" s="654"/>
      <c r="E215" s="466"/>
      <c r="F215" s="612"/>
      <c r="G215" s="2973"/>
      <c r="H215" s="230"/>
      <c r="I215" s="230"/>
      <c r="J215" s="230"/>
      <c r="K215" s="230"/>
      <c r="L215" s="230"/>
      <c r="M215" s="228"/>
      <c r="N215" s="257"/>
      <c r="O215" s="228"/>
      <c r="P215" s="228"/>
      <c r="Q215" s="2357"/>
      <c r="R215" s="258"/>
      <c r="S215" s="2381"/>
      <c r="T215" s="2381"/>
      <c r="U215" s="254"/>
      <c r="V215" s="228"/>
      <c r="W215" s="2357"/>
      <c r="X215" s="256"/>
      <c r="Y215" s="248"/>
      <c r="Z215" s="248"/>
      <c r="AA215" s="248"/>
      <c r="AB215" s="247"/>
      <c r="AC215" s="248"/>
      <c r="AD215" s="248"/>
      <c r="AE215" s="194"/>
      <c r="AF215" s="249"/>
      <c r="AG215" s="250"/>
      <c r="AH215" s="251"/>
      <c r="AI215" s="252"/>
    </row>
    <row r="216" spans="2:35">
      <c r="B216" s="253">
        <f t="shared" si="10"/>
        <v>207</v>
      </c>
      <c r="C216" s="244"/>
      <c r="D216" s="654"/>
      <c r="E216" s="466"/>
      <c r="F216" s="612"/>
      <c r="G216" s="2973"/>
      <c r="H216" s="230"/>
      <c r="I216" s="230"/>
      <c r="J216" s="230"/>
      <c r="K216" s="230"/>
      <c r="L216" s="230"/>
      <c r="M216" s="228"/>
      <c r="N216" s="257"/>
      <c r="O216" s="228"/>
      <c r="P216" s="228"/>
      <c r="Q216" s="2357"/>
      <c r="R216" s="258"/>
      <c r="S216" s="2381"/>
      <c r="T216" s="2381"/>
      <c r="U216" s="254"/>
      <c r="V216" s="228"/>
      <c r="W216" s="2357"/>
      <c r="X216" s="256"/>
      <c r="Y216" s="248"/>
      <c r="Z216" s="248"/>
      <c r="AA216" s="248"/>
      <c r="AB216" s="247"/>
      <c r="AC216" s="248"/>
      <c r="AD216" s="248"/>
      <c r="AE216" s="194"/>
      <c r="AF216" s="249"/>
      <c r="AG216" s="250"/>
      <c r="AH216" s="251"/>
      <c r="AI216" s="252"/>
    </row>
    <row r="217" spans="2:35">
      <c r="B217" s="253">
        <f t="shared" si="10"/>
        <v>208</v>
      </c>
      <c r="C217" s="244"/>
      <c r="D217" s="654"/>
      <c r="E217" s="466"/>
      <c r="F217" s="612"/>
      <c r="G217" s="2973"/>
      <c r="H217" s="230"/>
      <c r="I217" s="230"/>
      <c r="J217" s="230"/>
      <c r="K217" s="230"/>
      <c r="L217" s="230"/>
      <c r="M217" s="228"/>
      <c r="N217" s="257"/>
      <c r="O217" s="228"/>
      <c r="P217" s="228"/>
      <c r="Q217" s="2357"/>
      <c r="R217" s="258"/>
      <c r="S217" s="2381"/>
      <c r="T217" s="2381"/>
      <c r="U217" s="254"/>
      <c r="V217" s="228"/>
      <c r="W217" s="2357"/>
      <c r="X217" s="256"/>
      <c r="Y217" s="248"/>
      <c r="Z217" s="248"/>
      <c r="AA217" s="248"/>
      <c r="AB217" s="247"/>
      <c r="AC217" s="248"/>
      <c r="AD217" s="248"/>
      <c r="AE217" s="194"/>
      <c r="AF217" s="249"/>
      <c r="AG217" s="250"/>
      <c r="AH217" s="251"/>
      <c r="AI217" s="252"/>
    </row>
    <row r="218" spans="2:35">
      <c r="B218" s="253">
        <f t="shared" si="10"/>
        <v>209</v>
      </c>
      <c r="C218" s="244"/>
      <c r="D218" s="654"/>
      <c r="E218" s="466"/>
      <c r="F218" s="612"/>
      <c r="G218" s="2973"/>
      <c r="H218" s="230"/>
      <c r="I218" s="230"/>
      <c r="J218" s="230"/>
      <c r="K218" s="230"/>
      <c r="L218" s="230"/>
      <c r="M218" s="228"/>
      <c r="N218" s="257"/>
      <c r="O218" s="228"/>
      <c r="P218" s="228"/>
      <c r="Q218" s="2357"/>
      <c r="R218" s="258"/>
      <c r="S218" s="2381"/>
      <c r="T218" s="2381"/>
      <c r="U218" s="254"/>
      <c r="V218" s="228"/>
      <c r="W218" s="2357"/>
      <c r="X218" s="256"/>
      <c r="Y218" s="248"/>
      <c r="Z218" s="248"/>
      <c r="AA218" s="248"/>
      <c r="AB218" s="247"/>
      <c r="AC218" s="248"/>
      <c r="AD218" s="248"/>
      <c r="AE218" s="194"/>
      <c r="AF218" s="249"/>
      <c r="AG218" s="250"/>
      <c r="AH218" s="251"/>
      <c r="AI218" s="252"/>
    </row>
    <row r="219" spans="2:35">
      <c r="B219" s="253">
        <f t="shared" si="10"/>
        <v>210</v>
      </c>
      <c r="C219" s="244"/>
      <c r="D219" s="654"/>
      <c r="E219" s="466"/>
      <c r="F219" s="612"/>
      <c r="G219" s="2973"/>
      <c r="H219" s="230"/>
      <c r="I219" s="230"/>
      <c r="J219" s="230"/>
      <c r="K219" s="230"/>
      <c r="L219" s="230"/>
      <c r="M219" s="228"/>
      <c r="N219" s="257"/>
      <c r="O219" s="228"/>
      <c r="P219" s="228"/>
      <c r="Q219" s="2357"/>
      <c r="R219" s="258"/>
      <c r="S219" s="2381"/>
      <c r="T219" s="2381"/>
      <c r="U219" s="254"/>
      <c r="V219" s="228"/>
      <c r="W219" s="2357"/>
      <c r="X219" s="256"/>
      <c r="Y219" s="248"/>
      <c r="Z219" s="248"/>
      <c r="AA219" s="248"/>
      <c r="AB219" s="247"/>
      <c r="AC219" s="248"/>
      <c r="AD219" s="248"/>
      <c r="AE219" s="194"/>
      <c r="AF219" s="249"/>
      <c r="AG219" s="250"/>
      <c r="AH219" s="251"/>
      <c r="AI219" s="252"/>
    </row>
    <row r="220" spans="2:35">
      <c r="B220" s="253">
        <f t="shared" si="10"/>
        <v>211</v>
      </c>
      <c r="C220" s="244"/>
      <c r="D220" s="654"/>
      <c r="E220" s="466"/>
      <c r="F220" s="612"/>
      <c r="G220" s="2973"/>
      <c r="H220" s="230"/>
      <c r="I220" s="230"/>
      <c r="J220" s="230"/>
      <c r="K220" s="230"/>
      <c r="L220" s="230"/>
      <c r="M220" s="228"/>
      <c r="N220" s="257"/>
      <c r="O220" s="228"/>
      <c r="P220" s="228"/>
      <c r="Q220" s="2357"/>
      <c r="R220" s="258"/>
      <c r="S220" s="2381"/>
      <c r="T220" s="2381"/>
      <c r="U220" s="254"/>
      <c r="V220" s="228"/>
      <c r="W220" s="2357"/>
      <c r="X220" s="256"/>
      <c r="Y220" s="248"/>
      <c r="Z220" s="248"/>
      <c r="AA220" s="248"/>
      <c r="AB220" s="247"/>
      <c r="AC220" s="248"/>
      <c r="AD220" s="248"/>
      <c r="AE220" s="194"/>
      <c r="AF220" s="249"/>
      <c r="AG220" s="250"/>
      <c r="AH220" s="251"/>
      <c r="AI220" s="252"/>
    </row>
    <row r="221" spans="2:35">
      <c r="B221" s="253">
        <f t="shared" si="10"/>
        <v>212</v>
      </c>
      <c r="C221" s="244"/>
      <c r="D221" s="654"/>
      <c r="E221" s="466"/>
      <c r="F221" s="612"/>
      <c r="G221" s="2973"/>
      <c r="H221" s="230"/>
      <c r="I221" s="230"/>
      <c r="J221" s="230"/>
      <c r="K221" s="230"/>
      <c r="L221" s="230"/>
      <c r="M221" s="228"/>
      <c r="N221" s="257"/>
      <c r="O221" s="228"/>
      <c r="P221" s="228"/>
      <c r="Q221" s="2357"/>
      <c r="R221" s="258"/>
      <c r="S221" s="2381"/>
      <c r="T221" s="2381"/>
      <c r="U221" s="254"/>
      <c r="V221" s="228"/>
      <c r="W221" s="2357"/>
      <c r="X221" s="256"/>
      <c r="Y221" s="248"/>
      <c r="Z221" s="248"/>
      <c r="AA221" s="248"/>
      <c r="AB221" s="247"/>
      <c r="AC221" s="248"/>
      <c r="AD221" s="248"/>
      <c r="AE221" s="194"/>
      <c r="AF221" s="249"/>
      <c r="AG221" s="250"/>
      <c r="AH221" s="251"/>
      <c r="AI221" s="252"/>
    </row>
    <row r="222" spans="2:35">
      <c r="B222" s="253">
        <f t="shared" si="10"/>
        <v>213</v>
      </c>
      <c r="C222" s="244"/>
      <c r="D222" s="654"/>
      <c r="E222" s="466"/>
      <c r="F222" s="612"/>
      <c r="G222" s="2973"/>
      <c r="H222" s="230"/>
      <c r="I222" s="230"/>
      <c r="J222" s="230"/>
      <c r="K222" s="230"/>
      <c r="L222" s="230"/>
      <c r="M222" s="228"/>
      <c r="N222" s="257"/>
      <c r="O222" s="228"/>
      <c r="P222" s="228"/>
      <c r="Q222" s="2357"/>
      <c r="R222" s="258"/>
      <c r="S222" s="2381"/>
      <c r="T222" s="2381"/>
      <c r="U222" s="254"/>
      <c r="V222" s="228"/>
      <c r="W222" s="2357"/>
      <c r="X222" s="256"/>
      <c r="Y222" s="248"/>
      <c r="Z222" s="248"/>
      <c r="AA222" s="248"/>
      <c r="AB222" s="247"/>
      <c r="AC222" s="248"/>
      <c r="AD222" s="248"/>
      <c r="AE222" s="194"/>
      <c r="AF222" s="249"/>
      <c r="AG222" s="250"/>
      <c r="AH222" s="251"/>
      <c r="AI222" s="252"/>
    </row>
    <row r="223" spans="2:35">
      <c r="B223" s="253">
        <f t="shared" si="10"/>
        <v>214</v>
      </c>
      <c r="C223" s="244"/>
      <c r="D223" s="654"/>
      <c r="E223" s="466"/>
      <c r="F223" s="612"/>
      <c r="G223" s="2973"/>
      <c r="H223" s="230"/>
      <c r="I223" s="230"/>
      <c r="J223" s="230"/>
      <c r="K223" s="230"/>
      <c r="L223" s="230"/>
      <c r="M223" s="228"/>
      <c r="N223" s="257"/>
      <c r="O223" s="228"/>
      <c r="P223" s="228"/>
      <c r="Q223" s="2357"/>
      <c r="R223" s="258"/>
      <c r="S223" s="2381"/>
      <c r="T223" s="2381"/>
      <c r="U223" s="254"/>
      <c r="V223" s="228"/>
      <c r="W223" s="2357"/>
      <c r="X223" s="256"/>
      <c r="Y223" s="248"/>
      <c r="Z223" s="248"/>
      <c r="AA223" s="248"/>
      <c r="AB223" s="247"/>
      <c r="AC223" s="248"/>
      <c r="AD223" s="248"/>
      <c r="AE223" s="194"/>
      <c r="AF223" s="249"/>
      <c r="AG223" s="250"/>
      <c r="AH223" s="251"/>
      <c r="AI223" s="252"/>
    </row>
    <row r="224" spans="2:35">
      <c r="B224" s="253">
        <f t="shared" si="10"/>
        <v>215</v>
      </c>
      <c r="C224" s="244"/>
      <c r="D224" s="654"/>
      <c r="E224" s="466"/>
      <c r="F224" s="612"/>
      <c r="G224" s="2973"/>
      <c r="H224" s="230"/>
      <c r="I224" s="230"/>
      <c r="J224" s="230"/>
      <c r="K224" s="230"/>
      <c r="L224" s="230"/>
      <c r="M224" s="228"/>
      <c r="N224" s="257"/>
      <c r="O224" s="228"/>
      <c r="P224" s="228"/>
      <c r="Q224" s="2357"/>
      <c r="R224" s="258"/>
      <c r="S224" s="2381"/>
      <c r="T224" s="2381"/>
      <c r="U224" s="254"/>
      <c r="V224" s="228"/>
      <c r="W224" s="2357"/>
      <c r="X224" s="256"/>
      <c r="Y224" s="248"/>
      <c r="Z224" s="248"/>
      <c r="AA224" s="248"/>
      <c r="AB224" s="247"/>
      <c r="AC224" s="248"/>
      <c r="AD224" s="248"/>
      <c r="AE224" s="194"/>
      <c r="AF224" s="249"/>
      <c r="AG224" s="250"/>
      <c r="AH224" s="251"/>
      <c r="AI224" s="252"/>
    </row>
    <row r="225" spans="2:35">
      <c r="B225" s="253">
        <f t="shared" si="10"/>
        <v>216</v>
      </c>
      <c r="C225" s="244"/>
      <c r="D225" s="654"/>
      <c r="E225" s="466"/>
      <c r="F225" s="612"/>
      <c r="G225" s="2973"/>
      <c r="H225" s="230"/>
      <c r="I225" s="230"/>
      <c r="J225" s="230"/>
      <c r="K225" s="230"/>
      <c r="L225" s="230"/>
      <c r="M225" s="228"/>
      <c r="N225" s="257"/>
      <c r="O225" s="228"/>
      <c r="P225" s="228"/>
      <c r="Q225" s="2357"/>
      <c r="R225" s="258"/>
      <c r="S225" s="2381"/>
      <c r="T225" s="2381"/>
      <c r="U225" s="254"/>
      <c r="V225" s="228"/>
      <c r="W225" s="2357"/>
      <c r="X225" s="256"/>
      <c r="Y225" s="248"/>
      <c r="Z225" s="248"/>
      <c r="AA225" s="248"/>
      <c r="AB225" s="247"/>
      <c r="AC225" s="248"/>
      <c r="AD225" s="248"/>
      <c r="AE225" s="194"/>
      <c r="AF225" s="249"/>
      <c r="AG225" s="250"/>
      <c r="AH225" s="251"/>
      <c r="AI225" s="252"/>
    </row>
    <row r="226" spans="2:35">
      <c r="B226" s="253">
        <f t="shared" si="10"/>
        <v>217</v>
      </c>
      <c r="C226" s="244"/>
      <c r="D226" s="654"/>
      <c r="E226" s="466"/>
      <c r="F226" s="612"/>
      <c r="G226" s="2973"/>
      <c r="H226" s="230"/>
      <c r="I226" s="230"/>
      <c r="J226" s="230"/>
      <c r="K226" s="230"/>
      <c r="L226" s="230"/>
      <c r="M226" s="228"/>
      <c r="N226" s="257"/>
      <c r="O226" s="228"/>
      <c r="P226" s="228"/>
      <c r="Q226" s="2357"/>
      <c r="R226" s="258"/>
      <c r="S226" s="2381"/>
      <c r="T226" s="2381"/>
      <c r="U226" s="254"/>
      <c r="V226" s="228"/>
      <c r="W226" s="2357"/>
      <c r="X226" s="256"/>
      <c r="Y226" s="248"/>
      <c r="Z226" s="248"/>
      <c r="AA226" s="248"/>
      <c r="AB226" s="247"/>
      <c r="AC226" s="248"/>
      <c r="AD226" s="248"/>
      <c r="AE226" s="194"/>
      <c r="AF226" s="249"/>
      <c r="AG226" s="250"/>
      <c r="AH226" s="251"/>
      <c r="AI226" s="252"/>
    </row>
    <row r="227" spans="2:35">
      <c r="B227" s="253">
        <f t="shared" si="10"/>
        <v>218</v>
      </c>
      <c r="C227" s="244"/>
      <c r="D227" s="654"/>
      <c r="E227" s="466"/>
      <c r="F227" s="612"/>
      <c r="G227" s="2973"/>
      <c r="H227" s="230"/>
      <c r="I227" s="230"/>
      <c r="J227" s="230"/>
      <c r="K227" s="230"/>
      <c r="L227" s="230"/>
      <c r="M227" s="228"/>
      <c r="N227" s="257"/>
      <c r="O227" s="228"/>
      <c r="P227" s="228"/>
      <c r="Q227" s="2357"/>
      <c r="R227" s="258"/>
      <c r="S227" s="2381"/>
      <c r="T227" s="2381"/>
      <c r="U227" s="254"/>
      <c r="V227" s="228"/>
      <c r="W227" s="2357"/>
      <c r="X227" s="256"/>
      <c r="Y227" s="248"/>
      <c r="Z227" s="248"/>
      <c r="AA227" s="248"/>
      <c r="AB227" s="247"/>
      <c r="AC227" s="248"/>
      <c r="AD227" s="248"/>
      <c r="AE227" s="194"/>
      <c r="AF227" s="249"/>
      <c r="AG227" s="250"/>
      <c r="AH227" s="251"/>
      <c r="AI227" s="252"/>
    </row>
    <row r="228" spans="2:35">
      <c r="B228" s="253">
        <f t="shared" si="10"/>
        <v>219</v>
      </c>
      <c r="C228" s="244"/>
      <c r="D228" s="654"/>
      <c r="E228" s="466"/>
      <c r="F228" s="612"/>
      <c r="G228" s="2973"/>
      <c r="H228" s="230"/>
      <c r="I228" s="230"/>
      <c r="J228" s="230"/>
      <c r="K228" s="230"/>
      <c r="L228" s="230"/>
      <c r="M228" s="228"/>
      <c r="N228" s="257"/>
      <c r="O228" s="228"/>
      <c r="P228" s="228"/>
      <c r="Q228" s="2357"/>
      <c r="R228" s="258"/>
      <c r="S228" s="2381"/>
      <c r="T228" s="2381"/>
      <c r="U228" s="254"/>
      <c r="V228" s="228"/>
      <c r="W228" s="2357"/>
      <c r="X228" s="256"/>
      <c r="Y228" s="248"/>
      <c r="Z228" s="248"/>
      <c r="AA228" s="248"/>
      <c r="AB228" s="247"/>
      <c r="AC228" s="248"/>
      <c r="AD228" s="248"/>
      <c r="AE228" s="194"/>
      <c r="AF228" s="249"/>
      <c r="AG228" s="250"/>
      <c r="AH228" s="251"/>
      <c r="AI228" s="252"/>
    </row>
    <row r="229" spans="2:35">
      <c r="B229" s="253">
        <f t="shared" si="10"/>
        <v>220</v>
      </c>
      <c r="C229" s="244"/>
      <c r="D229" s="654"/>
      <c r="E229" s="466"/>
      <c r="F229" s="612"/>
      <c r="G229" s="2973"/>
      <c r="H229" s="230"/>
      <c r="I229" s="230"/>
      <c r="J229" s="230"/>
      <c r="K229" s="230"/>
      <c r="L229" s="230"/>
      <c r="M229" s="228"/>
      <c r="N229" s="257"/>
      <c r="O229" s="228"/>
      <c r="P229" s="228"/>
      <c r="Q229" s="2357"/>
      <c r="R229" s="258"/>
      <c r="S229" s="2381"/>
      <c r="T229" s="2381"/>
      <c r="U229" s="254"/>
      <c r="V229" s="228"/>
      <c r="W229" s="2357"/>
      <c r="X229" s="256"/>
      <c r="Y229" s="248"/>
      <c r="Z229" s="248"/>
      <c r="AA229" s="248"/>
      <c r="AB229" s="247"/>
      <c r="AC229" s="248"/>
      <c r="AD229" s="248"/>
      <c r="AE229" s="194"/>
      <c r="AF229" s="249"/>
      <c r="AG229" s="250"/>
      <c r="AH229" s="251"/>
      <c r="AI229" s="252"/>
    </row>
    <row r="230" spans="2:35">
      <c r="B230" s="253">
        <f t="shared" si="10"/>
        <v>221</v>
      </c>
      <c r="C230" s="244"/>
      <c r="D230" s="654"/>
      <c r="E230" s="466"/>
      <c r="F230" s="612"/>
      <c r="G230" s="2973"/>
      <c r="H230" s="230"/>
      <c r="I230" s="230"/>
      <c r="J230" s="230"/>
      <c r="K230" s="230"/>
      <c r="L230" s="230"/>
      <c r="M230" s="228"/>
      <c r="N230" s="257"/>
      <c r="O230" s="228"/>
      <c r="P230" s="228"/>
      <c r="Q230" s="2357"/>
      <c r="R230" s="258"/>
      <c r="S230" s="2381"/>
      <c r="T230" s="2381"/>
      <c r="U230" s="254"/>
      <c r="V230" s="228"/>
      <c r="W230" s="2357"/>
      <c r="X230" s="256"/>
      <c r="Y230" s="248"/>
      <c r="Z230" s="248"/>
      <c r="AA230" s="248"/>
      <c r="AB230" s="247"/>
      <c r="AC230" s="248"/>
      <c r="AD230" s="248"/>
      <c r="AE230" s="194"/>
      <c r="AF230" s="249"/>
      <c r="AG230" s="250"/>
      <c r="AH230" s="251"/>
      <c r="AI230" s="252"/>
    </row>
    <row r="231" spans="2:35">
      <c r="B231" s="253">
        <f t="shared" si="10"/>
        <v>222</v>
      </c>
      <c r="C231" s="244"/>
      <c r="D231" s="654"/>
      <c r="E231" s="466"/>
      <c r="F231" s="612"/>
      <c r="G231" s="2973"/>
      <c r="H231" s="230"/>
      <c r="I231" s="230"/>
      <c r="J231" s="230"/>
      <c r="K231" s="230"/>
      <c r="L231" s="230"/>
      <c r="M231" s="228"/>
      <c r="N231" s="257"/>
      <c r="O231" s="228"/>
      <c r="P231" s="228"/>
      <c r="Q231" s="2357"/>
      <c r="R231" s="258"/>
      <c r="S231" s="2381"/>
      <c r="T231" s="2381"/>
      <c r="U231" s="254"/>
      <c r="V231" s="228"/>
      <c r="W231" s="2357"/>
      <c r="X231" s="256"/>
      <c r="Y231" s="248"/>
      <c r="Z231" s="248"/>
      <c r="AA231" s="248"/>
      <c r="AB231" s="247"/>
      <c r="AC231" s="248"/>
      <c r="AD231" s="248"/>
      <c r="AE231" s="194"/>
      <c r="AF231" s="249"/>
      <c r="AG231" s="250"/>
      <c r="AH231" s="251"/>
      <c r="AI231" s="252"/>
    </row>
    <row r="232" spans="2:35">
      <c r="B232" s="253">
        <f t="shared" si="10"/>
        <v>223</v>
      </c>
      <c r="C232" s="244"/>
      <c r="D232" s="654"/>
      <c r="E232" s="466"/>
      <c r="F232" s="612"/>
      <c r="G232" s="2973"/>
      <c r="H232" s="230"/>
      <c r="I232" s="230"/>
      <c r="J232" s="230"/>
      <c r="K232" s="230"/>
      <c r="L232" s="230"/>
      <c r="M232" s="228"/>
      <c r="N232" s="257"/>
      <c r="O232" s="228"/>
      <c r="P232" s="228"/>
      <c r="Q232" s="2357"/>
      <c r="R232" s="258"/>
      <c r="S232" s="2381"/>
      <c r="T232" s="2381"/>
      <c r="U232" s="254"/>
      <c r="V232" s="228"/>
      <c r="W232" s="2357"/>
      <c r="X232" s="256"/>
      <c r="Y232" s="248"/>
      <c r="Z232" s="248"/>
      <c r="AA232" s="248"/>
      <c r="AB232" s="247"/>
      <c r="AC232" s="248"/>
      <c r="AD232" s="248"/>
      <c r="AE232" s="194"/>
      <c r="AF232" s="249"/>
      <c r="AG232" s="250"/>
      <c r="AH232" s="251"/>
      <c r="AI232" s="252"/>
    </row>
    <row r="233" spans="2:35">
      <c r="B233" s="253">
        <f t="shared" si="10"/>
        <v>224</v>
      </c>
      <c r="C233" s="244"/>
      <c r="D233" s="654"/>
      <c r="E233" s="466"/>
      <c r="F233" s="612"/>
      <c r="G233" s="2973"/>
      <c r="H233" s="230"/>
      <c r="I233" s="230"/>
      <c r="J233" s="230"/>
      <c r="K233" s="230"/>
      <c r="L233" s="230"/>
      <c r="M233" s="228"/>
      <c r="N233" s="257"/>
      <c r="O233" s="228"/>
      <c r="P233" s="228"/>
      <c r="Q233" s="2357"/>
      <c r="R233" s="258"/>
      <c r="S233" s="2381"/>
      <c r="T233" s="2381"/>
      <c r="U233" s="254"/>
      <c r="V233" s="228"/>
      <c r="W233" s="2357"/>
      <c r="X233" s="256"/>
      <c r="Y233" s="248"/>
      <c r="Z233" s="248"/>
      <c r="AA233" s="248"/>
      <c r="AB233" s="247"/>
      <c r="AC233" s="248"/>
      <c r="AD233" s="248"/>
      <c r="AE233" s="194"/>
      <c r="AF233" s="249"/>
      <c r="AG233" s="250"/>
      <c r="AH233" s="251"/>
      <c r="AI233" s="252"/>
    </row>
    <row r="234" spans="2:35">
      <c r="B234" s="253">
        <f t="shared" si="10"/>
        <v>225</v>
      </c>
      <c r="C234" s="244"/>
      <c r="D234" s="654"/>
      <c r="E234" s="466"/>
      <c r="F234" s="612"/>
      <c r="G234" s="2973"/>
      <c r="H234" s="230"/>
      <c r="I234" s="230"/>
      <c r="J234" s="230"/>
      <c r="K234" s="230"/>
      <c r="L234" s="230"/>
      <c r="M234" s="228"/>
      <c r="N234" s="257"/>
      <c r="O234" s="228"/>
      <c r="P234" s="228"/>
      <c r="Q234" s="2357"/>
      <c r="R234" s="258"/>
      <c r="S234" s="2381"/>
      <c r="T234" s="2381"/>
      <c r="U234" s="254"/>
      <c r="V234" s="228"/>
      <c r="W234" s="2357"/>
      <c r="X234" s="256"/>
      <c r="Y234" s="248"/>
      <c r="Z234" s="248"/>
      <c r="AA234" s="248"/>
      <c r="AB234" s="247"/>
      <c r="AC234" s="248"/>
      <c r="AD234" s="248"/>
      <c r="AE234" s="194"/>
      <c r="AF234" s="249"/>
      <c r="AG234" s="250"/>
      <c r="AH234" s="251"/>
      <c r="AI234" s="252"/>
    </row>
    <row r="235" spans="2:35">
      <c r="B235" s="253">
        <f t="shared" si="10"/>
        <v>226</v>
      </c>
      <c r="C235" s="244"/>
      <c r="D235" s="654"/>
      <c r="E235" s="466"/>
      <c r="F235" s="612"/>
      <c r="G235" s="2973"/>
      <c r="H235" s="230"/>
      <c r="I235" s="230"/>
      <c r="J235" s="230"/>
      <c r="K235" s="230"/>
      <c r="L235" s="230"/>
      <c r="M235" s="228"/>
      <c r="N235" s="257"/>
      <c r="O235" s="228"/>
      <c r="P235" s="228"/>
      <c r="Q235" s="2357"/>
      <c r="R235" s="258"/>
      <c r="S235" s="2381"/>
      <c r="T235" s="2381"/>
      <c r="U235" s="254"/>
      <c r="V235" s="228"/>
      <c r="W235" s="2357"/>
      <c r="X235" s="256"/>
      <c r="Y235" s="248"/>
      <c r="Z235" s="248"/>
      <c r="AA235" s="248"/>
      <c r="AB235" s="247"/>
      <c r="AC235" s="248"/>
      <c r="AD235" s="248"/>
      <c r="AE235" s="194"/>
      <c r="AF235" s="249"/>
      <c r="AG235" s="250"/>
      <c r="AH235" s="251"/>
      <c r="AI235" s="252"/>
    </row>
    <row r="236" spans="2:35">
      <c r="B236" s="253">
        <f t="shared" si="10"/>
        <v>227</v>
      </c>
      <c r="C236" s="244"/>
      <c r="D236" s="654"/>
      <c r="E236" s="466"/>
      <c r="F236" s="612"/>
      <c r="G236" s="2973"/>
      <c r="H236" s="230"/>
      <c r="I236" s="230"/>
      <c r="J236" s="230"/>
      <c r="K236" s="230"/>
      <c r="L236" s="230"/>
      <c r="M236" s="228"/>
      <c r="N236" s="257"/>
      <c r="O236" s="228"/>
      <c r="P236" s="228"/>
      <c r="Q236" s="2357"/>
      <c r="R236" s="258"/>
      <c r="S236" s="2381"/>
      <c r="T236" s="2381"/>
      <c r="U236" s="254"/>
      <c r="V236" s="228"/>
      <c r="W236" s="2357"/>
      <c r="X236" s="256"/>
      <c r="Y236" s="248"/>
      <c r="Z236" s="248"/>
      <c r="AA236" s="248"/>
      <c r="AB236" s="247"/>
      <c r="AC236" s="248"/>
      <c r="AD236" s="248"/>
      <c r="AE236" s="194"/>
      <c r="AF236" s="249"/>
      <c r="AG236" s="250"/>
      <c r="AH236" s="251"/>
      <c r="AI236" s="252"/>
    </row>
    <row r="237" spans="2:35">
      <c r="B237" s="253">
        <f t="shared" si="10"/>
        <v>228</v>
      </c>
      <c r="C237" s="244"/>
      <c r="D237" s="654"/>
      <c r="E237" s="466"/>
      <c r="F237" s="612"/>
      <c r="G237" s="2973"/>
      <c r="H237" s="230"/>
      <c r="I237" s="230"/>
      <c r="J237" s="230"/>
      <c r="K237" s="230"/>
      <c r="L237" s="230"/>
      <c r="M237" s="228"/>
      <c r="N237" s="257"/>
      <c r="O237" s="228"/>
      <c r="P237" s="228"/>
      <c r="Q237" s="2357"/>
      <c r="R237" s="258"/>
      <c r="S237" s="2381"/>
      <c r="T237" s="2381"/>
      <c r="U237" s="254"/>
      <c r="V237" s="228"/>
      <c r="W237" s="2357"/>
      <c r="X237" s="256"/>
      <c r="Y237" s="248"/>
      <c r="Z237" s="248"/>
      <c r="AA237" s="248"/>
      <c r="AB237" s="247"/>
      <c r="AC237" s="248"/>
      <c r="AD237" s="248"/>
      <c r="AE237" s="194"/>
      <c r="AF237" s="249"/>
      <c r="AG237" s="250"/>
      <c r="AH237" s="251"/>
      <c r="AI237" s="252"/>
    </row>
    <row r="238" spans="2:35">
      <c r="B238" s="253">
        <f t="shared" si="10"/>
        <v>229</v>
      </c>
      <c r="C238" s="244"/>
      <c r="D238" s="654"/>
      <c r="E238" s="466"/>
      <c r="F238" s="612"/>
      <c r="G238" s="2973"/>
      <c r="H238" s="230"/>
      <c r="I238" s="230"/>
      <c r="J238" s="230"/>
      <c r="K238" s="230"/>
      <c r="L238" s="230"/>
      <c r="M238" s="228"/>
      <c r="N238" s="257"/>
      <c r="O238" s="228"/>
      <c r="P238" s="228"/>
      <c r="Q238" s="2357"/>
      <c r="R238" s="258"/>
      <c r="S238" s="2381"/>
      <c r="T238" s="2381"/>
      <c r="U238" s="254"/>
      <c r="V238" s="228"/>
      <c r="W238" s="2357"/>
      <c r="X238" s="256"/>
      <c r="Y238" s="248"/>
      <c r="Z238" s="248"/>
      <c r="AA238" s="248"/>
      <c r="AB238" s="247"/>
      <c r="AC238" s="248"/>
      <c r="AD238" s="248"/>
      <c r="AE238" s="194"/>
      <c r="AF238" s="249"/>
      <c r="AG238" s="250"/>
      <c r="AH238" s="251"/>
      <c r="AI238" s="252"/>
    </row>
    <row r="239" spans="2:35">
      <c r="B239" s="253">
        <f t="shared" si="10"/>
        <v>230</v>
      </c>
      <c r="C239" s="244"/>
      <c r="D239" s="654"/>
      <c r="E239" s="466"/>
      <c r="F239" s="612"/>
      <c r="G239" s="2973"/>
      <c r="H239" s="230"/>
      <c r="I239" s="230"/>
      <c r="J239" s="230"/>
      <c r="K239" s="230"/>
      <c r="L239" s="230"/>
      <c r="M239" s="228"/>
      <c r="N239" s="257"/>
      <c r="O239" s="228"/>
      <c r="P239" s="228"/>
      <c r="Q239" s="2357"/>
      <c r="R239" s="258"/>
      <c r="S239" s="2381"/>
      <c r="T239" s="2381"/>
      <c r="U239" s="254"/>
      <c r="V239" s="228"/>
      <c r="W239" s="2357"/>
      <c r="X239" s="256"/>
      <c r="Y239" s="248"/>
      <c r="Z239" s="248"/>
      <c r="AA239" s="248"/>
      <c r="AB239" s="247"/>
      <c r="AC239" s="248"/>
      <c r="AD239" s="248"/>
      <c r="AE239" s="194"/>
      <c r="AF239" s="249"/>
      <c r="AG239" s="250"/>
      <c r="AH239" s="251"/>
      <c r="AI239" s="252"/>
    </row>
    <row r="240" spans="2:35">
      <c r="B240" s="253">
        <f t="shared" si="10"/>
        <v>231</v>
      </c>
      <c r="C240" s="244"/>
      <c r="D240" s="654"/>
      <c r="E240" s="466"/>
      <c r="F240" s="612"/>
      <c r="G240" s="2973"/>
      <c r="H240" s="230"/>
      <c r="I240" s="230"/>
      <c r="J240" s="230"/>
      <c r="K240" s="230"/>
      <c r="L240" s="230"/>
      <c r="M240" s="228"/>
      <c r="N240" s="257"/>
      <c r="O240" s="228"/>
      <c r="P240" s="228"/>
      <c r="Q240" s="2357"/>
      <c r="R240" s="258"/>
      <c r="S240" s="2381"/>
      <c r="T240" s="2381"/>
      <c r="U240" s="254"/>
      <c r="V240" s="228"/>
      <c r="W240" s="2357"/>
      <c r="X240" s="256"/>
      <c r="Y240" s="248"/>
      <c r="Z240" s="248"/>
      <c r="AA240" s="248"/>
      <c r="AB240" s="247"/>
      <c r="AC240" s="248"/>
      <c r="AD240" s="248"/>
      <c r="AE240" s="194"/>
      <c r="AF240" s="249"/>
      <c r="AG240" s="250"/>
      <c r="AH240" s="251"/>
      <c r="AI240" s="252"/>
    </row>
    <row r="241" spans="2:35">
      <c r="B241" s="253">
        <f t="shared" si="10"/>
        <v>232</v>
      </c>
      <c r="C241" s="244"/>
      <c r="D241" s="654"/>
      <c r="E241" s="466"/>
      <c r="F241" s="612"/>
      <c r="G241" s="2973"/>
      <c r="H241" s="230"/>
      <c r="I241" s="230"/>
      <c r="J241" s="230"/>
      <c r="K241" s="230"/>
      <c r="L241" s="230"/>
      <c r="M241" s="228"/>
      <c r="N241" s="257"/>
      <c r="O241" s="228"/>
      <c r="P241" s="228"/>
      <c r="Q241" s="2357"/>
      <c r="R241" s="258"/>
      <c r="S241" s="2381"/>
      <c r="T241" s="2381"/>
      <c r="U241" s="254"/>
      <c r="V241" s="228"/>
      <c r="W241" s="2357"/>
      <c r="X241" s="256"/>
      <c r="Y241" s="248"/>
      <c r="Z241" s="248"/>
      <c r="AA241" s="248"/>
      <c r="AB241" s="247"/>
      <c r="AC241" s="248"/>
      <c r="AD241" s="248"/>
      <c r="AE241" s="194"/>
      <c r="AF241" s="249"/>
      <c r="AG241" s="250"/>
      <c r="AH241" s="251"/>
      <c r="AI241" s="252"/>
    </row>
    <row r="242" spans="2:35">
      <c r="B242" s="253">
        <f t="shared" si="10"/>
        <v>233</v>
      </c>
      <c r="C242" s="244"/>
      <c r="D242" s="654"/>
      <c r="E242" s="466"/>
      <c r="F242" s="612"/>
      <c r="G242" s="2973"/>
      <c r="H242" s="230"/>
      <c r="I242" s="230"/>
      <c r="J242" s="230"/>
      <c r="K242" s="230"/>
      <c r="L242" s="230"/>
      <c r="M242" s="228"/>
      <c r="N242" s="257"/>
      <c r="O242" s="228"/>
      <c r="P242" s="228"/>
      <c r="Q242" s="2357"/>
      <c r="R242" s="258"/>
      <c r="S242" s="2381"/>
      <c r="T242" s="2381"/>
      <c r="U242" s="254"/>
      <c r="V242" s="228"/>
      <c r="W242" s="2357"/>
      <c r="X242" s="256"/>
      <c r="Y242" s="248"/>
      <c r="Z242" s="248"/>
      <c r="AA242" s="248"/>
      <c r="AB242" s="247"/>
      <c r="AC242" s="248"/>
      <c r="AD242" s="248"/>
      <c r="AE242" s="194"/>
      <c r="AF242" s="249"/>
      <c r="AG242" s="250"/>
      <c r="AH242" s="251"/>
      <c r="AI242" s="252"/>
    </row>
    <row r="243" spans="2:35">
      <c r="B243" s="253">
        <f t="shared" si="10"/>
        <v>234</v>
      </c>
      <c r="C243" s="244"/>
      <c r="D243" s="654"/>
      <c r="E243" s="466"/>
      <c r="F243" s="612"/>
      <c r="G243" s="2973"/>
      <c r="H243" s="230"/>
      <c r="I243" s="230"/>
      <c r="J243" s="230"/>
      <c r="K243" s="230"/>
      <c r="L243" s="230"/>
      <c r="M243" s="228"/>
      <c r="N243" s="257"/>
      <c r="O243" s="228"/>
      <c r="P243" s="228"/>
      <c r="Q243" s="2357"/>
      <c r="R243" s="258"/>
      <c r="S243" s="2381"/>
      <c r="T243" s="2381"/>
      <c r="U243" s="254"/>
      <c r="V243" s="228"/>
      <c r="W243" s="2357"/>
      <c r="X243" s="256"/>
      <c r="Y243" s="248"/>
      <c r="Z243" s="248"/>
      <c r="AA243" s="248"/>
      <c r="AB243" s="247"/>
      <c r="AC243" s="248"/>
      <c r="AD243" s="248"/>
      <c r="AE243" s="194"/>
      <c r="AF243" s="249"/>
      <c r="AG243" s="250"/>
      <c r="AH243" s="251"/>
      <c r="AI243" s="252"/>
    </row>
    <row r="244" spans="2:35">
      <c r="B244" s="253">
        <f t="shared" si="10"/>
        <v>235</v>
      </c>
      <c r="C244" s="244"/>
      <c r="D244" s="654"/>
      <c r="E244" s="466"/>
      <c r="F244" s="612"/>
      <c r="G244" s="2973"/>
      <c r="H244" s="230"/>
      <c r="I244" s="230"/>
      <c r="J244" s="230"/>
      <c r="K244" s="230"/>
      <c r="L244" s="230"/>
      <c r="M244" s="228"/>
      <c r="N244" s="257"/>
      <c r="O244" s="228"/>
      <c r="P244" s="228"/>
      <c r="Q244" s="2357"/>
      <c r="R244" s="258"/>
      <c r="S244" s="2381"/>
      <c r="T244" s="2381"/>
      <c r="U244" s="254"/>
      <c r="V244" s="228"/>
      <c r="W244" s="2357"/>
      <c r="X244" s="256"/>
      <c r="Y244" s="248"/>
      <c r="Z244" s="248"/>
      <c r="AA244" s="248"/>
      <c r="AB244" s="247"/>
      <c r="AC244" s="248"/>
      <c r="AD244" s="248"/>
      <c r="AE244" s="194"/>
      <c r="AF244" s="249"/>
      <c r="AG244" s="250"/>
      <c r="AH244" s="251"/>
      <c r="AI244" s="252"/>
    </row>
    <row r="245" spans="2:35">
      <c r="B245" s="253">
        <f t="shared" si="10"/>
        <v>236</v>
      </c>
      <c r="C245" s="244"/>
      <c r="D245" s="654"/>
      <c r="E245" s="466"/>
      <c r="F245" s="612"/>
      <c r="G245" s="2973"/>
      <c r="H245" s="230"/>
      <c r="I245" s="230"/>
      <c r="J245" s="230"/>
      <c r="K245" s="230"/>
      <c r="L245" s="230"/>
      <c r="M245" s="228"/>
      <c r="N245" s="257"/>
      <c r="O245" s="228"/>
      <c r="P245" s="228"/>
      <c r="Q245" s="2357"/>
      <c r="R245" s="258"/>
      <c r="S245" s="2381"/>
      <c r="T245" s="2381"/>
      <c r="U245" s="254"/>
      <c r="V245" s="228"/>
      <c r="W245" s="2357"/>
      <c r="X245" s="256"/>
      <c r="Y245" s="248"/>
      <c r="Z245" s="248"/>
      <c r="AA245" s="248"/>
      <c r="AB245" s="247"/>
      <c r="AC245" s="248"/>
      <c r="AD245" s="248"/>
      <c r="AE245" s="194"/>
      <c r="AF245" s="249"/>
      <c r="AG245" s="250"/>
      <c r="AH245" s="251"/>
      <c r="AI245" s="252"/>
    </row>
    <row r="246" spans="2:35">
      <c r="B246" s="253">
        <f t="shared" si="10"/>
        <v>237</v>
      </c>
      <c r="C246" s="244"/>
      <c r="D246" s="654"/>
      <c r="E246" s="466"/>
      <c r="F246" s="612"/>
      <c r="G246" s="2973"/>
      <c r="H246" s="230"/>
      <c r="I246" s="230"/>
      <c r="J246" s="230"/>
      <c r="K246" s="230"/>
      <c r="L246" s="230"/>
      <c r="M246" s="228"/>
      <c r="N246" s="257"/>
      <c r="O246" s="228"/>
      <c r="P246" s="228"/>
      <c r="Q246" s="2357"/>
      <c r="R246" s="258"/>
      <c r="S246" s="2381"/>
      <c r="T246" s="2381"/>
      <c r="U246" s="254"/>
      <c r="V246" s="228"/>
      <c r="W246" s="2357"/>
      <c r="X246" s="256"/>
      <c r="Y246" s="248"/>
      <c r="Z246" s="248"/>
      <c r="AA246" s="248"/>
      <c r="AB246" s="247"/>
      <c r="AC246" s="248"/>
      <c r="AD246" s="248"/>
      <c r="AE246" s="194"/>
      <c r="AF246" s="249"/>
      <c r="AG246" s="250"/>
      <c r="AH246" s="251"/>
      <c r="AI246" s="252"/>
    </row>
    <row r="247" spans="2:35">
      <c r="B247" s="253">
        <f t="shared" si="10"/>
        <v>238</v>
      </c>
      <c r="C247" s="244"/>
      <c r="D247" s="654"/>
      <c r="E247" s="466"/>
      <c r="F247" s="612"/>
      <c r="G247" s="2973"/>
      <c r="H247" s="230"/>
      <c r="I247" s="230"/>
      <c r="J247" s="230"/>
      <c r="K247" s="230"/>
      <c r="L247" s="230"/>
      <c r="M247" s="228"/>
      <c r="N247" s="257"/>
      <c r="O247" s="228"/>
      <c r="P247" s="228"/>
      <c r="Q247" s="2357"/>
      <c r="R247" s="258"/>
      <c r="S247" s="2381"/>
      <c r="T247" s="2381"/>
      <c r="U247" s="254"/>
      <c r="V247" s="228"/>
      <c r="W247" s="2357"/>
      <c r="X247" s="256"/>
      <c r="Y247" s="248"/>
      <c r="Z247" s="248"/>
      <c r="AA247" s="248"/>
      <c r="AB247" s="247"/>
      <c r="AC247" s="248"/>
      <c r="AD247" s="248"/>
      <c r="AE247" s="194"/>
      <c r="AF247" s="249"/>
      <c r="AG247" s="250"/>
      <c r="AH247" s="251"/>
      <c r="AI247" s="252"/>
    </row>
    <row r="248" spans="2:35">
      <c r="B248" s="253">
        <f t="shared" si="10"/>
        <v>239</v>
      </c>
      <c r="C248" s="244"/>
      <c r="D248" s="654"/>
      <c r="E248" s="466"/>
      <c r="F248" s="612"/>
      <c r="G248" s="2973"/>
      <c r="H248" s="230"/>
      <c r="I248" s="230"/>
      <c r="J248" s="230"/>
      <c r="K248" s="230"/>
      <c r="L248" s="230"/>
      <c r="M248" s="228"/>
      <c r="N248" s="257"/>
      <c r="O248" s="228"/>
      <c r="P248" s="228"/>
      <c r="Q248" s="2357"/>
      <c r="R248" s="258"/>
      <c r="S248" s="2381"/>
      <c r="T248" s="2381"/>
      <c r="U248" s="254"/>
      <c r="V248" s="228"/>
      <c r="W248" s="2357"/>
      <c r="X248" s="256"/>
      <c r="Y248" s="248"/>
      <c r="Z248" s="248"/>
      <c r="AA248" s="248"/>
      <c r="AB248" s="247"/>
      <c r="AC248" s="248"/>
      <c r="AD248" s="248"/>
      <c r="AE248" s="194"/>
      <c r="AF248" s="249"/>
      <c r="AG248" s="250"/>
      <c r="AH248" s="251"/>
      <c r="AI248" s="252"/>
    </row>
    <row r="249" spans="2:35">
      <c r="B249" s="253">
        <f t="shared" si="10"/>
        <v>240</v>
      </c>
      <c r="C249" s="244"/>
      <c r="D249" s="654"/>
      <c r="E249" s="466"/>
      <c r="F249" s="612"/>
      <c r="G249" s="2973"/>
      <c r="H249" s="230"/>
      <c r="I249" s="230"/>
      <c r="J249" s="230"/>
      <c r="K249" s="230"/>
      <c r="L249" s="230"/>
      <c r="M249" s="228"/>
      <c r="N249" s="257"/>
      <c r="O249" s="228"/>
      <c r="P249" s="228"/>
      <c r="Q249" s="2357"/>
      <c r="R249" s="258"/>
      <c r="S249" s="2381"/>
      <c r="T249" s="2381"/>
      <c r="U249" s="254"/>
      <c r="V249" s="228"/>
      <c r="W249" s="2357"/>
      <c r="X249" s="256"/>
      <c r="Y249" s="248"/>
      <c r="Z249" s="248"/>
      <c r="AA249" s="248"/>
      <c r="AB249" s="247"/>
      <c r="AC249" s="248"/>
      <c r="AD249" s="248"/>
      <c r="AE249" s="194"/>
      <c r="AF249" s="249"/>
      <c r="AG249" s="250"/>
      <c r="AH249" s="251"/>
      <c r="AI249" s="252"/>
    </row>
    <row r="250" spans="2:35">
      <c r="B250" s="253">
        <f t="shared" si="10"/>
        <v>241</v>
      </c>
      <c r="C250" s="244"/>
      <c r="D250" s="654"/>
      <c r="E250" s="466"/>
      <c r="F250" s="612"/>
      <c r="G250" s="2973"/>
      <c r="H250" s="230"/>
      <c r="I250" s="230"/>
      <c r="J250" s="230"/>
      <c r="K250" s="230"/>
      <c r="L250" s="230"/>
      <c r="M250" s="228"/>
      <c r="N250" s="257"/>
      <c r="O250" s="228"/>
      <c r="P250" s="228"/>
      <c r="Q250" s="2357"/>
      <c r="R250" s="258"/>
      <c r="S250" s="2381"/>
      <c r="T250" s="2381"/>
      <c r="U250" s="254"/>
      <c r="V250" s="228"/>
      <c r="W250" s="2357"/>
      <c r="X250" s="256"/>
      <c r="Y250" s="248"/>
      <c r="Z250" s="248"/>
      <c r="AA250" s="248"/>
      <c r="AB250" s="247"/>
      <c r="AC250" s="248"/>
      <c r="AD250" s="248"/>
      <c r="AE250" s="194"/>
      <c r="AF250" s="249"/>
      <c r="AG250" s="250"/>
      <c r="AH250" s="251"/>
      <c r="AI250" s="252"/>
    </row>
    <row r="251" spans="2:35">
      <c r="B251" s="253">
        <f t="shared" si="10"/>
        <v>242</v>
      </c>
      <c r="C251" s="244"/>
      <c r="D251" s="654"/>
      <c r="E251" s="466"/>
      <c r="F251" s="612"/>
      <c r="G251" s="2973"/>
      <c r="H251" s="230"/>
      <c r="I251" s="230"/>
      <c r="J251" s="230"/>
      <c r="K251" s="230"/>
      <c r="L251" s="230"/>
      <c r="M251" s="228"/>
      <c r="N251" s="257"/>
      <c r="O251" s="228"/>
      <c r="P251" s="228"/>
      <c r="Q251" s="2357"/>
      <c r="R251" s="258"/>
      <c r="S251" s="2381"/>
      <c r="T251" s="2381"/>
      <c r="U251" s="254"/>
      <c r="V251" s="228"/>
      <c r="W251" s="2357"/>
      <c r="X251" s="256"/>
      <c r="Y251" s="248"/>
      <c r="Z251" s="248"/>
      <c r="AA251" s="248"/>
      <c r="AB251" s="247"/>
      <c r="AC251" s="248"/>
      <c r="AD251" s="248"/>
      <c r="AE251" s="194"/>
      <c r="AF251" s="249"/>
      <c r="AG251" s="250"/>
      <c r="AH251" s="251"/>
      <c r="AI251" s="252"/>
    </row>
    <row r="252" spans="2:35">
      <c r="B252" s="253">
        <f t="shared" si="10"/>
        <v>243</v>
      </c>
      <c r="C252" s="244"/>
      <c r="D252" s="654"/>
      <c r="E252" s="466"/>
      <c r="F252" s="612"/>
      <c r="G252" s="2973"/>
      <c r="H252" s="230"/>
      <c r="I252" s="230"/>
      <c r="J252" s="230"/>
      <c r="K252" s="230"/>
      <c r="L252" s="230"/>
      <c r="M252" s="228"/>
      <c r="N252" s="257"/>
      <c r="O252" s="228"/>
      <c r="P252" s="228"/>
      <c r="Q252" s="2357"/>
      <c r="R252" s="258"/>
      <c r="S252" s="2381"/>
      <c r="T252" s="2381"/>
      <c r="U252" s="254"/>
      <c r="V252" s="228"/>
      <c r="W252" s="2357"/>
      <c r="X252" s="256"/>
      <c r="Y252" s="248"/>
      <c r="Z252" s="248"/>
      <c r="AA252" s="248"/>
      <c r="AB252" s="247"/>
      <c r="AC252" s="248"/>
      <c r="AD252" s="248"/>
      <c r="AE252" s="194"/>
      <c r="AF252" s="249"/>
      <c r="AG252" s="250"/>
      <c r="AH252" s="251"/>
      <c r="AI252" s="252"/>
    </row>
    <row r="253" spans="2:35">
      <c r="B253" s="253">
        <f t="shared" si="10"/>
        <v>244</v>
      </c>
      <c r="C253" s="244"/>
      <c r="D253" s="654"/>
      <c r="E253" s="466"/>
      <c r="F253" s="612"/>
      <c r="G253" s="2973"/>
      <c r="H253" s="230"/>
      <c r="I253" s="230"/>
      <c r="J253" s="230"/>
      <c r="K253" s="230"/>
      <c r="L253" s="230"/>
      <c r="M253" s="228"/>
      <c r="N253" s="257"/>
      <c r="O253" s="228"/>
      <c r="P253" s="228"/>
      <c r="Q253" s="2357"/>
      <c r="R253" s="258"/>
      <c r="S253" s="2381"/>
      <c r="T253" s="2381"/>
      <c r="U253" s="254"/>
      <c r="V253" s="228"/>
      <c r="W253" s="2357"/>
      <c r="X253" s="256"/>
      <c r="Y253" s="248"/>
      <c r="Z253" s="248"/>
      <c r="AA253" s="248"/>
      <c r="AB253" s="247"/>
      <c r="AC253" s="248"/>
      <c r="AD253" s="248"/>
      <c r="AE253" s="194"/>
      <c r="AF253" s="249"/>
      <c r="AG253" s="250"/>
      <c r="AH253" s="251"/>
      <c r="AI253" s="252"/>
    </row>
    <row r="254" spans="2:35">
      <c r="B254" s="253">
        <f t="shared" si="10"/>
        <v>245</v>
      </c>
      <c r="C254" s="244"/>
      <c r="D254" s="654"/>
      <c r="E254" s="466"/>
      <c r="F254" s="612"/>
      <c r="G254" s="2973"/>
      <c r="H254" s="230"/>
      <c r="I254" s="230"/>
      <c r="J254" s="230"/>
      <c r="K254" s="230"/>
      <c r="L254" s="230"/>
      <c r="M254" s="228"/>
      <c r="N254" s="257"/>
      <c r="O254" s="228"/>
      <c r="P254" s="228"/>
      <c r="Q254" s="2357"/>
      <c r="R254" s="258"/>
      <c r="S254" s="2381"/>
      <c r="T254" s="2381"/>
      <c r="U254" s="254"/>
      <c r="V254" s="228"/>
      <c r="W254" s="2357"/>
      <c r="X254" s="256"/>
      <c r="Y254" s="248"/>
      <c r="Z254" s="248"/>
      <c r="AA254" s="248"/>
      <c r="AB254" s="247"/>
      <c r="AC254" s="248"/>
      <c r="AD254" s="248"/>
      <c r="AE254" s="194"/>
      <c r="AF254" s="249"/>
      <c r="AG254" s="250"/>
      <c r="AH254" s="251"/>
      <c r="AI254" s="252"/>
    </row>
    <row r="255" spans="2:35">
      <c r="B255" s="253">
        <f t="shared" si="10"/>
        <v>246</v>
      </c>
      <c r="C255" s="244"/>
      <c r="D255" s="654"/>
      <c r="E255" s="466"/>
      <c r="F255" s="612"/>
      <c r="G255" s="2973"/>
      <c r="H255" s="230"/>
      <c r="I255" s="230"/>
      <c r="J255" s="230"/>
      <c r="K255" s="230"/>
      <c r="L255" s="230"/>
      <c r="M255" s="228"/>
      <c r="N255" s="257"/>
      <c r="O255" s="228"/>
      <c r="P255" s="228"/>
      <c r="Q255" s="2357"/>
      <c r="R255" s="258"/>
      <c r="S255" s="2381"/>
      <c r="T255" s="2381"/>
      <c r="U255" s="254"/>
      <c r="V255" s="228"/>
      <c r="W255" s="2357"/>
      <c r="X255" s="256"/>
      <c r="Y255" s="248"/>
      <c r="Z255" s="248"/>
      <c r="AA255" s="248"/>
      <c r="AB255" s="247"/>
      <c r="AC255" s="248"/>
      <c r="AD255" s="248"/>
      <c r="AE255" s="194"/>
      <c r="AF255" s="249"/>
      <c r="AG255" s="250"/>
      <c r="AH255" s="251"/>
      <c r="AI255" s="252"/>
    </row>
    <row r="256" spans="2:35">
      <c r="B256" s="253">
        <f t="shared" si="10"/>
        <v>247</v>
      </c>
      <c r="C256" s="244"/>
      <c r="D256" s="654"/>
      <c r="E256" s="466"/>
      <c r="F256" s="612"/>
      <c r="G256" s="2973"/>
      <c r="H256" s="230"/>
      <c r="I256" s="230"/>
      <c r="J256" s="230"/>
      <c r="K256" s="230"/>
      <c r="L256" s="230"/>
      <c r="M256" s="228"/>
      <c r="N256" s="257"/>
      <c r="O256" s="228"/>
      <c r="P256" s="228"/>
      <c r="Q256" s="2357"/>
      <c r="R256" s="258"/>
      <c r="S256" s="2381"/>
      <c r="T256" s="2381"/>
      <c r="U256" s="254"/>
      <c r="V256" s="228"/>
      <c r="W256" s="2357"/>
      <c r="X256" s="256"/>
      <c r="Y256" s="248"/>
      <c r="Z256" s="248"/>
      <c r="AA256" s="248"/>
      <c r="AB256" s="247"/>
      <c r="AC256" s="248"/>
      <c r="AD256" s="248"/>
      <c r="AE256" s="194"/>
      <c r="AF256" s="249"/>
      <c r="AG256" s="250"/>
      <c r="AH256" s="251"/>
      <c r="AI256" s="252"/>
    </row>
    <row r="257" spans="2:35">
      <c r="B257" s="253">
        <f t="shared" si="10"/>
        <v>248</v>
      </c>
      <c r="C257" s="244"/>
      <c r="D257" s="654"/>
      <c r="E257" s="466"/>
      <c r="F257" s="612"/>
      <c r="G257" s="2973"/>
      <c r="H257" s="230"/>
      <c r="I257" s="230"/>
      <c r="J257" s="230"/>
      <c r="K257" s="230"/>
      <c r="L257" s="230"/>
      <c r="M257" s="228"/>
      <c r="N257" s="257"/>
      <c r="O257" s="228"/>
      <c r="P257" s="228"/>
      <c r="Q257" s="2357"/>
      <c r="R257" s="258"/>
      <c r="S257" s="2381"/>
      <c r="T257" s="2381"/>
      <c r="U257" s="254"/>
      <c r="V257" s="228"/>
      <c r="W257" s="2357"/>
      <c r="X257" s="256"/>
      <c r="Y257" s="248"/>
      <c r="Z257" s="248"/>
      <c r="AA257" s="248"/>
      <c r="AB257" s="247"/>
      <c r="AC257" s="248"/>
      <c r="AD257" s="248"/>
      <c r="AE257" s="194"/>
      <c r="AF257" s="249"/>
      <c r="AG257" s="250"/>
      <c r="AH257" s="251"/>
      <c r="AI257" s="252"/>
    </row>
    <row r="258" spans="2:35">
      <c r="B258" s="253">
        <f t="shared" ref="B258:B271" si="11">+B257+1</f>
        <v>249</v>
      </c>
      <c r="C258" s="244"/>
      <c r="D258" s="654"/>
      <c r="E258" s="466"/>
      <c r="F258" s="612"/>
      <c r="G258" s="2973"/>
      <c r="H258" s="230"/>
      <c r="I258" s="230"/>
      <c r="J258" s="230"/>
      <c r="K258" s="230"/>
      <c r="L258" s="230"/>
      <c r="M258" s="228"/>
      <c r="N258" s="257"/>
      <c r="O258" s="228"/>
      <c r="P258" s="228"/>
      <c r="Q258" s="2357"/>
      <c r="R258" s="258"/>
      <c r="S258" s="2381"/>
      <c r="T258" s="2381"/>
      <c r="U258" s="254"/>
      <c r="V258" s="228"/>
      <c r="W258" s="2357"/>
      <c r="X258" s="256"/>
      <c r="Y258" s="248"/>
      <c r="Z258" s="248"/>
      <c r="AA258" s="248"/>
      <c r="AB258" s="247"/>
      <c r="AC258" s="248"/>
      <c r="AD258" s="248"/>
      <c r="AE258" s="194"/>
      <c r="AF258" s="249"/>
      <c r="AG258" s="250"/>
      <c r="AH258" s="251"/>
      <c r="AI258" s="252"/>
    </row>
    <row r="259" spans="2:35">
      <c r="B259" s="253">
        <f t="shared" si="11"/>
        <v>250</v>
      </c>
      <c r="C259" s="244"/>
      <c r="D259" s="654"/>
      <c r="E259" s="466"/>
      <c r="F259" s="612"/>
      <c r="G259" s="2973"/>
      <c r="H259" s="230"/>
      <c r="I259" s="230"/>
      <c r="J259" s="230"/>
      <c r="K259" s="230"/>
      <c r="L259" s="230"/>
      <c r="M259" s="228"/>
      <c r="N259" s="257"/>
      <c r="O259" s="228"/>
      <c r="P259" s="228"/>
      <c r="Q259" s="2357"/>
      <c r="R259" s="258"/>
      <c r="S259" s="2381"/>
      <c r="T259" s="2381"/>
      <c r="U259" s="254"/>
      <c r="V259" s="228"/>
      <c r="W259" s="2357"/>
      <c r="X259" s="256"/>
      <c r="Y259" s="248"/>
      <c r="Z259" s="248"/>
      <c r="AA259" s="248"/>
      <c r="AB259" s="247"/>
      <c r="AC259" s="248"/>
      <c r="AD259" s="248"/>
      <c r="AE259" s="194"/>
      <c r="AF259" s="249"/>
      <c r="AG259" s="250"/>
      <c r="AH259" s="251"/>
      <c r="AI259" s="252"/>
    </row>
    <row r="260" spans="2:35">
      <c r="B260" s="253">
        <f t="shared" si="11"/>
        <v>251</v>
      </c>
      <c r="C260" s="244"/>
      <c r="D260" s="654"/>
      <c r="E260" s="466"/>
      <c r="F260" s="612"/>
      <c r="G260" s="2973"/>
      <c r="H260" s="230"/>
      <c r="I260" s="230"/>
      <c r="J260" s="230"/>
      <c r="K260" s="230"/>
      <c r="L260" s="230"/>
      <c r="M260" s="228"/>
      <c r="N260" s="257"/>
      <c r="O260" s="228"/>
      <c r="P260" s="228"/>
      <c r="Q260" s="2357"/>
      <c r="R260" s="258"/>
      <c r="S260" s="2381"/>
      <c r="T260" s="2381"/>
      <c r="U260" s="254"/>
      <c r="V260" s="228"/>
      <c r="W260" s="2357"/>
      <c r="X260" s="256"/>
      <c r="Y260" s="248"/>
      <c r="Z260" s="248"/>
      <c r="AA260" s="248"/>
      <c r="AB260" s="247"/>
      <c r="AC260" s="248"/>
      <c r="AD260" s="248"/>
      <c r="AE260" s="194"/>
      <c r="AF260" s="249"/>
      <c r="AG260" s="250"/>
      <c r="AH260" s="251"/>
      <c r="AI260" s="252"/>
    </row>
    <row r="261" spans="2:35">
      <c r="B261" s="253">
        <f t="shared" si="11"/>
        <v>252</v>
      </c>
      <c r="C261" s="244"/>
      <c r="D261" s="654"/>
      <c r="E261" s="466"/>
      <c r="F261" s="612"/>
      <c r="G261" s="2973"/>
      <c r="H261" s="230"/>
      <c r="I261" s="230"/>
      <c r="J261" s="230"/>
      <c r="K261" s="230"/>
      <c r="L261" s="230"/>
      <c r="M261" s="228"/>
      <c r="N261" s="257"/>
      <c r="O261" s="228"/>
      <c r="P261" s="228"/>
      <c r="Q261" s="2357"/>
      <c r="R261" s="258"/>
      <c r="S261" s="2381"/>
      <c r="T261" s="2381"/>
      <c r="U261" s="254"/>
      <c r="V261" s="228"/>
      <c r="W261" s="2357"/>
      <c r="X261" s="256"/>
      <c r="Y261" s="248"/>
      <c r="Z261" s="248"/>
      <c r="AA261" s="248"/>
      <c r="AB261" s="247"/>
      <c r="AC261" s="248"/>
      <c r="AD261" s="248"/>
      <c r="AE261" s="194"/>
      <c r="AF261" s="249"/>
      <c r="AG261" s="250"/>
      <c r="AH261" s="251"/>
      <c r="AI261" s="252"/>
    </row>
    <row r="262" spans="2:35">
      <c r="B262" s="253">
        <f t="shared" si="11"/>
        <v>253</v>
      </c>
      <c r="C262" s="244"/>
      <c r="D262" s="654"/>
      <c r="E262" s="466"/>
      <c r="F262" s="612"/>
      <c r="G262" s="2973"/>
      <c r="H262" s="230"/>
      <c r="I262" s="230"/>
      <c r="J262" s="230"/>
      <c r="K262" s="230"/>
      <c r="L262" s="230"/>
      <c r="M262" s="228"/>
      <c r="N262" s="257"/>
      <c r="O262" s="228"/>
      <c r="P262" s="228"/>
      <c r="Q262" s="2357"/>
      <c r="R262" s="258"/>
      <c r="S262" s="2381"/>
      <c r="T262" s="2381"/>
      <c r="U262" s="254"/>
      <c r="V262" s="228"/>
      <c r="W262" s="2357"/>
      <c r="X262" s="256"/>
      <c r="Y262" s="248"/>
      <c r="Z262" s="248"/>
      <c r="AA262" s="248"/>
      <c r="AB262" s="247"/>
      <c r="AC262" s="248"/>
      <c r="AD262" s="248"/>
      <c r="AE262" s="194"/>
      <c r="AF262" s="249"/>
      <c r="AG262" s="250"/>
      <c r="AH262" s="251"/>
      <c r="AI262" s="252"/>
    </row>
    <row r="263" spans="2:35">
      <c r="B263" s="253">
        <f t="shared" si="11"/>
        <v>254</v>
      </c>
      <c r="C263" s="244"/>
      <c r="D263" s="654"/>
      <c r="E263" s="466"/>
      <c r="F263" s="612"/>
      <c r="G263" s="2973"/>
      <c r="H263" s="230"/>
      <c r="I263" s="230"/>
      <c r="J263" s="230"/>
      <c r="K263" s="230"/>
      <c r="L263" s="230"/>
      <c r="M263" s="228"/>
      <c r="N263" s="257"/>
      <c r="O263" s="228"/>
      <c r="P263" s="228"/>
      <c r="Q263" s="2357"/>
      <c r="R263" s="258"/>
      <c r="S263" s="2381"/>
      <c r="T263" s="2381"/>
      <c r="U263" s="254"/>
      <c r="V263" s="228"/>
      <c r="W263" s="2357"/>
      <c r="X263" s="256"/>
      <c r="Y263" s="248"/>
      <c r="Z263" s="248"/>
      <c r="AA263" s="248"/>
      <c r="AB263" s="247"/>
      <c r="AC263" s="248"/>
      <c r="AD263" s="248"/>
      <c r="AE263" s="194"/>
      <c r="AF263" s="249"/>
      <c r="AG263" s="250"/>
      <c r="AH263" s="251"/>
      <c r="AI263" s="252"/>
    </row>
    <row r="264" spans="2:35">
      <c r="B264" s="253">
        <f t="shared" si="11"/>
        <v>255</v>
      </c>
      <c r="C264" s="244"/>
      <c r="D264" s="654"/>
      <c r="E264" s="466"/>
      <c r="F264" s="612"/>
      <c r="G264" s="2973"/>
      <c r="H264" s="230"/>
      <c r="I264" s="230"/>
      <c r="J264" s="230"/>
      <c r="K264" s="230"/>
      <c r="L264" s="230"/>
      <c r="M264" s="228"/>
      <c r="N264" s="257"/>
      <c r="O264" s="228"/>
      <c r="P264" s="228"/>
      <c r="Q264" s="2357"/>
      <c r="R264" s="258"/>
      <c r="S264" s="2381"/>
      <c r="T264" s="2381"/>
      <c r="U264" s="254"/>
      <c r="V264" s="228"/>
      <c r="W264" s="2357"/>
      <c r="X264" s="256"/>
      <c r="Y264" s="248"/>
      <c r="Z264" s="248"/>
      <c r="AA264" s="248"/>
      <c r="AB264" s="247"/>
      <c r="AC264" s="248"/>
      <c r="AD264" s="248"/>
      <c r="AE264" s="194"/>
      <c r="AF264" s="249"/>
      <c r="AG264" s="250"/>
      <c r="AH264" s="251"/>
      <c r="AI264" s="252"/>
    </row>
    <row r="265" spans="2:35">
      <c r="B265" s="253">
        <f t="shared" si="11"/>
        <v>256</v>
      </c>
      <c r="C265" s="244"/>
      <c r="D265" s="654"/>
      <c r="E265" s="466"/>
      <c r="F265" s="612"/>
      <c r="G265" s="2973"/>
      <c r="H265" s="230"/>
      <c r="I265" s="230"/>
      <c r="J265" s="230"/>
      <c r="K265" s="230"/>
      <c r="L265" s="230"/>
      <c r="M265" s="228"/>
      <c r="N265" s="257"/>
      <c r="O265" s="228"/>
      <c r="P265" s="228"/>
      <c r="Q265" s="2357"/>
      <c r="R265" s="258"/>
      <c r="S265" s="2381"/>
      <c r="T265" s="2381"/>
      <c r="U265" s="254"/>
      <c r="V265" s="228"/>
      <c r="W265" s="2357"/>
      <c r="X265" s="256"/>
      <c r="Y265" s="248"/>
      <c r="Z265" s="248"/>
      <c r="AA265" s="248"/>
      <c r="AB265" s="247"/>
      <c r="AC265" s="248"/>
      <c r="AD265" s="248"/>
      <c r="AE265" s="194"/>
      <c r="AF265" s="249"/>
      <c r="AG265" s="250"/>
      <c r="AH265" s="251"/>
      <c r="AI265" s="252"/>
    </row>
    <row r="266" spans="2:35">
      <c r="B266" s="253">
        <f t="shared" si="11"/>
        <v>257</v>
      </c>
      <c r="C266" s="244"/>
      <c r="D266" s="654"/>
      <c r="E266" s="466"/>
      <c r="F266" s="612"/>
      <c r="G266" s="2973"/>
      <c r="H266" s="230"/>
      <c r="I266" s="230"/>
      <c r="J266" s="230"/>
      <c r="K266" s="230"/>
      <c r="L266" s="230"/>
      <c r="M266" s="228"/>
      <c r="N266" s="257"/>
      <c r="O266" s="228"/>
      <c r="P266" s="228"/>
      <c r="Q266" s="2357"/>
      <c r="R266" s="258"/>
      <c r="S266" s="2381"/>
      <c r="T266" s="2381"/>
      <c r="U266" s="254"/>
      <c r="V266" s="228"/>
      <c r="W266" s="2357"/>
      <c r="X266" s="256"/>
      <c r="Y266" s="248"/>
      <c r="Z266" s="248"/>
      <c r="AA266" s="248"/>
      <c r="AB266" s="247"/>
      <c r="AC266" s="248"/>
      <c r="AD266" s="248"/>
      <c r="AE266" s="194"/>
      <c r="AF266" s="249"/>
      <c r="AG266" s="250"/>
      <c r="AH266" s="251"/>
      <c r="AI266" s="252"/>
    </row>
    <row r="267" spans="2:35">
      <c r="B267" s="253">
        <f t="shared" si="11"/>
        <v>258</v>
      </c>
      <c r="C267" s="244"/>
      <c r="D267" s="654"/>
      <c r="E267" s="466"/>
      <c r="F267" s="612"/>
      <c r="G267" s="2973"/>
      <c r="H267" s="230"/>
      <c r="I267" s="230"/>
      <c r="J267" s="230"/>
      <c r="K267" s="230"/>
      <c r="L267" s="230"/>
      <c r="M267" s="228"/>
      <c r="N267" s="257"/>
      <c r="O267" s="228"/>
      <c r="P267" s="228"/>
      <c r="Q267" s="2357"/>
      <c r="R267" s="258"/>
      <c r="S267" s="2381"/>
      <c r="T267" s="2381"/>
      <c r="U267" s="254"/>
      <c r="V267" s="228"/>
      <c r="W267" s="2357"/>
      <c r="X267" s="256"/>
      <c r="Y267" s="248"/>
      <c r="Z267" s="248"/>
      <c r="AA267" s="248"/>
      <c r="AB267" s="247"/>
      <c r="AC267" s="248"/>
      <c r="AD267" s="248"/>
      <c r="AE267" s="194"/>
      <c r="AF267" s="249"/>
      <c r="AG267" s="250"/>
      <c r="AH267" s="251"/>
      <c r="AI267" s="252"/>
    </row>
    <row r="268" spans="2:35">
      <c r="B268" s="253">
        <f t="shared" si="11"/>
        <v>259</v>
      </c>
      <c r="C268" s="244"/>
      <c r="D268" s="654"/>
      <c r="E268" s="466"/>
      <c r="F268" s="612"/>
      <c r="G268" s="2973"/>
      <c r="H268" s="230"/>
      <c r="I268" s="230"/>
      <c r="J268" s="230"/>
      <c r="K268" s="230"/>
      <c r="L268" s="230"/>
      <c r="M268" s="228"/>
      <c r="N268" s="257"/>
      <c r="O268" s="228"/>
      <c r="P268" s="228"/>
      <c r="Q268" s="2357"/>
      <c r="R268" s="258"/>
      <c r="S268" s="2381"/>
      <c r="T268" s="2381"/>
      <c r="U268" s="254"/>
      <c r="V268" s="228"/>
      <c r="W268" s="2357"/>
      <c r="X268" s="256"/>
      <c r="Y268" s="248"/>
      <c r="Z268" s="248"/>
      <c r="AA268" s="248"/>
      <c r="AB268" s="247"/>
      <c r="AC268" s="248"/>
      <c r="AD268" s="248"/>
      <c r="AE268" s="194"/>
      <c r="AF268" s="249"/>
      <c r="AG268" s="250"/>
      <c r="AH268" s="251"/>
      <c r="AI268" s="252"/>
    </row>
    <row r="269" spans="2:35">
      <c r="B269" s="253">
        <f t="shared" si="11"/>
        <v>260</v>
      </c>
      <c r="C269" s="244"/>
      <c r="D269" s="654"/>
      <c r="E269" s="466"/>
      <c r="F269" s="612"/>
      <c r="G269" s="2973"/>
      <c r="H269" s="230"/>
      <c r="I269" s="230"/>
      <c r="J269" s="230"/>
      <c r="K269" s="230"/>
      <c r="L269" s="230"/>
      <c r="M269" s="228"/>
      <c r="N269" s="257"/>
      <c r="O269" s="228"/>
      <c r="P269" s="228"/>
      <c r="Q269" s="2357"/>
      <c r="R269" s="258"/>
      <c r="S269" s="2381"/>
      <c r="T269" s="2381"/>
      <c r="U269" s="254"/>
      <c r="V269" s="228"/>
      <c r="W269" s="2357"/>
      <c r="X269" s="256"/>
      <c r="Y269" s="248"/>
      <c r="Z269" s="248"/>
      <c r="AA269" s="248"/>
      <c r="AB269" s="247"/>
      <c r="AC269" s="248"/>
      <c r="AD269" s="248"/>
      <c r="AE269" s="194"/>
      <c r="AF269" s="249"/>
      <c r="AG269" s="250"/>
      <c r="AH269" s="251"/>
      <c r="AI269" s="252"/>
    </row>
    <row r="270" spans="2:35">
      <c r="B270" s="253">
        <f t="shared" si="11"/>
        <v>261</v>
      </c>
      <c r="C270" s="244"/>
      <c r="D270" s="654"/>
      <c r="E270" s="466"/>
      <c r="F270" s="612"/>
      <c r="G270" s="2973"/>
      <c r="H270" s="230"/>
      <c r="I270" s="230"/>
      <c r="J270" s="230"/>
      <c r="K270" s="230"/>
      <c r="L270" s="230"/>
      <c r="M270" s="228"/>
      <c r="N270" s="257"/>
      <c r="O270" s="228"/>
      <c r="P270" s="228"/>
      <c r="Q270" s="2357"/>
      <c r="R270" s="258"/>
      <c r="S270" s="2381"/>
      <c r="T270" s="2381"/>
      <c r="U270" s="254"/>
      <c r="V270" s="228"/>
      <c r="W270" s="2357"/>
      <c r="X270" s="256"/>
      <c r="Y270" s="248"/>
      <c r="Z270" s="248"/>
      <c r="AA270" s="248"/>
      <c r="AB270" s="247"/>
      <c r="AC270" s="248"/>
      <c r="AD270" s="248"/>
      <c r="AE270" s="194"/>
      <c r="AF270" s="249"/>
      <c r="AG270" s="250"/>
      <c r="AH270" s="251"/>
      <c r="AI270" s="252"/>
    </row>
    <row r="271" spans="2:35">
      <c r="B271" s="253">
        <f t="shared" si="11"/>
        <v>262</v>
      </c>
      <c r="C271" s="244"/>
      <c r="D271" s="654"/>
      <c r="E271" s="466"/>
      <c r="F271" s="612"/>
      <c r="G271" s="2973"/>
      <c r="H271" s="230"/>
      <c r="I271" s="230"/>
      <c r="J271" s="230"/>
      <c r="K271" s="230"/>
      <c r="L271" s="230"/>
      <c r="M271" s="228"/>
      <c r="N271" s="257"/>
      <c r="O271" s="228"/>
      <c r="P271" s="228"/>
      <c r="Q271" s="2357"/>
      <c r="R271" s="258"/>
      <c r="S271" s="2381"/>
      <c r="T271" s="2381"/>
      <c r="U271" s="254"/>
      <c r="V271" s="228"/>
      <c r="W271" s="2357"/>
      <c r="X271" s="256"/>
      <c r="Y271" s="248"/>
      <c r="Z271" s="248"/>
      <c r="AA271" s="248"/>
      <c r="AB271" s="247"/>
      <c r="AC271" s="248"/>
      <c r="AD271" s="248"/>
      <c r="AE271" s="194"/>
      <c r="AF271" s="249"/>
      <c r="AG271" s="250"/>
      <c r="AH271" s="251"/>
      <c r="AI271" s="252"/>
    </row>
  </sheetData>
  <mergeCells count="13">
    <mergeCell ref="B9:M9"/>
    <mergeCell ref="B1:U1"/>
    <mergeCell ref="B4:M4"/>
    <mergeCell ref="O7:O8"/>
    <mergeCell ref="I7:I8"/>
    <mergeCell ref="D7:D8"/>
    <mergeCell ref="R7:R8"/>
    <mergeCell ref="T7:T8"/>
    <mergeCell ref="Q7:Q8"/>
    <mergeCell ref="E7:E8"/>
    <mergeCell ref="F7:F8"/>
    <mergeCell ref="H7:H8"/>
    <mergeCell ref="M7:M8"/>
  </mergeCells>
  <conditionalFormatting sqref="E5:E6 E10:E271">
    <cfRule type="duplicateValues" dxfId="216" priority="750"/>
  </conditionalFormatting>
  <conditionalFormatting sqref="E7">
    <cfRule type="duplicateValues" dxfId="215" priority="2"/>
  </conditionalFormatting>
  <conditionalFormatting sqref="P4:Q4">
    <cfRule type="duplicateValues" dxfId="214" priority="6"/>
  </conditionalFormatting>
  <conditionalFormatting sqref="P9:Q9">
    <cfRule type="duplicateValues" dxfId="213" priority="1"/>
  </conditionalFormatting>
  <conditionalFormatting sqref="P10:Q271 P8 P5:Q7">
    <cfRule type="duplicateValues" dxfId="212" priority="748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D2C68-2D43-4E47-B1E3-86411551BBA6}">
  <dimension ref="A1:AN748"/>
  <sheetViews>
    <sheetView topLeftCell="B1" zoomScale="70" zoomScaleNormal="70" workbookViewId="0">
      <pane xSplit="19" ySplit="3" topLeftCell="AC493" activePane="bottomRight" state="frozen"/>
      <selection activeCell="H139" sqref="H139"/>
      <selection pane="topRight" activeCell="H139" sqref="H139"/>
      <selection pane="bottomLeft" activeCell="H139" sqref="H139"/>
      <selection pane="bottomRight" activeCell="AC502" sqref="AC502"/>
    </sheetView>
  </sheetViews>
  <sheetFormatPr defaultColWidth="9.109375" defaultRowHeight="15.6"/>
  <cols>
    <col min="1" max="1" width="5.5546875" style="226" hidden="1" customWidth="1"/>
    <col min="2" max="2" width="6.33203125" style="259" customWidth="1"/>
    <col min="3" max="3" width="8.5546875" style="260" hidden="1" customWidth="1"/>
    <col min="4" max="4" width="14.109375" style="264" customWidth="1"/>
    <col min="5" max="5" width="20.109375" style="467" customWidth="1"/>
    <col min="6" max="6" width="12.5546875" style="604" customWidth="1"/>
    <col min="7" max="7" width="17.88671875" style="262" customWidth="1"/>
    <col min="8" max="8" width="6.6640625" style="261" customWidth="1"/>
    <col min="9" max="11" width="5.109375" style="261" customWidth="1"/>
    <col min="12" max="12" width="4.6640625" style="263" hidden="1" customWidth="1"/>
    <col min="13" max="13" width="7.5546875" style="265" hidden="1" customWidth="1"/>
    <col min="14" max="14" width="22.33203125" style="263" customWidth="1"/>
    <col min="15" max="15" width="17.6640625" style="263" customWidth="1"/>
    <col min="16" max="16" width="30" style="266" customWidth="1"/>
    <col min="17" max="18" width="14" style="266" customWidth="1"/>
    <col min="19" max="19" width="12.5546875" style="263" customWidth="1"/>
    <col min="20" max="21" width="0.109375" style="263" customWidth="1"/>
    <col min="22" max="22" width="14.33203125" style="264" customWidth="1"/>
    <col min="23" max="23" width="15.6640625" style="268" customWidth="1"/>
    <col min="24" max="24" width="12.6640625" style="268" customWidth="1"/>
    <col min="25" max="25" width="14" style="268" hidden="1" customWidth="1"/>
    <col min="26" max="26" width="15.6640625" style="264" hidden="1" customWidth="1"/>
    <col min="27" max="27" width="14.44140625" style="268" customWidth="1"/>
    <col min="28" max="28" width="19.44140625" style="268" customWidth="1"/>
    <col min="29" max="29" width="15.5546875" style="269" customWidth="1"/>
    <col min="30" max="30" width="27" style="270" customWidth="1"/>
    <col min="31" max="31" width="18.6640625" style="271" customWidth="1"/>
    <col min="32" max="32" width="16.6640625" style="272" customWidth="1"/>
    <col min="33" max="33" width="15.109375" style="273" customWidth="1"/>
    <col min="34" max="34" width="20.44140625" style="274" hidden="1" customWidth="1"/>
    <col min="35" max="35" width="20.6640625" style="274" hidden="1" customWidth="1"/>
    <col min="36" max="36" width="22" style="274" hidden="1" customWidth="1"/>
    <col min="37" max="37" width="26.109375" style="269" hidden="1" customWidth="1"/>
    <col min="38" max="38" width="34.33203125" style="196" hidden="1" customWidth="1"/>
    <col min="39" max="39" width="18.88671875" style="196" bestFit="1" customWidth="1"/>
    <col min="40" max="40" width="15" style="196" bestFit="1" customWidth="1"/>
    <col min="41" max="16384" width="9.109375" style="196"/>
  </cols>
  <sheetData>
    <row r="1" spans="1:40" s="687" customFormat="1" ht="15.75" customHeight="1">
      <c r="B1" s="3407" t="s">
        <v>4366</v>
      </c>
      <c r="C1" s="3407"/>
      <c r="D1" s="3407"/>
      <c r="E1" s="3407"/>
      <c r="F1" s="3407"/>
      <c r="G1" s="3407"/>
      <c r="H1" s="3407"/>
      <c r="I1" s="3407"/>
      <c r="J1" s="3407"/>
      <c r="K1" s="3407"/>
      <c r="L1" s="3407"/>
      <c r="M1" s="3407"/>
      <c r="N1" s="3407"/>
      <c r="O1" s="3407"/>
      <c r="P1" s="3407"/>
      <c r="Q1" s="3407"/>
      <c r="R1" s="3407"/>
      <c r="S1" s="3407"/>
      <c r="T1" s="688"/>
      <c r="U1" s="688"/>
      <c r="V1" s="688"/>
      <c r="W1" s="688"/>
      <c r="X1" s="688"/>
      <c r="Y1" s="688"/>
      <c r="Z1" s="688"/>
      <c r="AA1" s="688"/>
      <c r="AB1" s="688"/>
      <c r="AC1" s="688"/>
      <c r="AD1" s="688"/>
      <c r="AE1" s="688"/>
      <c r="AF1" s="688"/>
      <c r="AG1" s="688"/>
      <c r="AH1" s="688"/>
      <c r="AI1" s="688"/>
      <c r="AJ1" s="688"/>
      <c r="AK1" s="688"/>
      <c r="AL1" s="688"/>
      <c r="AM1" s="688"/>
      <c r="AN1" s="688"/>
    </row>
    <row r="2" spans="1:40" ht="18">
      <c r="A2" s="193"/>
      <c r="B2" s="197"/>
      <c r="C2" s="198"/>
      <c r="D2" s="202"/>
      <c r="E2" s="455" t="s">
        <v>657</v>
      </c>
      <c r="F2" s="599"/>
      <c r="G2" s="2612" t="s">
        <v>6462</v>
      </c>
      <c r="H2" s="2606"/>
      <c r="I2" s="2607"/>
      <c r="J2" s="2606"/>
      <c r="K2" s="2606"/>
      <c r="L2" s="2608"/>
      <c r="M2" s="2609"/>
      <c r="N2" s="2609"/>
      <c r="O2" s="2609"/>
      <c r="P2" s="2610"/>
      <c r="Q2" s="2611"/>
      <c r="R2" s="2611"/>
      <c r="S2" s="202"/>
      <c r="T2" s="203"/>
      <c r="U2" s="2354"/>
      <c r="V2" s="202"/>
      <c r="W2" s="198"/>
      <c r="X2" s="198"/>
      <c r="Y2" s="198"/>
      <c r="Z2" s="199"/>
      <c r="AA2" s="199"/>
      <c r="AB2" s="199"/>
      <c r="AC2" s="199"/>
      <c r="AD2" s="205"/>
      <c r="AE2" s="199"/>
      <c r="AF2" s="199"/>
      <c r="AG2" s="206"/>
      <c r="AH2" s="207"/>
      <c r="AI2" s="207"/>
      <c r="AJ2" s="207"/>
      <c r="AK2" s="194"/>
      <c r="AL2" s="195"/>
      <c r="AM2" s="195"/>
    </row>
    <row r="3" spans="1:40" s="226" customFormat="1" ht="71.25" customHeight="1">
      <c r="A3" s="208" t="s">
        <v>174</v>
      </c>
      <c r="B3" s="209" t="s">
        <v>2</v>
      </c>
      <c r="C3" s="210" t="s">
        <v>3571</v>
      </c>
      <c r="D3" s="213" t="s">
        <v>3922</v>
      </c>
      <c r="E3" s="456" t="s">
        <v>175</v>
      </c>
      <c r="F3" s="600" t="s">
        <v>176</v>
      </c>
      <c r="G3" s="212" t="s">
        <v>177</v>
      </c>
      <c r="H3" s="211" t="s">
        <v>179</v>
      </c>
      <c r="I3" s="211" t="s">
        <v>8</v>
      </c>
      <c r="J3" s="211" t="s">
        <v>9</v>
      </c>
      <c r="K3" s="211" t="s">
        <v>102</v>
      </c>
      <c r="L3" s="211" t="s">
        <v>404</v>
      </c>
      <c r="M3" s="214" t="s">
        <v>183</v>
      </c>
      <c r="N3" s="211" t="s">
        <v>185</v>
      </c>
      <c r="O3" s="210" t="s">
        <v>188</v>
      </c>
      <c r="P3" s="215" t="s">
        <v>186</v>
      </c>
      <c r="Q3" s="2366" t="s">
        <v>5941</v>
      </c>
      <c r="R3" s="210" t="s">
        <v>4397</v>
      </c>
      <c r="S3" s="210" t="s">
        <v>8096</v>
      </c>
      <c r="T3" s="211" t="s">
        <v>3572</v>
      </c>
      <c r="U3" s="2355"/>
      <c r="V3" s="212" t="s">
        <v>1291</v>
      </c>
      <c r="W3" s="217" t="s">
        <v>190</v>
      </c>
      <c r="X3" s="217" t="s">
        <v>191</v>
      </c>
      <c r="Y3" s="218" t="s">
        <v>3573</v>
      </c>
      <c r="Z3" s="218" t="s">
        <v>3574</v>
      </c>
      <c r="AA3" s="219" t="s">
        <v>194</v>
      </c>
      <c r="AB3" s="219" t="s">
        <v>195</v>
      </c>
      <c r="AC3" s="220" t="s">
        <v>196</v>
      </c>
      <c r="AD3" s="221" t="s">
        <v>197</v>
      </c>
      <c r="AE3" s="218" t="s">
        <v>198</v>
      </c>
      <c r="AF3" s="219" t="s">
        <v>199</v>
      </c>
      <c r="AG3" s="222" t="s">
        <v>200</v>
      </c>
      <c r="AH3" s="223" t="s">
        <v>3575</v>
      </c>
      <c r="AI3" s="223" t="s">
        <v>3576</v>
      </c>
      <c r="AJ3" s="223" t="s">
        <v>3577</v>
      </c>
      <c r="AK3" s="224" t="s">
        <v>204</v>
      </c>
      <c r="AL3" s="225" t="s">
        <v>205</v>
      </c>
      <c r="AM3" s="225"/>
    </row>
    <row r="4" spans="1:40" ht="16.5" customHeight="1">
      <c r="A4" s="227"/>
      <c r="B4" s="228">
        <v>1</v>
      </c>
      <c r="C4" s="229"/>
      <c r="D4" s="233"/>
      <c r="E4" s="457">
        <v>105245148300</v>
      </c>
      <c r="F4" s="601">
        <v>44958</v>
      </c>
      <c r="G4" s="47" t="s">
        <v>3578</v>
      </c>
      <c r="H4" s="230" t="s">
        <v>3579</v>
      </c>
      <c r="I4" s="231"/>
      <c r="J4" s="231"/>
      <c r="K4" s="232">
        <v>1</v>
      </c>
      <c r="L4" s="228" t="s">
        <v>210</v>
      </c>
      <c r="M4" s="233"/>
      <c r="N4" s="235" t="s">
        <v>207</v>
      </c>
      <c r="O4" s="238"/>
      <c r="P4" s="236"/>
      <c r="Q4" s="2367"/>
      <c r="R4" s="2367"/>
      <c r="S4" s="237"/>
      <c r="T4" s="234" t="s">
        <v>3580</v>
      </c>
      <c r="U4" s="2356"/>
      <c r="V4" s="233"/>
      <c r="W4" s="285">
        <v>37440</v>
      </c>
      <c r="X4" s="275"/>
      <c r="Y4" s="285">
        <v>2604176</v>
      </c>
      <c r="Z4" s="275"/>
      <c r="AA4" s="276"/>
      <c r="AB4" s="340">
        <f t="shared" ref="AB4:AB9" si="0">V4+W4+X4+Y4+Z4+AA4</f>
        <v>2641616</v>
      </c>
      <c r="AC4" s="347">
        <f>+Z4</f>
        <v>0</v>
      </c>
      <c r="AD4" s="239"/>
      <c r="AE4" s="341">
        <v>2547600</v>
      </c>
      <c r="AF4" s="342">
        <f>+AB4+AE4</f>
        <v>5189216</v>
      </c>
      <c r="AG4" s="240"/>
      <c r="AH4" s="241"/>
      <c r="AI4" s="241"/>
      <c r="AJ4" s="241"/>
      <c r="AK4" s="242"/>
      <c r="AL4" s="243"/>
      <c r="AM4" s="195"/>
      <c r="AN4" s="196">
        <v>2547600</v>
      </c>
    </row>
    <row r="5" spans="1:40" ht="17.25" customHeight="1">
      <c r="B5" s="253">
        <v>2</v>
      </c>
      <c r="C5" s="244"/>
      <c r="D5" s="256"/>
      <c r="E5" s="458" t="s">
        <v>217</v>
      </c>
      <c r="F5" s="601">
        <v>44963</v>
      </c>
      <c r="G5" s="47" t="s">
        <v>3581</v>
      </c>
      <c r="H5" s="230" t="s">
        <v>210</v>
      </c>
      <c r="I5" s="230"/>
      <c r="J5" s="230">
        <v>1</v>
      </c>
      <c r="K5" s="230"/>
      <c r="L5" s="228" t="s">
        <v>210</v>
      </c>
      <c r="M5" s="257"/>
      <c r="N5" s="228" t="s">
        <v>3582</v>
      </c>
      <c r="O5" s="228" t="s">
        <v>218</v>
      </c>
      <c r="P5" s="245"/>
      <c r="Q5" s="2368"/>
      <c r="R5" s="2368"/>
      <c r="S5" s="254" t="s">
        <v>3583</v>
      </c>
      <c r="T5" s="228" t="s">
        <v>386</v>
      </c>
      <c r="U5" s="2357"/>
      <c r="V5" s="256"/>
      <c r="W5" s="373">
        <v>1050000</v>
      </c>
      <c r="X5" s="373">
        <v>961400</v>
      </c>
      <c r="Y5" s="248"/>
      <c r="Z5" s="247"/>
      <c r="AA5" s="248"/>
      <c r="AB5" s="340">
        <f t="shared" si="0"/>
        <v>2011400</v>
      </c>
      <c r="AC5" s="347">
        <f t="shared" ref="AC5:AC63" si="1">+Z5</f>
        <v>0</v>
      </c>
      <c r="AD5" s="249"/>
      <c r="AE5" s="341">
        <v>5396600</v>
      </c>
      <c r="AF5" s="342">
        <f t="shared" ref="AF5:AF63" si="2">+AB5+AE5</f>
        <v>7408000</v>
      </c>
      <c r="AG5" s="275">
        <f>+W5+X5</f>
        <v>2011400</v>
      </c>
      <c r="AH5" s="241"/>
      <c r="AI5" s="241"/>
      <c r="AJ5" s="241"/>
      <c r="AK5" s="194"/>
      <c r="AL5" s="195"/>
      <c r="AM5" s="195"/>
      <c r="AN5" s="196">
        <v>5396600</v>
      </c>
    </row>
    <row r="6" spans="1:40">
      <c r="B6" s="253">
        <v>3</v>
      </c>
      <c r="C6" s="244"/>
      <c r="D6" s="256"/>
      <c r="E6" s="458" t="s">
        <v>389</v>
      </c>
      <c r="F6" s="601">
        <v>44965</v>
      </c>
      <c r="G6" s="47" t="s">
        <v>3584</v>
      </c>
      <c r="H6" s="230" t="s">
        <v>210</v>
      </c>
      <c r="I6" s="230"/>
      <c r="J6" s="230">
        <v>1</v>
      </c>
      <c r="K6" s="230"/>
      <c r="L6" s="228" t="s">
        <v>210</v>
      </c>
      <c r="M6" s="257"/>
      <c r="N6" s="289" t="s">
        <v>402</v>
      </c>
      <c r="O6" s="228" t="s">
        <v>403</v>
      </c>
      <c r="P6" s="245"/>
      <c r="Q6" s="2368"/>
      <c r="R6" s="2368"/>
      <c r="S6" s="254"/>
      <c r="T6" s="228"/>
      <c r="U6" s="2357"/>
      <c r="V6" s="256"/>
      <c r="W6" s="373">
        <v>1300000</v>
      </c>
      <c r="X6" s="373">
        <v>1050000</v>
      </c>
      <c r="Y6" s="248"/>
      <c r="Z6" s="247"/>
      <c r="AA6" s="248"/>
      <c r="AB6" s="340">
        <f t="shared" si="0"/>
        <v>2350000</v>
      </c>
      <c r="AC6" s="347">
        <f t="shared" si="1"/>
        <v>0</v>
      </c>
      <c r="AD6" s="249"/>
      <c r="AE6" s="341">
        <v>5396600</v>
      </c>
      <c r="AF6" s="342">
        <f t="shared" si="2"/>
        <v>7746600</v>
      </c>
      <c r="AG6" s="275">
        <f>+W6+X6</f>
        <v>2350000</v>
      </c>
      <c r="AH6" s="241"/>
      <c r="AI6" s="241"/>
      <c r="AJ6" s="241"/>
      <c r="AK6" s="194"/>
      <c r="AL6" s="195"/>
      <c r="AM6" s="195"/>
      <c r="AN6" s="196">
        <v>5396600</v>
      </c>
    </row>
    <row r="7" spans="1:40">
      <c r="B7" s="253">
        <v>4</v>
      </c>
      <c r="C7" s="244"/>
      <c r="D7" s="256"/>
      <c r="E7" s="458" t="s">
        <v>289</v>
      </c>
      <c r="F7" s="601">
        <v>44977</v>
      </c>
      <c r="G7" s="47" t="s">
        <v>3585</v>
      </c>
      <c r="H7" s="230" t="s">
        <v>210</v>
      </c>
      <c r="I7" s="230"/>
      <c r="J7" s="230">
        <v>1</v>
      </c>
      <c r="K7" s="230"/>
      <c r="L7" s="228" t="s">
        <v>210</v>
      </c>
      <c r="M7" s="257"/>
      <c r="N7" s="289" t="s">
        <v>286</v>
      </c>
      <c r="O7" s="254" t="s">
        <v>288</v>
      </c>
      <c r="P7" s="245"/>
      <c r="Q7" s="2368"/>
      <c r="R7" s="2368"/>
      <c r="S7" s="254" t="s">
        <v>287</v>
      </c>
      <c r="T7" s="228" t="s">
        <v>386</v>
      </c>
      <c r="U7" s="2357"/>
      <c r="V7" s="256"/>
      <c r="W7" s="373">
        <v>709500</v>
      </c>
      <c r="X7" s="373">
        <v>1350000</v>
      </c>
      <c r="Y7" s="248"/>
      <c r="Z7" s="247"/>
      <c r="AA7" s="248"/>
      <c r="AB7" s="340">
        <f t="shared" si="0"/>
        <v>2059500</v>
      </c>
      <c r="AC7" s="347">
        <f t="shared" si="1"/>
        <v>0</v>
      </c>
      <c r="AD7" s="249"/>
      <c r="AE7" s="341">
        <v>5396600</v>
      </c>
      <c r="AF7" s="342">
        <f t="shared" si="2"/>
        <v>7456100</v>
      </c>
      <c r="AG7" s="275">
        <f>+W7+X7</f>
        <v>2059500</v>
      </c>
      <c r="AH7" s="241"/>
      <c r="AI7" s="241"/>
      <c r="AJ7" s="241"/>
      <c r="AK7" s="194"/>
      <c r="AL7" s="195"/>
      <c r="AM7" s="195"/>
      <c r="AN7" s="196">
        <v>5396600</v>
      </c>
    </row>
    <row r="8" spans="1:40" ht="46.8">
      <c r="B8" s="253">
        <v>5</v>
      </c>
      <c r="C8" s="244"/>
      <c r="D8" s="256"/>
      <c r="E8" s="457">
        <v>105285513320</v>
      </c>
      <c r="F8" s="601">
        <v>44980</v>
      </c>
      <c r="G8" s="47" t="s">
        <v>3586</v>
      </c>
      <c r="H8" s="230" t="s">
        <v>3579</v>
      </c>
      <c r="I8" s="230"/>
      <c r="J8" s="230">
        <v>2</v>
      </c>
      <c r="K8" s="230"/>
      <c r="L8" s="228"/>
      <c r="M8" s="257"/>
      <c r="N8" s="228" t="s">
        <v>375</v>
      </c>
      <c r="O8" s="254" t="s">
        <v>3587</v>
      </c>
      <c r="P8" s="245"/>
      <c r="Q8" s="2368"/>
      <c r="R8" s="2368"/>
      <c r="S8" s="254"/>
      <c r="T8" s="228"/>
      <c r="U8" s="2357"/>
      <c r="V8" s="256"/>
      <c r="W8" s="324">
        <v>2035000</v>
      </c>
      <c r="X8" s="373">
        <v>2700000</v>
      </c>
      <c r="Y8" s="248"/>
      <c r="Z8" s="247"/>
      <c r="AA8" s="248"/>
      <c r="AB8" s="340">
        <f t="shared" si="0"/>
        <v>4735000</v>
      </c>
      <c r="AC8" s="347">
        <f t="shared" si="1"/>
        <v>0</v>
      </c>
      <c r="AD8" s="249" t="s">
        <v>3588</v>
      </c>
      <c r="AE8" s="341">
        <v>8813200</v>
      </c>
      <c r="AF8" s="342">
        <f t="shared" si="2"/>
        <v>13548200</v>
      </c>
      <c r="AG8" s="275">
        <f>+X8</f>
        <v>2700000</v>
      </c>
      <c r="AH8" s="241"/>
      <c r="AI8" s="241"/>
      <c r="AJ8" s="241"/>
      <c r="AK8" s="194"/>
      <c r="AL8" s="195"/>
      <c r="AM8" s="195"/>
      <c r="AN8" s="196">
        <v>8813200</v>
      </c>
    </row>
    <row r="9" spans="1:40">
      <c r="B9" s="253">
        <v>6</v>
      </c>
      <c r="C9" s="244"/>
      <c r="D9" s="256"/>
      <c r="E9" s="457">
        <v>105283687720</v>
      </c>
      <c r="F9" s="601">
        <v>44980</v>
      </c>
      <c r="G9" s="47" t="s">
        <v>3589</v>
      </c>
      <c r="H9" s="230" t="s">
        <v>3579</v>
      </c>
      <c r="I9" s="230"/>
      <c r="J9" s="230"/>
      <c r="K9" s="230">
        <v>1</v>
      </c>
      <c r="L9" s="228"/>
      <c r="M9" s="257"/>
      <c r="N9" s="228" t="s">
        <v>376</v>
      </c>
      <c r="O9" s="228"/>
      <c r="P9" s="245"/>
      <c r="Q9" s="2368"/>
      <c r="R9" s="2368"/>
      <c r="S9" s="254"/>
      <c r="T9" s="228"/>
      <c r="U9" s="2357"/>
      <c r="V9" s="256"/>
      <c r="W9" s="248"/>
      <c r="X9" s="248"/>
      <c r="Y9" s="248"/>
      <c r="Z9" s="247"/>
      <c r="AA9" s="248"/>
      <c r="AB9" s="340">
        <f t="shared" si="0"/>
        <v>0</v>
      </c>
      <c r="AC9" s="347">
        <f t="shared" si="1"/>
        <v>0</v>
      </c>
      <c r="AD9" s="249" t="s">
        <v>3588</v>
      </c>
      <c r="AE9" s="341">
        <v>1557600.0000000002</v>
      </c>
      <c r="AF9" s="342">
        <f t="shared" si="2"/>
        <v>1557600.0000000002</v>
      </c>
      <c r="AG9" s="252"/>
      <c r="AH9" s="241"/>
      <c r="AI9" s="241"/>
      <c r="AJ9" s="241"/>
      <c r="AK9" s="194"/>
      <c r="AL9" s="195"/>
      <c r="AM9" s="195"/>
      <c r="AN9" s="196">
        <v>1557600.0000000002</v>
      </c>
    </row>
    <row r="10" spans="1:40" s="13" customFormat="1" ht="23.25" customHeight="1">
      <c r="A10" s="643" t="s">
        <v>3590</v>
      </c>
      <c r="B10" s="644"/>
      <c r="C10" s="644"/>
      <c r="D10" s="346"/>
      <c r="E10" s="644"/>
      <c r="F10" s="644"/>
      <c r="G10" s="644"/>
      <c r="H10" s="644"/>
      <c r="I10" s="369"/>
      <c r="J10" s="346"/>
      <c r="K10" s="346"/>
      <c r="L10" s="346"/>
      <c r="M10" s="346"/>
      <c r="N10" s="346"/>
      <c r="O10" s="354"/>
      <c r="P10" s="346"/>
      <c r="Q10" s="346"/>
      <c r="R10" s="346"/>
      <c r="S10" s="346"/>
      <c r="T10" s="346"/>
      <c r="U10" s="346"/>
      <c r="V10" s="357"/>
      <c r="W10" s="357"/>
      <c r="X10" s="357"/>
      <c r="Y10" s="357"/>
      <c r="Z10" s="357"/>
      <c r="AA10" s="357"/>
      <c r="AB10" s="358">
        <f>SUM(AB4:AB9)</f>
        <v>13797516</v>
      </c>
      <c r="AC10" s="358">
        <f>SUM(AC4:AC9)</f>
        <v>0</v>
      </c>
      <c r="AD10" s="359"/>
      <c r="AE10" s="360">
        <f>SUM(AE4:AE9)</f>
        <v>29108200</v>
      </c>
      <c r="AF10" s="358">
        <f>+AB10+AC10+AE10</f>
        <v>42905716</v>
      </c>
      <c r="AG10" s="357"/>
      <c r="AH10" s="357"/>
      <c r="AI10" s="357"/>
      <c r="AJ10" s="357"/>
      <c r="AK10" s="357"/>
      <c r="AL10" s="357"/>
      <c r="AM10" s="357"/>
    </row>
    <row r="11" spans="1:40" ht="78">
      <c r="B11" s="253">
        <v>1</v>
      </c>
      <c r="C11" s="244"/>
      <c r="D11" s="256"/>
      <c r="E11" s="459" t="s">
        <v>3591</v>
      </c>
      <c r="F11" s="602"/>
      <c r="G11" s="47" t="s">
        <v>3592</v>
      </c>
      <c r="H11" s="230"/>
      <c r="I11" s="230"/>
      <c r="J11" s="230"/>
      <c r="K11" s="230"/>
      <c r="L11" s="228"/>
      <c r="M11" s="257"/>
      <c r="N11" s="228"/>
      <c r="O11" s="228"/>
      <c r="P11" s="245"/>
      <c r="Q11" s="2368"/>
      <c r="R11" s="2368"/>
      <c r="S11" s="254"/>
      <c r="T11" s="228"/>
      <c r="U11" s="2357"/>
      <c r="V11" s="256"/>
      <c r="W11" s="248"/>
      <c r="X11" s="248"/>
      <c r="Y11" s="248"/>
      <c r="Z11" s="247"/>
      <c r="AA11" s="248"/>
      <c r="AB11" s="340">
        <f>V11+W11+X11+Y11+Z11+AA11</f>
        <v>0</v>
      </c>
      <c r="AC11" s="347">
        <f>+Z11</f>
        <v>0</v>
      </c>
      <c r="AD11" s="249" t="s">
        <v>647</v>
      </c>
      <c r="AE11" s="341">
        <v>2200000</v>
      </c>
      <c r="AF11" s="342">
        <f>+AB11+AE11</f>
        <v>2200000</v>
      </c>
      <c r="AG11" s="275"/>
      <c r="AH11" s="241"/>
      <c r="AI11" s="241"/>
      <c r="AJ11" s="241"/>
      <c r="AK11" s="194"/>
      <c r="AL11" s="195"/>
      <c r="AM11" s="195"/>
    </row>
    <row r="12" spans="1:40">
      <c r="B12" s="253">
        <v>2</v>
      </c>
      <c r="C12" s="244"/>
      <c r="D12" s="256"/>
      <c r="E12" s="460" t="s">
        <v>419</v>
      </c>
      <c r="F12" s="602">
        <v>44986</v>
      </c>
      <c r="G12" s="47" t="s">
        <v>3593</v>
      </c>
      <c r="H12" s="230" t="s">
        <v>210</v>
      </c>
      <c r="I12" s="230"/>
      <c r="J12" s="230">
        <v>1</v>
      </c>
      <c r="K12" s="230"/>
      <c r="L12" s="228" t="s">
        <v>210</v>
      </c>
      <c r="M12" s="257"/>
      <c r="N12" s="228" t="s">
        <v>421</v>
      </c>
      <c r="O12" s="254" t="s">
        <v>420</v>
      </c>
      <c r="P12" s="245"/>
      <c r="Q12" s="2368"/>
      <c r="R12" s="2368"/>
      <c r="S12" s="254"/>
      <c r="T12" s="228"/>
      <c r="U12" s="2357"/>
      <c r="V12" s="256"/>
      <c r="W12" s="452">
        <v>1065000</v>
      </c>
      <c r="X12" s="373">
        <v>1115000</v>
      </c>
      <c r="Y12" s="248"/>
      <c r="Z12" s="247"/>
      <c r="AA12" s="248"/>
      <c r="AB12" s="340">
        <f>V12+W12+X12+Y12+Z12+AA12</f>
        <v>2180000</v>
      </c>
      <c r="AC12" s="347">
        <f t="shared" si="1"/>
        <v>0</v>
      </c>
      <c r="AD12" s="249" t="s">
        <v>3594</v>
      </c>
      <c r="AE12" s="341">
        <v>5750800</v>
      </c>
      <c r="AF12" s="342">
        <f>+AB12+AE12</f>
        <v>7930800</v>
      </c>
      <c r="AG12" s="275">
        <f>+W12+X12</f>
        <v>2180000</v>
      </c>
      <c r="AH12" s="241"/>
      <c r="AI12" s="241"/>
      <c r="AJ12" s="241"/>
      <c r="AK12" s="194"/>
      <c r="AL12" s="195"/>
      <c r="AM12" s="195"/>
    </row>
    <row r="13" spans="1:40" ht="31.2">
      <c r="B13" s="253">
        <v>3</v>
      </c>
      <c r="C13" s="244"/>
      <c r="D13" s="256"/>
      <c r="E13" s="460" t="s">
        <v>422</v>
      </c>
      <c r="F13" s="602">
        <v>44987</v>
      </c>
      <c r="G13" s="47" t="s">
        <v>3595</v>
      </c>
      <c r="H13" s="230" t="s">
        <v>210</v>
      </c>
      <c r="I13" s="230"/>
      <c r="J13" s="230">
        <v>2</v>
      </c>
      <c r="K13" s="230"/>
      <c r="L13" s="228" t="s">
        <v>210</v>
      </c>
      <c r="M13" s="257"/>
      <c r="N13" s="228">
        <v>22351222</v>
      </c>
      <c r="O13" s="254" t="s">
        <v>423</v>
      </c>
      <c r="P13" s="245"/>
      <c r="Q13" s="2368"/>
      <c r="R13" s="2368"/>
      <c r="S13" s="254"/>
      <c r="T13" s="228"/>
      <c r="U13" s="2357"/>
      <c r="V13" s="256"/>
      <c r="W13" s="373">
        <f>1056000+1056000</f>
        <v>2112000</v>
      </c>
      <c r="X13" s="373">
        <f>920000+920000</f>
        <v>1840000</v>
      </c>
      <c r="Y13" s="248"/>
      <c r="Z13" s="247"/>
      <c r="AA13" s="248"/>
      <c r="AB13" s="340">
        <f>W13+X13+Y13+Z13+AA13</f>
        <v>3952000</v>
      </c>
      <c r="AC13" s="347">
        <f t="shared" si="1"/>
        <v>0</v>
      </c>
      <c r="AD13" s="249"/>
      <c r="AE13" s="341">
        <v>10511600</v>
      </c>
      <c r="AF13" s="342">
        <f t="shared" si="2"/>
        <v>14463600</v>
      </c>
      <c r="AG13" s="275">
        <f>+W13+X13</f>
        <v>3952000</v>
      </c>
      <c r="AH13" s="241"/>
      <c r="AI13" s="241"/>
      <c r="AJ13" s="241"/>
      <c r="AK13" s="194"/>
      <c r="AL13" s="195"/>
      <c r="AM13" s="195"/>
    </row>
    <row r="14" spans="1:40">
      <c r="B14" s="253">
        <v>4</v>
      </c>
      <c r="C14" s="244"/>
      <c r="D14" s="256"/>
      <c r="E14" s="458" t="s">
        <v>424</v>
      </c>
      <c r="F14" s="602">
        <v>44993</v>
      </c>
      <c r="G14" s="394" t="s">
        <v>3596</v>
      </c>
      <c r="H14" s="230" t="s">
        <v>210</v>
      </c>
      <c r="I14" s="230">
        <v>1</v>
      </c>
      <c r="J14" s="230"/>
      <c r="K14" s="230"/>
      <c r="L14" s="228"/>
      <c r="M14" s="257"/>
      <c r="N14" s="228" t="s">
        <v>425</v>
      </c>
      <c r="O14" s="228" t="s">
        <v>426</v>
      </c>
      <c r="P14" s="245"/>
      <c r="Q14" s="2368"/>
      <c r="R14" s="2368"/>
      <c r="S14" s="254"/>
      <c r="T14" s="228"/>
      <c r="U14" s="2357"/>
      <c r="V14" s="256"/>
      <c r="W14" s="373">
        <v>900000</v>
      </c>
      <c r="X14" s="373">
        <v>401500</v>
      </c>
      <c r="Y14" s="248"/>
      <c r="Z14" s="247"/>
      <c r="AA14" s="248"/>
      <c r="AB14" s="340">
        <f t="shared" ref="AB14:AB24" si="3">W14+X14+Y14+Z14+AA14</f>
        <v>1301500</v>
      </c>
      <c r="AC14" s="347">
        <f t="shared" si="1"/>
        <v>0</v>
      </c>
      <c r="AD14" s="249" t="s">
        <v>3597</v>
      </c>
      <c r="AE14" s="341">
        <v>4320800</v>
      </c>
      <c r="AF14" s="342">
        <f t="shared" si="2"/>
        <v>5622300</v>
      </c>
      <c r="AG14" s="275">
        <f>+W14+X14</f>
        <v>1301500</v>
      </c>
      <c r="AH14" s="241"/>
      <c r="AI14" s="241"/>
      <c r="AJ14" s="241"/>
      <c r="AK14" s="194"/>
      <c r="AL14" s="195"/>
      <c r="AM14" s="195"/>
    </row>
    <row r="15" spans="1:40" ht="16.5" customHeight="1">
      <c r="B15" s="253">
        <v>5</v>
      </c>
      <c r="C15" s="244"/>
      <c r="D15" s="256"/>
      <c r="E15" s="645" t="s">
        <v>660</v>
      </c>
      <c r="F15" s="602">
        <v>44992</v>
      </c>
      <c r="G15" s="47" t="s">
        <v>3598</v>
      </c>
      <c r="H15" s="230" t="s">
        <v>3579</v>
      </c>
      <c r="I15" s="402">
        <v>1</v>
      </c>
      <c r="J15" s="230"/>
      <c r="K15" s="230"/>
      <c r="L15" s="375" t="s">
        <v>418</v>
      </c>
      <c r="M15" s="257"/>
      <c r="N15" s="254" t="s">
        <v>518</v>
      </c>
      <c r="O15" s="3441" t="s">
        <v>427</v>
      </c>
      <c r="P15" s="245"/>
      <c r="Q15" s="2368"/>
      <c r="R15" s="2368"/>
      <c r="S15" s="254"/>
      <c r="T15" s="228"/>
      <c r="U15" s="2357"/>
      <c r="V15" s="256"/>
      <c r="W15" s="324">
        <v>660000</v>
      </c>
      <c r="X15" s="373">
        <v>940000</v>
      </c>
      <c r="Y15" s="248"/>
      <c r="Z15" s="325">
        <v>3437016</v>
      </c>
      <c r="AA15" s="324">
        <v>302500</v>
      </c>
      <c r="AB15" s="340">
        <f t="shared" si="3"/>
        <v>5339516</v>
      </c>
      <c r="AC15" s="347">
        <f t="shared" si="1"/>
        <v>3437016</v>
      </c>
      <c r="AD15" s="3439" t="s">
        <v>417</v>
      </c>
      <c r="AE15" s="3427">
        <f>5678000*1.1</f>
        <v>6245800.0000000009</v>
      </c>
      <c r="AF15" s="3429">
        <f t="shared" si="2"/>
        <v>11585316</v>
      </c>
      <c r="AG15" s="275">
        <f>+X15</f>
        <v>940000</v>
      </c>
      <c r="AH15" s="3437">
        <v>1000000</v>
      </c>
      <c r="AI15" s="241"/>
      <c r="AJ15" s="241"/>
      <c r="AK15" s="194"/>
      <c r="AL15" s="195"/>
      <c r="AM15" s="195"/>
    </row>
    <row r="16" spans="1:40">
      <c r="B16" s="253"/>
      <c r="C16" s="244"/>
      <c r="D16" s="256"/>
      <c r="E16" s="646"/>
      <c r="F16" s="602">
        <v>44992</v>
      </c>
      <c r="G16" s="47" t="s">
        <v>3599</v>
      </c>
      <c r="H16" s="230" t="s">
        <v>3579</v>
      </c>
      <c r="I16" s="419"/>
      <c r="J16" s="230"/>
      <c r="K16" s="230"/>
      <c r="L16" s="375" t="s">
        <v>418</v>
      </c>
      <c r="M16" s="257"/>
      <c r="N16" s="228" t="s">
        <v>517</v>
      </c>
      <c r="O16" s="3442"/>
      <c r="P16" s="245"/>
      <c r="Q16" s="2368"/>
      <c r="R16" s="2368"/>
      <c r="S16" s="254"/>
      <c r="T16" s="228"/>
      <c r="U16" s="2357"/>
      <c r="V16" s="256"/>
      <c r="W16" s="248"/>
      <c r="X16" s="248"/>
      <c r="Y16" s="248"/>
      <c r="Z16" s="247"/>
      <c r="AA16" s="248"/>
      <c r="AB16" s="340">
        <f t="shared" si="3"/>
        <v>0</v>
      </c>
      <c r="AC16" s="347">
        <f t="shared" si="1"/>
        <v>0</v>
      </c>
      <c r="AD16" s="3440"/>
      <c r="AE16" s="3428"/>
      <c r="AF16" s="3430"/>
      <c r="AG16" s="275"/>
      <c r="AH16" s="3438"/>
      <c r="AI16" s="241"/>
      <c r="AJ16" s="241"/>
      <c r="AK16" s="194"/>
      <c r="AL16" s="195"/>
      <c r="AM16" s="195"/>
    </row>
    <row r="17" spans="1:39">
      <c r="B17" s="253">
        <v>6</v>
      </c>
      <c r="C17" s="244"/>
      <c r="D17" s="256"/>
      <c r="E17" s="458" t="s">
        <v>563</v>
      </c>
      <c r="F17" s="602" t="s">
        <v>520</v>
      </c>
      <c r="G17" s="394" t="s">
        <v>3600</v>
      </c>
      <c r="H17" s="230" t="s">
        <v>210</v>
      </c>
      <c r="I17" s="230"/>
      <c r="J17" s="230">
        <v>1</v>
      </c>
      <c r="K17" s="230"/>
      <c r="L17" s="228"/>
      <c r="M17" s="257"/>
      <c r="N17" s="254" t="s">
        <v>542</v>
      </c>
      <c r="O17" s="228" t="s">
        <v>564</v>
      </c>
      <c r="P17" s="245"/>
      <c r="Q17" s="2368"/>
      <c r="R17" s="2368"/>
      <c r="S17" s="254"/>
      <c r="T17" s="228"/>
      <c r="U17" s="2357"/>
      <c r="V17" s="256"/>
      <c r="W17" s="373">
        <v>1100000</v>
      </c>
      <c r="X17" s="373">
        <v>709500</v>
      </c>
      <c r="Y17" s="248"/>
      <c r="Z17" s="247"/>
      <c r="AA17" s="248"/>
      <c r="AB17" s="340">
        <f t="shared" si="3"/>
        <v>1809500</v>
      </c>
      <c r="AC17" s="347">
        <f>+Z17</f>
        <v>0</v>
      </c>
      <c r="AD17" s="249" t="s">
        <v>3597</v>
      </c>
      <c r="AE17" s="341">
        <v>4430800</v>
      </c>
      <c r="AF17" s="342">
        <f t="shared" si="2"/>
        <v>6240300</v>
      </c>
      <c r="AG17" s="275">
        <f>+W17+X17</f>
        <v>1809500</v>
      </c>
      <c r="AH17" s="241"/>
      <c r="AI17" s="241"/>
      <c r="AJ17" s="241"/>
      <c r="AK17" s="194"/>
      <c r="AL17" s="195"/>
      <c r="AM17" s="195"/>
    </row>
    <row r="18" spans="1:39">
      <c r="B18" s="253">
        <v>7</v>
      </c>
      <c r="C18" s="244"/>
      <c r="D18" s="256"/>
      <c r="E18" s="458" t="s">
        <v>565</v>
      </c>
      <c r="F18" s="602" t="s">
        <v>520</v>
      </c>
      <c r="G18" s="394" t="s">
        <v>3601</v>
      </c>
      <c r="H18" s="230" t="s">
        <v>210</v>
      </c>
      <c r="I18" s="230"/>
      <c r="J18" s="230">
        <v>1</v>
      </c>
      <c r="K18" s="230"/>
      <c r="L18" s="228"/>
      <c r="M18" s="257"/>
      <c r="N18" s="254" t="s">
        <v>543</v>
      </c>
      <c r="O18" s="228" t="s">
        <v>566</v>
      </c>
      <c r="P18" s="245"/>
      <c r="Q18" s="2368"/>
      <c r="R18" s="2368"/>
      <c r="S18" s="254"/>
      <c r="T18" s="228"/>
      <c r="U18" s="2357"/>
      <c r="V18" s="256"/>
      <c r="W18" s="373">
        <v>1100000</v>
      </c>
      <c r="X18" s="373">
        <v>709500</v>
      </c>
      <c r="Y18" s="248"/>
      <c r="Z18" s="247"/>
      <c r="AA18" s="248"/>
      <c r="AB18" s="340">
        <f t="shared" si="3"/>
        <v>1809500</v>
      </c>
      <c r="AC18" s="347">
        <f>+Z18</f>
        <v>0</v>
      </c>
      <c r="AD18" s="249" t="s">
        <v>3597</v>
      </c>
      <c r="AE18" s="341">
        <v>4430800</v>
      </c>
      <c r="AF18" s="342">
        <f t="shared" si="2"/>
        <v>6240300</v>
      </c>
      <c r="AG18" s="275">
        <f t="shared" ref="AG18:AG24" si="4">+W18+X18</f>
        <v>1809500</v>
      </c>
      <c r="AH18" s="241"/>
      <c r="AI18" s="241"/>
      <c r="AJ18" s="241"/>
      <c r="AK18" s="194"/>
      <c r="AL18" s="195"/>
      <c r="AM18" s="195"/>
    </row>
    <row r="19" spans="1:39">
      <c r="B19" s="253">
        <v>8</v>
      </c>
      <c r="C19" s="244"/>
      <c r="D19" s="256"/>
      <c r="E19" s="458" t="s">
        <v>567</v>
      </c>
      <c r="F19" s="602" t="s">
        <v>453</v>
      </c>
      <c r="G19" s="394" t="s">
        <v>3602</v>
      </c>
      <c r="H19" s="230" t="s">
        <v>210</v>
      </c>
      <c r="I19" s="230">
        <v>1</v>
      </c>
      <c r="J19" s="230"/>
      <c r="K19" s="230"/>
      <c r="L19" s="228"/>
      <c r="M19" s="257"/>
      <c r="N19" s="254" t="s">
        <v>544</v>
      </c>
      <c r="O19" s="228" t="s">
        <v>568</v>
      </c>
      <c r="P19" s="245"/>
      <c r="Q19" s="2368"/>
      <c r="R19" s="2368"/>
      <c r="S19" s="254"/>
      <c r="T19" s="228"/>
      <c r="U19" s="2357"/>
      <c r="V19" s="256"/>
      <c r="W19" s="373">
        <v>880000</v>
      </c>
      <c r="X19" s="373">
        <v>660000</v>
      </c>
      <c r="Y19" s="248"/>
      <c r="Z19" s="247"/>
      <c r="AA19" s="248"/>
      <c r="AB19" s="340">
        <f t="shared" si="3"/>
        <v>1540000</v>
      </c>
      <c r="AC19" s="347">
        <f>+Z19</f>
        <v>0</v>
      </c>
      <c r="AD19" s="249" t="s">
        <v>3597</v>
      </c>
      <c r="AE19" s="341">
        <v>4320800</v>
      </c>
      <c r="AF19" s="342">
        <f t="shared" si="2"/>
        <v>5860800</v>
      </c>
      <c r="AG19" s="275">
        <f t="shared" si="4"/>
        <v>1540000</v>
      </c>
      <c r="AH19" s="241"/>
      <c r="AI19" s="241"/>
      <c r="AJ19" s="241"/>
      <c r="AK19" s="194"/>
      <c r="AL19" s="195"/>
      <c r="AM19" s="195"/>
    </row>
    <row r="20" spans="1:39">
      <c r="B20" s="253">
        <v>9</v>
      </c>
      <c r="C20" s="244"/>
      <c r="D20" s="256"/>
      <c r="E20" s="460" t="s">
        <v>519</v>
      </c>
      <c r="F20" s="602" t="s">
        <v>471</v>
      </c>
      <c r="G20" s="47" t="s">
        <v>3603</v>
      </c>
      <c r="H20" s="230" t="s">
        <v>210</v>
      </c>
      <c r="I20" s="230"/>
      <c r="J20" s="230">
        <v>1</v>
      </c>
      <c r="K20" s="230"/>
      <c r="L20" s="228" t="s">
        <v>210</v>
      </c>
      <c r="M20" s="257"/>
      <c r="N20" s="289" t="s">
        <v>545</v>
      </c>
      <c r="O20" s="228" t="s">
        <v>569</v>
      </c>
      <c r="P20" s="245"/>
      <c r="Q20" s="2368"/>
      <c r="R20" s="2368"/>
      <c r="S20" s="254"/>
      <c r="T20" s="228"/>
      <c r="U20" s="2357"/>
      <c r="V20" s="256"/>
      <c r="W20" s="373">
        <v>1350000</v>
      </c>
      <c r="X20" s="373">
        <v>709500</v>
      </c>
      <c r="Y20" s="248"/>
      <c r="Z20" s="247"/>
      <c r="AA20" s="248"/>
      <c r="AB20" s="340">
        <f t="shared" si="3"/>
        <v>2059500</v>
      </c>
      <c r="AC20" s="347">
        <f t="shared" si="1"/>
        <v>0</v>
      </c>
      <c r="AD20" s="249"/>
      <c r="AE20" s="341">
        <v>5255800</v>
      </c>
      <c r="AF20" s="342">
        <f t="shared" si="2"/>
        <v>7315300</v>
      </c>
      <c r="AG20" s="275">
        <f t="shared" si="4"/>
        <v>2059500</v>
      </c>
      <c r="AH20" s="241"/>
      <c r="AI20" s="241"/>
      <c r="AJ20" s="241"/>
      <c r="AK20" s="194"/>
      <c r="AL20" s="195"/>
      <c r="AM20" s="195"/>
    </row>
    <row r="21" spans="1:39">
      <c r="B21" s="253">
        <v>10</v>
      </c>
      <c r="C21" s="244"/>
      <c r="D21" s="256"/>
      <c r="E21" s="458" t="s">
        <v>570</v>
      </c>
      <c r="F21" s="602" t="s">
        <v>546</v>
      </c>
      <c r="G21" s="394" t="s">
        <v>3604</v>
      </c>
      <c r="H21" s="230" t="s">
        <v>210</v>
      </c>
      <c r="I21" s="230"/>
      <c r="J21" s="230"/>
      <c r="K21" s="368">
        <v>1</v>
      </c>
      <c r="L21" s="228"/>
      <c r="M21" s="257"/>
      <c r="N21" s="289" t="s">
        <v>548</v>
      </c>
      <c r="O21" s="228"/>
      <c r="P21" s="367"/>
      <c r="Q21" s="367"/>
      <c r="R21" s="367"/>
      <c r="S21" s="254"/>
      <c r="T21" s="228"/>
      <c r="U21" s="2357"/>
      <c r="V21" s="256"/>
      <c r="W21" s="248"/>
      <c r="X21" s="248"/>
      <c r="Y21" s="248"/>
      <c r="Z21" s="247"/>
      <c r="AA21" s="248"/>
      <c r="AB21" s="340">
        <f t="shared" si="3"/>
        <v>0</v>
      </c>
      <c r="AC21" s="347">
        <f t="shared" si="1"/>
        <v>0</v>
      </c>
      <c r="AD21" s="249" t="s">
        <v>3597</v>
      </c>
      <c r="AE21" s="341">
        <v>1669800.0000000002</v>
      </c>
      <c r="AF21" s="342">
        <f t="shared" si="2"/>
        <v>1669800.0000000002</v>
      </c>
      <c r="AG21" s="275"/>
      <c r="AH21" s="241"/>
      <c r="AI21" s="241"/>
      <c r="AJ21" s="241"/>
      <c r="AK21" s="194"/>
      <c r="AL21" s="195"/>
      <c r="AM21" s="195"/>
    </row>
    <row r="22" spans="1:39" ht="26.4">
      <c r="B22" s="253">
        <v>11</v>
      </c>
      <c r="C22" s="244"/>
      <c r="D22" s="256"/>
      <c r="E22" s="461" t="s">
        <v>571</v>
      </c>
      <c r="F22" s="602" t="s">
        <v>547</v>
      </c>
      <c r="G22" s="394" t="s">
        <v>3605</v>
      </c>
      <c r="H22" s="230" t="s">
        <v>210</v>
      </c>
      <c r="I22" s="230"/>
      <c r="J22" s="230">
        <v>1</v>
      </c>
      <c r="K22" s="230"/>
      <c r="L22" s="228"/>
      <c r="M22" s="257"/>
      <c r="N22" s="289" t="s">
        <v>3606</v>
      </c>
      <c r="O22" s="228" t="s">
        <v>572</v>
      </c>
      <c r="P22" s="367"/>
      <c r="Q22" s="367"/>
      <c r="R22" s="367"/>
      <c r="S22" s="254"/>
      <c r="T22" s="228"/>
      <c r="U22" s="2357"/>
      <c r="V22" s="256"/>
      <c r="W22" s="373">
        <v>1350000</v>
      </c>
      <c r="X22" s="373">
        <v>709500</v>
      </c>
      <c r="Y22" s="248"/>
      <c r="Z22" s="247"/>
      <c r="AA22" s="248"/>
      <c r="AB22" s="340">
        <f t="shared" si="3"/>
        <v>2059500</v>
      </c>
      <c r="AC22" s="347">
        <f t="shared" si="1"/>
        <v>0</v>
      </c>
      <c r="AD22" s="249" t="s">
        <v>3597</v>
      </c>
      <c r="AE22" s="341">
        <v>4430800</v>
      </c>
      <c r="AF22" s="342">
        <f t="shared" si="2"/>
        <v>6490300</v>
      </c>
      <c r="AG22" s="275">
        <f t="shared" si="4"/>
        <v>2059500</v>
      </c>
      <c r="AH22" s="241"/>
      <c r="AI22" s="241"/>
      <c r="AJ22" s="241"/>
      <c r="AK22" s="194"/>
      <c r="AL22" s="195"/>
      <c r="AM22" s="195"/>
    </row>
    <row r="23" spans="1:39">
      <c r="B23" s="253">
        <v>12</v>
      </c>
      <c r="C23" s="244"/>
      <c r="D23" s="256"/>
      <c r="E23" s="462" t="s">
        <v>573</v>
      </c>
      <c r="F23" s="602" t="s">
        <v>547</v>
      </c>
      <c r="G23" s="394" t="s">
        <v>3607</v>
      </c>
      <c r="H23" s="230" t="s">
        <v>210</v>
      </c>
      <c r="I23" s="230"/>
      <c r="J23" s="230">
        <v>1</v>
      </c>
      <c r="K23" s="230"/>
      <c r="L23" s="228"/>
      <c r="M23" s="257"/>
      <c r="N23" s="289" t="s">
        <v>549</v>
      </c>
      <c r="O23" s="228" t="s">
        <v>575</v>
      </c>
      <c r="P23" s="367"/>
      <c r="Q23" s="367"/>
      <c r="R23" s="367"/>
      <c r="S23" s="254"/>
      <c r="T23" s="228"/>
      <c r="U23" s="2357"/>
      <c r="V23" s="256"/>
      <c r="W23" s="373">
        <v>1350000</v>
      </c>
      <c r="X23" s="373">
        <v>1050000</v>
      </c>
      <c r="Y23" s="248"/>
      <c r="Z23" s="247"/>
      <c r="AA23" s="248"/>
      <c r="AB23" s="340">
        <f t="shared" si="3"/>
        <v>2400000</v>
      </c>
      <c r="AC23" s="347">
        <f t="shared" si="1"/>
        <v>0</v>
      </c>
      <c r="AD23" s="249" t="s">
        <v>3597</v>
      </c>
      <c r="AE23" s="341">
        <v>4430800</v>
      </c>
      <c r="AF23" s="342">
        <f t="shared" si="2"/>
        <v>6830800</v>
      </c>
      <c r="AG23" s="275">
        <f t="shared" si="4"/>
        <v>2400000</v>
      </c>
      <c r="AH23" s="241"/>
      <c r="AI23" s="241"/>
      <c r="AJ23" s="241"/>
      <c r="AK23" s="194"/>
      <c r="AL23" s="195"/>
      <c r="AM23" s="195"/>
    </row>
    <row r="24" spans="1:39">
      <c r="B24" s="253">
        <v>13</v>
      </c>
      <c r="C24" s="244"/>
      <c r="D24" s="256"/>
      <c r="E24" s="462" t="s">
        <v>574</v>
      </c>
      <c r="F24" s="602" t="s">
        <v>553</v>
      </c>
      <c r="G24" s="394" t="s">
        <v>3608</v>
      </c>
      <c r="H24" s="230" t="s">
        <v>210</v>
      </c>
      <c r="I24" s="230">
        <v>1</v>
      </c>
      <c r="J24" s="230"/>
      <c r="K24" s="230"/>
      <c r="L24" s="228"/>
      <c r="M24" s="257"/>
      <c r="N24" s="289" t="s">
        <v>554</v>
      </c>
      <c r="O24" s="228" t="s">
        <v>576</v>
      </c>
      <c r="P24" s="367"/>
      <c r="Q24" s="367"/>
      <c r="R24" s="367"/>
      <c r="S24" s="254"/>
      <c r="T24" s="228"/>
      <c r="U24" s="2357"/>
      <c r="V24" s="256"/>
      <c r="W24" s="373">
        <v>900000</v>
      </c>
      <c r="X24" s="373">
        <v>655000</v>
      </c>
      <c r="Y24" s="248"/>
      <c r="Z24" s="247"/>
      <c r="AA24" s="248"/>
      <c r="AB24" s="340">
        <f t="shared" si="3"/>
        <v>1555000</v>
      </c>
      <c r="AC24" s="347">
        <f t="shared" si="1"/>
        <v>0</v>
      </c>
      <c r="AD24" s="249" t="s">
        <v>3597</v>
      </c>
      <c r="AE24" s="341">
        <v>4320800</v>
      </c>
      <c r="AF24" s="342">
        <f t="shared" si="2"/>
        <v>5875800</v>
      </c>
      <c r="AG24" s="275">
        <f t="shared" si="4"/>
        <v>1555000</v>
      </c>
      <c r="AH24" s="241"/>
      <c r="AI24" s="241"/>
      <c r="AJ24" s="241"/>
      <c r="AK24" s="194"/>
      <c r="AL24" s="195"/>
      <c r="AM24" s="195"/>
    </row>
    <row r="25" spans="1:39" s="13" customFormat="1" ht="36" customHeight="1">
      <c r="A25" s="643" t="s">
        <v>3609</v>
      </c>
      <c r="B25" s="644"/>
      <c r="C25" s="644"/>
      <c r="D25" s="346"/>
      <c r="E25" s="644"/>
      <c r="F25" s="644"/>
      <c r="G25" s="644"/>
      <c r="H25" s="644"/>
      <c r="I25" s="369"/>
      <c r="J25" s="346"/>
      <c r="K25" s="346"/>
      <c r="L25" s="346"/>
      <c r="M25" s="346"/>
      <c r="N25" s="346"/>
      <c r="O25" s="354"/>
      <c r="P25" s="346"/>
      <c r="Q25" s="346"/>
      <c r="R25" s="346"/>
      <c r="S25" s="346"/>
      <c r="T25" s="346"/>
      <c r="U25" s="346"/>
      <c r="V25" s="357"/>
      <c r="W25" s="357"/>
      <c r="X25" s="357"/>
      <c r="Y25" s="357"/>
      <c r="Z25" s="357"/>
      <c r="AA25" s="357"/>
      <c r="AB25" s="358">
        <f>SUM(AB11:AB24)</f>
        <v>26006016</v>
      </c>
      <c r="AC25" s="358">
        <f>SUM(AC19:AC24)</f>
        <v>0</v>
      </c>
      <c r="AD25" s="359"/>
      <c r="AE25" s="360">
        <f>SUM(AE11:AE24)</f>
        <v>62319400</v>
      </c>
      <c r="AF25" s="358">
        <f>+AB25+AC25+AE25</f>
        <v>88325416</v>
      </c>
      <c r="AG25" s="357"/>
      <c r="AH25" s="357"/>
      <c r="AI25" s="357"/>
      <c r="AJ25" s="357"/>
      <c r="AK25" s="357"/>
      <c r="AL25" s="357"/>
      <c r="AM25" s="357"/>
    </row>
    <row r="26" spans="1:39" ht="46.8">
      <c r="B26" s="253">
        <v>1</v>
      </c>
      <c r="C26" s="244"/>
      <c r="D26" s="256"/>
      <c r="E26" s="459" t="s">
        <v>3610</v>
      </c>
      <c r="F26" s="602"/>
      <c r="G26" s="47" t="s">
        <v>3611</v>
      </c>
      <c r="H26" s="230"/>
      <c r="I26" s="230"/>
      <c r="J26" s="230"/>
      <c r="K26" s="230"/>
      <c r="L26" s="228"/>
      <c r="M26" s="257"/>
      <c r="N26" s="228"/>
      <c r="O26" s="228"/>
      <c r="P26" s="245"/>
      <c r="Q26" s="2368"/>
      <c r="R26" s="2368"/>
      <c r="S26" s="254"/>
      <c r="T26" s="228"/>
      <c r="U26" s="2357"/>
      <c r="V26" s="256"/>
      <c r="W26" s="248"/>
      <c r="X26" s="248"/>
      <c r="Y26" s="248"/>
      <c r="Z26" s="247"/>
      <c r="AA26" s="248"/>
      <c r="AB26" s="340">
        <f t="shared" ref="AB26:AB43" si="5">V26+W26+X26+Y26+Z26+AA26</f>
        <v>0</v>
      </c>
      <c r="AC26" s="347">
        <f>+Z26</f>
        <v>0</v>
      </c>
      <c r="AD26" s="249" t="s">
        <v>868</v>
      </c>
      <c r="AE26" s="341">
        <f>2200000/2</f>
        <v>1100000</v>
      </c>
      <c r="AF26" s="342">
        <f>+AB26+AE26</f>
        <v>1100000</v>
      </c>
      <c r="AG26" s="252"/>
      <c r="AH26" s="241"/>
      <c r="AI26" s="241"/>
      <c r="AJ26" s="241"/>
      <c r="AK26" s="194"/>
      <c r="AL26" s="195"/>
      <c r="AM26" s="195"/>
    </row>
    <row r="27" spans="1:39" ht="62.4">
      <c r="B27" s="253">
        <v>2</v>
      </c>
      <c r="C27" s="244"/>
      <c r="D27" s="256"/>
      <c r="E27" s="458" t="s">
        <v>669</v>
      </c>
      <c r="F27" s="603" t="s">
        <v>679</v>
      </c>
      <c r="G27" s="47" t="s">
        <v>3612</v>
      </c>
      <c r="H27" s="230" t="s">
        <v>210</v>
      </c>
      <c r="I27" s="230"/>
      <c r="J27" s="230">
        <v>1</v>
      </c>
      <c r="K27" s="230"/>
      <c r="L27" s="228"/>
      <c r="M27" s="257"/>
      <c r="N27" s="289" t="s">
        <v>666</v>
      </c>
      <c r="O27" s="375" t="s">
        <v>670</v>
      </c>
      <c r="P27" s="367"/>
      <c r="Q27" s="367"/>
      <c r="R27" s="367"/>
      <c r="S27" s="254"/>
      <c r="T27" s="228"/>
      <c r="U27" s="2357"/>
      <c r="V27" s="256"/>
      <c r="W27" s="373">
        <v>1350000</v>
      </c>
      <c r="X27" s="373">
        <v>1115000</v>
      </c>
      <c r="Y27" s="248"/>
      <c r="Z27" s="247"/>
      <c r="AA27" s="248"/>
      <c r="AB27" s="340">
        <f t="shared" si="5"/>
        <v>2465000</v>
      </c>
      <c r="AC27" s="347">
        <f t="shared" si="1"/>
        <v>0</v>
      </c>
      <c r="AD27" s="208" t="s">
        <v>3613</v>
      </c>
      <c r="AE27" s="435">
        <f t="shared" ref="AE27:AE33" si="6">+(I27*3714000+J27*(3714000+100000))*1.1+(150000*1.1)</f>
        <v>4360400</v>
      </c>
      <c r="AF27" s="342">
        <f t="shared" si="2"/>
        <v>6825400</v>
      </c>
      <c r="AG27" s="275">
        <f t="shared" ref="AG27:AG35" si="7">+W27+X27</f>
        <v>2465000</v>
      </c>
      <c r="AH27" s="241"/>
      <c r="AI27" s="241"/>
      <c r="AJ27" s="241"/>
      <c r="AK27" s="194"/>
      <c r="AL27" s="195"/>
      <c r="AM27" s="195"/>
    </row>
    <row r="28" spans="1:39">
      <c r="B28" s="253">
        <v>3</v>
      </c>
      <c r="C28" s="244"/>
      <c r="D28" s="256"/>
      <c r="E28" s="458" t="s">
        <v>671</v>
      </c>
      <c r="F28" s="603" t="s">
        <v>679</v>
      </c>
      <c r="G28" s="47" t="s">
        <v>3614</v>
      </c>
      <c r="H28" s="230" t="s">
        <v>210</v>
      </c>
      <c r="I28" s="230">
        <v>1</v>
      </c>
      <c r="J28" s="230"/>
      <c r="K28" s="230"/>
      <c r="L28" s="228"/>
      <c r="M28" s="257"/>
      <c r="N28" s="289" t="s">
        <v>3615</v>
      </c>
      <c r="O28" s="375" t="s">
        <v>672</v>
      </c>
      <c r="P28" s="367"/>
      <c r="Q28" s="367"/>
      <c r="R28" s="367"/>
      <c r="S28" s="254"/>
      <c r="T28" s="228"/>
      <c r="U28" s="2357"/>
      <c r="V28" s="256"/>
      <c r="W28" s="373">
        <v>900000</v>
      </c>
      <c r="X28" s="373">
        <v>660000</v>
      </c>
      <c r="Y28" s="248"/>
      <c r="Z28" s="247"/>
      <c r="AA28" s="248"/>
      <c r="AB28" s="340">
        <f t="shared" si="5"/>
        <v>1560000</v>
      </c>
      <c r="AC28" s="347">
        <f t="shared" si="1"/>
        <v>0</v>
      </c>
      <c r="AD28" s="249" t="s">
        <v>3597</v>
      </c>
      <c r="AE28" s="435">
        <f t="shared" si="6"/>
        <v>4250400</v>
      </c>
      <c r="AF28" s="342">
        <f t="shared" si="2"/>
        <v>5810400</v>
      </c>
      <c r="AG28" s="275">
        <f t="shared" si="7"/>
        <v>1560000</v>
      </c>
      <c r="AH28" s="241"/>
      <c r="AI28" s="241"/>
      <c r="AJ28" s="241"/>
      <c r="AK28" s="194"/>
      <c r="AL28" s="195"/>
      <c r="AM28" s="195"/>
    </row>
    <row r="29" spans="1:39">
      <c r="B29" s="253">
        <v>4</v>
      </c>
      <c r="C29" s="244"/>
      <c r="D29" s="256"/>
      <c r="E29" s="458" t="s">
        <v>673</v>
      </c>
      <c r="F29" s="603" t="s">
        <v>679</v>
      </c>
      <c r="G29" s="379" t="s">
        <v>3616</v>
      </c>
      <c r="H29" s="230" t="s">
        <v>210</v>
      </c>
      <c r="I29" s="230"/>
      <c r="J29" s="230">
        <v>1</v>
      </c>
      <c r="K29" s="230"/>
      <c r="L29" s="228"/>
      <c r="M29" s="257"/>
      <c r="N29" s="228" t="s">
        <v>3617</v>
      </c>
      <c r="O29" s="375" t="s">
        <v>674</v>
      </c>
      <c r="P29" s="245"/>
      <c r="Q29" s="2368"/>
      <c r="R29" s="2368"/>
      <c r="S29" s="254"/>
      <c r="T29" s="228"/>
      <c r="U29" s="2357"/>
      <c r="V29" s="256"/>
      <c r="W29" s="373">
        <v>1250000</v>
      </c>
      <c r="X29" s="373">
        <v>1055000</v>
      </c>
      <c r="Y29" s="248"/>
      <c r="Z29" s="247"/>
      <c r="AA29" s="248"/>
      <c r="AB29" s="340">
        <f t="shared" si="5"/>
        <v>2305000</v>
      </c>
      <c r="AC29" s="347">
        <f t="shared" si="1"/>
        <v>0</v>
      </c>
      <c r="AD29" s="249" t="s">
        <v>3597</v>
      </c>
      <c r="AE29" s="435">
        <f t="shared" si="6"/>
        <v>4360400</v>
      </c>
      <c r="AF29" s="342">
        <f t="shared" si="2"/>
        <v>6665400</v>
      </c>
      <c r="AG29" s="275">
        <f t="shared" si="7"/>
        <v>2305000</v>
      </c>
      <c r="AH29" s="241"/>
      <c r="AI29" s="241"/>
      <c r="AJ29" s="241"/>
      <c r="AK29" s="194"/>
      <c r="AL29" s="195"/>
      <c r="AM29" s="195"/>
    </row>
    <row r="30" spans="1:39">
      <c r="B30" s="253">
        <v>5</v>
      </c>
      <c r="C30" s="244"/>
      <c r="D30" s="256"/>
      <c r="E30" s="458" t="s">
        <v>680</v>
      </c>
      <c r="F30" s="602">
        <v>45020</v>
      </c>
      <c r="G30" s="379" t="s">
        <v>3618</v>
      </c>
      <c r="H30" s="230" t="s">
        <v>210</v>
      </c>
      <c r="I30" s="230"/>
      <c r="J30" s="230">
        <v>1</v>
      </c>
      <c r="K30" s="230"/>
      <c r="L30" s="228"/>
      <c r="M30" s="257"/>
      <c r="N30" s="228" t="s">
        <v>3619</v>
      </c>
      <c r="O30" s="375" t="s">
        <v>3620</v>
      </c>
      <c r="P30" s="245"/>
      <c r="Q30" s="2368"/>
      <c r="R30" s="2368"/>
      <c r="S30" s="254"/>
      <c r="T30" s="228"/>
      <c r="U30" s="2357"/>
      <c r="V30" s="256"/>
      <c r="W30" s="373">
        <v>1350000</v>
      </c>
      <c r="X30" s="373">
        <v>1055000</v>
      </c>
      <c r="Y30" s="248"/>
      <c r="Z30" s="247"/>
      <c r="AA30" s="248"/>
      <c r="AB30" s="340">
        <f t="shared" si="5"/>
        <v>2405000</v>
      </c>
      <c r="AC30" s="347">
        <f t="shared" si="1"/>
        <v>0</v>
      </c>
      <c r="AD30" s="249" t="s">
        <v>3597</v>
      </c>
      <c r="AE30" s="435">
        <f t="shared" si="6"/>
        <v>4360400</v>
      </c>
      <c r="AF30" s="342">
        <f t="shared" si="2"/>
        <v>6765400</v>
      </c>
      <c r="AG30" s="275">
        <f t="shared" si="7"/>
        <v>2405000</v>
      </c>
      <c r="AH30" s="241"/>
      <c r="AI30" s="241"/>
      <c r="AJ30" s="241"/>
      <c r="AK30" s="194"/>
      <c r="AL30" s="195"/>
      <c r="AM30" s="195"/>
    </row>
    <row r="31" spans="1:39" ht="15" customHeight="1">
      <c r="B31" s="253">
        <v>6</v>
      </c>
      <c r="C31" s="244"/>
      <c r="D31" s="256"/>
      <c r="E31" s="458" t="s">
        <v>751</v>
      </c>
      <c r="F31" s="602">
        <v>45021</v>
      </c>
      <c r="G31" s="385" t="s">
        <v>3621</v>
      </c>
      <c r="H31" s="230" t="s">
        <v>210</v>
      </c>
      <c r="I31" s="230"/>
      <c r="J31" s="391">
        <v>1</v>
      </c>
      <c r="K31" s="230"/>
      <c r="L31" s="228"/>
      <c r="M31" s="257"/>
      <c r="N31" s="228">
        <v>71722920</v>
      </c>
      <c r="O31" s="375" t="s">
        <v>752</v>
      </c>
      <c r="P31" s="245"/>
      <c r="Q31" s="2368"/>
      <c r="R31" s="2368"/>
      <c r="S31" s="254"/>
      <c r="T31" s="228"/>
      <c r="U31" s="2357"/>
      <c r="V31" s="256"/>
      <c r="W31" s="373">
        <v>924000</v>
      </c>
      <c r="X31" s="373">
        <v>1056000</v>
      </c>
      <c r="Y31" s="248"/>
      <c r="Z31" s="247"/>
      <c r="AA31" s="248"/>
      <c r="AB31" s="340">
        <f t="shared" si="5"/>
        <v>1980000</v>
      </c>
      <c r="AC31" s="347">
        <f t="shared" si="1"/>
        <v>0</v>
      </c>
      <c r="AD31" s="249" t="s">
        <v>3597</v>
      </c>
      <c r="AE31" s="435">
        <f t="shared" si="6"/>
        <v>4360400</v>
      </c>
      <c r="AF31" s="342">
        <f t="shared" si="2"/>
        <v>6340400</v>
      </c>
      <c r="AG31" s="275">
        <f t="shared" si="7"/>
        <v>1980000</v>
      </c>
      <c r="AH31" s="241"/>
      <c r="AI31" s="241"/>
      <c r="AJ31" s="241"/>
      <c r="AK31" s="194"/>
      <c r="AL31" s="195"/>
      <c r="AM31" s="195"/>
    </row>
    <row r="32" spans="1:39">
      <c r="B32" s="253">
        <v>7</v>
      </c>
      <c r="C32" s="244"/>
      <c r="D32" s="256"/>
      <c r="E32" s="458" t="s">
        <v>769</v>
      </c>
      <c r="F32" s="602">
        <v>45022</v>
      </c>
      <c r="G32" s="387" t="s">
        <v>3622</v>
      </c>
      <c r="H32" s="230" t="s">
        <v>210</v>
      </c>
      <c r="I32" s="230"/>
      <c r="J32" s="230">
        <v>1</v>
      </c>
      <c r="K32" s="230"/>
      <c r="L32" s="228"/>
      <c r="M32" s="257"/>
      <c r="N32" s="228">
        <v>71727554</v>
      </c>
      <c r="O32" s="375" t="s">
        <v>770</v>
      </c>
      <c r="P32" s="245"/>
      <c r="Q32" s="2368"/>
      <c r="R32" s="2368"/>
      <c r="S32" s="254"/>
      <c r="T32" s="228"/>
      <c r="U32" s="2357"/>
      <c r="V32" s="256"/>
      <c r="W32" s="373">
        <v>924000</v>
      </c>
      <c r="X32" s="373">
        <v>1056000</v>
      </c>
      <c r="Y32" s="248"/>
      <c r="Z32" s="247"/>
      <c r="AA32" s="248"/>
      <c r="AB32" s="340">
        <f t="shared" si="5"/>
        <v>1980000</v>
      </c>
      <c r="AC32" s="347">
        <f t="shared" si="1"/>
        <v>0</v>
      </c>
      <c r="AD32" s="249" t="s">
        <v>3597</v>
      </c>
      <c r="AE32" s="435">
        <f t="shared" si="6"/>
        <v>4360400</v>
      </c>
      <c r="AF32" s="342">
        <f t="shared" si="2"/>
        <v>6340400</v>
      </c>
      <c r="AG32" s="275">
        <f t="shared" si="7"/>
        <v>1980000</v>
      </c>
      <c r="AH32" s="241"/>
      <c r="AI32" s="241"/>
      <c r="AJ32" s="241"/>
      <c r="AK32" s="194"/>
      <c r="AL32" s="195"/>
      <c r="AM32" s="195"/>
    </row>
    <row r="33" spans="1:39">
      <c r="B33" s="253">
        <v>8</v>
      </c>
      <c r="C33" s="244"/>
      <c r="D33" s="256"/>
      <c r="E33" s="458" t="s">
        <v>771</v>
      </c>
      <c r="F33" s="602">
        <v>45022</v>
      </c>
      <c r="G33" s="387" t="s">
        <v>3623</v>
      </c>
      <c r="H33" s="230" t="s">
        <v>210</v>
      </c>
      <c r="I33" s="391">
        <v>1</v>
      </c>
      <c r="J33" s="230"/>
      <c r="K33" s="230"/>
      <c r="L33" s="228"/>
      <c r="M33" s="257"/>
      <c r="N33" s="228">
        <v>71727554</v>
      </c>
      <c r="O33" s="375" t="s">
        <v>948</v>
      </c>
      <c r="P33" s="245"/>
      <c r="Q33" s="2368"/>
      <c r="R33" s="2368"/>
      <c r="S33" s="254"/>
      <c r="T33" s="228"/>
      <c r="U33" s="2357"/>
      <c r="V33" s="256"/>
      <c r="W33" s="373">
        <v>627000</v>
      </c>
      <c r="X33" s="373">
        <v>638000</v>
      </c>
      <c r="Y33" s="248"/>
      <c r="Z33" s="247"/>
      <c r="AA33" s="248"/>
      <c r="AB33" s="340">
        <f t="shared" si="5"/>
        <v>1265000</v>
      </c>
      <c r="AC33" s="347">
        <f t="shared" si="1"/>
        <v>0</v>
      </c>
      <c r="AD33" s="249" t="s">
        <v>3597</v>
      </c>
      <c r="AE33" s="435">
        <f t="shared" si="6"/>
        <v>4250400</v>
      </c>
      <c r="AF33" s="342">
        <f t="shared" si="2"/>
        <v>5515400</v>
      </c>
      <c r="AG33" s="275">
        <f t="shared" si="7"/>
        <v>1265000</v>
      </c>
      <c r="AH33" s="241"/>
      <c r="AI33" s="241"/>
      <c r="AJ33" s="241"/>
      <c r="AK33" s="194"/>
      <c r="AL33" s="195"/>
      <c r="AM33" s="195"/>
    </row>
    <row r="34" spans="1:39">
      <c r="B34" s="253">
        <v>9</v>
      </c>
      <c r="C34" s="244"/>
      <c r="D34" s="256"/>
      <c r="E34" s="458" t="s">
        <v>832</v>
      </c>
      <c r="F34" s="602">
        <v>45028</v>
      </c>
      <c r="G34" s="387" t="s">
        <v>3624</v>
      </c>
      <c r="H34" s="230" t="s">
        <v>210</v>
      </c>
      <c r="I34" s="230"/>
      <c r="J34" s="230"/>
      <c r="K34" s="230">
        <v>1</v>
      </c>
      <c r="L34" s="228"/>
      <c r="M34" s="257"/>
      <c r="N34" s="388" t="s">
        <v>833</v>
      </c>
      <c r="O34" s="228"/>
      <c r="P34" s="245"/>
      <c r="Q34" s="2368"/>
      <c r="R34" s="2368"/>
      <c r="S34" s="254"/>
      <c r="T34" s="228"/>
      <c r="U34" s="2357"/>
      <c r="V34" s="256"/>
      <c r="W34" s="373"/>
      <c r="X34" s="373"/>
      <c r="Y34" s="248"/>
      <c r="Z34" s="247"/>
      <c r="AA34" s="248"/>
      <c r="AB34" s="340">
        <f t="shared" si="5"/>
        <v>0</v>
      </c>
      <c r="AC34" s="347"/>
      <c r="AD34" s="249" t="s">
        <v>3597</v>
      </c>
      <c r="AE34" s="435">
        <f>1320000*1.1+(150000*1.1)</f>
        <v>1617000.0000000002</v>
      </c>
      <c r="AF34" s="342">
        <f t="shared" si="2"/>
        <v>1617000.0000000002</v>
      </c>
      <c r="AG34" s="275">
        <f t="shared" si="7"/>
        <v>0</v>
      </c>
      <c r="AH34" s="241"/>
      <c r="AI34" s="241"/>
      <c r="AJ34" s="241"/>
      <c r="AK34" s="194"/>
      <c r="AL34" s="195"/>
      <c r="AM34" s="195"/>
    </row>
    <row r="35" spans="1:39">
      <c r="B35" s="253">
        <v>10</v>
      </c>
      <c r="C35" s="244"/>
      <c r="D35" s="256"/>
      <c r="E35" s="458" t="s">
        <v>834</v>
      </c>
      <c r="F35" s="602">
        <v>45029</v>
      </c>
      <c r="G35" s="387" t="s">
        <v>3625</v>
      </c>
      <c r="H35" s="230" t="s">
        <v>210</v>
      </c>
      <c r="I35" s="230"/>
      <c r="J35" s="230">
        <v>1</v>
      </c>
      <c r="K35" s="230"/>
      <c r="L35" s="228"/>
      <c r="M35" s="257"/>
      <c r="N35" s="228" t="s">
        <v>835</v>
      </c>
      <c r="O35" s="375" t="s">
        <v>836</v>
      </c>
      <c r="P35" s="245"/>
      <c r="Q35" s="2368"/>
      <c r="R35" s="2368"/>
      <c r="S35" s="254"/>
      <c r="T35" s="228"/>
      <c r="U35" s="2357"/>
      <c r="V35" s="256"/>
      <c r="W35" s="373">
        <v>1450000</v>
      </c>
      <c r="X35" s="373">
        <v>1115000</v>
      </c>
      <c r="Y35" s="248"/>
      <c r="Z35" s="247"/>
      <c r="AA35" s="248"/>
      <c r="AB35" s="340">
        <f t="shared" si="5"/>
        <v>2565000</v>
      </c>
      <c r="AC35" s="347">
        <f t="shared" si="1"/>
        <v>0</v>
      </c>
      <c r="AD35" s="249" t="s">
        <v>3597</v>
      </c>
      <c r="AE35" s="435">
        <f>+(I35*3714000+J35*(3714000+100000))*1.1+(150000*1.1)</f>
        <v>4360400</v>
      </c>
      <c r="AF35" s="342">
        <f t="shared" si="2"/>
        <v>6925400</v>
      </c>
      <c r="AG35" s="275">
        <f t="shared" si="7"/>
        <v>2565000</v>
      </c>
      <c r="AH35" s="241"/>
      <c r="AI35" s="241"/>
      <c r="AJ35" s="241"/>
      <c r="AK35" s="194"/>
      <c r="AL35" s="195"/>
      <c r="AM35" s="195"/>
    </row>
    <row r="36" spans="1:39" ht="46.8">
      <c r="B36" s="253">
        <v>11</v>
      </c>
      <c r="C36" s="244"/>
      <c r="D36" s="256"/>
      <c r="E36" s="463" t="s">
        <v>838</v>
      </c>
      <c r="F36" s="602">
        <v>45027</v>
      </c>
      <c r="G36" s="387" t="s">
        <v>3626</v>
      </c>
      <c r="H36" s="230" t="s">
        <v>3579</v>
      </c>
      <c r="I36" s="230"/>
      <c r="J36" s="230">
        <v>1</v>
      </c>
      <c r="K36" s="230"/>
      <c r="L36" s="228"/>
      <c r="M36" s="257"/>
      <c r="N36" s="228" t="s">
        <v>837</v>
      </c>
      <c r="O36" s="375" t="s">
        <v>3627</v>
      </c>
      <c r="P36" s="245"/>
      <c r="Q36" s="2368"/>
      <c r="R36" s="2368"/>
      <c r="S36" s="254"/>
      <c r="T36" s="228"/>
      <c r="U36" s="2357"/>
      <c r="V36" s="256"/>
      <c r="W36" s="324">
        <v>1017500</v>
      </c>
      <c r="X36" s="373">
        <v>1540000</v>
      </c>
      <c r="Y36" s="248"/>
      <c r="Z36" s="247"/>
      <c r="AA36" s="248"/>
      <c r="AB36" s="340">
        <f t="shared" si="5"/>
        <v>2557500</v>
      </c>
      <c r="AC36" s="347">
        <f t="shared" si="1"/>
        <v>0</v>
      </c>
      <c r="AD36" s="249" t="s">
        <v>3628</v>
      </c>
      <c r="AE36" s="435">
        <f>+(I36*3714000+J36*(3714000+100000))*1.1+(150000*1.1)+(500000*1.1)</f>
        <v>4910400</v>
      </c>
      <c r="AF36" s="342">
        <f t="shared" si="2"/>
        <v>7467900</v>
      </c>
      <c r="AG36" s="275">
        <f>+X36</f>
        <v>1540000</v>
      </c>
      <c r="AH36" s="241"/>
      <c r="AI36" s="241"/>
      <c r="AJ36" s="241"/>
      <c r="AK36" s="194"/>
      <c r="AL36" s="195"/>
      <c r="AM36" s="195"/>
    </row>
    <row r="37" spans="1:39">
      <c r="B37" s="253">
        <v>12</v>
      </c>
      <c r="C37" s="244"/>
      <c r="D37" s="256"/>
      <c r="E37" s="464" t="s">
        <v>853</v>
      </c>
      <c r="F37" s="602">
        <v>45033</v>
      </c>
      <c r="G37" s="387" t="s">
        <v>3629</v>
      </c>
      <c r="H37" s="230" t="s">
        <v>748</v>
      </c>
      <c r="I37" s="230"/>
      <c r="J37" s="230">
        <v>1</v>
      </c>
      <c r="K37" s="230"/>
      <c r="L37" s="228"/>
      <c r="M37" s="257"/>
      <c r="N37" s="228" t="s">
        <v>3630</v>
      </c>
      <c r="O37" s="375" t="s">
        <v>854</v>
      </c>
      <c r="P37" s="245"/>
      <c r="Q37" s="2368"/>
      <c r="R37" s="2368"/>
      <c r="S37" s="254"/>
      <c r="T37" s="228"/>
      <c r="U37" s="2357"/>
      <c r="V37" s="256"/>
      <c r="W37" s="373">
        <v>1050000</v>
      </c>
      <c r="X37" s="373">
        <v>961400</v>
      </c>
      <c r="Y37" s="248"/>
      <c r="Z37" s="247"/>
      <c r="AA37" s="248"/>
      <c r="AB37" s="340">
        <f t="shared" si="5"/>
        <v>2011400</v>
      </c>
      <c r="AC37" s="347">
        <f t="shared" si="1"/>
        <v>0</v>
      </c>
      <c r="AD37" s="249" t="s">
        <v>3597</v>
      </c>
      <c r="AE37" s="435">
        <f>+(I37*3714000+J37*(3714000+100000))*1.1+(150000*1.1)</f>
        <v>4360400</v>
      </c>
      <c r="AF37" s="342">
        <f t="shared" si="2"/>
        <v>6371800</v>
      </c>
      <c r="AG37" s="275">
        <f>+W37+X37</f>
        <v>2011400</v>
      </c>
      <c r="AH37" s="241"/>
      <c r="AI37" s="241"/>
      <c r="AJ37" s="241"/>
      <c r="AK37" s="194"/>
      <c r="AL37" s="195"/>
      <c r="AM37" s="195"/>
    </row>
    <row r="38" spans="1:39">
      <c r="B38" s="253">
        <v>13</v>
      </c>
      <c r="C38" s="244"/>
      <c r="D38" s="256"/>
      <c r="E38" s="464" t="s">
        <v>880</v>
      </c>
      <c r="F38" s="603" t="s">
        <v>881</v>
      </c>
      <c r="G38" s="387" t="s">
        <v>3631</v>
      </c>
      <c r="H38" s="230" t="s">
        <v>748</v>
      </c>
      <c r="I38" s="230"/>
      <c r="J38" s="230">
        <v>1</v>
      </c>
      <c r="K38" s="230"/>
      <c r="L38" s="228"/>
      <c r="M38" s="257"/>
      <c r="N38" s="228" t="s">
        <v>882</v>
      </c>
      <c r="O38" s="228" t="s">
        <v>883</v>
      </c>
      <c r="P38" s="245"/>
      <c r="Q38" s="2368"/>
      <c r="R38" s="2368"/>
      <c r="S38" s="254"/>
      <c r="T38" s="228"/>
      <c r="U38" s="2357"/>
      <c r="V38" s="256"/>
      <c r="W38" s="373">
        <v>1100000</v>
      </c>
      <c r="X38" s="373">
        <v>709500</v>
      </c>
      <c r="Y38" s="248"/>
      <c r="Z38" s="247"/>
      <c r="AA38" s="248"/>
      <c r="AB38" s="340">
        <f t="shared" si="5"/>
        <v>1809500</v>
      </c>
      <c r="AC38" s="347">
        <f t="shared" si="1"/>
        <v>0</v>
      </c>
      <c r="AD38" s="249" t="s">
        <v>3597</v>
      </c>
      <c r="AE38" s="435">
        <f>+(I38*3714000+J38*(3714000+100000))*1.1+(150000*1.1)</f>
        <v>4360400</v>
      </c>
      <c r="AF38" s="342">
        <f t="shared" si="2"/>
        <v>6169900</v>
      </c>
      <c r="AG38" s="275">
        <f>+W38+X38</f>
        <v>1809500</v>
      </c>
      <c r="AH38" s="241"/>
      <c r="AI38" s="241"/>
      <c r="AJ38" s="241"/>
      <c r="AK38" s="194"/>
      <c r="AL38" s="195"/>
      <c r="AM38" s="195"/>
    </row>
    <row r="39" spans="1:39">
      <c r="B39" s="253">
        <v>14</v>
      </c>
      <c r="C39" s="244"/>
      <c r="D39" s="256"/>
      <c r="E39" s="464" t="s">
        <v>884</v>
      </c>
      <c r="F39" s="603" t="s">
        <v>881</v>
      </c>
      <c r="G39" s="387" t="s">
        <v>3632</v>
      </c>
      <c r="H39" s="230" t="s">
        <v>748</v>
      </c>
      <c r="I39" s="230"/>
      <c r="J39" s="230">
        <v>1</v>
      </c>
      <c r="K39" s="230"/>
      <c r="L39" s="228"/>
      <c r="M39" s="257"/>
      <c r="N39" s="228">
        <v>71523780</v>
      </c>
      <c r="O39" s="228" t="s">
        <v>885</v>
      </c>
      <c r="P39" s="245"/>
      <c r="Q39" s="2368"/>
      <c r="R39" s="2368"/>
      <c r="S39" s="254"/>
      <c r="T39" s="228"/>
      <c r="U39" s="2357"/>
      <c r="V39" s="256"/>
      <c r="W39" s="373">
        <v>1450000</v>
      </c>
      <c r="X39" s="373">
        <v>1050000</v>
      </c>
      <c r="Y39" s="248"/>
      <c r="Z39" s="247"/>
      <c r="AA39" s="248"/>
      <c r="AB39" s="340">
        <f t="shared" si="5"/>
        <v>2500000</v>
      </c>
      <c r="AC39" s="347">
        <f t="shared" si="1"/>
        <v>0</v>
      </c>
      <c r="AD39" s="249" t="s">
        <v>3597</v>
      </c>
      <c r="AE39" s="435">
        <f>+(I39*3714000+J39*(3714000+100000))*1.1+(150000*1.1)</f>
        <v>4360400</v>
      </c>
      <c r="AF39" s="342">
        <f t="shared" si="2"/>
        <v>6860400</v>
      </c>
      <c r="AG39" s="275">
        <f>+W39+X39</f>
        <v>2500000</v>
      </c>
      <c r="AH39" s="241"/>
      <c r="AI39" s="241"/>
      <c r="AJ39" s="241"/>
      <c r="AK39" s="194"/>
      <c r="AL39" s="195"/>
      <c r="AM39" s="195"/>
    </row>
    <row r="40" spans="1:39">
      <c r="B40" s="253">
        <v>15</v>
      </c>
      <c r="C40" s="244"/>
      <c r="D40" s="256"/>
      <c r="E40" s="464" t="s">
        <v>961</v>
      </c>
      <c r="F40" s="602" t="s">
        <v>910</v>
      </c>
      <c r="G40" s="391" t="s">
        <v>3633</v>
      </c>
      <c r="H40" s="230" t="s">
        <v>748</v>
      </c>
      <c r="I40" s="230"/>
      <c r="J40" s="230">
        <v>1</v>
      </c>
      <c r="K40" s="230"/>
      <c r="L40" s="228"/>
      <c r="M40" s="257"/>
      <c r="N40" s="228" t="s">
        <v>959</v>
      </c>
      <c r="O40" s="228" t="s">
        <v>960</v>
      </c>
      <c r="P40" s="245"/>
      <c r="Q40" s="2368"/>
      <c r="R40" s="2368"/>
      <c r="S40" s="254"/>
      <c r="T40" s="228"/>
      <c r="U40" s="2357"/>
      <c r="V40" s="256"/>
      <c r="W40" s="373">
        <v>1100000</v>
      </c>
      <c r="X40" s="373">
        <v>709500</v>
      </c>
      <c r="Y40" s="248"/>
      <c r="Z40" s="247"/>
      <c r="AA40" s="248"/>
      <c r="AB40" s="340">
        <f t="shared" si="5"/>
        <v>1809500</v>
      </c>
      <c r="AC40" s="347">
        <f t="shared" si="1"/>
        <v>0</v>
      </c>
      <c r="AD40" s="249" t="s">
        <v>3597</v>
      </c>
      <c r="AE40" s="435">
        <f>+(I40*3714000+J40*(3714000+100000))*1.1+(150000*1.1)</f>
        <v>4360400</v>
      </c>
      <c r="AF40" s="342">
        <f t="shared" si="2"/>
        <v>6169900</v>
      </c>
      <c r="AG40" s="275">
        <f>+W40+X40</f>
        <v>1809500</v>
      </c>
      <c r="AH40" s="241"/>
      <c r="AI40" s="241"/>
      <c r="AJ40" s="241"/>
      <c r="AK40" s="194"/>
      <c r="AL40" s="195"/>
      <c r="AM40" s="195"/>
    </row>
    <row r="41" spans="1:39" ht="16.5" customHeight="1">
      <c r="B41" s="253">
        <v>16</v>
      </c>
      <c r="C41" s="244"/>
      <c r="D41" s="256"/>
      <c r="E41" s="464" t="s">
        <v>962</v>
      </c>
      <c r="F41" s="602" t="s">
        <v>963</v>
      </c>
      <c r="G41" s="391" t="s">
        <v>3634</v>
      </c>
      <c r="H41" s="230" t="s">
        <v>748</v>
      </c>
      <c r="I41" s="230"/>
      <c r="J41" s="230">
        <v>1</v>
      </c>
      <c r="K41" s="230"/>
      <c r="L41" s="228"/>
      <c r="M41" s="257"/>
      <c r="N41" s="228" t="s">
        <v>3635</v>
      </c>
      <c r="O41" s="228" t="s">
        <v>964</v>
      </c>
      <c r="P41" s="245"/>
      <c r="Q41" s="2368"/>
      <c r="R41" s="2368"/>
      <c r="S41" s="254"/>
      <c r="T41" s="228"/>
      <c r="U41" s="2357"/>
      <c r="V41" s="256"/>
      <c r="W41" s="373">
        <v>920000</v>
      </c>
      <c r="X41" s="373">
        <v>1055000</v>
      </c>
      <c r="Y41" s="248"/>
      <c r="Z41" s="247"/>
      <c r="AA41" s="248"/>
      <c r="AB41" s="340">
        <f t="shared" si="5"/>
        <v>1975000</v>
      </c>
      <c r="AC41" s="347">
        <f t="shared" si="1"/>
        <v>0</v>
      </c>
      <c r="AD41" s="249" t="s">
        <v>3597</v>
      </c>
      <c r="AE41" s="435">
        <f>+(I41*3714000+J41*(3714000+100000))*1.1+(150000*1.1)</f>
        <v>4360400</v>
      </c>
      <c r="AF41" s="342">
        <f t="shared" si="2"/>
        <v>6335400</v>
      </c>
      <c r="AG41" s="275">
        <f>+W41+X41</f>
        <v>1975000</v>
      </c>
      <c r="AH41" s="241"/>
      <c r="AI41" s="241"/>
      <c r="AJ41" s="241"/>
      <c r="AK41" s="194"/>
      <c r="AL41" s="195"/>
      <c r="AM41" s="195"/>
    </row>
    <row r="42" spans="1:39" ht="57" customHeight="1">
      <c r="B42" s="253">
        <v>17</v>
      </c>
      <c r="C42" s="244"/>
      <c r="D42" s="256"/>
      <c r="E42" s="464" t="s">
        <v>971</v>
      </c>
      <c r="F42" s="602" t="s">
        <v>966</v>
      </c>
      <c r="G42" s="391" t="s">
        <v>3636</v>
      </c>
      <c r="H42" s="230" t="s">
        <v>748</v>
      </c>
      <c r="I42" s="230"/>
      <c r="J42" s="230">
        <v>1</v>
      </c>
      <c r="K42" s="230"/>
      <c r="L42" s="228"/>
      <c r="M42" s="257"/>
      <c r="N42" s="228" t="s">
        <v>3637</v>
      </c>
      <c r="O42" s="228" t="s">
        <v>3638</v>
      </c>
      <c r="P42" s="245"/>
      <c r="Q42" s="2368"/>
      <c r="R42" s="2368"/>
      <c r="S42" s="254"/>
      <c r="T42" s="228"/>
      <c r="U42" s="2357"/>
      <c r="V42" s="256"/>
      <c r="W42" s="373">
        <f>1056000+1250000</f>
        <v>2306000</v>
      </c>
      <c r="X42" s="324">
        <f>627000+5280000</f>
        <v>5907000</v>
      </c>
      <c r="Y42" s="248"/>
      <c r="Z42" s="247"/>
      <c r="AA42" s="248"/>
      <c r="AB42" s="340">
        <f t="shared" si="5"/>
        <v>8213000</v>
      </c>
      <c r="AC42" s="347">
        <f>+Z42</f>
        <v>0</v>
      </c>
      <c r="AD42" s="208" t="s">
        <v>3639</v>
      </c>
      <c r="AE42" s="435">
        <f>+(I42*3714000+J42*(3714000+100000))*1.1+(2500000*1.1)+(1700000*1.1)+(150000*1.1)</f>
        <v>8980400</v>
      </c>
      <c r="AF42" s="342">
        <f t="shared" si="2"/>
        <v>17193400</v>
      </c>
      <c r="AG42" s="275">
        <f>+W42</f>
        <v>2306000</v>
      </c>
      <c r="AH42" s="241"/>
      <c r="AI42" s="241"/>
      <c r="AJ42" s="241"/>
      <c r="AK42" s="194"/>
      <c r="AL42" s="195"/>
      <c r="AM42" s="195"/>
    </row>
    <row r="43" spans="1:39">
      <c r="B43" s="253">
        <v>18</v>
      </c>
      <c r="C43" s="244"/>
      <c r="D43" s="256"/>
      <c r="E43" s="465" t="s">
        <v>967</v>
      </c>
      <c r="F43" s="602" t="s">
        <v>966</v>
      </c>
      <c r="G43" s="391" t="s">
        <v>3640</v>
      </c>
      <c r="H43" s="230" t="s">
        <v>3579</v>
      </c>
      <c r="I43" s="230"/>
      <c r="J43" s="230"/>
      <c r="K43" s="230">
        <v>1</v>
      </c>
      <c r="L43" s="228"/>
      <c r="M43" s="257"/>
      <c r="N43" s="228" t="s">
        <v>968</v>
      </c>
      <c r="O43" s="228"/>
      <c r="P43" s="245"/>
      <c r="Q43" s="2368"/>
      <c r="R43" s="2368"/>
      <c r="S43" s="254"/>
      <c r="T43" s="228"/>
      <c r="U43" s="2357"/>
      <c r="V43" s="256"/>
      <c r="W43" s="248"/>
      <c r="X43" s="248"/>
      <c r="Y43" s="248"/>
      <c r="Z43" s="247"/>
      <c r="AA43" s="248"/>
      <c r="AB43" s="340">
        <f t="shared" si="5"/>
        <v>0</v>
      </c>
      <c r="AC43" s="347">
        <f t="shared" si="1"/>
        <v>0</v>
      </c>
      <c r="AD43" s="249" t="s">
        <v>3597</v>
      </c>
      <c r="AE43" s="435">
        <f>(1320000*1.1)+(150000*1.1)</f>
        <v>1617000.0000000002</v>
      </c>
      <c r="AF43" s="342">
        <f t="shared" si="2"/>
        <v>1617000.0000000002</v>
      </c>
      <c r="AG43" s="275"/>
      <c r="AH43" s="241"/>
      <c r="AI43" s="241"/>
      <c r="AJ43" s="241"/>
      <c r="AK43" s="194"/>
      <c r="AL43" s="195"/>
      <c r="AM43" s="195"/>
    </row>
    <row r="44" spans="1:39" s="13" customFormat="1" ht="36" customHeight="1">
      <c r="A44" s="643" t="s">
        <v>3641</v>
      </c>
      <c r="B44" s="644"/>
      <c r="C44" s="644"/>
      <c r="D44" s="346"/>
      <c r="E44" s="644"/>
      <c r="F44" s="644"/>
      <c r="G44" s="644"/>
      <c r="H44" s="644"/>
      <c r="I44" s="369"/>
      <c r="J44" s="346"/>
      <c r="K44" s="346"/>
      <c r="L44" s="346"/>
      <c r="M44" s="346"/>
      <c r="N44" s="346"/>
      <c r="O44" s="354"/>
      <c r="P44" s="346"/>
      <c r="Q44" s="346"/>
      <c r="R44" s="346"/>
      <c r="S44" s="346"/>
      <c r="T44" s="346"/>
      <c r="U44" s="346"/>
      <c r="V44" s="357"/>
      <c r="W44" s="357"/>
      <c r="X44" s="357"/>
      <c r="Y44" s="357"/>
      <c r="Z44" s="357"/>
      <c r="AA44" s="357"/>
      <c r="AB44" s="358">
        <f>SUM(AB26:AB43)</f>
        <v>37400900</v>
      </c>
      <c r="AC44" s="358">
        <f>SUM(AC26:AC43)</f>
        <v>0</v>
      </c>
      <c r="AD44" s="359"/>
      <c r="AE44" s="358">
        <f>SUM(AE26:AE43)</f>
        <v>74690000</v>
      </c>
      <c r="AF44" s="358">
        <f>+AB44+AC44+AE44</f>
        <v>112090900</v>
      </c>
      <c r="AG44" s="357"/>
      <c r="AH44" s="357"/>
      <c r="AI44" s="357"/>
      <c r="AJ44" s="357"/>
      <c r="AK44" s="357"/>
      <c r="AL44" s="357"/>
      <c r="AM44" s="357"/>
    </row>
    <row r="45" spans="1:39">
      <c r="B45" s="439" t="s">
        <v>973</v>
      </c>
      <c r="C45" s="244"/>
      <c r="D45" s="256"/>
      <c r="E45" s="465" t="s">
        <v>974</v>
      </c>
      <c r="F45" s="603" t="s">
        <v>975</v>
      </c>
      <c r="G45" s="391" t="s">
        <v>3642</v>
      </c>
      <c r="H45" s="230" t="s">
        <v>3579</v>
      </c>
      <c r="I45" s="230"/>
      <c r="J45" s="230"/>
      <c r="K45" s="230">
        <v>1</v>
      </c>
      <c r="L45" s="228"/>
      <c r="M45" s="257"/>
      <c r="N45" s="228" t="s">
        <v>976</v>
      </c>
      <c r="O45" s="228"/>
      <c r="P45" s="245"/>
      <c r="Q45" s="2368"/>
      <c r="R45" s="2368"/>
      <c r="S45" s="254"/>
      <c r="T45" s="228"/>
      <c r="U45" s="2357"/>
      <c r="V45" s="256"/>
      <c r="W45" s="248"/>
      <c r="X45" s="248"/>
      <c r="Y45" s="248"/>
      <c r="Z45" s="247"/>
      <c r="AA45" s="248"/>
      <c r="AB45" s="340">
        <f t="shared" ref="AB45:AB53" si="8">V45+W45+X45+Y45+Z45+AA45</f>
        <v>0</v>
      </c>
      <c r="AC45" s="347">
        <f t="shared" si="1"/>
        <v>0</v>
      </c>
      <c r="AD45" s="249" t="s">
        <v>3597</v>
      </c>
      <c r="AE45" s="435">
        <f>(1420000*1.1)+(150000*1.1)</f>
        <v>1727000.0000000002</v>
      </c>
      <c r="AF45" s="342">
        <f t="shared" si="2"/>
        <v>1727000.0000000002</v>
      </c>
      <c r="AG45" s="275"/>
      <c r="AH45" s="241"/>
      <c r="AI45" s="241"/>
      <c r="AJ45" s="241"/>
      <c r="AK45" s="194"/>
      <c r="AL45" s="195"/>
      <c r="AM45" s="195"/>
    </row>
    <row r="46" spans="1:39" ht="31.2">
      <c r="B46" s="253">
        <v>2</v>
      </c>
      <c r="C46" s="244"/>
      <c r="D46" s="256"/>
      <c r="E46" s="464" t="s">
        <v>977</v>
      </c>
      <c r="F46" s="603" t="s">
        <v>978</v>
      </c>
      <c r="G46" s="391" t="s">
        <v>3643</v>
      </c>
      <c r="H46" s="230" t="s">
        <v>210</v>
      </c>
      <c r="I46" s="230"/>
      <c r="J46" s="230">
        <v>2</v>
      </c>
      <c r="K46" s="230"/>
      <c r="L46" s="228"/>
      <c r="M46" s="257"/>
      <c r="N46" s="228">
        <v>2140535460</v>
      </c>
      <c r="O46" s="254" t="s">
        <v>979</v>
      </c>
      <c r="P46" s="245"/>
      <c r="Q46" s="2368"/>
      <c r="R46" s="2368"/>
      <c r="S46" s="254"/>
      <c r="T46" s="228"/>
      <c r="U46" s="2357"/>
      <c r="V46" s="256"/>
      <c r="W46" s="373">
        <f>1450000+1450000</f>
        <v>2900000</v>
      </c>
      <c r="X46" s="373">
        <f>1056000+1056000</f>
        <v>2112000</v>
      </c>
      <c r="Y46" s="248"/>
      <c r="Z46" s="247"/>
      <c r="AA46" s="248"/>
      <c r="AB46" s="340">
        <f t="shared" si="8"/>
        <v>5012000</v>
      </c>
      <c r="AC46" s="347">
        <f t="shared" si="1"/>
        <v>0</v>
      </c>
      <c r="AD46" s="249" t="s">
        <v>3597</v>
      </c>
      <c r="AE46" s="435">
        <f t="shared" ref="AE46:AE53" si="9">+(I46*3650000+J46*(3650000+100000))*1.1+(150000*1.1)</f>
        <v>8415000</v>
      </c>
      <c r="AF46" s="342">
        <f t="shared" si="2"/>
        <v>13427000</v>
      </c>
      <c r="AG46" s="275">
        <f>+W46+X46</f>
        <v>5012000</v>
      </c>
      <c r="AH46" s="241"/>
      <c r="AI46" s="241"/>
      <c r="AJ46" s="241"/>
      <c r="AK46" s="194"/>
      <c r="AL46" s="195"/>
      <c r="AM46" s="195"/>
    </row>
    <row r="47" spans="1:39">
      <c r="B47" s="253">
        <v>3</v>
      </c>
      <c r="C47" s="244"/>
      <c r="D47" s="256"/>
      <c r="E47" s="464" t="s">
        <v>980</v>
      </c>
      <c r="F47" s="603" t="s">
        <v>981</v>
      </c>
      <c r="G47" s="391" t="s">
        <v>3644</v>
      </c>
      <c r="H47" s="230" t="s">
        <v>210</v>
      </c>
      <c r="I47" s="230"/>
      <c r="J47" s="230">
        <v>1</v>
      </c>
      <c r="K47" s="230"/>
      <c r="L47" s="228"/>
      <c r="M47" s="257"/>
      <c r="N47" s="228" t="s">
        <v>982</v>
      </c>
      <c r="O47" s="228" t="s">
        <v>1092</v>
      </c>
      <c r="P47" s="245"/>
      <c r="Q47" s="2368"/>
      <c r="R47" s="2368"/>
      <c r="S47" s="254"/>
      <c r="T47" s="228"/>
      <c r="U47" s="2357"/>
      <c r="V47" s="256"/>
      <c r="W47" s="373">
        <v>1100000</v>
      </c>
      <c r="X47" s="373">
        <v>709500</v>
      </c>
      <c r="Y47" s="248"/>
      <c r="Z47" s="247"/>
      <c r="AA47" s="248"/>
      <c r="AB47" s="340">
        <f t="shared" si="8"/>
        <v>1809500</v>
      </c>
      <c r="AC47" s="347">
        <f t="shared" si="1"/>
        <v>0</v>
      </c>
      <c r="AD47" s="249" t="s">
        <v>3597</v>
      </c>
      <c r="AE47" s="435">
        <f t="shared" si="9"/>
        <v>4290000</v>
      </c>
      <c r="AF47" s="342">
        <f t="shared" si="2"/>
        <v>6099500</v>
      </c>
      <c r="AG47" s="275">
        <f t="shared" ref="AG47:AG53" si="10">+W47+X47</f>
        <v>1809500</v>
      </c>
      <c r="AH47" s="241"/>
      <c r="AI47" s="241"/>
      <c r="AJ47" s="241"/>
      <c r="AK47" s="194"/>
      <c r="AL47" s="195"/>
      <c r="AM47" s="195"/>
    </row>
    <row r="48" spans="1:39">
      <c r="B48" s="253">
        <v>4</v>
      </c>
      <c r="C48" s="244"/>
      <c r="D48" s="256"/>
      <c r="E48" s="464" t="s">
        <v>1109</v>
      </c>
      <c r="F48" s="603" t="s">
        <v>1044</v>
      </c>
      <c r="G48" s="391" t="s">
        <v>3645</v>
      </c>
      <c r="H48" s="230" t="s">
        <v>210</v>
      </c>
      <c r="I48" s="230"/>
      <c r="J48" s="230">
        <v>1</v>
      </c>
      <c r="K48" s="230"/>
      <c r="L48" s="228"/>
      <c r="M48" s="257"/>
      <c r="N48" s="228" t="s">
        <v>1043</v>
      </c>
      <c r="O48" s="228" t="s">
        <v>1045</v>
      </c>
      <c r="P48" s="245"/>
      <c r="Q48" s="2368"/>
      <c r="R48" s="2368"/>
      <c r="S48" s="254"/>
      <c r="T48" s="228"/>
      <c r="U48" s="2357"/>
      <c r="V48" s="256"/>
      <c r="W48" s="373">
        <v>1450000</v>
      </c>
      <c r="X48" s="373">
        <v>1070000</v>
      </c>
      <c r="Y48" s="248"/>
      <c r="Z48" s="247"/>
      <c r="AA48" s="248"/>
      <c r="AB48" s="340">
        <f t="shared" si="8"/>
        <v>2520000</v>
      </c>
      <c r="AC48" s="347">
        <f t="shared" si="1"/>
        <v>0</v>
      </c>
      <c r="AD48" s="249" t="s">
        <v>3597</v>
      </c>
      <c r="AE48" s="435">
        <f t="shared" si="9"/>
        <v>4290000</v>
      </c>
      <c r="AF48" s="342">
        <f t="shared" si="2"/>
        <v>6810000</v>
      </c>
      <c r="AG48" s="275">
        <f t="shared" si="10"/>
        <v>2520000</v>
      </c>
      <c r="AH48" s="241"/>
      <c r="AI48" s="241"/>
      <c r="AJ48" s="241"/>
      <c r="AK48" s="194"/>
      <c r="AL48" s="195"/>
      <c r="AM48" s="195"/>
    </row>
    <row r="49" spans="1:39">
      <c r="B49" s="253">
        <v>5</v>
      </c>
      <c r="C49" s="244"/>
      <c r="D49" s="256"/>
      <c r="E49" s="464" t="s">
        <v>1108</v>
      </c>
      <c r="F49" s="602" t="s">
        <v>1093</v>
      </c>
      <c r="G49" s="391" t="s">
        <v>3646</v>
      </c>
      <c r="H49" s="230" t="s">
        <v>210</v>
      </c>
      <c r="I49" s="230"/>
      <c r="J49" s="230">
        <v>1</v>
      </c>
      <c r="K49" s="230"/>
      <c r="L49" s="228"/>
      <c r="M49" s="257"/>
      <c r="N49" s="228" t="s">
        <v>3647</v>
      </c>
      <c r="O49" s="228" t="s">
        <v>1094</v>
      </c>
      <c r="P49" s="245"/>
      <c r="Q49" s="2368"/>
      <c r="R49" s="2368"/>
      <c r="S49" s="254"/>
      <c r="T49" s="228"/>
      <c r="U49" s="2357"/>
      <c r="V49" s="256"/>
      <c r="W49" s="373">
        <v>1450000</v>
      </c>
      <c r="X49" s="373">
        <v>1050000</v>
      </c>
      <c r="Y49" s="248"/>
      <c r="Z49" s="247"/>
      <c r="AA49" s="248"/>
      <c r="AB49" s="340">
        <f t="shared" si="8"/>
        <v>2500000</v>
      </c>
      <c r="AC49" s="347">
        <f t="shared" si="1"/>
        <v>0</v>
      </c>
      <c r="AD49" s="249" t="s">
        <v>3597</v>
      </c>
      <c r="AE49" s="435">
        <f t="shared" si="9"/>
        <v>4290000</v>
      </c>
      <c r="AF49" s="342">
        <f t="shared" si="2"/>
        <v>6790000</v>
      </c>
      <c r="AG49" s="275">
        <f t="shared" si="10"/>
        <v>2500000</v>
      </c>
      <c r="AH49" s="241"/>
      <c r="AI49" s="241"/>
      <c r="AJ49" s="241"/>
      <c r="AK49" s="194"/>
      <c r="AL49" s="195"/>
      <c r="AM49" s="195"/>
    </row>
    <row r="50" spans="1:39">
      <c r="B50" s="253">
        <v>6</v>
      </c>
      <c r="C50" s="244"/>
      <c r="D50" s="256"/>
      <c r="E50" s="464" t="s">
        <v>1095</v>
      </c>
      <c r="F50" s="602" t="s">
        <v>1096</v>
      </c>
      <c r="G50" s="391" t="s">
        <v>3648</v>
      </c>
      <c r="H50" s="230" t="s">
        <v>210</v>
      </c>
      <c r="I50" s="230">
        <v>1</v>
      </c>
      <c r="J50" s="230"/>
      <c r="K50" s="230"/>
      <c r="L50" s="228"/>
      <c r="M50" s="257"/>
      <c r="N50" s="228">
        <v>71215165</v>
      </c>
      <c r="O50" s="228" t="s">
        <v>1097</v>
      </c>
      <c r="P50" s="245"/>
      <c r="Q50" s="2368"/>
      <c r="R50" s="2368"/>
      <c r="S50" s="254"/>
      <c r="T50" s="228"/>
      <c r="U50" s="2357"/>
      <c r="V50" s="256"/>
      <c r="W50" s="373">
        <v>630000</v>
      </c>
      <c r="X50" s="373">
        <v>638000</v>
      </c>
      <c r="Y50" s="248"/>
      <c r="Z50" s="247"/>
      <c r="AA50" s="248"/>
      <c r="AB50" s="340">
        <f t="shared" si="8"/>
        <v>1268000</v>
      </c>
      <c r="AC50" s="347">
        <f t="shared" si="1"/>
        <v>0</v>
      </c>
      <c r="AD50" s="249" t="s">
        <v>3597</v>
      </c>
      <c r="AE50" s="435">
        <f t="shared" si="9"/>
        <v>4180000.0000000005</v>
      </c>
      <c r="AF50" s="342">
        <f t="shared" si="2"/>
        <v>5448000</v>
      </c>
      <c r="AG50" s="275">
        <f t="shared" si="10"/>
        <v>1268000</v>
      </c>
      <c r="AH50" s="241"/>
      <c r="AI50" s="241"/>
      <c r="AJ50" s="241"/>
      <c r="AK50" s="194"/>
      <c r="AL50" s="195"/>
      <c r="AM50" s="195"/>
    </row>
    <row r="51" spans="1:39">
      <c r="B51" s="253">
        <v>7</v>
      </c>
      <c r="C51" s="244"/>
      <c r="D51" s="256"/>
      <c r="E51" s="464" t="s">
        <v>1105</v>
      </c>
      <c r="F51" s="602" t="s">
        <v>1106</v>
      </c>
      <c r="G51" s="391" t="s">
        <v>3649</v>
      </c>
      <c r="H51" s="230" t="s">
        <v>210</v>
      </c>
      <c r="I51" s="230"/>
      <c r="J51" s="230">
        <v>1</v>
      </c>
      <c r="K51" s="230"/>
      <c r="L51" s="228"/>
      <c r="M51" s="257"/>
      <c r="N51" s="289" t="s">
        <v>1104</v>
      </c>
      <c r="O51" s="228" t="s">
        <v>1107</v>
      </c>
      <c r="P51" s="245"/>
      <c r="Q51" s="2368"/>
      <c r="R51" s="2368"/>
      <c r="S51" s="254"/>
      <c r="T51" s="228"/>
      <c r="U51" s="2357"/>
      <c r="V51" s="256"/>
      <c r="W51" s="373">
        <v>920000</v>
      </c>
      <c r="X51" s="373">
        <v>1050000</v>
      </c>
      <c r="Y51" s="248"/>
      <c r="Z51" s="247"/>
      <c r="AA51" s="248"/>
      <c r="AB51" s="340">
        <f t="shared" si="8"/>
        <v>1970000</v>
      </c>
      <c r="AC51" s="347">
        <f t="shared" si="1"/>
        <v>0</v>
      </c>
      <c r="AD51" s="249" t="s">
        <v>3597</v>
      </c>
      <c r="AE51" s="435">
        <f t="shared" si="9"/>
        <v>4290000</v>
      </c>
      <c r="AF51" s="342">
        <f t="shared" si="2"/>
        <v>6260000</v>
      </c>
      <c r="AG51" s="275">
        <f t="shared" si="10"/>
        <v>1970000</v>
      </c>
      <c r="AH51" s="241"/>
      <c r="AI51" s="241"/>
      <c r="AJ51" s="241"/>
      <c r="AK51" s="194"/>
      <c r="AL51" s="195"/>
      <c r="AM51" s="195"/>
    </row>
    <row r="52" spans="1:39">
      <c r="B52" s="253">
        <v>8</v>
      </c>
      <c r="C52" s="244"/>
      <c r="D52" s="256"/>
      <c r="E52" s="464" t="s">
        <v>1111</v>
      </c>
      <c r="F52" s="602" t="s">
        <v>1110</v>
      </c>
      <c r="G52" s="391" t="s">
        <v>3650</v>
      </c>
      <c r="H52" s="230" t="s">
        <v>210</v>
      </c>
      <c r="I52" s="230"/>
      <c r="J52" s="230">
        <v>1</v>
      </c>
      <c r="K52" s="230"/>
      <c r="L52" s="228"/>
      <c r="M52" s="257"/>
      <c r="N52" s="228" t="s">
        <v>3651</v>
      </c>
      <c r="O52" s="228" t="s">
        <v>1112</v>
      </c>
      <c r="P52" s="245"/>
      <c r="Q52" s="2368"/>
      <c r="R52" s="2368"/>
      <c r="S52" s="254"/>
      <c r="T52" s="228"/>
      <c r="U52" s="2357"/>
      <c r="V52" s="256"/>
      <c r="W52" s="373">
        <v>1450000</v>
      </c>
      <c r="X52" s="373">
        <v>709500</v>
      </c>
      <c r="Y52" s="248"/>
      <c r="Z52" s="247"/>
      <c r="AA52" s="248"/>
      <c r="AB52" s="340">
        <f t="shared" si="8"/>
        <v>2159500</v>
      </c>
      <c r="AC52" s="347">
        <f t="shared" si="1"/>
        <v>0</v>
      </c>
      <c r="AD52" s="249" t="s">
        <v>3597</v>
      </c>
      <c r="AE52" s="435">
        <f t="shared" si="9"/>
        <v>4290000</v>
      </c>
      <c r="AF52" s="342">
        <f t="shared" si="2"/>
        <v>6449500</v>
      </c>
      <c r="AG52" s="275">
        <f t="shared" si="10"/>
        <v>2159500</v>
      </c>
      <c r="AH52" s="241"/>
      <c r="AI52" s="241"/>
      <c r="AJ52" s="241"/>
      <c r="AK52" s="194"/>
      <c r="AL52" s="195"/>
      <c r="AM52" s="195"/>
    </row>
    <row r="53" spans="1:39">
      <c r="B53" s="253">
        <v>9</v>
      </c>
      <c r="C53" s="244"/>
      <c r="D53" s="256"/>
      <c r="E53" s="464" t="s">
        <v>1113</v>
      </c>
      <c r="F53" s="602" t="s">
        <v>1110</v>
      </c>
      <c r="G53" s="391" t="s">
        <v>3652</v>
      </c>
      <c r="H53" s="230" t="s">
        <v>210</v>
      </c>
      <c r="I53" s="230"/>
      <c r="J53" s="230">
        <v>1</v>
      </c>
      <c r="K53" s="230"/>
      <c r="L53" s="228"/>
      <c r="M53" s="257"/>
      <c r="N53" s="228" t="s">
        <v>1114</v>
      </c>
      <c r="O53" s="228" t="s">
        <v>1115</v>
      </c>
      <c r="P53" s="245"/>
      <c r="Q53" s="2368"/>
      <c r="R53" s="2368"/>
      <c r="S53" s="254"/>
      <c r="T53" s="228"/>
      <c r="U53" s="2357"/>
      <c r="V53" s="256"/>
      <c r="W53" s="373">
        <v>1450000</v>
      </c>
      <c r="X53" s="373">
        <v>1070000</v>
      </c>
      <c r="Y53" s="248"/>
      <c r="Z53" s="247"/>
      <c r="AA53" s="248"/>
      <c r="AB53" s="340">
        <f t="shared" si="8"/>
        <v>2520000</v>
      </c>
      <c r="AC53" s="347">
        <f t="shared" si="1"/>
        <v>0</v>
      </c>
      <c r="AD53" s="249" t="s">
        <v>3597</v>
      </c>
      <c r="AE53" s="435">
        <f t="shared" si="9"/>
        <v>4290000</v>
      </c>
      <c r="AF53" s="342">
        <f t="shared" si="2"/>
        <v>6810000</v>
      </c>
      <c r="AG53" s="275">
        <f t="shared" si="10"/>
        <v>2520000</v>
      </c>
      <c r="AH53" s="241"/>
      <c r="AI53" s="241"/>
      <c r="AJ53" s="241"/>
      <c r="AK53" s="194"/>
      <c r="AL53" s="195"/>
      <c r="AM53" s="195"/>
    </row>
    <row r="54" spans="1:39" s="13" customFormat="1" ht="36" customHeight="1">
      <c r="A54" s="643" t="s">
        <v>3653</v>
      </c>
      <c r="B54" s="644"/>
      <c r="C54" s="644"/>
      <c r="D54" s="346"/>
      <c r="E54" s="644"/>
      <c r="F54" s="644"/>
      <c r="G54" s="644"/>
      <c r="H54" s="644"/>
      <c r="I54" s="369"/>
      <c r="J54" s="346"/>
      <c r="K54" s="346"/>
      <c r="L54" s="346"/>
      <c r="M54" s="346"/>
      <c r="N54" s="346"/>
      <c r="O54" s="354"/>
      <c r="P54" s="346"/>
      <c r="Q54" s="346"/>
      <c r="R54" s="346"/>
      <c r="S54" s="346"/>
      <c r="T54" s="346"/>
      <c r="U54" s="346"/>
      <c r="V54" s="357"/>
      <c r="W54" s="357"/>
      <c r="X54" s="357"/>
      <c r="Y54" s="357"/>
      <c r="Z54" s="357"/>
      <c r="AA54" s="357"/>
      <c r="AB54" s="358">
        <f>SUM(AB36:AB53)</f>
        <v>78035800</v>
      </c>
      <c r="AC54" s="358">
        <f>SUM(AC36:AC53)</f>
        <v>0</v>
      </c>
      <c r="AD54" s="359"/>
      <c r="AE54" s="358">
        <f>SUM(AE36:AE53)</f>
        <v>152061800</v>
      </c>
      <c r="AF54" s="358">
        <f>+AB54+AC54+AE54</f>
        <v>230097600</v>
      </c>
      <c r="AG54" s="357"/>
      <c r="AH54" s="357"/>
      <c r="AI54" s="357"/>
      <c r="AJ54" s="357"/>
      <c r="AK54" s="357"/>
      <c r="AL54" s="357"/>
      <c r="AM54" s="357"/>
    </row>
    <row r="55" spans="1:39" ht="78">
      <c r="B55" s="253">
        <v>1</v>
      </c>
      <c r="C55" s="244"/>
      <c r="D55" s="256"/>
      <c r="E55" s="473" t="s">
        <v>1172</v>
      </c>
      <c r="F55" s="602" t="s">
        <v>1169</v>
      </c>
      <c r="G55" s="391" t="s">
        <v>3654</v>
      </c>
      <c r="H55" s="230" t="s">
        <v>210</v>
      </c>
      <c r="I55" s="230"/>
      <c r="J55" s="230">
        <v>1</v>
      </c>
      <c r="K55" s="230"/>
      <c r="L55" s="228"/>
      <c r="M55" s="257"/>
      <c r="N55" s="228" t="s">
        <v>1173</v>
      </c>
      <c r="O55" s="228" t="s">
        <v>1233</v>
      </c>
      <c r="P55" s="245"/>
      <c r="Q55" s="2368"/>
      <c r="R55" s="2368"/>
      <c r="S55" s="254"/>
      <c r="T55" s="257"/>
      <c r="U55" s="2358"/>
      <c r="V55" s="256"/>
      <c r="W55" s="373">
        <v>1450000</v>
      </c>
      <c r="X55" s="373">
        <v>1070000</v>
      </c>
      <c r="Y55" s="248"/>
      <c r="Z55" s="247"/>
      <c r="AA55" s="248"/>
      <c r="AB55" s="340">
        <f t="shared" ref="AB55:AB75" si="11">V55+W55+X55+Y55+Z55+AA55</f>
        <v>2520000</v>
      </c>
      <c r="AC55" s="347">
        <f t="shared" si="1"/>
        <v>0</v>
      </c>
      <c r="AD55" s="208" t="s">
        <v>3655</v>
      </c>
      <c r="AE55" s="471">
        <f>+(I55*3586000+J55*(3586000+100000))*1.1+(150000*2*1.1)</f>
        <v>4384600</v>
      </c>
      <c r="AF55" s="342">
        <f t="shared" si="2"/>
        <v>6904600</v>
      </c>
      <c r="AG55" s="435"/>
      <c r="AH55" s="241"/>
      <c r="AI55" s="241"/>
      <c r="AJ55" s="241"/>
      <c r="AK55" s="194"/>
      <c r="AL55" s="195"/>
      <c r="AM55" s="3434" t="s">
        <v>3656</v>
      </c>
    </row>
    <row r="56" spans="1:39">
      <c r="B56" s="253">
        <v>2</v>
      </c>
      <c r="C56" s="244"/>
      <c r="D56" s="256"/>
      <c r="E56" s="468" t="s">
        <v>1175</v>
      </c>
      <c r="F56" s="602" t="s">
        <v>1169</v>
      </c>
      <c r="G56" s="391" t="s">
        <v>3657</v>
      </c>
      <c r="H56" s="230" t="s">
        <v>210</v>
      </c>
      <c r="I56" s="230"/>
      <c r="J56" s="230">
        <v>1</v>
      </c>
      <c r="K56" s="230"/>
      <c r="L56" s="228"/>
      <c r="M56" s="257"/>
      <c r="N56" s="228">
        <v>6356961980</v>
      </c>
      <c r="O56" s="228" t="s">
        <v>1176</v>
      </c>
      <c r="P56" s="245"/>
      <c r="Q56" s="2368"/>
      <c r="R56" s="2368"/>
      <c r="S56" s="254"/>
      <c r="T56" s="257"/>
      <c r="U56" s="2358"/>
      <c r="V56" s="256"/>
      <c r="W56" s="373">
        <v>1056000</v>
      </c>
      <c r="X56" s="373">
        <v>920000</v>
      </c>
      <c r="Y56" s="248"/>
      <c r="Z56" s="247"/>
      <c r="AA56" s="248"/>
      <c r="AB56" s="340">
        <f t="shared" si="11"/>
        <v>1976000</v>
      </c>
      <c r="AC56" s="347">
        <f t="shared" si="1"/>
        <v>0</v>
      </c>
      <c r="AD56" s="249" t="s">
        <v>3597</v>
      </c>
      <c r="AE56" s="471">
        <f>+(I56*3586000+J56*(3586000+100000))*1.1+(150000*1.1)</f>
        <v>4219600</v>
      </c>
      <c r="AF56" s="342">
        <f t="shared" si="2"/>
        <v>6195600</v>
      </c>
      <c r="AG56" s="252"/>
      <c r="AH56" s="241"/>
      <c r="AI56" s="241"/>
      <c r="AJ56" s="241"/>
      <c r="AK56" s="194"/>
      <c r="AL56" s="195"/>
      <c r="AM56" s="3435"/>
    </row>
    <row r="57" spans="1:39">
      <c r="B57" s="253">
        <v>3</v>
      </c>
      <c r="C57" s="244"/>
      <c r="D57" s="256"/>
      <c r="E57" s="469" t="s">
        <v>1174</v>
      </c>
      <c r="F57" s="602" t="s">
        <v>1169</v>
      </c>
      <c r="G57" s="391" t="s">
        <v>3658</v>
      </c>
      <c r="H57" s="230" t="s">
        <v>3579</v>
      </c>
      <c r="I57" s="230"/>
      <c r="J57" s="230"/>
      <c r="K57" s="230">
        <v>1</v>
      </c>
      <c r="L57" s="228"/>
      <c r="M57" s="257" t="s">
        <v>1195</v>
      </c>
      <c r="N57" s="228" t="s">
        <v>3659</v>
      </c>
      <c r="O57" s="228"/>
      <c r="P57" s="245"/>
      <c r="Q57" s="2368"/>
      <c r="R57" s="2368"/>
      <c r="S57" s="254"/>
      <c r="T57" s="257" t="s">
        <v>1195</v>
      </c>
      <c r="U57" s="2358"/>
      <c r="V57" s="256"/>
      <c r="W57" s="248"/>
      <c r="X57" s="248"/>
      <c r="Y57" s="248"/>
      <c r="Z57" s="247"/>
      <c r="AA57" s="248"/>
      <c r="AB57" s="340">
        <f t="shared" si="11"/>
        <v>0</v>
      </c>
      <c r="AC57" s="347">
        <f t="shared" si="1"/>
        <v>0</v>
      </c>
      <c r="AD57" s="249" t="s">
        <v>3597</v>
      </c>
      <c r="AE57" s="471">
        <f>(3300000*1.1)+(150000*1.1)</f>
        <v>3795000.0000000005</v>
      </c>
      <c r="AF57" s="342">
        <f t="shared" si="2"/>
        <v>3795000.0000000005</v>
      </c>
      <c r="AG57" s="252"/>
      <c r="AH57" s="241"/>
      <c r="AI57" s="241"/>
      <c r="AJ57" s="241"/>
      <c r="AK57" s="194"/>
      <c r="AL57" s="195"/>
      <c r="AM57" s="3435"/>
    </row>
    <row r="58" spans="1:39">
      <c r="B58" s="253">
        <v>4</v>
      </c>
      <c r="C58" s="244"/>
      <c r="D58" s="256"/>
      <c r="E58" s="468" t="s">
        <v>1181</v>
      </c>
      <c r="F58" s="602" t="s">
        <v>1178</v>
      </c>
      <c r="G58" s="391" t="s">
        <v>3660</v>
      </c>
      <c r="H58" s="230" t="s">
        <v>210</v>
      </c>
      <c r="I58" s="230"/>
      <c r="J58" s="230">
        <v>1</v>
      </c>
      <c r="K58" s="230"/>
      <c r="L58" s="228"/>
      <c r="M58" s="257"/>
      <c r="N58" s="289" t="s">
        <v>1183</v>
      </c>
      <c r="O58" s="228" t="s">
        <v>1182</v>
      </c>
      <c r="P58" s="245"/>
      <c r="Q58" s="2368"/>
      <c r="R58" s="2368"/>
      <c r="S58" s="254"/>
      <c r="T58" s="257"/>
      <c r="U58" s="2358"/>
      <c r="V58" s="256"/>
      <c r="W58" s="373">
        <v>920000</v>
      </c>
      <c r="X58" s="373">
        <v>709500</v>
      </c>
      <c r="Y58" s="248"/>
      <c r="Z58" s="247"/>
      <c r="AA58" s="248"/>
      <c r="AB58" s="340">
        <f t="shared" si="11"/>
        <v>1629500</v>
      </c>
      <c r="AC58" s="347">
        <f t="shared" si="1"/>
        <v>0</v>
      </c>
      <c r="AD58" s="249" t="s">
        <v>3597</v>
      </c>
      <c r="AE58" s="471">
        <f>+(I58*3586000+J58*(3586000+100000))*1.1+(150000*1.1)</f>
        <v>4219600</v>
      </c>
      <c r="AF58" s="342">
        <f t="shared" si="2"/>
        <v>5849100</v>
      </c>
      <c r="AG58" s="252"/>
      <c r="AH58" s="241"/>
      <c r="AI58" s="241"/>
      <c r="AJ58" s="241"/>
      <c r="AK58" s="194"/>
      <c r="AL58" s="195"/>
      <c r="AM58" s="3435"/>
    </row>
    <row r="59" spans="1:39">
      <c r="B59" s="253">
        <v>5</v>
      </c>
      <c r="C59" s="244"/>
      <c r="D59" s="256"/>
      <c r="E59" s="470">
        <v>305560419900</v>
      </c>
      <c r="F59" s="602" t="s">
        <v>1178</v>
      </c>
      <c r="G59" s="391" t="s">
        <v>3661</v>
      </c>
      <c r="H59" s="230" t="s">
        <v>210</v>
      </c>
      <c r="I59" s="230"/>
      <c r="J59" s="230">
        <v>1</v>
      </c>
      <c r="K59" s="230"/>
      <c r="L59" s="228"/>
      <c r="M59" s="257"/>
      <c r="N59" s="228">
        <v>2719365720</v>
      </c>
      <c r="O59" s="228" t="s">
        <v>1184</v>
      </c>
      <c r="P59" s="245"/>
      <c r="Q59" s="2368"/>
      <c r="R59" s="2368"/>
      <c r="S59" s="254"/>
      <c r="T59" s="257"/>
      <c r="U59" s="2358"/>
      <c r="V59" s="256"/>
      <c r="W59" s="373">
        <v>1450000</v>
      </c>
      <c r="X59" s="373">
        <v>1055000</v>
      </c>
      <c r="Y59" s="248"/>
      <c r="Z59" s="247"/>
      <c r="AA59" s="248"/>
      <c r="AB59" s="340">
        <f t="shared" si="11"/>
        <v>2505000</v>
      </c>
      <c r="AC59" s="347">
        <f t="shared" si="1"/>
        <v>0</v>
      </c>
      <c r="AD59" s="249" t="s">
        <v>3597</v>
      </c>
      <c r="AE59" s="471">
        <f>+(I59*3586000+J59*(3586000+100000))*1.1+(150000*1.1)</f>
        <v>4219600</v>
      </c>
      <c r="AF59" s="342">
        <f t="shared" si="2"/>
        <v>6724600</v>
      </c>
      <c r="AG59" s="252"/>
      <c r="AH59" s="241"/>
      <c r="AI59" s="241"/>
      <c r="AJ59" s="241"/>
      <c r="AK59" s="194"/>
      <c r="AL59" s="195"/>
      <c r="AM59" s="3435"/>
    </row>
    <row r="60" spans="1:39">
      <c r="B60" s="253">
        <v>6</v>
      </c>
      <c r="C60" s="244"/>
      <c r="D60" s="256"/>
      <c r="E60" s="470">
        <v>305564712260</v>
      </c>
      <c r="F60" s="602" t="s">
        <v>1185</v>
      </c>
      <c r="G60" s="391" t="s">
        <v>3662</v>
      </c>
      <c r="H60" s="230" t="s">
        <v>210</v>
      </c>
      <c r="I60" s="230"/>
      <c r="J60" s="230">
        <v>1</v>
      </c>
      <c r="K60" s="230"/>
      <c r="L60" s="228"/>
      <c r="M60" s="257"/>
      <c r="N60" s="228" t="s">
        <v>1187</v>
      </c>
      <c r="O60" s="228" t="s">
        <v>1186</v>
      </c>
      <c r="P60" s="245"/>
      <c r="Q60" s="2368"/>
      <c r="R60" s="2368"/>
      <c r="S60" s="254"/>
      <c r="T60" s="257"/>
      <c r="U60" s="2358"/>
      <c r="V60" s="256"/>
      <c r="W60" s="373">
        <v>1450000</v>
      </c>
      <c r="X60" s="373">
        <v>1070000</v>
      </c>
      <c r="Y60" s="248"/>
      <c r="Z60" s="247"/>
      <c r="AA60" s="248"/>
      <c r="AB60" s="340">
        <f t="shared" si="11"/>
        <v>2520000</v>
      </c>
      <c r="AC60" s="347">
        <f t="shared" si="1"/>
        <v>0</v>
      </c>
      <c r="AD60" s="249" t="s">
        <v>3597</v>
      </c>
      <c r="AE60" s="471">
        <f>+(I60*3586000+J60*(3586000+100000))*1.1+(150000*1.1)</f>
        <v>4219600</v>
      </c>
      <c r="AF60" s="342">
        <f t="shared" si="2"/>
        <v>6739600</v>
      </c>
      <c r="AG60" s="252"/>
      <c r="AH60" s="241"/>
      <c r="AI60" s="241"/>
      <c r="AJ60" s="241"/>
      <c r="AK60" s="194"/>
      <c r="AL60" s="195"/>
      <c r="AM60" s="3435"/>
    </row>
    <row r="61" spans="1:39">
      <c r="B61" s="253">
        <v>7</v>
      </c>
      <c r="C61" s="244"/>
      <c r="D61" s="256"/>
      <c r="E61" s="470">
        <v>305566470440</v>
      </c>
      <c r="F61" s="602" t="s">
        <v>1188</v>
      </c>
      <c r="G61" s="391" t="s">
        <v>3663</v>
      </c>
      <c r="H61" s="230" t="s">
        <v>210</v>
      </c>
      <c r="I61" s="230"/>
      <c r="J61" s="230">
        <v>1</v>
      </c>
      <c r="K61" s="230"/>
      <c r="L61" s="228"/>
      <c r="M61" s="257"/>
      <c r="N61" s="228">
        <v>71972161</v>
      </c>
      <c r="O61" s="228" t="s">
        <v>1231</v>
      </c>
      <c r="P61" s="245"/>
      <c r="Q61" s="2368"/>
      <c r="R61" s="2368"/>
      <c r="S61" s="254"/>
      <c r="T61" s="257"/>
      <c r="U61" s="2358"/>
      <c r="V61" s="256"/>
      <c r="W61" s="373">
        <v>1450000</v>
      </c>
      <c r="X61" s="373">
        <v>1050000</v>
      </c>
      <c r="Y61" s="248"/>
      <c r="Z61" s="247"/>
      <c r="AA61" s="248"/>
      <c r="AB61" s="340">
        <f t="shared" si="11"/>
        <v>2500000</v>
      </c>
      <c r="AC61" s="347">
        <f t="shared" si="1"/>
        <v>0</v>
      </c>
      <c r="AD61" s="249" t="s">
        <v>3597</v>
      </c>
      <c r="AE61" s="471">
        <f>+(I61*3586000+J61*(3586000+100000))*1.1+(150000*1.1)</f>
        <v>4219600</v>
      </c>
      <c r="AF61" s="342">
        <f t="shared" si="2"/>
        <v>6719600</v>
      </c>
      <c r="AG61" s="252"/>
      <c r="AH61" s="241"/>
      <c r="AI61" s="241"/>
      <c r="AJ61" s="241"/>
      <c r="AK61" s="194"/>
      <c r="AL61" s="195"/>
      <c r="AM61" s="3435"/>
    </row>
    <row r="62" spans="1:39" ht="31.2">
      <c r="B62" s="253">
        <v>8</v>
      </c>
      <c r="C62" s="244"/>
      <c r="D62" s="256"/>
      <c r="E62" s="472" t="s">
        <v>1189</v>
      </c>
      <c r="F62" s="602" t="s">
        <v>1188</v>
      </c>
      <c r="G62" s="391" t="s">
        <v>3664</v>
      </c>
      <c r="H62" s="230" t="s">
        <v>3579</v>
      </c>
      <c r="I62" s="230"/>
      <c r="J62" s="230">
        <v>2</v>
      </c>
      <c r="K62" s="230"/>
      <c r="L62" s="228"/>
      <c r="M62" s="257"/>
      <c r="N62" s="289" t="s">
        <v>1190</v>
      </c>
      <c r="O62" s="254" t="s">
        <v>1191</v>
      </c>
      <c r="P62" s="245"/>
      <c r="Q62" s="2368"/>
      <c r="R62" s="2368"/>
      <c r="S62" s="254"/>
      <c r="T62" s="257"/>
      <c r="U62" s="2358"/>
      <c r="V62" s="324">
        <v>616000</v>
      </c>
      <c r="W62" s="324">
        <v>1419000</v>
      </c>
      <c r="X62" s="373">
        <f>1450000+1450000</f>
        <v>2900000</v>
      </c>
      <c r="Y62" s="248"/>
      <c r="Z62" s="247"/>
      <c r="AA62" s="248"/>
      <c r="AB62" s="340">
        <f t="shared" si="11"/>
        <v>4935000</v>
      </c>
      <c r="AC62" s="347">
        <f t="shared" si="1"/>
        <v>0</v>
      </c>
      <c r="AD62" s="249" t="s">
        <v>3597</v>
      </c>
      <c r="AE62" s="471">
        <f>+(I62*3586000+J62*(3586000+100000))*1.1+(150000*2*1.1)</f>
        <v>8439200</v>
      </c>
      <c r="AF62" s="342">
        <f t="shared" si="2"/>
        <v>13374200</v>
      </c>
      <c r="AG62" s="252"/>
      <c r="AH62" s="241"/>
      <c r="AI62" s="241"/>
      <c r="AJ62" s="241"/>
      <c r="AK62" s="194"/>
      <c r="AL62" s="195"/>
      <c r="AM62" s="3435"/>
    </row>
    <row r="63" spans="1:39" ht="20.25" customHeight="1">
      <c r="B63" s="253">
        <v>9</v>
      </c>
      <c r="C63" s="244"/>
      <c r="D63" s="256"/>
      <c r="E63" s="470">
        <v>305572329550</v>
      </c>
      <c r="F63" s="603" t="s">
        <v>1193</v>
      </c>
      <c r="G63" s="391" t="s">
        <v>3665</v>
      </c>
      <c r="H63" s="230" t="s">
        <v>210</v>
      </c>
      <c r="I63" s="230">
        <v>1</v>
      </c>
      <c r="J63" s="230"/>
      <c r="K63" s="230"/>
      <c r="L63" s="228"/>
      <c r="M63" s="257"/>
      <c r="N63" s="228" t="s">
        <v>1192</v>
      </c>
      <c r="O63" s="228" t="s">
        <v>1194</v>
      </c>
      <c r="P63" s="245"/>
      <c r="Q63" s="2368"/>
      <c r="R63" s="2368"/>
      <c r="S63" s="254"/>
      <c r="T63" s="257"/>
      <c r="U63" s="2358"/>
      <c r="V63" s="256"/>
      <c r="W63" s="373">
        <v>900000</v>
      </c>
      <c r="X63" s="373">
        <v>401500</v>
      </c>
      <c r="Y63" s="248"/>
      <c r="Z63" s="247"/>
      <c r="AA63" s="248"/>
      <c r="AB63" s="340">
        <f t="shared" si="11"/>
        <v>1301500</v>
      </c>
      <c r="AC63" s="347">
        <f t="shared" si="1"/>
        <v>0</v>
      </c>
      <c r="AD63" s="249" t="s">
        <v>3597</v>
      </c>
      <c r="AE63" s="471">
        <f>+(I63*3586000+J63*(3586000+100000))*1.1+(150000*1.1)</f>
        <v>4109600.0000000005</v>
      </c>
      <c r="AF63" s="342">
        <f t="shared" si="2"/>
        <v>5411100</v>
      </c>
      <c r="AG63" s="252"/>
      <c r="AH63" s="241"/>
      <c r="AI63" s="241"/>
      <c r="AJ63" s="241"/>
      <c r="AK63" s="194"/>
      <c r="AL63" s="195"/>
      <c r="AM63" s="3435"/>
    </row>
    <row r="64" spans="1:39">
      <c r="B64" s="253">
        <v>10</v>
      </c>
      <c r="C64" s="244"/>
      <c r="D64" s="256"/>
      <c r="E64" s="470">
        <v>305576506930</v>
      </c>
      <c r="F64" s="603" t="s">
        <v>1198</v>
      </c>
      <c r="G64" s="391" t="s">
        <v>3666</v>
      </c>
      <c r="H64" s="230" t="s">
        <v>210</v>
      </c>
      <c r="I64" s="230"/>
      <c r="J64" s="230"/>
      <c r="K64" s="230">
        <v>1</v>
      </c>
      <c r="L64" s="228"/>
      <c r="M64" s="257" t="s">
        <v>1196</v>
      </c>
      <c r="N64" s="228" t="s">
        <v>1197</v>
      </c>
      <c r="O64" s="228"/>
      <c r="P64" s="245"/>
      <c r="Q64" s="2368"/>
      <c r="R64" s="2368"/>
      <c r="S64" s="254"/>
      <c r="T64" s="257" t="s">
        <v>1196</v>
      </c>
      <c r="U64" s="2358"/>
      <c r="V64" s="256"/>
      <c r="W64" s="248"/>
      <c r="X64" s="248"/>
      <c r="Y64" s="248"/>
      <c r="Z64" s="247"/>
      <c r="AA64" s="248"/>
      <c r="AB64" s="340">
        <f t="shared" si="11"/>
        <v>0</v>
      </c>
      <c r="AC64" s="347">
        <f>+Z64</f>
        <v>0</v>
      </c>
      <c r="AD64" s="249" t="s">
        <v>3597</v>
      </c>
      <c r="AE64" s="471">
        <f>(1272000*1.1)+(150000*1.1)</f>
        <v>1564200</v>
      </c>
      <c r="AF64" s="342">
        <f>+AB64+AE64</f>
        <v>1564200</v>
      </c>
      <c r="AG64" s="252"/>
      <c r="AH64" s="241"/>
      <c r="AI64" s="241"/>
      <c r="AJ64" s="241"/>
      <c r="AK64" s="194"/>
      <c r="AL64" s="195"/>
      <c r="AM64" s="3435"/>
    </row>
    <row r="65" spans="1:39">
      <c r="B65" s="253">
        <v>11</v>
      </c>
      <c r="C65" s="244"/>
      <c r="D65" s="256"/>
      <c r="E65" s="470">
        <v>305579693330</v>
      </c>
      <c r="F65" s="603" t="s">
        <v>1200</v>
      </c>
      <c r="G65" s="391" t="s">
        <v>3667</v>
      </c>
      <c r="H65" s="230" t="s">
        <v>210</v>
      </c>
      <c r="I65" s="230"/>
      <c r="J65" s="230">
        <v>1</v>
      </c>
      <c r="K65" s="230"/>
      <c r="L65" s="228"/>
      <c r="M65" s="257"/>
      <c r="N65" s="228">
        <v>71643091</v>
      </c>
      <c r="O65" s="228" t="s">
        <v>1201</v>
      </c>
      <c r="P65" s="245"/>
      <c r="Q65" s="2368"/>
      <c r="R65" s="2368"/>
      <c r="S65" s="254"/>
      <c r="T65" s="257"/>
      <c r="U65" s="2358"/>
      <c r="V65" s="256"/>
      <c r="W65" s="373">
        <v>1350000</v>
      </c>
      <c r="X65" s="373">
        <v>709500</v>
      </c>
      <c r="Y65" s="248"/>
      <c r="Z65" s="247"/>
      <c r="AA65" s="248"/>
      <c r="AB65" s="340">
        <f t="shared" si="11"/>
        <v>2059500</v>
      </c>
      <c r="AC65" s="347">
        <f>+Z65</f>
        <v>0</v>
      </c>
      <c r="AD65" s="249" t="s">
        <v>3597</v>
      </c>
      <c r="AE65" s="471">
        <f t="shared" ref="AE65:AE75" si="12">+(I65*3586000+J65*(3586000+100000))*1.1+(150000*1.1)</f>
        <v>4219600</v>
      </c>
      <c r="AF65" s="342">
        <f>+AB65+AE65</f>
        <v>6279100</v>
      </c>
      <c r="AG65" s="252"/>
      <c r="AH65" s="241"/>
      <c r="AI65" s="241"/>
      <c r="AJ65" s="241"/>
      <c r="AK65" s="194"/>
      <c r="AL65" s="195"/>
      <c r="AM65" s="3435"/>
    </row>
    <row r="66" spans="1:39">
      <c r="B66" s="439" t="s">
        <v>1225</v>
      </c>
      <c r="C66" s="244"/>
      <c r="D66" s="256"/>
      <c r="E66" s="470">
        <v>305579143610</v>
      </c>
      <c r="F66" s="603" t="s">
        <v>1200</v>
      </c>
      <c r="G66" s="391" t="s">
        <v>3668</v>
      </c>
      <c r="H66" s="230" t="s">
        <v>210</v>
      </c>
      <c r="I66" s="230"/>
      <c r="J66" s="230">
        <v>1</v>
      </c>
      <c r="K66" s="230"/>
      <c r="L66" s="228"/>
      <c r="M66" s="257"/>
      <c r="N66" s="228" t="s">
        <v>1202</v>
      </c>
      <c r="O66" s="228" t="s">
        <v>1203</v>
      </c>
      <c r="P66" s="245"/>
      <c r="Q66" s="2368"/>
      <c r="R66" s="2368"/>
      <c r="S66" s="254"/>
      <c r="T66" s="257"/>
      <c r="U66" s="2358"/>
      <c r="V66" s="256"/>
      <c r="W66" s="373">
        <v>1450000</v>
      </c>
      <c r="X66" s="373">
        <v>709500</v>
      </c>
      <c r="Y66" s="248"/>
      <c r="Z66" s="247"/>
      <c r="AA66" s="248"/>
      <c r="AB66" s="340">
        <f t="shared" si="11"/>
        <v>2159500</v>
      </c>
      <c r="AC66" s="347">
        <f t="shared" ref="AC66:AC71" si="13">+Z66</f>
        <v>0</v>
      </c>
      <c r="AD66" s="249" t="s">
        <v>3597</v>
      </c>
      <c r="AE66" s="471">
        <f t="shared" si="12"/>
        <v>4219600</v>
      </c>
      <c r="AF66" s="342">
        <f t="shared" ref="AF66:AF71" si="14">+AB66+AE66</f>
        <v>6379100</v>
      </c>
      <c r="AG66" s="252"/>
      <c r="AH66" s="241"/>
      <c r="AI66" s="241"/>
      <c r="AJ66" s="241"/>
      <c r="AK66" s="194"/>
      <c r="AL66" s="195"/>
      <c r="AM66" s="3435"/>
    </row>
    <row r="67" spans="1:39">
      <c r="B67" s="439" t="s">
        <v>1226</v>
      </c>
      <c r="C67" s="244"/>
      <c r="D67" s="256"/>
      <c r="E67" s="474">
        <v>305596349940</v>
      </c>
      <c r="F67" s="602" t="s">
        <v>1215</v>
      </c>
      <c r="G67" s="391" t="s">
        <v>3669</v>
      </c>
      <c r="H67" s="230" t="s">
        <v>210</v>
      </c>
      <c r="I67" s="230"/>
      <c r="J67" s="230">
        <v>1</v>
      </c>
      <c r="K67" s="230"/>
      <c r="L67" s="228"/>
      <c r="M67" s="257"/>
      <c r="N67" s="228">
        <v>2720559560</v>
      </c>
      <c r="O67" s="228" t="s">
        <v>1216</v>
      </c>
      <c r="P67" s="245"/>
      <c r="Q67" s="2368"/>
      <c r="R67" s="2368"/>
      <c r="S67" s="254"/>
      <c r="T67" s="257"/>
      <c r="U67" s="2358"/>
      <c r="V67" s="256"/>
      <c r="W67" s="373">
        <v>1200000</v>
      </c>
      <c r="X67" s="373">
        <v>1160000</v>
      </c>
      <c r="Y67" s="248"/>
      <c r="Z67" s="247"/>
      <c r="AA67" s="248"/>
      <c r="AB67" s="340">
        <f t="shared" si="11"/>
        <v>2360000</v>
      </c>
      <c r="AC67" s="347">
        <f t="shared" si="13"/>
        <v>0</v>
      </c>
      <c r="AD67" s="249" t="s">
        <v>3597</v>
      </c>
      <c r="AE67" s="435">
        <f t="shared" si="12"/>
        <v>4219600</v>
      </c>
      <c r="AF67" s="342">
        <f t="shared" si="14"/>
        <v>6579600</v>
      </c>
      <c r="AG67" s="252"/>
      <c r="AH67" s="241"/>
      <c r="AI67" s="241"/>
      <c r="AJ67" s="241"/>
      <c r="AK67" s="194"/>
      <c r="AL67" s="195"/>
      <c r="AM67" s="3435"/>
    </row>
    <row r="68" spans="1:39">
      <c r="B68" s="439" t="s">
        <v>1227</v>
      </c>
      <c r="C68" s="244"/>
      <c r="D68" s="256"/>
      <c r="E68" s="474">
        <v>305596954150</v>
      </c>
      <c r="F68" s="602" t="s">
        <v>1215</v>
      </c>
      <c r="G68" s="391" t="s">
        <v>3670</v>
      </c>
      <c r="H68" s="230" t="s">
        <v>210</v>
      </c>
      <c r="I68" s="230"/>
      <c r="J68" s="230">
        <v>1</v>
      </c>
      <c r="K68" s="230"/>
      <c r="L68" s="228"/>
      <c r="M68" s="257"/>
      <c r="N68" s="228" t="s">
        <v>1217</v>
      </c>
      <c r="O68" s="228" t="s">
        <v>1218</v>
      </c>
      <c r="P68" s="245"/>
      <c r="Q68" s="2368"/>
      <c r="R68" s="2368"/>
      <c r="S68" s="254"/>
      <c r="T68" s="257"/>
      <c r="U68" s="2358"/>
      <c r="V68" s="256"/>
      <c r="W68" s="373">
        <v>1450000</v>
      </c>
      <c r="X68" s="373">
        <v>1220000</v>
      </c>
      <c r="Y68" s="248"/>
      <c r="Z68" s="247"/>
      <c r="AA68" s="248"/>
      <c r="AB68" s="340">
        <f t="shared" si="11"/>
        <v>2670000</v>
      </c>
      <c r="AC68" s="347">
        <f t="shared" si="13"/>
        <v>0</v>
      </c>
      <c r="AD68" s="249" t="s">
        <v>3597</v>
      </c>
      <c r="AE68" s="435">
        <f t="shared" si="12"/>
        <v>4219600</v>
      </c>
      <c r="AF68" s="342">
        <f t="shared" si="14"/>
        <v>6889600</v>
      </c>
      <c r="AG68" s="252"/>
      <c r="AH68" s="241"/>
      <c r="AI68" s="241"/>
      <c r="AJ68" s="241"/>
      <c r="AK68" s="194"/>
      <c r="AL68" s="195"/>
      <c r="AM68" s="3435"/>
    </row>
    <row r="69" spans="1:39">
      <c r="B69" s="439" t="s">
        <v>1228</v>
      </c>
      <c r="C69" s="244"/>
      <c r="D69" s="256"/>
      <c r="E69" s="474">
        <v>305599567360</v>
      </c>
      <c r="F69" s="602" t="s">
        <v>1219</v>
      </c>
      <c r="G69" s="391" t="s">
        <v>3671</v>
      </c>
      <c r="H69" s="230" t="s">
        <v>210</v>
      </c>
      <c r="I69" s="230"/>
      <c r="J69" s="230">
        <v>1</v>
      </c>
      <c r="K69" s="230"/>
      <c r="L69" s="228"/>
      <c r="M69" s="257"/>
      <c r="N69" s="228">
        <v>72062045</v>
      </c>
      <c r="O69" s="228" t="s">
        <v>1222</v>
      </c>
      <c r="P69" s="245"/>
      <c r="Q69" s="2368"/>
      <c r="R69" s="2368"/>
      <c r="S69" s="254"/>
      <c r="T69" s="257"/>
      <c r="U69" s="2358"/>
      <c r="V69" s="256"/>
      <c r="W69" s="373">
        <v>1450000</v>
      </c>
      <c r="X69" s="373">
        <v>1160000</v>
      </c>
      <c r="Y69" s="248"/>
      <c r="Z69" s="247"/>
      <c r="AA69" s="248"/>
      <c r="AB69" s="340">
        <f t="shared" si="11"/>
        <v>2610000</v>
      </c>
      <c r="AC69" s="347">
        <f t="shared" si="13"/>
        <v>0</v>
      </c>
      <c r="AD69" s="249" t="s">
        <v>3597</v>
      </c>
      <c r="AE69" s="435">
        <f t="shared" si="12"/>
        <v>4219600</v>
      </c>
      <c r="AF69" s="342">
        <f t="shared" si="14"/>
        <v>6829600</v>
      </c>
      <c r="AG69" s="252"/>
      <c r="AH69" s="241"/>
      <c r="AI69" s="241"/>
      <c r="AJ69" s="241"/>
      <c r="AK69" s="194"/>
      <c r="AL69" s="195"/>
      <c r="AM69" s="3435"/>
    </row>
    <row r="70" spans="1:39">
      <c r="B70" s="439" t="s">
        <v>1229</v>
      </c>
      <c r="C70" s="244"/>
      <c r="D70" s="256"/>
      <c r="E70" s="474">
        <v>305599128020</v>
      </c>
      <c r="F70" s="602" t="s">
        <v>1219</v>
      </c>
      <c r="G70" s="391" t="s">
        <v>3672</v>
      </c>
      <c r="H70" s="230" t="s">
        <v>210</v>
      </c>
      <c r="I70" s="230"/>
      <c r="J70" s="230">
        <v>1</v>
      </c>
      <c r="K70" s="230"/>
      <c r="L70" s="228"/>
      <c r="M70" s="257"/>
      <c r="N70" s="228" t="s">
        <v>1220</v>
      </c>
      <c r="O70" s="228" t="s">
        <v>1221</v>
      </c>
      <c r="P70" s="245"/>
      <c r="Q70" s="2368"/>
      <c r="R70" s="2368"/>
      <c r="S70" s="254"/>
      <c r="T70" s="257"/>
      <c r="U70" s="2358"/>
      <c r="V70" s="256"/>
      <c r="W70" s="373">
        <v>1100000</v>
      </c>
      <c r="X70" s="373">
        <v>709500</v>
      </c>
      <c r="Y70" s="248"/>
      <c r="Z70" s="247"/>
      <c r="AA70" s="248"/>
      <c r="AB70" s="340">
        <f t="shared" si="11"/>
        <v>1809500</v>
      </c>
      <c r="AC70" s="347">
        <f t="shared" si="13"/>
        <v>0</v>
      </c>
      <c r="AD70" s="249" t="s">
        <v>3597</v>
      </c>
      <c r="AE70" s="435">
        <f t="shared" si="12"/>
        <v>4219600</v>
      </c>
      <c r="AF70" s="342">
        <f t="shared" si="14"/>
        <v>6029100</v>
      </c>
      <c r="AG70" s="252"/>
      <c r="AH70" s="241"/>
      <c r="AI70" s="241"/>
      <c r="AJ70" s="241"/>
      <c r="AK70" s="194"/>
      <c r="AL70" s="195"/>
      <c r="AM70" s="3435"/>
    </row>
    <row r="71" spans="1:39">
      <c r="B71" s="439" t="s">
        <v>1230</v>
      </c>
      <c r="C71" s="244"/>
      <c r="D71" s="256"/>
      <c r="E71" s="474">
        <v>305600641050</v>
      </c>
      <c r="F71" s="602" t="s">
        <v>1219</v>
      </c>
      <c r="G71" s="391" t="s">
        <v>3673</v>
      </c>
      <c r="H71" s="230" t="s">
        <v>210</v>
      </c>
      <c r="I71" s="230"/>
      <c r="J71" s="230">
        <v>1</v>
      </c>
      <c r="K71" s="230"/>
      <c r="L71" s="228"/>
      <c r="M71" s="257"/>
      <c r="N71" s="228" t="s">
        <v>1223</v>
      </c>
      <c r="O71" s="228" t="s">
        <v>1224</v>
      </c>
      <c r="P71" s="245"/>
      <c r="Q71" s="2368"/>
      <c r="R71" s="2368"/>
      <c r="S71" s="254"/>
      <c r="T71" s="257"/>
      <c r="U71" s="2358"/>
      <c r="V71" s="256"/>
      <c r="W71" s="373">
        <v>1100000</v>
      </c>
      <c r="X71" s="373">
        <v>709500</v>
      </c>
      <c r="Y71" s="248"/>
      <c r="Z71" s="247"/>
      <c r="AA71" s="248"/>
      <c r="AB71" s="340">
        <f t="shared" si="11"/>
        <v>1809500</v>
      </c>
      <c r="AC71" s="347">
        <f t="shared" si="13"/>
        <v>0</v>
      </c>
      <c r="AD71" s="249" t="s">
        <v>3597</v>
      </c>
      <c r="AE71" s="435">
        <f t="shared" si="12"/>
        <v>4219600</v>
      </c>
      <c r="AF71" s="342">
        <f t="shared" si="14"/>
        <v>6029100</v>
      </c>
      <c r="AG71" s="252"/>
      <c r="AH71" s="241"/>
      <c r="AI71" s="241"/>
      <c r="AJ71" s="241"/>
      <c r="AK71" s="194"/>
      <c r="AL71" s="195"/>
      <c r="AM71" s="3435"/>
    </row>
    <row r="72" spans="1:39">
      <c r="B72" s="439" t="s">
        <v>1247</v>
      </c>
      <c r="C72" s="244"/>
      <c r="D72" s="256"/>
      <c r="E72" s="474">
        <v>305610594130</v>
      </c>
      <c r="F72" s="602" t="s">
        <v>1244</v>
      </c>
      <c r="G72" s="391" t="s">
        <v>3674</v>
      </c>
      <c r="H72" s="230" t="s">
        <v>748</v>
      </c>
      <c r="I72" s="230"/>
      <c r="J72" s="230">
        <v>1</v>
      </c>
      <c r="K72" s="230"/>
      <c r="L72" s="228"/>
      <c r="M72" s="257"/>
      <c r="N72" s="228" t="s">
        <v>3675</v>
      </c>
      <c r="O72" s="228" t="s">
        <v>1245</v>
      </c>
      <c r="P72" s="245"/>
      <c r="Q72" s="2368"/>
      <c r="R72" s="2368"/>
      <c r="S72" s="254"/>
      <c r="T72" s="257"/>
      <c r="U72" s="2358"/>
      <c r="V72" s="256"/>
      <c r="W72" s="373">
        <v>1350000</v>
      </c>
      <c r="X72" s="373">
        <v>709500</v>
      </c>
      <c r="Y72" s="248"/>
      <c r="Z72" s="247"/>
      <c r="AA72" s="248"/>
      <c r="AB72" s="340">
        <f t="shared" si="11"/>
        <v>2059500</v>
      </c>
      <c r="AC72" s="347">
        <f>+Z72</f>
        <v>0</v>
      </c>
      <c r="AD72" s="249" t="s">
        <v>3597</v>
      </c>
      <c r="AE72" s="435">
        <f t="shared" si="12"/>
        <v>4219600</v>
      </c>
      <c r="AF72" s="342">
        <f>+AB72+AE72</f>
        <v>6279100</v>
      </c>
      <c r="AG72" s="252"/>
      <c r="AH72" s="241"/>
      <c r="AI72" s="241"/>
      <c r="AJ72" s="241"/>
      <c r="AK72" s="194"/>
      <c r="AL72" s="195"/>
      <c r="AM72" s="3435"/>
    </row>
    <row r="73" spans="1:39">
      <c r="B73" s="439" t="s">
        <v>1248</v>
      </c>
      <c r="C73" s="244"/>
      <c r="D73" s="256"/>
      <c r="E73" s="474">
        <v>305609182930</v>
      </c>
      <c r="F73" s="602" t="s">
        <v>1244</v>
      </c>
      <c r="G73" s="391" t="s">
        <v>3676</v>
      </c>
      <c r="H73" s="230" t="s">
        <v>748</v>
      </c>
      <c r="I73" s="230"/>
      <c r="J73" s="230">
        <v>1</v>
      </c>
      <c r="K73" s="230"/>
      <c r="L73" s="228"/>
      <c r="M73" s="257"/>
      <c r="N73" s="228" t="s">
        <v>3677</v>
      </c>
      <c r="O73" s="228" t="s">
        <v>1246</v>
      </c>
      <c r="P73" s="245"/>
      <c r="Q73" s="2368"/>
      <c r="R73" s="2368"/>
      <c r="S73" s="254"/>
      <c r="T73" s="257"/>
      <c r="U73" s="2358"/>
      <c r="V73" s="256"/>
      <c r="W73" s="373">
        <v>1450000</v>
      </c>
      <c r="X73" s="373">
        <v>709500</v>
      </c>
      <c r="Y73" s="248"/>
      <c r="Z73" s="247"/>
      <c r="AA73" s="248"/>
      <c r="AB73" s="340">
        <f t="shared" si="11"/>
        <v>2159500</v>
      </c>
      <c r="AC73" s="347">
        <f>+Z73</f>
        <v>0</v>
      </c>
      <c r="AD73" s="249" t="s">
        <v>3597</v>
      </c>
      <c r="AE73" s="435">
        <f t="shared" si="12"/>
        <v>4219600</v>
      </c>
      <c r="AF73" s="342">
        <f>+AB73+AE73</f>
        <v>6379100</v>
      </c>
      <c r="AG73" s="252"/>
      <c r="AH73" s="241"/>
      <c r="AI73" s="241"/>
      <c r="AJ73" s="241"/>
      <c r="AK73" s="194"/>
      <c r="AL73" s="195"/>
      <c r="AM73" s="3435"/>
    </row>
    <row r="74" spans="1:39">
      <c r="B74" s="439" t="s">
        <v>1255</v>
      </c>
      <c r="C74" s="244"/>
      <c r="D74" s="256"/>
      <c r="E74" s="474">
        <v>305615186240</v>
      </c>
      <c r="F74" s="602" t="s">
        <v>1252</v>
      </c>
      <c r="G74" s="391" t="s">
        <v>3678</v>
      </c>
      <c r="H74" s="230" t="s">
        <v>748</v>
      </c>
      <c r="I74" s="230"/>
      <c r="J74" s="230">
        <v>1</v>
      </c>
      <c r="K74" s="230"/>
      <c r="L74" s="228"/>
      <c r="M74" s="257"/>
      <c r="N74" s="228">
        <v>71089920</v>
      </c>
      <c r="O74" s="228" t="s">
        <v>1254</v>
      </c>
      <c r="P74" s="245"/>
      <c r="Q74" s="2368"/>
      <c r="R74" s="2368"/>
      <c r="S74" s="254"/>
      <c r="T74" s="257"/>
      <c r="U74" s="2358"/>
      <c r="V74" s="256"/>
      <c r="W74" s="373">
        <v>1450000</v>
      </c>
      <c r="X74" s="373">
        <v>1160000</v>
      </c>
      <c r="Y74" s="248"/>
      <c r="Z74" s="247"/>
      <c r="AA74" s="248"/>
      <c r="AB74" s="340">
        <f t="shared" si="11"/>
        <v>2610000</v>
      </c>
      <c r="AC74" s="347">
        <f>+Z74</f>
        <v>0</v>
      </c>
      <c r="AD74" s="249" t="s">
        <v>3597</v>
      </c>
      <c r="AE74" s="435">
        <f t="shared" si="12"/>
        <v>4219600</v>
      </c>
      <c r="AF74" s="342">
        <f>+AB74+AE74</f>
        <v>6829600</v>
      </c>
      <c r="AG74" s="252"/>
      <c r="AH74" s="241"/>
      <c r="AI74" s="241"/>
      <c r="AJ74" s="241"/>
      <c r="AK74" s="194"/>
      <c r="AL74" s="195"/>
      <c r="AM74" s="3435"/>
    </row>
    <row r="75" spans="1:39">
      <c r="B75" s="439" t="s">
        <v>1256</v>
      </c>
      <c r="C75" s="244"/>
      <c r="D75" s="256"/>
      <c r="E75" s="474">
        <v>305620103850</v>
      </c>
      <c r="F75" s="602" t="s">
        <v>1253</v>
      </c>
      <c r="G75" s="391" t="s">
        <v>3679</v>
      </c>
      <c r="H75" s="230" t="s">
        <v>748</v>
      </c>
      <c r="I75" s="230"/>
      <c r="J75" s="230">
        <v>1</v>
      </c>
      <c r="K75" s="230"/>
      <c r="L75" s="228"/>
      <c r="M75" s="257"/>
      <c r="N75" s="289" t="s">
        <v>1258</v>
      </c>
      <c r="O75" s="289" t="s">
        <v>1259</v>
      </c>
      <c r="P75" s="245"/>
      <c r="Q75" s="2368"/>
      <c r="R75" s="2368"/>
      <c r="S75" s="254"/>
      <c r="T75" s="257"/>
      <c r="U75" s="2358"/>
      <c r="V75" s="256"/>
      <c r="W75" s="373">
        <v>1450000</v>
      </c>
      <c r="X75" s="373">
        <v>709500</v>
      </c>
      <c r="Y75" s="248"/>
      <c r="Z75" s="247"/>
      <c r="AA75" s="248"/>
      <c r="AB75" s="340">
        <f t="shared" si="11"/>
        <v>2159500</v>
      </c>
      <c r="AC75" s="347">
        <f>+Z75</f>
        <v>0</v>
      </c>
      <c r="AD75" s="249" t="s">
        <v>3597</v>
      </c>
      <c r="AE75" s="435">
        <f t="shared" si="12"/>
        <v>4219600</v>
      </c>
      <c r="AF75" s="342">
        <f>+AB75+AE75</f>
        <v>6379100</v>
      </c>
      <c r="AG75" s="252"/>
      <c r="AH75" s="241"/>
      <c r="AI75" s="241"/>
      <c r="AJ75" s="241"/>
      <c r="AK75" s="194"/>
      <c r="AL75" s="195"/>
      <c r="AM75" s="3436"/>
    </row>
    <row r="76" spans="1:39" s="13" customFormat="1" ht="36" customHeight="1">
      <c r="A76" s="643" t="s">
        <v>3680</v>
      </c>
      <c r="B76" s="644"/>
      <c r="C76" s="644"/>
      <c r="D76" s="346"/>
      <c r="E76" s="644"/>
      <c r="F76" s="644"/>
      <c r="G76" s="644"/>
      <c r="H76" s="644"/>
      <c r="I76" s="369"/>
      <c r="J76" s="346"/>
      <c r="K76" s="346"/>
      <c r="L76" s="346"/>
      <c r="M76" s="346"/>
      <c r="N76" s="346"/>
      <c r="O76" s="354"/>
      <c r="P76" s="346"/>
      <c r="Q76" s="346"/>
      <c r="R76" s="346"/>
      <c r="S76" s="346"/>
      <c r="T76" s="346"/>
      <c r="U76" s="346"/>
      <c r="V76" s="357"/>
      <c r="W76" s="357"/>
      <c r="X76" s="357"/>
      <c r="Y76" s="357"/>
      <c r="Z76" s="357"/>
      <c r="AA76" s="357"/>
      <c r="AB76" s="358">
        <f>SUM(AB45:AB53)</f>
        <v>19759000</v>
      </c>
      <c r="AC76" s="358">
        <f>SUM(AC36:AC53)</f>
        <v>0</v>
      </c>
      <c r="AD76" s="359"/>
      <c r="AE76" s="358">
        <f>SUM(AE45:AE53)</f>
        <v>40062000</v>
      </c>
      <c r="AF76" s="358">
        <f>+AB76+AC76+AE76</f>
        <v>59821000</v>
      </c>
      <c r="AG76" s="357"/>
      <c r="AH76" s="357"/>
      <c r="AI76" s="357"/>
      <c r="AJ76" s="357"/>
      <c r="AK76" s="357"/>
      <c r="AL76" s="357"/>
      <c r="AM76" s="357"/>
    </row>
    <row r="77" spans="1:39">
      <c r="B77" s="253">
        <v>1</v>
      </c>
      <c r="C77" s="244"/>
      <c r="D77" s="256"/>
      <c r="E77" s="474">
        <v>305624904710</v>
      </c>
      <c r="F77" s="602" t="s">
        <v>1260</v>
      </c>
      <c r="G77" s="391" t="s">
        <v>3681</v>
      </c>
      <c r="H77" s="230" t="s">
        <v>210</v>
      </c>
      <c r="I77" s="230"/>
      <c r="J77" s="230">
        <v>1</v>
      </c>
      <c r="K77" s="230"/>
      <c r="L77" s="228"/>
      <c r="M77" s="257"/>
      <c r="N77" s="228" t="s">
        <v>3682</v>
      </c>
      <c r="O77" s="228" t="s">
        <v>3683</v>
      </c>
      <c r="P77" s="245"/>
      <c r="Q77" s="2368"/>
      <c r="R77" s="2368"/>
      <c r="S77" s="254"/>
      <c r="T77" s="257"/>
      <c r="U77" s="2358"/>
      <c r="V77" s="256"/>
      <c r="W77" s="373">
        <v>1450000</v>
      </c>
      <c r="X77" s="373">
        <v>1160000</v>
      </c>
      <c r="Y77" s="248"/>
      <c r="Z77" s="247"/>
      <c r="AA77" s="248"/>
      <c r="AB77" s="340">
        <f t="shared" ref="AB77:AB95" si="15">V77+W77+X77+Y77+Z77+AA77</f>
        <v>2610000</v>
      </c>
      <c r="AC77" s="347">
        <f>+Z77</f>
        <v>0</v>
      </c>
      <c r="AD77" s="249" t="s">
        <v>3597</v>
      </c>
      <c r="AE77" s="435">
        <f t="shared" ref="AE77:AE85" si="16">+(I77*3650000+J77*(3650000+100000))*1.08+(150000*1.08)</f>
        <v>4212000</v>
      </c>
      <c r="AF77" s="342">
        <f>+AB77+AE77</f>
        <v>6822000</v>
      </c>
      <c r="AG77" s="252"/>
      <c r="AH77" s="241"/>
      <c r="AI77" s="241"/>
      <c r="AJ77" s="241"/>
      <c r="AK77" s="194"/>
      <c r="AL77" s="195"/>
      <c r="AM77" s="195"/>
    </row>
    <row r="78" spans="1:39">
      <c r="B78" s="253">
        <v>2</v>
      </c>
      <c r="C78" s="244"/>
      <c r="D78" s="256"/>
      <c r="E78" s="474">
        <v>305628199460</v>
      </c>
      <c r="F78" s="602" t="s">
        <v>1262</v>
      </c>
      <c r="G78" s="391" t="s">
        <v>3684</v>
      </c>
      <c r="H78" s="230" t="s">
        <v>210</v>
      </c>
      <c r="I78" s="230"/>
      <c r="J78" s="230">
        <v>1</v>
      </c>
      <c r="K78" s="230"/>
      <c r="L78" s="228"/>
      <c r="M78" s="257"/>
      <c r="N78" s="228">
        <v>70915049</v>
      </c>
      <c r="O78" s="228" t="s">
        <v>1261</v>
      </c>
      <c r="P78" s="245"/>
      <c r="Q78" s="2368"/>
      <c r="R78" s="2368"/>
      <c r="S78" s="254"/>
      <c r="T78" s="257"/>
      <c r="U78" s="2358"/>
      <c r="V78" s="256"/>
      <c r="W78" s="373">
        <v>1070000</v>
      </c>
      <c r="X78" s="373">
        <v>709500</v>
      </c>
      <c r="Y78" s="248"/>
      <c r="Z78" s="247"/>
      <c r="AA78" s="248"/>
      <c r="AB78" s="340">
        <f t="shared" si="15"/>
        <v>1779500</v>
      </c>
      <c r="AC78" s="347">
        <f>+Z78</f>
        <v>0</v>
      </c>
      <c r="AD78" s="249" t="s">
        <v>3597</v>
      </c>
      <c r="AE78" s="435">
        <f t="shared" si="16"/>
        <v>4212000</v>
      </c>
      <c r="AF78" s="342">
        <f>+AB78+AE78</f>
        <v>5991500</v>
      </c>
      <c r="AG78" s="252"/>
      <c r="AH78" s="241"/>
      <c r="AI78" s="241"/>
      <c r="AJ78" s="241"/>
      <c r="AK78" s="194"/>
      <c r="AL78" s="195"/>
      <c r="AM78" s="195"/>
    </row>
    <row r="79" spans="1:39">
      <c r="B79" s="253">
        <v>3</v>
      </c>
      <c r="C79" s="244"/>
      <c r="D79" s="256"/>
      <c r="E79" s="474">
        <v>305627735250</v>
      </c>
      <c r="F79" s="602" t="s">
        <v>1262</v>
      </c>
      <c r="G79" s="391" t="s">
        <v>3685</v>
      </c>
      <c r="H79" s="230" t="s">
        <v>210</v>
      </c>
      <c r="I79" s="230"/>
      <c r="J79" s="230">
        <v>1</v>
      </c>
      <c r="K79" s="230"/>
      <c r="L79" s="228"/>
      <c r="M79" s="257"/>
      <c r="N79" s="228" t="s">
        <v>3686</v>
      </c>
      <c r="O79" s="228" t="s">
        <v>1263</v>
      </c>
      <c r="P79" s="245"/>
      <c r="Q79" s="2368"/>
      <c r="R79" s="2368"/>
      <c r="S79" s="254"/>
      <c r="T79" s="257"/>
      <c r="U79" s="2358"/>
      <c r="V79" s="256"/>
      <c r="W79" s="373">
        <v>1450000</v>
      </c>
      <c r="X79" s="373">
        <v>1160000</v>
      </c>
      <c r="Y79" s="248"/>
      <c r="Z79" s="247"/>
      <c r="AA79" s="248"/>
      <c r="AB79" s="340">
        <f t="shared" si="15"/>
        <v>2610000</v>
      </c>
      <c r="AC79" s="347">
        <f t="shared" ref="AC79:AC86" si="17">+Z79</f>
        <v>0</v>
      </c>
      <c r="AD79" s="249" t="s">
        <v>3597</v>
      </c>
      <c r="AE79" s="435">
        <f t="shared" si="16"/>
        <v>4212000</v>
      </c>
      <c r="AF79" s="342">
        <f t="shared" ref="AF79:AF86" si="18">+AB79+AE79</f>
        <v>6822000</v>
      </c>
      <c r="AG79" s="252"/>
      <c r="AH79" s="241"/>
      <c r="AI79" s="241"/>
      <c r="AJ79" s="241"/>
      <c r="AK79" s="194"/>
      <c r="AL79" s="195"/>
      <c r="AM79" s="195"/>
    </row>
    <row r="80" spans="1:39">
      <c r="B80" s="253">
        <v>4</v>
      </c>
      <c r="C80" s="244"/>
      <c r="D80" s="256"/>
      <c r="E80" s="474">
        <v>305630845240</v>
      </c>
      <c r="F80" s="602" t="s">
        <v>1265</v>
      </c>
      <c r="G80" s="391" t="s">
        <v>3687</v>
      </c>
      <c r="H80" s="230" t="s">
        <v>210</v>
      </c>
      <c r="I80" s="230"/>
      <c r="J80" s="230">
        <v>1</v>
      </c>
      <c r="K80" s="230"/>
      <c r="L80" s="228"/>
      <c r="M80" s="257"/>
      <c r="N80" s="228" t="s">
        <v>3688</v>
      </c>
      <c r="O80" s="228" t="s">
        <v>1266</v>
      </c>
      <c r="P80" s="245"/>
      <c r="Q80" s="2368"/>
      <c r="R80" s="2368"/>
      <c r="S80" s="254"/>
      <c r="T80" s="257"/>
      <c r="U80" s="2358"/>
      <c r="V80" s="256"/>
      <c r="W80" s="373">
        <v>1070000</v>
      </c>
      <c r="X80" s="373">
        <v>1160000</v>
      </c>
      <c r="Y80" s="248"/>
      <c r="Z80" s="247"/>
      <c r="AA80" s="248"/>
      <c r="AB80" s="340">
        <f t="shared" si="15"/>
        <v>2230000</v>
      </c>
      <c r="AC80" s="347">
        <f t="shared" si="17"/>
        <v>0</v>
      </c>
      <c r="AD80" s="249" t="s">
        <v>3597</v>
      </c>
      <c r="AE80" s="435">
        <f t="shared" si="16"/>
        <v>4212000</v>
      </c>
      <c r="AF80" s="342">
        <f t="shared" si="18"/>
        <v>6442000</v>
      </c>
      <c r="AG80" s="252"/>
      <c r="AH80" s="241"/>
      <c r="AI80" s="241"/>
      <c r="AJ80" s="241"/>
      <c r="AK80" s="194"/>
      <c r="AL80" s="195"/>
      <c r="AM80" s="195"/>
    </row>
    <row r="81" spans="1:39">
      <c r="B81" s="253">
        <v>5</v>
      </c>
      <c r="C81" s="244"/>
      <c r="D81" s="256"/>
      <c r="E81" s="474">
        <v>305638035160</v>
      </c>
      <c r="F81" s="602">
        <v>45110</v>
      </c>
      <c r="G81" s="391" t="s">
        <v>3689</v>
      </c>
      <c r="H81" s="230" t="s">
        <v>210</v>
      </c>
      <c r="I81" s="230"/>
      <c r="J81" s="230">
        <v>1</v>
      </c>
      <c r="K81" s="230"/>
      <c r="L81" s="228"/>
      <c r="M81" s="257"/>
      <c r="N81" s="228" t="s">
        <v>3690</v>
      </c>
      <c r="O81" s="228" t="s">
        <v>1268</v>
      </c>
      <c r="P81" s="245"/>
      <c r="Q81" s="2368"/>
      <c r="R81" s="2368"/>
      <c r="S81" s="254"/>
      <c r="T81" s="257"/>
      <c r="U81" s="2358"/>
      <c r="V81" s="256"/>
      <c r="W81" s="373">
        <v>1050000</v>
      </c>
      <c r="X81" s="373">
        <v>1140000</v>
      </c>
      <c r="Y81" s="248"/>
      <c r="Z81" s="247"/>
      <c r="AA81" s="248"/>
      <c r="AB81" s="340">
        <f t="shared" si="15"/>
        <v>2190000</v>
      </c>
      <c r="AC81" s="347">
        <f t="shared" si="17"/>
        <v>0</v>
      </c>
      <c r="AD81" s="249" t="s">
        <v>3597</v>
      </c>
      <c r="AE81" s="435">
        <f t="shared" si="16"/>
        <v>4212000</v>
      </c>
      <c r="AF81" s="342">
        <f t="shared" si="18"/>
        <v>6402000</v>
      </c>
      <c r="AG81" s="252"/>
      <c r="AH81" s="241"/>
      <c r="AI81" s="241"/>
      <c r="AJ81" s="241"/>
      <c r="AK81" s="194"/>
      <c r="AL81" s="195"/>
      <c r="AM81" s="195"/>
    </row>
    <row r="82" spans="1:39">
      <c r="B82" s="253">
        <v>6</v>
      </c>
      <c r="C82" s="244"/>
      <c r="D82" s="256"/>
      <c r="E82" s="474">
        <v>305644174310</v>
      </c>
      <c r="F82" s="602">
        <v>45112</v>
      </c>
      <c r="G82" s="391" t="s">
        <v>3691</v>
      </c>
      <c r="H82" s="230" t="s">
        <v>210</v>
      </c>
      <c r="I82" s="230"/>
      <c r="J82" s="230">
        <v>1</v>
      </c>
      <c r="K82" s="230"/>
      <c r="L82" s="228"/>
      <c r="M82" s="257"/>
      <c r="N82" s="228" t="s">
        <v>3692</v>
      </c>
      <c r="O82" s="228" t="s">
        <v>1269</v>
      </c>
      <c r="P82" s="245"/>
      <c r="Q82" s="2368"/>
      <c r="R82" s="2368"/>
      <c r="S82" s="254"/>
      <c r="T82" s="257"/>
      <c r="U82" s="2358"/>
      <c r="V82" s="256"/>
      <c r="W82" s="373">
        <v>1450000</v>
      </c>
      <c r="X82" s="373">
        <v>1160000</v>
      </c>
      <c r="Y82" s="248"/>
      <c r="Z82" s="247"/>
      <c r="AA82" s="248"/>
      <c r="AB82" s="340">
        <f t="shared" si="15"/>
        <v>2610000</v>
      </c>
      <c r="AC82" s="347">
        <f t="shared" si="17"/>
        <v>0</v>
      </c>
      <c r="AD82" s="249" t="s">
        <v>3597</v>
      </c>
      <c r="AE82" s="435">
        <f t="shared" si="16"/>
        <v>4212000</v>
      </c>
      <c r="AF82" s="342">
        <f t="shared" si="18"/>
        <v>6822000</v>
      </c>
      <c r="AG82" s="252"/>
      <c r="AH82" s="241"/>
      <c r="AI82" s="241"/>
      <c r="AJ82" s="241"/>
      <c r="AK82" s="194"/>
      <c r="AL82" s="195"/>
      <c r="AM82" s="195"/>
    </row>
    <row r="83" spans="1:39">
      <c r="B83" s="253">
        <v>7</v>
      </c>
      <c r="C83" s="244"/>
      <c r="D83" s="256"/>
      <c r="E83" s="474">
        <v>305643987630</v>
      </c>
      <c r="F83" s="602">
        <v>45112</v>
      </c>
      <c r="G83" s="391" t="s">
        <v>3693</v>
      </c>
      <c r="H83" s="230" t="s">
        <v>210</v>
      </c>
      <c r="I83" s="230"/>
      <c r="J83" s="230">
        <v>1</v>
      </c>
      <c r="K83" s="230"/>
      <c r="L83" s="228"/>
      <c r="M83" s="257"/>
      <c r="N83" s="228" t="s">
        <v>1270</v>
      </c>
      <c r="O83" s="228" t="s">
        <v>3694</v>
      </c>
      <c r="P83" s="245"/>
      <c r="Q83" s="2368"/>
      <c r="R83" s="2368"/>
      <c r="S83" s="254"/>
      <c r="T83" s="257"/>
      <c r="U83" s="2358"/>
      <c r="V83" s="256"/>
      <c r="W83" s="373">
        <v>1450000</v>
      </c>
      <c r="X83" s="373">
        <v>1160000</v>
      </c>
      <c r="Y83" s="248"/>
      <c r="Z83" s="247"/>
      <c r="AA83" s="248"/>
      <c r="AB83" s="340">
        <f t="shared" si="15"/>
        <v>2610000</v>
      </c>
      <c r="AC83" s="347">
        <f t="shared" si="17"/>
        <v>0</v>
      </c>
      <c r="AD83" s="249" t="s">
        <v>3597</v>
      </c>
      <c r="AE83" s="435">
        <f t="shared" si="16"/>
        <v>4212000</v>
      </c>
      <c r="AF83" s="342">
        <f t="shared" si="18"/>
        <v>6822000</v>
      </c>
      <c r="AG83" s="252"/>
      <c r="AH83" s="241"/>
      <c r="AI83" s="241"/>
      <c r="AJ83" s="241"/>
      <c r="AK83" s="194"/>
      <c r="AL83" s="195"/>
      <c r="AM83" s="195"/>
    </row>
    <row r="84" spans="1:39">
      <c r="B84" s="253">
        <v>8</v>
      </c>
      <c r="C84" s="244"/>
      <c r="D84" s="256"/>
      <c r="E84" s="474">
        <v>305646439360</v>
      </c>
      <c r="F84" s="602">
        <v>45113</v>
      </c>
      <c r="G84" s="391" t="s">
        <v>3695</v>
      </c>
      <c r="H84" s="230" t="s">
        <v>210</v>
      </c>
      <c r="I84" s="230"/>
      <c r="J84" s="230">
        <v>1</v>
      </c>
      <c r="K84" s="230"/>
      <c r="L84" s="228"/>
      <c r="M84" s="257"/>
      <c r="N84" s="228" t="s">
        <v>1271</v>
      </c>
      <c r="O84" s="228" t="s">
        <v>1272</v>
      </c>
      <c r="P84" s="245"/>
      <c r="Q84" s="2368"/>
      <c r="R84" s="2368"/>
      <c r="S84" s="254"/>
      <c r="T84" s="257"/>
      <c r="U84" s="2358"/>
      <c r="V84" s="256"/>
      <c r="W84" s="373">
        <v>1450000</v>
      </c>
      <c r="X84" s="373">
        <v>1160000</v>
      </c>
      <c r="Y84" s="248"/>
      <c r="Z84" s="247"/>
      <c r="AA84" s="248"/>
      <c r="AB84" s="340">
        <f t="shared" si="15"/>
        <v>2610000</v>
      </c>
      <c r="AC84" s="347">
        <f t="shared" si="17"/>
        <v>0</v>
      </c>
      <c r="AD84" s="249" t="s">
        <v>3597</v>
      </c>
      <c r="AE84" s="435">
        <f t="shared" si="16"/>
        <v>4212000</v>
      </c>
      <c r="AF84" s="342">
        <f t="shared" si="18"/>
        <v>6822000</v>
      </c>
      <c r="AG84" s="252"/>
      <c r="AH84" s="241"/>
      <c r="AI84" s="241"/>
      <c r="AJ84" s="241"/>
      <c r="AK84" s="194"/>
      <c r="AL84" s="195"/>
      <c r="AM84" s="195"/>
    </row>
    <row r="85" spans="1:39">
      <c r="B85" s="253">
        <v>9</v>
      </c>
      <c r="C85" s="244"/>
      <c r="D85" s="256"/>
      <c r="E85" s="474">
        <v>305651703360</v>
      </c>
      <c r="F85" s="602">
        <v>45115</v>
      </c>
      <c r="G85" s="391" t="s">
        <v>3696</v>
      </c>
      <c r="H85" s="230" t="s">
        <v>210</v>
      </c>
      <c r="I85" s="230"/>
      <c r="J85" s="230">
        <v>1</v>
      </c>
      <c r="K85" s="230"/>
      <c r="L85" s="228"/>
      <c r="M85" s="257"/>
      <c r="N85" s="228" t="s">
        <v>3697</v>
      </c>
      <c r="O85" s="228" t="s">
        <v>1315</v>
      </c>
      <c r="P85" s="245"/>
      <c r="Q85" s="2368"/>
      <c r="R85" s="2368"/>
      <c r="S85" s="254"/>
      <c r="T85" s="257"/>
      <c r="U85" s="2358"/>
      <c r="V85" s="256"/>
      <c r="W85" s="373">
        <v>1050000</v>
      </c>
      <c r="X85" s="373">
        <v>696600</v>
      </c>
      <c r="Y85" s="248"/>
      <c r="Z85" s="247"/>
      <c r="AA85" s="248"/>
      <c r="AB85" s="340">
        <f t="shared" si="15"/>
        <v>1746600</v>
      </c>
      <c r="AC85" s="347">
        <f>+Z85</f>
        <v>0</v>
      </c>
      <c r="AD85" s="249" t="s">
        <v>3597</v>
      </c>
      <c r="AE85" s="435">
        <f t="shared" si="16"/>
        <v>4212000</v>
      </c>
      <c r="AF85" s="342">
        <f>+AB85+AE85</f>
        <v>5958600</v>
      </c>
      <c r="AG85" s="252"/>
      <c r="AH85" s="241"/>
      <c r="AI85" s="241"/>
      <c r="AJ85" s="241"/>
      <c r="AK85" s="194"/>
      <c r="AL85" s="195"/>
      <c r="AM85" s="195"/>
    </row>
    <row r="86" spans="1:39" ht="46.8">
      <c r="B86" s="253">
        <v>10</v>
      </c>
      <c r="C86" s="244"/>
      <c r="D86" s="256"/>
      <c r="E86" s="466">
        <v>105571332200</v>
      </c>
      <c r="F86" s="602">
        <v>45117</v>
      </c>
      <c r="G86" s="391" t="s">
        <v>3698</v>
      </c>
      <c r="H86" s="230" t="s">
        <v>3579</v>
      </c>
      <c r="I86" s="230"/>
      <c r="J86" s="230">
        <v>3</v>
      </c>
      <c r="K86" s="230"/>
      <c r="L86" s="228"/>
      <c r="M86" s="257"/>
      <c r="N86" s="228" t="s">
        <v>1279</v>
      </c>
      <c r="O86" s="254" t="s">
        <v>1379</v>
      </c>
      <c r="P86" s="245"/>
      <c r="Q86" s="2368"/>
      <c r="R86" s="2368"/>
      <c r="S86" s="254"/>
      <c r="T86" s="257"/>
      <c r="U86" s="2358"/>
      <c r="V86" s="256"/>
      <c r="W86" s="324">
        <v>2089800</v>
      </c>
      <c r="X86" s="373">
        <f>1100000+1100000+1100000</f>
        <v>3300000</v>
      </c>
      <c r="Y86" s="248"/>
      <c r="Z86" s="247"/>
      <c r="AA86" s="248"/>
      <c r="AB86" s="340">
        <f t="shared" si="15"/>
        <v>5389800</v>
      </c>
      <c r="AC86" s="347">
        <f t="shared" si="17"/>
        <v>0</v>
      </c>
      <c r="AD86" s="249" t="s">
        <v>3597</v>
      </c>
      <c r="AE86" s="435">
        <f>+(I86*3650000+J86*(3650000+100000))*1.08+(150000*3*1.08)</f>
        <v>12636000</v>
      </c>
      <c r="AF86" s="342">
        <f t="shared" si="18"/>
        <v>18025800</v>
      </c>
      <c r="AG86" s="252"/>
      <c r="AH86" s="241"/>
      <c r="AI86" s="241"/>
      <c r="AJ86" s="241"/>
      <c r="AK86" s="194"/>
      <c r="AL86" s="195"/>
      <c r="AM86" s="195" t="s">
        <v>3699</v>
      </c>
    </row>
    <row r="87" spans="1:39">
      <c r="B87" s="253">
        <v>11</v>
      </c>
      <c r="C87" s="244"/>
      <c r="D87" s="256"/>
      <c r="E87" s="474">
        <v>305658587200</v>
      </c>
      <c r="F87" s="602">
        <v>45119</v>
      </c>
      <c r="G87" s="391" t="s">
        <v>3700</v>
      </c>
      <c r="H87" s="230" t="s">
        <v>210</v>
      </c>
      <c r="I87" s="230"/>
      <c r="J87" s="230"/>
      <c r="K87" s="230">
        <v>1</v>
      </c>
      <c r="L87" s="228"/>
      <c r="M87" s="257" t="s">
        <v>1294</v>
      </c>
      <c r="N87" s="228" t="s">
        <v>1337</v>
      </c>
      <c r="P87" s="245"/>
      <c r="Q87" s="2368"/>
      <c r="R87" s="2368"/>
      <c r="S87" s="254"/>
      <c r="T87" s="257" t="s">
        <v>1294</v>
      </c>
      <c r="U87" s="2358"/>
      <c r="V87" s="256"/>
      <c r="W87" s="248"/>
      <c r="X87" s="248"/>
      <c r="Y87" s="248"/>
      <c r="Z87" s="247"/>
      <c r="AA87" s="248"/>
      <c r="AB87" s="340">
        <f t="shared" si="15"/>
        <v>0</v>
      </c>
      <c r="AC87" s="347">
        <f>+Z87</f>
        <v>0</v>
      </c>
      <c r="AD87" s="249" t="s">
        <v>3597</v>
      </c>
      <c r="AE87" s="435">
        <f>(1320000*1.08)+(150000*1.08)</f>
        <v>1587600</v>
      </c>
      <c r="AF87" s="342">
        <f>+AB87+AE87</f>
        <v>1587600</v>
      </c>
      <c r="AG87" s="252"/>
      <c r="AH87" s="241"/>
      <c r="AI87" s="241"/>
      <c r="AJ87" s="241"/>
      <c r="AK87" s="194"/>
      <c r="AL87" s="195"/>
      <c r="AM87" s="195"/>
    </row>
    <row r="88" spans="1:39" ht="31.2">
      <c r="B88" s="253">
        <v>12</v>
      </c>
      <c r="C88" s="244"/>
      <c r="D88" s="256"/>
      <c r="E88" s="474">
        <v>305672397830</v>
      </c>
      <c r="F88" s="602" t="s">
        <v>1327</v>
      </c>
      <c r="G88" s="391" t="s">
        <v>3701</v>
      </c>
      <c r="H88" s="230" t="s">
        <v>748</v>
      </c>
      <c r="I88" s="230"/>
      <c r="J88" s="230">
        <v>2</v>
      </c>
      <c r="K88" s="230"/>
      <c r="L88" s="228"/>
      <c r="M88" s="257"/>
      <c r="N88" s="228" t="s">
        <v>1334</v>
      </c>
      <c r="O88" s="254" t="s">
        <v>1333</v>
      </c>
      <c r="P88" s="245"/>
      <c r="Q88" s="2368"/>
      <c r="R88" s="2368"/>
      <c r="S88" s="254"/>
      <c r="T88" s="257"/>
      <c r="U88" s="2358"/>
      <c r="V88" s="256"/>
      <c r="W88" s="373">
        <f>1100000+1100000</f>
        <v>2200000</v>
      </c>
      <c r="X88" s="373">
        <f>696600+696600</f>
        <v>1393200</v>
      </c>
      <c r="Y88" s="248"/>
      <c r="Z88" s="247"/>
      <c r="AA88" s="248"/>
      <c r="AB88" s="340">
        <f t="shared" si="15"/>
        <v>3593200</v>
      </c>
      <c r="AC88" s="347">
        <f>+Z88</f>
        <v>0</v>
      </c>
      <c r="AD88" s="249" t="s">
        <v>3597</v>
      </c>
      <c r="AE88" s="435">
        <f>+(I88*3650000+J88*(3650000+100000))*1.08+(150000*2*1.08)</f>
        <v>8424000</v>
      </c>
      <c r="AF88" s="342">
        <f>+AB88+AE88</f>
        <v>12017200</v>
      </c>
      <c r="AG88" s="252"/>
      <c r="AH88" s="241"/>
      <c r="AI88" s="241"/>
      <c r="AJ88" s="241"/>
      <c r="AK88" s="194"/>
      <c r="AL88" s="195"/>
      <c r="AM88" s="195"/>
    </row>
    <row r="89" spans="1:39" ht="31.2">
      <c r="B89" s="253">
        <v>13</v>
      </c>
      <c r="C89" s="244"/>
      <c r="D89" s="256"/>
      <c r="E89" s="474">
        <v>305674349650</v>
      </c>
      <c r="F89" s="602" t="s">
        <v>1327</v>
      </c>
      <c r="G89" s="391" t="s">
        <v>3702</v>
      </c>
      <c r="H89" s="230" t="s">
        <v>748</v>
      </c>
      <c r="I89" s="230"/>
      <c r="J89" s="230">
        <v>2</v>
      </c>
      <c r="K89" s="230"/>
      <c r="L89" s="228"/>
      <c r="M89" s="257"/>
      <c r="N89" s="228" t="s">
        <v>1335</v>
      </c>
      <c r="O89" s="254" t="s">
        <v>1336</v>
      </c>
      <c r="P89" s="245"/>
      <c r="Q89" s="2368"/>
      <c r="R89" s="2368"/>
      <c r="S89" s="254"/>
      <c r="T89" s="257"/>
      <c r="U89" s="2358"/>
      <c r="V89" s="256"/>
      <c r="W89" s="373">
        <f>1100000+1100000</f>
        <v>2200000</v>
      </c>
      <c r="X89" s="373">
        <f>696600+696600</f>
        <v>1393200</v>
      </c>
      <c r="Y89" s="248"/>
      <c r="Z89" s="247"/>
      <c r="AA89" s="248"/>
      <c r="AB89" s="340">
        <f t="shared" si="15"/>
        <v>3593200</v>
      </c>
      <c r="AC89" s="347">
        <f>+Z89</f>
        <v>0</v>
      </c>
      <c r="AD89" s="249" t="s">
        <v>3597</v>
      </c>
      <c r="AE89" s="435">
        <f>+(I89*3650000+J89*(3650000+100000))*1.08+(150000*2*1.08)</f>
        <v>8424000</v>
      </c>
      <c r="AF89" s="342">
        <f>+AB89+AE89</f>
        <v>12017200</v>
      </c>
      <c r="AG89" s="252"/>
      <c r="AH89" s="241"/>
      <c r="AI89" s="241"/>
      <c r="AJ89" s="241"/>
      <c r="AK89" s="194"/>
      <c r="AL89" s="195"/>
      <c r="AM89" s="195"/>
    </row>
    <row r="90" spans="1:39">
      <c r="B90" s="253">
        <v>14</v>
      </c>
      <c r="C90" s="244"/>
      <c r="D90" s="256"/>
      <c r="E90" s="474">
        <v>305681825060</v>
      </c>
      <c r="F90" s="602" t="s">
        <v>1344</v>
      </c>
      <c r="G90" s="391" t="s">
        <v>3703</v>
      </c>
      <c r="H90" s="230" t="s">
        <v>748</v>
      </c>
      <c r="I90" s="230"/>
      <c r="J90" s="230">
        <v>1</v>
      </c>
      <c r="K90" s="230"/>
      <c r="L90" s="228"/>
      <c r="M90" s="257"/>
      <c r="N90" s="228" t="s">
        <v>1356</v>
      </c>
      <c r="O90" s="228" t="s">
        <v>1355</v>
      </c>
      <c r="P90" s="245"/>
      <c r="Q90" s="2368"/>
      <c r="R90" s="2368"/>
      <c r="S90" s="254"/>
      <c r="T90" s="257"/>
      <c r="U90" s="2358"/>
      <c r="V90" s="256"/>
      <c r="W90" s="373">
        <v>1450000</v>
      </c>
      <c r="X90" s="373">
        <v>696600</v>
      </c>
      <c r="Y90" s="248"/>
      <c r="Z90" s="247"/>
      <c r="AA90" s="248"/>
      <c r="AB90" s="340">
        <f t="shared" si="15"/>
        <v>2146600</v>
      </c>
      <c r="AC90" s="347">
        <f t="shared" ref="AC90:AC103" si="19">+Z90</f>
        <v>0</v>
      </c>
      <c r="AD90" s="249" t="s">
        <v>3597</v>
      </c>
      <c r="AE90" s="435">
        <f>+(I90*3650000+J90*(3650000+100000))*1.08+(150000*1.08)</f>
        <v>4212000</v>
      </c>
      <c r="AF90" s="342">
        <f t="shared" ref="AF90:AF103" si="20">+AB90+AE90</f>
        <v>6358600</v>
      </c>
      <c r="AG90" s="252"/>
      <c r="AH90" s="241"/>
      <c r="AI90" s="241"/>
      <c r="AJ90" s="241"/>
      <c r="AK90" s="194"/>
      <c r="AL90" s="195"/>
      <c r="AM90" s="195"/>
    </row>
    <row r="91" spans="1:39">
      <c r="B91" s="253">
        <v>15</v>
      </c>
      <c r="C91" s="244"/>
      <c r="D91" s="256"/>
      <c r="E91" s="466">
        <v>105593291900</v>
      </c>
      <c r="F91" s="602" t="s">
        <v>1344</v>
      </c>
      <c r="G91" s="391" t="s">
        <v>3704</v>
      </c>
      <c r="H91" s="230" t="s">
        <v>3579</v>
      </c>
      <c r="I91" s="230"/>
      <c r="J91" s="230"/>
      <c r="K91" s="230">
        <v>1</v>
      </c>
      <c r="L91" s="228"/>
      <c r="M91" s="257" t="s">
        <v>1347</v>
      </c>
      <c r="N91" s="228" t="s">
        <v>1346</v>
      </c>
      <c r="O91" s="228"/>
      <c r="P91" s="245"/>
      <c r="Q91" s="2368"/>
      <c r="R91" s="2368"/>
      <c r="S91" s="254"/>
      <c r="T91" s="257" t="s">
        <v>1347</v>
      </c>
      <c r="U91" s="2358"/>
      <c r="V91" s="256"/>
      <c r="W91" s="248"/>
      <c r="X91" s="248"/>
      <c r="Y91" s="248"/>
      <c r="Z91" s="247"/>
      <c r="AA91" s="248"/>
      <c r="AB91" s="340">
        <f t="shared" si="15"/>
        <v>0</v>
      </c>
      <c r="AC91" s="347">
        <f t="shared" si="19"/>
        <v>0</v>
      </c>
      <c r="AD91" s="249" t="s">
        <v>3597</v>
      </c>
      <c r="AE91" s="435">
        <f>+(2220000*1.08)+(150000*1.08)</f>
        <v>2559600</v>
      </c>
      <c r="AF91" s="342">
        <f t="shared" si="20"/>
        <v>2559600</v>
      </c>
      <c r="AG91" s="252"/>
      <c r="AH91" s="241"/>
      <c r="AI91" s="241"/>
      <c r="AJ91" s="241"/>
      <c r="AK91" s="194"/>
      <c r="AL91" s="195"/>
      <c r="AM91" s="195"/>
    </row>
    <row r="92" spans="1:39">
      <c r="B92" s="253">
        <v>16</v>
      </c>
      <c r="C92" s="244"/>
      <c r="D92" s="256"/>
      <c r="E92" s="474">
        <v>305687224530</v>
      </c>
      <c r="F92" s="602" t="s">
        <v>1357</v>
      </c>
      <c r="G92" s="391" t="s">
        <v>3705</v>
      </c>
      <c r="H92" s="230" t="s">
        <v>210</v>
      </c>
      <c r="I92" s="230">
        <v>1</v>
      </c>
      <c r="J92" s="230"/>
      <c r="K92" s="230"/>
      <c r="L92" s="228"/>
      <c r="M92" s="257"/>
      <c r="N92" s="228" t="s">
        <v>1360</v>
      </c>
      <c r="O92" s="228" t="s">
        <v>1361</v>
      </c>
      <c r="P92" s="245"/>
      <c r="Q92" s="2368"/>
      <c r="R92" s="2368"/>
      <c r="S92" s="254"/>
      <c r="T92" s="257"/>
      <c r="U92" s="2358"/>
      <c r="V92" s="256"/>
      <c r="W92" s="373">
        <v>378000</v>
      </c>
      <c r="X92" s="373">
        <v>394200</v>
      </c>
      <c r="Y92" s="248"/>
      <c r="Z92" s="247"/>
      <c r="AA92" s="248"/>
      <c r="AB92" s="340">
        <f t="shared" si="15"/>
        <v>772200</v>
      </c>
      <c r="AC92" s="347">
        <f t="shared" si="19"/>
        <v>0</v>
      </c>
      <c r="AD92" s="249" t="s">
        <v>3597</v>
      </c>
      <c r="AE92" s="435">
        <f>+(I92*3650000+J92*(3650000+100000))*1.08+(150000*1.08)</f>
        <v>4104000.0000000005</v>
      </c>
      <c r="AF92" s="342">
        <f t="shared" si="20"/>
        <v>4876200</v>
      </c>
      <c r="AG92" s="252"/>
      <c r="AH92" s="241"/>
      <c r="AI92" s="241"/>
      <c r="AJ92" s="241"/>
      <c r="AK92" s="194"/>
      <c r="AL92" s="195"/>
      <c r="AM92" s="195"/>
    </row>
    <row r="93" spans="1:39" ht="31.2">
      <c r="B93" s="253">
        <v>17</v>
      </c>
      <c r="C93" s="244"/>
      <c r="D93" s="256"/>
      <c r="E93" s="474">
        <v>305691369450</v>
      </c>
      <c r="F93" s="602" t="s">
        <v>1362</v>
      </c>
      <c r="G93" s="391" t="s">
        <v>3706</v>
      </c>
      <c r="H93" s="230" t="s">
        <v>748</v>
      </c>
      <c r="I93" s="230"/>
      <c r="J93" s="230">
        <v>2</v>
      </c>
      <c r="K93" s="230"/>
      <c r="L93" s="228"/>
      <c r="M93" s="257"/>
      <c r="N93" s="228" t="s">
        <v>1371</v>
      </c>
      <c r="O93" s="254" t="s">
        <v>1430</v>
      </c>
      <c r="P93" s="245"/>
      <c r="Q93" s="2368"/>
      <c r="R93" s="2368"/>
      <c r="S93" s="254"/>
      <c r="T93" s="257"/>
      <c r="U93" s="2358"/>
      <c r="V93" s="256"/>
      <c r="W93" s="373">
        <f>1100000+1100000</f>
        <v>2200000</v>
      </c>
      <c r="X93" s="373">
        <f>696600+696600</f>
        <v>1393200</v>
      </c>
      <c r="Y93" s="248"/>
      <c r="Z93" s="247"/>
      <c r="AA93" s="248"/>
      <c r="AB93" s="340">
        <f t="shared" si="15"/>
        <v>3593200</v>
      </c>
      <c r="AC93" s="347">
        <f t="shared" si="19"/>
        <v>0</v>
      </c>
      <c r="AD93" s="249" t="s">
        <v>3597</v>
      </c>
      <c r="AE93" s="435">
        <f>+(I93*3650000+J93*(3650000+100000))*1.08+(150000*2*1.08)</f>
        <v>8424000</v>
      </c>
      <c r="AF93" s="342">
        <f t="shared" si="20"/>
        <v>12017200</v>
      </c>
      <c r="AG93" s="252"/>
      <c r="AH93" s="241"/>
      <c r="AI93" s="241"/>
      <c r="AJ93" s="241"/>
      <c r="AK93" s="194"/>
      <c r="AL93" s="195"/>
      <c r="AM93" s="195"/>
    </row>
    <row r="94" spans="1:39">
      <c r="B94" s="253">
        <v>18</v>
      </c>
      <c r="C94" s="244"/>
      <c r="D94" s="256"/>
      <c r="E94" s="474">
        <v>305690681460</v>
      </c>
      <c r="F94" s="602" t="s">
        <v>1362</v>
      </c>
      <c r="G94" s="391" t="s">
        <v>3707</v>
      </c>
      <c r="H94" s="230" t="s">
        <v>748</v>
      </c>
      <c r="I94" s="230"/>
      <c r="J94" s="230">
        <v>1</v>
      </c>
      <c r="K94" s="230"/>
      <c r="L94" s="228"/>
      <c r="M94" s="257"/>
      <c r="N94" s="228" t="s">
        <v>1372</v>
      </c>
      <c r="O94" s="228" t="s">
        <v>1373</v>
      </c>
      <c r="P94" s="245"/>
      <c r="Q94" s="2368"/>
      <c r="R94" s="2368"/>
      <c r="S94" s="254"/>
      <c r="T94" s="257"/>
      <c r="U94" s="2358"/>
      <c r="V94" s="256"/>
      <c r="W94" s="373">
        <v>1080000</v>
      </c>
      <c r="X94" s="373">
        <v>696600</v>
      </c>
      <c r="Y94" s="248"/>
      <c r="Z94" s="247"/>
      <c r="AA94" s="248"/>
      <c r="AB94" s="340">
        <f t="shared" si="15"/>
        <v>1776600</v>
      </c>
      <c r="AC94" s="347">
        <f t="shared" si="19"/>
        <v>0</v>
      </c>
      <c r="AD94" s="249" t="s">
        <v>3597</v>
      </c>
      <c r="AE94" s="435">
        <f>+(I94*3650000+J94*(3650000+100000))*1.08+(150000*1.08)</f>
        <v>4212000</v>
      </c>
      <c r="AF94" s="342">
        <f t="shared" si="20"/>
        <v>5988600</v>
      </c>
      <c r="AG94" s="252"/>
      <c r="AH94" s="241"/>
      <c r="AI94" s="241"/>
      <c r="AJ94" s="241"/>
      <c r="AK94" s="194"/>
      <c r="AL94" s="195"/>
      <c r="AM94" s="195"/>
    </row>
    <row r="95" spans="1:39" ht="39" customHeight="1">
      <c r="B95" s="253">
        <v>19</v>
      </c>
      <c r="C95" s="244"/>
      <c r="D95" s="256"/>
      <c r="E95" s="463" t="s">
        <v>1427</v>
      </c>
      <c r="F95" s="602" t="s">
        <v>1383</v>
      </c>
      <c r="G95" s="391" t="s">
        <v>3708</v>
      </c>
      <c r="H95" s="230" t="s">
        <v>3579</v>
      </c>
      <c r="I95" s="230">
        <v>1</v>
      </c>
      <c r="J95" s="230"/>
      <c r="K95" s="230"/>
      <c r="L95" s="228"/>
      <c r="M95" s="257"/>
      <c r="N95" s="254" t="s">
        <v>1429</v>
      </c>
      <c r="O95" s="228" t="s">
        <v>1428</v>
      </c>
      <c r="P95" s="245"/>
      <c r="Q95" s="2368"/>
      <c r="R95" s="2368"/>
      <c r="S95" s="254"/>
      <c r="T95" s="257"/>
      <c r="U95" s="2358"/>
      <c r="V95" s="324">
        <v>86400</v>
      </c>
      <c r="W95" s="324">
        <v>561600</v>
      </c>
      <c r="X95" s="373">
        <v>900000</v>
      </c>
      <c r="Y95" s="248"/>
      <c r="Z95" s="247"/>
      <c r="AA95" s="248"/>
      <c r="AB95" s="340">
        <f t="shared" si="15"/>
        <v>1548000</v>
      </c>
      <c r="AC95" s="347">
        <f t="shared" si="19"/>
        <v>0</v>
      </c>
      <c r="AD95" s="249"/>
      <c r="AE95" s="435">
        <f>+(I95*3650000+J95*(3650000+100000))*1.08+(150000*1*1.08)</f>
        <v>4104000.0000000005</v>
      </c>
      <c r="AF95" s="342">
        <f t="shared" si="20"/>
        <v>5652000</v>
      </c>
      <c r="AG95" s="252"/>
      <c r="AH95" s="241"/>
      <c r="AI95" s="241"/>
      <c r="AJ95" s="241"/>
      <c r="AK95" s="194"/>
      <c r="AL95" s="195"/>
      <c r="AM95" s="195" t="s">
        <v>3709</v>
      </c>
    </row>
    <row r="96" spans="1:39" s="13" customFormat="1" ht="36" customHeight="1">
      <c r="A96" s="643" t="s">
        <v>3710</v>
      </c>
      <c r="B96" s="644"/>
      <c r="C96" s="644"/>
      <c r="D96" s="346"/>
      <c r="E96" s="644"/>
      <c r="F96" s="644"/>
      <c r="G96" s="644"/>
      <c r="H96" s="644"/>
      <c r="I96" s="369"/>
      <c r="J96" s="346"/>
      <c r="K96" s="346"/>
      <c r="L96" s="346"/>
      <c r="M96" s="346"/>
      <c r="N96" s="346"/>
      <c r="O96" s="354"/>
      <c r="P96" s="346"/>
      <c r="Q96" s="346"/>
      <c r="R96" s="346"/>
      <c r="S96" s="346"/>
      <c r="T96" s="346"/>
      <c r="U96" s="346"/>
      <c r="V96" s="357"/>
      <c r="W96" s="357"/>
      <c r="X96" s="357"/>
      <c r="Y96" s="357"/>
      <c r="Z96" s="357"/>
      <c r="AA96" s="357"/>
      <c r="AB96" s="358">
        <f>SUM(AB77:AB95)</f>
        <v>43408900</v>
      </c>
      <c r="AC96" s="358">
        <f>SUM(AC77:AC95)</f>
        <v>0</v>
      </c>
      <c r="AD96" s="359"/>
      <c r="AE96" s="358">
        <f>SUM(AE77:AE95)</f>
        <v>96595200</v>
      </c>
      <c r="AF96" s="358">
        <f>+AB96+AC96+AE96</f>
        <v>140004100</v>
      </c>
      <c r="AG96" s="357"/>
      <c r="AH96" s="357"/>
      <c r="AI96" s="357"/>
      <c r="AJ96" s="357"/>
      <c r="AK96" s="357"/>
      <c r="AL96" s="357"/>
      <c r="AM96" s="357"/>
    </row>
    <row r="97" spans="2:39" ht="31.2">
      <c r="B97" s="253">
        <v>1</v>
      </c>
      <c r="C97" s="244"/>
      <c r="D97" s="256"/>
      <c r="E97" s="474">
        <v>305694734940</v>
      </c>
      <c r="F97" s="602" t="s">
        <v>1378</v>
      </c>
      <c r="G97" s="391" t="s">
        <v>3711</v>
      </c>
      <c r="H97" s="230" t="s">
        <v>748</v>
      </c>
      <c r="I97" s="230">
        <v>1</v>
      </c>
      <c r="J97" s="230">
        <v>1</v>
      </c>
      <c r="K97" s="230"/>
      <c r="L97" s="228"/>
      <c r="M97" s="257"/>
      <c r="N97" s="228" t="s">
        <v>1386</v>
      </c>
      <c r="O97" s="254" t="s">
        <v>1485</v>
      </c>
      <c r="P97" s="245"/>
      <c r="Q97" s="2368"/>
      <c r="R97" s="2368"/>
      <c r="S97" s="254"/>
      <c r="T97" s="257"/>
      <c r="U97" s="2358"/>
      <c r="V97" s="256"/>
      <c r="W97" s="373">
        <f>1450000+900000</f>
        <v>2350000</v>
      </c>
      <c r="X97" s="373">
        <f>696600+394200</f>
        <v>1090800</v>
      </c>
      <c r="Y97" s="248"/>
      <c r="Z97" s="247"/>
      <c r="AA97" s="248"/>
      <c r="AB97" s="340">
        <f t="shared" ref="AB97:AB113" si="21">V97+W97+X97+Y97+Z97+AA97</f>
        <v>3440800</v>
      </c>
      <c r="AC97" s="347">
        <f t="shared" si="19"/>
        <v>0</v>
      </c>
      <c r="AD97" s="249" t="s">
        <v>3597</v>
      </c>
      <c r="AE97" s="435">
        <f t="shared" ref="AE97:AE112" si="22">+(I97*3778000+J97*(3778000+100000))*1.08+((I97+J97+K97)*150000)*1.08</f>
        <v>8592480</v>
      </c>
      <c r="AF97" s="342">
        <f t="shared" si="20"/>
        <v>12033280</v>
      </c>
      <c r="AG97" s="252"/>
      <c r="AH97" s="241"/>
      <c r="AI97" s="241"/>
      <c r="AJ97" s="241"/>
      <c r="AK97" s="194"/>
      <c r="AL97" s="195"/>
      <c r="AM97" s="195"/>
    </row>
    <row r="98" spans="2:39">
      <c r="B98" s="253">
        <v>2</v>
      </c>
      <c r="C98" s="244"/>
      <c r="D98" s="256"/>
      <c r="E98" s="474">
        <v>305693938710</v>
      </c>
      <c r="F98" s="602" t="s">
        <v>1378</v>
      </c>
      <c r="G98" s="391" t="s">
        <v>3712</v>
      </c>
      <c r="H98" s="230" t="s">
        <v>748</v>
      </c>
      <c r="I98" s="230"/>
      <c r="J98" s="230">
        <v>1</v>
      </c>
      <c r="K98" s="230"/>
      <c r="L98" s="228"/>
      <c r="M98" s="257"/>
      <c r="N98" s="228" t="s">
        <v>3713</v>
      </c>
      <c r="O98" s="228" t="s">
        <v>1387</v>
      </c>
      <c r="P98" s="245"/>
      <c r="Q98" s="2368"/>
      <c r="R98" s="2368"/>
      <c r="S98" s="254"/>
      <c r="T98" s="257"/>
      <c r="U98" s="2358"/>
      <c r="V98" s="256"/>
      <c r="W98" s="373">
        <v>1050000</v>
      </c>
      <c r="X98" s="373">
        <v>1140000</v>
      </c>
      <c r="Y98" s="248"/>
      <c r="Z98" s="247"/>
      <c r="AA98" s="248"/>
      <c r="AB98" s="340">
        <f t="shared" si="21"/>
        <v>2190000</v>
      </c>
      <c r="AC98" s="347">
        <f t="shared" si="19"/>
        <v>0</v>
      </c>
      <c r="AD98" s="249" t="s">
        <v>3597</v>
      </c>
      <c r="AE98" s="435">
        <f t="shared" si="22"/>
        <v>4350240</v>
      </c>
      <c r="AF98" s="342">
        <f t="shared" si="20"/>
        <v>6540240</v>
      </c>
      <c r="AG98" s="252"/>
      <c r="AH98" s="241"/>
      <c r="AI98" s="241"/>
      <c r="AJ98" s="241"/>
      <c r="AK98" s="194"/>
      <c r="AL98" s="195"/>
      <c r="AM98" s="195"/>
    </row>
    <row r="99" spans="2:39">
      <c r="B99" s="253">
        <v>3</v>
      </c>
      <c r="C99" s="244"/>
      <c r="D99" s="256"/>
      <c r="E99" s="474">
        <v>305696831330</v>
      </c>
      <c r="F99" s="602" t="s">
        <v>1383</v>
      </c>
      <c r="G99" s="391" t="s">
        <v>3714</v>
      </c>
      <c r="H99" s="230" t="s">
        <v>748</v>
      </c>
      <c r="I99" s="230">
        <v>1</v>
      </c>
      <c r="J99" s="230"/>
      <c r="K99" s="230"/>
      <c r="L99" s="228"/>
      <c r="M99" s="257"/>
      <c r="N99" s="228" t="s">
        <v>3715</v>
      </c>
      <c r="O99" s="228" t="s">
        <v>3716</v>
      </c>
      <c r="P99" s="245"/>
      <c r="Q99" s="2368"/>
      <c r="R99" s="2368"/>
      <c r="S99" s="254"/>
      <c r="T99" s="257"/>
      <c r="U99" s="2358"/>
      <c r="V99" s="256"/>
      <c r="W99" s="373">
        <v>720000</v>
      </c>
      <c r="X99" s="373">
        <v>700000</v>
      </c>
      <c r="Y99" s="248"/>
      <c r="Z99" s="247"/>
      <c r="AA99" s="248"/>
      <c r="AB99" s="340">
        <f t="shared" si="21"/>
        <v>1420000</v>
      </c>
      <c r="AC99" s="347">
        <f t="shared" si="19"/>
        <v>0</v>
      </c>
      <c r="AD99" s="249" t="s">
        <v>3597</v>
      </c>
      <c r="AE99" s="435">
        <f t="shared" si="22"/>
        <v>4242240</v>
      </c>
      <c r="AF99" s="342">
        <f t="shared" si="20"/>
        <v>5662240</v>
      </c>
      <c r="AG99" s="252"/>
      <c r="AH99" s="241"/>
      <c r="AI99" s="241"/>
      <c r="AJ99" s="241"/>
      <c r="AK99" s="194"/>
      <c r="AL99" s="195"/>
      <c r="AM99" s="195"/>
    </row>
    <row r="100" spans="2:39">
      <c r="B100" s="253">
        <v>4</v>
      </c>
      <c r="C100" s="244"/>
      <c r="D100" s="256"/>
      <c r="E100" s="474">
        <v>305721535250</v>
      </c>
      <c r="F100" s="602">
        <v>45145</v>
      </c>
      <c r="G100" s="391" t="s">
        <v>3717</v>
      </c>
      <c r="H100" s="230" t="s">
        <v>748</v>
      </c>
      <c r="I100" s="230"/>
      <c r="J100" s="230">
        <v>1</v>
      </c>
      <c r="K100" s="230"/>
      <c r="L100" s="228"/>
      <c r="M100" s="257"/>
      <c r="N100" s="494">
        <v>70348539</v>
      </c>
      <c r="O100" s="228" t="s">
        <v>1461</v>
      </c>
      <c r="P100" s="245"/>
      <c r="Q100" s="2368"/>
      <c r="R100" s="2368"/>
      <c r="S100" s="254"/>
      <c r="T100" s="257"/>
      <c r="U100" s="2358"/>
      <c r="V100" s="256"/>
      <c r="W100" s="373">
        <v>1050000</v>
      </c>
      <c r="X100" s="373">
        <v>1140000</v>
      </c>
      <c r="Y100" s="248"/>
      <c r="Z100" s="247"/>
      <c r="AA100" s="248"/>
      <c r="AB100" s="340">
        <f t="shared" si="21"/>
        <v>2190000</v>
      </c>
      <c r="AC100" s="347">
        <f t="shared" si="19"/>
        <v>0</v>
      </c>
      <c r="AD100" s="249" t="s">
        <v>3597</v>
      </c>
      <c r="AE100" s="435">
        <f t="shared" si="22"/>
        <v>4350240</v>
      </c>
      <c r="AF100" s="342">
        <f t="shared" si="20"/>
        <v>6540240</v>
      </c>
      <c r="AG100" s="252"/>
      <c r="AH100" s="241"/>
      <c r="AI100" s="241"/>
      <c r="AJ100" s="241"/>
      <c r="AK100" s="194"/>
      <c r="AL100" s="195"/>
      <c r="AM100" s="195"/>
    </row>
    <row r="101" spans="2:39">
      <c r="B101" s="253">
        <v>5</v>
      </c>
      <c r="C101" s="244"/>
      <c r="D101" s="256"/>
      <c r="E101" s="474">
        <v>305728505300</v>
      </c>
      <c r="F101" s="602">
        <v>45147</v>
      </c>
      <c r="G101" s="391" t="s">
        <v>3718</v>
      </c>
      <c r="H101" s="230" t="s">
        <v>748</v>
      </c>
      <c r="I101" s="230"/>
      <c r="J101" s="230">
        <v>1</v>
      </c>
      <c r="K101" s="230"/>
      <c r="L101" s="228"/>
      <c r="M101" s="257"/>
      <c r="N101" s="494">
        <v>6361389890</v>
      </c>
      <c r="O101" s="228" t="s">
        <v>1462</v>
      </c>
      <c r="P101" s="245"/>
      <c r="Q101" s="2368"/>
      <c r="R101" s="2368"/>
      <c r="S101" s="254"/>
      <c r="T101" s="257"/>
      <c r="U101" s="2358"/>
      <c r="V101" s="256"/>
      <c r="W101" s="373">
        <v>1450000</v>
      </c>
      <c r="X101" s="373">
        <v>1140000</v>
      </c>
      <c r="Y101" s="248"/>
      <c r="Z101" s="247"/>
      <c r="AA101" s="248"/>
      <c r="AB101" s="340">
        <f t="shared" si="21"/>
        <v>2590000</v>
      </c>
      <c r="AC101" s="347">
        <f t="shared" si="19"/>
        <v>0</v>
      </c>
      <c r="AD101" s="249" t="s">
        <v>3597</v>
      </c>
      <c r="AE101" s="435">
        <f t="shared" si="22"/>
        <v>4350240</v>
      </c>
      <c r="AF101" s="342">
        <f t="shared" si="20"/>
        <v>6940240</v>
      </c>
      <c r="AG101" s="252"/>
      <c r="AH101" s="241"/>
      <c r="AI101" s="241"/>
      <c r="AJ101" s="241"/>
      <c r="AK101" s="194"/>
      <c r="AL101" s="195"/>
      <c r="AM101" s="195"/>
    </row>
    <row r="102" spans="2:39">
      <c r="B102" s="253">
        <v>6</v>
      </c>
      <c r="C102" s="244"/>
      <c r="D102" s="256"/>
      <c r="E102" s="474">
        <v>305728707230</v>
      </c>
      <c r="F102" s="602">
        <v>45147</v>
      </c>
      <c r="G102" s="391" t="s">
        <v>3719</v>
      </c>
      <c r="H102" s="230" t="s">
        <v>748</v>
      </c>
      <c r="I102" s="230"/>
      <c r="J102" s="230">
        <v>1</v>
      </c>
      <c r="K102" s="230"/>
      <c r="L102" s="228"/>
      <c r="M102" s="257"/>
      <c r="N102" s="494">
        <v>72980741</v>
      </c>
      <c r="O102" s="228" t="s">
        <v>1463</v>
      </c>
      <c r="P102" s="245"/>
      <c r="Q102" s="2368"/>
      <c r="R102" s="2368"/>
      <c r="S102" s="254"/>
      <c r="T102" s="257"/>
      <c r="U102" s="2358"/>
      <c r="V102" s="256"/>
      <c r="W102" s="373">
        <v>1050000</v>
      </c>
      <c r="X102" s="373">
        <v>696600</v>
      </c>
      <c r="Y102" s="248"/>
      <c r="Z102" s="247"/>
      <c r="AA102" s="248"/>
      <c r="AB102" s="340">
        <f t="shared" si="21"/>
        <v>1746600</v>
      </c>
      <c r="AC102" s="347">
        <f t="shared" si="19"/>
        <v>0</v>
      </c>
      <c r="AD102" s="249" t="s">
        <v>3597</v>
      </c>
      <c r="AE102" s="435">
        <f t="shared" si="22"/>
        <v>4350240</v>
      </c>
      <c r="AF102" s="342">
        <f t="shared" si="20"/>
        <v>6096840</v>
      </c>
      <c r="AG102" s="252"/>
      <c r="AH102" s="241"/>
      <c r="AI102" s="241"/>
      <c r="AJ102" s="241"/>
      <c r="AK102" s="194"/>
      <c r="AL102" s="195"/>
      <c r="AM102" s="195"/>
    </row>
    <row r="103" spans="2:39">
      <c r="B103" s="253">
        <v>7</v>
      </c>
      <c r="C103" s="244"/>
      <c r="D103" s="256"/>
      <c r="E103" s="474">
        <v>305730389700</v>
      </c>
      <c r="F103" s="602">
        <v>45148</v>
      </c>
      <c r="G103" s="391" t="s">
        <v>3720</v>
      </c>
      <c r="H103" s="230" t="s">
        <v>748</v>
      </c>
      <c r="I103" s="230"/>
      <c r="J103" s="230">
        <v>1</v>
      </c>
      <c r="K103" s="230"/>
      <c r="L103" s="228"/>
      <c r="M103" s="257"/>
      <c r="N103" s="494">
        <v>71349210</v>
      </c>
      <c r="O103" s="228" t="s">
        <v>3721</v>
      </c>
      <c r="P103" s="245"/>
      <c r="Q103" s="2368"/>
      <c r="R103" s="2368"/>
      <c r="S103" s="254"/>
      <c r="T103" s="257"/>
      <c r="U103" s="2358"/>
      <c r="V103" s="256"/>
      <c r="W103" s="373">
        <v>1050000</v>
      </c>
      <c r="X103" s="373">
        <v>696600</v>
      </c>
      <c r="Y103" s="248"/>
      <c r="Z103" s="247"/>
      <c r="AA103" s="248"/>
      <c r="AB103" s="340">
        <f t="shared" si="21"/>
        <v>1746600</v>
      </c>
      <c r="AC103" s="347">
        <f t="shared" si="19"/>
        <v>0</v>
      </c>
      <c r="AD103" s="249" t="s">
        <v>3597</v>
      </c>
      <c r="AE103" s="435">
        <f t="shared" si="22"/>
        <v>4350240</v>
      </c>
      <c r="AF103" s="342">
        <f t="shared" si="20"/>
        <v>6096840</v>
      </c>
      <c r="AG103" s="252"/>
      <c r="AH103" s="241"/>
      <c r="AI103" s="241"/>
      <c r="AJ103" s="241"/>
      <c r="AK103" s="194"/>
      <c r="AL103" s="195"/>
      <c r="AM103" s="195"/>
    </row>
    <row r="104" spans="2:39">
      <c r="B104" s="253">
        <v>8</v>
      </c>
      <c r="C104" s="244"/>
      <c r="D104" s="256"/>
      <c r="E104" s="474">
        <v>305731050830</v>
      </c>
      <c r="F104" s="602">
        <v>45148</v>
      </c>
      <c r="G104" s="391" t="s">
        <v>3722</v>
      </c>
      <c r="H104" s="230" t="s">
        <v>748</v>
      </c>
      <c r="I104" s="230"/>
      <c r="J104" s="230">
        <v>1</v>
      </c>
      <c r="K104" s="230"/>
      <c r="L104" s="228"/>
      <c r="M104" s="257"/>
      <c r="N104" s="228">
        <v>6362903120</v>
      </c>
      <c r="O104" s="228" t="s">
        <v>1468</v>
      </c>
      <c r="P104" s="245"/>
      <c r="Q104" s="2368"/>
      <c r="R104" s="2368"/>
      <c r="S104" s="254"/>
      <c r="T104" s="257"/>
      <c r="U104" s="2358"/>
      <c r="V104" s="256"/>
      <c r="W104" s="373">
        <v>1450000</v>
      </c>
      <c r="X104" s="373">
        <v>1160000</v>
      </c>
      <c r="Y104" s="248"/>
      <c r="Z104" s="247"/>
      <c r="AA104" s="248"/>
      <c r="AB104" s="340">
        <f t="shared" si="21"/>
        <v>2610000</v>
      </c>
      <c r="AC104" s="347">
        <f>+Z104</f>
        <v>0</v>
      </c>
      <c r="AD104" s="249" t="s">
        <v>3597</v>
      </c>
      <c r="AE104" s="435">
        <f t="shared" si="22"/>
        <v>4350240</v>
      </c>
      <c r="AF104" s="342">
        <f>+AB104+AE104</f>
        <v>6960240</v>
      </c>
      <c r="AG104" s="252"/>
      <c r="AH104" s="241"/>
      <c r="AI104" s="241"/>
      <c r="AJ104" s="241"/>
      <c r="AK104" s="194"/>
      <c r="AL104" s="195"/>
      <c r="AM104" s="195"/>
    </row>
    <row r="105" spans="2:39" ht="31.5" customHeight="1">
      <c r="B105" s="253">
        <v>9</v>
      </c>
      <c r="C105" s="244"/>
      <c r="D105" s="256"/>
      <c r="E105" s="474">
        <v>305733568950</v>
      </c>
      <c r="F105" s="602">
        <v>45149</v>
      </c>
      <c r="G105" s="391" t="s">
        <v>3723</v>
      </c>
      <c r="H105" s="230" t="s">
        <v>748</v>
      </c>
      <c r="I105" s="230"/>
      <c r="J105" s="230">
        <v>2</v>
      </c>
      <c r="K105" s="230"/>
      <c r="L105" s="228"/>
      <c r="M105" s="257"/>
      <c r="N105" s="228">
        <v>6362574100</v>
      </c>
      <c r="O105" s="254" t="s">
        <v>1481</v>
      </c>
      <c r="P105" s="245"/>
      <c r="Q105" s="2368"/>
      <c r="R105" s="2368"/>
      <c r="S105" s="254"/>
      <c r="T105" s="257"/>
      <c r="U105" s="2358"/>
      <c r="V105" s="256"/>
      <c r="W105" s="373">
        <f>1450000+1450000</f>
        <v>2900000</v>
      </c>
      <c r="X105" s="373">
        <f>696600+696600</f>
        <v>1393200</v>
      </c>
      <c r="Y105" s="248"/>
      <c r="Z105" s="247"/>
      <c r="AA105" s="248"/>
      <c r="AB105" s="340">
        <f t="shared" si="21"/>
        <v>4293200</v>
      </c>
      <c r="AC105" s="347">
        <f>+Z105</f>
        <v>0</v>
      </c>
      <c r="AD105" s="249" t="s">
        <v>3597</v>
      </c>
      <c r="AE105" s="435">
        <f t="shared" si="22"/>
        <v>8700480</v>
      </c>
      <c r="AF105" s="342">
        <f>+AB105+AE105</f>
        <v>12993680</v>
      </c>
      <c r="AG105" s="252"/>
      <c r="AH105" s="241"/>
      <c r="AI105" s="241"/>
      <c r="AJ105" s="241"/>
      <c r="AK105" s="194"/>
      <c r="AL105" s="195"/>
      <c r="AM105" s="195"/>
    </row>
    <row r="106" spans="2:39" ht="46.8">
      <c r="B106" s="253">
        <v>10</v>
      </c>
      <c r="C106" s="244"/>
      <c r="D106" s="256"/>
      <c r="E106" s="474">
        <v>305746560620</v>
      </c>
      <c r="F106" s="602" t="s">
        <v>1489</v>
      </c>
      <c r="G106" s="391" t="s">
        <v>3724</v>
      </c>
      <c r="H106" s="230" t="s">
        <v>748</v>
      </c>
      <c r="I106" s="230">
        <v>1</v>
      </c>
      <c r="J106" s="230">
        <v>1</v>
      </c>
      <c r="K106" s="230"/>
      <c r="L106" s="228"/>
      <c r="M106" s="257"/>
      <c r="N106" s="228" t="s">
        <v>3725</v>
      </c>
      <c r="O106" s="254" t="s">
        <v>3726</v>
      </c>
      <c r="P106" s="245"/>
      <c r="Q106" s="2368"/>
      <c r="R106" s="2368"/>
      <c r="S106" s="254"/>
      <c r="T106" s="257"/>
      <c r="U106" s="2358"/>
      <c r="V106" s="256"/>
      <c r="W106" s="373">
        <f>900000+1450000</f>
        <v>2350000</v>
      </c>
      <c r="X106" s="373">
        <f>700000+1140000</f>
        <v>1840000</v>
      </c>
      <c r="Y106" s="248"/>
      <c r="Z106" s="247"/>
      <c r="AA106" s="248"/>
      <c r="AB106" s="340">
        <f t="shared" si="21"/>
        <v>4190000</v>
      </c>
      <c r="AC106" s="347">
        <f t="shared" ref="AC106:AC116" si="23">+Z106</f>
        <v>0</v>
      </c>
      <c r="AD106" s="249" t="s">
        <v>3597</v>
      </c>
      <c r="AE106" s="435">
        <f t="shared" si="22"/>
        <v>8592480</v>
      </c>
      <c r="AF106" s="342">
        <f t="shared" ref="AF106:AF118" si="24">+AB106+AE106</f>
        <v>12782480</v>
      </c>
      <c r="AG106" s="252"/>
      <c r="AH106" s="241"/>
      <c r="AI106" s="241"/>
      <c r="AJ106" s="241"/>
      <c r="AK106" s="194"/>
      <c r="AL106" s="195"/>
      <c r="AM106" s="195"/>
    </row>
    <row r="107" spans="2:39">
      <c r="B107" s="253">
        <v>11</v>
      </c>
      <c r="C107" s="244"/>
      <c r="D107" s="256"/>
      <c r="E107" s="474">
        <v>305748101540</v>
      </c>
      <c r="F107" s="602" t="s">
        <v>1489</v>
      </c>
      <c r="G107" s="391" t="s">
        <v>3727</v>
      </c>
      <c r="H107" s="230" t="s">
        <v>748</v>
      </c>
      <c r="I107" s="230">
        <v>1</v>
      </c>
      <c r="J107" s="230"/>
      <c r="K107" s="230"/>
      <c r="L107" s="228"/>
      <c r="M107" s="257"/>
      <c r="N107" s="228" t="s">
        <v>1490</v>
      </c>
      <c r="O107" s="228" t="s">
        <v>1491</v>
      </c>
      <c r="P107" s="245"/>
      <c r="Q107" s="2368"/>
      <c r="R107" s="2368"/>
      <c r="S107" s="254"/>
      <c r="T107" s="257"/>
      <c r="U107" s="2358"/>
      <c r="V107" s="256"/>
      <c r="W107" s="373">
        <v>885000</v>
      </c>
      <c r="X107" s="373">
        <v>394200</v>
      </c>
      <c r="Y107" s="248"/>
      <c r="Z107" s="247"/>
      <c r="AA107" s="248"/>
      <c r="AB107" s="340">
        <f t="shared" si="21"/>
        <v>1279200</v>
      </c>
      <c r="AC107" s="347">
        <f t="shared" si="23"/>
        <v>0</v>
      </c>
      <c r="AD107" s="249" t="s">
        <v>3597</v>
      </c>
      <c r="AE107" s="435">
        <f t="shared" si="22"/>
        <v>4242240</v>
      </c>
      <c r="AF107" s="342">
        <f t="shared" si="24"/>
        <v>5521440</v>
      </c>
      <c r="AG107" s="252"/>
      <c r="AH107" s="241"/>
      <c r="AI107" s="241"/>
      <c r="AJ107" s="241"/>
      <c r="AK107" s="194"/>
      <c r="AL107" s="195"/>
      <c r="AM107" s="195"/>
    </row>
    <row r="108" spans="2:39">
      <c r="B108" s="253">
        <v>12</v>
      </c>
      <c r="C108" s="244"/>
      <c r="D108" s="256"/>
      <c r="E108" s="474">
        <v>305756474830</v>
      </c>
      <c r="F108" s="602" t="s">
        <v>1501</v>
      </c>
      <c r="G108" s="391" t="s">
        <v>3728</v>
      </c>
      <c r="H108" s="230" t="s">
        <v>748</v>
      </c>
      <c r="I108" s="230"/>
      <c r="J108" s="230">
        <v>1</v>
      </c>
      <c r="K108" s="230"/>
      <c r="L108" s="228"/>
      <c r="M108" s="257"/>
      <c r="N108" s="228">
        <v>70866819</v>
      </c>
      <c r="O108" s="228" t="s">
        <v>1511</v>
      </c>
      <c r="P108" s="245"/>
      <c r="Q108" s="2368"/>
      <c r="R108" s="2368"/>
      <c r="S108" s="254"/>
      <c r="T108" s="257"/>
      <c r="U108" s="2358"/>
      <c r="V108" s="256"/>
      <c r="W108" s="373">
        <v>1450000</v>
      </c>
      <c r="X108" s="373">
        <v>1140000</v>
      </c>
      <c r="Y108" s="248"/>
      <c r="Z108" s="247"/>
      <c r="AA108" s="248"/>
      <c r="AB108" s="340">
        <f t="shared" si="21"/>
        <v>2590000</v>
      </c>
      <c r="AC108" s="347">
        <f t="shared" si="23"/>
        <v>0</v>
      </c>
      <c r="AD108" s="249" t="s">
        <v>3597</v>
      </c>
      <c r="AE108" s="435">
        <f t="shared" si="22"/>
        <v>4350240</v>
      </c>
      <c r="AF108" s="342">
        <f t="shared" si="24"/>
        <v>6940240</v>
      </c>
      <c r="AG108" s="252"/>
      <c r="AH108" s="241"/>
      <c r="AI108" s="241"/>
      <c r="AJ108" s="241"/>
      <c r="AK108" s="194"/>
      <c r="AL108" s="195"/>
      <c r="AM108" s="195"/>
    </row>
    <row r="109" spans="2:39" ht="16.5" customHeight="1">
      <c r="B109" s="253">
        <v>13</v>
      </c>
      <c r="C109" s="244"/>
      <c r="D109" s="256"/>
      <c r="E109" s="474">
        <v>305757135150</v>
      </c>
      <c r="F109" s="602" t="s">
        <v>1501</v>
      </c>
      <c r="G109" s="391" t="s">
        <v>3729</v>
      </c>
      <c r="H109" s="230" t="s">
        <v>748</v>
      </c>
      <c r="I109" s="230"/>
      <c r="J109" s="230">
        <v>1</v>
      </c>
      <c r="K109" s="230"/>
      <c r="L109" s="228"/>
      <c r="M109" s="257"/>
      <c r="N109" s="228" t="s">
        <v>1512</v>
      </c>
      <c r="O109" s="228" t="s">
        <v>1513</v>
      </c>
      <c r="P109" s="245"/>
      <c r="Q109" s="2368"/>
      <c r="R109" s="2368"/>
      <c r="S109" s="254"/>
      <c r="T109" s="257"/>
      <c r="U109" s="2358"/>
      <c r="V109" s="256"/>
      <c r="W109" s="373">
        <v>1425000</v>
      </c>
      <c r="X109" s="373">
        <v>696600</v>
      </c>
      <c r="Y109" s="248"/>
      <c r="Z109" s="247"/>
      <c r="AA109" s="248"/>
      <c r="AB109" s="340">
        <f t="shared" si="21"/>
        <v>2121600</v>
      </c>
      <c r="AC109" s="347">
        <f t="shared" si="23"/>
        <v>0</v>
      </c>
      <c r="AD109" s="249" t="s">
        <v>3597</v>
      </c>
      <c r="AE109" s="435">
        <f t="shared" si="22"/>
        <v>4350240</v>
      </c>
      <c r="AF109" s="342">
        <f t="shared" si="24"/>
        <v>6471840</v>
      </c>
      <c r="AG109" s="252"/>
      <c r="AH109" s="241"/>
      <c r="AI109" s="241"/>
      <c r="AJ109" s="241"/>
      <c r="AK109" s="194"/>
      <c r="AL109" s="195"/>
      <c r="AM109" s="195"/>
    </row>
    <row r="110" spans="2:39">
      <c r="B110" s="253">
        <v>14</v>
      </c>
      <c r="C110" s="244"/>
      <c r="D110" s="256"/>
      <c r="E110" s="474">
        <v>305759445300</v>
      </c>
      <c r="F110" s="602" t="s">
        <v>1515</v>
      </c>
      <c r="G110" s="391" t="s">
        <v>3730</v>
      </c>
      <c r="H110" s="230" t="s">
        <v>748</v>
      </c>
      <c r="I110" s="230"/>
      <c r="J110" s="230">
        <v>1</v>
      </c>
      <c r="K110" s="230"/>
      <c r="L110" s="228"/>
      <c r="M110" s="257"/>
      <c r="N110" s="228">
        <v>6362326040</v>
      </c>
      <c r="O110" s="228" t="s">
        <v>1516</v>
      </c>
      <c r="P110" s="245"/>
      <c r="Q110" s="2368"/>
      <c r="R110" s="2368"/>
      <c r="S110" s="254"/>
      <c r="T110" s="257"/>
      <c r="U110" s="2358"/>
      <c r="V110" s="256"/>
      <c r="W110" s="373">
        <v>1450000</v>
      </c>
      <c r="X110" s="373">
        <v>1140000</v>
      </c>
      <c r="Y110" s="248"/>
      <c r="Z110" s="247"/>
      <c r="AA110" s="248"/>
      <c r="AB110" s="340">
        <f t="shared" si="21"/>
        <v>2590000</v>
      </c>
      <c r="AC110" s="347">
        <f t="shared" si="23"/>
        <v>0</v>
      </c>
      <c r="AD110" s="249" t="s">
        <v>3597</v>
      </c>
      <c r="AE110" s="435">
        <f t="shared" si="22"/>
        <v>4350240</v>
      </c>
      <c r="AF110" s="342">
        <f t="shared" si="24"/>
        <v>6940240</v>
      </c>
      <c r="AG110" s="252"/>
      <c r="AH110" s="241"/>
      <c r="AI110" s="241"/>
      <c r="AJ110" s="241"/>
      <c r="AK110" s="194"/>
      <c r="AL110" s="195"/>
      <c r="AM110" s="195"/>
    </row>
    <row r="111" spans="2:39">
      <c r="B111" s="253">
        <v>15</v>
      </c>
      <c r="C111" s="244"/>
      <c r="D111" s="256"/>
      <c r="E111" s="474">
        <v>305762471250</v>
      </c>
      <c r="F111" s="602" t="s">
        <v>1519</v>
      </c>
      <c r="G111" s="391" t="s">
        <v>3731</v>
      </c>
      <c r="H111" s="230" t="s">
        <v>748</v>
      </c>
      <c r="I111" s="230">
        <v>1</v>
      </c>
      <c r="J111" s="230"/>
      <c r="K111" s="230"/>
      <c r="L111" s="228"/>
      <c r="M111" s="257"/>
      <c r="N111" s="228">
        <v>71400998</v>
      </c>
      <c r="O111" s="228" t="s">
        <v>1528</v>
      </c>
      <c r="P111" s="245"/>
      <c r="Q111" s="2368"/>
      <c r="R111" s="2368"/>
      <c r="S111" s="254"/>
      <c r="T111" s="257"/>
      <c r="U111" s="2358"/>
      <c r="V111" s="256"/>
      <c r="W111" s="373">
        <v>720000</v>
      </c>
      <c r="X111" s="373">
        <v>700000</v>
      </c>
      <c r="Y111" s="248"/>
      <c r="Z111" s="247"/>
      <c r="AA111" s="248"/>
      <c r="AB111" s="340">
        <f t="shared" si="21"/>
        <v>1420000</v>
      </c>
      <c r="AC111" s="347">
        <f t="shared" si="23"/>
        <v>0</v>
      </c>
      <c r="AD111" s="249" t="s">
        <v>3597</v>
      </c>
      <c r="AE111" s="435">
        <f t="shared" si="22"/>
        <v>4242240</v>
      </c>
      <c r="AF111" s="342">
        <f t="shared" si="24"/>
        <v>5662240</v>
      </c>
      <c r="AG111" s="252"/>
      <c r="AH111" s="241"/>
      <c r="AI111" s="241"/>
      <c r="AJ111" s="241"/>
      <c r="AK111" s="194"/>
      <c r="AL111" s="195"/>
      <c r="AM111" s="195"/>
    </row>
    <row r="112" spans="2:39">
      <c r="B112" s="253">
        <v>16</v>
      </c>
      <c r="C112" s="244"/>
      <c r="D112" s="256"/>
      <c r="E112" s="474">
        <v>305762999310</v>
      </c>
      <c r="F112" s="602" t="s">
        <v>1519</v>
      </c>
      <c r="G112" s="391" t="s">
        <v>3732</v>
      </c>
      <c r="H112" s="230" t="s">
        <v>748</v>
      </c>
      <c r="I112" s="230">
        <v>1</v>
      </c>
      <c r="J112" s="230"/>
      <c r="K112" s="230"/>
      <c r="L112" s="228"/>
      <c r="M112" s="257"/>
      <c r="N112" s="228" t="s">
        <v>1529</v>
      </c>
      <c r="O112" s="228" t="s">
        <v>1530</v>
      </c>
      <c r="P112" s="245"/>
      <c r="Q112" s="2368"/>
      <c r="R112" s="2368"/>
      <c r="S112" s="254"/>
      <c r="T112" s="257"/>
      <c r="U112" s="2358"/>
      <c r="V112" s="256"/>
      <c r="W112" s="373">
        <v>610000</v>
      </c>
      <c r="X112" s="373">
        <v>394200</v>
      </c>
      <c r="Y112" s="248"/>
      <c r="Z112" s="247"/>
      <c r="AA112" s="248"/>
      <c r="AB112" s="340">
        <f t="shared" si="21"/>
        <v>1004200</v>
      </c>
      <c r="AC112" s="347">
        <f t="shared" si="23"/>
        <v>0</v>
      </c>
      <c r="AD112" s="249" t="s">
        <v>3597</v>
      </c>
      <c r="AE112" s="435">
        <f t="shared" si="22"/>
        <v>4242240</v>
      </c>
      <c r="AF112" s="342">
        <f t="shared" si="24"/>
        <v>5246440</v>
      </c>
      <c r="AG112" s="252"/>
      <c r="AH112" s="241"/>
      <c r="AI112" s="241"/>
      <c r="AJ112" s="241"/>
      <c r="AK112" s="194"/>
      <c r="AL112" s="195"/>
      <c r="AM112" s="195"/>
    </row>
    <row r="113" spans="1:39" ht="265.2">
      <c r="B113" s="253">
        <v>17</v>
      </c>
      <c r="C113" s="244"/>
      <c r="D113" s="256"/>
      <c r="E113" s="466">
        <v>105675138550</v>
      </c>
      <c r="F113" s="602" t="s">
        <v>1531</v>
      </c>
      <c r="G113" s="391" t="s">
        <v>3733</v>
      </c>
      <c r="H113" s="230" t="s">
        <v>3579</v>
      </c>
      <c r="I113" s="230"/>
      <c r="J113" s="230"/>
      <c r="K113" s="230">
        <v>1</v>
      </c>
      <c r="L113" s="228"/>
      <c r="M113" s="499" t="s">
        <v>1537</v>
      </c>
      <c r="N113" s="228" t="s">
        <v>1538</v>
      </c>
      <c r="O113" s="228"/>
      <c r="P113" s="245"/>
      <c r="Q113" s="2368"/>
      <c r="R113" s="2368"/>
      <c r="S113" s="254"/>
      <c r="T113" s="499" t="s">
        <v>1537</v>
      </c>
      <c r="U113" s="2359"/>
      <c r="V113" s="256"/>
      <c r="W113" s="248"/>
      <c r="X113" s="248"/>
      <c r="Y113" s="248"/>
      <c r="Z113" s="247"/>
      <c r="AA113" s="248"/>
      <c r="AB113" s="340">
        <f t="shared" si="21"/>
        <v>0</v>
      </c>
      <c r="AC113" s="347">
        <f t="shared" si="23"/>
        <v>0</v>
      </c>
      <c r="AD113" s="249" t="s">
        <v>3597</v>
      </c>
      <c r="AE113" s="435">
        <f>+(2268000)*1.08+((I113+J113+K113)*150000)*1.08</f>
        <v>2611440</v>
      </c>
      <c r="AF113" s="342">
        <f t="shared" si="24"/>
        <v>2611440</v>
      </c>
      <c r="AG113" s="252"/>
      <c r="AH113" s="241"/>
      <c r="AI113" s="241"/>
      <c r="AJ113" s="241"/>
      <c r="AK113" s="194"/>
      <c r="AL113" s="195"/>
      <c r="AM113" s="195"/>
    </row>
    <row r="114" spans="1:39" s="13" customFormat="1" ht="36.75" customHeight="1">
      <c r="A114" s="643" t="s">
        <v>3734</v>
      </c>
      <c r="B114" s="644"/>
      <c r="C114" s="644"/>
      <c r="D114" s="346"/>
      <c r="E114" s="644"/>
      <c r="F114" s="644"/>
      <c r="G114" s="644"/>
      <c r="H114" s="644"/>
      <c r="I114" s="369"/>
      <c r="J114" s="346"/>
      <c r="K114" s="346"/>
      <c r="L114" s="346"/>
      <c r="M114" s="346"/>
      <c r="N114" s="346"/>
      <c r="O114" s="354"/>
      <c r="P114" s="346"/>
      <c r="Q114" s="346"/>
      <c r="R114" s="346"/>
      <c r="S114" s="346"/>
      <c r="T114" s="346"/>
      <c r="U114" s="346"/>
      <c r="V114" s="357"/>
      <c r="W114" s="357"/>
      <c r="X114" s="357"/>
      <c r="Y114" s="357"/>
      <c r="Z114" s="357"/>
      <c r="AA114" s="357"/>
      <c r="AB114" s="358">
        <f>SUM(AB97:AB113)</f>
        <v>37422200</v>
      </c>
      <c r="AC114" s="358">
        <f>SUM(AC95:AC113)</f>
        <v>0</v>
      </c>
      <c r="AD114" s="359"/>
      <c r="AE114" s="358">
        <f>SUM(AE97:AE113)</f>
        <v>84618000</v>
      </c>
      <c r="AF114" s="358">
        <f>+AB114+AC114+AE114</f>
        <v>122040200</v>
      </c>
      <c r="AG114" s="357"/>
      <c r="AH114" s="357"/>
      <c r="AI114" s="357"/>
      <c r="AJ114" s="357"/>
      <c r="AK114" s="357"/>
      <c r="AL114" s="357"/>
      <c r="AM114" s="357"/>
    </row>
    <row r="115" spans="1:39" ht="62.4">
      <c r="B115" s="253">
        <v>1</v>
      </c>
      <c r="C115" s="244"/>
      <c r="D115" s="256"/>
      <c r="E115" s="528">
        <v>105671646623</v>
      </c>
      <c r="F115" s="602" t="s">
        <v>1550</v>
      </c>
      <c r="G115" s="518" t="s">
        <v>3735</v>
      </c>
      <c r="H115" s="230" t="s">
        <v>3579</v>
      </c>
      <c r="I115" s="230">
        <v>1</v>
      </c>
      <c r="J115" s="230">
        <v>1</v>
      </c>
      <c r="K115" s="230"/>
      <c r="L115" s="526" t="s">
        <v>136</v>
      </c>
      <c r="M115" s="257"/>
      <c r="N115" s="228" t="s">
        <v>1554</v>
      </c>
      <c r="O115" s="254" t="s">
        <v>1555</v>
      </c>
      <c r="P115" s="245"/>
      <c r="Q115" s="2368"/>
      <c r="R115" s="2368"/>
      <c r="S115" s="254"/>
      <c r="T115" s="257"/>
      <c r="U115" s="2358"/>
      <c r="V115" s="324">
        <v>237600</v>
      </c>
      <c r="W115" s="324">
        <v>1560600</v>
      </c>
      <c r="X115" s="373">
        <f>890000+1250000</f>
        <v>2140000</v>
      </c>
      <c r="Y115" s="248"/>
      <c r="Z115" s="247"/>
      <c r="AA115" s="248"/>
      <c r="AB115" s="340">
        <f t="shared" ref="AB115:AB133" si="25">V115+W115+X115+Y115+Z115+AA115</f>
        <v>3938200</v>
      </c>
      <c r="AC115" s="347">
        <f>+Z115</f>
        <v>0</v>
      </c>
      <c r="AD115" s="249" t="s">
        <v>3597</v>
      </c>
      <c r="AE115" s="435">
        <f>+((I115*7214000)+(J115*7314000 ))*1.08</f>
        <v>15690240.000000002</v>
      </c>
      <c r="AF115" s="342">
        <f>+AB115+AE115</f>
        <v>19628440</v>
      </c>
      <c r="AG115" s="523" t="s">
        <v>3736</v>
      </c>
      <c r="AH115" s="241"/>
      <c r="AI115" s="241"/>
      <c r="AJ115" s="241"/>
      <c r="AK115" s="194"/>
      <c r="AL115" s="195"/>
      <c r="AM115" s="3431" t="s">
        <v>3737</v>
      </c>
    </row>
    <row r="116" spans="1:39">
      <c r="B116" s="253">
        <v>2</v>
      </c>
      <c r="C116" s="244"/>
      <c r="D116" s="256"/>
      <c r="E116" s="529">
        <v>305774476400</v>
      </c>
      <c r="F116" s="602" t="s">
        <v>1550</v>
      </c>
      <c r="G116" s="518" t="s">
        <v>3738</v>
      </c>
      <c r="H116" s="230" t="s">
        <v>210</v>
      </c>
      <c r="I116" s="230"/>
      <c r="J116" s="230">
        <v>1</v>
      </c>
      <c r="K116" s="230"/>
      <c r="L116" s="228"/>
      <c r="M116" s="257"/>
      <c r="N116" s="228">
        <v>31337245</v>
      </c>
      <c r="O116" s="228" t="s">
        <v>1553</v>
      </c>
      <c r="P116" s="245"/>
      <c r="Q116" s="2368"/>
      <c r="R116" s="2368"/>
      <c r="S116" s="254"/>
      <c r="T116" s="257"/>
      <c r="U116" s="2358"/>
      <c r="V116" s="256"/>
      <c r="W116" s="373">
        <v>1050000</v>
      </c>
      <c r="X116" s="373">
        <v>1140000</v>
      </c>
      <c r="Y116" s="248"/>
      <c r="Z116" s="247"/>
      <c r="AA116" s="248"/>
      <c r="AB116" s="340">
        <f t="shared" si="25"/>
        <v>2190000</v>
      </c>
      <c r="AC116" s="347">
        <f t="shared" si="23"/>
        <v>0</v>
      </c>
      <c r="AD116" s="249" t="s">
        <v>3597</v>
      </c>
      <c r="AE116" s="435">
        <f t="shared" ref="AE116:AE130" si="26">+(I116*3906000+J116*(3906000+100000))*1.08+((I116+J116+K116)*150000)*1.08</f>
        <v>4488480</v>
      </c>
      <c r="AF116" s="342">
        <f t="shared" si="24"/>
        <v>6678480</v>
      </c>
      <c r="AG116" s="252"/>
      <c r="AH116" s="241"/>
      <c r="AI116" s="241"/>
      <c r="AJ116" s="241"/>
      <c r="AK116" s="194"/>
      <c r="AL116" s="195"/>
      <c r="AM116" s="3432"/>
    </row>
    <row r="117" spans="1:39">
      <c r="B117" s="253">
        <v>3</v>
      </c>
      <c r="C117" s="244"/>
      <c r="D117" s="256"/>
      <c r="E117" s="529">
        <v>305775287330</v>
      </c>
      <c r="F117" s="602" t="s">
        <v>1550</v>
      </c>
      <c r="G117" s="518" t="s">
        <v>3739</v>
      </c>
      <c r="H117" s="230" t="s">
        <v>210</v>
      </c>
      <c r="I117" s="230">
        <v>1</v>
      </c>
      <c r="J117" s="230"/>
      <c r="K117" s="230"/>
      <c r="L117" s="228"/>
      <c r="M117" s="257"/>
      <c r="N117" s="228" t="s">
        <v>1556</v>
      </c>
      <c r="O117" s="228" t="s">
        <v>1557</v>
      </c>
      <c r="P117" s="245"/>
      <c r="Q117" s="2368"/>
      <c r="R117" s="2368"/>
      <c r="S117" s="254"/>
      <c r="T117" s="257"/>
      <c r="U117" s="2358"/>
      <c r="V117" s="256"/>
      <c r="W117" s="373">
        <v>900000</v>
      </c>
      <c r="X117" s="373">
        <v>394200</v>
      </c>
      <c r="Y117" s="248"/>
      <c r="Z117" s="247"/>
      <c r="AA117" s="248"/>
      <c r="AB117" s="340">
        <f t="shared" si="25"/>
        <v>1294200</v>
      </c>
      <c r="AC117" s="347">
        <f t="shared" ref="AC117:AC122" si="27">+Z117</f>
        <v>0</v>
      </c>
      <c r="AD117" s="249"/>
      <c r="AE117" s="435">
        <f t="shared" si="26"/>
        <v>4380480</v>
      </c>
      <c r="AF117" s="342">
        <f t="shared" si="24"/>
        <v>5674680</v>
      </c>
      <c r="AG117" s="252"/>
      <c r="AH117" s="241"/>
      <c r="AI117" s="241"/>
      <c r="AJ117" s="241"/>
      <c r="AK117" s="194"/>
      <c r="AL117" s="195"/>
      <c r="AM117" s="3432"/>
    </row>
    <row r="118" spans="1:39">
      <c r="B118" s="253">
        <v>4</v>
      </c>
      <c r="C118" s="244"/>
      <c r="D118" s="256"/>
      <c r="E118" s="529">
        <v>305777769160</v>
      </c>
      <c r="F118" s="602" t="s">
        <v>1558</v>
      </c>
      <c r="G118" s="518" t="s">
        <v>3740</v>
      </c>
      <c r="H118" s="230" t="s">
        <v>210</v>
      </c>
      <c r="I118" s="230"/>
      <c r="J118" s="230">
        <v>1</v>
      </c>
      <c r="K118" s="230"/>
      <c r="L118" s="228"/>
      <c r="M118" s="257"/>
      <c r="N118" s="228">
        <v>72836680</v>
      </c>
      <c r="O118" s="228" t="s">
        <v>1559</v>
      </c>
      <c r="P118" s="245"/>
      <c r="Q118" s="2368"/>
      <c r="R118" s="2368"/>
      <c r="S118" s="254"/>
      <c r="T118" s="257"/>
      <c r="U118" s="2358"/>
      <c r="V118" s="256"/>
      <c r="W118" s="373">
        <v>1040000</v>
      </c>
      <c r="X118" s="373">
        <v>1140000</v>
      </c>
      <c r="Y118" s="248"/>
      <c r="Z118" s="247"/>
      <c r="AA118" s="248"/>
      <c r="AB118" s="340">
        <f t="shared" si="25"/>
        <v>2180000</v>
      </c>
      <c r="AC118" s="347">
        <f t="shared" si="27"/>
        <v>0</v>
      </c>
      <c r="AD118" s="249"/>
      <c r="AE118" s="435">
        <f t="shared" si="26"/>
        <v>4488480</v>
      </c>
      <c r="AF118" s="342">
        <f t="shared" si="24"/>
        <v>6668480</v>
      </c>
      <c r="AG118" s="252"/>
      <c r="AH118" s="241"/>
      <c r="AI118" s="241"/>
      <c r="AJ118" s="241"/>
      <c r="AK118" s="194"/>
      <c r="AL118" s="195"/>
      <c r="AM118" s="3432"/>
    </row>
    <row r="119" spans="1:39">
      <c r="B119" s="253">
        <v>5</v>
      </c>
      <c r="C119" s="244"/>
      <c r="D119" s="256"/>
      <c r="E119" s="529">
        <v>305781976530</v>
      </c>
      <c r="F119" s="602" t="s">
        <v>1560</v>
      </c>
      <c r="G119" s="518" t="s">
        <v>3741</v>
      </c>
      <c r="H119" s="230" t="s">
        <v>210</v>
      </c>
      <c r="I119" s="230"/>
      <c r="J119" s="230">
        <v>1</v>
      </c>
      <c r="K119" s="230"/>
      <c r="L119" s="228"/>
      <c r="M119" s="257"/>
      <c r="N119" s="228">
        <v>70994684</v>
      </c>
      <c r="O119" s="228" t="s">
        <v>1561</v>
      </c>
      <c r="P119" s="245"/>
      <c r="Q119" s="2368"/>
      <c r="R119" s="2368"/>
      <c r="S119" s="254"/>
      <c r="T119" s="257"/>
      <c r="U119" s="2358"/>
      <c r="V119" s="256"/>
      <c r="W119" s="373">
        <v>1050000</v>
      </c>
      <c r="X119" s="373">
        <v>1140000</v>
      </c>
      <c r="Y119" s="248"/>
      <c r="Z119" s="247"/>
      <c r="AA119" s="248"/>
      <c r="AB119" s="340">
        <f t="shared" si="25"/>
        <v>2190000</v>
      </c>
      <c r="AC119" s="347">
        <f t="shared" si="27"/>
        <v>0</v>
      </c>
      <c r="AD119" s="249"/>
      <c r="AE119" s="435">
        <f t="shared" si="26"/>
        <v>4488480</v>
      </c>
      <c r="AF119" s="342">
        <f>+AB119+AE119</f>
        <v>6678480</v>
      </c>
      <c r="AG119" s="252"/>
      <c r="AH119" s="241"/>
      <c r="AI119" s="241"/>
      <c r="AJ119" s="241"/>
      <c r="AK119" s="194"/>
      <c r="AL119" s="195"/>
      <c r="AM119" s="3432"/>
    </row>
    <row r="120" spans="1:39">
      <c r="B120" s="253">
        <v>6</v>
      </c>
      <c r="C120" s="244"/>
      <c r="D120" s="256"/>
      <c r="E120" s="474">
        <v>305788909110</v>
      </c>
      <c r="F120" s="602">
        <v>45175</v>
      </c>
      <c r="G120" s="391" t="s">
        <v>3742</v>
      </c>
      <c r="H120" s="230" t="s">
        <v>748</v>
      </c>
      <c r="I120" s="230"/>
      <c r="J120" s="230">
        <v>1</v>
      </c>
      <c r="K120" s="230"/>
      <c r="L120" s="228"/>
      <c r="M120" s="257"/>
      <c r="N120" s="228">
        <v>10685542</v>
      </c>
      <c r="O120" s="228" t="s">
        <v>1572</v>
      </c>
      <c r="P120" s="245"/>
      <c r="Q120" s="2368"/>
      <c r="R120" s="2368"/>
      <c r="S120" s="254"/>
      <c r="T120" s="257"/>
      <c r="U120" s="2358"/>
      <c r="V120" s="256"/>
      <c r="W120" s="373">
        <v>1250000</v>
      </c>
      <c r="X120" s="373">
        <v>1160000</v>
      </c>
      <c r="Y120" s="248"/>
      <c r="Z120" s="247"/>
      <c r="AA120" s="248"/>
      <c r="AB120" s="340">
        <f t="shared" si="25"/>
        <v>2410000</v>
      </c>
      <c r="AC120" s="347">
        <f t="shared" si="27"/>
        <v>0</v>
      </c>
      <c r="AD120" s="249"/>
      <c r="AE120" s="435">
        <f t="shared" si="26"/>
        <v>4488480</v>
      </c>
      <c r="AF120" s="342">
        <f>+AB120+AE120</f>
        <v>6898480</v>
      </c>
      <c r="AG120" s="252"/>
      <c r="AH120" s="241"/>
      <c r="AI120" s="241"/>
      <c r="AJ120" s="241"/>
      <c r="AK120" s="194"/>
      <c r="AL120" s="195"/>
      <c r="AM120" s="3432"/>
    </row>
    <row r="121" spans="1:39">
      <c r="B121" s="253">
        <v>7</v>
      </c>
      <c r="C121" s="244"/>
      <c r="D121" s="256"/>
      <c r="E121" s="474">
        <v>305792018730</v>
      </c>
      <c r="F121" s="602">
        <v>45176</v>
      </c>
      <c r="G121" s="391" t="s">
        <v>3743</v>
      </c>
      <c r="H121" s="230" t="s">
        <v>748</v>
      </c>
      <c r="I121" s="230"/>
      <c r="J121" s="230">
        <v>1</v>
      </c>
      <c r="K121" s="230"/>
      <c r="L121" s="228"/>
      <c r="M121" s="257"/>
      <c r="N121" s="228">
        <v>99214431</v>
      </c>
      <c r="O121" s="228" t="s">
        <v>1570</v>
      </c>
      <c r="P121" s="245"/>
      <c r="Q121" s="2368"/>
      <c r="R121" s="2368"/>
      <c r="S121" s="254"/>
      <c r="T121" s="257"/>
      <c r="U121" s="2358"/>
      <c r="V121" s="256"/>
      <c r="W121" s="373">
        <v>1050000</v>
      </c>
      <c r="X121" s="373">
        <v>1140000</v>
      </c>
      <c r="Y121" s="248"/>
      <c r="Z121" s="247"/>
      <c r="AA121" s="248"/>
      <c r="AB121" s="340">
        <f t="shared" si="25"/>
        <v>2190000</v>
      </c>
      <c r="AC121" s="347">
        <f t="shared" si="27"/>
        <v>0</v>
      </c>
      <c r="AD121" s="249"/>
      <c r="AE121" s="435">
        <f t="shared" si="26"/>
        <v>4488480</v>
      </c>
      <c r="AF121" s="342">
        <f>+AB121+AE121</f>
        <v>6678480</v>
      </c>
      <c r="AG121" s="252"/>
      <c r="AH121" s="241"/>
      <c r="AI121" s="241"/>
      <c r="AJ121" s="241"/>
      <c r="AK121" s="194"/>
      <c r="AL121" s="195"/>
      <c r="AM121" s="3432"/>
    </row>
    <row r="122" spans="1:39" ht="17.25" customHeight="1">
      <c r="B122" s="253">
        <v>8</v>
      </c>
      <c r="C122" s="244"/>
      <c r="D122" s="256"/>
      <c r="E122" s="474">
        <v>305793583560</v>
      </c>
      <c r="F122" s="602">
        <v>45176</v>
      </c>
      <c r="G122" s="391" t="s">
        <v>3744</v>
      </c>
      <c r="H122" s="230" t="s">
        <v>748</v>
      </c>
      <c r="I122" s="230"/>
      <c r="J122" s="230">
        <v>1</v>
      </c>
      <c r="K122" s="230"/>
      <c r="L122" s="228"/>
      <c r="M122" s="257"/>
      <c r="N122" s="228">
        <v>23367301</v>
      </c>
      <c r="O122" s="228" t="s">
        <v>1571</v>
      </c>
      <c r="P122" s="245"/>
      <c r="Q122" s="2368"/>
      <c r="R122" s="2368"/>
      <c r="S122" s="254"/>
      <c r="T122" s="257"/>
      <c r="U122" s="2358"/>
      <c r="V122" s="256"/>
      <c r="W122" s="373">
        <v>1140000</v>
      </c>
      <c r="X122" s="373">
        <v>1450000</v>
      </c>
      <c r="Y122" s="248"/>
      <c r="Z122" s="247"/>
      <c r="AA122" s="248"/>
      <c r="AB122" s="340">
        <f t="shared" si="25"/>
        <v>2590000</v>
      </c>
      <c r="AC122" s="347">
        <f t="shared" si="27"/>
        <v>0</v>
      </c>
      <c r="AD122" s="249"/>
      <c r="AE122" s="435">
        <f t="shared" si="26"/>
        <v>4488480</v>
      </c>
      <c r="AF122" s="342">
        <f>+AB122+AE122</f>
        <v>7078480</v>
      </c>
      <c r="AG122" s="252"/>
      <c r="AH122" s="241"/>
      <c r="AI122" s="241"/>
      <c r="AJ122" s="241"/>
      <c r="AK122" s="194"/>
      <c r="AL122" s="195"/>
      <c r="AM122" s="3432"/>
    </row>
    <row r="123" spans="1:39">
      <c r="B123" s="253">
        <f>+B122+1</f>
        <v>9</v>
      </c>
      <c r="C123" s="244"/>
      <c r="D123" s="256"/>
      <c r="E123" s="474">
        <v>305802288100</v>
      </c>
      <c r="F123" s="602">
        <v>45181</v>
      </c>
      <c r="G123" s="391" t="s">
        <v>3745</v>
      </c>
      <c r="H123" s="230" t="s">
        <v>748</v>
      </c>
      <c r="I123" s="230"/>
      <c r="J123" s="230">
        <v>1</v>
      </c>
      <c r="K123" s="230"/>
      <c r="L123" s="228"/>
      <c r="M123" s="257"/>
      <c r="N123" s="228" t="s">
        <v>3746</v>
      </c>
      <c r="O123" s="228" t="s">
        <v>1587</v>
      </c>
      <c r="P123" s="245"/>
      <c r="Q123" s="2368"/>
      <c r="R123" s="2368"/>
      <c r="S123" s="254"/>
      <c r="T123" s="257"/>
      <c r="U123" s="2358"/>
      <c r="V123" s="256"/>
      <c r="W123" s="373">
        <v>1450000</v>
      </c>
      <c r="X123" s="373">
        <v>696600</v>
      </c>
      <c r="Y123" s="248"/>
      <c r="Z123" s="247"/>
      <c r="AA123" s="248"/>
      <c r="AB123" s="340">
        <f t="shared" si="25"/>
        <v>2146600</v>
      </c>
      <c r="AC123" s="347">
        <f t="shared" ref="AC123:AC133" si="28">+Z123</f>
        <v>0</v>
      </c>
      <c r="AD123" s="249"/>
      <c r="AE123" s="435">
        <f t="shared" si="26"/>
        <v>4488480</v>
      </c>
      <c r="AF123" s="342">
        <f t="shared" ref="AF123:AF133" si="29">+AB123+AE123</f>
        <v>6635080</v>
      </c>
      <c r="AG123" s="252"/>
      <c r="AH123" s="241"/>
      <c r="AI123" s="241"/>
      <c r="AJ123" s="241"/>
      <c r="AK123" s="194"/>
      <c r="AL123" s="195"/>
      <c r="AM123" s="3432"/>
    </row>
    <row r="124" spans="1:39">
      <c r="B124" s="253">
        <f t="shared" ref="B124:B133" si="30">+B123+1</f>
        <v>10</v>
      </c>
      <c r="C124" s="244"/>
      <c r="D124" s="256"/>
      <c r="E124" s="474">
        <v>305805954810</v>
      </c>
      <c r="F124" s="602" t="s">
        <v>1590</v>
      </c>
      <c r="G124" s="391" t="s">
        <v>3747</v>
      </c>
      <c r="H124" s="230" t="s">
        <v>748</v>
      </c>
      <c r="I124" s="230"/>
      <c r="J124" s="230">
        <v>1</v>
      </c>
      <c r="K124" s="230"/>
      <c r="L124" s="228"/>
      <c r="M124" s="257"/>
      <c r="N124" s="228" t="s">
        <v>3748</v>
      </c>
      <c r="O124" s="228" t="s">
        <v>1591</v>
      </c>
      <c r="P124" s="245"/>
      <c r="Q124" s="2368"/>
      <c r="R124" s="2368"/>
      <c r="S124" s="254"/>
      <c r="T124" s="257"/>
      <c r="U124" s="2358"/>
      <c r="V124" s="256"/>
      <c r="W124" s="373">
        <v>1050000</v>
      </c>
      <c r="X124" s="373">
        <v>1140000</v>
      </c>
      <c r="Y124" s="248"/>
      <c r="Z124" s="247"/>
      <c r="AA124" s="248"/>
      <c r="AB124" s="340">
        <f t="shared" si="25"/>
        <v>2190000</v>
      </c>
      <c r="AC124" s="347">
        <f t="shared" si="28"/>
        <v>0</v>
      </c>
      <c r="AD124" s="249"/>
      <c r="AE124" s="435">
        <f t="shared" si="26"/>
        <v>4488480</v>
      </c>
      <c r="AF124" s="342">
        <f t="shared" si="29"/>
        <v>6678480</v>
      </c>
      <c r="AG124" s="252"/>
      <c r="AH124" s="241"/>
      <c r="AI124" s="241"/>
      <c r="AJ124" s="241"/>
      <c r="AK124" s="194"/>
      <c r="AL124" s="195"/>
      <c r="AM124" s="3432"/>
    </row>
    <row r="125" spans="1:39">
      <c r="B125" s="253">
        <f t="shared" si="30"/>
        <v>11</v>
      </c>
      <c r="C125" s="244"/>
      <c r="D125" s="256"/>
      <c r="E125" s="474">
        <v>305806057450</v>
      </c>
      <c r="F125" s="602" t="s">
        <v>1590</v>
      </c>
      <c r="G125" s="391" t="s">
        <v>3749</v>
      </c>
      <c r="H125" s="230" t="s">
        <v>210</v>
      </c>
      <c r="I125" s="230"/>
      <c r="J125" s="230">
        <v>1</v>
      </c>
      <c r="K125" s="230"/>
      <c r="L125" s="228"/>
      <c r="M125" s="257"/>
      <c r="N125" s="228" t="s">
        <v>3750</v>
      </c>
      <c r="O125" s="228" t="s">
        <v>1592</v>
      </c>
      <c r="P125" s="245"/>
      <c r="Q125" s="2368"/>
      <c r="R125" s="2368"/>
      <c r="S125" s="254"/>
      <c r="T125" s="257"/>
      <c r="U125" s="2358"/>
      <c r="V125" s="256"/>
      <c r="W125" s="373">
        <v>1450000</v>
      </c>
      <c r="X125" s="373">
        <v>1160000</v>
      </c>
      <c r="Y125" s="248"/>
      <c r="Z125" s="247"/>
      <c r="AA125" s="248"/>
      <c r="AB125" s="340">
        <f t="shared" si="25"/>
        <v>2610000</v>
      </c>
      <c r="AC125" s="347">
        <f t="shared" si="28"/>
        <v>0</v>
      </c>
      <c r="AD125" s="249"/>
      <c r="AE125" s="435">
        <f t="shared" si="26"/>
        <v>4488480</v>
      </c>
      <c r="AF125" s="342">
        <f t="shared" si="29"/>
        <v>7098480</v>
      </c>
      <c r="AG125" s="252"/>
      <c r="AH125" s="241"/>
      <c r="AI125" s="241"/>
      <c r="AJ125" s="241"/>
      <c r="AK125" s="194"/>
      <c r="AL125" s="195"/>
      <c r="AM125" s="3432"/>
    </row>
    <row r="126" spans="1:39">
      <c r="B126" s="253">
        <f>+B131+1</f>
        <v>14</v>
      </c>
      <c r="C126" s="244"/>
      <c r="D126" s="256"/>
      <c r="E126" s="474">
        <v>305816443500</v>
      </c>
      <c r="F126" s="602" t="s">
        <v>1598</v>
      </c>
      <c r="G126" s="391" t="s">
        <v>3751</v>
      </c>
      <c r="H126" s="230" t="s">
        <v>748</v>
      </c>
      <c r="I126" s="609">
        <v>1</v>
      </c>
      <c r="J126" s="230"/>
      <c r="K126" s="230"/>
      <c r="L126" s="228"/>
      <c r="M126" s="257"/>
      <c r="N126" s="228" t="s">
        <v>3752</v>
      </c>
      <c r="O126" s="228" t="s">
        <v>1608</v>
      </c>
      <c r="P126" s="245"/>
      <c r="Q126" s="2368"/>
      <c r="R126" s="2368"/>
      <c r="S126" s="254"/>
      <c r="T126" s="257"/>
      <c r="U126" s="2358"/>
      <c r="V126" s="256"/>
      <c r="W126" s="373">
        <v>900000</v>
      </c>
      <c r="X126" s="373">
        <v>394200</v>
      </c>
      <c r="Y126" s="248"/>
      <c r="Z126" s="247"/>
      <c r="AA126" s="248"/>
      <c r="AB126" s="340">
        <f t="shared" si="25"/>
        <v>1294200</v>
      </c>
      <c r="AC126" s="347">
        <f t="shared" si="28"/>
        <v>0</v>
      </c>
      <c r="AD126" s="249"/>
      <c r="AE126" s="435">
        <f t="shared" si="26"/>
        <v>4380480</v>
      </c>
      <c r="AF126" s="342">
        <f t="shared" si="29"/>
        <v>5674680</v>
      </c>
      <c r="AG126" s="252"/>
      <c r="AH126" s="241"/>
      <c r="AI126" s="241"/>
      <c r="AJ126" s="241"/>
      <c r="AK126" s="194"/>
      <c r="AL126" s="195"/>
      <c r="AM126" s="3432"/>
    </row>
    <row r="127" spans="1:39">
      <c r="B127" s="253">
        <f t="shared" si="30"/>
        <v>15</v>
      </c>
      <c r="C127" s="244"/>
      <c r="D127" s="256"/>
      <c r="E127" s="474">
        <v>305823871420</v>
      </c>
      <c r="F127" s="602" t="s">
        <v>1610</v>
      </c>
      <c r="G127" s="391" t="s">
        <v>3753</v>
      </c>
      <c r="H127" s="230" t="s">
        <v>748</v>
      </c>
      <c r="I127" s="609">
        <v>1</v>
      </c>
      <c r="J127" s="230"/>
      <c r="K127" s="230"/>
      <c r="L127" s="228"/>
      <c r="M127" s="257"/>
      <c r="N127" s="228" t="s">
        <v>1622</v>
      </c>
      <c r="O127" s="228" t="s">
        <v>1621</v>
      </c>
      <c r="P127" s="245"/>
      <c r="Q127" s="2368"/>
      <c r="R127" s="2368"/>
      <c r="S127" s="254"/>
      <c r="T127" s="257"/>
      <c r="U127" s="2358"/>
      <c r="V127" s="256"/>
      <c r="W127" s="373">
        <v>900000</v>
      </c>
      <c r="X127" s="373">
        <v>394200</v>
      </c>
      <c r="Y127" s="248"/>
      <c r="Z127" s="247"/>
      <c r="AA127" s="248"/>
      <c r="AB127" s="340">
        <f t="shared" si="25"/>
        <v>1294200</v>
      </c>
      <c r="AC127" s="347">
        <f t="shared" si="28"/>
        <v>0</v>
      </c>
      <c r="AD127" s="249"/>
      <c r="AE127" s="435">
        <f t="shared" si="26"/>
        <v>4380480</v>
      </c>
      <c r="AF127" s="342">
        <f t="shared" si="29"/>
        <v>5674680</v>
      </c>
      <c r="AG127" s="252"/>
      <c r="AH127" s="241"/>
      <c r="AI127" s="241"/>
      <c r="AJ127" s="241"/>
      <c r="AK127" s="194"/>
      <c r="AL127" s="195"/>
      <c r="AM127" s="3432"/>
    </row>
    <row r="128" spans="1:39">
      <c r="B128" s="253">
        <f t="shared" si="30"/>
        <v>16</v>
      </c>
      <c r="C128" s="244"/>
      <c r="D128" s="256"/>
      <c r="E128" s="474">
        <v>305825775420</v>
      </c>
      <c r="F128" s="602" t="s">
        <v>1625</v>
      </c>
      <c r="G128" s="391" t="s">
        <v>3754</v>
      </c>
      <c r="H128" s="230" t="s">
        <v>748</v>
      </c>
      <c r="I128" s="230"/>
      <c r="J128" s="230">
        <v>1</v>
      </c>
      <c r="K128" s="230"/>
      <c r="L128" s="228"/>
      <c r="M128" s="257"/>
      <c r="N128" s="228">
        <v>21049153</v>
      </c>
      <c r="O128" s="228" t="s">
        <v>3755</v>
      </c>
      <c r="P128" s="245"/>
      <c r="Q128" s="2368"/>
      <c r="R128" s="2368"/>
      <c r="S128" s="254"/>
      <c r="T128" s="257"/>
      <c r="U128" s="2358"/>
      <c r="V128" s="256"/>
      <c r="W128" s="373">
        <v>1450000</v>
      </c>
      <c r="X128" s="373">
        <v>1160000</v>
      </c>
      <c r="Y128" s="248"/>
      <c r="Z128" s="247"/>
      <c r="AA128" s="248"/>
      <c r="AB128" s="340">
        <f t="shared" si="25"/>
        <v>2610000</v>
      </c>
      <c r="AC128" s="347">
        <f t="shared" si="28"/>
        <v>0</v>
      </c>
      <c r="AD128" s="249"/>
      <c r="AE128" s="435">
        <f t="shared" si="26"/>
        <v>4488480</v>
      </c>
      <c r="AF128" s="342">
        <f t="shared" si="29"/>
        <v>7098480</v>
      </c>
      <c r="AG128" s="252"/>
      <c r="AH128" s="241"/>
      <c r="AI128" s="241"/>
      <c r="AJ128" s="241"/>
      <c r="AK128" s="194"/>
      <c r="AL128" s="195"/>
      <c r="AM128" s="3432"/>
    </row>
    <row r="129" spans="2:40" ht="20.25" customHeight="1">
      <c r="B129" s="253">
        <f t="shared" si="30"/>
        <v>17</v>
      </c>
      <c r="C129" s="244"/>
      <c r="D129" s="256"/>
      <c r="E129" s="474">
        <v>305836870640</v>
      </c>
      <c r="F129" s="602" t="s">
        <v>1632</v>
      </c>
      <c r="G129" s="391" t="s">
        <v>3756</v>
      </c>
      <c r="H129" s="230" t="s">
        <v>210</v>
      </c>
      <c r="I129" s="230"/>
      <c r="J129" s="230">
        <v>1</v>
      </c>
      <c r="K129" s="230"/>
      <c r="L129" s="228"/>
      <c r="M129" s="257"/>
      <c r="N129" s="228" t="s">
        <v>3757</v>
      </c>
      <c r="O129" s="228" t="s">
        <v>1640</v>
      </c>
      <c r="P129" s="245"/>
      <c r="Q129" s="2368"/>
      <c r="R129" s="2368"/>
      <c r="S129" s="254"/>
      <c r="T129" s="257"/>
      <c r="U129" s="2358"/>
      <c r="V129" s="256"/>
      <c r="W129" s="373">
        <v>1450000</v>
      </c>
      <c r="X129" s="373">
        <v>696600</v>
      </c>
      <c r="Y129" s="248"/>
      <c r="Z129" s="247"/>
      <c r="AA129" s="248"/>
      <c r="AB129" s="340">
        <f t="shared" si="25"/>
        <v>2146600</v>
      </c>
      <c r="AC129" s="347">
        <f>+Z129</f>
        <v>0</v>
      </c>
      <c r="AD129" s="249"/>
      <c r="AE129" s="435">
        <f t="shared" si="26"/>
        <v>4488480</v>
      </c>
      <c r="AF129" s="342">
        <f>+AB129+AE129</f>
        <v>6635080</v>
      </c>
      <c r="AG129" s="252"/>
      <c r="AH129" s="241"/>
      <c r="AI129" s="241"/>
      <c r="AJ129" s="241"/>
      <c r="AK129" s="194"/>
      <c r="AL129" s="195"/>
      <c r="AM129" s="3432"/>
    </row>
    <row r="130" spans="2:40" ht="109.2">
      <c r="B130" s="253">
        <f>+B125+1</f>
        <v>12</v>
      </c>
      <c r="C130" s="244"/>
      <c r="D130" s="256"/>
      <c r="E130" s="463" t="s">
        <v>1595</v>
      </c>
      <c r="F130" s="602" t="s">
        <v>1590</v>
      </c>
      <c r="G130" s="391" t="s">
        <v>3758</v>
      </c>
      <c r="H130" s="230" t="s">
        <v>3579</v>
      </c>
      <c r="I130" s="609">
        <v>1</v>
      </c>
      <c r="J130" s="230"/>
      <c r="K130" s="230"/>
      <c r="L130" s="527" t="s">
        <v>3759</v>
      </c>
      <c r="M130" s="257"/>
      <c r="N130" s="228" t="s">
        <v>1593</v>
      </c>
      <c r="O130" s="228" t="s">
        <v>1594</v>
      </c>
      <c r="P130" s="245"/>
      <c r="Q130" s="2368"/>
      <c r="R130" s="2368"/>
      <c r="S130" s="254"/>
      <c r="T130" s="257"/>
      <c r="U130" s="2358"/>
      <c r="V130" s="256"/>
      <c r="W130" s="324">
        <v>648000</v>
      </c>
      <c r="X130" s="373">
        <v>890000</v>
      </c>
      <c r="Y130" s="248"/>
      <c r="Z130" s="247"/>
      <c r="AA130" s="248"/>
      <c r="AB130" s="340">
        <f t="shared" si="25"/>
        <v>1538000</v>
      </c>
      <c r="AC130" s="347">
        <f>+Z130</f>
        <v>0</v>
      </c>
      <c r="AD130" s="249"/>
      <c r="AE130" s="435">
        <f t="shared" si="26"/>
        <v>4380480</v>
      </c>
      <c r="AF130" s="342">
        <f>+AB130+AE130</f>
        <v>5918480</v>
      </c>
      <c r="AG130" s="523" t="s">
        <v>1596</v>
      </c>
      <c r="AH130" s="241"/>
      <c r="AI130" s="241"/>
      <c r="AJ130" s="241"/>
      <c r="AK130" s="194"/>
      <c r="AL130" s="195"/>
      <c r="AM130" s="3432"/>
    </row>
    <row r="131" spans="2:40">
      <c r="B131" s="253">
        <f>+B130+1</f>
        <v>13</v>
      </c>
      <c r="C131" s="244"/>
      <c r="D131" s="256"/>
      <c r="E131" s="466">
        <v>105727947360</v>
      </c>
      <c r="F131" s="602" t="s">
        <v>1598</v>
      </c>
      <c r="G131" s="391" t="s">
        <v>3760</v>
      </c>
      <c r="H131" s="230" t="s">
        <v>3579</v>
      </c>
      <c r="I131" s="230"/>
      <c r="J131" s="230"/>
      <c r="K131" s="230">
        <v>1</v>
      </c>
      <c r="L131" s="228"/>
      <c r="M131" s="257" t="s">
        <v>1607</v>
      </c>
      <c r="N131" s="228" t="s">
        <v>1606</v>
      </c>
      <c r="O131" s="228"/>
      <c r="P131" s="245"/>
      <c r="Q131" s="2368"/>
      <c r="R131" s="2368"/>
      <c r="S131" s="254"/>
      <c r="T131" s="257" t="s">
        <v>1607</v>
      </c>
      <c r="U131" s="2358"/>
      <c r="V131" s="256"/>
      <c r="W131" s="248"/>
      <c r="X131" s="248"/>
      <c r="Y131" s="248"/>
      <c r="Z131" s="247"/>
      <c r="AA131" s="248"/>
      <c r="AB131" s="340">
        <f t="shared" si="25"/>
        <v>0</v>
      </c>
      <c r="AC131" s="347">
        <f>+Z131</f>
        <v>0</v>
      </c>
      <c r="AD131" s="249"/>
      <c r="AE131" s="435">
        <f>+(1416000*1.08+((I131+J131+K131)*150000)*1.08-(20000*1.08))</f>
        <v>1669680</v>
      </c>
      <c r="AF131" s="342">
        <f>+AB131+AE131</f>
        <v>1669680</v>
      </c>
      <c r="AG131" s="252" t="s">
        <v>1609</v>
      </c>
      <c r="AH131" s="241"/>
      <c r="AI131" s="241"/>
      <c r="AJ131" s="241"/>
      <c r="AK131" s="194"/>
      <c r="AL131" s="195"/>
      <c r="AM131" s="3432"/>
    </row>
    <row r="132" spans="2:40" ht="31.2">
      <c r="B132" s="253">
        <f>+B129+1</f>
        <v>18</v>
      </c>
      <c r="C132" s="244"/>
      <c r="D132" s="256"/>
      <c r="E132" s="463" t="s">
        <v>1635</v>
      </c>
      <c r="F132" s="602" t="s">
        <v>1644</v>
      </c>
      <c r="G132" s="391" t="s">
        <v>3761</v>
      </c>
      <c r="H132" s="230" t="s">
        <v>3579</v>
      </c>
      <c r="I132" s="230">
        <v>1</v>
      </c>
      <c r="J132" s="230"/>
      <c r="K132" s="230"/>
      <c r="L132" s="228"/>
      <c r="M132" s="257"/>
      <c r="N132" s="228" t="s">
        <v>1636</v>
      </c>
      <c r="O132" s="228" t="s">
        <v>1637</v>
      </c>
      <c r="P132" s="245"/>
      <c r="Q132" s="2368"/>
      <c r="R132" s="2368"/>
      <c r="S132" s="254"/>
      <c r="T132" s="257"/>
      <c r="U132" s="2358"/>
      <c r="V132" s="256"/>
      <c r="W132" s="324">
        <v>561600</v>
      </c>
      <c r="X132" s="373">
        <v>900000</v>
      </c>
      <c r="Y132" s="248"/>
      <c r="Z132" s="247"/>
      <c r="AA132" s="248"/>
      <c r="AB132" s="340">
        <f t="shared" si="25"/>
        <v>1461600</v>
      </c>
      <c r="AC132" s="347">
        <f t="shared" si="28"/>
        <v>0</v>
      </c>
      <c r="AD132" s="249"/>
      <c r="AE132" s="435">
        <f>+(I132*3906000+J132*(3906000+100000))*1.08+((I132+J132+K132)*150000)*1.08</f>
        <v>4380480</v>
      </c>
      <c r="AF132" s="342">
        <f t="shared" si="29"/>
        <v>5842080</v>
      </c>
      <c r="AG132" s="252"/>
      <c r="AH132" s="241"/>
      <c r="AI132" s="241"/>
      <c r="AJ132" s="241"/>
      <c r="AK132" s="194"/>
      <c r="AL132" s="195"/>
      <c r="AM132" s="3432"/>
    </row>
    <row r="133" spans="2:40">
      <c r="B133" s="253">
        <f t="shared" si="30"/>
        <v>19</v>
      </c>
      <c r="C133" s="244"/>
      <c r="D133" s="256"/>
      <c r="E133" s="466">
        <v>105740876030</v>
      </c>
      <c r="F133" s="602" t="s">
        <v>1641</v>
      </c>
      <c r="G133" s="391" t="s">
        <v>3762</v>
      </c>
      <c r="H133" s="230" t="s">
        <v>3579</v>
      </c>
      <c r="I133" s="230">
        <v>1</v>
      </c>
      <c r="J133" s="230"/>
      <c r="K133" s="230"/>
      <c r="L133" s="526" t="s">
        <v>136</v>
      </c>
      <c r="M133" s="257"/>
      <c r="N133" s="289" t="s">
        <v>1642</v>
      </c>
      <c r="O133" s="228" t="s">
        <v>1643</v>
      </c>
      <c r="P133" s="245"/>
      <c r="Q133" s="2368"/>
      <c r="R133" s="2368"/>
      <c r="S133" s="254"/>
      <c r="T133" s="257"/>
      <c r="U133" s="2358"/>
      <c r="V133" s="256"/>
      <c r="W133" s="324">
        <v>561600</v>
      </c>
      <c r="X133" s="373">
        <v>900000</v>
      </c>
      <c r="Y133" s="248"/>
      <c r="Z133" s="247"/>
      <c r="AA133" s="248"/>
      <c r="AB133" s="340">
        <f t="shared" si="25"/>
        <v>1461600</v>
      </c>
      <c r="AC133" s="347">
        <f t="shared" si="28"/>
        <v>0</v>
      </c>
      <c r="AD133" s="249"/>
      <c r="AE133" s="435">
        <f>+(I133*3906000+J133*(3906000+100000))*1.08+((I133+J133+K133)*150000)*1.08</f>
        <v>4380480</v>
      </c>
      <c r="AF133" s="342">
        <f t="shared" si="29"/>
        <v>5842080</v>
      </c>
      <c r="AG133" s="252"/>
      <c r="AH133" s="241"/>
      <c r="AI133" s="241"/>
      <c r="AJ133" s="241"/>
      <c r="AK133" s="194"/>
      <c r="AL133" s="195"/>
      <c r="AM133" s="3433"/>
    </row>
    <row r="134" spans="2:40">
      <c r="B134" s="643" t="s">
        <v>3763</v>
      </c>
      <c r="C134" s="644"/>
      <c r="D134" s="346"/>
      <c r="E134" s="644"/>
      <c r="F134" s="644"/>
      <c r="G134" s="644"/>
      <c r="H134" s="644"/>
      <c r="I134" s="644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57"/>
      <c r="W134" s="357"/>
      <c r="X134" s="357"/>
      <c r="Y134" s="357"/>
      <c r="Z134" s="357"/>
      <c r="AA134" s="357"/>
      <c r="AB134" s="358">
        <f>SUM(AB115:AB133)</f>
        <v>37735200</v>
      </c>
      <c r="AC134" s="358">
        <f>SUM(AC117:AC133)</f>
        <v>0</v>
      </c>
      <c r="AD134" s="358">
        <f>SUM(AD115:AD133)</f>
        <v>0</v>
      </c>
      <c r="AE134" s="358">
        <f>SUM(AE115:AE133)</f>
        <v>93016080</v>
      </c>
      <c r="AF134" s="358">
        <f>SUM(AF117:AF133)</f>
        <v>104444360</v>
      </c>
      <c r="AG134" s="358"/>
      <c r="AH134" s="357"/>
      <c r="AI134" s="357"/>
      <c r="AJ134" s="357"/>
      <c r="AK134" s="357"/>
      <c r="AL134" s="357"/>
      <c r="AM134" s="357"/>
      <c r="AN134" s="357"/>
    </row>
    <row r="135" spans="2:40">
      <c r="B135" s="253">
        <v>1</v>
      </c>
      <c r="C135" s="244"/>
      <c r="D135" s="256"/>
      <c r="E135" s="466">
        <v>105767555240</v>
      </c>
      <c r="F135" s="602">
        <v>45204</v>
      </c>
      <c r="G135" s="391" t="s">
        <v>3764</v>
      </c>
      <c r="H135" s="230" t="s">
        <v>3579</v>
      </c>
      <c r="I135" s="230"/>
      <c r="J135" s="230"/>
      <c r="K135" s="230">
        <v>1</v>
      </c>
      <c r="L135" s="228"/>
      <c r="M135" s="535" t="s">
        <v>1676</v>
      </c>
      <c r="N135" s="228" t="s">
        <v>1675</v>
      </c>
      <c r="O135" s="228"/>
      <c r="P135" s="245"/>
      <c r="Q135" s="2368"/>
      <c r="R135" s="2368"/>
      <c r="S135" s="254"/>
      <c r="T135" s="535" t="s">
        <v>1676</v>
      </c>
      <c r="U135" s="2360"/>
      <c r="V135" s="324">
        <v>38055</v>
      </c>
      <c r="W135" s="248"/>
      <c r="X135" s="248"/>
      <c r="Y135" s="248"/>
      <c r="Z135" s="247"/>
      <c r="AA135" s="248"/>
      <c r="AB135" s="340">
        <f t="shared" ref="AB135:AB148" si="31">V135+W135+X135+Y135+Z135+AA135</f>
        <v>38055</v>
      </c>
      <c r="AC135" s="347">
        <f>+Z135</f>
        <v>0</v>
      </c>
      <c r="AD135" s="249"/>
      <c r="AE135" s="435">
        <f>+(2616000*1.08+((I135+J135+K135)*150000)*1.08)</f>
        <v>2987280</v>
      </c>
      <c r="AF135" s="342">
        <f>+AB135+AE135</f>
        <v>3025335</v>
      </c>
      <c r="AG135" s="251">
        <f>+AE135/1.08</f>
        <v>2766000</v>
      </c>
      <c r="AH135" s="241"/>
      <c r="AI135" s="241"/>
      <c r="AJ135" s="241"/>
      <c r="AK135" s="194"/>
      <c r="AL135" s="195"/>
      <c r="AM135" s="195"/>
    </row>
    <row r="136" spans="2:40">
      <c r="B136" s="253">
        <v>5</v>
      </c>
      <c r="C136" s="244"/>
      <c r="D136" s="256"/>
      <c r="E136" s="466">
        <v>105792238160</v>
      </c>
      <c r="F136" s="602" t="s">
        <v>1704</v>
      </c>
      <c r="G136" s="391" t="s">
        <v>3765</v>
      </c>
      <c r="H136" s="230" t="s">
        <v>3579</v>
      </c>
      <c r="I136" s="230"/>
      <c r="J136" s="230"/>
      <c r="K136" s="230">
        <v>1</v>
      </c>
      <c r="L136" s="228"/>
      <c r="M136" s="543" t="s">
        <v>1707</v>
      </c>
      <c r="N136" s="228" t="s">
        <v>1708</v>
      </c>
      <c r="O136" s="228"/>
      <c r="P136" s="245"/>
      <c r="Q136" s="2368"/>
      <c r="R136" s="2368"/>
      <c r="S136" s="254"/>
      <c r="T136" s="543" t="s">
        <v>1707</v>
      </c>
      <c r="U136" s="2361"/>
      <c r="V136" s="256"/>
      <c r="W136" s="248"/>
      <c r="X136" s="248"/>
      <c r="Y136" s="248"/>
      <c r="Z136" s="247"/>
      <c r="AA136" s="248"/>
      <c r="AB136" s="340">
        <f t="shared" si="31"/>
        <v>0</v>
      </c>
      <c r="AC136" s="347">
        <f>+Z136</f>
        <v>0</v>
      </c>
      <c r="AD136" s="249"/>
      <c r="AE136" s="435">
        <f>+(2616000*1.08+((I136+J136+K136)*150000)*1.08)</f>
        <v>2987280</v>
      </c>
      <c r="AF136" s="342">
        <f>+AB136+AE136</f>
        <v>2987280</v>
      </c>
      <c r="AG136" s="251">
        <f t="shared" ref="AG136:AG165" si="32">+AE136/1.08</f>
        <v>2766000</v>
      </c>
      <c r="AH136" s="241"/>
      <c r="AI136" s="241"/>
      <c r="AJ136" s="241"/>
      <c r="AK136" s="194"/>
      <c r="AL136" s="195"/>
      <c r="AM136" s="195"/>
    </row>
    <row r="137" spans="2:40" ht="16.5" customHeight="1">
      <c r="B137" s="253">
        <v>8</v>
      </c>
      <c r="C137" s="244"/>
      <c r="D137" s="256"/>
      <c r="E137" s="466">
        <v>105807399350</v>
      </c>
      <c r="F137" s="602" t="s">
        <v>1735</v>
      </c>
      <c r="G137" s="391" t="s">
        <v>3766</v>
      </c>
      <c r="H137" s="230" t="s">
        <v>3579</v>
      </c>
      <c r="I137" s="230">
        <v>1</v>
      </c>
      <c r="J137" s="230"/>
      <c r="K137" s="230"/>
      <c r="L137" s="228"/>
      <c r="M137" s="257"/>
      <c r="N137" s="228" t="s">
        <v>1726</v>
      </c>
      <c r="O137" s="228" t="s">
        <v>1728</v>
      </c>
      <c r="P137" s="245"/>
      <c r="Q137" s="2368"/>
      <c r="R137" s="2368"/>
      <c r="S137" s="254"/>
      <c r="T137" s="257"/>
      <c r="U137" s="2358"/>
      <c r="V137" s="256"/>
      <c r="W137" s="324">
        <v>394200</v>
      </c>
      <c r="X137" s="373">
        <f>167400+890000</f>
        <v>1057400</v>
      </c>
      <c r="Y137" s="248"/>
      <c r="Z137" s="247"/>
      <c r="AA137" s="248"/>
      <c r="AB137" s="340">
        <f t="shared" si="31"/>
        <v>1451600</v>
      </c>
      <c r="AC137" s="347">
        <f>+Z137</f>
        <v>0</v>
      </c>
      <c r="AD137" s="249"/>
      <c r="AE137" s="435">
        <f t="shared" ref="AE137:AE148" si="33">+(I137*3970000+J137*(3970000+100000))*1.08+((I137+J137+K137)*150000)*1.08</f>
        <v>4449600</v>
      </c>
      <c r="AF137" s="342">
        <f>+AB137+AE137</f>
        <v>5901200</v>
      </c>
      <c r="AG137" s="251">
        <f t="shared" si="32"/>
        <v>4119999.9999999995</v>
      </c>
      <c r="AH137" s="241"/>
      <c r="AI137" s="241"/>
      <c r="AJ137" s="241"/>
      <c r="AK137" s="194"/>
      <c r="AL137" s="195"/>
      <c r="AM137" s="195"/>
    </row>
    <row r="138" spans="2:40">
      <c r="B138" s="253">
        <v>10</v>
      </c>
      <c r="C138" s="244"/>
      <c r="D138" s="256"/>
      <c r="E138" s="466">
        <v>105807308130</v>
      </c>
      <c r="F138" s="602" t="s">
        <v>1727</v>
      </c>
      <c r="G138" s="391" t="s">
        <v>3767</v>
      </c>
      <c r="H138" s="230" t="s">
        <v>3579</v>
      </c>
      <c r="I138" s="230"/>
      <c r="J138" s="230">
        <v>1</v>
      </c>
      <c r="K138" s="230"/>
      <c r="L138" s="228"/>
      <c r="M138" s="257"/>
      <c r="N138" s="228" t="s">
        <v>1741</v>
      </c>
      <c r="O138" s="228" t="s">
        <v>1742</v>
      </c>
      <c r="P138" s="245"/>
      <c r="Q138" s="2368"/>
      <c r="R138" s="2368"/>
      <c r="S138" s="254"/>
      <c r="T138" s="257"/>
      <c r="U138" s="2358"/>
      <c r="V138" s="256"/>
      <c r="W138" s="324">
        <v>999000</v>
      </c>
      <c r="X138" s="373">
        <v>1450000</v>
      </c>
      <c r="Y138" s="248"/>
      <c r="Z138" s="247"/>
      <c r="AA138" s="248"/>
      <c r="AB138" s="340">
        <f t="shared" si="31"/>
        <v>2449000</v>
      </c>
      <c r="AC138" s="347">
        <f>+Z138</f>
        <v>0</v>
      </c>
      <c r="AD138" s="249"/>
      <c r="AE138" s="435">
        <f t="shared" si="33"/>
        <v>4557600</v>
      </c>
      <c r="AF138" s="342">
        <f>+AB138+AE138</f>
        <v>7006600</v>
      </c>
      <c r="AG138" s="251">
        <f t="shared" si="32"/>
        <v>4220000</v>
      </c>
      <c r="AH138" s="241"/>
      <c r="AI138" s="241"/>
      <c r="AJ138" s="241"/>
      <c r="AK138" s="194"/>
      <c r="AL138" s="195"/>
      <c r="AM138" s="195"/>
    </row>
    <row r="139" spans="2:40" ht="46.8">
      <c r="B139" s="253">
        <v>14</v>
      </c>
      <c r="C139" s="244"/>
      <c r="D139" s="256"/>
      <c r="E139" s="466">
        <v>105830197210</v>
      </c>
      <c r="F139" s="602" t="s">
        <v>1769</v>
      </c>
      <c r="G139" s="391" t="s">
        <v>3768</v>
      </c>
      <c r="H139" s="230" t="s">
        <v>3579</v>
      </c>
      <c r="I139" s="230"/>
      <c r="J139" s="230">
        <v>3</v>
      </c>
      <c r="K139" s="230"/>
      <c r="L139" s="228"/>
      <c r="M139" s="257"/>
      <c r="N139" s="228" t="s">
        <v>1770</v>
      </c>
      <c r="O139" s="254" t="s">
        <v>1771</v>
      </c>
      <c r="P139" s="245"/>
      <c r="Q139" s="2368"/>
      <c r="R139" s="2368"/>
      <c r="S139" s="254"/>
      <c r="T139" s="257"/>
      <c r="U139" s="2358"/>
      <c r="V139" s="256"/>
      <c r="W139" s="324">
        <v>2089800</v>
      </c>
      <c r="X139" s="373">
        <f>1100000+1100000+1100000</f>
        <v>3300000</v>
      </c>
      <c r="Y139" s="248"/>
      <c r="Z139" s="247"/>
      <c r="AA139" s="248"/>
      <c r="AB139" s="340">
        <f t="shared" si="31"/>
        <v>5389800</v>
      </c>
      <c r="AC139" s="347">
        <f>+Z139</f>
        <v>0</v>
      </c>
      <c r="AD139" s="249"/>
      <c r="AE139" s="435">
        <f t="shared" si="33"/>
        <v>13672800</v>
      </c>
      <c r="AF139" s="342">
        <f>+AB139+AE139</f>
        <v>19062600</v>
      </c>
      <c r="AG139" s="251">
        <f t="shared" si="32"/>
        <v>12660000</v>
      </c>
      <c r="AH139" s="241"/>
      <c r="AI139" s="241"/>
      <c r="AJ139" s="241"/>
      <c r="AK139" s="194"/>
      <c r="AL139" s="195"/>
      <c r="AM139" s="195"/>
    </row>
    <row r="140" spans="2:40">
      <c r="B140" s="253">
        <v>2</v>
      </c>
      <c r="C140" s="244"/>
      <c r="D140" s="256"/>
      <c r="E140" s="474">
        <v>305868535360</v>
      </c>
      <c r="F140" s="602">
        <v>45205</v>
      </c>
      <c r="G140" s="391" t="s">
        <v>3769</v>
      </c>
      <c r="H140" s="230" t="s">
        <v>210</v>
      </c>
      <c r="I140" s="230"/>
      <c r="J140" s="230">
        <v>1</v>
      </c>
      <c r="K140" s="230"/>
      <c r="L140" s="228"/>
      <c r="M140" s="257"/>
      <c r="N140" s="228" t="s">
        <v>3770</v>
      </c>
      <c r="O140" s="228" t="s">
        <v>1700</v>
      </c>
      <c r="P140" s="245"/>
      <c r="Q140" s="2368"/>
      <c r="R140" s="2368"/>
      <c r="S140" s="254"/>
      <c r="T140" s="257"/>
      <c r="U140" s="2358"/>
      <c r="V140" s="241"/>
      <c r="W140" s="373">
        <v>1050000</v>
      </c>
      <c r="X140" s="373">
        <v>1140000</v>
      </c>
      <c r="Y140" s="248"/>
      <c r="Z140" s="247"/>
      <c r="AA140" s="248"/>
      <c r="AB140" s="340">
        <f t="shared" si="31"/>
        <v>2190000</v>
      </c>
      <c r="AC140" s="347">
        <f t="shared" ref="AC140:AC146" si="34">+Z140</f>
        <v>0</v>
      </c>
      <c r="AD140" s="249"/>
      <c r="AE140" s="435">
        <f t="shared" si="33"/>
        <v>4557600</v>
      </c>
      <c r="AF140" s="342">
        <f t="shared" ref="AF140:AF146" si="35">+AB140+AE140</f>
        <v>6747600</v>
      </c>
      <c r="AG140" s="251">
        <f t="shared" si="32"/>
        <v>4220000</v>
      </c>
      <c r="AH140" s="241"/>
      <c r="AI140" s="241"/>
      <c r="AJ140" s="241"/>
      <c r="AK140" s="194"/>
      <c r="AL140" s="195"/>
      <c r="AM140" s="195"/>
    </row>
    <row r="141" spans="2:40">
      <c r="B141" s="253">
        <v>3</v>
      </c>
      <c r="C141" s="244"/>
      <c r="D141" s="256"/>
      <c r="E141" s="474">
        <v>305876102250</v>
      </c>
      <c r="F141" s="602">
        <v>45209</v>
      </c>
      <c r="G141" s="391" t="s">
        <v>3771</v>
      </c>
      <c r="H141" s="230" t="s">
        <v>210</v>
      </c>
      <c r="I141" s="230"/>
      <c r="J141" s="230">
        <v>1</v>
      </c>
      <c r="K141" s="230"/>
      <c r="L141" s="228"/>
      <c r="M141" s="257"/>
      <c r="N141" s="228" t="s">
        <v>1720</v>
      </c>
      <c r="O141" s="228" t="s">
        <v>1701</v>
      </c>
      <c r="P141" s="245"/>
      <c r="Q141" s="2368"/>
      <c r="R141" s="2368"/>
      <c r="S141" s="254"/>
      <c r="T141" s="257"/>
      <c r="U141" s="2358"/>
      <c r="V141" s="241"/>
      <c r="W141" s="373">
        <v>1450000</v>
      </c>
      <c r="X141" s="373">
        <v>1140000</v>
      </c>
      <c r="Y141" s="248"/>
      <c r="Z141" s="247"/>
      <c r="AA141" s="248"/>
      <c r="AB141" s="340">
        <f t="shared" si="31"/>
        <v>2590000</v>
      </c>
      <c r="AC141" s="347">
        <f t="shared" si="34"/>
        <v>0</v>
      </c>
      <c r="AD141" s="249"/>
      <c r="AE141" s="435">
        <f t="shared" si="33"/>
        <v>4557600</v>
      </c>
      <c r="AF141" s="342">
        <f t="shared" si="35"/>
        <v>7147600</v>
      </c>
      <c r="AG141" s="251">
        <f t="shared" si="32"/>
        <v>4220000</v>
      </c>
      <c r="AH141" s="241"/>
      <c r="AI141" s="241"/>
      <c r="AJ141" s="241"/>
      <c r="AK141" s="194"/>
      <c r="AL141" s="195"/>
      <c r="AM141" s="195"/>
    </row>
    <row r="142" spans="2:40">
      <c r="B142" s="253">
        <v>4</v>
      </c>
      <c r="C142" s="244"/>
      <c r="D142" s="256"/>
      <c r="E142" s="474">
        <v>305879283530</v>
      </c>
      <c r="F142" s="602">
        <v>45210</v>
      </c>
      <c r="G142" s="391" t="s">
        <v>3772</v>
      </c>
      <c r="H142" s="230" t="s">
        <v>210</v>
      </c>
      <c r="I142" s="230"/>
      <c r="J142" s="230">
        <v>1</v>
      </c>
      <c r="K142" s="230"/>
      <c r="L142" s="228"/>
      <c r="M142" s="257"/>
      <c r="N142" s="228" t="s">
        <v>3773</v>
      </c>
      <c r="O142" s="228" t="s">
        <v>1699</v>
      </c>
      <c r="P142" s="245"/>
      <c r="Q142" s="2368"/>
      <c r="R142" s="2368"/>
      <c r="S142" s="254"/>
      <c r="T142" s="257"/>
      <c r="U142" s="2358"/>
      <c r="V142" s="256"/>
      <c r="W142" s="373">
        <v>588600</v>
      </c>
      <c r="X142" s="373">
        <v>1160000</v>
      </c>
      <c r="Y142" s="248"/>
      <c r="Z142" s="247"/>
      <c r="AA142" s="248"/>
      <c r="AB142" s="340">
        <f t="shared" si="31"/>
        <v>1748600</v>
      </c>
      <c r="AC142" s="347">
        <f t="shared" si="34"/>
        <v>0</v>
      </c>
      <c r="AD142" s="249"/>
      <c r="AE142" s="435">
        <f t="shared" si="33"/>
        <v>4557600</v>
      </c>
      <c r="AF142" s="342">
        <f t="shared" si="35"/>
        <v>6306200</v>
      </c>
      <c r="AG142" s="251">
        <f t="shared" si="32"/>
        <v>4220000</v>
      </c>
      <c r="AH142" s="241"/>
      <c r="AI142" s="241"/>
      <c r="AJ142" s="241"/>
      <c r="AK142" s="194"/>
      <c r="AL142" s="195"/>
      <c r="AM142" s="195"/>
    </row>
    <row r="143" spans="2:40">
      <c r="B143" s="253">
        <v>6</v>
      </c>
      <c r="C143" s="244"/>
      <c r="D143" s="256"/>
      <c r="E143" s="474">
        <v>305897839130</v>
      </c>
      <c r="F143" s="602" t="s">
        <v>1709</v>
      </c>
      <c r="G143" s="391" t="s">
        <v>3774</v>
      </c>
      <c r="H143" s="230" t="s">
        <v>210</v>
      </c>
      <c r="I143" s="230"/>
      <c r="J143" s="230">
        <v>1</v>
      </c>
      <c r="K143" s="230"/>
      <c r="L143" s="228"/>
      <c r="M143" s="257"/>
      <c r="N143" s="228" t="s">
        <v>3775</v>
      </c>
      <c r="O143" s="228" t="s">
        <v>3776</v>
      </c>
      <c r="P143" s="245"/>
      <c r="Q143" s="2368"/>
      <c r="R143" s="2368"/>
      <c r="S143" s="254"/>
      <c r="T143" s="257"/>
      <c r="U143" s="2358"/>
      <c r="V143" s="256"/>
      <c r="W143" s="373">
        <v>1450000</v>
      </c>
      <c r="X143" s="373">
        <v>1160000</v>
      </c>
      <c r="Y143" s="248"/>
      <c r="Z143" s="247"/>
      <c r="AA143" s="248"/>
      <c r="AB143" s="340">
        <f t="shared" si="31"/>
        <v>2610000</v>
      </c>
      <c r="AC143" s="347">
        <f t="shared" si="34"/>
        <v>0</v>
      </c>
      <c r="AD143" s="249"/>
      <c r="AE143" s="435">
        <f t="shared" si="33"/>
        <v>4557600</v>
      </c>
      <c r="AF143" s="342">
        <f t="shared" si="35"/>
        <v>7167600</v>
      </c>
      <c r="AG143" s="251">
        <f t="shared" si="32"/>
        <v>4220000</v>
      </c>
      <c r="AH143" s="241"/>
      <c r="AI143" s="241"/>
      <c r="AJ143" s="241"/>
      <c r="AK143" s="194"/>
      <c r="AL143" s="195"/>
      <c r="AM143" s="195"/>
    </row>
    <row r="144" spans="2:40">
      <c r="B144" s="253">
        <v>7</v>
      </c>
      <c r="C144" s="244"/>
      <c r="D144" s="256"/>
      <c r="E144" s="474">
        <v>305902142360</v>
      </c>
      <c r="F144" s="602" t="s">
        <v>1718</v>
      </c>
      <c r="G144" s="391" t="s">
        <v>3777</v>
      </c>
      <c r="H144" s="230" t="s">
        <v>210</v>
      </c>
      <c r="I144" s="230"/>
      <c r="J144" s="230">
        <v>1</v>
      </c>
      <c r="K144" s="230"/>
      <c r="L144" s="228"/>
      <c r="M144" s="257"/>
      <c r="N144" s="289" t="s">
        <v>1717</v>
      </c>
      <c r="O144" s="228" t="s">
        <v>1724</v>
      </c>
      <c r="P144" s="245"/>
      <c r="Q144" s="2368"/>
      <c r="R144" s="2368"/>
      <c r="S144" s="254"/>
      <c r="T144" s="257"/>
      <c r="U144" s="2358"/>
      <c r="V144" s="256"/>
      <c r="W144" s="373">
        <v>1450000</v>
      </c>
      <c r="X144" s="373">
        <v>696600</v>
      </c>
      <c r="Y144" s="248"/>
      <c r="Z144" s="247"/>
      <c r="AA144" s="248"/>
      <c r="AB144" s="340">
        <f t="shared" si="31"/>
        <v>2146600</v>
      </c>
      <c r="AC144" s="347">
        <f t="shared" si="34"/>
        <v>0</v>
      </c>
      <c r="AD144" s="249"/>
      <c r="AE144" s="435">
        <f t="shared" si="33"/>
        <v>4557600</v>
      </c>
      <c r="AF144" s="342">
        <f t="shared" si="35"/>
        <v>6704200</v>
      </c>
      <c r="AG144" s="251">
        <f t="shared" si="32"/>
        <v>4220000</v>
      </c>
      <c r="AH144" s="241"/>
      <c r="AI144" s="241"/>
      <c r="AJ144" s="241"/>
      <c r="AK144" s="194"/>
      <c r="AL144" s="195"/>
      <c r="AM144" s="195"/>
    </row>
    <row r="145" spans="2:40">
      <c r="B145" s="253">
        <v>9</v>
      </c>
      <c r="C145" s="244"/>
      <c r="D145" s="256"/>
      <c r="E145" s="474">
        <v>305914168140</v>
      </c>
      <c r="F145" s="602" t="s">
        <v>1727</v>
      </c>
      <c r="G145" s="391" t="s">
        <v>3778</v>
      </c>
      <c r="H145" s="230" t="s">
        <v>210</v>
      </c>
      <c r="I145" s="230">
        <v>1</v>
      </c>
      <c r="J145" s="230"/>
      <c r="K145" s="230"/>
      <c r="L145" s="228"/>
      <c r="M145" s="257"/>
      <c r="N145" s="228">
        <v>2726898740</v>
      </c>
      <c r="O145" s="228" t="s">
        <v>1734</v>
      </c>
      <c r="P145" s="245"/>
      <c r="Q145" s="2368"/>
      <c r="R145" s="2368"/>
      <c r="S145" s="254"/>
      <c r="T145" s="257"/>
      <c r="U145" s="2358"/>
      <c r="V145" s="256"/>
      <c r="W145" s="373">
        <v>900000</v>
      </c>
      <c r="X145" s="373">
        <v>394200</v>
      </c>
      <c r="Y145" s="248"/>
      <c r="Z145" s="247"/>
      <c r="AA145" s="248"/>
      <c r="AB145" s="340">
        <f t="shared" si="31"/>
        <v>1294200</v>
      </c>
      <c r="AC145" s="347">
        <f t="shared" si="34"/>
        <v>0</v>
      </c>
      <c r="AD145" s="249"/>
      <c r="AE145" s="435">
        <f t="shared" si="33"/>
        <v>4449600</v>
      </c>
      <c r="AF145" s="342">
        <f t="shared" si="35"/>
        <v>5743800</v>
      </c>
      <c r="AG145" s="251">
        <f t="shared" si="32"/>
        <v>4119999.9999999995</v>
      </c>
      <c r="AH145" s="241"/>
      <c r="AI145" s="241"/>
      <c r="AJ145" s="241"/>
      <c r="AK145" s="194"/>
      <c r="AL145" s="195"/>
      <c r="AM145" s="195"/>
    </row>
    <row r="146" spans="2:40">
      <c r="B146" s="253">
        <v>11</v>
      </c>
      <c r="C146" s="244"/>
      <c r="D146" s="256"/>
      <c r="E146" s="474">
        <v>305913915330</v>
      </c>
      <c r="F146" s="602" t="s">
        <v>1727</v>
      </c>
      <c r="G146" s="391" t="s">
        <v>3779</v>
      </c>
      <c r="H146" s="230" t="s">
        <v>210</v>
      </c>
      <c r="I146" s="230">
        <v>1</v>
      </c>
      <c r="J146" s="230"/>
      <c r="K146" s="230"/>
      <c r="L146" s="228"/>
      <c r="M146" s="257"/>
      <c r="N146" s="228">
        <v>2727253230</v>
      </c>
      <c r="O146" s="228" t="s">
        <v>1736</v>
      </c>
      <c r="P146" s="245"/>
      <c r="Q146" s="2368"/>
      <c r="R146" s="2368"/>
      <c r="S146" s="254"/>
      <c r="T146" s="257"/>
      <c r="U146" s="2358"/>
      <c r="V146" s="256"/>
      <c r="W146" s="373">
        <v>900000</v>
      </c>
      <c r="X146" s="373">
        <v>394200</v>
      </c>
      <c r="Y146" s="248"/>
      <c r="Z146" s="247"/>
      <c r="AA146" s="248"/>
      <c r="AB146" s="340">
        <f t="shared" si="31"/>
        <v>1294200</v>
      </c>
      <c r="AC146" s="347">
        <f t="shared" si="34"/>
        <v>0</v>
      </c>
      <c r="AD146" s="249"/>
      <c r="AE146" s="435">
        <f t="shared" si="33"/>
        <v>4449600</v>
      </c>
      <c r="AF146" s="342">
        <f t="shared" si="35"/>
        <v>5743800</v>
      </c>
      <c r="AG146" s="251">
        <f t="shared" si="32"/>
        <v>4119999.9999999995</v>
      </c>
      <c r="AH146" s="241"/>
      <c r="AI146" s="241"/>
      <c r="AJ146" s="241"/>
      <c r="AK146" s="194"/>
      <c r="AL146" s="195"/>
      <c r="AM146" s="195"/>
    </row>
    <row r="147" spans="2:40">
      <c r="B147" s="253">
        <v>12</v>
      </c>
      <c r="C147" s="244"/>
      <c r="D147" s="256"/>
      <c r="E147" s="474">
        <v>305926168460</v>
      </c>
      <c r="F147" s="602" t="s">
        <v>1763</v>
      </c>
      <c r="G147" s="391" t="s">
        <v>3780</v>
      </c>
      <c r="H147" s="230" t="s">
        <v>210</v>
      </c>
      <c r="I147" s="230">
        <v>1</v>
      </c>
      <c r="J147" s="230"/>
      <c r="K147" s="230"/>
      <c r="L147" s="228"/>
      <c r="M147" s="257"/>
      <c r="N147" s="228">
        <v>2727616620</v>
      </c>
      <c r="O147" s="228" t="s">
        <v>1766</v>
      </c>
      <c r="P147" s="245"/>
      <c r="Q147" s="2368"/>
      <c r="R147" s="2368"/>
      <c r="S147" s="254"/>
      <c r="T147" s="257"/>
      <c r="U147" s="2358"/>
      <c r="V147" s="256"/>
      <c r="W147" s="373">
        <v>900000</v>
      </c>
      <c r="X147" s="373">
        <v>394200</v>
      </c>
      <c r="Y147" s="248"/>
      <c r="Z147" s="247"/>
      <c r="AA147" s="248"/>
      <c r="AB147" s="340">
        <f t="shared" si="31"/>
        <v>1294200</v>
      </c>
      <c r="AC147" s="347">
        <f t="shared" ref="AC147:AC162" si="36">+Z147</f>
        <v>0</v>
      </c>
      <c r="AD147" s="249"/>
      <c r="AE147" s="435">
        <f t="shared" si="33"/>
        <v>4449600</v>
      </c>
      <c r="AF147" s="342">
        <f t="shared" ref="AF147:AF162" si="37">+AB147+AE147</f>
        <v>5743800</v>
      </c>
      <c r="AG147" s="251">
        <f t="shared" si="32"/>
        <v>4119999.9999999995</v>
      </c>
      <c r="AH147" s="241"/>
      <c r="AI147" s="241"/>
      <c r="AJ147" s="241"/>
      <c r="AK147" s="194"/>
      <c r="AL147" s="195"/>
      <c r="AM147" s="195"/>
    </row>
    <row r="148" spans="2:40">
      <c r="B148" s="253">
        <v>13</v>
      </c>
      <c r="C148" s="244"/>
      <c r="D148" s="256"/>
      <c r="E148" s="474">
        <v>305926963550</v>
      </c>
      <c r="F148" s="602" t="s">
        <v>1763</v>
      </c>
      <c r="G148" s="391" t="s">
        <v>3781</v>
      </c>
      <c r="H148" s="230" t="s">
        <v>210</v>
      </c>
      <c r="I148" s="230"/>
      <c r="J148" s="230">
        <v>1</v>
      </c>
      <c r="K148" s="230"/>
      <c r="L148" s="228"/>
      <c r="M148" s="257"/>
      <c r="N148" s="228" t="s">
        <v>1767</v>
      </c>
      <c r="O148" s="228" t="s">
        <v>1768</v>
      </c>
      <c r="P148" s="245"/>
      <c r="Q148" s="2368"/>
      <c r="R148" s="2368"/>
      <c r="S148" s="254"/>
      <c r="T148" s="257"/>
      <c r="U148" s="2358"/>
      <c r="V148" s="256"/>
      <c r="W148" s="373">
        <v>1040000</v>
      </c>
      <c r="X148" s="373">
        <v>1160000</v>
      </c>
      <c r="Y148" s="248"/>
      <c r="Z148" s="247"/>
      <c r="AA148" s="248"/>
      <c r="AB148" s="340">
        <f t="shared" si="31"/>
        <v>2200000</v>
      </c>
      <c r="AC148" s="347">
        <f t="shared" si="36"/>
        <v>0</v>
      </c>
      <c r="AD148" s="249"/>
      <c r="AE148" s="435">
        <f t="shared" si="33"/>
        <v>4557600</v>
      </c>
      <c r="AF148" s="342">
        <f t="shared" si="37"/>
        <v>6757600</v>
      </c>
      <c r="AG148" s="251">
        <f t="shared" si="32"/>
        <v>4220000</v>
      </c>
      <c r="AH148" s="241"/>
      <c r="AI148" s="241"/>
      <c r="AJ148" s="241"/>
      <c r="AK148" s="194"/>
      <c r="AL148" s="195"/>
      <c r="AM148" s="195"/>
    </row>
    <row r="149" spans="2:40">
      <c r="B149" s="643" t="s">
        <v>3782</v>
      </c>
      <c r="C149" s="644"/>
      <c r="D149" s="346"/>
      <c r="E149" s="644"/>
      <c r="F149" s="644"/>
      <c r="G149" s="644"/>
      <c r="H149" s="644"/>
      <c r="I149" s="644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1616">
        <f>+T146+Y146</f>
        <v>0</v>
      </c>
      <c r="U149" s="1616"/>
      <c r="V149" s="357"/>
      <c r="W149" s="357"/>
      <c r="X149" s="357"/>
      <c r="Y149" s="357"/>
      <c r="Z149" s="357"/>
      <c r="AA149" s="357"/>
      <c r="AB149" s="358">
        <f>SUM(AB135:AB146)</f>
        <v>23202055</v>
      </c>
      <c r="AC149" s="358">
        <f>SUM(AC129:AC146)</f>
        <v>0</v>
      </c>
      <c r="AD149" s="358">
        <f>SUM(AD127:AD146)</f>
        <v>0</v>
      </c>
      <c r="AE149" s="358">
        <f>SUM(AE135:AE146)</f>
        <v>60341760</v>
      </c>
      <c r="AF149" s="358">
        <f>+AB149+AE149</f>
        <v>83543815</v>
      </c>
      <c r="AG149" s="358"/>
      <c r="AH149" s="357"/>
      <c r="AI149" s="357"/>
      <c r="AJ149" s="357"/>
      <c r="AK149" s="357"/>
      <c r="AL149" s="357"/>
      <c r="AM149" s="357"/>
      <c r="AN149" s="357"/>
    </row>
    <row r="150" spans="2:40">
      <c r="B150" s="253">
        <v>1</v>
      </c>
      <c r="C150" s="244"/>
      <c r="D150" s="256"/>
      <c r="E150" s="474">
        <v>305948031820</v>
      </c>
      <c r="F150" s="602">
        <v>45234</v>
      </c>
      <c r="G150" s="391" t="s">
        <v>3783</v>
      </c>
      <c r="H150" s="230" t="s">
        <v>210</v>
      </c>
      <c r="I150" s="230">
        <v>1</v>
      </c>
      <c r="J150" s="230"/>
      <c r="K150" s="230"/>
      <c r="L150" s="228"/>
      <c r="M150" s="257"/>
      <c r="N150" s="228" t="s">
        <v>1788</v>
      </c>
      <c r="O150" s="228" t="s">
        <v>3784</v>
      </c>
      <c r="P150" s="245"/>
      <c r="Q150" s="2368"/>
      <c r="R150" s="2368"/>
      <c r="S150" s="254"/>
      <c r="T150" s="544" t="s">
        <v>3785</v>
      </c>
      <c r="U150" s="2362"/>
      <c r="V150" s="256"/>
      <c r="W150" s="373">
        <v>800000</v>
      </c>
      <c r="X150" s="373">
        <v>394200</v>
      </c>
      <c r="Y150" s="248"/>
      <c r="Z150" s="247"/>
      <c r="AA150" s="248"/>
      <c r="AB150" s="340">
        <f t="shared" ref="AB150:AB160" si="38">V150+W150+X150+Y150+Z150+AA150</f>
        <v>1194200</v>
      </c>
      <c r="AC150" s="347">
        <f t="shared" si="36"/>
        <v>0</v>
      </c>
      <c r="AD150" s="249"/>
      <c r="AE150" s="435">
        <f>+(I150*3842000+J150*(3842000+100000))*1.08+((I150+J150+K150)*150000)*1.08+(500000*1.08)</f>
        <v>4851360</v>
      </c>
      <c r="AF150" s="342">
        <f t="shared" si="37"/>
        <v>6045560</v>
      </c>
      <c r="AG150" s="251">
        <f t="shared" si="32"/>
        <v>4492000</v>
      </c>
      <c r="AH150" s="241"/>
      <c r="AI150" s="241"/>
      <c r="AJ150" s="241"/>
      <c r="AK150" s="194"/>
      <c r="AL150" s="195"/>
      <c r="AM150" s="3424" t="s">
        <v>3786</v>
      </c>
    </row>
    <row r="151" spans="2:40" ht="31.2">
      <c r="B151" s="253">
        <v>2</v>
      </c>
      <c r="C151" s="244"/>
      <c r="D151" s="256"/>
      <c r="E151" s="547" t="s">
        <v>1793</v>
      </c>
      <c r="F151" s="603" t="s">
        <v>1794</v>
      </c>
      <c r="G151" s="391" t="s">
        <v>3787</v>
      </c>
      <c r="H151" s="230" t="s">
        <v>3579</v>
      </c>
      <c r="I151" s="230"/>
      <c r="J151" s="230">
        <v>1</v>
      </c>
      <c r="K151" s="230"/>
      <c r="L151" s="228"/>
      <c r="M151" s="257"/>
      <c r="N151" s="228" t="s">
        <v>1795</v>
      </c>
      <c r="O151" s="375" t="s">
        <v>1796</v>
      </c>
      <c r="P151" s="245"/>
      <c r="Q151" s="2368"/>
      <c r="R151" s="2368"/>
      <c r="S151" s="254"/>
      <c r="T151" s="228"/>
      <c r="U151" s="2357"/>
      <c r="V151" s="256"/>
      <c r="W151" s="324">
        <v>999000</v>
      </c>
      <c r="X151" s="373">
        <v>1450000</v>
      </c>
      <c r="Y151" s="248"/>
      <c r="Z151" s="247"/>
      <c r="AA151" s="248"/>
      <c r="AB151" s="340">
        <f t="shared" si="38"/>
        <v>2449000</v>
      </c>
      <c r="AC151" s="347">
        <f t="shared" si="36"/>
        <v>0</v>
      </c>
      <c r="AD151" s="249"/>
      <c r="AE151" s="435">
        <f>+(I151*3842000+J151*(3842000+100000))*1.08+((I151+J151+K151)*150000)*1.08</f>
        <v>4419360</v>
      </c>
      <c r="AF151" s="342">
        <f t="shared" si="37"/>
        <v>6868360</v>
      </c>
      <c r="AG151" s="251">
        <f t="shared" si="32"/>
        <v>4091999.9999999995</v>
      </c>
      <c r="AH151" s="241"/>
      <c r="AI151" s="241"/>
      <c r="AJ151" s="241"/>
      <c r="AK151" s="194"/>
      <c r="AL151" s="195"/>
      <c r="AM151" s="3425"/>
    </row>
    <row r="152" spans="2:40" ht="31.2">
      <c r="B152" s="253">
        <v>3</v>
      </c>
      <c r="C152" s="244"/>
      <c r="D152" s="256"/>
      <c r="E152" s="547" t="s">
        <v>1797</v>
      </c>
      <c r="F152" s="603" t="s">
        <v>1794</v>
      </c>
      <c r="G152" s="391" t="s">
        <v>3788</v>
      </c>
      <c r="H152" s="230" t="s">
        <v>3579</v>
      </c>
      <c r="I152" s="230">
        <v>1</v>
      </c>
      <c r="J152" s="230"/>
      <c r="K152" s="230"/>
      <c r="L152" s="228"/>
      <c r="M152" s="257"/>
      <c r="N152" s="228" t="s">
        <v>1798</v>
      </c>
      <c r="O152" s="375" t="s">
        <v>1799</v>
      </c>
      <c r="P152" s="245"/>
      <c r="Q152" s="2368"/>
      <c r="R152" s="2368"/>
      <c r="S152" s="254"/>
      <c r="T152" s="228"/>
      <c r="U152" s="2357"/>
      <c r="V152" s="256"/>
      <c r="W152" s="324">
        <v>561600</v>
      </c>
      <c r="X152" s="373">
        <v>890000</v>
      </c>
      <c r="Y152" s="248"/>
      <c r="Z152" s="247"/>
      <c r="AA152" s="248"/>
      <c r="AB152" s="340">
        <f t="shared" si="38"/>
        <v>1451600</v>
      </c>
      <c r="AC152" s="347">
        <f t="shared" si="36"/>
        <v>0</v>
      </c>
      <c r="AD152" s="249"/>
      <c r="AE152" s="435">
        <f>+(I152*3842000+J152*(3842000+100000))*1.08+((I152+J152+K152)*150000)*1.08</f>
        <v>4311360</v>
      </c>
      <c r="AF152" s="342">
        <f t="shared" si="37"/>
        <v>5762960</v>
      </c>
      <c r="AG152" s="251">
        <f t="shared" si="32"/>
        <v>3991999.9999999995</v>
      </c>
      <c r="AH152" s="241"/>
      <c r="AI152" s="241"/>
      <c r="AJ152" s="241"/>
      <c r="AK152" s="194"/>
      <c r="AL152" s="195"/>
      <c r="AM152" s="3425"/>
    </row>
    <row r="153" spans="2:40">
      <c r="B153" s="253">
        <v>4</v>
      </c>
      <c r="C153" s="244"/>
      <c r="D153" s="256"/>
      <c r="E153" s="474">
        <v>305960054320</v>
      </c>
      <c r="F153" s="603" t="s">
        <v>1808</v>
      </c>
      <c r="G153" s="391" t="s">
        <v>3789</v>
      </c>
      <c r="H153" s="230" t="s">
        <v>210</v>
      </c>
      <c r="I153" s="230">
        <v>1</v>
      </c>
      <c r="J153" s="230"/>
      <c r="K153" s="230"/>
      <c r="L153" s="228"/>
      <c r="M153" s="257"/>
      <c r="N153" s="228" t="s">
        <v>1806</v>
      </c>
      <c r="O153" s="228" t="s">
        <v>1807</v>
      </c>
      <c r="P153" s="245"/>
      <c r="Q153" s="2368"/>
      <c r="R153" s="2368"/>
      <c r="S153" s="254"/>
      <c r="T153" s="228"/>
      <c r="U153" s="2357"/>
      <c r="V153" s="256"/>
      <c r="W153" s="373">
        <v>900000</v>
      </c>
      <c r="X153" s="373">
        <v>394200</v>
      </c>
      <c r="Y153" s="248"/>
      <c r="Z153" s="247"/>
      <c r="AA153" s="248"/>
      <c r="AB153" s="340">
        <f t="shared" si="38"/>
        <v>1294200</v>
      </c>
      <c r="AC153" s="347">
        <f t="shared" si="36"/>
        <v>0</v>
      </c>
      <c r="AD153" s="249"/>
      <c r="AE153" s="435">
        <f>+(I153*3842000+J153*(3842000+100000))*1.08+((I153+J153+K153)*150000)*1.08</f>
        <v>4311360</v>
      </c>
      <c r="AF153" s="342">
        <f t="shared" si="37"/>
        <v>5605560</v>
      </c>
      <c r="AG153" s="251">
        <f t="shared" si="32"/>
        <v>3991999.9999999995</v>
      </c>
      <c r="AH153" s="241"/>
      <c r="AI153" s="241"/>
      <c r="AJ153" s="241"/>
      <c r="AK153" s="194"/>
      <c r="AL153" s="195"/>
      <c r="AM153" s="3425"/>
    </row>
    <row r="154" spans="2:40">
      <c r="B154" s="253">
        <v>5</v>
      </c>
      <c r="C154" s="244"/>
      <c r="D154" s="256"/>
      <c r="E154" s="474">
        <v>305963443460</v>
      </c>
      <c r="F154" s="603" t="s">
        <v>1810</v>
      </c>
      <c r="G154" s="391" t="s">
        <v>3790</v>
      </c>
      <c r="H154" s="230" t="s">
        <v>210</v>
      </c>
      <c r="I154" s="230"/>
      <c r="J154" s="230">
        <v>1</v>
      </c>
      <c r="K154" s="230"/>
      <c r="L154" s="228"/>
      <c r="N154" s="228">
        <v>71778991</v>
      </c>
      <c r="O154" s="228" t="s">
        <v>1809</v>
      </c>
      <c r="P154" s="245"/>
      <c r="Q154" s="2368"/>
      <c r="R154" s="2368"/>
      <c r="S154" s="254"/>
      <c r="T154" s="228"/>
      <c r="U154" s="2357"/>
      <c r="V154" s="256"/>
      <c r="W154" s="373">
        <v>1050000</v>
      </c>
      <c r="X154" s="373">
        <v>1140000</v>
      </c>
      <c r="Y154" s="248"/>
      <c r="Z154" s="247"/>
      <c r="AA154" s="248"/>
      <c r="AB154" s="340">
        <f t="shared" si="38"/>
        <v>2190000</v>
      </c>
      <c r="AC154" s="347">
        <f t="shared" si="36"/>
        <v>0</v>
      </c>
      <c r="AD154" s="249"/>
      <c r="AE154" s="435">
        <f>+(I154*3842000+J154*(3842000+100000))*1.08+((I154+J154+K154)*150000)*1.08</f>
        <v>4419360</v>
      </c>
      <c r="AF154" s="342">
        <f t="shared" si="37"/>
        <v>6609360</v>
      </c>
      <c r="AG154" s="251">
        <f t="shared" si="32"/>
        <v>4091999.9999999995</v>
      </c>
      <c r="AH154" s="241"/>
      <c r="AI154" s="241"/>
      <c r="AJ154" s="241"/>
      <c r="AK154" s="194"/>
      <c r="AL154" s="195"/>
      <c r="AM154" s="3425"/>
    </row>
    <row r="155" spans="2:40">
      <c r="B155" s="253">
        <v>6</v>
      </c>
      <c r="C155" s="244"/>
      <c r="D155" s="275"/>
      <c r="E155" s="466">
        <v>105862109360</v>
      </c>
      <c r="F155" s="603" t="s">
        <v>1810</v>
      </c>
      <c r="G155" s="391" t="s">
        <v>3791</v>
      </c>
      <c r="H155" s="230" t="s">
        <v>3579</v>
      </c>
      <c r="I155" s="230"/>
      <c r="J155" s="230"/>
      <c r="K155" s="230">
        <v>1</v>
      </c>
      <c r="L155" s="228"/>
      <c r="M155" s="543" t="s">
        <v>1826</v>
      </c>
      <c r="N155" s="228" t="s">
        <v>1811</v>
      </c>
      <c r="O155" s="228"/>
      <c r="P155" s="245"/>
      <c r="Q155" s="2368"/>
      <c r="R155" s="2368"/>
      <c r="S155" s="254"/>
      <c r="T155" s="543" t="s">
        <v>1826</v>
      </c>
      <c r="U155" s="2361"/>
      <c r="V155" s="324">
        <v>78467</v>
      </c>
      <c r="W155" s="248"/>
      <c r="X155" s="248"/>
      <c r="Y155" s="248"/>
      <c r="Z155" s="247"/>
      <c r="AA155" s="248"/>
      <c r="AB155" s="340">
        <f t="shared" si="38"/>
        <v>78467</v>
      </c>
      <c r="AC155" s="347">
        <f t="shared" si="36"/>
        <v>0</v>
      </c>
      <c r="AD155" s="249"/>
      <c r="AE155" s="435">
        <f>+(2568000*1.08+((I155+J155+K155)*150000)*1.08)</f>
        <v>2935440</v>
      </c>
      <c r="AF155" s="342">
        <f t="shared" si="37"/>
        <v>3013907</v>
      </c>
      <c r="AG155" s="251">
        <f t="shared" si="32"/>
        <v>2718000</v>
      </c>
      <c r="AH155" s="241"/>
      <c r="AI155" s="241"/>
      <c r="AJ155" s="241"/>
      <c r="AK155" s="194"/>
      <c r="AL155" s="195"/>
      <c r="AM155" s="3425"/>
    </row>
    <row r="156" spans="2:40">
      <c r="B156" s="253">
        <v>7</v>
      </c>
      <c r="C156" s="244"/>
      <c r="D156" s="256"/>
      <c r="E156" s="474">
        <v>305986454930</v>
      </c>
      <c r="F156" s="602" t="s">
        <v>1837</v>
      </c>
      <c r="G156" s="391" t="s">
        <v>3792</v>
      </c>
      <c r="H156" s="230" t="s">
        <v>210</v>
      </c>
      <c r="I156" s="230"/>
      <c r="J156" s="230">
        <v>1</v>
      </c>
      <c r="K156" s="230"/>
      <c r="L156" s="228"/>
      <c r="M156" s="257"/>
      <c r="N156" s="228" t="s">
        <v>1844</v>
      </c>
      <c r="O156" s="375" t="s">
        <v>1845</v>
      </c>
      <c r="P156" s="245"/>
      <c r="Q156" s="2368"/>
      <c r="R156" s="2368"/>
      <c r="S156" s="254"/>
      <c r="T156" s="228"/>
      <c r="U156" s="2357"/>
      <c r="V156" s="256"/>
      <c r="W156" s="373">
        <v>1450000</v>
      </c>
      <c r="X156" s="373">
        <v>1160000</v>
      </c>
      <c r="Y156" s="248"/>
      <c r="Z156" s="247"/>
      <c r="AA156" s="248"/>
      <c r="AB156" s="340">
        <f t="shared" si="38"/>
        <v>2610000</v>
      </c>
      <c r="AC156" s="347">
        <f t="shared" si="36"/>
        <v>0</v>
      </c>
      <c r="AD156" s="249"/>
      <c r="AE156" s="435">
        <f>+(I156*3842000+J156*(3842000+100000))*1.08+((I156+J156+K156)*150000)*1.08</f>
        <v>4419360</v>
      </c>
      <c r="AF156" s="342">
        <f>+AB156+AE156</f>
        <v>7029360</v>
      </c>
      <c r="AG156" s="251">
        <f t="shared" si="32"/>
        <v>4091999.9999999995</v>
      </c>
      <c r="AH156" s="241"/>
      <c r="AI156" s="241"/>
      <c r="AJ156" s="241"/>
      <c r="AK156" s="194"/>
      <c r="AL156" s="195"/>
      <c r="AM156" s="3425"/>
    </row>
    <row r="157" spans="2:40">
      <c r="B157" s="253">
        <v>8</v>
      </c>
      <c r="C157" s="244"/>
      <c r="D157" s="256"/>
      <c r="E157" s="474">
        <v>305989580910</v>
      </c>
      <c r="F157" s="602" t="s">
        <v>1846</v>
      </c>
      <c r="G157" s="391" t="s">
        <v>3793</v>
      </c>
      <c r="H157" s="230" t="s">
        <v>210</v>
      </c>
      <c r="I157" s="230">
        <v>1</v>
      </c>
      <c r="J157" s="230"/>
      <c r="K157" s="230"/>
      <c r="L157" s="228"/>
      <c r="M157" s="257"/>
      <c r="N157" s="228" t="s">
        <v>3794</v>
      </c>
      <c r="O157" s="228" t="s">
        <v>1854</v>
      </c>
      <c r="P157" s="245"/>
      <c r="Q157" s="2368"/>
      <c r="R157" s="2368"/>
      <c r="S157" s="254"/>
      <c r="T157" s="228"/>
      <c r="U157" s="2357"/>
      <c r="V157" s="256"/>
      <c r="W157" s="373">
        <v>900000</v>
      </c>
      <c r="X157" s="373">
        <v>394200</v>
      </c>
      <c r="Y157" s="248"/>
      <c r="Z157" s="247"/>
      <c r="AA157" s="248"/>
      <c r="AB157" s="340">
        <f t="shared" si="38"/>
        <v>1294200</v>
      </c>
      <c r="AC157" s="347">
        <f t="shared" si="36"/>
        <v>0</v>
      </c>
      <c r="AD157" s="249"/>
      <c r="AE157" s="435">
        <f>+(I157*3842000+J157*(3842000+100000))*1.08+((I157+J157+K157)*150000)*1.08</f>
        <v>4311360</v>
      </c>
      <c r="AF157" s="342">
        <f t="shared" si="37"/>
        <v>5605560</v>
      </c>
      <c r="AG157" s="251">
        <f t="shared" si="32"/>
        <v>3991999.9999999995</v>
      </c>
      <c r="AH157" s="241"/>
      <c r="AI157" s="241"/>
      <c r="AJ157" s="241"/>
      <c r="AK157" s="194"/>
      <c r="AL157" s="195"/>
      <c r="AM157" s="3425"/>
    </row>
    <row r="158" spans="2:40" ht="17.25" customHeight="1">
      <c r="B158" s="253">
        <v>9</v>
      </c>
      <c r="C158" s="244"/>
      <c r="D158" s="256"/>
      <c r="E158" s="474">
        <v>306005584310</v>
      </c>
      <c r="F158" s="602" t="s">
        <v>1861</v>
      </c>
      <c r="G158" s="391" t="s">
        <v>3795</v>
      </c>
      <c r="H158" s="230" t="s">
        <v>210</v>
      </c>
      <c r="I158" s="230"/>
      <c r="J158" s="230">
        <v>1</v>
      </c>
      <c r="K158" s="230"/>
      <c r="L158" s="228"/>
      <c r="M158" s="257"/>
      <c r="N158" s="228" t="s">
        <v>1859</v>
      </c>
      <c r="O158" s="228" t="s">
        <v>1860</v>
      </c>
      <c r="P158" s="245"/>
      <c r="Q158" s="2368"/>
      <c r="R158" s="2368"/>
      <c r="S158" s="254"/>
      <c r="T158" s="228"/>
      <c r="U158" s="2357"/>
      <c r="V158" s="256"/>
      <c r="W158" s="373">
        <v>920000</v>
      </c>
      <c r="X158" s="373">
        <v>696600</v>
      </c>
      <c r="Y158" s="248"/>
      <c r="Z158" s="247"/>
      <c r="AA158" s="248"/>
      <c r="AB158" s="340">
        <f t="shared" si="38"/>
        <v>1616600</v>
      </c>
      <c r="AC158" s="347">
        <f t="shared" si="36"/>
        <v>0</v>
      </c>
      <c r="AD158" s="249"/>
      <c r="AE158" s="435">
        <f>+(I158*3842000+J158*(3842000+100000))*1.08+((I158+J158+K158)*150000)*1.08</f>
        <v>4419360</v>
      </c>
      <c r="AF158" s="342">
        <f t="shared" si="37"/>
        <v>6035960</v>
      </c>
      <c r="AG158" s="251">
        <f t="shared" si="32"/>
        <v>4091999.9999999995</v>
      </c>
      <c r="AH158" s="241"/>
      <c r="AI158" s="241"/>
      <c r="AJ158" s="241"/>
      <c r="AK158" s="194"/>
      <c r="AL158" s="195"/>
      <c r="AM158" s="3425"/>
    </row>
    <row r="159" spans="2:40" ht="31.2">
      <c r="B159" s="253">
        <v>10</v>
      </c>
      <c r="C159" s="244"/>
      <c r="D159" s="256"/>
      <c r="E159" s="463" t="s">
        <v>1881</v>
      </c>
      <c r="F159" s="602" t="s">
        <v>1880</v>
      </c>
      <c r="G159" s="391" t="s">
        <v>3796</v>
      </c>
      <c r="H159" s="230" t="s">
        <v>3579</v>
      </c>
      <c r="I159" s="230">
        <v>1</v>
      </c>
      <c r="J159" s="230"/>
      <c r="K159" s="230"/>
      <c r="L159" s="526" t="s">
        <v>136</v>
      </c>
      <c r="M159" s="257"/>
      <c r="N159" s="228" t="s">
        <v>1882</v>
      </c>
      <c r="O159" s="228" t="s">
        <v>1883</v>
      </c>
      <c r="P159" s="245"/>
      <c r="Q159" s="2368"/>
      <c r="R159" s="2368"/>
      <c r="S159" s="254"/>
      <c r="T159" s="228"/>
      <c r="U159" s="2357"/>
      <c r="V159" s="256"/>
      <c r="W159" s="324">
        <v>648000</v>
      </c>
      <c r="X159" s="373">
        <v>900000</v>
      </c>
      <c r="Y159" s="248"/>
      <c r="Z159" s="247"/>
      <c r="AA159" s="248"/>
      <c r="AB159" s="340">
        <f t="shared" si="38"/>
        <v>1548000</v>
      </c>
      <c r="AC159" s="347">
        <f t="shared" si="36"/>
        <v>0</v>
      </c>
      <c r="AD159" s="249"/>
      <c r="AE159" s="435">
        <f>+(I159*3842000+J159*(3842000+100000))*1.08+((I159+J159+K159)*150000)*1.08</f>
        <v>4311360</v>
      </c>
      <c r="AF159" s="342">
        <f t="shared" si="37"/>
        <v>5859360</v>
      </c>
      <c r="AG159" s="251">
        <f t="shared" si="32"/>
        <v>3991999.9999999995</v>
      </c>
      <c r="AH159" s="241"/>
      <c r="AI159" s="241"/>
      <c r="AJ159" s="241"/>
      <c r="AK159" s="194"/>
      <c r="AL159" s="195"/>
      <c r="AM159" s="3425"/>
    </row>
    <row r="160" spans="2:40">
      <c r="B160" s="253">
        <v>11</v>
      </c>
      <c r="C160" s="244"/>
      <c r="D160" s="256"/>
      <c r="E160" s="474">
        <v>306032667900</v>
      </c>
      <c r="F160" s="602" t="s">
        <v>1932</v>
      </c>
      <c r="G160" s="391" t="s">
        <v>3797</v>
      </c>
      <c r="H160" s="230" t="s">
        <v>210</v>
      </c>
      <c r="I160" s="230"/>
      <c r="J160" s="230">
        <v>1</v>
      </c>
      <c r="K160" s="230"/>
      <c r="L160" s="228"/>
      <c r="M160" s="257"/>
      <c r="N160" s="228" t="s">
        <v>1937</v>
      </c>
      <c r="O160" s="228" t="s">
        <v>1938</v>
      </c>
      <c r="P160" s="245"/>
      <c r="Q160" s="2368"/>
      <c r="R160" s="2368"/>
      <c r="S160" s="254"/>
      <c r="T160" s="228"/>
      <c r="U160" s="2357"/>
      <c r="V160" s="256"/>
      <c r="W160" s="373">
        <v>1450000</v>
      </c>
      <c r="X160" s="373">
        <v>1160000</v>
      </c>
      <c r="Y160" s="248"/>
      <c r="Z160" s="247"/>
      <c r="AA160" s="248"/>
      <c r="AB160" s="340">
        <f t="shared" si="38"/>
        <v>2610000</v>
      </c>
      <c r="AC160" s="347">
        <f>+Z160</f>
        <v>0</v>
      </c>
      <c r="AD160" s="249"/>
      <c r="AE160" s="435">
        <f>+(I160*3842000+J160*(3842000+100000))*1.08+((I160+J160+K160)*150000)*1.08</f>
        <v>4419360</v>
      </c>
      <c r="AF160" s="342">
        <f>+AB160+AE160</f>
        <v>7029360</v>
      </c>
      <c r="AG160" s="251">
        <f t="shared" si="32"/>
        <v>4091999.9999999995</v>
      </c>
      <c r="AH160" s="241"/>
      <c r="AI160" s="241"/>
      <c r="AJ160" s="241"/>
      <c r="AK160" s="194"/>
      <c r="AL160" s="195"/>
      <c r="AM160" s="3426"/>
    </row>
    <row r="161" spans="2:40">
      <c r="B161" s="643" t="s">
        <v>3798</v>
      </c>
      <c r="C161" s="644"/>
      <c r="D161" s="346"/>
      <c r="E161" s="644"/>
      <c r="F161" s="644"/>
      <c r="G161" s="644"/>
      <c r="H161" s="644"/>
      <c r="I161" s="644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57"/>
      <c r="W161" s="357"/>
      <c r="X161" s="357"/>
      <c r="Y161" s="357"/>
      <c r="Z161" s="357"/>
      <c r="AA161" s="357"/>
      <c r="AB161" s="358">
        <f>SUM(AB150:AB159)</f>
        <v>15726267</v>
      </c>
      <c r="AC161" s="358">
        <f>SUM(AC140:AC157)</f>
        <v>0</v>
      </c>
      <c r="AD161" s="358">
        <f>SUM(AD138:AD157)</f>
        <v>0</v>
      </c>
      <c r="AE161" s="358">
        <f>SUM(AE150:AE159)</f>
        <v>42709680</v>
      </c>
      <c r="AF161" s="358">
        <f>+AB161+AE161</f>
        <v>58435947</v>
      </c>
      <c r="AG161" s="358"/>
      <c r="AH161" s="357"/>
      <c r="AI161" s="357"/>
      <c r="AJ161" s="357"/>
      <c r="AK161" s="357"/>
      <c r="AL161" s="357"/>
      <c r="AM161" s="357"/>
      <c r="AN161" s="357"/>
    </row>
    <row r="162" spans="2:40">
      <c r="B162" s="253">
        <v>1</v>
      </c>
      <c r="C162" s="244"/>
      <c r="D162" s="256"/>
      <c r="E162" s="466">
        <v>105956095930</v>
      </c>
      <c r="F162" s="602" t="s">
        <v>1960</v>
      </c>
      <c r="G162" s="391" t="s">
        <v>3799</v>
      </c>
      <c r="H162" s="230" t="s">
        <v>3579</v>
      </c>
      <c r="I162" s="230">
        <v>1</v>
      </c>
      <c r="J162" s="230"/>
      <c r="K162" s="230"/>
      <c r="L162" s="228"/>
      <c r="M162" s="257"/>
      <c r="N162" s="228" t="s">
        <v>1972</v>
      </c>
      <c r="O162" s="228" t="s">
        <v>1973</v>
      </c>
      <c r="P162" s="245"/>
      <c r="Q162" s="2368"/>
      <c r="R162" s="2368"/>
      <c r="S162" s="254"/>
      <c r="T162" s="228"/>
      <c r="U162" s="2357"/>
      <c r="V162" s="324">
        <v>167400</v>
      </c>
      <c r="W162" s="324">
        <v>394200</v>
      </c>
      <c r="X162" s="373">
        <v>890000</v>
      </c>
      <c r="Y162" s="248"/>
      <c r="Z162" s="247"/>
      <c r="AA162" s="248"/>
      <c r="AB162" s="340">
        <f t="shared" ref="AB162:AB173" si="39">V162+W162+X162+Y162+Z162+AA162</f>
        <v>1451600</v>
      </c>
      <c r="AC162" s="347">
        <f t="shared" si="36"/>
        <v>0</v>
      </c>
      <c r="AD162" s="249"/>
      <c r="AE162" s="435">
        <f t="shared" ref="AE162:AE173" si="40">+(I162*3714000+J162*(3714000+100000))*1.08+((I162+J162+K162)*150000)*1.08</f>
        <v>4173120.0000000005</v>
      </c>
      <c r="AF162" s="342">
        <f t="shared" si="37"/>
        <v>5624720</v>
      </c>
      <c r="AG162" s="251">
        <f t="shared" si="32"/>
        <v>3864000</v>
      </c>
      <c r="AH162" s="241"/>
      <c r="AI162" s="241"/>
      <c r="AJ162" s="241"/>
      <c r="AK162" s="194"/>
      <c r="AL162" s="195"/>
      <c r="AM162" s="195"/>
    </row>
    <row r="163" spans="2:40" ht="31.2">
      <c r="B163" s="253">
        <v>2</v>
      </c>
      <c r="C163" s="244"/>
      <c r="D163" s="256"/>
      <c r="E163" s="463" t="s">
        <v>1974</v>
      </c>
      <c r="F163" s="602" t="s">
        <v>1960</v>
      </c>
      <c r="G163" s="391" t="s">
        <v>3800</v>
      </c>
      <c r="H163" s="230" t="s">
        <v>3579</v>
      </c>
      <c r="I163" s="230">
        <v>1</v>
      </c>
      <c r="J163" s="230"/>
      <c r="K163" s="230"/>
      <c r="L163" s="526" t="s">
        <v>136</v>
      </c>
      <c r="M163" s="257"/>
      <c r="N163" s="228" t="s">
        <v>1976</v>
      </c>
      <c r="O163" s="228" t="s">
        <v>1975</v>
      </c>
      <c r="P163" s="245"/>
      <c r="Q163" s="2368"/>
      <c r="R163" s="2368"/>
      <c r="S163" s="254"/>
      <c r="T163" s="228"/>
      <c r="U163" s="2357"/>
      <c r="V163" s="256"/>
      <c r="W163" s="324">
        <v>648000</v>
      </c>
      <c r="X163" s="373">
        <v>890000</v>
      </c>
      <c r="Y163" s="248"/>
      <c r="Z163" s="247"/>
      <c r="AA163" s="248"/>
      <c r="AB163" s="340">
        <f t="shared" si="39"/>
        <v>1538000</v>
      </c>
      <c r="AC163" s="347">
        <f t="shared" ref="AC163:AC172" si="41">+Z163</f>
        <v>0</v>
      </c>
      <c r="AD163" s="249"/>
      <c r="AE163" s="435">
        <f t="shared" si="40"/>
        <v>4173120.0000000005</v>
      </c>
      <c r="AF163" s="342">
        <f t="shared" ref="AF163:AF172" si="42">+AB163+AE163</f>
        <v>5711120</v>
      </c>
      <c r="AG163" s="251">
        <f t="shared" si="32"/>
        <v>3864000</v>
      </c>
      <c r="AH163" s="241"/>
      <c r="AI163" s="241"/>
      <c r="AJ163" s="241"/>
      <c r="AK163" s="194"/>
      <c r="AL163" s="195"/>
      <c r="AM163" s="195"/>
    </row>
    <row r="164" spans="2:40">
      <c r="B164" s="253">
        <v>3</v>
      </c>
      <c r="C164" s="244"/>
      <c r="D164" s="256"/>
      <c r="E164" s="474">
        <v>306076606420</v>
      </c>
      <c r="F164" s="602" t="s">
        <v>1983</v>
      </c>
      <c r="G164" s="391" t="s">
        <v>3801</v>
      </c>
      <c r="H164" s="230" t="s">
        <v>210</v>
      </c>
      <c r="I164" s="230"/>
      <c r="J164" s="230">
        <v>1</v>
      </c>
      <c r="K164" s="230"/>
      <c r="L164" s="228"/>
      <c r="M164" s="257"/>
      <c r="N164" s="228">
        <v>6372084400</v>
      </c>
      <c r="O164" s="228" t="s">
        <v>1988</v>
      </c>
      <c r="P164" s="245"/>
      <c r="Q164" s="2368"/>
      <c r="R164" s="2368"/>
      <c r="S164" s="254"/>
      <c r="T164" s="228"/>
      <c r="U164" s="2357"/>
      <c r="V164" s="256"/>
      <c r="W164" s="373">
        <v>1140000</v>
      </c>
      <c r="X164" s="373">
        <v>1050000</v>
      </c>
      <c r="Y164" s="248"/>
      <c r="Z164" s="247"/>
      <c r="AA164" s="248"/>
      <c r="AB164" s="340">
        <f t="shared" si="39"/>
        <v>2190000</v>
      </c>
      <c r="AC164" s="347">
        <f t="shared" si="41"/>
        <v>0</v>
      </c>
      <c r="AD164" s="249"/>
      <c r="AE164" s="435">
        <f t="shared" si="40"/>
        <v>4281120</v>
      </c>
      <c r="AF164" s="342">
        <f t="shared" si="42"/>
        <v>6471120</v>
      </c>
      <c r="AG164" s="251">
        <f t="shared" si="32"/>
        <v>3963999.9999999995</v>
      </c>
      <c r="AH164" s="241"/>
      <c r="AI164" s="241"/>
      <c r="AJ164" s="241"/>
      <c r="AK164" s="194"/>
      <c r="AL164" s="195"/>
      <c r="AM164" s="195"/>
    </row>
    <row r="165" spans="2:40" ht="31.2">
      <c r="B165" s="253">
        <v>4</v>
      </c>
      <c r="C165" s="244"/>
      <c r="D165" s="256"/>
      <c r="E165" s="474">
        <v>306088884640</v>
      </c>
      <c r="F165" s="602" t="s">
        <v>2009</v>
      </c>
      <c r="G165" s="391" t="s">
        <v>3802</v>
      </c>
      <c r="H165" s="230" t="s">
        <v>210</v>
      </c>
      <c r="I165" s="230"/>
      <c r="J165" s="230">
        <v>2</v>
      </c>
      <c r="K165" s="230"/>
      <c r="L165" s="228"/>
      <c r="M165" s="257"/>
      <c r="N165" s="228">
        <v>6370938580</v>
      </c>
      <c r="O165" s="254" t="s">
        <v>2018</v>
      </c>
      <c r="P165" s="245"/>
      <c r="Q165" s="2368"/>
      <c r="R165" s="2368"/>
      <c r="S165" s="254"/>
      <c r="T165" s="228"/>
      <c r="U165" s="2357"/>
      <c r="V165" s="256"/>
      <c r="W165" s="373">
        <f>1450000+1450000</f>
        <v>2900000</v>
      </c>
      <c r="X165" s="373">
        <f>1140000+1140000</f>
        <v>2280000</v>
      </c>
      <c r="Y165" s="248"/>
      <c r="Z165" s="247"/>
      <c r="AA165" s="248"/>
      <c r="AB165" s="340">
        <f t="shared" si="39"/>
        <v>5180000</v>
      </c>
      <c r="AC165" s="347">
        <f t="shared" si="41"/>
        <v>0</v>
      </c>
      <c r="AD165" s="249"/>
      <c r="AE165" s="435">
        <f t="shared" si="40"/>
        <v>8562240</v>
      </c>
      <c r="AF165" s="342">
        <f t="shared" si="42"/>
        <v>13742240</v>
      </c>
      <c r="AG165" s="251">
        <f t="shared" si="32"/>
        <v>7927999.9999999991</v>
      </c>
      <c r="AH165" s="241"/>
      <c r="AI165" s="241"/>
      <c r="AJ165" s="241"/>
      <c r="AK165" s="194"/>
      <c r="AL165" s="195"/>
      <c r="AM165" s="195"/>
    </row>
    <row r="166" spans="2:40">
      <c r="B166" s="253">
        <v>5</v>
      </c>
      <c r="C166" s="244"/>
      <c r="D166" s="256"/>
      <c r="E166" s="474">
        <v>306090531850</v>
      </c>
      <c r="F166" s="602" t="s">
        <v>2014</v>
      </c>
      <c r="G166" s="391" t="s">
        <v>3803</v>
      </c>
      <c r="H166" s="230" t="s">
        <v>210</v>
      </c>
      <c r="I166" s="230"/>
      <c r="J166" s="230">
        <v>1</v>
      </c>
      <c r="K166" s="230"/>
      <c r="L166" s="228"/>
      <c r="M166" s="257"/>
      <c r="N166" s="228" t="s">
        <v>3804</v>
      </c>
      <c r="O166" s="228" t="s">
        <v>2019</v>
      </c>
      <c r="P166" s="245"/>
      <c r="Q166" s="2368"/>
      <c r="R166" s="2368"/>
      <c r="S166" s="254"/>
      <c r="T166" s="228"/>
      <c r="U166" s="2357"/>
      <c r="V166" s="256"/>
      <c r="W166" s="373">
        <v>1050000</v>
      </c>
      <c r="X166" s="373">
        <v>1160000</v>
      </c>
      <c r="Y166" s="248"/>
      <c r="Z166" s="247"/>
      <c r="AA166" s="248"/>
      <c r="AB166" s="340">
        <f t="shared" si="39"/>
        <v>2210000</v>
      </c>
      <c r="AC166" s="347">
        <f t="shared" si="41"/>
        <v>0</v>
      </c>
      <c r="AD166" s="249"/>
      <c r="AE166" s="435">
        <f t="shared" si="40"/>
        <v>4281120</v>
      </c>
      <c r="AF166" s="342">
        <f t="shared" si="42"/>
        <v>6491120</v>
      </c>
      <c r="AG166" s="251">
        <f t="shared" ref="AG166:AG173" si="43">+AE166/1.08</f>
        <v>3963999.9999999995</v>
      </c>
      <c r="AH166" s="241"/>
      <c r="AI166" s="241"/>
      <c r="AJ166" s="241"/>
      <c r="AK166" s="194"/>
      <c r="AL166" s="195"/>
      <c r="AM166" s="195"/>
    </row>
    <row r="167" spans="2:40">
      <c r="B167" s="253">
        <v>6</v>
      </c>
      <c r="C167" s="244"/>
      <c r="D167" s="256"/>
      <c r="E167" s="474">
        <v>306091865610</v>
      </c>
      <c r="F167" s="602" t="s">
        <v>2015</v>
      </c>
      <c r="G167" s="391" t="s">
        <v>3805</v>
      </c>
      <c r="H167" s="230" t="s">
        <v>210</v>
      </c>
      <c r="I167" s="230"/>
      <c r="J167" s="230">
        <v>1</v>
      </c>
      <c r="K167" s="230"/>
      <c r="L167" s="228"/>
      <c r="M167" s="257"/>
      <c r="N167" s="228">
        <v>6372167310</v>
      </c>
      <c r="O167" s="228" t="s">
        <v>2020</v>
      </c>
      <c r="P167" s="245"/>
      <c r="Q167" s="2368"/>
      <c r="R167" s="2368"/>
      <c r="S167" s="254"/>
      <c r="T167" s="228"/>
      <c r="U167" s="2357"/>
      <c r="V167" s="256"/>
      <c r="W167" s="373">
        <v>1450000</v>
      </c>
      <c r="X167" s="373">
        <v>1140000</v>
      </c>
      <c r="Y167" s="248"/>
      <c r="Z167" s="247"/>
      <c r="AA167" s="248"/>
      <c r="AB167" s="340">
        <f t="shared" si="39"/>
        <v>2590000</v>
      </c>
      <c r="AC167" s="347">
        <f t="shared" si="41"/>
        <v>0</v>
      </c>
      <c r="AD167" s="249"/>
      <c r="AE167" s="435">
        <f t="shared" si="40"/>
        <v>4281120</v>
      </c>
      <c r="AF167" s="342">
        <f t="shared" si="42"/>
        <v>6871120</v>
      </c>
      <c r="AG167" s="251">
        <f t="shared" si="43"/>
        <v>3963999.9999999995</v>
      </c>
      <c r="AH167" s="241"/>
      <c r="AI167" s="241"/>
      <c r="AJ167" s="241"/>
      <c r="AK167" s="194"/>
      <c r="AL167" s="195"/>
      <c r="AM167" s="195"/>
    </row>
    <row r="168" spans="2:40" ht="31.2">
      <c r="B168" s="253">
        <v>7</v>
      </c>
      <c r="C168" s="244"/>
      <c r="D168" s="256"/>
      <c r="E168" s="474">
        <v>306092553120</v>
      </c>
      <c r="F168" s="602" t="s">
        <v>2015</v>
      </c>
      <c r="G168" s="391" t="s">
        <v>3806</v>
      </c>
      <c r="H168" s="230" t="s">
        <v>210</v>
      </c>
      <c r="I168" s="230"/>
      <c r="J168" s="230">
        <v>2</v>
      </c>
      <c r="K168" s="230"/>
      <c r="L168" s="228"/>
      <c r="M168" s="257"/>
      <c r="N168" s="228">
        <v>6372167330</v>
      </c>
      <c r="O168" s="292" t="s">
        <v>2021</v>
      </c>
      <c r="P168" s="245"/>
      <c r="Q168" s="2368"/>
      <c r="R168" s="2368"/>
      <c r="S168" s="254"/>
      <c r="T168" s="228"/>
      <c r="U168" s="2357"/>
      <c r="V168" s="256"/>
      <c r="W168" s="373">
        <f>1450000+1450000</f>
        <v>2900000</v>
      </c>
      <c r="X168" s="373">
        <f>1140000+1140000</f>
        <v>2280000</v>
      </c>
      <c r="Y168" s="248"/>
      <c r="Z168" s="247"/>
      <c r="AA168" s="248"/>
      <c r="AB168" s="340">
        <f t="shared" si="39"/>
        <v>5180000</v>
      </c>
      <c r="AC168" s="347">
        <f t="shared" si="41"/>
        <v>0</v>
      </c>
      <c r="AD168" s="249"/>
      <c r="AE168" s="435">
        <f t="shared" si="40"/>
        <v>8562240</v>
      </c>
      <c r="AF168" s="342">
        <f t="shared" si="42"/>
        <v>13742240</v>
      </c>
      <c r="AG168" s="251">
        <f t="shared" si="43"/>
        <v>7927999.9999999991</v>
      </c>
      <c r="AH168" s="241"/>
      <c r="AI168" s="241"/>
      <c r="AJ168" s="241"/>
      <c r="AK168" s="194"/>
      <c r="AL168" s="195"/>
      <c r="AM168" s="195"/>
    </row>
    <row r="169" spans="2:40">
      <c r="B169" s="253">
        <v>8</v>
      </c>
      <c r="C169" s="244"/>
      <c r="D169" s="256"/>
      <c r="E169" s="474">
        <v>306096469360</v>
      </c>
      <c r="F169" s="602" t="s">
        <v>2016</v>
      </c>
      <c r="G169" s="391" t="s">
        <v>3807</v>
      </c>
      <c r="H169" s="230" t="s">
        <v>210</v>
      </c>
      <c r="I169" s="230"/>
      <c r="J169" s="230">
        <v>1</v>
      </c>
      <c r="K169" s="230"/>
      <c r="L169" s="228"/>
      <c r="M169" s="257"/>
      <c r="N169" s="228" t="s">
        <v>3804</v>
      </c>
      <c r="O169" s="228" t="s">
        <v>2030</v>
      </c>
      <c r="P169" s="245"/>
      <c r="Q169" s="2368"/>
      <c r="R169" s="2368"/>
      <c r="S169" s="254"/>
      <c r="T169" s="228"/>
      <c r="U169" s="2357"/>
      <c r="V169" s="256"/>
      <c r="W169" s="373">
        <v>1350000</v>
      </c>
      <c r="X169" s="373">
        <f>3480000/3</f>
        <v>1160000</v>
      </c>
      <c r="Y169" s="248"/>
      <c r="Z169" s="247"/>
      <c r="AA169" s="248"/>
      <c r="AB169" s="340">
        <f t="shared" si="39"/>
        <v>2510000</v>
      </c>
      <c r="AC169" s="347">
        <f t="shared" si="41"/>
        <v>0</v>
      </c>
      <c r="AD169" s="249"/>
      <c r="AE169" s="435">
        <f t="shared" si="40"/>
        <v>4281120</v>
      </c>
      <c r="AF169" s="342">
        <f t="shared" si="42"/>
        <v>6791120</v>
      </c>
      <c r="AG169" s="251">
        <f t="shared" si="43"/>
        <v>3963999.9999999995</v>
      </c>
      <c r="AH169" s="241"/>
      <c r="AI169" s="241"/>
      <c r="AJ169" s="241"/>
      <c r="AK169" s="194"/>
      <c r="AL169" s="195"/>
      <c r="AM169" s="195"/>
    </row>
    <row r="170" spans="2:40">
      <c r="B170" s="253">
        <v>9</v>
      </c>
      <c r="C170" s="244"/>
      <c r="D170" s="256"/>
      <c r="E170" s="474">
        <v>306095303420</v>
      </c>
      <c r="F170" s="602" t="s">
        <v>2016</v>
      </c>
      <c r="G170" s="391" t="s">
        <v>3808</v>
      </c>
      <c r="H170" s="230" t="s">
        <v>210</v>
      </c>
      <c r="I170" s="230"/>
      <c r="J170" s="230">
        <v>1</v>
      </c>
      <c r="K170" s="230"/>
      <c r="L170" s="228"/>
      <c r="M170" s="257"/>
      <c r="N170" s="228" t="s">
        <v>3804</v>
      </c>
      <c r="O170" s="228" t="s">
        <v>2031</v>
      </c>
      <c r="P170" s="245"/>
      <c r="Q170" s="2368"/>
      <c r="R170" s="2368"/>
      <c r="S170" s="254"/>
      <c r="T170" s="228"/>
      <c r="U170" s="2357"/>
      <c r="V170" s="256"/>
      <c r="W170" s="373">
        <v>1450000</v>
      </c>
      <c r="X170" s="373">
        <f>3480000/3</f>
        <v>1160000</v>
      </c>
      <c r="Y170" s="248"/>
      <c r="Z170" s="247"/>
      <c r="AA170" s="248"/>
      <c r="AB170" s="340">
        <f t="shared" si="39"/>
        <v>2610000</v>
      </c>
      <c r="AC170" s="347">
        <f>+Z170</f>
        <v>0</v>
      </c>
      <c r="AD170" s="249"/>
      <c r="AE170" s="435">
        <f t="shared" si="40"/>
        <v>4281120</v>
      </c>
      <c r="AF170" s="342">
        <f t="shared" si="42"/>
        <v>6891120</v>
      </c>
      <c r="AG170" s="251">
        <f t="shared" si="43"/>
        <v>3963999.9999999995</v>
      </c>
      <c r="AH170" s="241"/>
      <c r="AI170" s="241"/>
      <c r="AJ170" s="241"/>
      <c r="AK170" s="194"/>
      <c r="AL170" s="195"/>
      <c r="AM170" s="195"/>
    </row>
    <row r="171" spans="2:40">
      <c r="B171" s="253">
        <v>10</v>
      </c>
      <c r="C171" s="244"/>
      <c r="D171" s="256"/>
      <c r="E171" s="474">
        <v>306095678950</v>
      </c>
      <c r="F171" s="602" t="s">
        <v>2016</v>
      </c>
      <c r="G171" s="391" t="s">
        <v>3809</v>
      </c>
      <c r="H171" s="230" t="s">
        <v>210</v>
      </c>
      <c r="I171" s="230"/>
      <c r="J171" s="230">
        <v>1</v>
      </c>
      <c r="K171" s="230"/>
      <c r="L171" s="228"/>
      <c r="M171" s="257"/>
      <c r="N171" s="228" t="s">
        <v>3804</v>
      </c>
      <c r="O171" s="228" t="s">
        <v>2032</v>
      </c>
      <c r="P171" s="245"/>
      <c r="Q171" s="2368"/>
      <c r="R171" s="2368"/>
      <c r="S171" s="254"/>
      <c r="T171" s="228"/>
      <c r="U171" s="2357"/>
      <c r="V171" s="256"/>
      <c r="W171" s="373">
        <v>1350000</v>
      </c>
      <c r="X171" s="373">
        <f>3480000/3</f>
        <v>1160000</v>
      </c>
      <c r="Y171" s="248"/>
      <c r="Z171" s="247"/>
      <c r="AA171" s="248"/>
      <c r="AB171" s="340">
        <f t="shared" si="39"/>
        <v>2510000</v>
      </c>
      <c r="AC171" s="347">
        <f>+Z171</f>
        <v>0</v>
      </c>
      <c r="AD171" s="249"/>
      <c r="AE171" s="435">
        <f t="shared" si="40"/>
        <v>4281120</v>
      </c>
      <c r="AF171" s="342">
        <f t="shared" si="42"/>
        <v>6791120</v>
      </c>
      <c r="AG171" s="251">
        <f t="shared" si="43"/>
        <v>3963999.9999999995</v>
      </c>
      <c r="AH171" s="241"/>
      <c r="AI171" s="241"/>
      <c r="AJ171" s="241"/>
      <c r="AK171" s="194"/>
      <c r="AL171" s="195"/>
      <c r="AM171" s="195"/>
    </row>
    <row r="172" spans="2:40">
      <c r="B172" s="253">
        <v>11</v>
      </c>
      <c r="C172" s="244"/>
      <c r="D172" s="256"/>
      <c r="E172" s="474">
        <v>306098636120</v>
      </c>
      <c r="F172" s="602" t="s">
        <v>2017</v>
      </c>
      <c r="G172" s="391" t="s">
        <v>3810</v>
      </c>
      <c r="H172" s="230" t="s">
        <v>210</v>
      </c>
      <c r="I172" s="230"/>
      <c r="J172" s="230">
        <v>1</v>
      </c>
      <c r="K172" s="230"/>
      <c r="L172" s="228"/>
      <c r="M172" s="257"/>
      <c r="N172" s="228" t="s">
        <v>3804</v>
      </c>
      <c r="O172" s="228" t="s">
        <v>2036</v>
      </c>
      <c r="P172" s="245"/>
      <c r="Q172" s="2368"/>
      <c r="R172" s="2368"/>
      <c r="S172" s="254"/>
      <c r="T172" s="228"/>
      <c r="U172" s="2357"/>
      <c r="V172" s="256"/>
      <c r="W172" s="373">
        <v>1050000</v>
      </c>
      <c r="X172" s="373">
        <f>2320000/2</f>
        <v>1160000</v>
      </c>
      <c r="Y172" s="248"/>
      <c r="Z172" s="247"/>
      <c r="AA172" s="248"/>
      <c r="AB172" s="340">
        <f t="shared" si="39"/>
        <v>2210000</v>
      </c>
      <c r="AC172" s="347">
        <f t="shared" si="41"/>
        <v>0</v>
      </c>
      <c r="AD172" s="249"/>
      <c r="AE172" s="435">
        <f t="shared" si="40"/>
        <v>4281120</v>
      </c>
      <c r="AF172" s="342">
        <f t="shared" si="42"/>
        <v>6491120</v>
      </c>
      <c r="AG172" s="251">
        <f t="shared" si="43"/>
        <v>3963999.9999999995</v>
      </c>
      <c r="AH172" s="241"/>
      <c r="AI172" s="241"/>
      <c r="AJ172" s="241"/>
      <c r="AK172" s="194"/>
      <c r="AL172" s="195"/>
      <c r="AM172" s="195"/>
    </row>
    <row r="173" spans="2:40">
      <c r="B173" s="253">
        <v>12</v>
      </c>
      <c r="C173" s="244"/>
      <c r="D173" s="256"/>
      <c r="E173" s="474">
        <v>306100832500</v>
      </c>
      <c r="F173" s="602" t="s">
        <v>2017</v>
      </c>
      <c r="G173" s="391" t="s">
        <v>3811</v>
      </c>
      <c r="H173" s="230" t="s">
        <v>210</v>
      </c>
      <c r="I173" s="230"/>
      <c r="J173" s="230">
        <v>1</v>
      </c>
      <c r="K173" s="230"/>
      <c r="L173" s="228"/>
      <c r="M173" s="257"/>
      <c r="N173" s="228" t="s">
        <v>3804</v>
      </c>
      <c r="O173" s="228" t="s">
        <v>2037</v>
      </c>
      <c r="P173" s="245"/>
      <c r="Q173" s="2368"/>
      <c r="R173" s="2368"/>
      <c r="S173" s="254"/>
      <c r="T173" s="228"/>
      <c r="U173" s="2357"/>
      <c r="V173" s="256"/>
      <c r="W173" s="373">
        <v>1450000</v>
      </c>
      <c r="X173" s="373">
        <f>2320000/2</f>
        <v>1160000</v>
      </c>
      <c r="Y173" s="248"/>
      <c r="Z173" s="247"/>
      <c r="AA173" s="248"/>
      <c r="AB173" s="340">
        <f t="shared" si="39"/>
        <v>2610000</v>
      </c>
      <c r="AC173" s="347">
        <f>+Z173</f>
        <v>0</v>
      </c>
      <c r="AD173" s="249"/>
      <c r="AE173" s="435">
        <f t="shared" si="40"/>
        <v>4281120</v>
      </c>
      <c r="AF173" s="342">
        <f>+AB173+AE173</f>
        <v>6891120</v>
      </c>
      <c r="AG173" s="251">
        <f t="shared" si="43"/>
        <v>3963999.9999999995</v>
      </c>
      <c r="AH173" s="241"/>
      <c r="AI173" s="241"/>
      <c r="AJ173" s="241"/>
      <c r="AK173" s="194"/>
      <c r="AL173" s="195"/>
      <c r="AM173" s="195"/>
    </row>
    <row r="174" spans="2:40">
      <c r="B174" s="643" t="s">
        <v>3812</v>
      </c>
      <c r="C174" s="644"/>
      <c r="D174" s="346"/>
      <c r="E174" s="644"/>
      <c r="F174" s="644"/>
      <c r="G174" s="644"/>
      <c r="H174" s="644"/>
      <c r="I174" s="644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57"/>
      <c r="W174" s="357"/>
      <c r="X174" s="357"/>
      <c r="Y174" s="357"/>
      <c r="Z174" s="357"/>
      <c r="AA174" s="357"/>
      <c r="AB174" s="358">
        <f>SUM(AB162:AB173)</f>
        <v>32789600</v>
      </c>
      <c r="AC174" s="358">
        <f>SUM(AC153:AC170)</f>
        <v>0</v>
      </c>
      <c r="AD174" s="358">
        <f>SUM(AD151:AD170)</f>
        <v>0</v>
      </c>
      <c r="AE174" s="358">
        <f>SUM(AE162:AE173)</f>
        <v>59719680</v>
      </c>
      <c r="AF174" s="358">
        <f>+AB174+AE174</f>
        <v>92509280</v>
      </c>
      <c r="AG174" s="358">
        <f>+AE174/1.08</f>
        <v>55296000</v>
      </c>
      <c r="AH174" s="357"/>
      <c r="AI174" s="357"/>
      <c r="AJ174" s="357"/>
      <c r="AK174" s="357"/>
      <c r="AL174" s="357"/>
      <c r="AM174" s="357"/>
    </row>
    <row r="175" spans="2:40">
      <c r="B175" s="253">
        <v>1</v>
      </c>
      <c r="C175" s="244"/>
      <c r="D175" s="587"/>
      <c r="E175" s="466">
        <v>105995242841</v>
      </c>
      <c r="F175" s="603" t="s">
        <v>2054</v>
      </c>
      <c r="G175" s="391" t="s">
        <v>3813</v>
      </c>
      <c r="H175" s="230" t="s">
        <v>3579</v>
      </c>
      <c r="I175" s="230"/>
      <c r="J175" s="230"/>
      <c r="K175" s="230">
        <v>1</v>
      </c>
      <c r="L175" s="228"/>
      <c r="M175" s="275">
        <v>438500</v>
      </c>
      <c r="N175" s="228" t="s">
        <v>2055</v>
      </c>
      <c r="P175" s="245"/>
      <c r="Q175" s="2368"/>
      <c r="R175" s="2368"/>
      <c r="S175" s="254"/>
      <c r="T175" s="228"/>
      <c r="U175" s="2357"/>
      <c r="V175" s="324">
        <v>35345</v>
      </c>
      <c r="W175" s="248"/>
      <c r="X175" s="248"/>
      <c r="Y175" s="248"/>
      <c r="Z175" s="247"/>
      <c r="AA175" s="248"/>
      <c r="AB175" s="340">
        <f t="shared" ref="AB175:AB187" si="44">V175+W175+X175+Y175+Z175+AA175</f>
        <v>35345</v>
      </c>
      <c r="AC175" s="347">
        <f>+Z175</f>
        <v>0</v>
      </c>
      <c r="AD175" s="249"/>
      <c r="AE175" s="435">
        <f>+(1320000*1.08+((I175+J175+K175)*150000)*1.08)</f>
        <v>1587600</v>
      </c>
      <c r="AF175" s="342">
        <f>+AB175+AE175</f>
        <v>1622945</v>
      </c>
      <c r="AG175" s="251">
        <f>+AE175/1.08</f>
        <v>1470000</v>
      </c>
      <c r="AH175" s="241"/>
      <c r="AI175" s="241"/>
      <c r="AJ175" s="241"/>
      <c r="AK175" s="194"/>
      <c r="AL175" s="195"/>
      <c r="AM175" s="195"/>
    </row>
    <row r="176" spans="2:40">
      <c r="B176" s="253">
        <v>2</v>
      </c>
      <c r="C176" s="244"/>
      <c r="D176" s="587"/>
      <c r="E176" s="474">
        <v>306120212920</v>
      </c>
      <c r="F176" s="603" t="s">
        <v>2064</v>
      </c>
      <c r="G176" s="391" t="s">
        <v>3814</v>
      </c>
      <c r="H176" s="230" t="s">
        <v>748</v>
      </c>
      <c r="I176" s="230"/>
      <c r="J176" s="230">
        <v>1</v>
      </c>
      <c r="K176" s="230"/>
      <c r="L176" s="228"/>
      <c r="M176" s="257"/>
      <c r="N176" s="228">
        <v>6372167180</v>
      </c>
      <c r="O176" s="228" t="s">
        <v>3815</v>
      </c>
      <c r="P176" s="245"/>
      <c r="Q176" s="2368"/>
      <c r="R176" s="2368"/>
      <c r="S176" s="254"/>
      <c r="T176" s="228"/>
      <c r="U176" s="2357"/>
      <c r="V176" s="256"/>
      <c r="W176" s="373">
        <v>1140000</v>
      </c>
      <c r="X176" s="373">
        <v>1450000</v>
      </c>
      <c r="Y176" s="248"/>
      <c r="Z176" s="247"/>
      <c r="AA176" s="248"/>
      <c r="AB176" s="340">
        <f t="shared" si="44"/>
        <v>2590000</v>
      </c>
      <c r="AC176" s="347">
        <f t="shared" ref="AC176:AC183" si="45">+Z176</f>
        <v>0</v>
      </c>
      <c r="AD176" s="249"/>
      <c r="AE176" s="435">
        <f t="shared" ref="AE176:AE184" si="46">+(I176*3714000+J176*(3714000+100000))*1.08+((I176+J176+K176)*150000)*1.08</f>
        <v>4281120</v>
      </c>
      <c r="AF176" s="342">
        <f t="shared" ref="AF176:AF183" si="47">+AB176+AE176</f>
        <v>6871120</v>
      </c>
      <c r="AG176" s="251">
        <f t="shared" ref="AG176:AG183" si="48">+AE176/1.08</f>
        <v>3963999.9999999995</v>
      </c>
      <c r="AH176" s="241"/>
      <c r="AI176" s="241"/>
      <c r="AJ176" s="241"/>
      <c r="AK176" s="194"/>
      <c r="AL176" s="195"/>
      <c r="AM176" s="195"/>
    </row>
    <row r="177" spans="2:39" ht="31.2">
      <c r="B177" s="253">
        <v>3</v>
      </c>
      <c r="C177" s="244"/>
      <c r="D177" s="587"/>
      <c r="E177" s="474">
        <v>306122185740</v>
      </c>
      <c r="F177" s="603" t="s">
        <v>2065</v>
      </c>
      <c r="G177" s="391" t="s">
        <v>3816</v>
      </c>
      <c r="H177" s="230" t="s">
        <v>210</v>
      </c>
      <c r="I177" s="230"/>
      <c r="J177" s="230">
        <v>2</v>
      </c>
      <c r="K177" s="230"/>
      <c r="L177" s="228"/>
      <c r="M177" s="257"/>
      <c r="N177" s="228">
        <v>6372167400</v>
      </c>
      <c r="O177" s="254" t="s">
        <v>2066</v>
      </c>
      <c r="P177" s="245"/>
      <c r="Q177" s="2368"/>
      <c r="R177" s="2368"/>
      <c r="S177" s="254"/>
      <c r="T177" s="228"/>
      <c r="U177" s="2357"/>
      <c r="V177" s="256"/>
      <c r="W177" s="373">
        <f>1140000+1140000</f>
        <v>2280000</v>
      </c>
      <c r="X177" s="373">
        <f>1450000+1450000</f>
        <v>2900000</v>
      </c>
      <c r="Y177" s="248"/>
      <c r="Z177" s="247"/>
      <c r="AA177" s="248"/>
      <c r="AB177" s="340">
        <f t="shared" si="44"/>
        <v>5180000</v>
      </c>
      <c r="AC177" s="347">
        <f t="shared" si="45"/>
        <v>0</v>
      </c>
      <c r="AD177" s="249"/>
      <c r="AE177" s="435">
        <f t="shared" si="46"/>
        <v>8562240</v>
      </c>
      <c r="AF177" s="342">
        <f t="shared" si="47"/>
        <v>13742240</v>
      </c>
      <c r="AG177" s="251">
        <f t="shared" si="48"/>
        <v>7927999.9999999991</v>
      </c>
      <c r="AH177" s="241"/>
      <c r="AI177" s="241"/>
      <c r="AJ177" s="241"/>
      <c r="AK177" s="194"/>
      <c r="AL177" s="195"/>
      <c r="AM177" s="195"/>
    </row>
    <row r="178" spans="2:39" ht="16.5" customHeight="1">
      <c r="B178" s="253">
        <v>4</v>
      </c>
      <c r="C178" s="244"/>
      <c r="D178" s="587"/>
      <c r="E178" s="474">
        <v>306126807950</v>
      </c>
      <c r="F178" s="603" t="s">
        <v>2068</v>
      </c>
      <c r="G178" s="391" t="s">
        <v>3817</v>
      </c>
      <c r="H178" s="230" t="s">
        <v>210</v>
      </c>
      <c r="I178" s="230"/>
      <c r="J178" s="230">
        <v>1</v>
      </c>
      <c r="K178" s="230"/>
      <c r="L178" s="228"/>
      <c r="M178" s="257"/>
      <c r="N178" s="228" t="s">
        <v>3818</v>
      </c>
      <c r="O178" s="228" t="s">
        <v>2067</v>
      </c>
      <c r="P178" s="245"/>
      <c r="Q178" s="2368"/>
      <c r="R178" s="2368"/>
      <c r="S178" s="254"/>
      <c r="T178" s="228"/>
      <c r="U178" s="2357"/>
      <c r="V178" s="256"/>
      <c r="W178" s="373">
        <v>1050000</v>
      </c>
      <c r="X178" s="373">
        <v>1140000</v>
      </c>
      <c r="Y178" s="248"/>
      <c r="Z178" s="247"/>
      <c r="AA178" s="248"/>
      <c r="AB178" s="340">
        <f t="shared" si="44"/>
        <v>2190000</v>
      </c>
      <c r="AC178" s="347">
        <f t="shared" si="45"/>
        <v>0</v>
      </c>
      <c r="AD178" s="249"/>
      <c r="AE178" s="435">
        <f t="shared" si="46"/>
        <v>4281120</v>
      </c>
      <c r="AF178" s="342">
        <f t="shared" si="47"/>
        <v>6471120</v>
      </c>
      <c r="AG178" s="251">
        <f t="shared" si="48"/>
        <v>3963999.9999999995</v>
      </c>
      <c r="AH178" s="241"/>
      <c r="AI178" s="241"/>
      <c r="AJ178" s="241"/>
      <c r="AK178" s="194"/>
      <c r="AL178" s="195"/>
      <c r="AM178" s="195"/>
    </row>
    <row r="179" spans="2:39">
      <c r="B179" s="253">
        <v>5</v>
      </c>
      <c r="C179" s="244"/>
      <c r="D179" s="587"/>
      <c r="E179" s="474">
        <v>306126608450</v>
      </c>
      <c r="F179" s="603" t="s">
        <v>2068</v>
      </c>
      <c r="G179" s="391" t="s">
        <v>3819</v>
      </c>
      <c r="H179" s="230" t="s">
        <v>210</v>
      </c>
      <c r="I179" s="230"/>
      <c r="J179" s="230">
        <v>1</v>
      </c>
      <c r="K179" s="230"/>
      <c r="L179" s="228"/>
      <c r="M179" s="257"/>
      <c r="N179" s="228">
        <v>6373833340</v>
      </c>
      <c r="O179" s="228" t="s">
        <v>2069</v>
      </c>
      <c r="P179" s="245"/>
      <c r="Q179" s="2368"/>
      <c r="R179" s="2368"/>
      <c r="S179" s="254"/>
      <c r="T179" s="228"/>
      <c r="U179" s="2357"/>
      <c r="V179" s="256"/>
      <c r="W179" s="373">
        <v>1140000</v>
      </c>
      <c r="X179" s="373">
        <v>1450000</v>
      </c>
      <c r="Y179" s="248"/>
      <c r="Z179" s="247"/>
      <c r="AA179" s="248"/>
      <c r="AB179" s="340">
        <f t="shared" si="44"/>
        <v>2590000</v>
      </c>
      <c r="AC179" s="347">
        <f t="shared" si="45"/>
        <v>0</v>
      </c>
      <c r="AD179" s="249"/>
      <c r="AE179" s="435">
        <f t="shared" si="46"/>
        <v>4281120</v>
      </c>
      <c r="AF179" s="342">
        <f t="shared" si="47"/>
        <v>6871120</v>
      </c>
      <c r="AG179" s="251">
        <f t="shared" si="48"/>
        <v>3963999.9999999995</v>
      </c>
      <c r="AH179" s="241"/>
      <c r="AI179" s="241"/>
      <c r="AJ179" s="241"/>
      <c r="AK179" s="194"/>
      <c r="AL179" s="195"/>
      <c r="AM179" s="195"/>
    </row>
    <row r="180" spans="2:39">
      <c r="B180" s="253">
        <v>6</v>
      </c>
      <c r="C180" s="244"/>
      <c r="D180" s="587"/>
      <c r="E180" s="474">
        <v>306146969940</v>
      </c>
      <c r="F180" s="603" t="s">
        <v>2087</v>
      </c>
      <c r="G180" s="391" t="s">
        <v>3820</v>
      </c>
      <c r="H180" s="230" t="s">
        <v>210</v>
      </c>
      <c r="I180" s="230">
        <v>1</v>
      </c>
      <c r="J180" s="230"/>
      <c r="K180" s="230"/>
      <c r="L180" s="228"/>
      <c r="M180" s="257"/>
      <c r="N180" s="228" t="s">
        <v>2094</v>
      </c>
      <c r="O180" s="228" t="s">
        <v>2095</v>
      </c>
      <c r="P180" s="245"/>
      <c r="Q180" s="2368"/>
      <c r="R180" s="2368"/>
      <c r="S180" s="254"/>
      <c r="T180" s="228"/>
      <c r="U180" s="2357"/>
      <c r="V180" s="256"/>
      <c r="W180" s="373">
        <v>900000</v>
      </c>
      <c r="X180" s="373">
        <v>710000</v>
      </c>
      <c r="Y180" s="248"/>
      <c r="Z180" s="247"/>
      <c r="AA180" s="248"/>
      <c r="AB180" s="340">
        <f t="shared" si="44"/>
        <v>1610000</v>
      </c>
      <c r="AC180" s="347">
        <f t="shared" si="45"/>
        <v>0</v>
      </c>
      <c r="AD180" s="249"/>
      <c r="AE180" s="435">
        <f t="shared" si="46"/>
        <v>4173120.0000000005</v>
      </c>
      <c r="AF180" s="342">
        <f t="shared" si="47"/>
        <v>5783120</v>
      </c>
      <c r="AG180" s="251">
        <f t="shared" si="48"/>
        <v>3864000</v>
      </c>
      <c r="AH180" s="241"/>
      <c r="AI180" s="241"/>
      <c r="AJ180" s="241"/>
      <c r="AK180" s="194"/>
      <c r="AL180" s="195"/>
      <c r="AM180" s="195"/>
    </row>
    <row r="181" spans="2:39" ht="31.2">
      <c r="B181" s="253">
        <v>7</v>
      </c>
      <c r="C181" s="244"/>
      <c r="D181" s="587"/>
      <c r="E181" s="474">
        <v>306155270430</v>
      </c>
      <c r="F181" s="602" t="s">
        <v>2113</v>
      </c>
      <c r="G181" s="391" t="s">
        <v>3821</v>
      </c>
      <c r="H181" s="230" t="s">
        <v>210</v>
      </c>
      <c r="I181" s="230"/>
      <c r="J181" s="230">
        <v>2</v>
      </c>
      <c r="K181" s="230"/>
      <c r="L181" s="228"/>
      <c r="M181" s="257"/>
      <c r="N181" s="228">
        <v>6372572030</v>
      </c>
      <c r="O181" s="254" t="s">
        <v>2118</v>
      </c>
      <c r="P181" s="245"/>
      <c r="Q181" s="2368"/>
      <c r="R181" s="2368"/>
      <c r="S181" s="254"/>
      <c r="T181" s="228"/>
      <c r="U181" s="2357"/>
      <c r="V181" s="256"/>
      <c r="W181" s="373">
        <f>1450000+1450000</f>
        <v>2900000</v>
      </c>
      <c r="X181" s="373">
        <f>1140000+1140000</f>
        <v>2280000</v>
      </c>
      <c r="Y181" s="248"/>
      <c r="Z181" s="247"/>
      <c r="AA181" s="248"/>
      <c r="AB181" s="340">
        <f t="shared" si="44"/>
        <v>5180000</v>
      </c>
      <c r="AC181" s="347">
        <f t="shared" si="45"/>
        <v>0</v>
      </c>
      <c r="AD181" s="249"/>
      <c r="AE181" s="435">
        <f t="shared" si="46"/>
        <v>8562240</v>
      </c>
      <c r="AF181" s="342">
        <f t="shared" si="47"/>
        <v>13742240</v>
      </c>
      <c r="AG181" s="251">
        <f t="shared" si="48"/>
        <v>7927999.9999999991</v>
      </c>
      <c r="AH181" s="241"/>
      <c r="AI181" s="241"/>
      <c r="AJ181" s="241"/>
      <c r="AK181" s="194"/>
      <c r="AL181" s="195"/>
      <c r="AM181" s="195"/>
    </row>
    <row r="182" spans="2:39">
      <c r="B182" s="253">
        <v>8</v>
      </c>
      <c r="C182" s="244"/>
      <c r="D182" s="587"/>
      <c r="E182" s="474">
        <v>306159236260</v>
      </c>
      <c r="F182" s="602" t="s">
        <v>2110</v>
      </c>
      <c r="G182" s="391" t="s">
        <v>3822</v>
      </c>
      <c r="H182" s="230" t="s">
        <v>210</v>
      </c>
      <c r="I182" s="230"/>
      <c r="J182" s="230">
        <v>1</v>
      </c>
      <c r="K182" s="230"/>
      <c r="L182" s="228"/>
      <c r="M182" s="257"/>
      <c r="N182" s="228" t="s">
        <v>2119</v>
      </c>
      <c r="O182" s="228" t="s">
        <v>2120</v>
      </c>
      <c r="P182" s="245"/>
      <c r="Q182" s="2368"/>
      <c r="R182" s="2368"/>
      <c r="S182" s="254"/>
      <c r="T182" s="228"/>
      <c r="U182" s="2357"/>
      <c r="V182" s="256"/>
      <c r="W182" s="373">
        <v>1300000</v>
      </c>
      <c r="X182" s="373">
        <v>766800</v>
      </c>
      <c r="Y182" s="248"/>
      <c r="Z182" s="247"/>
      <c r="AA182" s="248"/>
      <c r="AB182" s="340">
        <f t="shared" si="44"/>
        <v>2066800</v>
      </c>
      <c r="AC182" s="347">
        <f t="shared" si="45"/>
        <v>0</v>
      </c>
      <c r="AD182" s="249"/>
      <c r="AE182" s="435">
        <f t="shared" si="46"/>
        <v>4281120</v>
      </c>
      <c r="AF182" s="342">
        <f t="shared" si="47"/>
        <v>6347920</v>
      </c>
      <c r="AG182" s="251">
        <f t="shared" si="48"/>
        <v>3963999.9999999995</v>
      </c>
      <c r="AH182" s="241"/>
      <c r="AI182" s="241"/>
      <c r="AJ182" s="241"/>
      <c r="AK182" s="194"/>
      <c r="AL182" s="195"/>
      <c r="AM182" s="195"/>
    </row>
    <row r="183" spans="2:39">
      <c r="B183" s="253">
        <v>9</v>
      </c>
      <c r="C183" s="244"/>
      <c r="D183" s="587"/>
      <c r="E183" s="474">
        <v>306164049240</v>
      </c>
      <c r="F183" s="602" t="s">
        <v>2124</v>
      </c>
      <c r="G183" s="391" t="s">
        <v>3823</v>
      </c>
      <c r="H183" s="230" t="s">
        <v>210</v>
      </c>
      <c r="I183" s="230"/>
      <c r="J183" s="230">
        <v>1</v>
      </c>
      <c r="K183" s="230"/>
      <c r="L183" s="228"/>
      <c r="M183" s="257"/>
      <c r="N183" s="228" t="s">
        <v>2134</v>
      </c>
      <c r="O183" s="228" t="s">
        <v>2128</v>
      </c>
      <c r="P183" s="245"/>
      <c r="Q183" s="2368"/>
      <c r="R183" s="2368"/>
      <c r="S183" s="254"/>
      <c r="T183" s="228"/>
      <c r="U183" s="2357"/>
      <c r="V183" s="256"/>
      <c r="W183" s="373">
        <v>588600</v>
      </c>
      <c r="X183" s="373">
        <v>1160000</v>
      </c>
      <c r="Y183" s="248"/>
      <c r="Z183" s="247"/>
      <c r="AA183" s="248"/>
      <c r="AB183" s="340">
        <f t="shared" si="44"/>
        <v>1748600</v>
      </c>
      <c r="AC183" s="347">
        <f t="shared" si="45"/>
        <v>0</v>
      </c>
      <c r="AD183" s="249"/>
      <c r="AE183" s="435">
        <f t="shared" si="46"/>
        <v>4281120</v>
      </c>
      <c r="AF183" s="342">
        <f t="shared" si="47"/>
        <v>6029720</v>
      </c>
      <c r="AG183" s="251">
        <f t="shared" si="48"/>
        <v>3963999.9999999995</v>
      </c>
      <c r="AH183" s="241"/>
      <c r="AI183" s="241"/>
      <c r="AJ183" s="241"/>
      <c r="AK183" s="194"/>
      <c r="AL183" s="195"/>
      <c r="AM183" s="195"/>
    </row>
    <row r="184" spans="2:39" ht="31.2">
      <c r="B184" s="253">
        <v>10</v>
      </c>
      <c r="C184" s="244"/>
      <c r="D184" s="587"/>
      <c r="E184" s="474">
        <v>306165372940</v>
      </c>
      <c r="F184" s="602" t="s">
        <v>2124</v>
      </c>
      <c r="G184" s="391" t="s">
        <v>3824</v>
      </c>
      <c r="H184" s="230" t="s">
        <v>210</v>
      </c>
      <c r="I184" s="230"/>
      <c r="J184" s="230">
        <v>2</v>
      </c>
      <c r="K184" s="230"/>
      <c r="L184" s="228"/>
      <c r="M184" s="257"/>
      <c r="N184" s="228">
        <v>6372572140</v>
      </c>
      <c r="O184" s="254" t="s">
        <v>2129</v>
      </c>
      <c r="P184" s="245"/>
      <c r="Q184" s="2368"/>
      <c r="R184" s="2368"/>
      <c r="S184" s="254"/>
      <c r="T184" s="228"/>
      <c r="U184" s="2357"/>
      <c r="V184" s="256"/>
      <c r="W184" s="373">
        <f>1450000+1450000</f>
        <v>2900000</v>
      </c>
      <c r="X184" s="373">
        <f>1140000+1140000</f>
        <v>2280000</v>
      </c>
      <c r="Y184" s="248"/>
      <c r="Z184" s="247"/>
      <c r="AA184" s="248"/>
      <c r="AB184" s="340">
        <f t="shared" si="44"/>
        <v>5180000</v>
      </c>
      <c r="AC184" s="347">
        <f>+Z184</f>
        <v>0</v>
      </c>
      <c r="AD184" s="249"/>
      <c r="AE184" s="435">
        <f t="shared" si="46"/>
        <v>8562240</v>
      </c>
      <c r="AF184" s="342">
        <f t="shared" ref="AF184:AF189" si="49">+AB184+AE184</f>
        <v>13742240</v>
      </c>
      <c r="AG184" s="251">
        <f t="shared" ref="AG184:AG189" si="50">+AE184/1.08</f>
        <v>7927999.9999999991</v>
      </c>
      <c r="AH184" s="241"/>
      <c r="AI184" s="241"/>
      <c r="AJ184" s="241"/>
      <c r="AK184" s="194"/>
      <c r="AL184" s="195"/>
      <c r="AM184" s="195"/>
    </row>
    <row r="185" spans="2:39">
      <c r="B185" s="253">
        <v>11</v>
      </c>
      <c r="C185" s="244"/>
      <c r="D185" s="475"/>
      <c r="E185" s="466">
        <v>106045421311</v>
      </c>
      <c r="F185" s="602" t="s">
        <v>2131</v>
      </c>
      <c r="G185" s="391" t="s">
        <v>3825</v>
      </c>
      <c r="H185" s="230" t="s">
        <v>3579</v>
      </c>
      <c r="I185" s="230"/>
      <c r="J185" s="230"/>
      <c r="K185" s="230">
        <v>1</v>
      </c>
      <c r="L185" s="228"/>
      <c r="M185" s="543" t="s">
        <v>2133</v>
      </c>
      <c r="N185" s="228" t="s">
        <v>2132</v>
      </c>
      <c r="O185" s="228"/>
      <c r="P185" s="245"/>
      <c r="Q185" s="2368"/>
      <c r="R185" s="2368"/>
      <c r="S185" s="254"/>
      <c r="T185" s="543" t="s">
        <v>2133</v>
      </c>
      <c r="U185" s="2361"/>
      <c r="V185" s="324">
        <v>13313</v>
      </c>
      <c r="W185" s="248"/>
      <c r="X185" s="248"/>
      <c r="Y185" s="248"/>
      <c r="Z185" s="247"/>
      <c r="AA185" s="248"/>
      <c r="AB185" s="340">
        <f t="shared" si="44"/>
        <v>13313</v>
      </c>
      <c r="AC185" s="347">
        <f>+Z185</f>
        <v>0</v>
      </c>
      <c r="AD185" s="249"/>
      <c r="AE185" s="435">
        <f>+(1320000*1.08+((I185+J185+K185)*150000)*1.08)</f>
        <v>1587600</v>
      </c>
      <c r="AF185" s="342">
        <f t="shared" si="49"/>
        <v>1600913</v>
      </c>
      <c r="AG185" s="251">
        <f t="shared" si="50"/>
        <v>1470000</v>
      </c>
      <c r="AH185" s="241"/>
      <c r="AI185" s="241"/>
      <c r="AJ185" s="241"/>
      <c r="AK185" s="194"/>
      <c r="AL185" s="195"/>
      <c r="AM185" s="195"/>
    </row>
    <row r="186" spans="2:39" ht="31.2">
      <c r="B186" s="253">
        <v>12</v>
      </c>
      <c r="C186" s="253"/>
      <c r="D186" s="228"/>
      <c r="E186" s="588" t="s">
        <v>2148</v>
      </c>
      <c r="F186" s="602" t="s">
        <v>2131</v>
      </c>
      <c r="G186" s="391" t="s">
        <v>3826</v>
      </c>
      <c r="H186" s="230" t="s">
        <v>3579</v>
      </c>
      <c r="I186" s="230"/>
      <c r="J186" s="228">
        <v>1</v>
      </c>
      <c r="K186" s="230"/>
      <c r="L186" s="230"/>
      <c r="M186" s="475"/>
      <c r="N186" s="589" t="s">
        <v>2147</v>
      </c>
      <c r="O186" s="254" t="s">
        <v>2146</v>
      </c>
      <c r="P186" s="228"/>
      <c r="Q186" s="2357"/>
      <c r="R186" s="2357"/>
      <c r="S186" s="245"/>
      <c r="T186" s="543"/>
      <c r="U186" s="2361"/>
      <c r="V186" s="256"/>
      <c r="W186" s="324">
        <v>1128600</v>
      </c>
      <c r="X186" s="373">
        <v>1250000</v>
      </c>
      <c r="Y186" s="248"/>
      <c r="Z186" s="248"/>
      <c r="AA186" s="247"/>
      <c r="AB186" s="340">
        <f t="shared" si="44"/>
        <v>2378600</v>
      </c>
      <c r="AC186" s="347">
        <f>+Z186</f>
        <v>0</v>
      </c>
      <c r="AD186" s="347"/>
      <c r="AE186" s="435">
        <f>+(I186*3714000+J186*(3714000+100000))*1.08+((I186+J186+K186)*150000)*1.08</f>
        <v>4281120</v>
      </c>
      <c r="AF186" s="342">
        <f t="shared" si="49"/>
        <v>6659720</v>
      </c>
      <c r="AG186" s="251">
        <f t="shared" si="50"/>
        <v>3963999.9999999995</v>
      </c>
      <c r="AH186" s="251"/>
      <c r="AI186" s="241"/>
      <c r="AJ186" s="241"/>
      <c r="AK186" s="241"/>
      <c r="AL186" s="194"/>
      <c r="AM186" s="195"/>
    </row>
    <row r="187" spans="2:39" ht="31.2">
      <c r="B187" s="253">
        <v>13</v>
      </c>
      <c r="C187" s="253"/>
      <c r="D187" s="228"/>
      <c r="E187" s="588" t="s">
        <v>2151</v>
      </c>
      <c r="F187" s="602" t="s">
        <v>2144</v>
      </c>
      <c r="G187" s="391" t="s">
        <v>3827</v>
      </c>
      <c r="H187" s="230" t="s">
        <v>3579</v>
      </c>
      <c r="I187" s="230"/>
      <c r="J187" s="228">
        <v>1</v>
      </c>
      <c r="K187" s="230"/>
      <c r="L187" s="230"/>
      <c r="M187" s="475"/>
      <c r="N187" s="254" t="s">
        <v>2150</v>
      </c>
      <c r="O187" s="254" t="s">
        <v>2149</v>
      </c>
      <c r="P187" s="228"/>
      <c r="Q187" s="2357"/>
      <c r="R187" s="2357"/>
      <c r="S187" s="245"/>
      <c r="T187" s="543"/>
      <c r="U187" s="2361"/>
      <c r="V187" s="324">
        <v>361800</v>
      </c>
      <c r="W187" s="324">
        <v>766800</v>
      </c>
      <c r="X187" s="373">
        <v>1050000</v>
      </c>
      <c r="Y187" s="248"/>
      <c r="Z187" s="248"/>
      <c r="AA187" s="247"/>
      <c r="AB187" s="340">
        <f t="shared" si="44"/>
        <v>2178600</v>
      </c>
      <c r="AC187" s="347">
        <f>+Z187</f>
        <v>0</v>
      </c>
      <c r="AD187" s="347"/>
      <c r="AE187" s="435">
        <f>+(I187*3714000+J187*(3714000+100000))*1.08+((I187+J187+K187)*150000)*1.08</f>
        <v>4281120</v>
      </c>
      <c r="AF187" s="342">
        <f t="shared" si="49"/>
        <v>6459720</v>
      </c>
      <c r="AG187" s="251">
        <f t="shared" si="50"/>
        <v>3963999.9999999995</v>
      </c>
      <c r="AH187" s="251"/>
      <c r="AI187" s="241"/>
      <c r="AJ187" s="241"/>
      <c r="AK187" s="241"/>
      <c r="AL187" s="194"/>
      <c r="AM187" s="195"/>
    </row>
    <row r="188" spans="2:39">
      <c r="B188" s="643" t="s">
        <v>3828</v>
      </c>
      <c r="C188" s="644"/>
      <c r="D188" s="346"/>
      <c r="E188" s="644"/>
      <c r="F188" s="644"/>
      <c r="G188" s="644"/>
      <c r="H188" s="644"/>
      <c r="I188" s="644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57"/>
      <c r="W188" s="590"/>
      <c r="X188" s="357"/>
      <c r="Y188" s="357"/>
      <c r="Z188" s="357"/>
      <c r="AA188" s="357"/>
      <c r="AB188" s="358">
        <f>SUM(AB175:AB185)</f>
        <v>28384058</v>
      </c>
      <c r="AC188" s="358">
        <f>SUM(AC165:AC182)</f>
        <v>0</v>
      </c>
      <c r="AD188" s="358">
        <f>SUM(AD163:AD182)</f>
        <v>0</v>
      </c>
      <c r="AE188" s="358">
        <f>SUM(AE175:AE185)</f>
        <v>54440640</v>
      </c>
      <c r="AF188" s="358">
        <f t="shared" si="49"/>
        <v>82824698</v>
      </c>
      <c r="AG188" s="358">
        <f t="shared" si="50"/>
        <v>50408000</v>
      </c>
      <c r="AH188" s="357"/>
      <c r="AI188" s="357"/>
      <c r="AJ188" s="357"/>
      <c r="AK188" s="357"/>
      <c r="AL188" s="357"/>
      <c r="AM188" s="357"/>
    </row>
    <row r="189" spans="2:39" ht="31.2">
      <c r="B189" s="253">
        <v>1</v>
      </c>
      <c r="C189" s="244"/>
      <c r="D189" s="256"/>
      <c r="E189" s="474">
        <v>306174187230</v>
      </c>
      <c r="F189" s="602" t="s">
        <v>2144</v>
      </c>
      <c r="G189" s="391" t="s">
        <v>3829</v>
      </c>
      <c r="H189" s="230" t="s">
        <v>210</v>
      </c>
      <c r="I189" s="230">
        <v>1</v>
      </c>
      <c r="J189" s="230">
        <v>1</v>
      </c>
      <c r="K189" s="230"/>
      <c r="L189" s="228"/>
      <c r="M189" s="257"/>
      <c r="N189" s="228" t="s">
        <v>2143</v>
      </c>
      <c r="O189" s="254" t="s">
        <v>2145</v>
      </c>
      <c r="P189" s="245"/>
      <c r="Q189" s="2368"/>
      <c r="R189" s="2368"/>
      <c r="S189" s="254"/>
      <c r="T189" s="228"/>
      <c r="U189" s="2357"/>
      <c r="V189" s="256"/>
      <c r="W189" s="373">
        <f>1200000+750000</f>
        <v>1950000</v>
      </c>
      <c r="X189" s="373">
        <v>1870000</v>
      </c>
      <c r="Y189" s="248"/>
      <c r="Z189" s="247"/>
      <c r="AA189" s="248"/>
      <c r="AB189" s="340">
        <f t="shared" ref="AB189:AB201" si="51">V189+W189+X189+Y189+Z189+AA189</f>
        <v>3820000</v>
      </c>
      <c r="AC189" s="347">
        <f>+Z189</f>
        <v>0</v>
      </c>
      <c r="AD189" s="249"/>
      <c r="AE189" s="435">
        <f t="shared" ref="AE189:AE201" si="52">+(I189*3778000+J189*(3778000+100000))*1.08+((I189+J189+K189)*150000)*1.08</f>
        <v>8592480</v>
      </c>
      <c r="AF189" s="342">
        <f t="shared" si="49"/>
        <v>12412480</v>
      </c>
      <c r="AG189" s="251">
        <f t="shared" si="50"/>
        <v>7955999.9999999991</v>
      </c>
      <c r="AH189" s="241"/>
      <c r="AI189" s="241"/>
      <c r="AJ189" s="241"/>
      <c r="AK189" s="194"/>
      <c r="AL189" s="195"/>
      <c r="AM189" s="195"/>
    </row>
    <row r="190" spans="2:39">
      <c r="B190" s="253">
        <v>2</v>
      </c>
      <c r="C190" s="244"/>
      <c r="D190" s="256"/>
      <c r="E190" s="474">
        <v>306176122840</v>
      </c>
      <c r="F190" s="602" t="s">
        <v>2159</v>
      </c>
      <c r="G190" s="391" t="s">
        <v>3830</v>
      </c>
      <c r="H190" s="230" t="s">
        <v>748</v>
      </c>
      <c r="I190" s="230"/>
      <c r="J190" s="230">
        <v>1</v>
      </c>
      <c r="K190" s="230"/>
      <c r="L190" s="228"/>
      <c r="M190" s="257"/>
      <c r="N190" s="228" t="s">
        <v>2158</v>
      </c>
      <c r="O190" s="228" t="s">
        <v>2160</v>
      </c>
      <c r="P190" s="245"/>
      <c r="Q190" s="2368"/>
      <c r="R190" s="2368"/>
      <c r="S190" s="254"/>
      <c r="T190" s="228"/>
      <c r="U190" s="2357"/>
      <c r="V190" s="256"/>
      <c r="W190" s="373">
        <v>588600</v>
      </c>
      <c r="X190" s="373">
        <v>1160000</v>
      </c>
      <c r="Y190" s="248"/>
      <c r="Z190" s="247"/>
      <c r="AA190" s="248"/>
      <c r="AB190" s="340">
        <f t="shared" si="51"/>
        <v>1748600</v>
      </c>
      <c r="AC190" s="347">
        <f t="shared" ref="AC190:AC197" si="53">+Z190</f>
        <v>0</v>
      </c>
      <c r="AD190" s="249"/>
      <c r="AE190" s="435">
        <f t="shared" si="52"/>
        <v>4350240</v>
      </c>
      <c r="AF190" s="342">
        <f t="shared" ref="AF190:AF197" si="54">+AB190+AE190</f>
        <v>6098840</v>
      </c>
      <c r="AG190" s="251">
        <f t="shared" ref="AG190:AG197" si="55">+AE190/1.08</f>
        <v>4027999.9999999995</v>
      </c>
      <c r="AH190" s="241"/>
      <c r="AI190" s="241"/>
      <c r="AJ190" s="241"/>
      <c r="AK190" s="194"/>
      <c r="AL190" s="195"/>
      <c r="AM190" s="195"/>
    </row>
    <row r="191" spans="2:39">
      <c r="B191" s="253">
        <v>3</v>
      </c>
      <c r="C191" s="244"/>
      <c r="D191" s="256"/>
      <c r="E191" s="474">
        <v>306178565950</v>
      </c>
      <c r="F191" s="602" t="s">
        <v>2159</v>
      </c>
      <c r="G191" s="391" t="s">
        <v>3831</v>
      </c>
      <c r="H191" s="230" t="s">
        <v>210</v>
      </c>
      <c r="I191" s="230"/>
      <c r="J191" s="230">
        <v>1</v>
      </c>
      <c r="K191" s="230"/>
      <c r="L191" s="228"/>
      <c r="M191" s="257"/>
      <c r="N191" s="228" t="s">
        <v>2158</v>
      </c>
      <c r="O191" s="228" t="s">
        <v>3832</v>
      </c>
      <c r="P191" s="245"/>
      <c r="Q191" s="2368"/>
      <c r="R191" s="2368"/>
      <c r="S191" s="254"/>
      <c r="T191" s="228"/>
      <c r="U191" s="2357"/>
      <c r="V191" s="256"/>
      <c r="W191" s="373">
        <v>588600</v>
      </c>
      <c r="X191" s="373">
        <v>1160000</v>
      </c>
      <c r="Y191" s="248"/>
      <c r="Z191" s="247"/>
      <c r="AA191" s="248"/>
      <c r="AB191" s="340">
        <f t="shared" si="51"/>
        <v>1748600</v>
      </c>
      <c r="AC191" s="347">
        <f t="shared" si="53"/>
        <v>0</v>
      </c>
      <c r="AD191" s="249"/>
      <c r="AE191" s="435">
        <f t="shared" si="52"/>
        <v>4350240</v>
      </c>
      <c r="AF191" s="342">
        <f t="shared" si="54"/>
        <v>6098840</v>
      </c>
      <c r="AG191" s="251">
        <f t="shared" si="55"/>
        <v>4027999.9999999995</v>
      </c>
      <c r="AH191" s="241"/>
      <c r="AI191" s="241"/>
      <c r="AJ191" s="241"/>
      <c r="AK191" s="194"/>
      <c r="AL191" s="195"/>
      <c r="AM191" s="195"/>
    </row>
    <row r="192" spans="2:39">
      <c r="B192" s="253">
        <v>4</v>
      </c>
      <c r="C192" s="244"/>
      <c r="D192" s="256"/>
      <c r="E192" s="474">
        <v>306179851040</v>
      </c>
      <c r="F192" s="602" t="s">
        <v>2162</v>
      </c>
      <c r="G192" s="391" t="s">
        <v>3833</v>
      </c>
      <c r="H192" s="230" t="s">
        <v>210</v>
      </c>
      <c r="I192" s="230"/>
      <c r="J192" s="230">
        <v>1</v>
      </c>
      <c r="K192" s="230"/>
      <c r="L192" s="228"/>
      <c r="M192" s="257"/>
      <c r="N192" s="228">
        <v>6374359520</v>
      </c>
      <c r="O192" s="228" t="s">
        <v>2161</v>
      </c>
      <c r="P192" s="245"/>
      <c r="Q192" s="2368"/>
      <c r="R192" s="2368"/>
      <c r="S192" s="254"/>
      <c r="T192" s="228"/>
      <c r="U192" s="2357"/>
      <c r="V192" s="256"/>
      <c r="W192" s="373">
        <v>1450000</v>
      </c>
      <c r="X192" s="373">
        <v>1140000</v>
      </c>
      <c r="Y192" s="248"/>
      <c r="Z192" s="247"/>
      <c r="AA192" s="248"/>
      <c r="AB192" s="340">
        <f t="shared" si="51"/>
        <v>2590000</v>
      </c>
      <c r="AC192" s="347">
        <f t="shared" si="53"/>
        <v>0</v>
      </c>
      <c r="AD192" s="249"/>
      <c r="AE192" s="435">
        <f t="shared" si="52"/>
        <v>4350240</v>
      </c>
      <c r="AF192" s="342">
        <f t="shared" si="54"/>
        <v>6940240</v>
      </c>
      <c r="AG192" s="251">
        <f t="shared" si="55"/>
        <v>4027999.9999999995</v>
      </c>
      <c r="AH192" s="241"/>
      <c r="AI192" s="241"/>
      <c r="AJ192" s="241"/>
      <c r="AK192" s="194"/>
      <c r="AL192" s="195"/>
      <c r="AM192" s="195"/>
    </row>
    <row r="193" spans="2:39">
      <c r="B193" s="253">
        <v>5</v>
      </c>
      <c r="C193" s="244"/>
      <c r="D193" s="256"/>
      <c r="E193" s="474">
        <v>306192751120</v>
      </c>
      <c r="F193" s="602">
        <v>45324</v>
      </c>
      <c r="G193" s="391" t="s">
        <v>3834</v>
      </c>
      <c r="H193" s="230" t="s">
        <v>210</v>
      </c>
      <c r="I193" s="230"/>
      <c r="J193" s="230">
        <v>1</v>
      </c>
      <c r="K193" s="230"/>
      <c r="L193" s="228"/>
      <c r="M193" s="257"/>
      <c r="N193" s="228">
        <v>91249542</v>
      </c>
      <c r="O193" s="228" t="s">
        <v>3835</v>
      </c>
      <c r="P193" s="245"/>
      <c r="Q193" s="2368"/>
      <c r="R193" s="2368"/>
      <c r="S193" s="254"/>
      <c r="T193" s="228"/>
      <c r="U193" s="2357"/>
      <c r="V193" s="256"/>
      <c r="W193" s="373">
        <v>1450000</v>
      </c>
      <c r="X193" s="373">
        <v>1140000</v>
      </c>
      <c r="Y193" s="248"/>
      <c r="Z193" s="247"/>
      <c r="AA193" s="248"/>
      <c r="AB193" s="340">
        <f t="shared" si="51"/>
        <v>2590000</v>
      </c>
      <c r="AC193" s="347">
        <f t="shared" si="53"/>
        <v>0</v>
      </c>
      <c r="AD193" s="249"/>
      <c r="AE193" s="435">
        <f t="shared" si="52"/>
        <v>4350240</v>
      </c>
      <c r="AF193" s="342">
        <f t="shared" si="54"/>
        <v>6940240</v>
      </c>
      <c r="AG193" s="251">
        <f t="shared" si="55"/>
        <v>4027999.9999999995</v>
      </c>
      <c r="AH193" s="241"/>
      <c r="AI193" s="241"/>
      <c r="AJ193" s="241"/>
      <c r="AK193" s="194"/>
      <c r="AL193" s="195"/>
      <c r="AM193" s="195"/>
    </row>
    <row r="194" spans="2:39">
      <c r="B194" s="253">
        <v>6</v>
      </c>
      <c r="C194" s="244"/>
      <c r="D194" s="256"/>
      <c r="E194" s="474">
        <v>306191407600</v>
      </c>
      <c r="F194" s="602">
        <v>45324</v>
      </c>
      <c r="G194" s="391" t="s">
        <v>3836</v>
      </c>
      <c r="H194" s="230" t="s">
        <v>210</v>
      </c>
      <c r="I194" s="230"/>
      <c r="J194" s="230">
        <v>1</v>
      </c>
      <c r="K194" s="230"/>
      <c r="L194" s="228"/>
      <c r="M194" s="257"/>
      <c r="N194" s="228" t="s">
        <v>3837</v>
      </c>
      <c r="O194" s="228" t="s">
        <v>3838</v>
      </c>
      <c r="P194" s="245"/>
      <c r="Q194" s="2368"/>
      <c r="R194" s="2368"/>
      <c r="S194" s="254"/>
      <c r="T194" s="228"/>
      <c r="U194" s="2357"/>
      <c r="V194" s="256"/>
      <c r="W194" s="373">
        <v>1450000</v>
      </c>
      <c r="X194" s="373">
        <v>1140000</v>
      </c>
      <c r="Y194" s="248"/>
      <c r="Z194" s="247"/>
      <c r="AA194" s="248"/>
      <c r="AB194" s="340">
        <f t="shared" si="51"/>
        <v>2590000</v>
      </c>
      <c r="AC194" s="347">
        <f t="shared" si="53"/>
        <v>0</v>
      </c>
      <c r="AD194" s="249"/>
      <c r="AE194" s="435">
        <f t="shared" si="52"/>
        <v>4350240</v>
      </c>
      <c r="AF194" s="342">
        <f t="shared" si="54"/>
        <v>6940240</v>
      </c>
      <c r="AG194" s="251">
        <f t="shared" si="55"/>
        <v>4027999.9999999995</v>
      </c>
      <c r="AH194" s="241"/>
      <c r="AI194" s="241"/>
      <c r="AJ194" s="241"/>
      <c r="AK194" s="194"/>
      <c r="AL194" s="195"/>
      <c r="AM194" s="195"/>
    </row>
    <row r="195" spans="2:39">
      <c r="B195" s="253">
        <v>7</v>
      </c>
      <c r="C195" s="244"/>
      <c r="D195" s="256"/>
      <c r="E195" s="474">
        <v>306191886400</v>
      </c>
      <c r="F195" s="602">
        <v>45324</v>
      </c>
      <c r="G195" s="391" t="s">
        <v>3839</v>
      </c>
      <c r="H195" s="230" t="s">
        <v>210</v>
      </c>
      <c r="I195" s="230"/>
      <c r="J195" s="230">
        <v>1</v>
      </c>
      <c r="K195" s="230"/>
      <c r="L195" s="228"/>
      <c r="M195" s="257"/>
      <c r="N195" s="228" t="s">
        <v>3840</v>
      </c>
      <c r="O195" s="228" t="s">
        <v>3841</v>
      </c>
      <c r="P195" s="245"/>
      <c r="Q195" s="2368"/>
      <c r="R195" s="2368"/>
      <c r="S195" s="254"/>
      <c r="T195" s="228"/>
      <c r="U195" s="2357"/>
      <c r="V195" s="256"/>
      <c r="W195" s="373">
        <v>1450000</v>
      </c>
      <c r="X195" s="373">
        <v>1140000</v>
      </c>
      <c r="Y195" s="248"/>
      <c r="Z195" s="247"/>
      <c r="AA195" s="248"/>
      <c r="AB195" s="340">
        <f t="shared" si="51"/>
        <v>2590000</v>
      </c>
      <c r="AC195" s="347">
        <f t="shared" si="53"/>
        <v>0</v>
      </c>
      <c r="AD195" s="249"/>
      <c r="AE195" s="435">
        <f t="shared" si="52"/>
        <v>4350240</v>
      </c>
      <c r="AF195" s="342">
        <f t="shared" si="54"/>
        <v>6940240</v>
      </c>
      <c r="AG195" s="251">
        <f t="shared" si="55"/>
        <v>4027999.9999999995</v>
      </c>
      <c r="AH195" s="241"/>
      <c r="AI195" s="241"/>
      <c r="AJ195" s="241"/>
      <c r="AK195" s="194"/>
      <c r="AL195" s="195"/>
      <c r="AM195" s="195"/>
    </row>
    <row r="196" spans="2:39">
      <c r="B196" s="253">
        <v>8</v>
      </c>
      <c r="C196" s="244"/>
      <c r="D196" s="256"/>
      <c r="E196" s="474">
        <v>306194402900</v>
      </c>
      <c r="F196" s="602">
        <v>45325</v>
      </c>
      <c r="G196" s="391" t="s">
        <v>3842</v>
      </c>
      <c r="H196" s="230" t="s">
        <v>210</v>
      </c>
      <c r="I196" s="609">
        <v>1</v>
      </c>
      <c r="J196" s="230"/>
      <c r="K196" s="230"/>
      <c r="L196" s="228"/>
      <c r="M196" s="257"/>
      <c r="N196" s="228" t="s">
        <v>3843</v>
      </c>
      <c r="O196" s="228" t="s">
        <v>3844</v>
      </c>
      <c r="P196" s="245"/>
      <c r="Q196" s="2368"/>
      <c r="R196" s="2368"/>
      <c r="S196" s="254"/>
      <c r="T196" s="228"/>
      <c r="U196" s="2357"/>
      <c r="V196" s="256"/>
      <c r="W196" s="373">
        <v>885000</v>
      </c>
      <c r="X196" s="373">
        <v>700000</v>
      </c>
      <c r="Y196" s="248"/>
      <c r="Z196" s="247"/>
      <c r="AA196" s="248"/>
      <c r="AB196" s="340">
        <f t="shared" si="51"/>
        <v>1585000</v>
      </c>
      <c r="AC196" s="347">
        <f t="shared" si="53"/>
        <v>0</v>
      </c>
      <c r="AD196" s="249"/>
      <c r="AE196" s="435">
        <f t="shared" si="52"/>
        <v>4242240</v>
      </c>
      <c r="AF196" s="342">
        <f t="shared" si="54"/>
        <v>5827240</v>
      </c>
      <c r="AG196" s="251">
        <f t="shared" si="55"/>
        <v>3927999.9999999995</v>
      </c>
      <c r="AH196" s="241"/>
      <c r="AI196" s="241"/>
      <c r="AJ196" s="241"/>
      <c r="AK196" s="194"/>
      <c r="AL196" s="195"/>
      <c r="AM196" s="195"/>
    </row>
    <row r="197" spans="2:39">
      <c r="B197" s="253">
        <v>9</v>
      </c>
      <c r="C197" s="244"/>
      <c r="D197" s="256"/>
      <c r="E197" s="474">
        <v>306199011330</v>
      </c>
      <c r="F197" s="602">
        <v>45327</v>
      </c>
      <c r="G197" s="391" t="s">
        <v>3845</v>
      </c>
      <c r="H197" s="230" t="s">
        <v>210</v>
      </c>
      <c r="I197" s="230"/>
      <c r="J197" s="230">
        <v>1</v>
      </c>
      <c r="K197" s="230"/>
      <c r="L197" s="228"/>
      <c r="M197" s="257"/>
      <c r="N197" s="228" t="s">
        <v>3846</v>
      </c>
      <c r="O197" s="228" t="s">
        <v>2173</v>
      </c>
      <c r="P197" s="245"/>
      <c r="Q197" s="2368"/>
      <c r="R197" s="2368"/>
      <c r="S197" s="254"/>
      <c r="T197" s="228"/>
      <c r="U197" s="2357"/>
      <c r="V197" s="256"/>
      <c r="W197" s="373">
        <v>1040000</v>
      </c>
      <c r="X197" s="373">
        <v>1140000</v>
      </c>
      <c r="Y197" s="248"/>
      <c r="Z197" s="247"/>
      <c r="AA197" s="248"/>
      <c r="AB197" s="340">
        <f t="shared" si="51"/>
        <v>2180000</v>
      </c>
      <c r="AC197" s="347">
        <f t="shared" si="53"/>
        <v>0</v>
      </c>
      <c r="AD197" s="249"/>
      <c r="AE197" s="435">
        <f t="shared" si="52"/>
        <v>4350240</v>
      </c>
      <c r="AF197" s="342">
        <f t="shared" si="54"/>
        <v>6530240</v>
      </c>
      <c r="AG197" s="251">
        <f t="shared" si="55"/>
        <v>4027999.9999999995</v>
      </c>
      <c r="AH197" s="241"/>
      <c r="AI197" s="241"/>
      <c r="AJ197" s="241"/>
      <c r="AK197" s="194"/>
      <c r="AL197" s="195"/>
      <c r="AM197" s="195"/>
    </row>
    <row r="198" spans="2:39">
      <c r="B198" s="253">
        <v>10</v>
      </c>
      <c r="C198" s="244"/>
      <c r="D198" s="256"/>
      <c r="E198" s="474">
        <v>306197869850</v>
      </c>
      <c r="F198" s="602">
        <v>45327</v>
      </c>
      <c r="G198" s="391" t="s">
        <v>3847</v>
      </c>
      <c r="H198" s="230" t="s">
        <v>210</v>
      </c>
      <c r="I198" s="230"/>
      <c r="J198" s="230">
        <v>1</v>
      </c>
      <c r="K198" s="230"/>
      <c r="L198" s="228"/>
      <c r="M198" s="257"/>
      <c r="N198" s="228" t="s">
        <v>3848</v>
      </c>
      <c r="O198" s="228" t="s">
        <v>2174</v>
      </c>
      <c r="P198" s="245"/>
      <c r="Q198" s="2368"/>
      <c r="R198" s="2368"/>
      <c r="S198" s="254"/>
      <c r="T198" s="228"/>
      <c r="U198" s="2357"/>
      <c r="V198" s="256"/>
      <c r="W198" s="373">
        <v>1450000</v>
      </c>
      <c r="X198" s="373">
        <v>1140000</v>
      </c>
      <c r="Y198" s="248"/>
      <c r="Z198" s="247"/>
      <c r="AA198" s="248"/>
      <c r="AB198" s="340">
        <f t="shared" si="51"/>
        <v>2590000</v>
      </c>
      <c r="AC198" s="347">
        <f>+Z198</f>
        <v>0</v>
      </c>
      <c r="AD198" s="249"/>
      <c r="AE198" s="435">
        <f t="shared" si="52"/>
        <v>4350240</v>
      </c>
      <c r="AF198" s="342">
        <f>+AB198+AE198</f>
        <v>6940240</v>
      </c>
      <c r="AG198" s="251">
        <f>+AE198/1.08</f>
        <v>4027999.9999999995</v>
      </c>
      <c r="AH198" s="241"/>
      <c r="AI198" s="241"/>
      <c r="AJ198" s="241"/>
      <c r="AK198" s="194"/>
      <c r="AL198" s="195"/>
      <c r="AM198" s="195"/>
    </row>
    <row r="199" spans="2:39" ht="46.8">
      <c r="B199" s="253">
        <v>11</v>
      </c>
      <c r="C199" s="244"/>
      <c r="D199" s="256"/>
      <c r="E199" s="474">
        <v>306198707640</v>
      </c>
      <c r="F199" s="602">
        <v>45327</v>
      </c>
      <c r="G199" s="391" t="s">
        <v>3849</v>
      </c>
      <c r="H199" s="230" t="s">
        <v>210</v>
      </c>
      <c r="I199" s="230"/>
      <c r="J199" s="230">
        <v>3</v>
      </c>
      <c r="K199" s="230"/>
      <c r="L199" s="228"/>
      <c r="M199" s="257"/>
      <c r="N199" s="289" t="s">
        <v>2175</v>
      </c>
      <c r="O199" s="254" t="s">
        <v>2176</v>
      </c>
      <c r="P199" s="245"/>
      <c r="Q199" s="2368"/>
      <c r="R199" s="2368"/>
      <c r="S199" s="254"/>
      <c r="T199" s="228"/>
      <c r="U199" s="2357"/>
      <c r="V199" s="256"/>
      <c r="W199" s="373">
        <f>1450000+1450000+1450000</f>
        <v>4350000</v>
      </c>
      <c r="X199" s="373">
        <f>766800+766800+766800</f>
        <v>2300400</v>
      </c>
      <c r="Y199" s="248"/>
      <c r="Z199" s="247"/>
      <c r="AA199" s="248"/>
      <c r="AB199" s="340">
        <f t="shared" si="51"/>
        <v>6650400</v>
      </c>
      <c r="AC199" s="347">
        <f>+Z199</f>
        <v>0</v>
      </c>
      <c r="AD199" s="249"/>
      <c r="AE199" s="435">
        <f t="shared" si="52"/>
        <v>13050720</v>
      </c>
      <c r="AF199" s="342">
        <f>+AB199+AE199</f>
        <v>19701120</v>
      </c>
      <c r="AG199" s="251">
        <f>+AE199/1.08</f>
        <v>12084000</v>
      </c>
      <c r="AH199" s="241"/>
      <c r="AI199" s="241"/>
      <c r="AJ199" s="241"/>
      <c r="AK199" s="194"/>
      <c r="AL199" s="195"/>
      <c r="AM199" s="195"/>
    </row>
    <row r="200" spans="2:39">
      <c r="B200" s="253">
        <v>12</v>
      </c>
      <c r="C200" s="244"/>
      <c r="D200" s="256"/>
      <c r="E200" s="474">
        <v>306205041830</v>
      </c>
      <c r="F200" s="602">
        <v>45338</v>
      </c>
      <c r="G200" s="391" t="s">
        <v>3850</v>
      </c>
      <c r="H200" s="230" t="s">
        <v>210</v>
      </c>
      <c r="I200" s="230"/>
      <c r="J200" s="230">
        <v>1</v>
      </c>
      <c r="K200" s="230"/>
      <c r="L200" s="228"/>
      <c r="M200" s="257"/>
      <c r="N200" s="228">
        <v>235491792</v>
      </c>
      <c r="O200" s="228" t="s">
        <v>2177</v>
      </c>
      <c r="P200" s="245"/>
      <c r="Q200" s="2368"/>
      <c r="R200" s="2368"/>
      <c r="S200" s="254"/>
      <c r="T200" s="228"/>
      <c r="U200" s="2357"/>
      <c r="V200" s="256"/>
      <c r="W200" s="373">
        <v>1000000</v>
      </c>
      <c r="X200" s="373">
        <v>766800</v>
      </c>
      <c r="Y200" s="248"/>
      <c r="Z200" s="247"/>
      <c r="AA200" s="248"/>
      <c r="AB200" s="340">
        <f t="shared" si="51"/>
        <v>1766800</v>
      </c>
      <c r="AC200" s="347">
        <f>+Z200</f>
        <v>0</v>
      </c>
      <c r="AD200" s="249"/>
      <c r="AE200" s="435">
        <f t="shared" si="52"/>
        <v>4350240</v>
      </c>
      <c r="AF200" s="342">
        <f>+AB200+AE200</f>
        <v>6117040</v>
      </c>
      <c r="AG200" s="251">
        <f>+AE200/1.08</f>
        <v>4027999.9999999995</v>
      </c>
      <c r="AH200" s="241"/>
      <c r="AI200" s="241"/>
      <c r="AJ200" s="241"/>
      <c r="AK200" s="194"/>
      <c r="AL200" s="195"/>
      <c r="AM200" s="195"/>
    </row>
    <row r="201" spans="2:39">
      <c r="B201" s="253">
        <v>13</v>
      </c>
      <c r="C201" s="244"/>
      <c r="D201" s="256"/>
      <c r="E201" s="474">
        <v>306213415120</v>
      </c>
      <c r="F201" s="602" t="s">
        <v>2185</v>
      </c>
      <c r="G201" s="391" t="s">
        <v>3851</v>
      </c>
      <c r="H201" s="230" t="s">
        <v>210</v>
      </c>
      <c r="I201" s="230"/>
      <c r="J201" s="230">
        <v>1</v>
      </c>
      <c r="K201" s="230"/>
      <c r="L201" s="228"/>
      <c r="M201" s="257"/>
      <c r="N201" s="228" t="s">
        <v>3852</v>
      </c>
      <c r="O201" s="228" t="s">
        <v>2194</v>
      </c>
      <c r="P201" s="245"/>
      <c r="Q201" s="2368"/>
      <c r="R201" s="2368"/>
      <c r="S201" s="254"/>
      <c r="T201" s="228"/>
      <c r="U201" s="2357"/>
      <c r="V201" s="256"/>
      <c r="W201" s="373">
        <v>1050000</v>
      </c>
      <c r="X201" s="373">
        <v>1140000</v>
      </c>
      <c r="Y201" s="248"/>
      <c r="Z201" s="247"/>
      <c r="AA201" s="248"/>
      <c r="AB201" s="340">
        <f t="shared" si="51"/>
        <v>2190000</v>
      </c>
      <c r="AC201" s="347">
        <f>+Z201</f>
        <v>0</v>
      </c>
      <c r="AD201" s="249"/>
      <c r="AE201" s="435">
        <f t="shared" si="52"/>
        <v>4350240</v>
      </c>
      <c r="AF201" s="342">
        <f>+AB201+AE201</f>
        <v>6540240</v>
      </c>
      <c r="AG201" s="251">
        <f t="shared" ref="AG201:AG218" si="56">+AE201/1.08</f>
        <v>4027999.9999999995</v>
      </c>
      <c r="AH201" s="241"/>
      <c r="AI201" s="241"/>
      <c r="AJ201" s="241"/>
      <c r="AK201" s="194"/>
      <c r="AL201" s="195"/>
      <c r="AM201" s="195"/>
    </row>
    <row r="202" spans="2:39">
      <c r="B202" s="643" t="s">
        <v>3853</v>
      </c>
      <c r="C202" s="644"/>
      <c r="D202" s="346"/>
      <c r="E202" s="644"/>
      <c r="F202" s="644"/>
      <c r="G202" s="644"/>
      <c r="H202" s="644"/>
      <c r="I202" s="644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57"/>
      <c r="W202" s="590"/>
      <c r="X202" s="357"/>
      <c r="Y202" s="357"/>
      <c r="Z202" s="357"/>
      <c r="AA202" s="357"/>
      <c r="AB202" s="358">
        <f>SUM(AB189:AB201)</f>
        <v>34639400</v>
      </c>
      <c r="AC202" s="358">
        <f>SUM(AC179:AC196)</f>
        <v>0</v>
      </c>
      <c r="AD202" s="358">
        <f>SUM(AD177:AD196)</f>
        <v>0</v>
      </c>
      <c r="AE202" s="358">
        <f>SUM(AE189:AE201)</f>
        <v>69387840</v>
      </c>
      <c r="AF202" s="358">
        <f>SUM(AF189:AF201)</f>
        <v>104027240</v>
      </c>
      <c r="AG202" s="358">
        <f>SUM(AG189:AG201)</f>
        <v>64247999.999999993</v>
      </c>
      <c r="AH202" s="357"/>
      <c r="AI202" s="357"/>
      <c r="AJ202" s="357"/>
      <c r="AK202" s="357"/>
      <c r="AL202" s="357"/>
      <c r="AM202" s="357"/>
    </row>
    <row r="203" spans="2:39">
      <c r="B203" s="253">
        <v>1</v>
      </c>
      <c r="C203" s="244"/>
      <c r="D203" s="256"/>
      <c r="E203" s="470">
        <v>306224644150</v>
      </c>
      <c r="F203" s="602" t="s">
        <v>2213</v>
      </c>
      <c r="G203" s="391" t="s">
        <v>3854</v>
      </c>
      <c r="H203" s="230" t="s">
        <v>210</v>
      </c>
      <c r="I203" s="230"/>
      <c r="J203" s="230">
        <v>1</v>
      </c>
      <c r="K203" s="230"/>
      <c r="L203" s="228"/>
      <c r="M203" s="257"/>
      <c r="N203" s="228">
        <v>6377825030</v>
      </c>
      <c r="O203" s="228" t="s">
        <v>2210</v>
      </c>
      <c r="P203" s="245"/>
      <c r="Q203" s="2368"/>
      <c r="R203" s="2368"/>
      <c r="S203" s="254"/>
      <c r="T203" s="228"/>
      <c r="U203" s="2357"/>
      <c r="V203" s="256"/>
      <c r="W203" s="373">
        <v>1450000</v>
      </c>
      <c r="X203" s="373">
        <v>1140000</v>
      </c>
      <c r="Y203" s="248"/>
      <c r="Z203" s="247"/>
      <c r="AA203" s="248"/>
      <c r="AB203" s="340">
        <f t="shared" ref="AB203:AB229" si="57">V203+W203+X203+Y203+Z203+AA203</f>
        <v>2590000</v>
      </c>
      <c r="AC203" s="347">
        <f>+Z203</f>
        <v>0</v>
      </c>
      <c r="AD203" s="249"/>
      <c r="AE203" s="435">
        <f>+(I203*3778000+J203*(3778000+100000))*1.08+((I203+J203+K203)*150000)*1.08</f>
        <v>4350240</v>
      </c>
      <c r="AF203" s="342">
        <f>+AB203+AE203</f>
        <v>6940240</v>
      </c>
      <c r="AG203" s="251">
        <f t="shared" si="56"/>
        <v>4027999.9999999995</v>
      </c>
      <c r="AH203" s="241"/>
      <c r="AI203" s="241"/>
      <c r="AJ203" s="241"/>
      <c r="AK203" s="194"/>
      <c r="AL203" s="195"/>
      <c r="AM203" s="195"/>
    </row>
    <row r="204" spans="2:39">
      <c r="B204" s="253">
        <v>2</v>
      </c>
      <c r="C204" s="244"/>
      <c r="D204" s="256"/>
      <c r="E204" s="470">
        <v>306223882550</v>
      </c>
      <c r="F204" s="602" t="s">
        <v>2213</v>
      </c>
      <c r="G204" s="391" t="s">
        <v>3855</v>
      </c>
      <c r="H204" s="230" t="s">
        <v>210</v>
      </c>
      <c r="I204" s="230"/>
      <c r="J204" s="230">
        <v>1</v>
      </c>
      <c r="K204" s="230"/>
      <c r="L204" s="228"/>
      <c r="M204" s="257"/>
      <c r="N204" s="228">
        <v>6377825030</v>
      </c>
      <c r="O204" s="593" t="s">
        <v>2211</v>
      </c>
      <c r="P204" s="245"/>
      <c r="Q204" s="2368"/>
      <c r="R204" s="2368"/>
      <c r="S204" s="254"/>
      <c r="T204" s="228"/>
      <c r="U204" s="2357"/>
      <c r="V204" s="256"/>
      <c r="W204" s="373">
        <v>1450000</v>
      </c>
      <c r="X204" s="373">
        <v>1140000</v>
      </c>
      <c r="Y204" s="248"/>
      <c r="Z204" s="247"/>
      <c r="AA204" s="248"/>
      <c r="AB204" s="340">
        <f t="shared" si="57"/>
        <v>2590000</v>
      </c>
      <c r="AC204" s="347">
        <f t="shared" ref="AC204:AC218" si="58">+Z204</f>
        <v>0</v>
      </c>
      <c r="AD204" s="249"/>
      <c r="AE204" s="435">
        <f>+(I204*3778000+J204*(3778000+100000))*1.08+((I204+J204+K204)*150000)*1.08</f>
        <v>4350240</v>
      </c>
      <c r="AF204" s="342">
        <f t="shared" ref="AF204:AF218" si="59">+AB204+AE204</f>
        <v>6940240</v>
      </c>
      <c r="AG204" s="251">
        <f t="shared" si="56"/>
        <v>4027999.9999999995</v>
      </c>
      <c r="AH204" s="241"/>
      <c r="AI204" s="241"/>
      <c r="AJ204" s="241"/>
      <c r="AK204" s="194"/>
      <c r="AL204" s="195"/>
      <c r="AM204" s="195"/>
    </row>
    <row r="205" spans="2:39">
      <c r="B205" s="253">
        <v>3</v>
      </c>
      <c r="C205" s="244"/>
      <c r="D205" s="256"/>
      <c r="E205" s="470">
        <v>306225780950</v>
      </c>
      <c r="F205" s="602" t="s">
        <v>2213</v>
      </c>
      <c r="G205" s="391" t="s">
        <v>3856</v>
      </c>
      <c r="H205" s="230" t="s">
        <v>210</v>
      </c>
      <c r="I205" s="230"/>
      <c r="J205" s="230">
        <v>1</v>
      </c>
      <c r="K205" s="230"/>
      <c r="L205" s="228"/>
      <c r="M205" s="257"/>
      <c r="N205" s="228">
        <v>6377825030</v>
      </c>
      <c r="O205" s="593" t="s">
        <v>2212</v>
      </c>
      <c r="P205" s="245"/>
      <c r="Q205" s="2368"/>
      <c r="R205" s="2368"/>
      <c r="S205" s="254"/>
      <c r="T205" s="228"/>
      <c r="U205" s="2357"/>
      <c r="V205" s="256"/>
      <c r="W205" s="373">
        <v>1450000</v>
      </c>
      <c r="X205" s="373">
        <v>1140000</v>
      </c>
      <c r="Y205" s="248"/>
      <c r="Z205" s="247"/>
      <c r="AA205" s="248"/>
      <c r="AB205" s="340">
        <f t="shared" si="57"/>
        <v>2590000</v>
      </c>
      <c r="AC205" s="347">
        <f t="shared" si="58"/>
        <v>0</v>
      </c>
      <c r="AD205" s="249"/>
      <c r="AE205" s="435">
        <f>+(I205*3778000+J205*(3778000+100000))*1.08+((I205+J205+K205)*150000)*1.08</f>
        <v>4350240</v>
      </c>
      <c r="AF205" s="342">
        <f t="shared" si="59"/>
        <v>6940240</v>
      </c>
      <c r="AG205" s="251">
        <f t="shared" si="56"/>
        <v>4027999.9999999995</v>
      </c>
      <c r="AH205" s="241"/>
      <c r="AI205" s="241"/>
      <c r="AJ205" s="241"/>
      <c r="AK205" s="194"/>
      <c r="AL205" s="195"/>
      <c r="AM205" s="195"/>
    </row>
    <row r="206" spans="2:39">
      <c r="B206" s="253">
        <v>4</v>
      </c>
      <c r="C206" s="244"/>
      <c r="D206" s="256"/>
      <c r="E206" s="470">
        <v>306231241760</v>
      </c>
      <c r="F206" s="602" t="s">
        <v>2214</v>
      </c>
      <c r="G206" s="391" t="s">
        <v>3857</v>
      </c>
      <c r="H206" s="230" t="s">
        <v>210</v>
      </c>
      <c r="I206" s="230"/>
      <c r="J206" s="230">
        <v>1</v>
      </c>
      <c r="K206" s="230"/>
      <c r="L206" s="228"/>
      <c r="M206" s="257"/>
      <c r="N206" s="228" t="s">
        <v>2226</v>
      </c>
      <c r="O206" s="228" t="s">
        <v>2227</v>
      </c>
      <c r="P206" s="245"/>
      <c r="Q206" s="2368"/>
      <c r="R206" s="2368"/>
      <c r="S206" s="254"/>
      <c r="T206" s="228"/>
      <c r="U206" s="2357"/>
      <c r="V206" s="256"/>
      <c r="W206" s="373">
        <v>1050000</v>
      </c>
      <c r="X206" s="608">
        <v>766800</v>
      </c>
      <c r="Y206" s="248"/>
      <c r="Z206" s="247"/>
      <c r="AA206" s="248"/>
      <c r="AB206" s="340">
        <f t="shared" si="57"/>
        <v>1816800</v>
      </c>
      <c r="AC206" s="347">
        <f t="shared" si="58"/>
        <v>0</v>
      </c>
      <c r="AD206" s="249"/>
      <c r="AE206" s="435">
        <f>+(I206*3778000+J206*(3778000+100000))*1.08+((I206+J206+K206)*150000)*1.08</f>
        <v>4350240</v>
      </c>
      <c r="AF206" s="342">
        <f t="shared" si="59"/>
        <v>6167040</v>
      </c>
      <c r="AG206" s="251">
        <f t="shared" si="56"/>
        <v>4027999.9999999995</v>
      </c>
      <c r="AH206" s="241"/>
      <c r="AI206" s="241"/>
      <c r="AJ206" s="241"/>
      <c r="AK206" s="194"/>
      <c r="AL206" s="195"/>
      <c r="AM206" s="195"/>
    </row>
    <row r="207" spans="2:39">
      <c r="B207" s="253">
        <v>5</v>
      </c>
      <c r="C207" s="244"/>
      <c r="D207" s="256"/>
      <c r="E207" s="470">
        <v>306232358630</v>
      </c>
      <c r="F207" s="602" t="s">
        <v>2214</v>
      </c>
      <c r="G207" s="391" t="s">
        <v>3858</v>
      </c>
      <c r="H207" s="230" t="s">
        <v>210</v>
      </c>
      <c r="I207" s="230"/>
      <c r="J207" s="230">
        <v>1</v>
      </c>
      <c r="K207" s="230"/>
      <c r="L207" s="228"/>
      <c r="M207" s="257"/>
      <c r="N207" s="228" t="s">
        <v>2228</v>
      </c>
      <c r="O207" s="228" t="s">
        <v>2229</v>
      </c>
      <c r="P207" s="245"/>
      <c r="Q207" s="2368"/>
      <c r="R207" s="2368"/>
      <c r="S207" s="254"/>
      <c r="T207" s="228"/>
      <c r="U207" s="2357"/>
      <c r="V207" s="256"/>
      <c r="W207" s="373">
        <v>1040000</v>
      </c>
      <c r="X207" s="608">
        <v>1160000</v>
      </c>
      <c r="Y207" s="248"/>
      <c r="Z207" s="247"/>
      <c r="AA207" s="248"/>
      <c r="AB207" s="340">
        <f t="shared" si="57"/>
        <v>2200000</v>
      </c>
      <c r="AC207" s="347">
        <f t="shared" si="58"/>
        <v>0</v>
      </c>
      <c r="AD207" s="249"/>
      <c r="AE207" s="435">
        <f>+(I207*3778000+J207*(3778000+100000))*1.08+((I207+J207+K207)*150000)*1.08</f>
        <v>4350240</v>
      </c>
      <c r="AF207" s="342">
        <f t="shared" si="59"/>
        <v>6550240</v>
      </c>
      <c r="AG207" s="251">
        <f t="shared" si="56"/>
        <v>4027999.9999999995</v>
      </c>
      <c r="AH207" s="241"/>
      <c r="AI207" s="241"/>
      <c r="AJ207" s="241"/>
      <c r="AK207" s="194"/>
      <c r="AL207" s="195"/>
      <c r="AM207" s="195"/>
    </row>
    <row r="208" spans="2:39">
      <c r="B208" s="253">
        <v>6</v>
      </c>
      <c r="C208" s="244"/>
      <c r="D208" s="256"/>
      <c r="E208" s="606">
        <v>106106738730</v>
      </c>
      <c r="F208" s="602">
        <v>45352</v>
      </c>
      <c r="G208" s="391" t="s">
        <v>3859</v>
      </c>
      <c r="H208" s="230" t="s">
        <v>3579</v>
      </c>
      <c r="I208" s="230"/>
      <c r="J208" s="230"/>
      <c r="K208" s="230">
        <v>1</v>
      </c>
      <c r="L208" s="228"/>
      <c r="M208" s="543" t="s">
        <v>2231</v>
      </c>
      <c r="N208" s="228" t="s">
        <v>2230</v>
      </c>
      <c r="O208" s="228"/>
      <c r="P208" s="245"/>
      <c r="Q208" s="2368"/>
      <c r="R208" s="2368"/>
      <c r="S208" s="254"/>
      <c r="T208" s="543" t="s">
        <v>2231</v>
      </c>
      <c r="U208" s="2361"/>
      <c r="V208" s="256"/>
      <c r="W208" s="248"/>
      <c r="X208" s="248"/>
      <c r="Y208" s="248"/>
      <c r="Z208" s="247"/>
      <c r="AA208" s="248"/>
      <c r="AB208" s="340">
        <f t="shared" si="57"/>
        <v>0</v>
      </c>
      <c r="AC208" s="347">
        <f t="shared" si="58"/>
        <v>0</v>
      </c>
      <c r="AD208" s="249"/>
      <c r="AE208" s="605">
        <f>+(3250000*1.08+((I208+J208+K208)*150000)*1.08)</f>
        <v>3672000</v>
      </c>
      <c r="AF208" s="342">
        <f t="shared" si="59"/>
        <v>3672000</v>
      </c>
      <c r="AG208" s="251">
        <f t="shared" si="56"/>
        <v>3400000</v>
      </c>
      <c r="AH208" s="241"/>
      <c r="AI208" s="241"/>
      <c r="AJ208" s="241"/>
      <c r="AK208" s="194"/>
      <c r="AL208" s="195"/>
      <c r="AM208" s="195"/>
    </row>
    <row r="209" spans="2:39">
      <c r="B209" s="253">
        <v>7</v>
      </c>
      <c r="C209" s="244"/>
      <c r="D209" s="256"/>
      <c r="E209" s="613">
        <v>306242864560</v>
      </c>
      <c r="F209" s="603" t="s">
        <v>2245</v>
      </c>
      <c r="G209" s="391" t="s">
        <v>3860</v>
      </c>
      <c r="H209" s="230" t="s">
        <v>210</v>
      </c>
      <c r="I209" s="230"/>
      <c r="J209" s="230">
        <v>1</v>
      </c>
      <c r="K209" s="230"/>
      <c r="L209" s="228"/>
      <c r="M209" s="257"/>
      <c r="N209" s="228" t="s">
        <v>2246</v>
      </c>
      <c r="O209" s="375" t="s">
        <v>2387</v>
      </c>
      <c r="P209" s="245"/>
      <c r="Q209" s="2368"/>
      <c r="R209" s="2368"/>
      <c r="S209" s="254"/>
      <c r="T209" s="228"/>
      <c r="U209" s="2357"/>
      <c r="V209" s="256"/>
      <c r="W209" s="373">
        <v>1450000</v>
      </c>
      <c r="X209" s="373">
        <v>766800</v>
      </c>
      <c r="Y209" s="248"/>
      <c r="Z209" s="247"/>
      <c r="AA209" s="248"/>
      <c r="AB209" s="340">
        <f t="shared" si="57"/>
        <v>2216800</v>
      </c>
      <c r="AC209" s="347">
        <f t="shared" si="58"/>
        <v>0</v>
      </c>
      <c r="AD209" s="249"/>
      <c r="AE209" s="435">
        <f>+(I209*3778000+J209*(3778000+100000))*1.08+((I209+J209+K209)*150000)*1.08</f>
        <v>4350240</v>
      </c>
      <c r="AF209" s="342">
        <f t="shared" si="59"/>
        <v>6567040</v>
      </c>
      <c r="AG209" s="251">
        <f t="shared" si="56"/>
        <v>4027999.9999999995</v>
      </c>
      <c r="AH209" s="241"/>
      <c r="AI209" s="241"/>
      <c r="AJ209" s="241"/>
      <c r="AK209" s="194"/>
      <c r="AL209" s="195"/>
      <c r="AM209" s="195"/>
    </row>
    <row r="210" spans="2:39">
      <c r="B210" s="253">
        <v>8</v>
      </c>
      <c r="C210" s="244"/>
      <c r="D210" s="256"/>
      <c r="E210" s="470">
        <v>306242753300</v>
      </c>
      <c r="F210" s="603" t="s">
        <v>2245</v>
      </c>
      <c r="G210" s="391" t="s">
        <v>3861</v>
      </c>
      <c r="H210" s="230" t="s">
        <v>210</v>
      </c>
      <c r="I210" s="230"/>
      <c r="J210" s="230">
        <v>1</v>
      </c>
      <c r="K210" s="230"/>
      <c r="L210" s="228"/>
      <c r="M210" s="257"/>
      <c r="N210" s="228" t="s">
        <v>2248</v>
      </c>
      <c r="O210" s="228" t="s">
        <v>2249</v>
      </c>
      <c r="P210" s="245"/>
      <c r="Q210" s="2368"/>
      <c r="R210" s="2368"/>
      <c r="S210" s="254"/>
      <c r="T210" s="228"/>
      <c r="U210" s="2357"/>
      <c r="V210" s="256"/>
      <c r="W210" s="373">
        <v>1300000</v>
      </c>
      <c r="X210" s="373">
        <v>766800</v>
      </c>
      <c r="Y210" s="248"/>
      <c r="Z210" s="247"/>
      <c r="AA210" s="248"/>
      <c r="AB210" s="340">
        <f t="shared" si="57"/>
        <v>2066800</v>
      </c>
      <c r="AC210" s="347">
        <f t="shared" si="58"/>
        <v>0</v>
      </c>
      <c r="AD210" s="249"/>
      <c r="AE210" s="435">
        <f>+(I210*3778000+J210*(3778000+100000))*1.08+((I210+J210+K210)*150000)*1.08</f>
        <v>4350240</v>
      </c>
      <c r="AF210" s="342">
        <f t="shared" si="59"/>
        <v>6417040</v>
      </c>
      <c r="AG210" s="251">
        <f t="shared" si="56"/>
        <v>4027999.9999999995</v>
      </c>
      <c r="AH210" s="241"/>
      <c r="AI210" s="241"/>
      <c r="AJ210" s="241"/>
      <c r="AK210" s="194"/>
      <c r="AL210" s="195"/>
      <c r="AM210" s="195"/>
    </row>
    <row r="211" spans="2:39" ht="78">
      <c r="B211" s="253">
        <v>9</v>
      </c>
      <c r="C211" s="244"/>
      <c r="D211" s="256"/>
      <c r="E211" s="470">
        <v>306255184230</v>
      </c>
      <c r="F211" s="602">
        <v>45359</v>
      </c>
      <c r="G211" s="391" t="s">
        <v>3862</v>
      </c>
      <c r="H211" s="230" t="s">
        <v>210</v>
      </c>
      <c r="I211" s="230">
        <v>1</v>
      </c>
      <c r="J211" s="230">
        <v>2</v>
      </c>
      <c r="K211" s="230"/>
      <c r="L211" s="228"/>
      <c r="M211" s="257"/>
      <c r="N211" s="228" t="s">
        <v>3863</v>
      </c>
      <c r="O211" s="254" t="s">
        <v>3864</v>
      </c>
      <c r="P211" s="245"/>
      <c r="Q211" s="2368"/>
      <c r="R211" s="2368"/>
      <c r="S211" s="254"/>
      <c r="T211" s="228"/>
      <c r="U211" s="2357"/>
      <c r="V211" s="256"/>
      <c r="W211" s="373">
        <f>1425000+1425000+885000</f>
        <v>3735000</v>
      </c>
      <c r="X211" s="373">
        <f>1140000+1140000+700000</f>
        <v>2980000</v>
      </c>
      <c r="Y211" s="248"/>
      <c r="Z211" s="247"/>
      <c r="AA211" s="248"/>
      <c r="AB211" s="340">
        <f t="shared" si="57"/>
        <v>6715000</v>
      </c>
      <c r="AC211" s="347">
        <f t="shared" si="58"/>
        <v>0</v>
      </c>
      <c r="AD211" s="249"/>
      <c r="AE211" s="435">
        <f>+(I211*3778000+J211*(3778000+100000))*1.08+((I211+J211+K211)*150000)*1.08</f>
        <v>12942720</v>
      </c>
      <c r="AF211" s="342">
        <f t="shared" si="59"/>
        <v>19657720</v>
      </c>
      <c r="AG211" s="251">
        <f t="shared" si="56"/>
        <v>11984000</v>
      </c>
      <c r="AH211" s="241"/>
      <c r="AI211" s="241"/>
      <c r="AJ211" s="241"/>
      <c r="AK211" s="194"/>
      <c r="AL211" s="195"/>
      <c r="AM211" s="195"/>
    </row>
    <row r="212" spans="2:39">
      <c r="B212" s="253">
        <v>10</v>
      </c>
      <c r="C212" s="244"/>
      <c r="D212" s="256"/>
      <c r="E212" s="470">
        <v>306245421700</v>
      </c>
      <c r="F212" s="603" t="s">
        <v>2250</v>
      </c>
      <c r="G212" s="391" t="s">
        <v>3865</v>
      </c>
      <c r="H212" s="230" t="s">
        <v>210</v>
      </c>
      <c r="I212" s="230"/>
      <c r="J212" s="230">
        <v>1</v>
      </c>
      <c r="K212" s="230"/>
      <c r="L212" s="228"/>
      <c r="M212" s="257"/>
      <c r="N212" s="228">
        <v>6378004450</v>
      </c>
      <c r="O212" s="228" t="s">
        <v>2247</v>
      </c>
      <c r="P212" s="245"/>
      <c r="Q212" s="2368"/>
      <c r="R212" s="2368"/>
      <c r="S212" s="254"/>
      <c r="T212" s="228"/>
      <c r="U212" s="2357"/>
      <c r="V212" s="256"/>
      <c r="W212" s="373">
        <v>1450000</v>
      </c>
      <c r="X212" s="373">
        <v>1140000</v>
      </c>
      <c r="Y212" s="248"/>
      <c r="Z212" s="247"/>
      <c r="AA212" s="248"/>
      <c r="AB212" s="340">
        <f t="shared" si="57"/>
        <v>2590000</v>
      </c>
      <c r="AC212" s="347">
        <f t="shared" si="58"/>
        <v>0</v>
      </c>
      <c r="AD212" s="249"/>
      <c r="AE212" s="435">
        <f>+(I212*3778000+J212*(3778000+100000))*1.08+((I212+J212+K212)*150000)*1.08</f>
        <v>4350240</v>
      </c>
      <c r="AF212" s="342">
        <f t="shared" si="59"/>
        <v>6940240</v>
      </c>
      <c r="AG212" s="251">
        <f t="shared" si="56"/>
        <v>4027999.9999999995</v>
      </c>
      <c r="AH212" s="241"/>
      <c r="AI212" s="241"/>
      <c r="AJ212" s="241"/>
      <c r="AK212" s="194"/>
      <c r="AL212" s="195"/>
      <c r="AM212" s="195"/>
    </row>
    <row r="213" spans="2:39">
      <c r="B213" s="253">
        <v>11</v>
      </c>
      <c r="C213" s="244"/>
      <c r="D213" s="256"/>
      <c r="E213" s="607">
        <v>106116276710</v>
      </c>
      <c r="F213" s="603" t="s">
        <v>2251</v>
      </c>
      <c r="G213" s="391" t="s">
        <v>3866</v>
      </c>
      <c r="H213" s="230" t="s">
        <v>3579</v>
      </c>
      <c r="I213" s="230"/>
      <c r="J213" s="230"/>
      <c r="K213" s="230">
        <v>1</v>
      </c>
      <c r="L213" s="228"/>
      <c r="M213" s="543" t="s">
        <v>2273</v>
      </c>
      <c r="N213" s="228" t="s">
        <v>3867</v>
      </c>
      <c r="O213" s="228"/>
      <c r="P213" s="245"/>
      <c r="Q213" s="2368"/>
      <c r="R213" s="2368"/>
      <c r="S213" s="254"/>
      <c r="T213" s="543" t="s">
        <v>2273</v>
      </c>
      <c r="U213" s="2361"/>
      <c r="V213" s="256"/>
      <c r="W213" s="248"/>
      <c r="X213" s="248"/>
      <c r="Y213" s="248"/>
      <c r="Z213" s="247"/>
      <c r="AA213" s="248"/>
      <c r="AB213" s="340">
        <f t="shared" si="57"/>
        <v>0</v>
      </c>
      <c r="AC213" s="347">
        <f t="shared" si="58"/>
        <v>0</v>
      </c>
      <c r="AD213" s="249"/>
      <c r="AE213" s="605">
        <f>+(1468000*1.08+((I213+J213+K213)*150000)*1.08)</f>
        <v>1747440</v>
      </c>
      <c r="AF213" s="342">
        <f t="shared" si="59"/>
        <v>1747440</v>
      </c>
      <c r="AG213" s="251">
        <f t="shared" si="56"/>
        <v>1618000</v>
      </c>
      <c r="AH213" s="241"/>
      <c r="AI213" s="241"/>
      <c r="AJ213" s="241"/>
      <c r="AK213" s="194"/>
      <c r="AL213" s="195"/>
      <c r="AM213" s="195"/>
    </row>
    <row r="214" spans="2:39">
      <c r="B214" s="253">
        <v>12</v>
      </c>
      <c r="C214" s="244"/>
      <c r="D214" s="256"/>
      <c r="E214" s="470">
        <v>306258805220</v>
      </c>
      <c r="F214" s="603" t="s">
        <v>2259</v>
      </c>
      <c r="G214" s="391" t="s">
        <v>3868</v>
      </c>
      <c r="H214" s="230" t="s">
        <v>748</v>
      </c>
      <c r="I214" s="230">
        <v>1</v>
      </c>
      <c r="J214" s="230"/>
      <c r="K214" s="230"/>
      <c r="L214" s="228"/>
      <c r="M214" s="257"/>
      <c r="N214" s="228">
        <v>30434192</v>
      </c>
      <c r="O214" s="228" t="s">
        <v>2257</v>
      </c>
      <c r="P214" s="245"/>
      <c r="Q214" s="2368"/>
      <c r="R214" s="2368"/>
      <c r="S214" s="254"/>
      <c r="T214" s="228"/>
      <c r="U214" s="2357"/>
      <c r="V214" s="256"/>
      <c r="W214" s="373">
        <v>900000</v>
      </c>
      <c r="X214" s="373">
        <v>700000</v>
      </c>
      <c r="Y214" s="248"/>
      <c r="Z214" s="247"/>
      <c r="AA214" s="248"/>
      <c r="AB214" s="340">
        <f t="shared" si="57"/>
        <v>1600000</v>
      </c>
      <c r="AC214" s="347">
        <f t="shared" si="58"/>
        <v>0</v>
      </c>
      <c r="AD214" s="249"/>
      <c r="AE214" s="435">
        <f t="shared" ref="AE214:AE220" si="60">+(I214*3778000+J214*(3778000+100000))*1.08+((I214+J214+K214)*150000)*1.08</f>
        <v>4242240</v>
      </c>
      <c r="AF214" s="342">
        <f t="shared" si="59"/>
        <v>5842240</v>
      </c>
      <c r="AG214" s="251">
        <f t="shared" si="56"/>
        <v>3927999.9999999995</v>
      </c>
      <c r="AH214" s="241"/>
      <c r="AI214" s="241"/>
      <c r="AJ214" s="241"/>
      <c r="AK214" s="194"/>
      <c r="AL214" s="195"/>
      <c r="AM214" s="195"/>
    </row>
    <row r="215" spans="2:39" ht="31.2">
      <c r="B215" s="253">
        <v>13</v>
      </c>
      <c r="C215" s="244"/>
      <c r="D215" s="256"/>
      <c r="E215" s="470">
        <v>306260262360</v>
      </c>
      <c r="F215" s="603" t="s">
        <v>2259</v>
      </c>
      <c r="G215" s="391" t="s">
        <v>3869</v>
      </c>
      <c r="H215" s="230" t="s">
        <v>748</v>
      </c>
      <c r="I215" s="230"/>
      <c r="J215" s="230">
        <v>2</v>
      </c>
      <c r="K215" s="230"/>
      <c r="L215" s="228"/>
      <c r="M215" s="257"/>
      <c r="N215" s="228" t="s">
        <v>3870</v>
      </c>
      <c r="O215" s="254" t="s">
        <v>2258</v>
      </c>
      <c r="P215" s="245"/>
      <c r="Q215" s="2368"/>
      <c r="R215" s="2368"/>
      <c r="S215" s="254"/>
      <c r="T215" s="228"/>
      <c r="U215" s="2357"/>
      <c r="V215" s="256"/>
      <c r="W215" s="373">
        <f>1050000+1050000</f>
        <v>2100000</v>
      </c>
      <c r="X215" s="373">
        <f>1140000+1140000</f>
        <v>2280000</v>
      </c>
      <c r="Y215" s="248"/>
      <c r="Z215" s="247"/>
      <c r="AA215" s="248"/>
      <c r="AB215" s="340">
        <f t="shared" si="57"/>
        <v>4380000</v>
      </c>
      <c r="AC215" s="347">
        <f t="shared" si="58"/>
        <v>0</v>
      </c>
      <c r="AD215" s="249"/>
      <c r="AE215" s="435">
        <f t="shared" si="60"/>
        <v>8700480</v>
      </c>
      <c r="AF215" s="342">
        <f t="shared" si="59"/>
        <v>13080480</v>
      </c>
      <c r="AG215" s="251">
        <f t="shared" si="56"/>
        <v>8055999.9999999991</v>
      </c>
      <c r="AH215" s="241"/>
      <c r="AI215" s="241"/>
      <c r="AJ215" s="241"/>
      <c r="AK215" s="194"/>
      <c r="AL215" s="195"/>
      <c r="AM215" s="195"/>
    </row>
    <row r="216" spans="2:39">
      <c r="B216" s="253">
        <v>14</v>
      </c>
      <c r="C216" s="244"/>
      <c r="D216" s="256"/>
      <c r="E216" s="474">
        <v>306262131840</v>
      </c>
      <c r="F216" s="603" t="s">
        <v>2264</v>
      </c>
      <c r="G216" s="391" t="s">
        <v>3871</v>
      </c>
      <c r="H216" s="230" t="s">
        <v>748</v>
      </c>
      <c r="I216" s="230"/>
      <c r="J216" s="230">
        <v>1</v>
      </c>
      <c r="K216" s="230"/>
      <c r="L216" s="228"/>
      <c r="M216" s="257"/>
      <c r="N216" s="228" t="s">
        <v>3872</v>
      </c>
      <c r="O216" s="228" t="s">
        <v>2265</v>
      </c>
      <c r="P216" s="245"/>
      <c r="Q216" s="2368"/>
      <c r="R216" s="2368"/>
      <c r="S216" s="254"/>
      <c r="T216" s="228"/>
      <c r="U216" s="2357"/>
      <c r="V216" s="256"/>
      <c r="W216" s="373">
        <v>1450000</v>
      </c>
      <c r="X216" s="373">
        <v>1140000</v>
      </c>
      <c r="Y216" s="248"/>
      <c r="Z216" s="247"/>
      <c r="AA216" s="248"/>
      <c r="AB216" s="340">
        <f t="shared" si="57"/>
        <v>2590000</v>
      </c>
      <c r="AC216" s="347">
        <f t="shared" si="58"/>
        <v>0</v>
      </c>
      <c r="AD216" s="249"/>
      <c r="AE216" s="435">
        <f t="shared" si="60"/>
        <v>4350240</v>
      </c>
      <c r="AF216" s="342">
        <f>+AB216+AE216</f>
        <v>6940240</v>
      </c>
      <c r="AG216" s="251">
        <f t="shared" si="56"/>
        <v>4027999.9999999995</v>
      </c>
      <c r="AH216" s="241"/>
      <c r="AI216" s="241"/>
      <c r="AJ216" s="241"/>
      <c r="AK216" s="194"/>
      <c r="AL216" s="195"/>
      <c r="AM216" s="195"/>
    </row>
    <row r="217" spans="2:39">
      <c r="B217" s="253">
        <v>15</v>
      </c>
      <c r="C217" s="244"/>
      <c r="D217" s="256"/>
      <c r="E217" s="474">
        <v>306263464751</v>
      </c>
      <c r="F217" s="603" t="s">
        <v>2264</v>
      </c>
      <c r="G217" s="391" t="s">
        <v>3873</v>
      </c>
      <c r="H217" s="230" t="s">
        <v>748</v>
      </c>
      <c r="I217" s="230"/>
      <c r="J217" s="230">
        <v>1</v>
      </c>
      <c r="K217" s="230"/>
      <c r="L217" s="228"/>
      <c r="M217" s="257"/>
      <c r="N217" s="228" t="s">
        <v>3872</v>
      </c>
      <c r="O217" s="228" t="s">
        <v>2266</v>
      </c>
      <c r="P217" s="245"/>
      <c r="Q217" s="2368"/>
      <c r="R217" s="2368"/>
      <c r="S217" s="254"/>
      <c r="T217" s="228"/>
      <c r="U217" s="2357"/>
      <c r="V217" s="256"/>
      <c r="W217" s="373">
        <v>1450000</v>
      </c>
      <c r="X217" s="373">
        <v>1140000</v>
      </c>
      <c r="Y217" s="248"/>
      <c r="Z217" s="247"/>
      <c r="AA217" s="248"/>
      <c r="AB217" s="340">
        <f t="shared" si="57"/>
        <v>2590000</v>
      </c>
      <c r="AC217" s="347">
        <f t="shared" si="58"/>
        <v>0</v>
      </c>
      <c r="AD217" s="249"/>
      <c r="AE217" s="435">
        <f t="shared" si="60"/>
        <v>4350240</v>
      </c>
      <c r="AF217" s="342">
        <f t="shared" si="59"/>
        <v>6940240</v>
      </c>
      <c r="AG217" s="251">
        <f t="shared" si="56"/>
        <v>4027999.9999999995</v>
      </c>
      <c r="AH217" s="241"/>
      <c r="AI217" s="241"/>
      <c r="AJ217" s="241"/>
      <c r="AK217" s="194"/>
      <c r="AL217" s="195"/>
      <c r="AM217" s="195"/>
    </row>
    <row r="218" spans="2:39">
      <c r="B218" s="253">
        <v>16</v>
      </c>
      <c r="C218" s="244"/>
      <c r="D218" s="256"/>
      <c r="E218" s="466">
        <v>106134357710</v>
      </c>
      <c r="F218" s="602" t="s">
        <v>2260</v>
      </c>
      <c r="G218" s="391" t="s">
        <v>3874</v>
      </c>
      <c r="H218" s="230" t="s">
        <v>3579</v>
      </c>
      <c r="I218" s="230"/>
      <c r="J218" s="230">
        <v>1</v>
      </c>
      <c r="K218" s="230"/>
      <c r="L218" s="228"/>
      <c r="M218" s="257"/>
      <c r="N218" s="228" t="s">
        <v>2267</v>
      </c>
      <c r="O218" s="228" t="s">
        <v>2268</v>
      </c>
      <c r="P218" s="245"/>
      <c r="Q218" s="2368"/>
      <c r="R218" s="2368"/>
      <c r="S218" s="254"/>
      <c r="T218" s="228"/>
      <c r="U218" s="2357"/>
      <c r="V218" s="324">
        <v>361800</v>
      </c>
      <c r="W218" s="324">
        <v>766800</v>
      </c>
      <c r="X218" s="373">
        <v>1450000</v>
      </c>
      <c r="Y218" s="248"/>
      <c r="Z218" s="247"/>
      <c r="AA218" s="248"/>
      <c r="AB218" s="340">
        <f t="shared" si="57"/>
        <v>2578600</v>
      </c>
      <c r="AC218" s="347">
        <f t="shared" si="58"/>
        <v>0</v>
      </c>
      <c r="AD218" s="249"/>
      <c r="AE218" s="435">
        <f t="shared" si="60"/>
        <v>4350240</v>
      </c>
      <c r="AF218" s="342">
        <f t="shared" si="59"/>
        <v>6928840</v>
      </c>
      <c r="AG218" s="251">
        <f t="shared" si="56"/>
        <v>4027999.9999999995</v>
      </c>
      <c r="AH218" s="241"/>
      <c r="AI218" s="241"/>
      <c r="AJ218" s="241"/>
      <c r="AK218" s="194"/>
      <c r="AL218" s="195"/>
      <c r="AM218" s="195"/>
    </row>
    <row r="219" spans="2:39" ht="33.75" customHeight="1">
      <c r="B219" s="253">
        <v>17</v>
      </c>
      <c r="C219" s="244"/>
      <c r="D219" s="256"/>
      <c r="E219" s="474">
        <v>306282694600</v>
      </c>
      <c r="F219" s="228" t="s">
        <v>2282</v>
      </c>
      <c r="G219" s="391" t="s">
        <v>3875</v>
      </c>
      <c r="H219" s="230" t="s">
        <v>210</v>
      </c>
      <c r="I219" s="230"/>
      <c r="J219" s="230">
        <v>2</v>
      </c>
      <c r="K219" s="230"/>
      <c r="L219" s="228"/>
      <c r="M219" s="257"/>
      <c r="N219" s="228" t="s">
        <v>2281</v>
      </c>
      <c r="O219" s="254" t="s">
        <v>2332</v>
      </c>
      <c r="P219" s="245"/>
      <c r="Q219" s="2368"/>
      <c r="R219" s="2368"/>
      <c r="S219" s="254"/>
      <c r="T219" s="228"/>
      <c r="U219" s="2357"/>
      <c r="V219" s="256"/>
      <c r="W219" s="373">
        <f>1300000+1300000</f>
        <v>2600000</v>
      </c>
      <c r="X219" s="373">
        <f>766800+766800</f>
        <v>1533600</v>
      </c>
      <c r="Y219" s="248"/>
      <c r="Z219" s="247"/>
      <c r="AA219" s="248"/>
      <c r="AB219" s="340">
        <f t="shared" si="57"/>
        <v>4133600</v>
      </c>
      <c r="AC219" s="347">
        <f t="shared" ref="AC219:AC229" si="61">+Z219</f>
        <v>0</v>
      </c>
      <c r="AD219" s="249"/>
      <c r="AE219" s="435">
        <f t="shared" si="60"/>
        <v>8700480</v>
      </c>
      <c r="AF219" s="342">
        <f t="shared" ref="AF219:AF229" si="62">+AB219+AE219</f>
        <v>12834080</v>
      </c>
      <c r="AG219" s="251">
        <f t="shared" ref="AG219:AG229" si="63">+AE219/1.08</f>
        <v>8055999.9999999991</v>
      </c>
      <c r="AH219" s="241"/>
      <c r="AI219" s="241"/>
      <c r="AJ219" s="241"/>
      <c r="AK219" s="194"/>
      <c r="AL219" s="195"/>
      <c r="AM219" s="195"/>
    </row>
    <row r="220" spans="2:39" ht="31.2">
      <c r="B220" s="253">
        <v>18</v>
      </c>
      <c r="C220" s="244"/>
      <c r="D220" s="256"/>
      <c r="E220" s="474">
        <v>306283708050</v>
      </c>
      <c r="F220" s="228" t="s">
        <v>2282</v>
      </c>
      <c r="G220" s="391" t="s">
        <v>3876</v>
      </c>
      <c r="H220" s="230" t="s">
        <v>210</v>
      </c>
      <c r="I220" s="230"/>
      <c r="J220" s="230">
        <v>2</v>
      </c>
      <c r="K220" s="230"/>
      <c r="L220" s="228"/>
      <c r="M220" s="257"/>
      <c r="N220" s="228" t="s">
        <v>2283</v>
      </c>
      <c r="O220" s="254" t="s">
        <v>2333</v>
      </c>
      <c r="P220" s="245"/>
      <c r="Q220" s="2368"/>
      <c r="R220" s="2368"/>
      <c r="S220" s="254"/>
      <c r="T220" s="228"/>
      <c r="U220" s="2357"/>
      <c r="V220" s="256"/>
      <c r="W220" s="373">
        <f>1300000+1300000</f>
        <v>2600000</v>
      </c>
      <c r="X220" s="373">
        <f>766800+766800</f>
        <v>1533600</v>
      </c>
      <c r="Y220" s="248"/>
      <c r="Z220" s="247"/>
      <c r="AA220" s="248"/>
      <c r="AB220" s="340">
        <f t="shared" si="57"/>
        <v>4133600</v>
      </c>
      <c r="AC220" s="347">
        <f t="shared" si="61"/>
        <v>0</v>
      </c>
      <c r="AD220" s="249"/>
      <c r="AE220" s="435">
        <f t="shared" si="60"/>
        <v>8700480</v>
      </c>
      <c r="AF220" s="342">
        <f t="shared" si="62"/>
        <v>12834080</v>
      </c>
      <c r="AG220" s="251">
        <f t="shared" si="63"/>
        <v>8055999.9999999991</v>
      </c>
      <c r="AH220" s="241"/>
      <c r="AI220" s="241"/>
      <c r="AJ220" s="241"/>
      <c r="AK220" s="194"/>
      <c r="AL220" s="195"/>
      <c r="AM220" s="195"/>
    </row>
    <row r="221" spans="2:39">
      <c r="B221" s="253">
        <v>19</v>
      </c>
      <c r="C221" s="244"/>
      <c r="D221" s="256"/>
      <c r="E221" s="474">
        <v>306283956330</v>
      </c>
      <c r="F221" s="228" t="s">
        <v>2282</v>
      </c>
      <c r="G221" s="391" t="s">
        <v>3877</v>
      </c>
      <c r="H221" s="230" t="s">
        <v>210</v>
      </c>
      <c r="I221" s="609">
        <v>2</v>
      </c>
      <c r="J221" s="230"/>
      <c r="K221" s="230"/>
      <c r="L221" s="228"/>
      <c r="M221" s="257"/>
      <c r="N221" s="228" t="s">
        <v>2284</v>
      </c>
      <c r="O221" s="544" t="s">
        <v>2285</v>
      </c>
      <c r="P221" s="245"/>
      <c r="Q221" s="2368"/>
      <c r="R221" s="2368"/>
      <c r="S221" s="254"/>
      <c r="T221" s="609" t="s">
        <v>3878</v>
      </c>
      <c r="U221" s="2363"/>
      <c r="V221" s="324">
        <v>1922000</v>
      </c>
      <c r="W221" s="373">
        <v>680000</v>
      </c>
      <c r="X221" s="373">
        <f>710000+920000</f>
        <v>1630000</v>
      </c>
      <c r="Y221" s="248"/>
      <c r="Z221" s="247"/>
      <c r="AA221" s="248"/>
      <c r="AB221" s="340">
        <f t="shared" si="57"/>
        <v>4232000</v>
      </c>
      <c r="AC221" s="347">
        <f t="shared" si="61"/>
        <v>0</v>
      </c>
      <c r="AD221" s="249"/>
      <c r="AE221" s="610">
        <f>+(I221*3778000+J221*(3778000+100000))*1.08+((I221+J221+K221)*150000)*1.08+(5500000*1.08)+(2500000*1.08)-(150000*1.08)</f>
        <v>16962480</v>
      </c>
      <c r="AF221" s="342">
        <f t="shared" si="62"/>
        <v>21194480</v>
      </c>
      <c r="AG221" s="251">
        <f t="shared" si="63"/>
        <v>15705999.999999998</v>
      </c>
      <c r="AH221" s="241"/>
      <c r="AI221" s="241"/>
      <c r="AJ221" s="241"/>
      <c r="AK221" s="194"/>
      <c r="AL221" s="195"/>
      <c r="AM221" s="195"/>
    </row>
    <row r="222" spans="2:39">
      <c r="B222" s="253">
        <v>20</v>
      </c>
      <c r="C222" s="244"/>
      <c r="D222" s="256"/>
      <c r="E222" s="613">
        <v>306286231220</v>
      </c>
      <c r="F222" s="602" t="s">
        <v>2294</v>
      </c>
      <c r="G222" s="391" t="s">
        <v>3879</v>
      </c>
      <c r="H222" s="230" t="s">
        <v>210</v>
      </c>
      <c r="I222" s="230"/>
      <c r="J222" s="609">
        <v>2</v>
      </c>
      <c r="K222" s="230"/>
      <c r="L222" s="228"/>
      <c r="M222" s="257"/>
      <c r="N222" s="228" t="s">
        <v>2296</v>
      </c>
      <c r="O222" s="544" t="s">
        <v>2298</v>
      </c>
      <c r="P222" s="245"/>
      <c r="Q222" s="2368"/>
      <c r="R222" s="2368"/>
      <c r="S222" s="254"/>
      <c r="T222" s="609" t="s">
        <v>3880</v>
      </c>
      <c r="U222" s="2363"/>
      <c r="V222" s="324">
        <v>1504440</v>
      </c>
      <c r="W222" s="373">
        <f>1160000</f>
        <v>1160000</v>
      </c>
      <c r="X222" s="373">
        <f>766800+1160000</f>
        <v>1926800</v>
      </c>
      <c r="Y222" s="248"/>
      <c r="Z222" s="247"/>
      <c r="AA222" s="248"/>
      <c r="AB222" s="340">
        <f t="shared" si="57"/>
        <v>4591240</v>
      </c>
      <c r="AC222" s="347">
        <f t="shared" si="61"/>
        <v>0</v>
      </c>
      <c r="AD222" s="249"/>
      <c r="AE222" s="610">
        <f>+(I222*3778000+J222*(3778000+100000))*1.08+((I222+J222+K222)*150000)*1.08+(3500000*1.08)-(150000*1.08)</f>
        <v>12318480</v>
      </c>
      <c r="AF222" s="342">
        <f t="shared" si="62"/>
        <v>16909720</v>
      </c>
      <c r="AG222" s="251">
        <f t="shared" si="63"/>
        <v>11406000</v>
      </c>
      <c r="AH222" s="241"/>
      <c r="AI222" s="241"/>
      <c r="AJ222" s="241"/>
      <c r="AK222" s="194"/>
      <c r="AL222" s="195"/>
      <c r="AM222" s="242" t="s">
        <v>3881</v>
      </c>
    </row>
    <row r="223" spans="2:39" ht="31.2">
      <c r="B223" s="253">
        <v>21</v>
      </c>
      <c r="C223" s="244"/>
      <c r="D223" s="256"/>
      <c r="E223" s="474">
        <v>306287202230</v>
      </c>
      <c r="F223" s="602" t="s">
        <v>2294</v>
      </c>
      <c r="G223" s="391" t="s">
        <v>3882</v>
      </c>
      <c r="H223" s="230" t="s">
        <v>210</v>
      </c>
      <c r="I223" s="230"/>
      <c r="J223" s="230">
        <v>2</v>
      </c>
      <c r="K223" s="230"/>
      <c r="L223" s="228"/>
      <c r="M223" s="257"/>
      <c r="N223" s="228" t="s">
        <v>2297</v>
      </c>
      <c r="O223" s="611" t="s">
        <v>2324</v>
      </c>
      <c r="P223" s="245"/>
      <c r="Q223" s="2368"/>
      <c r="R223" s="2368"/>
      <c r="S223" s="254"/>
      <c r="T223" s="228"/>
      <c r="U223" s="2357"/>
      <c r="V223" s="256"/>
      <c r="W223" s="373">
        <f>1300000+1300000</f>
        <v>2600000</v>
      </c>
      <c r="X223" s="373">
        <f>766800+766800</f>
        <v>1533600</v>
      </c>
      <c r="Y223" s="248"/>
      <c r="Z223" s="247"/>
      <c r="AA223" s="248"/>
      <c r="AB223" s="340">
        <f t="shared" si="57"/>
        <v>4133600</v>
      </c>
      <c r="AC223" s="347">
        <f t="shared" si="61"/>
        <v>0</v>
      </c>
      <c r="AD223" s="249"/>
      <c r="AE223" s="435">
        <f t="shared" ref="AE223:AE229" si="64">+(I223*3778000+J223*(3778000+100000))*1.08+((I223+J223+K223)*150000)*1.08</f>
        <v>8700480</v>
      </c>
      <c r="AF223" s="342">
        <f t="shared" si="62"/>
        <v>12834080</v>
      </c>
      <c r="AG223" s="251">
        <f t="shared" si="63"/>
        <v>8055999.9999999991</v>
      </c>
      <c r="AH223" s="241"/>
      <c r="AI223" s="241"/>
      <c r="AJ223" s="241"/>
      <c r="AK223" s="194"/>
      <c r="AL223" s="195"/>
      <c r="AM223" s="195"/>
    </row>
    <row r="224" spans="2:39" ht="15" customHeight="1">
      <c r="B224" s="253">
        <v>22</v>
      </c>
      <c r="C224" s="244"/>
      <c r="D224" s="256"/>
      <c r="E224" s="474">
        <v>306290215140</v>
      </c>
      <c r="F224" s="602" t="s">
        <v>2295</v>
      </c>
      <c r="G224" s="391" t="s">
        <v>3883</v>
      </c>
      <c r="H224" s="230" t="s">
        <v>210</v>
      </c>
      <c r="I224" s="230"/>
      <c r="J224" s="230">
        <v>1</v>
      </c>
      <c r="K224" s="230"/>
      <c r="L224" s="228"/>
      <c r="M224" s="257"/>
      <c r="N224" s="228" t="s">
        <v>2296</v>
      </c>
      <c r="O224" s="254" t="s">
        <v>2300</v>
      </c>
      <c r="P224" s="245"/>
      <c r="Q224" s="2368"/>
      <c r="R224" s="2368"/>
      <c r="S224" s="254"/>
      <c r="T224" s="228"/>
      <c r="U224" s="2357"/>
      <c r="V224" s="256"/>
      <c r="W224" s="373">
        <v>1160000</v>
      </c>
      <c r="X224" s="373">
        <v>766800</v>
      </c>
      <c r="Y224" s="248"/>
      <c r="Z224" s="247"/>
      <c r="AA224" s="248"/>
      <c r="AB224" s="340">
        <f t="shared" si="57"/>
        <v>1926800</v>
      </c>
      <c r="AC224" s="347">
        <f t="shared" si="61"/>
        <v>0</v>
      </c>
      <c r="AD224" s="249"/>
      <c r="AE224" s="435">
        <f t="shared" si="64"/>
        <v>4350240</v>
      </c>
      <c r="AF224" s="342">
        <f t="shared" si="62"/>
        <v>6277040</v>
      </c>
      <c r="AG224" s="251">
        <f t="shared" si="63"/>
        <v>4027999.9999999995</v>
      </c>
      <c r="AH224" s="241"/>
      <c r="AI224" s="241"/>
      <c r="AJ224" s="241"/>
      <c r="AK224" s="194"/>
      <c r="AL224" s="195"/>
      <c r="AM224" s="195"/>
    </row>
    <row r="225" spans="2:39">
      <c r="B225" s="253">
        <v>23</v>
      </c>
      <c r="C225" s="244"/>
      <c r="D225" s="256"/>
      <c r="E225" s="474">
        <v>306293914050</v>
      </c>
      <c r="F225" s="602" t="s">
        <v>2299</v>
      </c>
      <c r="G225" s="391" t="s">
        <v>3884</v>
      </c>
      <c r="H225" s="230" t="s">
        <v>210</v>
      </c>
      <c r="I225" s="230">
        <v>1</v>
      </c>
      <c r="J225" s="230"/>
      <c r="K225" s="230"/>
      <c r="L225" s="228"/>
      <c r="M225" s="257"/>
      <c r="N225" s="228">
        <v>24901350</v>
      </c>
      <c r="O225" s="228" t="s">
        <v>2306</v>
      </c>
      <c r="P225" s="245"/>
      <c r="Q225" s="2368"/>
      <c r="R225" s="2368"/>
      <c r="S225" s="254"/>
      <c r="T225" s="228"/>
      <c r="U225" s="2357"/>
      <c r="V225" s="256"/>
      <c r="W225" s="373">
        <v>900000</v>
      </c>
      <c r="X225" s="373">
        <v>432000</v>
      </c>
      <c r="Y225" s="248"/>
      <c r="Z225" s="247"/>
      <c r="AA225" s="248"/>
      <c r="AB225" s="340">
        <f t="shared" si="57"/>
        <v>1332000</v>
      </c>
      <c r="AC225" s="347">
        <f t="shared" si="61"/>
        <v>0</v>
      </c>
      <c r="AD225" s="249"/>
      <c r="AE225" s="435">
        <f t="shared" si="64"/>
        <v>4242240</v>
      </c>
      <c r="AF225" s="342">
        <f t="shared" si="62"/>
        <v>5574240</v>
      </c>
      <c r="AG225" s="251">
        <f t="shared" si="63"/>
        <v>3927999.9999999995</v>
      </c>
      <c r="AH225" s="241"/>
      <c r="AI225" s="241"/>
      <c r="AJ225" s="241"/>
      <c r="AK225" s="194"/>
      <c r="AL225" s="195"/>
      <c r="AM225" s="195"/>
    </row>
    <row r="226" spans="2:39" ht="31.2">
      <c r="B226" s="253">
        <v>24</v>
      </c>
      <c r="C226" s="244"/>
      <c r="D226" s="256"/>
      <c r="E226" s="474">
        <v>306293743950</v>
      </c>
      <c r="F226" s="602" t="s">
        <v>2299</v>
      </c>
      <c r="G226" s="391" t="s">
        <v>3885</v>
      </c>
      <c r="H226" s="230" t="s">
        <v>210</v>
      </c>
      <c r="I226" s="230"/>
      <c r="J226" s="230">
        <v>2</v>
      </c>
      <c r="K226" s="230"/>
      <c r="L226" s="228"/>
      <c r="M226" s="257"/>
      <c r="N226" s="228">
        <v>6378085250</v>
      </c>
      <c r="O226" s="254" t="s">
        <v>2301</v>
      </c>
      <c r="P226" s="245"/>
      <c r="Q226" s="2368"/>
      <c r="R226" s="2368"/>
      <c r="S226" s="254"/>
      <c r="T226" s="228"/>
      <c r="U226" s="2357"/>
      <c r="V226" s="256"/>
      <c r="W226" s="373">
        <f>1450000+1450000</f>
        <v>2900000</v>
      </c>
      <c r="X226" s="373">
        <f>1140000+1140000</f>
        <v>2280000</v>
      </c>
      <c r="Y226" s="248"/>
      <c r="Z226" s="247"/>
      <c r="AA226" s="248"/>
      <c r="AB226" s="340">
        <f t="shared" si="57"/>
        <v>5180000</v>
      </c>
      <c r="AC226" s="347">
        <f t="shared" si="61"/>
        <v>0</v>
      </c>
      <c r="AD226" s="249"/>
      <c r="AE226" s="435">
        <f t="shared" si="64"/>
        <v>8700480</v>
      </c>
      <c r="AF226" s="342">
        <f t="shared" si="62"/>
        <v>13880480</v>
      </c>
      <c r="AG226" s="251">
        <f t="shared" si="63"/>
        <v>8055999.9999999991</v>
      </c>
      <c r="AH226" s="241"/>
      <c r="AI226" s="241"/>
      <c r="AJ226" s="241"/>
      <c r="AK226" s="194"/>
      <c r="AL226" s="195"/>
      <c r="AM226" s="195"/>
    </row>
    <row r="227" spans="2:39">
      <c r="B227" s="253">
        <v>25</v>
      </c>
      <c r="C227" s="244"/>
      <c r="D227" s="256"/>
      <c r="E227" s="466">
        <v>106162535950</v>
      </c>
      <c r="F227" s="602" t="s">
        <v>2302</v>
      </c>
      <c r="G227" s="391" t="s">
        <v>3886</v>
      </c>
      <c r="H227" s="230" t="s">
        <v>3579</v>
      </c>
      <c r="I227" s="230">
        <v>1</v>
      </c>
      <c r="J227" s="230"/>
      <c r="K227" s="230"/>
      <c r="L227" s="228"/>
      <c r="M227" s="257"/>
      <c r="N227" s="228" t="s">
        <v>2305</v>
      </c>
      <c r="O227" s="228" t="s">
        <v>2304</v>
      </c>
      <c r="P227" s="245"/>
      <c r="Q227" s="2368"/>
      <c r="R227" s="2368"/>
      <c r="S227" s="254"/>
      <c r="T227" s="228"/>
      <c r="U227" s="2357"/>
      <c r="V227" s="256"/>
      <c r="W227" s="324">
        <v>631800</v>
      </c>
      <c r="X227" s="373">
        <v>900000</v>
      </c>
      <c r="Y227" s="248"/>
      <c r="Z227" s="247"/>
      <c r="AA227" s="248"/>
      <c r="AB227" s="340">
        <f t="shared" si="57"/>
        <v>1531800</v>
      </c>
      <c r="AC227" s="347">
        <f t="shared" si="61"/>
        <v>0</v>
      </c>
      <c r="AD227" s="249"/>
      <c r="AE227" s="435">
        <f t="shared" si="64"/>
        <v>4242240</v>
      </c>
      <c r="AF227" s="342">
        <f t="shared" si="62"/>
        <v>5774040</v>
      </c>
      <c r="AG227" s="251">
        <f t="shared" si="63"/>
        <v>3927999.9999999995</v>
      </c>
      <c r="AH227" s="241"/>
      <c r="AI227" s="241"/>
      <c r="AJ227" s="241"/>
      <c r="AK227" s="194"/>
      <c r="AL227" s="195"/>
      <c r="AM227" s="195"/>
    </row>
    <row r="228" spans="2:39" ht="31.2">
      <c r="B228" s="253">
        <v>26</v>
      </c>
      <c r="C228" s="244"/>
      <c r="D228" s="256"/>
      <c r="E228" s="463" t="s">
        <v>2311</v>
      </c>
      <c r="F228" s="602" t="s">
        <v>2303</v>
      </c>
      <c r="G228" s="391" t="s">
        <v>3887</v>
      </c>
      <c r="H228" s="230" t="s">
        <v>3579</v>
      </c>
      <c r="I228" s="230"/>
      <c r="J228" s="230">
        <v>1</v>
      </c>
      <c r="K228" s="230"/>
      <c r="L228" s="228"/>
      <c r="M228" s="257"/>
      <c r="N228" s="228" t="s">
        <v>2310</v>
      </c>
      <c r="O228" s="228" t="s">
        <v>2309</v>
      </c>
      <c r="P228" s="245"/>
      <c r="Q228" s="2368"/>
      <c r="R228" s="2368"/>
      <c r="S228" s="254"/>
      <c r="T228" s="228"/>
      <c r="U228" s="2357"/>
      <c r="V228" s="256"/>
      <c r="W228" s="324">
        <v>1128600</v>
      </c>
      <c r="X228" s="373">
        <v>1450000</v>
      </c>
      <c r="Y228" s="248"/>
      <c r="Z228" s="247"/>
      <c r="AA228" s="248"/>
      <c r="AB228" s="340">
        <f t="shared" si="57"/>
        <v>2578600</v>
      </c>
      <c r="AC228" s="347">
        <f t="shared" si="61"/>
        <v>0</v>
      </c>
      <c r="AD228" s="249"/>
      <c r="AE228" s="435">
        <f t="shared" si="64"/>
        <v>4350240</v>
      </c>
      <c r="AF228" s="342">
        <f t="shared" si="62"/>
        <v>6928840</v>
      </c>
      <c r="AG228" s="251">
        <f t="shared" si="63"/>
        <v>4027999.9999999995</v>
      </c>
      <c r="AH228" s="241"/>
      <c r="AI228" s="241"/>
      <c r="AJ228" s="241"/>
      <c r="AK228" s="194"/>
      <c r="AL228" s="195"/>
      <c r="AM228" s="195"/>
    </row>
    <row r="229" spans="2:39">
      <c r="B229" s="253">
        <v>27</v>
      </c>
      <c r="C229" s="244"/>
      <c r="D229" s="256"/>
      <c r="E229" s="466">
        <v>106161307600</v>
      </c>
      <c r="F229" s="602" t="s">
        <v>2303</v>
      </c>
      <c r="G229" s="391" t="s">
        <v>3888</v>
      </c>
      <c r="H229" s="230" t="s">
        <v>3579</v>
      </c>
      <c r="I229" s="230">
        <v>1</v>
      </c>
      <c r="J229" s="230"/>
      <c r="K229" s="230"/>
      <c r="L229" s="526" t="s">
        <v>136</v>
      </c>
      <c r="M229" s="257"/>
      <c r="N229" s="228" t="s">
        <v>2308</v>
      </c>
      <c r="O229" s="228" t="s">
        <v>2307</v>
      </c>
      <c r="P229" s="245"/>
      <c r="Q229" s="2368"/>
      <c r="R229" s="2368"/>
      <c r="S229" s="254"/>
      <c r="T229" s="228"/>
      <c r="U229" s="2357"/>
      <c r="V229" s="256"/>
      <c r="W229" s="324">
        <v>631800</v>
      </c>
      <c r="X229" s="373">
        <v>890000</v>
      </c>
      <c r="Y229" s="248"/>
      <c r="Z229" s="247"/>
      <c r="AA229" s="248"/>
      <c r="AB229" s="340">
        <f t="shared" si="57"/>
        <v>1521800</v>
      </c>
      <c r="AC229" s="347">
        <f t="shared" si="61"/>
        <v>0</v>
      </c>
      <c r="AD229" s="249"/>
      <c r="AE229" s="435">
        <f t="shared" si="64"/>
        <v>4242240</v>
      </c>
      <c r="AF229" s="342">
        <f t="shared" si="62"/>
        <v>5764040</v>
      </c>
      <c r="AG229" s="251">
        <f t="shared" si="63"/>
        <v>3927999.9999999995</v>
      </c>
      <c r="AH229" s="241"/>
      <c r="AI229" s="241"/>
      <c r="AJ229" s="241"/>
      <c r="AK229" s="194"/>
      <c r="AL229" s="195"/>
      <c r="AM229" s="195"/>
    </row>
    <row r="230" spans="2:39">
      <c r="B230" s="643" t="s">
        <v>3889</v>
      </c>
      <c r="C230" s="644"/>
      <c r="D230" s="346"/>
      <c r="E230" s="644"/>
      <c r="F230" s="644"/>
      <c r="G230" s="644"/>
      <c r="H230" s="644"/>
      <c r="I230" s="644"/>
      <c r="J230" s="346"/>
      <c r="K230" s="346"/>
      <c r="L230" s="346"/>
      <c r="M230" s="346"/>
      <c r="N230" s="346"/>
      <c r="O230" s="346"/>
      <c r="P230" s="346"/>
      <c r="Q230" s="346"/>
      <c r="R230" s="346"/>
      <c r="S230" s="346"/>
      <c r="T230" s="346"/>
      <c r="U230" s="346"/>
      <c r="V230" s="357"/>
      <c r="W230" s="590">
        <f>+V218+W218+V221+V222+W227+W228+W229</f>
        <v>6947240</v>
      </c>
      <c r="X230" s="590" t="e">
        <f>+W230+'[1]CHÍNHẬPHẬPH NHẬPHẬPGUYÊNHẬPHẬP'!R94</f>
        <v>#REF!</v>
      </c>
      <c r="Y230" s="357"/>
      <c r="Z230" s="357"/>
      <c r="AA230" s="357"/>
      <c r="AB230" s="358">
        <f>SUM(AB203:AB229)</f>
        <v>74409040</v>
      </c>
      <c r="AC230" s="358">
        <f>SUM(AC207:AC224)</f>
        <v>0</v>
      </c>
      <c r="AD230" s="358">
        <f>SUM(AD205:AD224)</f>
        <v>0</v>
      </c>
      <c r="AE230" s="358">
        <f>SUM(AE203:AE229)</f>
        <v>164667600</v>
      </c>
      <c r="AF230" s="358">
        <f>SUM(AF203:AF229)</f>
        <v>239076640</v>
      </c>
      <c r="AG230" s="358">
        <f>SUM(AG203:AG229)</f>
        <v>152470000</v>
      </c>
      <c r="AH230" s="357"/>
      <c r="AI230" s="357"/>
      <c r="AJ230" s="357"/>
      <c r="AK230" s="357"/>
      <c r="AL230" s="357"/>
      <c r="AM230" s="614">
        <f>+AE230/1.08</f>
        <v>152470000</v>
      </c>
    </row>
    <row r="231" spans="2:39">
      <c r="B231" s="616">
        <v>1</v>
      </c>
      <c r="C231" s="244"/>
      <c r="D231" s="256"/>
      <c r="E231" s="474">
        <v>306307236560</v>
      </c>
      <c r="F231" s="602" t="s">
        <v>2331</v>
      </c>
      <c r="G231" s="391" t="s">
        <v>2335</v>
      </c>
      <c r="H231" s="230" t="s">
        <v>210</v>
      </c>
      <c r="I231" s="230"/>
      <c r="J231" s="230">
        <v>1</v>
      </c>
      <c r="K231" s="230"/>
      <c r="L231" s="228"/>
      <c r="M231" s="257"/>
      <c r="N231" s="228">
        <v>237270158</v>
      </c>
      <c r="O231" s="228" t="s">
        <v>2334</v>
      </c>
      <c r="P231" s="245"/>
      <c r="Q231" s="2368"/>
      <c r="R231" s="2368"/>
      <c r="S231" s="254"/>
      <c r="T231" s="228"/>
      <c r="U231" s="2357"/>
      <c r="V231" s="256"/>
      <c r="W231" s="373">
        <v>1200000</v>
      </c>
      <c r="X231" s="373">
        <v>766800</v>
      </c>
      <c r="Y231" s="248"/>
      <c r="Z231" s="247"/>
      <c r="AA231" s="248"/>
      <c r="AB231" s="340">
        <f t="shared" ref="AB231:AB265" si="65">V231+W231+X231+Y231+Z231+AA231</f>
        <v>1966800</v>
      </c>
      <c r="AC231" s="347">
        <f>+Z231</f>
        <v>0</v>
      </c>
      <c r="AD231" s="249"/>
      <c r="AE231" s="435">
        <f t="shared" ref="AE231:AE244" si="66">+(I231*3778000+J231*(3778000+100000))*1.08+((I231+J231+K231)*150000)*1.08</f>
        <v>4350240</v>
      </c>
      <c r="AF231" s="342">
        <f>+AB231+AE231</f>
        <v>6317040</v>
      </c>
      <c r="AG231" s="251">
        <f>+AE231/1.08</f>
        <v>4027999.9999999995</v>
      </c>
      <c r="AH231" s="241"/>
      <c r="AI231" s="241"/>
      <c r="AJ231" s="241"/>
      <c r="AK231" s="194"/>
      <c r="AL231" s="195"/>
      <c r="AM231" s="195"/>
    </row>
    <row r="232" spans="2:39" ht="18.75" customHeight="1">
      <c r="B232" s="616">
        <v>2</v>
      </c>
      <c r="C232" s="244"/>
      <c r="D232" s="256"/>
      <c r="E232" s="474">
        <v>306313853220</v>
      </c>
      <c r="F232" s="612">
        <v>45383</v>
      </c>
      <c r="G232" s="391" t="s">
        <v>2338</v>
      </c>
      <c r="H232" s="230" t="s">
        <v>210</v>
      </c>
      <c r="I232" s="230"/>
      <c r="J232" s="230">
        <v>1</v>
      </c>
      <c r="K232" s="230"/>
      <c r="L232" s="228"/>
      <c r="M232" s="257"/>
      <c r="N232" s="228" t="s">
        <v>2336</v>
      </c>
      <c r="O232" s="228" t="s">
        <v>2337</v>
      </c>
      <c r="P232" s="245"/>
      <c r="Q232" s="2368"/>
      <c r="R232" s="2368"/>
      <c r="S232" s="254"/>
      <c r="T232" s="228"/>
      <c r="U232" s="2357"/>
      <c r="V232" s="256"/>
      <c r="W232" s="373">
        <v>1450000</v>
      </c>
      <c r="X232" s="373">
        <f>3480000/3</f>
        <v>1160000</v>
      </c>
      <c r="Y232" s="248"/>
      <c r="Z232" s="247"/>
      <c r="AA232" s="248"/>
      <c r="AB232" s="340">
        <f t="shared" si="65"/>
        <v>2610000</v>
      </c>
      <c r="AC232" s="347">
        <f t="shared" ref="AC232:AC253" si="67">+Z232</f>
        <v>0</v>
      </c>
      <c r="AD232" s="249"/>
      <c r="AE232" s="435">
        <f t="shared" si="66"/>
        <v>4350240</v>
      </c>
      <c r="AF232" s="342">
        <f t="shared" ref="AF232:AF253" si="68">+AB232+AE232</f>
        <v>6960240</v>
      </c>
      <c r="AG232" s="251">
        <f t="shared" ref="AG232:AG253" si="69">+AE232/1.08</f>
        <v>4027999.9999999995</v>
      </c>
      <c r="AH232" s="241"/>
      <c r="AI232" s="241"/>
      <c r="AJ232" s="241"/>
      <c r="AK232" s="194"/>
      <c r="AL232" s="195"/>
      <c r="AM232" s="195"/>
    </row>
    <row r="233" spans="2:39">
      <c r="B233" s="616">
        <v>3</v>
      </c>
      <c r="C233" s="244"/>
      <c r="D233" s="256"/>
      <c r="E233" s="474">
        <v>306315187160</v>
      </c>
      <c r="F233" s="612">
        <v>45383</v>
      </c>
      <c r="G233" s="391" t="s">
        <v>2340</v>
      </c>
      <c r="H233" s="230" t="s">
        <v>210</v>
      </c>
      <c r="I233" s="230"/>
      <c r="J233" s="230">
        <v>1</v>
      </c>
      <c r="K233" s="230"/>
      <c r="L233" s="228"/>
      <c r="M233" s="257"/>
      <c r="N233" s="228">
        <v>29246465</v>
      </c>
      <c r="O233" s="228" t="s">
        <v>2339</v>
      </c>
      <c r="P233" s="245"/>
      <c r="Q233" s="2368"/>
      <c r="R233" s="2368"/>
      <c r="S233" s="254"/>
      <c r="T233" s="228"/>
      <c r="U233" s="2357"/>
      <c r="V233" s="256"/>
      <c r="W233" s="373">
        <v>1150000</v>
      </c>
      <c r="X233" s="373">
        <v>1140000</v>
      </c>
      <c r="Y233" s="248"/>
      <c r="Z233" s="247"/>
      <c r="AA233" s="248"/>
      <c r="AB233" s="340">
        <f t="shared" si="65"/>
        <v>2290000</v>
      </c>
      <c r="AC233" s="347">
        <f t="shared" si="67"/>
        <v>0</v>
      </c>
      <c r="AD233" s="249"/>
      <c r="AE233" s="435">
        <f t="shared" si="66"/>
        <v>4350240</v>
      </c>
      <c r="AF233" s="342">
        <f t="shared" si="68"/>
        <v>6640240</v>
      </c>
      <c r="AG233" s="251">
        <f t="shared" si="69"/>
        <v>4027999.9999999995</v>
      </c>
      <c r="AH233" s="241"/>
      <c r="AI233" s="241"/>
      <c r="AJ233" s="241"/>
      <c r="AK233" s="194"/>
      <c r="AL233" s="195"/>
      <c r="AM233" s="195"/>
    </row>
    <row r="234" spans="2:39">
      <c r="B234" s="616">
        <v>4</v>
      </c>
      <c r="C234" s="244"/>
      <c r="D234" s="256"/>
      <c r="E234" s="474">
        <v>306313837560</v>
      </c>
      <c r="F234" s="612">
        <v>45383</v>
      </c>
      <c r="G234" s="391" t="s">
        <v>2341</v>
      </c>
      <c r="H234" s="230" t="s">
        <v>210</v>
      </c>
      <c r="I234" s="230"/>
      <c r="J234" s="230">
        <v>1</v>
      </c>
      <c r="K234" s="230"/>
      <c r="L234" s="228"/>
      <c r="M234" s="257"/>
      <c r="N234" s="228" t="s">
        <v>2336</v>
      </c>
      <c r="O234" s="228" t="s">
        <v>2342</v>
      </c>
      <c r="P234" s="245"/>
      <c r="Q234" s="2368"/>
      <c r="R234" s="2368"/>
      <c r="S234" s="254"/>
      <c r="T234" s="228"/>
      <c r="U234" s="2357"/>
      <c r="V234" s="256"/>
      <c r="W234" s="373">
        <v>1450000</v>
      </c>
      <c r="X234" s="373">
        <f>3480000/3</f>
        <v>1160000</v>
      </c>
      <c r="Y234" s="248"/>
      <c r="Z234" s="247"/>
      <c r="AA234" s="248"/>
      <c r="AB234" s="340">
        <f t="shared" si="65"/>
        <v>2610000</v>
      </c>
      <c r="AC234" s="347">
        <f t="shared" si="67"/>
        <v>0</v>
      </c>
      <c r="AD234" s="249"/>
      <c r="AE234" s="435">
        <f t="shared" si="66"/>
        <v>4350240</v>
      </c>
      <c r="AF234" s="342">
        <f t="shared" si="68"/>
        <v>6960240</v>
      </c>
      <c r="AG234" s="251">
        <f t="shared" si="69"/>
        <v>4027999.9999999995</v>
      </c>
      <c r="AH234" s="241"/>
      <c r="AI234" s="241"/>
      <c r="AJ234" s="241"/>
      <c r="AK234" s="194"/>
      <c r="AL234" s="195"/>
      <c r="AM234" s="195"/>
    </row>
    <row r="235" spans="2:39" ht="18" customHeight="1">
      <c r="B235" s="616">
        <v>5</v>
      </c>
      <c r="C235" s="244"/>
      <c r="D235" s="256"/>
      <c r="E235" s="474">
        <v>306313466010</v>
      </c>
      <c r="F235" s="612">
        <v>45383</v>
      </c>
      <c r="G235" s="391" t="s">
        <v>2344</v>
      </c>
      <c r="H235" s="230" t="s">
        <v>210</v>
      </c>
      <c r="I235" s="230"/>
      <c r="J235" s="230">
        <v>1</v>
      </c>
      <c r="K235" s="230"/>
      <c r="L235" s="228"/>
      <c r="M235" s="257"/>
      <c r="N235" s="228" t="s">
        <v>2336</v>
      </c>
      <c r="O235" s="228" t="s">
        <v>2343</v>
      </c>
      <c r="P235" s="245"/>
      <c r="Q235" s="2368"/>
      <c r="R235" s="2368"/>
      <c r="S235" s="254"/>
      <c r="T235" s="228"/>
      <c r="U235" s="2357"/>
      <c r="V235" s="256"/>
      <c r="W235" s="373">
        <v>1450000</v>
      </c>
      <c r="X235" s="373">
        <f>3480000/3</f>
        <v>1160000</v>
      </c>
      <c r="Y235" s="248"/>
      <c r="Z235" s="247"/>
      <c r="AA235" s="248"/>
      <c r="AB235" s="340">
        <f t="shared" si="65"/>
        <v>2610000</v>
      </c>
      <c r="AC235" s="347">
        <f t="shared" si="67"/>
        <v>0</v>
      </c>
      <c r="AD235" s="249"/>
      <c r="AE235" s="435">
        <f t="shared" si="66"/>
        <v>4350240</v>
      </c>
      <c r="AF235" s="342">
        <f t="shared" si="68"/>
        <v>6960240</v>
      </c>
      <c r="AG235" s="251">
        <f t="shared" si="69"/>
        <v>4027999.9999999995</v>
      </c>
      <c r="AH235" s="241"/>
      <c r="AI235" s="241"/>
      <c r="AJ235" s="241"/>
      <c r="AK235" s="194"/>
      <c r="AL235" s="195"/>
      <c r="AM235" s="195"/>
    </row>
    <row r="236" spans="2:39">
      <c r="B236" s="616">
        <v>6</v>
      </c>
      <c r="C236" s="244"/>
      <c r="D236" s="256"/>
      <c r="E236" s="474">
        <v>306316387440</v>
      </c>
      <c r="F236" s="612">
        <v>45384</v>
      </c>
      <c r="G236" s="391" t="s">
        <v>2347</v>
      </c>
      <c r="H236" s="230" t="s">
        <v>210</v>
      </c>
      <c r="I236" s="230"/>
      <c r="J236" s="230">
        <v>1</v>
      </c>
      <c r="K236" s="230"/>
      <c r="L236" s="228"/>
      <c r="M236" s="257"/>
      <c r="N236" s="228" t="s">
        <v>2345</v>
      </c>
      <c r="O236" s="228" t="s">
        <v>2346</v>
      </c>
      <c r="P236" s="245"/>
      <c r="Q236" s="2368"/>
      <c r="R236" s="2368"/>
      <c r="S236" s="254"/>
      <c r="T236" s="228"/>
      <c r="U236" s="2357"/>
      <c r="V236" s="256"/>
      <c r="W236" s="373">
        <v>1160000</v>
      </c>
      <c r="X236" s="373">
        <v>1160000</v>
      </c>
      <c r="Y236" s="248"/>
      <c r="Z236" s="247"/>
      <c r="AA236" s="248"/>
      <c r="AB236" s="340">
        <f t="shared" si="65"/>
        <v>2320000</v>
      </c>
      <c r="AC236" s="347">
        <f t="shared" si="67"/>
        <v>0</v>
      </c>
      <c r="AD236" s="249"/>
      <c r="AE236" s="435">
        <f t="shared" si="66"/>
        <v>4350240</v>
      </c>
      <c r="AF236" s="342">
        <f t="shared" si="68"/>
        <v>6670240</v>
      </c>
      <c r="AG236" s="251">
        <f t="shared" si="69"/>
        <v>4027999.9999999995</v>
      </c>
      <c r="AH236" s="241"/>
      <c r="AI236" s="241"/>
      <c r="AJ236" s="241"/>
      <c r="AK236" s="194"/>
      <c r="AL236" s="195"/>
      <c r="AM236" s="195"/>
    </row>
    <row r="237" spans="2:39">
      <c r="B237" s="616">
        <v>7</v>
      </c>
      <c r="C237" s="244"/>
      <c r="D237" s="256"/>
      <c r="E237" s="474">
        <v>306320645800</v>
      </c>
      <c r="F237" s="612">
        <v>45385</v>
      </c>
      <c r="G237" s="391" t="s">
        <v>2355</v>
      </c>
      <c r="H237" s="230" t="s">
        <v>210</v>
      </c>
      <c r="I237" s="230"/>
      <c r="J237" s="230">
        <v>1</v>
      </c>
      <c r="K237" s="230"/>
      <c r="L237" s="228"/>
      <c r="M237" s="257"/>
      <c r="N237" s="228" t="s">
        <v>2354</v>
      </c>
      <c r="O237" s="228" t="s">
        <v>2356</v>
      </c>
      <c r="P237" s="245"/>
      <c r="Q237" s="2368"/>
      <c r="R237" s="2368"/>
      <c r="S237" s="254"/>
      <c r="T237" s="228"/>
      <c r="U237" s="2357"/>
      <c r="V237" s="256"/>
      <c r="W237" s="373">
        <v>1160000</v>
      </c>
      <c r="X237" s="373">
        <v>766800</v>
      </c>
      <c r="Y237" s="248"/>
      <c r="Z237" s="247"/>
      <c r="AA237" s="248"/>
      <c r="AB237" s="340">
        <f t="shared" si="65"/>
        <v>1926800</v>
      </c>
      <c r="AC237" s="347">
        <f t="shared" si="67"/>
        <v>0</v>
      </c>
      <c r="AD237" s="249"/>
      <c r="AE237" s="435">
        <f t="shared" si="66"/>
        <v>4350240</v>
      </c>
      <c r="AF237" s="342">
        <f t="shared" si="68"/>
        <v>6277040</v>
      </c>
      <c r="AG237" s="251">
        <f t="shared" si="69"/>
        <v>4027999.9999999995</v>
      </c>
      <c r="AH237" s="241"/>
      <c r="AI237" s="241"/>
      <c r="AJ237" s="241"/>
      <c r="AK237" s="194"/>
      <c r="AL237" s="195"/>
      <c r="AM237" s="195"/>
    </row>
    <row r="238" spans="2:39" ht="16.5" customHeight="1">
      <c r="B238" s="616">
        <v>8</v>
      </c>
      <c r="C238" s="244"/>
      <c r="D238" s="256"/>
      <c r="E238" s="474">
        <v>306322185100</v>
      </c>
      <c r="F238" s="612">
        <v>45386</v>
      </c>
      <c r="G238" s="391" t="s">
        <v>2360</v>
      </c>
      <c r="H238" s="230" t="s">
        <v>210</v>
      </c>
      <c r="I238" s="230"/>
      <c r="J238" s="230">
        <v>1</v>
      </c>
      <c r="K238" s="230"/>
      <c r="L238" s="228"/>
      <c r="M238" s="257"/>
      <c r="N238" s="228" t="s">
        <v>2358</v>
      </c>
      <c r="O238" s="228" t="s">
        <v>2359</v>
      </c>
      <c r="P238" s="245"/>
      <c r="Q238" s="2368"/>
      <c r="R238" s="2368"/>
      <c r="S238" s="254"/>
      <c r="T238" s="228"/>
      <c r="U238" s="2357"/>
      <c r="V238" s="256"/>
      <c r="W238" s="373">
        <v>1450000</v>
      </c>
      <c r="X238" s="373">
        <v>766800</v>
      </c>
      <c r="Y238" s="248"/>
      <c r="Z238" s="247"/>
      <c r="AA238" s="248"/>
      <c r="AB238" s="340">
        <f t="shared" si="65"/>
        <v>2216800</v>
      </c>
      <c r="AC238" s="347">
        <f t="shared" si="67"/>
        <v>0</v>
      </c>
      <c r="AD238" s="249"/>
      <c r="AE238" s="435">
        <f t="shared" si="66"/>
        <v>4350240</v>
      </c>
      <c r="AF238" s="342">
        <f t="shared" si="68"/>
        <v>6567040</v>
      </c>
      <c r="AG238" s="251">
        <f t="shared" si="69"/>
        <v>4027999.9999999995</v>
      </c>
      <c r="AH238" s="241"/>
      <c r="AI238" s="241"/>
      <c r="AJ238" s="241"/>
      <c r="AK238" s="194"/>
      <c r="AL238" s="195"/>
      <c r="AM238" s="195"/>
    </row>
    <row r="239" spans="2:39">
      <c r="B239" s="616">
        <v>9</v>
      </c>
      <c r="C239" s="244"/>
      <c r="D239" s="256"/>
      <c r="E239" s="474">
        <v>306326672210</v>
      </c>
      <c r="F239" s="612">
        <v>45387</v>
      </c>
      <c r="G239" s="391" t="s">
        <v>2388</v>
      </c>
      <c r="H239" s="230" t="s">
        <v>210</v>
      </c>
      <c r="I239" s="230"/>
      <c r="J239" s="230">
        <v>1</v>
      </c>
      <c r="K239" s="230"/>
      <c r="L239" s="228"/>
      <c r="M239" s="257"/>
      <c r="N239" s="228">
        <v>28589372</v>
      </c>
      <c r="O239" s="375" t="s">
        <v>2389</v>
      </c>
      <c r="P239" s="245"/>
      <c r="Q239" s="2368"/>
      <c r="R239" s="2368"/>
      <c r="S239" s="254"/>
      <c r="T239" s="228"/>
      <c r="U239" s="2357"/>
      <c r="V239" s="256"/>
      <c r="W239" s="373">
        <v>1150000</v>
      </c>
      <c r="X239" s="373">
        <v>1140000</v>
      </c>
      <c r="Y239" s="248"/>
      <c r="Z239" s="247"/>
      <c r="AA239" s="248"/>
      <c r="AB239" s="340">
        <f t="shared" si="65"/>
        <v>2290000</v>
      </c>
      <c r="AC239" s="347">
        <f t="shared" si="67"/>
        <v>0</v>
      </c>
      <c r="AD239" s="249"/>
      <c r="AE239" s="435">
        <f t="shared" si="66"/>
        <v>4350240</v>
      </c>
      <c r="AF239" s="342">
        <f t="shared" si="68"/>
        <v>6640240</v>
      </c>
      <c r="AG239" s="251">
        <f t="shared" si="69"/>
        <v>4027999.9999999995</v>
      </c>
      <c r="AH239" s="241"/>
      <c r="AI239" s="241"/>
      <c r="AJ239" s="241"/>
      <c r="AK239" s="194"/>
      <c r="AL239" s="195"/>
      <c r="AM239" s="195"/>
    </row>
    <row r="240" spans="2:39">
      <c r="B240" s="616">
        <v>10</v>
      </c>
      <c r="C240" s="244"/>
      <c r="D240" s="256"/>
      <c r="E240" s="474">
        <v>306327056730</v>
      </c>
      <c r="F240" s="612">
        <v>45387</v>
      </c>
      <c r="G240" s="391" t="s">
        <v>2390</v>
      </c>
      <c r="H240" s="230" t="s">
        <v>210</v>
      </c>
      <c r="I240" s="230"/>
      <c r="J240" s="230">
        <v>1</v>
      </c>
      <c r="K240" s="230"/>
      <c r="L240" s="228"/>
      <c r="M240" s="257"/>
      <c r="N240" s="228">
        <v>28589372</v>
      </c>
      <c r="O240" s="375" t="s">
        <v>2391</v>
      </c>
      <c r="P240" s="245"/>
      <c r="Q240" s="2368"/>
      <c r="R240" s="2368"/>
      <c r="S240" s="254"/>
      <c r="T240" s="228"/>
      <c r="U240" s="2357"/>
      <c r="V240" s="256"/>
      <c r="W240" s="373">
        <v>1150000</v>
      </c>
      <c r="X240" s="373">
        <v>1140000</v>
      </c>
      <c r="Y240" s="248"/>
      <c r="Z240" s="247"/>
      <c r="AA240" s="248"/>
      <c r="AB240" s="340">
        <f t="shared" si="65"/>
        <v>2290000</v>
      </c>
      <c r="AC240" s="347">
        <f t="shared" si="67"/>
        <v>0</v>
      </c>
      <c r="AD240" s="249"/>
      <c r="AE240" s="435">
        <f t="shared" si="66"/>
        <v>4350240</v>
      </c>
      <c r="AF240" s="342">
        <f t="shared" si="68"/>
        <v>6640240</v>
      </c>
      <c r="AG240" s="251">
        <f t="shared" si="69"/>
        <v>4027999.9999999995</v>
      </c>
      <c r="AH240" s="241"/>
      <c r="AI240" s="241"/>
      <c r="AJ240" s="241"/>
      <c r="AK240" s="194"/>
      <c r="AL240" s="195"/>
      <c r="AM240" s="195"/>
    </row>
    <row r="241" spans="2:39">
      <c r="B241" s="616">
        <v>11</v>
      </c>
      <c r="C241" s="244"/>
      <c r="D241" s="256"/>
      <c r="E241" s="466">
        <v>106187932060</v>
      </c>
      <c r="F241" s="612">
        <v>45388</v>
      </c>
      <c r="G241" s="391" t="s">
        <v>2392</v>
      </c>
      <c r="H241" s="230" t="s">
        <v>206</v>
      </c>
      <c r="I241" s="230">
        <v>1</v>
      </c>
      <c r="J241" s="230"/>
      <c r="K241" s="230"/>
      <c r="L241" s="228"/>
      <c r="M241" s="257"/>
      <c r="N241" s="228" t="s">
        <v>2361</v>
      </c>
      <c r="O241" s="228" t="s">
        <v>2362</v>
      </c>
      <c r="P241" s="245" t="s">
        <v>2362</v>
      </c>
      <c r="Q241" s="2368"/>
      <c r="R241" s="2368"/>
      <c r="S241" s="254"/>
      <c r="T241" s="228"/>
      <c r="U241" s="2357"/>
      <c r="V241" s="256"/>
      <c r="W241" s="324">
        <v>432000</v>
      </c>
      <c r="X241" s="373">
        <v>890000</v>
      </c>
      <c r="Y241" s="248"/>
      <c r="Z241" s="247"/>
      <c r="AA241" s="248"/>
      <c r="AB241" s="340">
        <f t="shared" si="65"/>
        <v>1322000</v>
      </c>
      <c r="AC241" s="347">
        <f t="shared" si="67"/>
        <v>0</v>
      </c>
      <c r="AD241" s="249"/>
      <c r="AE241" s="435">
        <f t="shared" si="66"/>
        <v>4242240</v>
      </c>
      <c r="AF241" s="342">
        <f t="shared" si="68"/>
        <v>5564240</v>
      </c>
      <c r="AG241" s="251">
        <f t="shared" si="69"/>
        <v>3927999.9999999995</v>
      </c>
      <c r="AH241" s="241"/>
      <c r="AI241" s="241"/>
      <c r="AJ241" s="241"/>
      <c r="AK241" s="194"/>
      <c r="AL241" s="195"/>
      <c r="AM241" s="195"/>
    </row>
    <row r="242" spans="2:39">
      <c r="B242" s="616">
        <v>12</v>
      </c>
      <c r="C242" s="244"/>
      <c r="D242" s="256"/>
      <c r="E242" s="466">
        <v>106189468120</v>
      </c>
      <c r="F242" s="612">
        <v>45388</v>
      </c>
      <c r="G242" s="391" t="s">
        <v>2393</v>
      </c>
      <c r="H242" s="230" t="s">
        <v>206</v>
      </c>
      <c r="I242" s="230">
        <v>1</v>
      </c>
      <c r="J242" s="230"/>
      <c r="K242" s="230"/>
      <c r="L242" s="228"/>
      <c r="M242" s="257"/>
      <c r="N242" s="228" t="s">
        <v>2363</v>
      </c>
      <c r="O242" s="228" t="s">
        <v>2364</v>
      </c>
      <c r="P242" s="245" t="s">
        <v>2364</v>
      </c>
      <c r="Q242" s="2368"/>
      <c r="R242" s="2368"/>
      <c r="S242" s="254"/>
      <c r="T242" s="228"/>
      <c r="U242" s="2357"/>
      <c r="V242" s="256"/>
      <c r="W242" s="324">
        <v>432000</v>
      </c>
      <c r="X242" s="373">
        <v>900000</v>
      </c>
      <c r="Y242" s="248"/>
      <c r="Z242" s="247"/>
      <c r="AA242" s="248"/>
      <c r="AB242" s="340">
        <f t="shared" si="65"/>
        <v>1332000</v>
      </c>
      <c r="AC242" s="347">
        <f t="shared" si="67"/>
        <v>0</v>
      </c>
      <c r="AD242" s="249"/>
      <c r="AE242" s="435">
        <f t="shared" si="66"/>
        <v>4242240</v>
      </c>
      <c r="AF242" s="342">
        <f t="shared" si="68"/>
        <v>5574240</v>
      </c>
      <c r="AG242" s="251">
        <f t="shared" si="69"/>
        <v>3927999.9999999995</v>
      </c>
      <c r="AH242" s="241"/>
      <c r="AI242" s="241"/>
      <c r="AJ242" s="241"/>
      <c r="AK242" s="194"/>
      <c r="AL242" s="195"/>
      <c r="AM242" s="195"/>
    </row>
    <row r="243" spans="2:39">
      <c r="B243" s="616">
        <v>13</v>
      </c>
      <c r="C243" s="244"/>
      <c r="D243" s="256"/>
      <c r="E243" s="466">
        <v>106188911140</v>
      </c>
      <c r="F243" s="612">
        <v>45388</v>
      </c>
      <c r="G243" s="391" t="s">
        <v>2394</v>
      </c>
      <c r="H243" s="230" t="s">
        <v>206</v>
      </c>
      <c r="I243" s="230">
        <v>1</v>
      </c>
      <c r="J243" s="230"/>
      <c r="K243" s="230"/>
      <c r="L243" s="228"/>
      <c r="M243" s="257"/>
      <c r="N243" s="228" t="s">
        <v>2365</v>
      </c>
      <c r="O243" s="228" t="s">
        <v>2366</v>
      </c>
      <c r="P243" s="245" t="s">
        <v>2366</v>
      </c>
      <c r="Q243" s="2368"/>
      <c r="R243" s="2368"/>
      <c r="S243" s="254"/>
      <c r="V243" s="256"/>
      <c r="W243" s="324">
        <v>432000</v>
      </c>
      <c r="X243" s="373">
        <v>900000</v>
      </c>
      <c r="Y243" s="248"/>
      <c r="Z243" s="247"/>
      <c r="AA243" s="248"/>
      <c r="AB243" s="340">
        <f t="shared" si="65"/>
        <v>1332000</v>
      </c>
      <c r="AC243" s="347">
        <f t="shared" si="67"/>
        <v>0</v>
      </c>
      <c r="AD243" s="249"/>
      <c r="AE243" s="435">
        <f t="shared" si="66"/>
        <v>4242240</v>
      </c>
      <c r="AF243" s="342">
        <f t="shared" si="68"/>
        <v>5574240</v>
      </c>
      <c r="AG243" s="251">
        <f t="shared" si="69"/>
        <v>3927999.9999999995</v>
      </c>
      <c r="AH243" s="241"/>
      <c r="AI243" s="241"/>
      <c r="AJ243" s="241"/>
      <c r="AK243" s="194"/>
      <c r="AL243" s="195"/>
      <c r="AM243" s="195"/>
    </row>
    <row r="244" spans="2:39" ht="31.2">
      <c r="B244" s="616">
        <v>14</v>
      </c>
      <c r="C244" s="244"/>
      <c r="D244" s="256"/>
      <c r="E244" s="463" t="s">
        <v>2426</v>
      </c>
      <c r="F244" s="612">
        <v>45391</v>
      </c>
      <c r="G244" s="391" t="s">
        <v>2399</v>
      </c>
      <c r="H244" s="230" t="s">
        <v>206</v>
      </c>
      <c r="I244" s="230">
        <v>1</v>
      </c>
      <c r="J244" s="230"/>
      <c r="K244" s="230"/>
      <c r="L244" s="228"/>
      <c r="M244" s="257"/>
      <c r="N244" s="228" t="s">
        <v>2395</v>
      </c>
      <c r="O244" s="228" t="s">
        <v>2396</v>
      </c>
      <c r="P244" s="245"/>
      <c r="Q244" s="2368"/>
      <c r="R244" s="2368"/>
      <c r="S244" s="254"/>
      <c r="T244" s="228"/>
      <c r="U244" s="2357"/>
      <c r="V244" s="256"/>
      <c r="W244" s="324">
        <v>631800</v>
      </c>
      <c r="X244" s="373">
        <v>900000</v>
      </c>
      <c r="Y244" s="248"/>
      <c r="Z244" s="247"/>
      <c r="AA244" s="248"/>
      <c r="AB244" s="340">
        <f t="shared" si="65"/>
        <v>1531800</v>
      </c>
      <c r="AC244" s="347">
        <f t="shared" si="67"/>
        <v>0</v>
      </c>
      <c r="AD244" s="249"/>
      <c r="AE244" s="435">
        <f t="shared" si="66"/>
        <v>4242240</v>
      </c>
      <c r="AF244" s="342">
        <f t="shared" si="68"/>
        <v>5774040</v>
      </c>
      <c r="AG244" s="251">
        <f t="shared" si="69"/>
        <v>3927999.9999999995</v>
      </c>
      <c r="AH244" s="241"/>
      <c r="AI244" s="241"/>
      <c r="AJ244" s="241"/>
      <c r="AK244" s="194"/>
      <c r="AL244" s="195"/>
      <c r="AM244" s="195"/>
    </row>
    <row r="245" spans="2:39">
      <c r="B245" s="616">
        <v>15</v>
      </c>
      <c r="C245" s="244"/>
      <c r="D245" s="256"/>
      <c r="E245" s="466">
        <v>106193549450</v>
      </c>
      <c r="F245" s="612">
        <v>45391</v>
      </c>
      <c r="G245" s="391" t="s">
        <v>2398</v>
      </c>
      <c r="H245" s="230" t="s">
        <v>206</v>
      </c>
      <c r="I245" s="230"/>
      <c r="J245" s="230"/>
      <c r="K245" s="230">
        <v>1</v>
      </c>
      <c r="L245" s="228"/>
      <c r="M245" s="543" t="s">
        <v>2433</v>
      </c>
      <c r="N245" s="228" t="s">
        <v>2397</v>
      </c>
      <c r="O245" s="228"/>
      <c r="P245" s="245"/>
      <c r="Q245" s="2368"/>
      <c r="R245" s="2368"/>
      <c r="S245" s="254"/>
      <c r="T245" s="543" t="s">
        <v>2433</v>
      </c>
      <c r="U245" s="2361"/>
      <c r="V245" s="324">
        <v>24389</v>
      </c>
      <c r="W245" s="248"/>
      <c r="X245" s="248"/>
      <c r="Y245" s="248"/>
      <c r="Z245" s="247"/>
      <c r="AA245" s="248"/>
      <c r="AB245" s="340">
        <f t="shared" si="65"/>
        <v>24389</v>
      </c>
      <c r="AC245" s="347">
        <f t="shared" si="67"/>
        <v>0</v>
      </c>
      <c r="AD245" s="249"/>
      <c r="AE245" s="605">
        <f>+(2268000*1.08+((I245+J245+K245)*150000)*1.08)</f>
        <v>2611440</v>
      </c>
      <c r="AF245" s="342">
        <f t="shared" si="68"/>
        <v>2635829</v>
      </c>
      <c r="AG245" s="251">
        <f t="shared" si="69"/>
        <v>2418000</v>
      </c>
      <c r="AH245" s="241"/>
      <c r="AI245" s="241"/>
      <c r="AJ245" s="241"/>
      <c r="AK245" s="194"/>
      <c r="AL245" s="195"/>
      <c r="AM245" s="195"/>
    </row>
    <row r="246" spans="2:39">
      <c r="B246" s="616">
        <v>16</v>
      </c>
      <c r="C246" s="244"/>
      <c r="D246" s="256"/>
      <c r="E246" s="474">
        <v>306333158040</v>
      </c>
      <c r="F246" s="612">
        <v>45391</v>
      </c>
      <c r="G246" s="391" t="s">
        <v>2403</v>
      </c>
      <c r="H246" s="230" t="s">
        <v>210</v>
      </c>
      <c r="I246" s="230"/>
      <c r="J246" s="230">
        <v>1</v>
      </c>
      <c r="K246" s="230"/>
      <c r="L246" s="228"/>
      <c r="M246" s="257"/>
      <c r="N246" s="228" t="s">
        <v>2401</v>
      </c>
      <c r="O246" s="228" t="s">
        <v>2400</v>
      </c>
      <c r="P246" s="245"/>
      <c r="Q246" s="2368"/>
      <c r="R246" s="2368"/>
      <c r="S246" s="254"/>
      <c r="T246" s="228"/>
      <c r="U246" s="2357"/>
      <c r="V246" s="256"/>
      <c r="W246" s="373">
        <v>1450000</v>
      </c>
      <c r="X246" s="373">
        <v>766800</v>
      </c>
      <c r="Y246" s="248"/>
      <c r="Z246" s="247"/>
      <c r="AA246" s="248"/>
      <c r="AB246" s="340">
        <f t="shared" si="65"/>
        <v>2216800</v>
      </c>
      <c r="AC246" s="347">
        <f t="shared" si="67"/>
        <v>0</v>
      </c>
      <c r="AD246" s="249"/>
      <c r="AE246" s="435">
        <f t="shared" ref="AE246:AE258" si="70">+(I246*3778000+J246*(3778000+100000))*1.08+((I246+J246+K246)*150000)*1.08</f>
        <v>4350240</v>
      </c>
      <c r="AF246" s="342">
        <f t="shared" si="68"/>
        <v>6567040</v>
      </c>
      <c r="AG246" s="251">
        <f t="shared" si="69"/>
        <v>4027999.9999999995</v>
      </c>
      <c r="AH246" s="241"/>
      <c r="AI246" s="241"/>
      <c r="AJ246" s="241"/>
      <c r="AK246" s="194"/>
      <c r="AL246" s="195"/>
      <c r="AM246" s="195"/>
    </row>
    <row r="247" spans="2:39" ht="31.2">
      <c r="B247" s="616">
        <v>17</v>
      </c>
      <c r="C247" s="244"/>
      <c r="D247" s="256"/>
      <c r="E247" s="474">
        <v>306333516700</v>
      </c>
      <c r="F247" s="612">
        <v>45391</v>
      </c>
      <c r="G247" s="391" t="s">
        <v>2404</v>
      </c>
      <c r="H247" s="230" t="s">
        <v>210</v>
      </c>
      <c r="I247" s="230"/>
      <c r="J247" s="230">
        <v>2</v>
      </c>
      <c r="K247" s="230"/>
      <c r="L247" s="228"/>
      <c r="M247" s="257"/>
      <c r="N247" s="228">
        <v>6380462590</v>
      </c>
      <c r="O247" s="254" t="s">
        <v>2402</v>
      </c>
      <c r="P247" s="245"/>
      <c r="Q247" s="2368"/>
      <c r="R247" s="2368"/>
      <c r="S247" s="254"/>
      <c r="T247" s="228"/>
      <c r="U247" s="2357"/>
      <c r="V247" s="256"/>
      <c r="W247" s="373">
        <f>1425000+1425000</f>
        <v>2850000</v>
      </c>
      <c r="X247" s="373">
        <f>1140000+1140000</f>
        <v>2280000</v>
      </c>
      <c r="Y247" s="248"/>
      <c r="Z247" s="247"/>
      <c r="AA247" s="248"/>
      <c r="AB247" s="340">
        <f t="shared" si="65"/>
        <v>5130000</v>
      </c>
      <c r="AC247" s="347">
        <f t="shared" si="67"/>
        <v>0</v>
      </c>
      <c r="AD247" s="249"/>
      <c r="AE247" s="435">
        <f t="shared" si="70"/>
        <v>8700480</v>
      </c>
      <c r="AF247" s="342">
        <f t="shared" si="68"/>
        <v>13830480</v>
      </c>
      <c r="AG247" s="251">
        <f t="shared" si="69"/>
        <v>8055999.9999999991</v>
      </c>
      <c r="AH247" s="241"/>
      <c r="AI247" s="241"/>
      <c r="AJ247" s="241"/>
      <c r="AK247" s="194"/>
      <c r="AL247" s="195"/>
      <c r="AM247" s="195"/>
    </row>
    <row r="248" spans="2:39">
      <c r="B248" s="616">
        <v>18</v>
      </c>
      <c r="C248" s="244"/>
      <c r="D248" s="256"/>
      <c r="E248" s="474">
        <v>306334562240</v>
      </c>
      <c r="F248" s="612">
        <v>45391</v>
      </c>
      <c r="G248" s="391" t="s">
        <v>2406</v>
      </c>
      <c r="H248" s="230" t="s">
        <v>210</v>
      </c>
      <c r="I248" s="230"/>
      <c r="J248" s="230">
        <v>1</v>
      </c>
      <c r="K248" s="230"/>
      <c r="L248" s="228"/>
      <c r="M248" s="257"/>
      <c r="N248" s="228" t="s">
        <v>2405</v>
      </c>
      <c r="O248" s="228" t="s">
        <v>2407</v>
      </c>
      <c r="P248" s="245"/>
      <c r="Q248" s="2368"/>
      <c r="R248" s="2368"/>
      <c r="S248" s="254"/>
      <c r="T248" s="228"/>
      <c r="U248" s="2357"/>
      <c r="V248" s="256"/>
      <c r="W248" s="373">
        <v>1450000</v>
      </c>
      <c r="X248" s="373">
        <v>766800</v>
      </c>
      <c r="Y248" s="248"/>
      <c r="Z248" s="247"/>
      <c r="AA248" s="248"/>
      <c r="AB248" s="340">
        <f t="shared" si="65"/>
        <v>2216800</v>
      </c>
      <c r="AC248" s="347">
        <f t="shared" si="67"/>
        <v>0</v>
      </c>
      <c r="AD248" s="249"/>
      <c r="AE248" s="435">
        <f t="shared" si="70"/>
        <v>4350240</v>
      </c>
      <c r="AF248" s="342">
        <f t="shared" si="68"/>
        <v>6567040</v>
      </c>
      <c r="AG248" s="251">
        <f t="shared" si="69"/>
        <v>4027999.9999999995</v>
      </c>
      <c r="AH248" s="241"/>
      <c r="AI248" s="241"/>
      <c r="AJ248" s="241"/>
      <c r="AK248" s="194"/>
      <c r="AL248" s="195"/>
      <c r="AM248" s="195"/>
    </row>
    <row r="249" spans="2:39">
      <c r="B249" s="616">
        <v>19</v>
      </c>
      <c r="C249" s="244"/>
      <c r="D249" s="256"/>
      <c r="E249" s="474">
        <v>306339526200</v>
      </c>
      <c r="F249" s="612">
        <v>45393</v>
      </c>
      <c r="G249" s="391" t="s">
        <v>2429</v>
      </c>
      <c r="H249" s="230" t="s">
        <v>210</v>
      </c>
      <c r="I249" s="230">
        <v>1</v>
      </c>
      <c r="J249" s="230"/>
      <c r="K249" s="230"/>
      <c r="L249" s="228"/>
      <c r="M249" s="257"/>
      <c r="N249" s="228" t="s">
        <v>2424</v>
      </c>
      <c r="O249" s="228" t="s">
        <v>2430</v>
      </c>
      <c r="P249" s="245"/>
      <c r="Q249" s="2368"/>
      <c r="R249" s="2368"/>
      <c r="S249" s="254"/>
      <c r="T249" s="228"/>
      <c r="U249" s="2357"/>
      <c r="V249" s="256"/>
      <c r="W249" s="373">
        <v>900000</v>
      </c>
      <c r="X249" s="373">
        <v>432000</v>
      </c>
      <c r="Y249" s="248"/>
      <c r="Z249" s="247"/>
      <c r="AA249" s="248"/>
      <c r="AB249" s="340">
        <f t="shared" si="65"/>
        <v>1332000</v>
      </c>
      <c r="AC249" s="347">
        <f t="shared" si="67"/>
        <v>0</v>
      </c>
      <c r="AD249" s="249"/>
      <c r="AE249" s="435">
        <f t="shared" si="70"/>
        <v>4242240</v>
      </c>
      <c r="AF249" s="342">
        <f t="shared" si="68"/>
        <v>5574240</v>
      </c>
      <c r="AG249" s="251">
        <f t="shared" si="69"/>
        <v>3927999.9999999995</v>
      </c>
      <c r="AH249" s="241"/>
      <c r="AI249" s="241"/>
      <c r="AJ249" s="241"/>
      <c r="AK249" s="194"/>
      <c r="AL249" s="195"/>
      <c r="AM249" s="195"/>
    </row>
    <row r="250" spans="2:39">
      <c r="B250" s="616">
        <v>20</v>
      </c>
      <c r="C250" s="244"/>
      <c r="D250" s="256"/>
      <c r="E250" s="474">
        <v>306343424460</v>
      </c>
      <c r="F250" s="612">
        <v>45394</v>
      </c>
      <c r="G250" s="391" t="s">
        <v>2431</v>
      </c>
      <c r="H250" s="230" t="s">
        <v>210</v>
      </c>
      <c r="I250" s="230"/>
      <c r="J250" s="230">
        <v>1</v>
      </c>
      <c r="K250" s="230"/>
      <c r="L250" s="228"/>
      <c r="M250" s="257"/>
      <c r="N250" s="228" t="s">
        <v>2425</v>
      </c>
      <c r="O250" s="228" t="s">
        <v>2432</v>
      </c>
      <c r="P250" s="245"/>
      <c r="Q250" s="2368"/>
      <c r="R250" s="2368"/>
      <c r="S250" s="254"/>
      <c r="T250" s="228"/>
      <c r="U250" s="2357"/>
      <c r="V250" s="256"/>
      <c r="W250" s="373">
        <v>1160000</v>
      </c>
      <c r="X250" s="373">
        <v>1140000</v>
      </c>
      <c r="Y250" s="248"/>
      <c r="Z250" s="247"/>
      <c r="AA250" s="248"/>
      <c r="AB250" s="340">
        <f t="shared" si="65"/>
        <v>2300000</v>
      </c>
      <c r="AC250" s="347">
        <f t="shared" si="67"/>
        <v>0</v>
      </c>
      <c r="AD250" s="249"/>
      <c r="AE250" s="435">
        <f t="shared" si="70"/>
        <v>4350240</v>
      </c>
      <c r="AF250" s="342">
        <f t="shared" si="68"/>
        <v>6650240</v>
      </c>
      <c r="AG250" s="251">
        <f t="shared" si="69"/>
        <v>4027999.9999999995</v>
      </c>
      <c r="AH250" s="241"/>
      <c r="AI250" s="241"/>
      <c r="AJ250" s="241"/>
      <c r="AK250" s="194"/>
      <c r="AL250" s="195"/>
      <c r="AM250" s="195"/>
    </row>
    <row r="251" spans="2:39">
      <c r="B251" s="253">
        <v>21</v>
      </c>
      <c r="C251" s="244"/>
      <c r="D251" s="256"/>
      <c r="E251" s="474">
        <v>306330227140</v>
      </c>
      <c r="F251" s="612">
        <v>45390</v>
      </c>
      <c r="G251" s="391" t="s">
        <v>2473</v>
      </c>
      <c r="H251" s="230" t="s">
        <v>210</v>
      </c>
      <c r="I251" s="230"/>
      <c r="J251" s="230">
        <v>1</v>
      </c>
      <c r="K251" s="230"/>
      <c r="L251" s="228"/>
      <c r="M251" s="257"/>
      <c r="N251" s="228" t="s">
        <v>2471</v>
      </c>
      <c r="O251" s="228" t="s">
        <v>2472</v>
      </c>
      <c r="P251" s="245"/>
      <c r="Q251" s="2368"/>
      <c r="R251" s="2368"/>
      <c r="S251" s="254"/>
      <c r="T251" s="228"/>
      <c r="U251" s="2357"/>
      <c r="V251" s="256"/>
      <c r="W251" s="373">
        <v>1450000</v>
      </c>
      <c r="X251" s="373">
        <v>766800</v>
      </c>
      <c r="Y251" s="248"/>
      <c r="Z251" s="247"/>
      <c r="AA251" s="248"/>
      <c r="AB251" s="340">
        <f t="shared" si="65"/>
        <v>2216800</v>
      </c>
      <c r="AC251" s="347">
        <f>+Z251</f>
        <v>0</v>
      </c>
      <c r="AD251" s="249"/>
      <c r="AE251" s="435">
        <f t="shared" si="70"/>
        <v>4350240</v>
      </c>
      <c r="AF251" s="342">
        <f>+AB251+AE251</f>
        <v>6567040</v>
      </c>
      <c r="AG251" s="251">
        <f>+AE251/1.08</f>
        <v>4027999.9999999995</v>
      </c>
      <c r="AH251" s="241"/>
      <c r="AI251" s="241"/>
      <c r="AJ251" s="241"/>
      <c r="AK251" s="194"/>
      <c r="AL251" s="195"/>
      <c r="AM251" s="195"/>
    </row>
    <row r="252" spans="2:39">
      <c r="B252" s="253">
        <v>22</v>
      </c>
      <c r="C252" s="244"/>
      <c r="D252" s="256"/>
      <c r="E252" s="474">
        <v>306351889710</v>
      </c>
      <c r="F252" s="612" t="s">
        <v>2441</v>
      </c>
      <c r="G252" s="391" t="s">
        <v>2444</v>
      </c>
      <c r="H252" s="230" t="s">
        <v>210</v>
      </c>
      <c r="I252" s="230"/>
      <c r="J252" s="230">
        <v>1</v>
      </c>
      <c r="K252" s="230"/>
      <c r="L252" s="228"/>
      <c r="M252" s="257"/>
      <c r="N252" s="228" t="s">
        <v>2442</v>
      </c>
      <c r="O252" s="228" t="s">
        <v>2443</v>
      </c>
      <c r="P252" s="245"/>
      <c r="Q252" s="2368"/>
      <c r="R252" s="2368"/>
      <c r="S252" s="254"/>
      <c r="T252" s="228"/>
      <c r="U252" s="2357"/>
      <c r="V252" s="256"/>
      <c r="W252" s="373">
        <v>1160000</v>
      </c>
      <c r="X252" s="373">
        <v>766800</v>
      </c>
      <c r="Y252" s="248"/>
      <c r="Z252" s="247"/>
      <c r="AA252" s="248"/>
      <c r="AB252" s="340">
        <f t="shared" si="65"/>
        <v>1926800</v>
      </c>
      <c r="AC252" s="347">
        <f t="shared" si="67"/>
        <v>0</v>
      </c>
      <c r="AD252" s="249"/>
      <c r="AE252" s="435">
        <f t="shared" si="70"/>
        <v>4350240</v>
      </c>
      <c r="AF252" s="342">
        <f t="shared" si="68"/>
        <v>6277040</v>
      </c>
      <c r="AG252" s="251">
        <f t="shared" si="69"/>
        <v>4027999.9999999995</v>
      </c>
      <c r="AH252" s="241"/>
      <c r="AI252" s="241"/>
      <c r="AJ252" s="241"/>
      <c r="AK252" s="194"/>
      <c r="AL252" s="195"/>
      <c r="AM252" s="195"/>
    </row>
    <row r="253" spans="2:39">
      <c r="B253" s="253">
        <v>23</v>
      </c>
      <c r="C253" s="244"/>
      <c r="D253" s="256"/>
      <c r="E253" s="474">
        <v>306352250910</v>
      </c>
      <c r="F253" s="612" t="s">
        <v>2441</v>
      </c>
      <c r="G253" s="391" t="s">
        <v>2446</v>
      </c>
      <c r="H253" s="230" t="s">
        <v>210</v>
      </c>
      <c r="I253" s="230"/>
      <c r="J253" s="230">
        <v>1</v>
      </c>
      <c r="K253" s="230"/>
      <c r="L253" s="228"/>
      <c r="M253" s="257"/>
      <c r="N253" s="228" t="s">
        <v>2445</v>
      </c>
      <c r="O253" s="228" t="s">
        <v>2447</v>
      </c>
      <c r="P253" s="245"/>
      <c r="Q253" s="2368"/>
      <c r="R253" s="2368"/>
      <c r="S253" s="254"/>
      <c r="T253" s="228"/>
      <c r="U253" s="2357"/>
      <c r="V253" s="256"/>
      <c r="W253" s="373">
        <v>1160000</v>
      </c>
      <c r="X253" s="373">
        <v>766800</v>
      </c>
      <c r="Y253" s="248"/>
      <c r="Z253" s="247"/>
      <c r="AA253" s="248"/>
      <c r="AB253" s="340">
        <f t="shared" si="65"/>
        <v>1926800</v>
      </c>
      <c r="AC253" s="347">
        <f t="shared" si="67"/>
        <v>0</v>
      </c>
      <c r="AD253" s="249"/>
      <c r="AE253" s="435">
        <f t="shared" si="70"/>
        <v>4350240</v>
      </c>
      <c r="AF253" s="342">
        <f t="shared" si="68"/>
        <v>6277040</v>
      </c>
      <c r="AG253" s="251">
        <f t="shared" si="69"/>
        <v>4027999.9999999995</v>
      </c>
      <c r="AH253" s="241"/>
      <c r="AI253" s="241"/>
      <c r="AJ253" s="241"/>
      <c r="AK253" s="194"/>
      <c r="AL253" s="195"/>
      <c r="AM253" s="195"/>
    </row>
    <row r="254" spans="2:39" ht="31.2">
      <c r="B254" s="253">
        <v>24</v>
      </c>
      <c r="C254" s="244"/>
      <c r="D254" s="256"/>
      <c r="E254" s="474">
        <v>306351272310</v>
      </c>
      <c r="F254" s="612" t="s">
        <v>2441</v>
      </c>
      <c r="G254" s="391" t="s">
        <v>2448</v>
      </c>
      <c r="H254" s="230" t="s">
        <v>210</v>
      </c>
      <c r="I254" s="230"/>
      <c r="J254" s="230">
        <v>2</v>
      </c>
      <c r="K254" s="230"/>
      <c r="L254" s="228"/>
      <c r="M254" s="257"/>
      <c r="N254" s="228" t="s">
        <v>2449</v>
      </c>
      <c r="O254" s="254" t="s">
        <v>2450</v>
      </c>
      <c r="P254" s="245"/>
      <c r="Q254" s="2368"/>
      <c r="R254" s="2368"/>
      <c r="S254" s="254"/>
      <c r="T254" s="228"/>
      <c r="U254" s="2357"/>
      <c r="V254" s="256"/>
      <c r="W254" s="373">
        <f>1160000+1160000</f>
        <v>2320000</v>
      </c>
      <c r="X254" s="373">
        <f>1160000+1160000</f>
        <v>2320000</v>
      </c>
      <c r="Y254" s="248"/>
      <c r="Z254" s="247"/>
      <c r="AA254" s="248"/>
      <c r="AB254" s="340">
        <f t="shared" si="65"/>
        <v>4640000</v>
      </c>
      <c r="AC254" s="347">
        <f t="shared" ref="AC254:AC259" si="71">+Z254</f>
        <v>0</v>
      </c>
      <c r="AD254" s="249"/>
      <c r="AE254" s="435">
        <f t="shared" si="70"/>
        <v>8700480</v>
      </c>
      <c r="AF254" s="342">
        <f t="shared" ref="AF254:AF259" si="72">+AB254+AE254</f>
        <v>13340480</v>
      </c>
      <c r="AG254" s="251">
        <f t="shared" ref="AG254:AG259" si="73">+AE254/1.08</f>
        <v>8055999.9999999991</v>
      </c>
      <c r="AH254" s="241"/>
      <c r="AI254" s="241"/>
      <c r="AJ254" s="241"/>
      <c r="AK254" s="194"/>
      <c r="AL254" s="195"/>
      <c r="AM254" s="195"/>
    </row>
    <row r="255" spans="2:39">
      <c r="B255" s="253">
        <v>25</v>
      </c>
      <c r="C255" s="244"/>
      <c r="D255" s="256"/>
      <c r="E255" s="474">
        <v>306356023800</v>
      </c>
      <c r="F255" s="602" t="s">
        <v>2453</v>
      </c>
      <c r="G255" s="391" t="s">
        <v>2454</v>
      </c>
      <c r="H255" s="230" t="s">
        <v>748</v>
      </c>
      <c r="I255" s="230"/>
      <c r="J255" s="230">
        <v>1</v>
      </c>
      <c r="K255" s="230"/>
      <c r="L255" s="228"/>
      <c r="M255" s="257"/>
      <c r="N255" s="228" t="s">
        <v>2452</v>
      </c>
      <c r="O255" s="228" t="s">
        <v>2451</v>
      </c>
      <c r="P255" s="245"/>
      <c r="Q255" s="2368"/>
      <c r="R255" s="2368"/>
      <c r="S255" s="254"/>
      <c r="T255" s="228"/>
      <c r="U255" s="2357"/>
      <c r="V255" s="256"/>
      <c r="W255" s="373">
        <v>1160000</v>
      </c>
      <c r="X255" s="373">
        <v>1160000</v>
      </c>
      <c r="Y255" s="248"/>
      <c r="Z255" s="247"/>
      <c r="AA255" s="248"/>
      <c r="AB255" s="340">
        <f t="shared" si="65"/>
        <v>2320000</v>
      </c>
      <c r="AC255" s="347">
        <f t="shared" si="71"/>
        <v>0</v>
      </c>
      <c r="AD255" s="249"/>
      <c r="AE255" s="435">
        <f t="shared" si="70"/>
        <v>4350240</v>
      </c>
      <c r="AF255" s="342">
        <f t="shared" si="72"/>
        <v>6670240</v>
      </c>
      <c r="AG255" s="251">
        <f t="shared" si="73"/>
        <v>4027999.9999999995</v>
      </c>
      <c r="AH255" s="241"/>
      <c r="AI255" s="241"/>
      <c r="AJ255" s="241"/>
      <c r="AK255" s="194"/>
      <c r="AL255" s="195"/>
      <c r="AM255" s="195"/>
    </row>
    <row r="256" spans="2:39" ht="31.2">
      <c r="B256" s="253">
        <v>26</v>
      </c>
      <c r="C256" s="244"/>
      <c r="D256" s="256"/>
      <c r="E256" s="547">
        <v>106214029460</v>
      </c>
      <c r="F256" s="602" t="s">
        <v>2453</v>
      </c>
      <c r="G256" s="391" t="s">
        <v>2460</v>
      </c>
      <c r="H256" s="230" t="s">
        <v>206</v>
      </c>
      <c r="I256" s="230"/>
      <c r="J256" s="230">
        <v>2</v>
      </c>
      <c r="K256" s="230"/>
      <c r="L256" s="228"/>
      <c r="M256" s="257"/>
      <c r="N256" s="228" t="s">
        <v>2459</v>
      </c>
      <c r="O256" s="254" t="s">
        <v>2461</v>
      </c>
      <c r="P256" s="245"/>
      <c r="Q256" s="2368"/>
      <c r="R256" s="2368"/>
      <c r="S256" s="254"/>
      <c r="T256" s="228"/>
      <c r="U256" s="2357"/>
      <c r="V256" s="256"/>
      <c r="W256" s="324">
        <v>2257200</v>
      </c>
      <c r="X256" s="373">
        <v>2900001</v>
      </c>
      <c r="Y256" s="248"/>
      <c r="Z256" s="247"/>
      <c r="AA256" s="248"/>
      <c r="AB256" s="340">
        <f t="shared" si="65"/>
        <v>5157201</v>
      </c>
      <c r="AC256" s="347">
        <f t="shared" si="71"/>
        <v>0</v>
      </c>
      <c r="AD256" s="249"/>
      <c r="AE256" s="435">
        <f t="shared" si="70"/>
        <v>8700480</v>
      </c>
      <c r="AF256" s="342">
        <f>+AB256+AE256</f>
        <v>13857681</v>
      </c>
      <c r="AG256" s="251">
        <f t="shared" si="73"/>
        <v>8055999.9999999991</v>
      </c>
      <c r="AH256" s="241"/>
      <c r="AI256" s="241"/>
      <c r="AJ256" s="241"/>
      <c r="AK256" s="194"/>
      <c r="AL256" s="195"/>
      <c r="AM256" s="195"/>
    </row>
    <row r="257" spans="2:39">
      <c r="B257" s="253">
        <v>27</v>
      </c>
      <c r="C257" s="244"/>
      <c r="D257" s="256"/>
      <c r="E257" s="474">
        <v>306360801040</v>
      </c>
      <c r="F257" s="602" t="s">
        <v>2464</v>
      </c>
      <c r="G257" s="391" t="s">
        <v>2476</v>
      </c>
      <c r="H257" s="230" t="s">
        <v>210</v>
      </c>
      <c r="I257" s="230">
        <v>1</v>
      </c>
      <c r="J257" s="230"/>
      <c r="K257" s="230"/>
      <c r="L257" s="228"/>
      <c r="M257" s="257"/>
      <c r="N257" s="228" t="s">
        <v>2465</v>
      </c>
      <c r="O257" s="228" t="s">
        <v>2477</v>
      </c>
      <c r="P257" s="245"/>
      <c r="Q257" s="2368"/>
      <c r="R257" s="2368"/>
      <c r="S257" s="254"/>
      <c r="T257" s="228"/>
      <c r="U257" s="2357"/>
      <c r="V257" s="256"/>
      <c r="W257" s="373">
        <v>900000</v>
      </c>
      <c r="X257" s="373">
        <v>432000</v>
      </c>
      <c r="Y257" s="248"/>
      <c r="Z257" s="247"/>
      <c r="AA257" s="248"/>
      <c r="AB257" s="340">
        <f t="shared" si="65"/>
        <v>1332000</v>
      </c>
      <c r="AC257" s="347">
        <f t="shared" si="71"/>
        <v>0</v>
      </c>
      <c r="AD257" s="249"/>
      <c r="AE257" s="435">
        <f t="shared" si="70"/>
        <v>4242240</v>
      </c>
      <c r="AF257" s="342">
        <f>+AB257+AE257</f>
        <v>5574240</v>
      </c>
      <c r="AG257" s="251">
        <f t="shared" si="73"/>
        <v>3927999.9999999995</v>
      </c>
      <c r="AH257" s="241"/>
      <c r="AI257" s="241"/>
      <c r="AJ257" s="241"/>
      <c r="AK257" s="194"/>
      <c r="AL257" s="195"/>
      <c r="AM257" s="195"/>
    </row>
    <row r="258" spans="2:39">
      <c r="B258" s="253">
        <v>28</v>
      </c>
      <c r="C258" s="244"/>
      <c r="D258" s="256"/>
      <c r="E258" s="474">
        <v>306359736340</v>
      </c>
      <c r="F258" s="602" t="s">
        <v>2464</v>
      </c>
      <c r="G258" s="391" t="s">
        <v>2483</v>
      </c>
      <c r="H258" s="230" t="s">
        <v>210</v>
      </c>
      <c r="I258" s="230">
        <v>1</v>
      </c>
      <c r="J258" s="230"/>
      <c r="K258" s="230"/>
      <c r="L258" s="228"/>
      <c r="M258" s="257"/>
      <c r="N258" s="228">
        <v>238068511</v>
      </c>
      <c r="O258" s="228" t="s">
        <v>2475</v>
      </c>
      <c r="P258" s="245"/>
      <c r="Q258" s="2368"/>
      <c r="R258" s="2368"/>
      <c r="S258" s="254"/>
      <c r="T258" s="228"/>
      <c r="U258" s="2357"/>
      <c r="V258" s="256"/>
      <c r="W258" s="373">
        <v>834545</v>
      </c>
      <c r="X258" s="373">
        <v>432000</v>
      </c>
      <c r="Y258" s="248"/>
      <c r="Z258" s="247"/>
      <c r="AA258" s="248"/>
      <c r="AB258" s="340">
        <f t="shared" si="65"/>
        <v>1266545</v>
      </c>
      <c r="AC258" s="347">
        <f t="shared" si="71"/>
        <v>0</v>
      </c>
      <c r="AD258" s="249"/>
      <c r="AE258" s="435">
        <f t="shared" si="70"/>
        <v>4242240</v>
      </c>
      <c r="AF258" s="342">
        <f t="shared" si="72"/>
        <v>5508785</v>
      </c>
      <c r="AG258" s="251">
        <f t="shared" si="73"/>
        <v>3927999.9999999995</v>
      </c>
      <c r="AH258" s="241"/>
      <c r="AI258" s="241"/>
      <c r="AJ258" s="241"/>
      <c r="AK258" s="194"/>
      <c r="AL258" s="195"/>
      <c r="AM258" s="195"/>
    </row>
    <row r="259" spans="2:39">
      <c r="B259" s="253">
        <v>29</v>
      </c>
      <c r="C259" s="244"/>
      <c r="D259" s="256"/>
      <c r="E259" s="466">
        <v>106219820820</v>
      </c>
      <c r="F259" s="602" t="s">
        <v>2466</v>
      </c>
      <c r="G259" s="391" t="s">
        <v>2474</v>
      </c>
      <c r="H259" s="230" t="s">
        <v>206</v>
      </c>
      <c r="I259" s="230"/>
      <c r="J259" s="230"/>
      <c r="K259" s="230">
        <v>1</v>
      </c>
      <c r="L259" s="228"/>
      <c r="M259" s="543" t="s">
        <v>2481</v>
      </c>
      <c r="N259" s="228" t="s">
        <v>2467</v>
      </c>
      <c r="O259" s="228"/>
      <c r="P259" s="245"/>
      <c r="Q259" s="2368"/>
      <c r="R259" s="2368"/>
      <c r="S259" s="254"/>
      <c r="T259" s="543" t="s">
        <v>2481</v>
      </c>
      <c r="U259" s="2361"/>
      <c r="V259" s="256"/>
      <c r="W259" s="248"/>
      <c r="X259" s="248"/>
      <c r="Y259" s="248"/>
      <c r="Z259" s="247"/>
      <c r="AA259" s="248"/>
      <c r="AB259" s="340">
        <f t="shared" si="65"/>
        <v>0</v>
      </c>
      <c r="AC259" s="347">
        <f t="shared" si="71"/>
        <v>0</v>
      </c>
      <c r="AD259" s="249"/>
      <c r="AE259" s="605">
        <f>+(1368000*1.08+((I259+J259+K259)*150000)*1.08)</f>
        <v>1639440</v>
      </c>
      <c r="AF259" s="342">
        <f t="shared" si="72"/>
        <v>1639440</v>
      </c>
      <c r="AG259" s="251">
        <f t="shared" si="73"/>
        <v>1518000</v>
      </c>
      <c r="AH259" s="241"/>
      <c r="AI259" s="241"/>
      <c r="AJ259" s="241"/>
      <c r="AK259" s="194"/>
      <c r="AL259" s="195"/>
      <c r="AM259" s="195"/>
    </row>
    <row r="260" spans="2:39">
      <c r="B260" s="253">
        <v>30</v>
      </c>
      <c r="C260" s="244"/>
      <c r="D260" s="256"/>
      <c r="E260" s="474">
        <v>306368398620</v>
      </c>
      <c r="F260" s="602" t="s">
        <v>2482</v>
      </c>
      <c r="G260" s="391" t="s">
        <v>2485</v>
      </c>
      <c r="H260" s="230" t="s">
        <v>210</v>
      </c>
      <c r="I260" s="230"/>
      <c r="J260" s="230">
        <v>1</v>
      </c>
      <c r="K260" s="230"/>
      <c r="L260" s="228"/>
      <c r="M260" s="257"/>
      <c r="N260" s="228" t="s">
        <v>2484</v>
      </c>
      <c r="O260" s="228" t="s">
        <v>2486</v>
      </c>
      <c r="P260" s="245"/>
      <c r="Q260" s="2368"/>
      <c r="R260" s="2368"/>
      <c r="S260" s="254"/>
      <c r="T260" s="228"/>
      <c r="U260" s="2357"/>
      <c r="V260" s="256"/>
      <c r="W260" s="373">
        <v>1450000</v>
      </c>
      <c r="X260" s="373">
        <v>1140000</v>
      </c>
      <c r="Y260" s="248"/>
      <c r="Z260" s="247"/>
      <c r="AA260" s="248"/>
      <c r="AB260" s="340">
        <f t="shared" si="65"/>
        <v>2590000</v>
      </c>
      <c r="AC260" s="347">
        <f t="shared" ref="AC260:AC267" si="74">+Z260</f>
        <v>0</v>
      </c>
      <c r="AD260" s="249"/>
      <c r="AE260" s="435">
        <f t="shared" ref="AE260:AE265" si="75">+(I260*3778000+J260*(3778000+100000))*1.08+((I260+J260+K260)*150000)*1.08</f>
        <v>4350240</v>
      </c>
      <c r="AF260" s="342">
        <f t="shared" ref="AF260:AF265" si="76">+AB260+AE260</f>
        <v>6940240</v>
      </c>
      <c r="AG260" s="251">
        <f t="shared" ref="AG260:AG265" si="77">+AE260/1.08</f>
        <v>4027999.9999999995</v>
      </c>
      <c r="AH260" s="241"/>
      <c r="AI260" s="241"/>
      <c r="AJ260" s="241"/>
      <c r="AK260" s="194"/>
      <c r="AL260" s="195"/>
      <c r="AM260" s="195"/>
    </row>
    <row r="261" spans="2:39">
      <c r="B261" s="253">
        <v>31</v>
      </c>
      <c r="C261" s="244"/>
      <c r="D261" s="256"/>
      <c r="E261" s="529">
        <v>306369056620</v>
      </c>
      <c r="F261" s="602" t="s">
        <v>2482</v>
      </c>
      <c r="G261" s="391" t="s">
        <v>2488</v>
      </c>
      <c r="H261" s="230" t="s">
        <v>210</v>
      </c>
      <c r="I261" s="230"/>
      <c r="J261" s="230">
        <v>1</v>
      </c>
      <c r="K261" s="230"/>
      <c r="L261" s="228"/>
      <c r="M261" s="257"/>
      <c r="N261" s="228" t="s">
        <v>2487</v>
      </c>
      <c r="O261" s="228" t="s">
        <v>2489</v>
      </c>
      <c r="P261" s="245"/>
      <c r="Q261" s="2368"/>
      <c r="R261" s="2368"/>
      <c r="S261" s="254"/>
      <c r="T261" s="228"/>
      <c r="U261" s="2357"/>
      <c r="V261" s="256"/>
      <c r="W261" s="373">
        <v>1450000</v>
      </c>
      <c r="X261" s="373">
        <v>1160000</v>
      </c>
      <c r="Y261" s="248"/>
      <c r="Z261" s="247"/>
      <c r="AA261" s="248"/>
      <c r="AB261" s="340">
        <f t="shared" si="65"/>
        <v>2610000</v>
      </c>
      <c r="AC261" s="347">
        <f t="shared" si="74"/>
        <v>0</v>
      </c>
      <c r="AD261" s="249"/>
      <c r="AE261" s="435">
        <f t="shared" si="75"/>
        <v>4350240</v>
      </c>
      <c r="AF261" s="342">
        <f t="shared" si="76"/>
        <v>6960240</v>
      </c>
      <c r="AG261" s="251">
        <f t="shared" si="77"/>
        <v>4027999.9999999995</v>
      </c>
      <c r="AH261" s="241"/>
      <c r="AI261" s="241"/>
      <c r="AJ261" s="241"/>
      <c r="AK261" s="194"/>
      <c r="AL261" s="195"/>
      <c r="AM261" s="195"/>
    </row>
    <row r="262" spans="2:39">
      <c r="B262" s="253">
        <v>32</v>
      </c>
      <c r="C262" s="244"/>
      <c r="D262" s="256"/>
      <c r="E262" s="474">
        <v>306370630920</v>
      </c>
      <c r="F262" s="602" t="s">
        <v>2482</v>
      </c>
      <c r="G262" s="391" t="s">
        <v>2490</v>
      </c>
      <c r="H262" s="230" t="s">
        <v>210</v>
      </c>
      <c r="I262" s="230"/>
      <c r="J262" s="230">
        <v>1</v>
      </c>
      <c r="K262" s="230"/>
      <c r="L262" s="228"/>
      <c r="M262" s="257"/>
      <c r="N262" s="228">
        <v>6380649392</v>
      </c>
      <c r="O262" s="228" t="s">
        <v>2491</v>
      </c>
      <c r="P262" s="245"/>
      <c r="Q262" s="2368"/>
      <c r="R262" s="2368"/>
      <c r="S262" s="254"/>
      <c r="T262" s="228"/>
      <c r="U262" s="2357"/>
      <c r="V262" s="256"/>
      <c r="W262" s="373">
        <v>1450000</v>
      </c>
      <c r="X262" s="373">
        <v>1140000</v>
      </c>
      <c r="Y262" s="248"/>
      <c r="Z262" s="247"/>
      <c r="AA262" s="248"/>
      <c r="AB262" s="340">
        <f t="shared" si="65"/>
        <v>2590000</v>
      </c>
      <c r="AC262" s="347">
        <f t="shared" si="74"/>
        <v>0</v>
      </c>
      <c r="AD262" s="249"/>
      <c r="AE262" s="435">
        <f t="shared" si="75"/>
        <v>4350240</v>
      </c>
      <c r="AF262" s="342">
        <f t="shared" si="76"/>
        <v>6940240</v>
      </c>
      <c r="AG262" s="251">
        <f t="shared" si="77"/>
        <v>4027999.9999999995</v>
      </c>
      <c r="AH262" s="241"/>
      <c r="AI262" s="241"/>
      <c r="AJ262" s="241"/>
      <c r="AK262" s="194"/>
      <c r="AL262" s="195"/>
      <c r="AM262" s="195"/>
    </row>
    <row r="263" spans="2:39">
      <c r="B263" s="253">
        <v>33</v>
      </c>
      <c r="C263" s="244"/>
      <c r="D263" s="256"/>
      <c r="E263" s="529">
        <v>306372331920</v>
      </c>
      <c r="F263" s="602" t="s">
        <v>2492</v>
      </c>
      <c r="G263" s="391" t="s">
        <v>2502</v>
      </c>
      <c r="H263" s="230" t="s">
        <v>210</v>
      </c>
      <c r="I263" s="230"/>
      <c r="J263" s="230">
        <v>1</v>
      </c>
      <c r="K263" s="230"/>
      <c r="L263" s="228"/>
      <c r="M263" s="257"/>
      <c r="N263" s="228">
        <v>6382661660</v>
      </c>
      <c r="O263" s="228" t="s">
        <v>2501</v>
      </c>
      <c r="P263" s="245"/>
      <c r="Q263" s="2368"/>
      <c r="R263" s="2368"/>
      <c r="S263" s="254"/>
      <c r="T263" s="228"/>
      <c r="U263" s="2357"/>
      <c r="V263" s="256"/>
      <c r="W263" s="373">
        <v>1160000</v>
      </c>
      <c r="X263" s="373">
        <v>1140000</v>
      </c>
      <c r="Y263" s="248"/>
      <c r="Z263" s="247"/>
      <c r="AA263" s="248"/>
      <c r="AB263" s="340">
        <f t="shared" si="65"/>
        <v>2300000</v>
      </c>
      <c r="AC263" s="347">
        <f t="shared" si="74"/>
        <v>0</v>
      </c>
      <c r="AD263" s="249"/>
      <c r="AE263" s="435">
        <f t="shared" si="75"/>
        <v>4350240</v>
      </c>
      <c r="AF263" s="342">
        <f t="shared" si="76"/>
        <v>6650240</v>
      </c>
      <c r="AG263" s="251">
        <f t="shared" si="77"/>
        <v>4027999.9999999995</v>
      </c>
      <c r="AH263" s="241"/>
      <c r="AI263" s="241"/>
      <c r="AJ263" s="241"/>
      <c r="AK263" s="194"/>
      <c r="AL263" s="195"/>
      <c r="AM263" s="195"/>
    </row>
    <row r="264" spans="2:39">
      <c r="B264" s="253">
        <v>34</v>
      </c>
      <c r="C264" s="244"/>
      <c r="D264" s="256"/>
      <c r="E264" s="474">
        <v>306377754230</v>
      </c>
      <c r="F264" s="602" t="s">
        <v>2503</v>
      </c>
      <c r="G264" s="391" t="s">
        <v>2507</v>
      </c>
      <c r="H264" s="230" t="s">
        <v>210</v>
      </c>
      <c r="I264" s="230"/>
      <c r="J264" s="230">
        <v>1</v>
      </c>
      <c r="K264" s="230"/>
      <c r="L264" s="228"/>
      <c r="M264" s="257"/>
      <c r="N264" s="228" t="s">
        <v>2505</v>
      </c>
      <c r="O264" s="228" t="s">
        <v>2504</v>
      </c>
      <c r="P264" s="245"/>
      <c r="Q264" s="2368"/>
      <c r="R264" s="2368"/>
      <c r="S264" s="254"/>
      <c r="T264" s="228"/>
      <c r="U264" s="2357"/>
      <c r="V264" s="256"/>
      <c r="W264" s="373">
        <v>1425000</v>
      </c>
      <c r="X264" s="373">
        <v>1140000</v>
      </c>
      <c r="Y264" s="248"/>
      <c r="Z264" s="247"/>
      <c r="AA264" s="248"/>
      <c r="AB264" s="340">
        <f t="shared" si="65"/>
        <v>2565000</v>
      </c>
      <c r="AC264" s="347">
        <f t="shared" si="74"/>
        <v>0</v>
      </c>
      <c r="AD264" s="249"/>
      <c r="AE264" s="435">
        <f t="shared" si="75"/>
        <v>4350240</v>
      </c>
      <c r="AF264" s="342">
        <f t="shared" si="76"/>
        <v>6915240</v>
      </c>
      <c r="AG264" s="251">
        <f t="shared" si="77"/>
        <v>4027999.9999999995</v>
      </c>
      <c r="AH264" s="241"/>
      <c r="AI264" s="241"/>
      <c r="AJ264" s="241"/>
      <c r="AK264" s="194"/>
      <c r="AL264" s="195"/>
      <c r="AM264" s="195"/>
    </row>
    <row r="265" spans="2:39">
      <c r="B265" s="253">
        <v>35</v>
      </c>
      <c r="C265" s="244"/>
      <c r="D265" s="256"/>
      <c r="E265" s="529">
        <v>306382449500</v>
      </c>
      <c r="F265" s="602" t="s">
        <v>2511</v>
      </c>
      <c r="G265" s="391" t="s">
        <v>2513</v>
      </c>
      <c r="H265" s="230" t="s">
        <v>210</v>
      </c>
      <c r="I265" s="230"/>
      <c r="J265" s="230">
        <v>1</v>
      </c>
      <c r="K265" s="230"/>
      <c r="L265" s="228"/>
      <c r="M265" s="257"/>
      <c r="N265" s="228" t="s">
        <v>2506</v>
      </c>
      <c r="O265" s="228" t="s">
        <v>2512</v>
      </c>
      <c r="P265" s="245"/>
      <c r="Q265" s="2368"/>
      <c r="R265" s="2368"/>
      <c r="S265" s="254"/>
      <c r="T265" s="228"/>
      <c r="U265" s="2357"/>
      <c r="V265" s="256"/>
      <c r="W265" s="373">
        <v>1450000</v>
      </c>
      <c r="X265" s="373">
        <v>1140000</v>
      </c>
      <c r="Y265" s="248"/>
      <c r="Z265" s="247"/>
      <c r="AA265" s="248"/>
      <c r="AB265" s="340">
        <f t="shared" si="65"/>
        <v>2590000</v>
      </c>
      <c r="AC265" s="347">
        <f t="shared" si="74"/>
        <v>0</v>
      </c>
      <c r="AD265" s="249"/>
      <c r="AE265" s="435">
        <f t="shared" si="75"/>
        <v>4350240</v>
      </c>
      <c r="AF265" s="342">
        <f t="shared" si="76"/>
        <v>6940240</v>
      </c>
      <c r="AG265" s="251">
        <f t="shared" si="77"/>
        <v>4027999.9999999995</v>
      </c>
      <c r="AH265" s="241"/>
      <c r="AI265" s="241"/>
      <c r="AJ265" s="241"/>
      <c r="AK265" s="194"/>
      <c r="AL265" s="195"/>
      <c r="AM265" s="195"/>
    </row>
    <row r="266" spans="2:39">
      <c r="B266" s="643" t="s">
        <v>2469</v>
      </c>
      <c r="C266" s="644"/>
      <c r="D266" s="346"/>
      <c r="E266" s="644"/>
      <c r="F266" s="644"/>
      <c r="G266" s="644"/>
      <c r="H266" s="644"/>
      <c r="I266" s="644"/>
      <c r="J266" s="346"/>
      <c r="K266" s="346"/>
      <c r="L266" s="346"/>
      <c r="M266" s="346"/>
      <c r="N266" s="346"/>
      <c r="O266" s="346"/>
      <c r="P266" s="346"/>
      <c r="Q266" s="346"/>
      <c r="R266" s="346"/>
      <c r="S266" s="346"/>
      <c r="T266" s="346"/>
      <c r="U266" s="346"/>
      <c r="V266" s="357"/>
      <c r="W266" s="590"/>
      <c r="X266" s="590"/>
      <c r="Y266" s="357"/>
      <c r="Z266" s="357"/>
      <c r="AA266" s="357"/>
      <c r="AB266" s="358">
        <f>SUM(AB231:AB265)</f>
        <v>77899335</v>
      </c>
      <c r="AC266" s="358">
        <f>SUM(AC243:AC260)</f>
        <v>0</v>
      </c>
      <c r="AD266" s="358">
        <f>SUM(AD241:AD260)</f>
        <v>0</v>
      </c>
      <c r="AE266" s="358">
        <f>SUM(AE231:AE265)</f>
        <v>160103520</v>
      </c>
      <c r="AF266" s="358">
        <f>SUM(AF231:AF265)</f>
        <v>238002855</v>
      </c>
      <c r="AG266" s="358">
        <f>SUM(AG231:AG265)</f>
        <v>148243999.99999997</v>
      </c>
      <c r="AH266" s="357"/>
      <c r="AI266" s="357"/>
      <c r="AJ266" s="357"/>
      <c r="AK266" s="357"/>
      <c r="AL266" s="357"/>
      <c r="AM266" s="614">
        <f>+AE266/1.08</f>
        <v>148244000</v>
      </c>
    </row>
    <row r="267" spans="2:39">
      <c r="B267" s="616">
        <v>1</v>
      </c>
      <c r="C267" s="244"/>
      <c r="D267" s="256"/>
      <c r="E267" s="613">
        <v>306393547260</v>
      </c>
      <c r="F267" s="612">
        <v>45415</v>
      </c>
      <c r="G267" s="391" t="s">
        <v>2521</v>
      </c>
      <c r="H267" s="230" t="s">
        <v>210</v>
      </c>
      <c r="I267" s="230">
        <v>1</v>
      </c>
      <c r="J267" s="230"/>
      <c r="K267" s="230"/>
      <c r="L267" s="228"/>
      <c r="M267" s="257"/>
      <c r="N267" s="228" t="s">
        <v>2516</v>
      </c>
      <c r="O267" s="228" t="s">
        <v>2518</v>
      </c>
      <c r="P267" s="245"/>
      <c r="Q267" s="2368"/>
      <c r="R267" s="2368"/>
      <c r="S267" s="254"/>
      <c r="T267" s="228"/>
      <c r="U267" s="2357"/>
      <c r="V267" s="256"/>
      <c r="W267" s="373">
        <f>900000+349920</f>
        <v>1249920</v>
      </c>
      <c r="X267" s="373">
        <v>700000</v>
      </c>
      <c r="Y267" s="248"/>
      <c r="Z267" s="247"/>
      <c r="AA267" s="248"/>
      <c r="AB267" s="340">
        <f t="shared" ref="AB267:AB283" si="78">V267+W267+X267+Y267+Z267+AA267</f>
        <v>1949920</v>
      </c>
      <c r="AC267" s="347">
        <f t="shared" si="74"/>
        <v>0</v>
      </c>
      <c r="AD267" s="249"/>
      <c r="AE267" s="435">
        <f t="shared" ref="AE267:AE276" si="79">+(I267*3714000+J267*(3714000+100000))*1.08+((I267+J267+K267)*150000)*1.08</f>
        <v>4173120.0000000005</v>
      </c>
      <c r="AF267" s="342">
        <f t="shared" ref="AF267:AF279" si="80">+AB267+AE267</f>
        <v>6123040</v>
      </c>
      <c r="AG267" s="251">
        <f t="shared" ref="AG267:AG279" si="81">+AE267/1.08</f>
        <v>3864000</v>
      </c>
      <c r="AH267" s="241"/>
      <c r="AI267" s="241"/>
      <c r="AJ267" s="241"/>
      <c r="AK267" s="194"/>
      <c r="AL267" s="195"/>
      <c r="AM267" s="242" t="s">
        <v>2646</v>
      </c>
    </row>
    <row r="268" spans="2:39">
      <c r="B268" s="616">
        <v>2</v>
      </c>
      <c r="C268" s="244"/>
      <c r="D268" s="256"/>
      <c r="E268" s="466">
        <v>106242007430</v>
      </c>
      <c r="F268" s="612">
        <v>45416</v>
      </c>
      <c r="G268" s="391" t="s">
        <v>2522</v>
      </c>
      <c r="H268" s="230" t="s">
        <v>206</v>
      </c>
      <c r="I268" s="230"/>
      <c r="J268" s="230">
        <v>1</v>
      </c>
      <c r="K268" s="230"/>
      <c r="L268" s="228"/>
      <c r="M268" s="257"/>
      <c r="N268" s="289" t="s">
        <v>2520</v>
      </c>
      <c r="O268" s="228" t="s">
        <v>2519</v>
      </c>
      <c r="P268" s="245"/>
      <c r="Q268" s="2368"/>
      <c r="R268" s="2368"/>
      <c r="S268" s="254"/>
      <c r="T268" s="228"/>
      <c r="U268" s="2357"/>
      <c r="V268" s="256"/>
      <c r="W268" s="324">
        <v>1128600</v>
      </c>
      <c r="X268" s="373">
        <v>1276363</v>
      </c>
      <c r="Y268" s="248"/>
      <c r="Z268" s="247"/>
      <c r="AA268" s="248"/>
      <c r="AB268" s="340">
        <f t="shared" si="78"/>
        <v>2404963</v>
      </c>
      <c r="AC268" s="347">
        <f t="shared" ref="AC268:AC279" si="82">+Z268</f>
        <v>0</v>
      </c>
      <c r="AD268" s="249"/>
      <c r="AE268" s="435">
        <f t="shared" si="79"/>
        <v>4281120</v>
      </c>
      <c r="AF268" s="342">
        <f t="shared" si="80"/>
        <v>6686083</v>
      </c>
      <c r="AG268" s="251">
        <f t="shared" si="81"/>
        <v>3963999.9999999995</v>
      </c>
      <c r="AH268" s="241"/>
      <c r="AI268" s="241"/>
      <c r="AJ268" s="241"/>
      <c r="AK268" s="194"/>
      <c r="AL268" s="195"/>
      <c r="AM268" s="195"/>
    </row>
    <row r="269" spans="2:39" ht="31.2">
      <c r="B269" s="616">
        <v>3</v>
      </c>
      <c r="C269" s="244"/>
      <c r="D269" s="256"/>
      <c r="E269" s="463" t="s">
        <v>2528</v>
      </c>
      <c r="F269" s="612">
        <v>45416</v>
      </c>
      <c r="G269" s="391" t="s">
        <v>2562</v>
      </c>
      <c r="H269" s="230" t="s">
        <v>206</v>
      </c>
      <c r="I269" s="230">
        <v>1</v>
      </c>
      <c r="J269" s="230"/>
      <c r="K269" s="230"/>
      <c r="L269" s="228"/>
      <c r="M269" s="257"/>
      <c r="N269" s="254" t="s">
        <v>2529</v>
      </c>
      <c r="O269" s="228" t="s">
        <v>2527</v>
      </c>
      <c r="P269" s="245"/>
      <c r="Q269" s="2368"/>
      <c r="R269" s="2368"/>
      <c r="S269" s="254"/>
      <c r="T269" s="228"/>
      <c r="U269" s="2357"/>
      <c r="V269" s="256"/>
      <c r="W269" s="324">
        <v>734400</v>
      </c>
      <c r="X269" s="373">
        <v>900000</v>
      </c>
      <c r="Y269" s="248"/>
      <c r="Z269" s="247"/>
      <c r="AA269" s="248"/>
      <c r="AB269" s="340">
        <f t="shared" si="78"/>
        <v>1634400</v>
      </c>
      <c r="AC269" s="347">
        <f t="shared" si="82"/>
        <v>0</v>
      </c>
      <c r="AD269" s="249"/>
      <c r="AE269" s="435">
        <f t="shared" si="79"/>
        <v>4173120.0000000005</v>
      </c>
      <c r="AF269" s="342">
        <f t="shared" si="80"/>
        <v>5807520</v>
      </c>
      <c r="AG269" s="251">
        <f t="shared" si="81"/>
        <v>3864000</v>
      </c>
      <c r="AH269" s="241"/>
      <c r="AI269" s="241"/>
      <c r="AJ269" s="241"/>
      <c r="AK269" s="194"/>
      <c r="AL269" s="195"/>
      <c r="AM269" s="195"/>
    </row>
    <row r="270" spans="2:39">
      <c r="B270" s="616">
        <v>4</v>
      </c>
      <c r="C270" s="244"/>
      <c r="D270" s="256"/>
      <c r="E270" s="474">
        <v>306395227041</v>
      </c>
      <c r="F270" s="612">
        <v>45416</v>
      </c>
      <c r="G270" s="391" t="s">
        <v>2556</v>
      </c>
      <c r="H270" s="230" t="s">
        <v>210</v>
      </c>
      <c r="I270" s="230"/>
      <c r="J270" s="230">
        <v>1</v>
      </c>
      <c r="K270" s="230"/>
      <c r="L270" s="228"/>
      <c r="M270" s="257"/>
      <c r="N270" s="228" t="s">
        <v>2517</v>
      </c>
      <c r="O270" s="228" t="s">
        <v>2540</v>
      </c>
      <c r="P270" s="245"/>
      <c r="Q270" s="2368"/>
      <c r="R270" s="2368"/>
      <c r="S270" s="254"/>
      <c r="T270" s="228"/>
      <c r="U270" s="2357"/>
      <c r="V270" s="256"/>
      <c r="W270" s="373">
        <v>1150000</v>
      </c>
      <c r="X270" s="373">
        <v>766800</v>
      </c>
      <c r="Y270" s="248"/>
      <c r="Z270" s="247"/>
      <c r="AA270" s="248"/>
      <c r="AB270" s="340">
        <f t="shared" si="78"/>
        <v>1916800</v>
      </c>
      <c r="AC270" s="347">
        <f t="shared" si="82"/>
        <v>0</v>
      </c>
      <c r="AD270" s="249"/>
      <c r="AE270" s="435">
        <f t="shared" si="79"/>
        <v>4281120</v>
      </c>
      <c r="AF270" s="342">
        <f t="shared" si="80"/>
        <v>6197920</v>
      </c>
      <c r="AG270" s="251">
        <f t="shared" si="81"/>
        <v>3963999.9999999995</v>
      </c>
      <c r="AH270" s="241"/>
      <c r="AI270" s="241"/>
      <c r="AJ270" s="241"/>
      <c r="AK270" s="194"/>
      <c r="AL270" s="195"/>
      <c r="AM270" s="195"/>
    </row>
    <row r="271" spans="2:39">
      <c r="B271" s="616">
        <v>5</v>
      </c>
      <c r="C271" s="244"/>
      <c r="D271" s="256"/>
      <c r="E271" s="474">
        <v>306402254120</v>
      </c>
      <c r="F271" s="612">
        <v>45419</v>
      </c>
      <c r="G271" s="391" t="s">
        <v>2557</v>
      </c>
      <c r="H271" s="230" t="s">
        <v>210</v>
      </c>
      <c r="I271" s="230">
        <v>1</v>
      </c>
      <c r="J271" s="230"/>
      <c r="K271" s="230"/>
      <c r="L271" s="228"/>
      <c r="M271" s="257"/>
      <c r="N271" s="228" t="s">
        <v>2541</v>
      </c>
      <c r="O271" s="228" t="s">
        <v>2542</v>
      </c>
      <c r="P271" s="245"/>
      <c r="Q271" s="2368"/>
      <c r="R271" s="2368"/>
      <c r="S271" s="254"/>
      <c r="T271" s="228"/>
      <c r="U271" s="2357"/>
      <c r="V271" s="256"/>
      <c r="W271" s="373">
        <v>885000</v>
      </c>
      <c r="X271" s="373">
        <v>700000</v>
      </c>
      <c r="Y271" s="248"/>
      <c r="Z271" s="247"/>
      <c r="AA271" s="248"/>
      <c r="AB271" s="340">
        <f t="shared" si="78"/>
        <v>1585000</v>
      </c>
      <c r="AC271" s="347">
        <f t="shared" si="82"/>
        <v>0</v>
      </c>
      <c r="AD271" s="249"/>
      <c r="AE271" s="435">
        <f t="shared" si="79"/>
        <v>4173120.0000000005</v>
      </c>
      <c r="AF271" s="342">
        <f t="shared" si="80"/>
        <v>5758120</v>
      </c>
      <c r="AG271" s="251">
        <f t="shared" si="81"/>
        <v>3864000</v>
      </c>
      <c r="AH271" s="241"/>
      <c r="AI271" s="241"/>
      <c r="AJ271" s="241"/>
      <c r="AK271" s="194"/>
      <c r="AL271" s="195"/>
      <c r="AM271" s="195"/>
    </row>
    <row r="272" spans="2:39">
      <c r="B272" s="616">
        <v>6</v>
      </c>
      <c r="C272" s="244"/>
      <c r="D272" s="256"/>
      <c r="E272" s="474">
        <v>306401456820</v>
      </c>
      <c r="F272" s="612">
        <v>45419</v>
      </c>
      <c r="G272" s="391" t="s">
        <v>2558</v>
      </c>
      <c r="H272" s="230" t="s">
        <v>210</v>
      </c>
      <c r="I272" s="230"/>
      <c r="J272" s="230">
        <v>1</v>
      </c>
      <c r="K272" s="230"/>
      <c r="L272" s="228"/>
      <c r="M272" s="257"/>
      <c r="N272" s="228">
        <v>22240678</v>
      </c>
      <c r="O272" s="228" t="s">
        <v>2543</v>
      </c>
      <c r="P272" s="245"/>
      <c r="Q272" s="2368"/>
      <c r="R272" s="2368"/>
      <c r="S272" s="254"/>
      <c r="T272" s="228"/>
      <c r="U272" s="2357"/>
      <c r="V272" s="256"/>
      <c r="W272" s="373">
        <v>1450000</v>
      </c>
      <c r="X272" s="373">
        <v>1140000</v>
      </c>
      <c r="Y272" s="248"/>
      <c r="Z272" s="247"/>
      <c r="AA272" s="248"/>
      <c r="AB272" s="340">
        <f t="shared" si="78"/>
        <v>2590000</v>
      </c>
      <c r="AC272" s="347">
        <f t="shared" si="82"/>
        <v>0</v>
      </c>
      <c r="AD272" s="249"/>
      <c r="AE272" s="435">
        <f t="shared" si="79"/>
        <v>4281120</v>
      </c>
      <c r="AF272" s="342">
        <f t="shared" si="80"/>
        <v>6871120</v>
      </c>
      <c r="AG272" s="251">
        <f t="shared" si="81"/>
        <v>3963999.9999999995</v>
      </c>
      <c r="AH272" s="241"/>
      <c r="AI272" s="241"/>
      <c r="AJ272" s="241"/>
      <c r="AK272" s="194"/>
      <c r="AL272" s="195"/>
      <c r="AM272" s="195"/>
    </row>
    <row r="273" spans="2:39">
      <c r="B273" s="616">
        <v>7</v>
      </c>
      <c r="C273" s="244"/>
      <c r="D273" s="256"/>
      <c r="E273" s="474">
        <v>306403970740</v>
      </c>
      <c r="F273" s="612">
        <v>45420</v>
      </c>
      <c r="G273" s="391" t="s">
        <v>2559</v>
      </c>
      <c r="H273" s="230" t="s">
        <v>210</v>
      </c>
      <c r="I273" s="230"/>
      <c r="J273" s="230">
        <v>1</v>
      </c>
      <c r="K273" s="230"/>
      <c r="L273" s="228"/>
      <c r="M273" s="257"/>
      <c r="N273" s="289" t="s">
        <v>2544</v>
      </c>
      <c r="O273" s="228" t="s">
        <v>2545</v>
      </c>
      <c r="P273" s="245"/>
      <c r="Q273" s="2368"/>
      <c r="R273" s="2368"/>
      <c r="S273" s="254"/>
      <c r="T273" s="228"/>
      <c r="U273" s="2357"/>
      <c r="V273" s="256"/>
      <c r="W273" s="373">
        <v>1450000</v>
      </c>
      <c r="X273" s="373">
        <v>766800</v>
      </c>
      <c r="Y273" s="248"/>
      <c r="Z273" s="247"/>
      <c r="AA273" s="248"/>
      <c r="AB273" s="340">
        <f t="shared" si="78"/>
        <v>2216800</v>
      </c>
      <c r="AC273" s="347">
        <f t="shared" si="82"/>
        <v>0</v>
      </c>
      <c r="AD273" s="249"/>
      <c r="AE273" s="435">
        <f t="shared" si="79"/>
        <v>4281120</v>
      </c>
      <c r="AF273" s="342">
        <f t="shared" si="80"/>
        <v>6497920</v>
      </c>
      <c r="AG273" s="251">
        <f t="shared" si="81"/>
        <v>3963999.9999999995</v>
      </c>
      <c r="AH273" s="241"/>
      <c r="AI273" s="241"/>
      <c r="AJ273" s="241"/>
      <c r="AK273" s="194"/>
      <c r="AL273" s="195"/>
      <c r="AM273" s="195"/>
    </row>
    <row r="274" spans="2:39">
      <c r="B274" s="616">
        <v>8</v>
      </c>
      <c r="C274" s="244"/>
      <c r="D274" s="256"/>
      <c r="E274" s="474">
        <v>306405071250</v>
      </c>
      <c r="F274" s="612">
        <v>45420</v>
      </c>
      <c r="G274" s="391" t="s">
        <v>2560</v>
      </c>
      <c r="H274" s="230" t="s">
        <v>210</v>
      </c>
      <c r="I274" s="230">
        <v>1</v>
      </c>
      <c r="J274" s="230"/>
      <c r="K274" s="230"/>
      <c r="L274" s="228"/>
      <c r="M274" s="257"/>
      <c r="N274" s="289" t="s">
        <v>2547</v>
      </c>
      <c r="O274" s="228" t="s">
        <v>2546</v>
      </c>
      <c r="P274" s="245"/>
      <c r="Q274" s="2368"/>
      <c r="R274" s="2368"/>
      <c r="S274" s="254"/>
      <c r="T274" s="228"/>
      <c r="U274" s="2357"/>
      <c r="V274" s="256"/>
      <c r="W274" s="373">
        <v>680000</v>
      </c>
      <c r="X274" s="373">
        <v>432000</v>
      </c>
      <c r="Y274" s="248"/>
      <c r="Z274" s="247"/>
      <c r="AA274" s="248"/>
      <c r="AB274" s="340">
        <f t="shared" si="78"/>
        <v>1112000</v>
      </c>
      <c r="AC274" s="347">
        <f t="shared" si="82"/>
        <v>0</v>
      </c>
      <c r="AD274" s="249"/>
      <c r="AE274" s="435">
        <f t="shared" si="79"/>
        <v>4173120.0000000005</v>
      </c>
      <c r="AF274" s="342">
        <f t="shared" si="80"/>
        <v>5285120</v>
      </c>
      <c r="AG274" s="251">
        <f t="shared" si="81"/>
        <v>3864000</v>
      </c>
      <c r="AH274" s="241"/>
      <c r="AI274" s="241"/>
      <c r="AJ274" s="241"/>
      <c r="AK274" s="194"/>
      <c r="AL274" s="195"/>
      <c r="AM274" s="195"/>
    </row>
    <row r="275" spans="2:39">
      <c r="B275" s="616">
        <v>9</v>
      </c>
      <c r="C275" s="244"/>
      <c r="D275" s="256"/>
      <c r="E275" s="529">
        <v>306407995850</v>
      </c>
      <c r="F275" s="612">
        <v>45421</v>
      </c>
      <c r="G275" s="391" t="s">
        <v>2561</v>
      </c>
      <c r="H275" s="230" t="s">
        <v>210</v>
      </c>
      <c r="I275" s="230">
        <v>1</v>
      </c>
      <c r="J275" s="230"/>
      <c r="K275" s="230"/>
      <c r="L275" s="228"/>
      <c r="M275" s="257"/>
      <c r="N275" s="289" t="s">
        <v>2548</v>
      </c>
      <c r="O275" s="228" t="s">
        <v>2549</v>
      </c>
      <c r="P275" s="245"/>
      <c r="Q275" s="2368"/>
      <c r="R275" s="2368"/>
      <c r="S275" s="254"/>
      <c r="T275" s="228"/>
      <c r="U275" s="2357"/>
      <c r="V275" s="256"/>
      <c r="W275" s="373">
        <v>795000</v>
      </c>
      <c r="X275" s="373">
        <v>432000</v>
      </c>
      <c r="Y275" s="248"/>
      <c r="Z275" s="247"/>
      <c r="AA275" s="248"/>
      <c r="AB275" s="340">
        <f t="shared" si="78"/>
        <v>1227000</v>
      </c>
      <c r="AC275" s="347">
        <f t="shared" si="82"/>
        <v>0</v>
      </c>
      <c r="AD275" s="249"/>
      <c r="AE275" s="435">
        <f t="shared" si="79"/>
        <v>4173120.0000000005</v>
      </c>
      <c r="AF275" s="342">
        <f t="shared" si="80"/>
        <v>5400120</v>
      </c>
      <c r="AG275" s="251">
        <f t="shared" si="81"/>
        <v>3864000</v>
      </c>
      <c r="AH275" s="241"/>
      <c r="AI275" s="241"/>
      <c r="AJ275" s="241"/>
      <c r="AK275" s="194"/>
      <c r="AL275" s="195"/>
      <c r="AM275" s="195"/>
    </row>
    <row r="276" spans="2:39" ht="31.2">
      <c r="B276" s="616">
        <v>10</v>
      </c>
      <c r="C276" s="244"/>
      <c r="D276" s="256"/>
      <c r="E276" s="463" t="s">
        <v>2537</v>
      </c>
      <c r="F276" s="612">
        <v>45421</v>
      </c>
      <c r="G276" s="391" t="s">
        <v>2563</v>
      </c>
      <c r="H276" s="230" t="s">
        <v>206</v>
      </c>
      <c r="I276" s="230">
        <v>1</v>
      </c>
      <c r="J276" s="230"/>
      <c r="K276" s="230"/>
      <c r="L276" s="228"/>
      <c r="M276" s="257"/>
      <c r="N276" s="254" t="s">
        <v>2538</v>
      </c>
      <c r="O276" s="228" t="s">
        <v>2539</v>
      </c>
      <c r="P276" s="245"/>
      <c r="Q276" s="2368"/>
      <c r="R276" s="2368"/>
      <c r="S276" s="254"/>
      <c r="T276" s="228"/>
      <c r="U276" s="2357"/>
      <c r="V276" s="256"/>
      <c r="W276" s="324">
        <v>734400</v>
      </c>
      <c r="X276" s="373">
        <v>900000</v>
      </c>
      <c r="Y276" s="248"/>
      <c r="Z276" s="247"/>
      <c r="AA276" s="248"/>
      <c r="AB276" s="340">
        <f t="shared" si="78"/>
        <v>1634400</v>
      </c>
      <c r="AC276" s="347">
        <f t="shared" si="82"/>
        <v>0</v>
      </c>
      <c r="AD276" s="249"/>
      <c r="AE276" s="435">
        <f t="shared" si="79"/>
        <v>4173120.0000000005</v>
      </c>
      <c r="AF276" s="342">
        <f t="shared" si="80"/>
        <v>5807520</v>
      </c>
      <c r="AG276" s="251">
        <f t="shared" si="81"/>
        <v>3864000</v>
      </c>
      <c r="AH276" s="241"/>
      <c r="AI276" s="241"/>
      <c r="AJ276" s="241"/>
      <c r="AK276" s="194"/>
      <c r="AL276" s="195"/>
      <c r="AM276" s="195"/>
    </row>
    <row r="277" spans="2:39">
      <c r="B277" s="616">
        <v>11</v>
      </c>
      <c r="C277" s="244"/>
      <c r="D277" s="256"/>
      <c r="E277" s="466">
        <v>106263187920</v>
      </c>
      <c r="F277" s="612">
        <v>45419</v>
      </c>
      <c r="G277" s="391" t="s">
        <v>2564</v>
      </c>
      <c r="H277" s="230" t="s">
        <v>206</v>
      </c>
      <c r="I277" s="230"/>
      <c r="J277" s="230"/>
      <c r="K277" s="230">
        <v>1</v>
      </c>
      <c r="L277" s="228"/>
      <c r="M277" s="543" t="s">
        <v>2536</v>
      </c>
      <c r="N277" s="228" t="s">
        <v>2535</v>
      </c>
      <c r="O277" s="228"/>
      <c r="P277" s="245"/>
      <c r="Q277" s="2368"/>
      <c r="R277" s="2368"/>
      <c r="S277" s="254"/>
      <c r="T277" s="543" t="s">
        <v>2536</v>
      </c>
      <c r="U277" s="2361"/>
      <c r="V277" s="324">
        <v>23563</v>
      </c>
      <c r="W277" s="248"/>
      <c r="X277" s="248"/>
      <c r="Y277" s="248"/>
      <c r="Z277" s="247"/>
      <c r="AA277" s="248"/>
      <c r="AB277" s="340">
        <f t="shared" si="78"/>
        <v>23563</v>
      </c>
      <c r="AC277" s="347">
        <f t="shared" si="82"/>
        <v>0</v>
      </c>
      <c r="AD277" s="249"/>
      <c r="AE277" s="605">
        <f>+(1320000*1.08+((I277+J277+K277)*150000)*1.08)</f>
        <v>1587600</v>
      </c>
      <c r="AF277" s="342">
        <f t="shared" si="80"/>
        <v>1611163</v>
      </c>
      <c r="AG277" s="251">
        <f t="shared" si="81"/>
        <v>1470000</v>
      </c>
      <c r="AH277" s="241"/>
      <c r="AI277" s="241"/>
      <c r="AJ277" s="241"/>
      <c r="AK277" s="194"/>
      <c r="AL277" s="195"/>
      <c r="AM277" s="195"/>
    </row>
    <row r="278" spans="2:39">
      <c r="B278" s="616">
        <v>12</v>
      </c>
      <c r="C278" s="244"/>
      <c r="D278" s="256"/>
      <c r="E278" s="474">
        <v>306418322950</v>
      </c>
      <c r="F278" s="612" t="s">
        <v>2570</v>
      </c>
      <c r="G278" s="391" t="s">
        <v>2577</v>
      </c>
      <c r="H278" s="230" t="s">
        <v>210</v>
      </c>
      <c r="I278" s="230"/>
      <c r="J278" s="230">
        <v>1</v>
      </c>
      <c r="K278" s="230"/>
      <c r="L278" s="228"/>
      <c r="M278" s="257"/>
      <c r="N278" s="228">
        <v>6383547640</v>
      </c>
      <c r="O278" s="228" t="s">
        <v>2572</v>
      </c>
      <c r="P278" s="245"/>
      <c r="Q278" s="2368"/>
      <c r="R278" s="2368"/>
      <c r="S278" s="254"/>
      <c r="T278" s="228"/>
      <c r="U278" s="2357"/>
      <c r="V278" s="256"/>
      <c r="W278" s="373">
        <v>1450000</v>
      </c>
      <c r="X278" s="373">
        <v>1140000</v>
      </c>
      <c r="Y278" s="248"/>
      <c r="Z278" s="247"/>
      <c r="AA278" s="248"/>
      <c r="AB278" s="340">
        <f t="shared" si="78"/>
        <v>2590000</v>
      </c>
      <c r="AC278" s="347">
        <f t="shared" si="82"/>
        <v>0</v>
      </c>
      <c r="AD278" s="249"/>
      <c r="AE278" s="435">
        <f t="shared" ref="AE278:AE283" si="83">+(I278*3714000+J278*(3714000+100000))*1.08+((I278+J278+K278)*150000)*1.08</f>
        <v>4281120</v>
      </c>
      <c r="AF278" s="342">
        <f t="shared" si="80"/>
        <v>6871120</v>
      </c>
      <c r="AG278" s="251">
        <f t="shared" si="81"/>
        <v>3963999.9999999995</v>
      </c>
      <c r="AH278" s="241"/>
      <c r="AI278" s="241"/>
      <c r="AJ278" s="241"/>
      <c r="AK278" s="194"/>
      <c r="AL278" s="195"/>
      <c r="AM278" s="195"/>
    </row>
    <row r="279" spans="2:39">
      <c r="B279" s="253">
        <v>13</v>
      </c>
      <c r="C279" s="244"/>
      <c r="D279" s="256"/>
      <c r="E279" s="474">
        <v>306426075930</v>
      </c>
      <c r="F279" s="612" t="s">
        <v>2571</v>
      </c>
      <c r="G279" s="391" t="s">
        <v>2578</v>
      </c>
      <c r="H279" s="230" t="s">
        <v>210</v>
      </c>
      <c r="I279" s="230"/>
      <c r="J279" s="230">
        <v>1</v>
      </c>
      <c r="K279" s="230"/>
      <c r="L279" s="228"/>
      <c r="M279" s="257"/>
      <c r="N279" s="228" t="s">
        <v>2569</v>
      </c>
      <c r="O279" s="228" t="s">
        <v>2579</v>
      </c>
      <c r="P279" s="245"/>
      <c r="Q279" s="2368"/>
      <c r="R279" s="2368"/>
      <c r="S279" s="254"/>
      <c r="T279" s="228"/>
      <c r="U279" s="2357"/>
      <c r="V279" s="256"/>
      <c r="W279" s="373">
        <v>1450000</v>
      </c>
      <c r="X279" s="373">
        <v>766800</v>
      </c>
      <c r="Y279" s="248"/>
      <c r="Z279" s="247"/>
      <c r="AA279" s="248"/>
      <c r="AB279" s="340">
        <f t="shared" si="78"/>
        <v>2216800</v>
      </c>
      <c r="AC279" s="347">
        <f t="shared" si="82"/>
        <v>0</v>
      </c>
      <c r="AD279" s="249"/>
      <c r="AE279" s="435">
        <f t="shared" si="83"/>
        <v>4281120</v>
      </c>
      <c r="AF279" s="342">
        <f t="shared" si="80"/>
        <v>6497920</v>
      </c>
      <c r="AG279" s="251">
        <f t="shared" si="81"/>
        <v>3963999.9999999995</v>
      </c>
      <c r="AH279" s="241"/>
      <c r="AI279" s="241"/>
      <c r="AJ279" s="241"/>
      <c r="AK279" s="194"/>
      <c r="AL279" s="195"/>
      <c r="AM279" s="195"/>
    </row>
    <row r="280" spans="2:39">
      <c r="B280" s="253">
        <v>14</v>
      </c>
      <c r="C280" s="244"/>
      <c r="D280" s="256"/>
      <c r="E280" s="474">
        <v>306436492150</v>
      </c>
      <c r="F280" s="612" t="s">
        <v>2590</v>
      </c>
      <c r="G280" s="391" t="s">
        <v>2592</v>
      </c>
      <c r="H280" s="230" t="s">
        <v>210</v>
      </c>
      <c r="I280" s="230"/>
      <c r="J280" s="230">
        <v>1</v>
      </c>
      <c r="K280" s="230"/>
      <c r="L280" s="228"/>
      <c r="M280" s="257"/>
      <c r="N280" s="228" t="s">
        <v>2591</v>
      </c>
      <c r="O280" s="228" t="s">
        <v>2593</v>
      </c>
      <c r="P280" s="245"/>
      <c r="Q280" s="2368"/>
      <c r="R280" s="2368"/>
      <c r="S280" s="254"/>
      <c r="T280" s="228"/>
      <c r="U280" s="2357"/>
      <c r="V280" s="256"/>
      <c r="W280" s="373">
        <v>1450000</v>
      </c>
      <c r="X280" s="373">
        <v>1160000</v>
      </c>
      <c r="Y280" s="248"/>
      <c r="Z280" s="247"/>
      <c r="AA280" s="248"/>
      <c r="AB280" s="340">
        <f t="shared" si="78"/>
        <v>2610000</v>
      </c>
      <c r="AC280" s="347">
        <f t="shared" ref="AC280:AC286" si="84">+Z280</f>
        <v>0</v>
      </c>
      <c r="AD280" s="249"/>
      <c r="AE280" s="435">
        <f t="shared" si="83"/>
        <v>4281120</v>
      </c>
      <c r="AF280" s="342">
        <f t="shared" ref="AF280:AF286" si="85">+AB280+AE280</f>
        <v>6891120</v>
      </c>
      <c r="AG280" s="251">
        <f t="shared" ref="AG280:AG286" si="86">+AE280/1.08</f>
        <v>3963999.9999999995</v>
      </c>
      <c r="AH280" s="241"/>
      <c r="AI280" s="241"/>
      <c r="AJ280" s="241"/>
      <c r="AK280" s="194"/>
      <c r="AL280" s="195"/>
      <c r="AM280" s="195"/>
    </row>
    <row r="281" spans="2:39">
      <c r="B281" s="253">
        <v>15</v>
      </c>
      <c r="C281" s="244"/>
      <c r="D281" s="256"/>
      <c r="E281" s="474">
        <v>306435814700</v>
      </c>
      <c r="F281" s="612" t="s">
        <v>2590</v>
      </c>
      <c r="G281" s="391" t="s">
        <v>2594</v>
      </c>
      <c r="H281" s="230" t="s">
        <v>210</v>
      </c>
      <c r="I281" s="230"/>
      <c r="J281" s="230">
        <v>1</v>
      </c>
      <c r="K281" s="230"/>
      <c r="L281" s="228"/>
      <c r="M281" s="257"/>
      <c r="N281" s="228" t="s">
        <v>2591</v>
      </c>
      <c r="O281" s="228" t="s">
        <v>2595</v>
      </c>
      <c r="P281" s="245"/>
      <c r="Q281" s="2368"/>
      <c r="R281" s="2368"/>
      <c r="S281" s="254"/>
      <c r="T281" s="228"/>
      <c r="U281" s="2357"/>
      <c r="V281" s="256"/>
      <c r="W281" s="373">
        <v>1450000</v>
      </c>
      <c r="X281" s="373">
        <v>1160000</v>
      </c>
      <c r="Y281" s="248"/>
      <c r="Z281" s="247"/>
      <c r="AA281" s="248"/>
      <c r="AB281" s="340">
        <f t="shared" si="78"/>
        <v>2610000</v>
      </c>
      <c r="AC281" s="347">
        <f t="shared" si="84"/>
        <v>0</v>
      </c>
      <c r="AD281" s="249"/>
      <c r="AE281" s="435">
        <f t="shared" si="83"/>
        <v>4281120</v>
      </c>
      <c r="AF281" s="342">
        <f t="shared" si="85"/>
        <v>6891120</v>
      </c>
      <c r="AG281" s="251">
        <f t="shared" si="86"/>
        <v>3963999.9999999995</v>
      </c>
      <c r="AH281" s="241"/>
      <c r="AI281" s="241"/>
      <c r="AJ281" s="241"/>
      <c r="AK281" s="194"/>
      <c r="AL281" s="195"/>
      <c r="AM281" s="195"/>
    </row>
    <row r="282" spans="2:39">
      <c r="B282" s="253">
        <v>16</v>
      </c>
      <c r="C282" s="244"/>
      <c r="D282" s="256"/>
      <c r="E282" s="474">
        <v>306435880500</v>
      </c>
      <c r="F282" s="612" t="s">
        <v>2590</v>
      </c>
      <c r="G282" s="391" t="s">
        <v>2596</v>
      </c>
      <c r="H282" s="230" t="s">
        <v>210</v>
      </c>
      <c r="I282" s="230"/>
      <c r="J282" s="230">
        <v>1</v>
      </c>
      <c r="K282" s="230"/>
      <c r="L282" s="228"/>
      <c r="M282" s="257"/>
      <c r="N282" s="228" t="s">
        <v>2591</v>
      </c>
      <c r="O282" s="228" t="s">
        <v>2597</v>
      </c>
      <c r="P282" s="245"/>
      <c r="Q282" s="2368"/>
      <c r="R282" s="2368"/>
      <c r="S282" s="254"/>
      <c r="T282" s="228"/>
      <c r="U282" s="2357"/>
      <c r="V282" s="256"/>
      <c r="W282" s="373">
        <v>1450000</v>
      </c>
      <c r="X282" s="373">
        <v>1160000</v>
      </c>
      <c r="Y282" s="248"/>
      <c r="Z282" s="247"/>
      <c r="AA282" s="248"/>
      <c r="AB282" s="340">
        <f t="shared" si="78"/>
        <v>2610000</v>
      </c>
      <c r="AC282" s="347">
        <f t="shared" si="84"/>
        <v>0</v>
      </c>
      <c r="AD282" s="249"/>
      <c r="AE282" s="435">
        <f t="shared" si="83"/>
        <v>4281120</v>
      </c>
      <c r="AF282" s="342">
        <f t="shared" si="85"/>
        <v>6891120</v>
      </c>
      <c r="AG282" s="251">
        <f t="shared" si="86"/>
        <v>3963999.9999999995</v>
      </c>
      <c r="AH282" s="241"/>
      <c r="AI282" s="241"/>
      <c r="AJ282" s="241"/>
      <c r="AK282" s="194"/>
      <c r="AL282" s="195"/>
      <c r="AM282" s="195"/>
    </row>
    <row r="283" spans="2:39" ht="31.2">
      <c r="B283" s="253">
        <v>17</v>
      </c>
      <c r="C283" s="244"/>
      <c r="D283" s="256"/>
      <c r="E283" s="474">
        <v>306439392730</v>
      </c>
      <c r="F283" s="612" t="s">
        <v>2600</v>
      </c>
      <c r="G283" s="391" t="s">
        <v>2609</v>
      </c>
      <c r="H283" s="230" t="s">
        <v>210</v>
      </c>
      <c r="I283" s="230"/>
      <c r="J283" s="230">
        <v>2</v>
      </c>
      <c r="K283" s="230"/>
      <c r="L283" s="228"/>
      <c r="M283" s="257"/>
      <c r="N283" s="228" t="s">
        <v>2607</v>
      </c>
      <c r="O283" s="254" t="s">
        <v>2647</v>
      </c>
      <c r="P283" s="245"/>
      <c r="Q283" s="2368"/>
      <c r="R283" s="2368"/>
      <c r="S283" s="254"/>
      <c r="T283" s="228"/>
      <c r="U283" s="2357"/>
      <c r="V283" s="256"/>
      <c r="W283" s="373">
        <f>1300000+1300000</f>
        <v>2600000</v>
      </c>
      <c r="X283" s="373">
        <f>766800+766800</f>
        <v>1533600</v>
      </c>
      <c r="Y283" s="248"/>
      <c r="Z283" s="247"/>
      <c r="AA283" s="248"/>
      <c r="AB283" s="340">
        <f t="shared" si="78"/>
        <v>4133600</v>
      </c>
      <c r="AC283" s="347">
        <f t="shared" si="84"/>
        <v>0</v>
      </c>
      <c r="AD283" s="249"/>
      <c r="AE283" s="435">
        <f t="shared" si="83"/>
        <v>8562240</v>
      </c>
      <c r="AF283" s="342">
        <f t="shared" si="85"/>
        <v>12695840</v>
      </c>
      <c r="AG283" s="251">
        <f t="shared" si="86"/>
        <v>7927999.9999999991</v>
      </c>
      <c r="AH283" s="241"/>
      <c r="AI283" s="241"/>
      <c r="AJ283" s="241"/>
      <c r="AK283" s="194"/>
      <c r="AL283" s="195"/>
      <c r="AM283" s="195"/>
    </row>
    <row r="284" spans="2:39">
      <c r="B284" s="3405" t="s">
        <v>2586</v>
      </c>
      <c r="C284" s="3312"/>
      <c r="D284" s="3312"/>
      <c r="E284" s="3312"/>
      <c r="F284" s="3312"/>
      <c r="G284" s="3312"/>
      <c r="H284" s="3312"/>
      <c r="I284" s="3312"/>
      <c r="J284" s="3312"/>
      <c r="K284" s="3312"/>
      <c r="L284" s="3312"/>
      <c r="M284" s="346"/>
      <c r="N284" s="346"/>
      <c r="O284" s="346"/>
      <c r="P284" s="346"/>
      <c r="Q284" s="346"/>
      <c r="R284" s="346"/>
      <c r="S284" s="346"/>
      <c r="T284" s="346"/>
      <c r="U284" s="346"/>
      <c r="V284" s="590">
        <f>+'CHÍNH NGUYÊN'!S114+W284</f>
        <v>6039906</v>
      </c>
      <c r="W284" s="590">
        <f>+W268+W269+W276+V277</f>
        <v>2620963</v>
      </c>
      <c r="X284" s="590"/>
      <c r="Y284" s="357"/>
      <c r="Z284" s="357"/>
      <c r="AA284" s="357"/>
      <c r="AB284" s="358">
        <f>SUM(AB267:AB283)</f>
        <v>35065246</v>
      </c>
      <c r="AC284" s="358">
        <f>SUM(AC261:AC278)</f>
        <v>0</v>
      </c>
      <c r="AD284" s="358">
        <f>SUM(AD259:AD278)</f>
        <v>0</v>
      </c>
      <c r="AE284" s="358">
        <f>SUM(AE267:AE283)</f>
        <v>73718640</v>
      </c>
      <c r="AF284" s="358">
        <f>+AB284+AE284</f>
        <v>108783886</v>
      </c>
      <c r="AG284" s="358">
        <f>SUM(AG267:AG283)</f>
        <v>68258000</v>
      </c>
      <c r="AH284" s="357"/>
      <c r="AI284" s="357"/>
      <c r="AJ284" s="357"/>
      <c r="AK284" s="357"/>
      <c r="AL284" s="357"/>
      <c r="AM284" s="614">
        <f>+AE284/1.08</f>
        <v>68258000</v>
      </c>
    </row>
    <row r="285" spans="2:39">
      <c r="B285" s="593">
        <v>1</v>
      </c>
      <c r="C285" s="244"/>
      <c r="D285" s="612"/>
      <c r="E285" s="474">
        <v>306451354000</v>
      </c>
      <c r="F285" s="612" t="s">
        <v>2616</v>
      </c>
      <c r="G285" s="391" t="s">
        <v>2620</v>
      </c>
      <c r="H285" s="230"/>
      <c r="I285" s="230"/>
      <c r="J285" s="230">
        <v>1</v>
      </c>
      <c r="K285" s="230"/>
      <c r="L285" s="228"/>
      <c r="M285" s="257"/>
      <c r="N285" s="228" t="s">
        <v>2608</v>
      </c>
      <c r="O285" s="228" t="s">
        <v>2621</v>
      </c>
      <c r="P285" s="245"/>
      <c r="Q285" s="2368"/>
      <c r="R285" s="2368"/>
      <c r="S285" s="254"/>
      <c r="T285" s="228"/>
      <c r="U285" s="2357"/>
      <c r="V285" s="256"/>
      <c r="W285" s="373">
        <v>1450000</v>
      </c>
      <c r="X285" s="373">
        <v>1160000</v>
      </c>
      <c r="Y285" s="248"/>
      <c r="Z285" s="247"/>
      <c r="AA285" s="248"/>
      <c r="AB285" s="340">
        <f t="shared" ref="AB285:AB312" si="87">V285+W285+X285+Y285+Z285+AA285</f>
        <v>2610000</v>
      </c>
      <c r="AC285" s="347">
        <f t="shared" si="84"/>
        <v>0</v>
      </c>
      <c r="AD285" s="249"/>
      <c r="AE285" s="435">
        <f>+(I285*3714000+J285*(3714000+100000))*1.08+((I285+J285+K285)*150000)*1.08</f>
        <v>4281120</v>
      </c>
      <c r="AF285" s="342">
        <f t="shared" si="85"/>
        <v>6891120</v>
      </c>
      <c r="AG285" s="251">
        <f t="shared" si="86"/>
        <v>3963999.9999999995</v>
      </c>
      <c r="AH285" s="241"/>
      <c r="AI285" s="241"/>
      <c r="AJ285" s="241"/>
      <c r="AK285" s="194"/>
      <c r="AL285" s="195"/>
      <c r="AM285" s="195"/>
    </row>
    <row r="286" spans="2:39" ht="31.2">
      <c r="B286" s="593">
        <v>2</v>
      </c>
      <c r="C286" s="244"/>
      <c r="D286" s="612"/>
      <c r="E286" s="474">
        <v>306451805240</v>
      </c>
      <c r="F286" s="612" t="s">
        <v>2616</v>
      </c>
      <c r="G286" s="391" t="s">
        <v>2622</v>
      </c>
      <c r="H286" s="230"/>
      <c r="I286" s="230"/>
      <c r="J286" s="230">
        <v>2</v>
      </c>
      <c r="K286" s="230"/>
      <c r="L286" s="228"/>
      <c r="M286" s="257"/>
      <c r="N286" s="228" t="s">
        <v>2615</v>
      </c>
      <c r="O286" s="254" t="s">
        <v>2623</v>
      </c>
      <c r="P286" s="245"/>
      <c r="Q286" s="2368"/>
      <c r="R286" s="2368"/>
      <c r="S286" s="254"/>
      <c r="T286" s="228"/>
      <c r="U286" s="2357"/>
      <c r="V286" s="256"/>
      <c r="W286" s="373">
        <f>1300000+1300000</f>
        <v>2600000</v>
      </c>
      <c r="X286" s="373">
        <f>766800+766800</f>
        <v>1533600</v>
      </c>
      <c r="Y286" s="248"/>
      <c r="Z286" s="247"/>
      <c r="AA286" s="248"/>
      <c r="AB286" s="340">
        <f t="shared" si="87"/>
        <v>4133600</v>
      </c>
      <c r="AC286" s="347">
        <f t="shared" si="84"/>
        <v>0</v>
      </c>
      <c r="AD286" s="249"/>
      <c r="AE286" s="435">
        <f>+(I286*3714000+J286*(3714000+100000))*1.08+((I286+J286+K286)*150000)*1.08</f>
        <v>8562240</v>
      </c>
      <c r="AF286" s="342">
        <f t="shared" si="85"/>
        <v>12695840</v>
      </c>
      <c r="AG286" s="251">
        <f t="shared" si="86"/>
        <v>7927999.9999999991</v>
      </c>
      <c r="AH286" s="241"/>
      <c r="AI286" s="241"/>
      <c r="AJ286" s="241"/>
      <c r="AK286" s="194"/>
      <c r="AL286" s="195"/>
      <c r="AM286" s="195"/>
    </row>
    <row r="287" spans="2:39">
      <c r="B287" s="593">
        <v>3</v>
      </c>
      <c r="C287" s="244"/>
      <c r="D287" s="612"/>
      <c r="E287" s="474">
        <v>306454941130</v>
      </c>
      <c r="F287" s="612" t="s">
        <v>2624</v>
      </c>
      <c r="G287" s="391" t="s">
        <v>2626</v>
      </c>
      <c r="H287" s="230"/>
      <c r="I287" s="230"/>
      <c r="J287" s="230">
        <v>1</v>
      </c>
      <c r="K287" s="230"/>
      <c r="L287" s="228"/>
      <c r="M287" s="257"/>
      <c r="N287" s="228" t="s">
        <v>2625</v>
      </c>
      <c r="O287" s="228" t="s">
        <v>2627</v>
      </c>
      <c r="P287" s="245"/>
      <c r="Q287" s="2368"/>
      <c r="R287" s="2368"/>
      <c r="S287" s="254"/>
      <c r="T287" s="228"/>
      <c r="U287" s="2357"/>
      <c r="V287" s="256"/>
      <c r="W287" s="373">
        <v>1450000</v>
      </c>
      <c r="X287" s="373">
        <v>766800</v>
      </c>
      <c r="Y287" s="248"/>
      <c r="Z287" s="247"/>
      <c r="AA287" s="248"/>
      <c r="AB287" s="340">
        <f t="shared" si="87"/>
        <v>2216800</v>
      </c>
      <c r="AC287" s="347">
        <f t="shared" ref="AC287:AC292" si="88">+Z287</f>
        <v>0</v>
      </c>
      <c r="AD287" s="249"/>
      <c r="AE287" s="435">
        <f>+(I287*3714000+J287*(3714000+100000))*1.08+((I287+J287+K287)*150000)*1.08</f>
        <v>4281120</v>
      </c>
      <c r="AF287" s="342">
        <f t="shared" ref="AF287:AF292" si="89">+AB287+AE287</f>
        <v>6497920</v>
      </c>
      <c r="AG287" s="251">
        <f t="shared" ref="AG287:AG311" si="90">+AE287/1.08</f>
        <v>3963999.9999999995</v>
      </c>
      <c r="AH287" s="241"/>
      <c r="AI287" s="241"/>
      <c r="AJ287" s="241"/>
      <c r="AK287" s="194"/>
      <c r="AL287" s="195"/>
      <c r="AM287" s="195"/>
    </row>
    <row r="288" spans="2:39">
      <c r="B288" s="593">
        <v>4</v>
      </c>
      <c r="C288" s="244"/>
      <c r="D288" s="612"/>
      <c r="E288" s="466">
        <v>106315086730</v>
      </c>
      <c r="F288" s="612" t="s">
        <v>2629</v>
      </c>
      <c r="G288" s="391" t="s">
        <v>2653</v>
      </c>
      <c r="H288" s="230"/>
      <c r="I288" s="230"/>
      <c r="J288" s="230"/>
      <c r="K288" s="230">
        <v>1</v>
      </c>
      <c r="L288" s="228"/>
      <c r="M288" s="543" t="s">
        <v>2630</v>
      </c>
      <c r="N288" s="228" t="s">
        <v>2628</v>
      </c>
      <c r="O288" s="228"/>
      <c r="P288" s="245"/>
      <c r="Q288" s="2368"/>
      <c r="R288" s="2368"/>
      <c r="S288" s="254"/>
      <c r="T288" s="543" t="s">
        <v>2630</v>
      </c>
      <c r="U288" s="2361"/>
      <c r="V288" s="324">
        <f>11782+11782</f>
        <v>23564</v>
      </c>
      <c r="W288" s="248"/>
      <c r="X288" s="248"/>
      <c r="Y288" s="248"/>
      <c r="Z288" s="247"/>
      <c r="AA288" s="248"/>
      <c r="AB288" s="340">
        <f t="shared" si="87"/>
        <v>23564</v>
      </c>
      <c r="AC288" s="347">
        <f t="shared" si="88"/>
        <v>0</v>
      </c>
      <c r="AD288" s="249"/>
      <c r="AE288" s="605">
        <f>+(1320000*1.08+((I288+J288+K288)*150000)*1.08)</f>
        <v>1587600</v>
      </c>
      <c r="AF288" s="342">
        <f t="shared" si="89"/>
        <v>1611164</v>
      </c>
      <c r="AG288" s="251">
        <f t="shared" si="90"/>
        <v>1470000</v>
      </c>
      <c r="AH288" s="241"/>
      <c r="AI288" s="241"/>
      <c r="AJ288" s="241"/>
      <c r="AK288" s="194"/>
      <c r="AL288" s="195"/>
      <c r="AM288" s="195"/>
    </row>
    <row r="289" spans="2:39">
      <c r="B289" s="593">
        <v>5</v>
      </c>
      <c r="C289" s="244"/>
      <c r="D289" s="612"/>
      <c r="E289" s="466">
        <v>106313483510</v>
      </c>
      <c r="F289" s="612" t="s">
        <v>2629</v>
      </c>
      <c r="G289" s="391" t="s">
        <v>2654</v>
      </c>
      <c r="H289" s="230"/>
      <c r="I289" s="230"/>
      <c r="J289" s="230"/>
      <c r="K289" s="230">
        <v>1</v>
      </c>
      <c r="L289" s="228"/>
      <c r="M289" s="543" t="s">
        <v>2632</v>
      </c>
      <c r="N289" s="228" t="s">
        <v>2631</v>
      </c>
      <c r="O289" s="228"/>
      <c r="P289" s="245"/>
      <c r="Q289" s="2368"/>
      <c r="R289" s="2368"/>
      <c r="S289" s="254"/>
      <c r="T289" s="543" t="s">
        <v>2632</v>
      </c>
      <c r="U289" s="2361"/>
      <c r="V289" s="256"/>
      <c r="W289" s="248"/>
      <c r="X289" s="248"/>
      <c r="Y289" s="248"/>
      <c r="Z289" s="247"/>
      <c r="AA289" s="248"/>
      <c r="AB289" s="340">
        <f t="shared" si="87"/>
        <v>0</v>
      </c>
      <c r="AC289" s="347">
        <f t="shared" si="88"/>
        <v>0</v>
      </c>
      <c r="AD289" s="375" t="s">
        <v>2639</v>
      </c>
      <c r="AE289" s="605">
        <f>+(3568000*1.08+((I289+J289+K289)*150000)*1.08)</f>
        <v>4015440.0000000005</v>
      </c>
      <c r="AF289" s="342">
        <f t="shared" si="89"/>
        <v>4015440.0000000005</v>
      </c>
      <c r="AG289" s="251">
        <f t="shared" si="90"/>
        <v>3718000</v>
      </c>
      <c r="AH289" s="241"/>
      <c r="AI289" s="241"/>
      <c r="AJ289" s="241"/>
      <c r="AK289" s="194"/>
      <c r="AL289" s="195"/>
      <c r="AM289" s="195"/>
    </row>
    <row r="290" spans="2:39">
      <c r="B290" s="593">
        <v>6</v>
      </c>
      <c r="C290" s="244"/>
      <c r="D290" s="612"/>
      <c r="E290" s="474">
        <v>306460619530</v>
      </c>
      <c r="F290" s="612" t="s">
        <v>2629</v>
      </c>
      <c r="G290" s="391" t="s">
        <v>2655</v>
      </c>
      <c r="H290" s="230"/>
      <c r="I290" s="230"/>
      <c r="J290" s="230">
        <v>1</v>
      </c>
      <c r="K290" s="230"/>
      <c r="L290" s="228"/>
      <c r="M290" s="543"/>
      <c r="N290" s="375">
        <v>21878809</v>
      </c>
      <c r="O290" s="254" t="s">
        <v>2656</v>
      </c>
      <c r="P290" s="245"/>
      <c r="Q290" s="2368"/>
      <c r="R290" s="2368"/>
      <c r="S290" s="254"/>
      <c r="T290" s="543"/>
      <c r="U290" s="2361"/>
      <c r="V290" s="256"/>
      <c r="W290" s="373">
        <v>1450000</v>
      </c>
      <c r="X290" s="373">
        <v>1140000</v>
      </c>
      <c r="Y290" s="248"/>
      <c r="Z290" s="247"/>
      <c r="AA290" s="248"/>
      <c r="AB290" s="340">
        <f t="shared" si="87"/>
        <v>2590000</v>
      </c>
      <c r="AC290" s="347">
        <f t="shared" si="88"/>
        <v>0</v>
      </c>
      <c r="AD290" s="249"/>
      <c r="AE290" s="435">
        <f>+(I290*3714000+J290*(3714000+100000))*1.08+((I290+J290+K290)*150000)*1.08</f>
        <v>4281120</v>
      </c>
      <c r="AF290" s="342">
        <f t="shared" si="89"/>
        <v>6871120</v>
      </c>
      <c r="AG290" s="251">
        <f t="shared" si="90"/>
        <v>3963999.9999999995</v>
      </c>
      <c r="AH290" s="241"/>
      <c r="AI290" s="241"/>
      <c r="AJ290" s="241"/>
      <c r="AK290" s="194"/>
      <c r="AL290" s="195"/>
      <c r="AM290" s="195"/>
    </row>
    <row r="291" spans="2:39">
      <c r="B291" s="593">
        <v>7</v>
      </c>
      <c r="C291" s="244"/>
      <c r="D291" s="612">
        <v>45447</v>
      </c>
      <c r="E291" s="466">
        <v>106314629740</v>
      </c>
      <c r="F291" s="612" t="s">
        <v>2629</v>
      </c>
      <c r="G291" s="391" t="s">
        <v>2657</v>
      </c>
      <c r="H291" s="230" t="s">
        <v>206</v>
      </c>
      <c r="I291" s="230">
        <v>1</v>
      </c>
      <c r="J291" s="230"/>
      <c r="K291" s="230"/>
      <c r="L291" s="526" t="s">
        <v>136</v>
      </c>
      <c r="M291" s="257"/>
      <c r="N291" s="228" t="s">
        <v>2637</v>
      </c>
      <c r="O291" s="228" t="s">
        <v>2638</v>
      </c>
      <c r="P291" s="245"/>
      <c r="Q291" s="2368"/>
      <c r="R291" s="2368"/>
      <c r="S291" s="254"/>
      <c r="T291" s="543"/>
      <c r="U291" s="2361"/>
      <c r="V291" s="373">
        <v>102600</v>
      </c>
      <c r="W291" s="324">
        <v>631800</v>
      </c>
      <c r="X291" s="373">
        <v>900000</v>
      </c>
      <c r="Y291" s="248"/>
      <c r="Z291" s="247"/>
      <c r="AA291" s="248"/>
      <c r="AB291" s="340">
        <f t="shared" si="87"/>
        <v>1634400</v>
      </c>
      <c r="AC291" s="347">
        <f t="shared" si="88"/>
        <v>0</v>
      </c>
      <c r="AD291" s="375" t="s">
        <v>2663</v>
      </c>
      <c r="AE291" s="618">
        <f>+(I291*3714000+J291*(3714000+100000))*1.08+((I291+J291+K291)*150000)*1.08+(1000000*1.08)</f>
        <v>5253120</v>
      </c>
      <c r="AF291" s="342">
        <f t="shared" si="89"/>
        <v>6887520</v>
      </c>
      <c r="AG291" s="251">
        <f t="shared" si="90"/>
        <v>4864000</v>
      </c>
      <c r="AH291" s="241"/>
      <c r="AI291" s="241"/>
      <c r="AJ291" s="241"/>
      <c r="AK291" s="194"/>
      <c r="AL291" s="195"/>
      <c r="AM291" s="195"/>
    </row>
    <row r="292" spans="2:39" ht="16.5" customHeight="1">
      <c r="B292" s="593">
        <v>8</v>
      </c>
      <c r="C292" s="244"/>
      <c r="D292" s="612"/>
      <c r="E292" s="474">
        <v>306464823840</v>
      </c>
      <c r="F292" s="612" t="s">
        <v>2633</v>
      </c>
      <c r="G292" s="391" t="s">
        <v>2648</v>
      </c>
      <c r="H292" s="230"/>
      <c r="I292" s="609">
        <v>1</v>
      </c>
      <c r="J292" s="230"/>
      <c r="K292" s="230"/>
      <c r="L292" s="228"/>
      <c r="M292" s="257"/>
      <c r="N292" s="228" t="s">
        <v>2636</v>
      </c>
      <c r="O292" s="228" t="s">
        <v>2649</v>
      </c>
      <c r="P292" s="245"/>
      <c r="Q292" s="2368"/>
      <c r="R292" s="2368"/>
      <c r="S292" s="254"/>
      <c r="T292" s="228"/>
      <c r="U292" s="2357"/>
      <c r="V292" s="256"/>
      <c r="W292" s="373">
        <v>900000</v>
      </c>
      <c r="X292" s="373">
        <v>432000</v>
      </c>
      <c r="Y292" s="248"/>
      <c r="Z292" s="247"/>
      <c r="AA292" s="248"/>
      <c r="AB292" s="340">
        <f t="shared" si="87"/>
        <v>1332000</v>
      </c>
      <c r="AC292" s="347">
        <f t="shared" si="88"/>
        <v>0</v>
      </c>
      <c r="AD292" s="249"/>
      <c r="AE292" s="435">
        <f t="shared" ref="AE292:AE304" si="91">+(I292*3714000+J292*(3714000+100000))*1.08+((I292+J292+K292)*150000)*1.08</f>
        <v>4173120.0000000005</v>
      </c>
      <c r="AF292" s="342">
        <f t="shared" si="89"/>
        <v>5505120</v>
      </c>
      <c r="AG292" s="251">
        <f t="shared" si="90"/>
        <v>3864000</v>
      </c>
      <c r="AH292" s="241"/>
      <c r="AI292" s="241"/>
      <c r="AJ292" s="241"/>
      <c r="AK292" s="194"/>
      <c r="AL292" s="195"/>
      <c r="AM292" s="195"/>
    </row>
    <row r="293" spans="2:39" ht="31.2">
      <c r="B293" s="593">
        <v>9</v>
      </c>
      <c r="C293" s="244"/>
      <c r="D293" s="612"/>
      <c r="E293" s="474">
        <v>306471139240</v>
      </c>
      <c r="F293" s="612">
        <v>45446</v>
      </c>
      <c r="G293" s="391" t="s">
        <v>2660</v>
      </c>
      <c r="H293" s="230"/>
      <c r="I293" s="230"/>
      <c r="J293" s="230">
        <v>2</v>
      </c>
      <c r="K293" s="230"/>
      <c r="L293" s="228"/>
      <c r="M293" s="257"/>
      <c r="N293" s="228" t="s">
        <v>2643</v>
      </c>
      <c r="O293" s="254" t="s">
        <v>2659</v>
      </c>
      <c r="P293" s="245"/>
      <c r="Q293" s="2368"/>
      <c r="R293" s="2368"/>
      <c r="S293" s="254"/>
      <c r="T293" s="228"/>
      <c r="U293" s="2357"/>
      <c r="V293" s="256"/>
      <c r="W293" s="373">
        <f>1300000+1300000</f>
        <v>2600000</v>
      </c>
      <c r="X293" s="373">
        <f>766800+766800</f>
        <v>1533600</v>
      </c>
      <c r="Y293" s="248"/>
      <c r="Z293" s="247"/>
      <c r="AA293" s="248"/>
      <c r="AB293" s="340">
        <f t="shared" si="87"/>
        <v>4133600</v>
      </c>
      <c r="AC293" s="347">
        <f t="shared" ref="AC293:AC301" si="92">+Z293</f>
        <v>0</v>
      </c>
      <c r="AD293" s="249"/>
      <c r="AE293" s="435">
        <f t="shared" si="91"/>
        <v>8562240</v>
      </c>
      <c r="AF293" s="342">
        <f t="shared" ref="AF293:AF301" si="93">+AB293+AE293</f>
        <v>12695840</v>
      </c>
      <c r="AG293" s="251">
        <f t="shared" si="90"/>
        <v>7927999.9999999991</v>
      </c>
      <c r="AH293" s="241"/>
      <c r="AI293" s="241"/>
      <c r="AJ293" s="241"/>
      <c r="AK293" s="194"/>
      <c r="AL293" s="195"/>
      <c r="AM293" s="195"/>
    </row>
    <row r="294" spans="2:39" ht="31.2">
      <c r="B294" s="593">
        <v>10</v>
      </c>
      <c r="C294" s="244"/>
      <c r="D294" s="612"/>
      <c r="E294" s="474">
        <v>306470504450</v>
      </c>
      <c r="F294" s="612">
        <v>45446</v>
      </c>
      <c r="G294" s="391" t="s">
        <v>2661</v>
      </c>
      <c r="H294" s="230"/>
      <c r="I294" s="230"/>
      <c r="J294" s="230">
        <v>2</v>
      </c>
      <c r="K294" s="230"/>
      <c r="L294" s="228"/>
      <c r="M294" s="257"/>
      <c r="N294" s="228" t="s">
        <v>2644</v>
      </c>
      <c r="O294" s="254" t="s">
        <v>2662</v>
      </c>
      <c r="P294" s="245"/>
      <c r="Q294" s="2368"/>
      <c r="R294" s="2368"/>
      <c r="S294" s="254"/>
      <c r="T294" s="228"/>
      <c r="U294" s="2357"/>
      <c r="V294" s="256"/>
      <c r="W294" s="373">
        <f>1300000+1300000</f>
        <v>2600000</v>
      </c>
      <c r="X294" s="373">
        <f>766800+766800</f>
        <v>1533600</v>
      </c>
      <c r="Y294" s="248"/>
      <c r="Z294" s="247"/>
      <c r="AA294" s="248"/>
      <c r="AB294" s="340">
        <f t="shared" si="87"/>
        <v>4133600</v>
      </c>
      <c r="AC294" s="347">
        <f t="shared" si="92"/>
        <v>0</v>
      </c>
      <c r="AD294" s="249"/>
      <c r="AE294" s="435">
        <f t="shared" si="91"/>
        <v>8562240</v>
      </c>
      <c r="AF294" s="342">
        <f t="shared" si="93"/>
        <v>12695840</v>
      </c>
      <c r="AG294" s="251">
        <f t="shared" si="90"/>
        <v>7927999.9999999991</v>
      </c>
      <c r="AH294" s="241"/>
      <c r="AI294" s="241"/>
      <c r="AJ294" s="241"/>
      <c r="AK294" s="194"/>
      <c r="AL294" s="195"/>
      <c r="AM294" s="195"/>
    </row>
    <row r="295" spans="2:39">
      <c r="B295" s="593">
        <v>11</v>
      </c>
      <c r="C295" s="244"/>
      <c r="D295" s="612"/>
      <c r="E295" s="474">
        <v>306474246540</v>
      </c>
      <c r="F295" s="612">
        <v>45447</v>
      </c>
      <c r="G295" s="391" t="s">
        <v>2666</v>
      </c>
      <c r="H295" s="230"/>
      <c r="I295" s="230"/>
      <c r="J295" s="230">
        <v>1</v>
      </c>
      <c r="K295" s="230"/>
      <c r="L295" s="228"/>
      <c r="M295" s="257"/>
      <c r="N295" s="228">
        <v>20540318</v>
      </c>
      <c r="O295" s="228" t="s">
        <v>2667</v>
      </c>
      <c r="P295" s="245"/>
      <c r="Q295" s="2368"/>
      <c r="R295" s="2368"/>
      <c r="S295" s="254"/>
      <c r="T295" s="228"/>
      <c r="U295" s="2357"/>
      <c r="V295" s="256"/>
      <c r="W295" s="373">
        <v>1450000</v>
      </c>
      <c r="X295" s="373">
        <v>1140000</v>
      </c>
      <c r="Y295" s="248"/>
      <c r="Z295" s="247"/>
      <c r="AA295" s="248"/>
      <c r="AB295" s="340">
        <f t="shared" si="87"/>
        <v>2590000</v>
      </c>
      <c r="AC295" s="347">
        <f t="shared" si="92"/>
        <v>0</v>
      </c>
      <c r="AD295" s="249"/>
      <c r="AE295" s="435">
        <f t="shared" si="91"/>
        <v>4281120</v>
      </c>
      <c r="AF295" s="342">
        <f t="shared" si="93"/>
        <v>6871120</v>
      </c>
      <c r="AG295" s="251">
        <f t="shared" si="90"/>
        <v>3963999.9999999995</v>
      </c>
      <c r="AH295" s="241"/>
      <c r="AI295" s="241"/>
      <c r="AJ295" s="241"/>
      <c r="AK295" s="194"/>
      <c r="AL295" s="195"/>
      <c r="AM295" s="195"/>
    </row>
    <row r="296" spans="2:39" ht="31.2">
      <c r="B296" s="593">
        <v>12</v>
      </c>
      <c r="C296" s="244"/>
      <c r="D296" s="612"/>
      <c r="E296" s="474">
        <v>306473575130</v>
      </c>
      <c r="F296" s="612">
        <v>45447</v>
      </c>
      <c r="G296" s="391" t="s">
        <v>2669</v>
      </c>
      <c r="H296" s="230"/>
      <c r="I296" s="230"/>
      <c r="J296" s="230">
        <v>2</v>
      </c>
      <c r="K296" s="230"/>
      <c r="L296" s="228"/>
      <c r="M296" s="257"/>
      <c r="N296" s="228" t="s">
        <v>2652</v>
      </c>
      <c r="O296" s="254" t="s">
        <v>2668</v>
      </c>
      <c r="P296" s="245"/>
      <c r="Q296" s="2368"/>
      <c r="R296" s="2368"/>
      <c r="S296" s="254"/>
      <c r="T296" s="228"/>
      <c r="U296" s="2357"/>
      <c r="V296" s="256"/>
      <c r="W296" s="373">
        <f>1300000+1300000</f>
        <v>2600000</v>
      </c>
      <c r="X296" s="373">
        <f>766800+766800</f>
        <v>1533600</v>
      </c>
      <c r="Y296" s="248"/>
      <c r="Z296" s="247"/>
      <c r="AA296" s="248"/>
      <c r="AB296" s="340">
        <f t="shared" si="87"/>
        <v>4133600</v>
      </c>
      <c r="AC296" s="347"/>
      <c r="AD296" s="249"/>
      <c r="AE296" s="435">
        <f t="shared" si="91"/>
        <v>8562240</v>
      </c>
      <c r="AF296" s="342">
        <f t="shared" si="93"/>
        <v>12695840</v>
      </c>
      <c r="AG296" s="251">
        <f t="shared" si="90"/>
        <v>7927999.9999999991</v>
      </c>
      <c r="AH296" s="241"/>
      <c r="AI296" s="241"/>
      <c r="AJ296" s="241"/>
      <c r="AK296" s="194"/>
      <c r="AL296" s="195"/>
      <c r="AM296" s="195"/>
    </row>
    <row r="297" spans="2:39">
      <c r="B297" s="593">
        <v>13</v>
      </c>
      <c r="C297" s="244"/>
      <c r="D297" s="612">
        <v>45447</v>
      </c>
      <c r="E297" s="466">
        <v>106323840820</v>
      </c>
      <c r="F297" s="612">
        <v>45446</v>
      </c>
      <c r="G297" s="391" t="s">
        <v>2658</v>
      </c>
      <c r="H297" s="230" t="s">
        <v>206</v>
      </c>
      <c r="I297" s="230">
        <v>1</v>
      </c>
      <c r="J297" s="230"/>
      <c r="K297" s="230"/>
      <c r="L297" s="228"/>
      <c r="M297" s="257"/>
      <c r="N297" s="228" t="s">
        <v>2650</v>
      </c>
      <c r="O297" s="228" t="s">
        <v>2651</v>
      </c>
      <c r="P297" s="245"/>
      <c r="Q297" s="2368"/>
      <c r="R297" s="2368"/>
      <c r="S297" s="254"/>
      <c r="T297" s="228"/>
      <c r="U297" s="2357"/>
      <c r="V297" s="256"/>
      <c r="W297" s="324">
        <v>432000</v>
      </c>
      <c r="X297" s="373">
        <v>900000</v>
      </c>
      <c r="Y297" s="248"/>
      <c r="Z297" s="247"/>
      <c r="AA297" s="248"/>
      <c r="AB297" s="340">
        <f t="shared" si="87"/>
        <v>1332000</v>
      </c>
      <c r="AC297" s="347">
        <f t="shared" si="92"/>
        <v>0</v>
      </c>
      <c r="AD297" s="249"/>
      <c r="AE297" s="435">
        <f t="shared" si="91"/>
        <v>4173120.0000000005</v>
      </c>
      <c r="AF297" s="342">
        <f t="shared" si="93"/>
        <v>5505120</v>
      </c>
      <c r="AG297" s="251">
        <f t="shared" si="90"/>
        <v>3864000</v>
      </c>
      <c r="AH297" s="241"/>
      <c r="AI297" s="241"/>
      <c r="AJ297" s="241"/>
      <c r="AK297" s="194"/>
      <c r="AL297" s="195"/>
      <c r="AM297" s="195"/>
    </row>
    <row r="298" spans="2:39">
      <c r="B298" s="593">
        <v>14</v>
      </c>
      <c r="C298" s="244"/>
      <c r="D298" s="612"/>
      <c r="E298" s="474">
        <v>306475863320</v>
      </c>
      <c r="F298" s="612">
        <v>45447</v>
      </c>
      <c r="G298" s="391" t="s">
        <v>2671</v>
      </c>
      <c r="H298" s="230"/>
      <c r="I298" s="230"/>
      <c r="J298" s="230">
        <v>1</v>
      </c>
      <c r="K298" s="230"/>
      <c r="L298" s="228"/>
      <c r="M298" s="257"/>
      <c r="N298" s="228" t="s">
        <v>2645</v>
      </c>
      <c r="O298" s="228" t="s">
        <v>2670</v>
      </c>
      <c r="P298" s="245"/>
      <c r="Q298" s="2368"/>
      <c r="R298" s="2368"/>
      <c r="S298" s="254"/>
      <c r="T298" s="228"/>
      <c r="U298" s="2357"/>
      <c r="V298" s="256"/>
      <c r="W298" s="373">
        <v>1425000</v>
      </c>
      <c r="X298" s="373">
        <v>766800</v>
      </c>
      <c r="Y298" s="248"/>
      <c r="Z298" s="247"/>
      <c r="AA298" s="248"/>
      <c r="AB298" s="340">
        <f t="shared" si="87"/>
        <v>2191800</v>
      </c>
      <c r="AC298" s="347">
        <f>+Z298</f>
        <v>0</v>
      </c>
      <c r="AD298" s="249"/>
      <c r="AE298" s="435">
        <f t="shared" si="91"/>
        <v>4281120</v>
      </c>
      <c r="AF298" s="342">
        <f t="shared" si="93"/>
        <v>6472920</v>
      </c>
      <c r="AG298" s="251">
        <f t="shared" si="90"/>
        <v>3963999.9999999995</v>
      </c>
      <c r="AH298" s="241"/>
      <c r="AI298" s="241"/>
      <c r="AJ298" s="241"/>
      <c r="AK298" s="194"/>
      <c r="AL298" s="195"/>
      <c r="AM298" s="195"/>
    </row>
    <row r="299" spans="2:39">
      <c r="B299" s="593">
        <v>15</v>
      </c>
      <c r="C299" s="244"/>
      <c r="D299" s="612"/>
      <c r="E299" s="474">
        <v>306477226220</v>
      </c>
      <c r="F299" s="612">
        <v>45448</v>
      </c>
      <c r="G299" s="391" t="s">
        <v>2676</v>
      </c>
      <c r="H299" s="230"/>
      <c r="I299" s="230"/>
      <c r="J299" s="230">
        <v>1</v>
      </c>
      <c r="K299" s="230"/>
      <c r="L299" s="228"/>
      <c r="M299" s="257"/>
      <c r="N299" s="228" t="s">
        <v>2665</v>
      </c>
      <c r="O299" s="228" t="s">
        <v>2672</v>
      </c>
      <c r="P299" s="245"/>
      <c r="Q299" s="2368"/>
      <c r="R299" s="2368"/>
      <c r="S299" s="254"/>
      <c r="T299" s="228"/>
      <c r="U299" s="2357"/>
      <c r="V299" s="256"/>
      <c r="W299" s="373">
        <v>1300000</v>
      </c>
      <c r="X299" s="373">
        <v>766800</v>
      </c>
      <c r="Y299" s="248"/>
      <c r="Z299" s="247"/>
      <c r="AA299" s="248"/>
      <c r="AB299" s="340">
        <f t="shared" si="87"/>
        <v>2066800</v>
      </c>
      <c r="AC299" s="347">
        <f t="shared" si="92"/>
        <v>0</v>
      </c>
      <c r="AD299" s="249"/>
      <c r="AE299" s="435">
        <f t="shared" si="91"/>
        <v>4281120</v>
      </c>
      <c r="AF299" s="342">
        <f t="shared" si="93"/>
        <v>6347920</v>
      </c>
      <c r="AG299" s="251">
        <f t="shared" si="90"/>
        <v>3963999.9999999995</v>
      </c>
      <c r="AH299" s="241"/>
      <c r="AI299" s="241"/>
      <c r="AJ299" s="241"/>
      <c r="AK299" s="194"/>
      <c r="AL299" s="195"/>
      <c r="AM299" s="195"/>
    </row>
    <row r="300" spans="2:39">
      <c r="B300" s="593">
        <v>16</v>
      </c>
      <c r="C300" s="244"/>
      <c r="D300" s="289" t="s">
        <v>2683</v>
      </c>
      <c r="E300" s="474">
        <v>306491335160</v>
      </c>
      <c r="F300" s="640" t="s">
        <v>2683</v>
      </c>
      <c r="G300" s="391" t="s">
        <v>2702</v>
      </c>
      <c r="H300" s="230" t="s">
        <v>210</v>
      </c>
      <c r="I300" s="230"/>
      <c r="J300" s="230">
        <v>1</v>
      </c>
      <c r="K300" s="230"/>
      <c r="L300" s="228"/>
      <c r="M300" s="257"/>
      <c r="N300" s="228" t="s">
        <v>2684</v>
      </c>
      <c r="O300" s="228" t="s">
        <v>2693</v>
      </c>
      <c r="P300" s="245"/>
      <c r="Q300" s="2368"/>
      <c r="R300" s="2368"/>
      <c r="S300" s="254"/>
      <c r="T300" s="228"/>
      <c r="U300" s="2357"/>
      <c r="V300" s="256"/>
      <c r="W300" s="373">
        <v>1450000</v>
      </c>
      <c r="X300" s="373">
        <v>766800</v>
      </c>
      <c r="Y300" s="248"/>
      <c r="Z300" s="247"/>
      <c r="AA300" s="248"/>
      <c r="AB300" s="340">
        <f t="shared" si="87"/>
        <v>2216800</v>
      </c>
      <c r="AC300" s="347">
        <f t="shared" si="92"/>
        <v>0</v>
      </c>
      <c r="AD300" s="249"/>
      <c r="AE300" s="435">
        <f t="shared" si="91"/>
        <v>4281120</v>
      </c>
      <c r="AF300" s="342">
        <f t="shared" si="93"/>
        <v>6497920</v>
      </c>
      <c r="AG300" s="251">
        <f t="shared" si="90"/>
        <v>3963999.9999999995</v>
      </c>
      <c r="AH300" s="241"/>
      <c r="AI300" s="241"/>
      <c r="AJ300" s="241"/>
      <c r="AK300" s="194"/>
      <c r="AL300" s="195"/>
      <c r="AM300" s="195"/>
    </row>
    <row r="301" spans="2:39">
      <c r="B301" s="593">
        <v>17</v>
      </c>
      <c r="C301" s="244"/>
      <c r="D301" s="289" t="s">
        <v>2685</v>
      </c>
      <c r="E301" s="474">
        <v>306497248760</v>
      </c>
      <c r="F301" s="640" t="s">
        <v>2685</v>
      </c>
      <c r="G301" s="391" t="s">
        <v>2709</v>
      </c>
      <c r="H301" s="230" t="s">
        <v>210</v>
      </c>
      <c r="I301" s="230"/>
      <c r="J301" s="230">
        <v>1</v>
      </c>
      <c r="K301" s="230"/>
      <c r="L301" s="228"/>
      <c r="M301" s="257"/>
      <c r="N301" s="228" t="s">
        <v>2686</v>
      </c>
      <c r="O301" s="228" t="s">
        <v>2703</v>
      </c>
      <c r="P301" s="245"/>
      <c r="Q301" s="2368"/>
      <c r="R301" s="2368"/>
      <c r="S301" s="254"/>
      <c r="T301" s="228"/>
      <c r="U301" s="2357"/>
      <c r="V301" s="256"/>
      <c r="W301" s="373">
        <v>1450000</v>
      </c>
      <c r="X301" s="373">
        <v>766800</v>
      </c>
      <c r="Y301" s="248"/>
      <c r="Z301" s="247"/>
      <c r="AA301" s="248"/>
      <c r="AB301" s="340">
        <f t="shared" si="87"/>
        <v>2216800</v>
      </c>
      <c r="AC301" s="347">
        <f t="shared" si="92"/>
        <v>0</v>
      </c>
      <c r="AD301" s="249"/>
      <c r="AE301" s="435">
        <f t="shared" si="91"/>
        <v>4281120</v>
      </c>
      <c r="AF301" s="342">
        <f t="shared" si="93"/>
        <v>6497920</v>
      </c>
      <c r="AG301" s="251">
        <f t="shared" si="90"/>
        <v>3963999.9999999995</v>
      </c>
      <c r="AH301" s="241"/>
      <c r="AI301" s="241"/>
      <c r="AJ301" s="241"/>
      <c r="AK301" s="194"/>
      <c r="AL301" s="195"/>
      <c r="AM301" s="195"/>
    </row>
    <row r="302" spans="2:39">
      <c r="B302" s="593">
        <v>18</v>
      </c>
      <c r="C302" s="244"/>
      <c r="D302" s="289" t="s">
        <v>2685</v>
      </c>
      <c r="E302" s="474">
        <v>306497506730</v>
      </c>
      <c r="F302" s="640" t="s">
        <v>2685</v>
      </c>
      <c r="G302" s="391" t="s">
        <v>2710</v>
      </c>
      <c r="H302" s="230" t="s">
        <v>210</v>
      </c>
      <c r="I302" s="230"/>
      <c r="J302" s="230">
        <v>1</v>
      </c>
      <c r="K302" s="230"/>
      <c r="L302" s="228"/>
      <c r="M302" s="257"/>
      <c r="N302" s="228" t="s">
        <v>2694</v>
      </c>
      <c r="O302" s="228" t="s">
        <v>2704</v>
      </c>
      <c r="P302" s="245"/>
      <c r="Q302" s="2368"/>
      <c r="R302" s="2368"/>
      <c r="S302" s="254"/>
      <c r="T302" s="228"/>
      <c r="U302" s="2357"/>
      <c r="V302" s="256"/>
      <c r="W302" s="373">
        <v>1160000</v>
      </c>
      <c r="X302" s="373">
        <v>766800</v>
      </c>
      <c r="Y302" s="248"/>
      <c r="Z302" s="247"/>
      <c r="AA302" s="248"/>
      <c r="AB302" s="340">
        <f t="shared" si="87"/>
        <v>1926800</v>
      </c>
      <c r="AC302" s="347">
        <f t="shared" ref="AC302:AC311" si="94">+Z302</f>
        <v>0</v>
      </c>
      <c r="AD302" s="249"/>
      <c r="AE302" s="435">
        <f t="shared" si="91"/>
        <v>4281120</v>
      </c>
      <c r="AF302" s="342">
        <f t="shared" ref="AF302:AF311" si="95">+AB302+AE302</f>
        <v>6207920</v>
      </c>
      <c r="AG302" s="251">
        <f t="shared" si="90"/>
        <v>3963999.9999999995</v>
      </c>
      <c r="AH302" s="241"/>
      <c r="AI302" s="241"/>
      <c r="AJ302" s="241"/>
      <c r="AK302" s="194"/>
      <c r="AL302" s="195"/>
      <c r="AM302" s="195"/>
    </row>
    <row r="303" spans="2:39">
      <c r="B303" s="593">
        <v>19</v>
      </c>
      <c r="C303" s="244"/>
      <c r="D303" s="289" t="s">
        <v>2688</v>
      </c>
      <c r="E303" s="466">
        <v>106340806721</v>
      </c>
      <c r="F303" s="640" t="s">
        <v>2699</v>
      </c>
      <c r="G303" s="391" t="s">
        <v>2711</v>
      </c>
      <c r="H303" s="230" t="s">
        <v>206</v>
      </c>
      <c r="I303" s="230"/>
      <c r="J303" s="230">
        <v>1</v>
      </c>
      <c r="K303" s="230"/>
      <c r="L303" s="228"/>
      <c r="M303" s="257"/>
      <c r="N303" s="228" t="s">
        <v>2700</v>
      </c>
      <c r="O303" s="228" t="s">
        <v>2701</v>
      </c>
      <c r="P303" s="245"/>
      <c r="Q303" s="2368"/>
      <c r="R303" s="2368"/>
      <c r="S303" s="254"/>
      <c r="T303" s="228"/>
      <c r="U303" s="2357"/>
      <c r="V303" s="324">
        <v>183600</v>
      </c>
      <c r="W303" s="324">
        <v>1128600</v>
      </c>
      <c r="X303" s="373">
        <v>1450000</v>
      </c>
      <c r="Y303" s="248"/>
      <c r="Z303" s="247"/>
      <c r="AA303" s="248"/>
      <c r="AB303" s="340">
        <f t="shared" si="87"/>
        <v>2762200</v>
      </c>
      <c r="AC303" s="347">
        <f t="shared" si="94"/>
        <v>0</v>
      </c>
      <c r="AD303" s="249"/>
      <c r="AE303" s="435">
        <f t="shared" si="91"/>
        <v>4281120</v>
      </c>
      <c r="AF303" s="342">
        <f t="shared" si="95"/>
        <v>7043320</v>
      </c>
      <c r="AG303" s="251">
        <f t="shared" si="90"/>
        <v>3963999.9999999995</v>
      </c>
      <c r="AH303" s="241"/>
      <c r="AI303" s="241"/>
      <c r="AJ303" s="241"/>
      <c r="AK303" s="194"/>
      <c r="AL303" s="195"/>
      <c r="AM303" s="195"/>
    </row>
    <row r="304" spans="2:39" ht="46.8">
      <c r="B304" s="253">
        <v>20</v>
      </c>
      <c r="C304" s="244"/>
      <c r="D304" s="587" t="s">
        <v>2698</v>
      </c>
      <c r="E304" s="528">
        <v>106357437800</v>
      </c>
      <c r="F304" s="640" t="s">
        <v>2716</v>
      </c>
      <c r="G304" s="391" t="s">
        <v>2724</v>
      </c>
      <c r="H304" s="230" t="s">
        <v>206</v>
      </c>
      <c r="I304" s="230"/>
      <c r="J304" s="230">
        <v>3</v>
      </c>
      <c r="K304" s="230"/>
      <c r="L304" s="228"/>
      <c r="M304" s="257"/>
      <c r="N304" s="228" t="s">
        <v>2715</v>
      </c>
      <c r="O304" s="254" t="s">
        <v>2788</v>
      </c>
      <c r="P304" s="245"/>
      <c r="Q304" s="2368"/>
      <c r="R304" s="2368"/>
      <c r="S304" s="254"/>
      <c r="T304" s="228"/>
      <c r="U304" s="2357"/>
      <c r="V304" s="256"/>
      <c r="W304" s="324">
        <v>3385800</v>
      </c>
      <c r="X304" s="373">
        <f>1450000+1450000+1450000</f>
        <v>4350000</v>
      </c>
      <c r="Y304" s="248"/>
      <c r="Z304" s="247"/>
      <c r="AA304" s="248"/>
      <c r="AB304" s="340">
        <f t="shared" si="87"/>
        <v>7735800</v>
      </c>
      <c r="AC304" s="347">
        <f t="shared" si="94"/>
        <v>0</v>
      </c>
      <c r="AD304" s="249"/>
      <c r="AE304" s="435">
        <f t="shared" si="91"/>
        <v>12843360</v>
      </c>
      <c r="AF304" s="342">
        <f t="shared" si="95"/>
        <v>20579160</v>
      </c>
      <c r="AG304" s="251">
        <f t="shared" si="90"/>
        <v>11892000</v>
      </c>
      <c r="AH304" s="241"/>
      <c r="AI304" s="241"/>
      <c r="AJ304" s="241"/>
      <c r="AK304" s="194"/>
      <c r="AL304" s="195"/>
      <c r="AM304" s="195"/>
    </row>
    <row r="305" spans="2:39">
      <c r="B305" s="253">
        <v>21</v>
      </c>
      <c r="C305" s="244"/>
      <c r="D305" s="587" t="s">
        <v>2698</v>
      </c>
      <c r="E305" s="529">
        <v>306509501230</v>
      </c>
      <c r="F305" s="612" t="s">
        <v>2698</v>
      </c>
      <c r="G305" s="391" t="s">
        <v>2733</v>
      </c>
      <c r="H305" s="230" t="s">
        <v>210</v>
      </c>
      <c r="I305" s="230"/>
      <c r="J305" s="230">
        <v>1</v>
      </c>
      <c r="K305" s="230"/>
      <c r="L305" s="228"/>
      <c r="M305" s="257"/>
      <c r="N305" s="228" t="s">
        <v>2687</v>
      </c>
      <c r="O305" s="228" t="s">
        <v>2732</v>
      </c>
      <c r="P305" s="245"/>
      <c r="Q305" s="2368"/>
      <c r="R305" s="2368"/>
      <c r="S305" s="254"/>
      <c r="T305" s="228"/>
      <c r="U305" s="2357"/>
      <c r="V305" s="256"/>
      <c r="W305" s="373">
        <v>766800</v>
      </c>
      <c r="X305" s="248"/>
      <c r="Y305" s="248"/>
      <c r="Z305" s="247"/>
      <c r="AA305" s="248"/>
      <c r="AB305" s="340">
        <f t="shared" si="87"/>
        <v>766800</v>
      </c>
      <c r="AC305" s="347">
        <f>+Z305</f>
        <v>0</v>
      </c>
      <c r="AD305" s="642" t="s">
        <v>2747</v>
      </c>
      <c r="AE305" s="435">
        <f>+(I305*3714000+J305*(3714000+100000))*1.08+((I305+J305+K305)*150000)*1.08-(1428000*1.08)</f>
        <v>2738880</v>
      </c>
      <c r="AF305" s="342">
        <f>+AB305+AE305</f>
        <v>3505680</v>
      </c>
      <c r="AG305" s="251">
        <f>+AE305/1.08</f>
        <v>2536000</v>
      </c>
      <c r="AH305" s="241"/>
      <c r="AI305" s="241"/>
      <c r="AJ305" s="241"/>
      <c r="AK305" s="194"/>
      <c r="AL305" s="195"/>
      <c r="AM305" s="195"/>
    </row>
    <row r="306" spans="2:39" ht="31.2">
      <c r="B306" s="253">
        <v>22</v>
      </c>
      <c r="C306" s="244"/>
      <c r="D306" s="587" t="s">
        <v>2726</v>
      </c>
      <c r="E306" s="547" t="s">
        <v>2728</v>
      </c>
      <c r="F306" s="640" t="s">
        <v>2716</v>
      </c>
      <c r="G306" s="391" t="s">
        <v>2743</v>
      </c>
      <c r="H306" s="230" t="s">
        <v>206</v>
      </c>
      <c r="I306" s="230">
        <v>1</v>
      </c>
      <c r="J306" s="230"/>
      <c r="K306" s="230"/>
      <c r="L306" s="228"/>
      <c r="M306" s="257"/>
      <c r="N306" s="254" t="s">
        <v>2727</v>
      </c>
      <c r="O306" s="228" t="s">
        <v>2725</v>
      </c>
      <c r="P306" s="245"/>
      <c r="Q306" s="2368"/>
      <c r="R306" s="2368"/>
      <c r="S306" s="254"/>
      <c r="T306" s="228"/>
      <c r="U306" s="2357"/>
      <c r="V306" s="256"/>
      <c r="W306" s="324">
        <v>662040</v>
      </c>
      <c r="X306" s="373">
        <v>900000</v>
      </c>
      <c r="Y306" s="248"/>
      <c r="Z306" s="247"/>
      <c r="AA306" s="248"/>
      <c r="AB306" s="340">
        <f t="shared" si="87"/>
        <v>1562040</v>
      </c>
      <c r="AC306" s="347">
        <f t="shared" si="94"/>
        <v>0</v>
      </c>
      <c r="AD306" s="249"/>
      <c r="AE306" s="435">
        <f t="shared" ref="AE306:AE312" si="96">+(I306*3714000+J306*(3714000+100000))*1.08+((I306+J306+K306)*150000)*1.08</f>
        <v>4173120.0000000005</v>
      </c>
      <c r="AF306" s="342">
        <f t="shared" si="95"/>
        <v>5735160</v>
      </c>
      <c r="AG306" s="251">
        <f t="shared" si="90"/>
        <v>3864000</v>
      </c>
      <c r="AH306" s="241"/>
      <c r="AI306" s="241"/>
      <c r="AJ306" s="241"/>
      <c r="AK306" s="194"/>
      <c r="AL306" s="195"/>
      <c r="AM306" s="195"/>
    </row>
    <row r="307" spans="2:39">
      <c r="B307" s="253">
        <v>23</v>
      </c>
      <c r="C307" s="244"/>
      <c r="D307" s="587" t="s">
        <v>2726</v>
      </c>
      <c r="E307" s="529">
        <v>306516955420</v>
      </c>
      <c r="F307" s="612" t="s">
        <v>2726</v>
      </c>
      <c r="G307" s="391" t="s">
        <v>2742</v>
      </c>
      <c r="H307" s="230" t="s">
        <v>210</v>
      </c>
      <c r="I307" s="230"/>
      <c r="J307" s="230">
        <v>1</v>
      </c>
      <c r="K307" s="230"/>
      <c r="L307" s="228"/>
      <c r="M307" s="257"/>
      <c r="N307" s="228">
        <v>20258225</v>
      </c>
      <c r="O307" s="228" t="s">
        <v>2741</v>
      </c>
      <c r="P307" s="245"/>
      <c r="Q307" s="2368"/>
      <c r="R307" s="2368"/>
      <c r="S307" s="254"/>
      <c r="T307" s="228"/>
      <c r="U307" s="2357"/>
      <c r="V307" s="256"/>
      <c r="W307" s="373">
        <v>1140000</v>
      </c>
      <c r="X307" s="248"/>
      <c r="Y307" s="248"/>
      <c r="Z307" s="247"/>
      <c r="AA307" s="248"/>
      <c r="AB307" s="340">
        <f t="shared" si="87"/>
        <v>1140000</v>
      </c>
      <c r="AC307" s="347">
        <f t="shared" si="94"/>
        <v>0</v>
      </c>
      <c r="AD307" s="249"/>
      <c r="AE307" s="435">
        <f t="shared" si="96"/>
        <v>4281120</v>
      </c>
      <c r="AF307" s="342">
        <f t="shared" si="95"/>
        <v>5421120</v>
      </c>
      <c r="AG307" s="251">
        <f t="shared" si="90"/>
        <v>3963999.9999999995</v>
      </c>
      <c r="AH307" s="241"/>
      <c r="AI307" s="241"/>
      <c r="AJ307" s="241"/>
      <c r="AK307" s="194"/>
      <c r="AL307" s="195"/>
      <c r="AM307" s="195"/>
    </row>
    <row r="308" spans="2:39">
      <c r="B308" s="253">
        <v>24</v>
      </c>
      <c r="C308" s="244"/>
      <c r="D308" s="587" t="s">
        <v>2744</v>
      </c>
      <c r="E308" s="466">
        <v>106366848710</v>
      </c>
      <c r="F308" s="612" t="s">
        <v>2726</v>
      </c>
      <c r="G308" s="391" t="s">
        <v>2748</v>
      </c>
      <c r="H308" s="230" t="s">
        <v>206</v>
      </c>
      <c r="I308" s="230">
        <v>1</v>
      </c>
      <c r="J308" s="230"/>
      <c r="K308" s="230"/>
      <c r="L308" s="228"/>
      <c r="M308" s="257"/>
      <c r="N308" s="228" t="s">
        <v>2745</v>
      </c>
      <c r="O308" s="228" t="s">
        <v>2746</v>
      </c>
      <c r="P308" s="245"/>
      <c r="Q308" s="2368"/>
      <c r="R308" s="2368"/>
      <c r="S308" s="254"/>
      <c r="T308" s="228"/>
      <c r="U308" s="2357"/>
      <c r="V308" s="256"/>
      <c r="W308" s="324">
        <v>432000</v>
      </c>
      <c r="X308" s="373">
        <v>900000</v>
      </c>
      <c r="Y308" s="248"/>
      <c r="Z308" s="247"/>
      <c r="AA308" s="248"/>
      <c r="AB308" s="340">
        <f t="shared" si="87"/>
        <v>1332000</v>
      </c>
      <c r="AC308" s="347">
        <f t="shared" si="94"/>
        <v>0</v>
      </c>
      <c r="AD308" s="249"/>
      <c r="AE308" s="435">
        <f t="shared" si="96"/>
        <v>4173120.0000000005</v>
      </c>
      <c r="AF308" s="342">
        <f t="shared" si="95"/>
        <v>5505120</v>
      </c>
      <c r="AG308" s="251">
        <f t="shared" si="90"/>
        <v>3864000</v>
      </c>
      <c r="AH308" s="241"/>
      <c r="AI308" s="241"/>
      <c r="AJ308" s="241"/>
      <c r="AK308" s="194"/>
      <c r="AL308" s="195"/>
      <c r="AM308" s="195"/>
    </row>
    <row r="309" spans="2:39">
      <c r="B309" s="253">
        <v>25</v>
      </c>
      <c r="C309" s="244"/>
      <c r="D309" s="587" t="s">
        <v>2750</v>
      </c>
      <c r="E309" s="529">
        <v>306523105620</v>
      </c>
      <c r="F309" s="612" t="s">
        <v>2750</v>
      </c>
      <c r="G309" s="391" t="s">
        <v>2758</v>
      </c>
      <c r="H309" s="230" t="s">
        <v>210</v>
      </c>
      <c r="I309" s="230"/>
      <c r="J309" s="230">
        <v>1</v>
      </c>
      <c r="K309" s="230"/>
      <c r="L309" s="228"/>
      <c r="M309" s="257"/>
      <c r="N309" s="228" t="s">
        <v>2749</v>
      </c>
      <c r="O309" s="228" t="s">
        <v>2757</v>
      </c>
      <c r="P309" s="245" t="s">
        <v>2761</v>
      </c>
      <c r="Q309" s="2368"/>
      <c r="R309" s="3197" t="s">
        <v>2760</v>
      </c>
      <c r="S309" s="2357"/>
      <c r="T309" s="2364"/>
      <c r="U309" s="2357"/>
      <c r="V309" s="256"/>
      <c r="W309" s="373">
        <v>1300000</v>
      </c>
      <c r="X309" s="248"/>
      <c r="Y309" s="248"/>
      <c r="Z309" s="247"/>
      <c r="AA309" s="248"/>
      <c r="AB309" s="340">
        <f t="shared" si="87"/>
        <v>1300000</v>
      </c>
      <c r="AC309" s="347">
        <f t="shared" si="94"/>
        <v>0</v>
      </c>
      <c r="AD309" s="249"/>
      <c r="AE309" s="435">
        <f t="shared" si="96"/>
        <v>4281120</v>
      </c>
      <c r="AF309" s="342">
        <f t="shared" si="95"/>
        <v>5581120</v>
      </c>
      <c r="AG309" s="251">
        <f t="shared" si="90"/>
        <v>3963999.9999999995</v>
      </c>
      <c r="AH309" s="241"/>
      <c r="AI309" s="241"/>
      <c r="AJ309" s="241"/>
      <c r="AK309" s="194"/>
      <c r="AL309" s="195"/>
      <c r="AM309" s="195"/>
    </row>
    <row r="310" spans="2:39" ht="31.2">
      <c r="B310" s="253">
        <v>26</v>
      </c>
      <c r="C310" s="244"/>
      <c r="D310" s="587" t="s">
        <v>2752</v>
      </c>
      <c r="E310" s="529">
        <v>306527051740</v>
      </c>
      <c r="F310" s="612" t="s">
        <v>2752</v>
      </c>
      <c r="G310" s="391" t="s">
        <v>2764</v>
      </c>
      <c r="H310" s="230" t="s">
        <v>210</v>
      </c>
      <c r="I310" s="230"/>
      <c r="J310" s="230">
        <v>2</v>
      </c>
      <c r="K310" s="230"/>
      <c r="L310" s="228"/>
      <c r="M310" s="257"/>
      <c r="N310" s="228" t="s">
        <v>2751</v>
      </c>
      <c r="O310" s="254" t="s">
        <v>2768</v>
      </c>
      <c r="P310" s="245" t="s">
        <v>2762</v>
      </c>
      <c r="Q310" s="2368"/>
      <c r="R310" s="3197" t="s">
        <v>2760</v>
      </c>
      <c r="S310" s="2357"/>
      <c r="T310" s="2364"/>
      <c r="U310" s="2357"/>
      <c r="V310" s="256"/>
      <c r="W310" s="373">
        <v>1300000</v>
      </c>
      <c r="X310" s="248"/>
      <c r="Y310" s="248"/>
      <c r="Z310" s="247"/>
      <c r="AA310" s="248"/>
      <c r="AB310" s="340">
        <f t="shared" si="87"/>
        <v>1300000</v>
      </c>
      <c r="AC310" s="347">
        <f t="shared" si="94"/>
        <v>0</v>
      </c>
      <c r="AD310" s="249"/>
      <c r="AE310" s="435">
        <f t="shared" si="96"/>
        <v>8562240</v>
      </c>
      <c r="AF310" s="342">
        <f t="shared" si="95"/>
        <v>9862240</v>
      </c>
      <c r="AG310" s="251">
        <f t="shared" si="90"/>
        <v>7927999.9999999991</v>
      </c>
      <c r="AH310" s="241"/>
      <c r="AI310" s="241"/>
      <c r="AJ310" s="241"/>
      <c r="AK310" s="194"/>
      <c r="AL310" s="195"/>
      <c r="AM310" s="195"/>
    </row>
    <row r="311" spans="2:39">
      <c r="B311" s="253">
        <v>27</v>
      </c>
      <c r="C311" s="244"/>
      <c r="D311" s="587" t="s">
        <v>2752</v>
      </c>
      <c r="E311" s="529">
        <v>306526863110</v>
      </c>
      <c r="F311" s="612" t="s">
        <v>2752</v>
      </c>
      <c r="G311" s="391" t="s">
        <v>2765</v>
      </c>
      <c r="H311" s="230" t="s">
        <v>210</v>
      </c>
      <c r="I311" s="230">
        <v>1</v>
      </c>
      <c r="J311" s="230"/>
      <c r="K311" s="230"/>
      <c r="L311" s="228"/>
      <c r="M311" s="257"/>
      <c r="N311" s="228">
        <v>8896889080</v>
      </c>
      <c r="O311" s="228" t="s">
        <v>2766</v>
      </c>
      <c r="P311" s="245" t="s">
        <v>2763</v>
      </c>
      <c r="Q311" s="2368"/>
      <c r="R311" s="3197" t="s">
        <v>2760</v>
      </c>
      <c r="S311" s="2357"/>
      <c r="T311" s="2364"/>
      <c r="U311" s="2357"/>
      <c r="V311" s="256"/>
      <c r="W311" s="373">
        <v>900000</v>
      </c>
      <c r="X311" s="248"/>
      <c r="Y311" s="248"/>
      <c r="Z311" s="247"/>
      <c r="AA311" s="248"/>
      <c r="AB311" s="340">
        <f t="shared" si="87"/>
        <v>900000</v>
      </c>
      <c r="AC311" s="347">
        <f t="shared" si="94"/>
        <v>0</v>
      </c>
      <c r="AD311" s="249"/>
      <c r="AE311" s="435">
        <f t="shared" si="96"/>
        <v>4173120.0000000005</v>
      </c>
      <c r="AF311" s="342">
        <f t="shared" si="95"/>
        <v>5073120</v>
      </c>
      <c r="AG311" s="251">
        <f t="shared" si="90"/>
        <v>3864000</v>
      </c>
      <c r="AH311" s="241"/>
      <c r="AI311" s="241"/>
      <c r="AJ311" s="241"/>
      <c r="AK311" s="194"/>
      <c r="AL311" s="195"/>
      <c r="AM311" s="195"/>
    </row>
    <row r="312" spans="2:39">
      <c r="B312" s="253">
        <v>28</v>
      </c>
      <c r="C312" s="244"/>
      <c r="D312" s="587" t="s">
        <v>2753</v>
      </c>
      <c r="E312" s="529">
        <v>306529718150</v>
      </c>
      <c r="F312" s="612" t="s">
        <v>2753</v>
      </c>
      <c r="G312" s="391" t="s">
        <v>2771</v>
      </c>
      <c r="H312" s="230" t="s">
        <v>210</v>
      </c>
      <c r="I312" s="230">
        <v>1</v>
      </c>
      <c r="J312" s="230"/>
      <c r="K312" s="230"/>
      <c r="L312" s="228"/>
      <c r="M312" s="257"/>
      <c r="N312" s="228">
        <v>6388220870</v>
      </c>
      <c r="O312" s="228" t="s">
        <v>2770</v>
      </c>
      <c r="P312" s="245" t="s">
        <v>2763</v>
      </c>
      <c r="Q312" s="2368"/>
      <c r="R312" s="3197" t="s">
        <v>2760</v>
      </c>
      <c r="S312" s="2357"/>
      <c r="T312" s="2364"/>
      <c r="U312" s="2357"/>
      <c r="V312" s="256"/>
      <c r="W312" s="248"/>
      <c r="X312" s="373">
        <v>900000</v>
      </c>
      <c r="Y312" s="248"/>
      <c r="Z312" s="247"/>
      <c r="AA312" s="248"/>
      <c r="AB312" s="340">
        <f t="shared" si="87"/>
        <v>900000</v>
      </c>
      <c r="AC312" s="347">
        <f>+Z312</f>
        <v>0</v>
      </c>
      <c r="AD312" s="249"/>
      <c r="AE312" s="435">
        <f t="shared" si="96"/>
        <v>4173120.0000000005</v>
      </c>
      <c r="AF312" s="342">
        <f>+AB312+AE312</f>
        <v>5073120</v>
      </c>
      <c r="AG312" s="251">
        <f>+AE312/1.08</f>
        <v>3864000</v>
      </c>
      <c r="AH312" s="241"/>
      <c r="AI312" s="241"/>
      <c r="AJ312" s="241"/>
      <c r="AK312" s="194"/>
      <c r="AL312" s="195"/>
      <c r="AM312" s="195"/>
    </row>
    <row r="313" spans="2:39">
      <c r="B313" s="3405" t="s">
        <v>2756</v>
      </c>
      <c r="C313" s="3312"/>
      <c r="D313" s="3312"/>
      <c r="E313" s="3312"/>
      <c r="F313" s="3312"/>
      <c r="G313" s="3312"/>
      <c r="H313" s="3312"/>
      <c r="I313" s="3312"/>
      <c r="J313" s="3312"/>
      <c r="K313" s="3312"/>
      <c r="L313" s="3312"/>
      <c r="M313" s="346"/>
      <c r="N313" s="346"/>
      <c r="O313" s="346"/>
      <c r="P313" s="346"/>
      <c r="Q313" s="346"/>
      <c r="R313" s="346"/>
      <c r="S313" s="1607"/>
      <c r="T313" s="346"/>
      <c r="U313" s="346"/>
      <c r="V313" s="590">
        <f>W313+'CHÍNH NGUYÊN'!S123</f>
        <v>10253304</v>
      </c>
      <c r="W313" s="590">
        <f>+V288+W291+W297+V303+W303+W304+W306+W308</f>
        <v>6879404</v>
      </c>
      <c r="X313" s="590"/>
      <c r="Y313" s="357"/>
      <c r="Z313" s="357"/>
      <c r="AA313" s="357"/>
      <c r="AB313" s="358">
        <f>SUM(AB285:AB312)</f>
        <v>61181004</v>
      </c>
      <c r="AC313" s="358">
        <f>SUM(AC290:AC307)</f>
        <v>0</v>
      </c>
      <c r="AD313" s="358">
        <f>SUM(AD288:AD307)</f>
        <v>0</v>
      </c>
      <c r="AE313" s="358">
        <f>SUM(AE285:AE312)</f>
        <v>145661760</v>
      </c>
      <c r="AF313" s="358">
        <f>+AB313+AE313</f>
        <v>206842764</v>
      </c>
      <c r="AG313" s="358">
        <f>SUM(AG285:AG312)</f>
        <v>134872000</v>
      </c>
      <c r="AH313" s="241"/>
      <c r="AI313" s="241"/>
      <c r="AJ313" s="241"/>
      <c r="AK313" s="194"/>
      <c r="AL313" s="195"/>
      <c r="AM313" s="195"/>
    </row>
    <row r="314" spans="2:39">
      <c r="B314" s="253">
        <v>1</v>
      </c>
      <c r="C314" s="244"/>
      <c r="D314" s="654" t="s">
        <v>2783</v>
      </c>
      <c r="E314" s="474">
        <v>306546255320</v>
      </c>
      <c r="F314" s="612">
        <v>45475</v>
      </c>
      <c r="G314" s="391" t="s">
        <v>2818</v>
      </c>
      <c r="H314" s="230" t="s">
        <v>210</v>
      </c>
      <c r="I314" s="230"/>
      <c r="J314" s="230">
        <v>1</v>
      </c>
      <c r="K314" s="230"/>
      <c r="L314" s="228"/>
      <c r="M314" s="257"/>
      <c r="N314" s="228">
        <v>13495044</v>
      </c>
      <c r="O314" s="228" t="s">
        <v>2800</v>
      </c>
      <c r="P314" s="245" t="s">
        <v>2786</v>
      </c>
      <c r="Q314" s="2368"/>
      <c r="R314" s="254" t="s">
        <v>2855</v>
      </c>
      <c r="S314" s="2357"/>
      <c r="T314" s="228"/>
      <c r="U314" s="2357"/>
      <c r="V314" s="256"/>
      <c r="W314" s="373">
        <v>1450000</v>
      </c>
      <c r="X314" s="373">
        <v>1140000</v>
      </c>
      <c r="Y314" s="248"/>
      <c r="Z314" s="247"/>
      <c r="AA314" s="248"/>
      <c r="AB314" s="340">
        <f t="shared" ref="AB314:AB324" si="97">V314+W314+X314+Y314+Z314+AA314</f>
        <v>2590000</v>
      </c>
      <c r="AC314" s="347">
        <f>+Z314</f>
        <v>0</v>
      </c>
      <c r="AD314" s="249"/>
      <c r="AE314" s="435">
        <f>+(I314*3778000+J314*(3778000+100000))*1.08+((I314+J314+K314)*150000)*1.08</f>
        <v>4350240</v>
      </c>
      <c r="AF314" s="342">
        <f>+AB314+AE314</f>
        <v>6940240</v>
      </c>
      <c r="AG314" s="251">
        <f>+AE314/1.08</f>
        <v>4027999.9999999995</v>
      </c>
      <c r="AH314" s="241"/>
      <c r="AI314" s="241"/>
      <c r="AJ314" s="241"/>
      <c r="AK314" s="194"/>
      <c r="AL314" s="195"/>
      <c r="AM314" s="195"/>
    </row>
    <row r="315" spans="2:39">
      <c r="B315" s="253">
        <v>2</v>
      </c>
      <c r="C315" s="244"/>
      <c r="D315" s="654" t="s">
        <v>2784</v>
      </c>
      <c r="E315" s="466">
        <v>106393987930</v>
      </c>
      <c r="F315" s="612">
        <v>45474</v>
      </c>
      <c r="G315" s="391" t="s">
        <v>2820</v>
      </c>
      <c r="H315" s="230" t="s">
        <v>206</v>
      </c>
      <c r="I315" s="230"/>
      <c r="J315" s="230"/>
      <c r="K315" s="230">
        <v>1</v>
      </c>
      <c r="L315" s="228"/>
      <c r="M315" s="695" t="s">
        <v>2948</v>
      </c>
      <c r="N315" s="228" t="s">
        <v>2797</v>
      </c>
      <c r="O315" s="689" t="s">
        <v>2889</v>
      </c>
      <c r="P315" s="245" t="s">
        <v>2799</v>
      </c>
      <c r="Q315" s="2368"/>
      <c r="R315" s="254" t="s">
        <v>2798</v>
      </c>
      <c r="S315" s="2357"/>
      <c r="T315" s="228"/>
      <c r="U315" s="2357"/>
      <c r="V315" s="324">
        <v>23564</v>
      </c>
      <c r="W315" s="248"/>
      <c r="X315" s="248"/>
      <c r="Y315" s="248"/>
      <c r="Z315" s="247"/>
      <c r="AA315" s="248"/>
      <c r="AB315" s="340">
        <f t="shared" si="97"/>
        <v>23564</v>
      </c>
      <c r="AC315" s="347">
        <f t="shared" ref="AC315:AC321" si="98">+Z315</f>
        <v>0</v>
      </c>
      <c r="AD315" s="249"/>
      <c r="AE315" s="605">
        <f>+(1368000*1.08+((I315+J315+K315)*150000)*1.08)</f>
        <v>1639440</v>
      </c>
      <c r="AF315" s="342">
        <f t="shared" ref="AF315:AF321" si="99">+AB315+AE315</f>
        <v>1663004</v>
      </c>
      <c r="AG315" s="251">
        <f t="shared" ref="AG315:AG321" si="100">+AE315/1.08</f>
        <v>1518000</v>
      </c>
      <c r="AH315" s="241"/>
      <c r="AI315" s="241"/>
      <c r="AJ315" s="241"/>
      <c r="AK315" s="194"/>
      <c r="AL315" s="195"/>
      <c r="AM315" s="195"/>
    </row>
    <row r="316" spans="2:39">
      <c r="B316" s="253">
        <v>3</v>
      </c>
      <c r="C316" s="244"/>
      <c r="D316" s="654" t="s">
        <v>2784</v>
      </c>
      <c r="E316" s="474">
        <v>306548967930</v>
      </c>
      <c r="F316" s="640" t="s">
        <v>2784</v>
      </c>
      <c r="G316" s="391" t="s">
        <v>2819</v>
      </c>
      <c r="H316" s="230" t="s">
        <v>210</v>
      </c>
      <c r="I316" s="230"/>
      <c r="J316" s="230">
        <v>1</v>
      </c>
      <c r="K316" s="230"/>
      <c r="L316" s="228"/>
      <c r="M316" s="257"/>
      <c r="N316" s="228">
        <v>6388698700</v>
      </c>
      <c r="O316" s="228" t="s">
        <v>2801</v>
      </c>
      <c r="P316" s="245" t="s">
        <v>2787</v>
      </c>
      <c r="Q316" s="2368"/>
      <c r="R316" s="254"/>
      <c r="S316" s="2357"/>
      <c r="T316" s="228"/>
      <c r="U316" s="2357"/>
      <c r="V316" s="256"/>
      <c r="W316" s="373">
        <v>1140000</v>
      </c>
      <c r="X316" s="373">
        <v>1450000</v>
      </c>
      <c r="Y316" s="248"/>
      <c r="Z316" s="247"/>
      <c r="AA316" s="248"/>
      <c r="AB316" s="340">
        <f t="shared" si="97"/>
        <v>2590000</v>
      </c>
      <c r="AC316" s="347">
        <f t="shared" si="98"/>
        <v>0</v>
      </c>
      <c r="AD316" s="249"/>
      <c r="AE316" s="435">
        <f t="shared" ref="AE316:AE324" si="101">+(I316*3778000+J316*(3778000+100000))*1.08+((I316+J316+K316)*150000)*1.08</f>
        <v>4350240</v>
      </c>
      <c r="AF316" s="342">
        <f t="shared" si="99"/>
        <v>6940240</v>
      </c>
      <c r="AG316" s="251">
        <f t="shared" si="100"/>
        <v>4027999.9999999995</v>
      </c>
      <c r="AH316" s="241"/>
      <c r="AI316" s="241"/>
      <c r="AJ316" s="241"/>
      <c r="AK316" s="194"/>
      <c r="AL316" s="195"/>
      <c r="AM316" s="195"/>
    </row>
    <row r="317" spans="2:39" ht="31.2">
      <c r="B317" s="253">
        <v>4</v>
      </c>
      <c r="C317" s="244"/>
      <c r="D317" s="654" t="s">
        <v>2806</v>
      </c>
      <c r="E317" s="463" t="s">
        <v>2816</v>
      </c>
      <c r="F317" s="640" t="s">
        <v>2784</v>
      </c>
      <c r="G317" s="391" t="s">
        <v>2821</v>
      </c>
      <c r="H317" s="230" t="s">
        <v>206</v>
      </c>
      <c r="I317" s="230">
        <v>1</v>
      </c>
      <c r="J317" s="230"/>
      <c r="K317" s="230"/>
      <c r="L317" s="544" t="s">
        <v>136</v>
      </c>
      <c r="M317" s="257"/>
      <c r="N317" s="254" t="s">
        <v>2814</v>
      </c>
      <c r="O317" s="228" t="s">
        <v>2815</v>
      </c>
      <c r="P317" s="245"/>
      <c r="Q317" s="2368"/>
      <c r="R317" s="254" t="s">
        <v>2760</v>
      </c>
      <c r="S317" s="2357"/>
      <c r="T317" s="228"/>
      <c r="U317" s="2357"/>
      <c r="V317" s="256"/>
      <c r="W317" s="324">
        <v>734400</v>
      </c>
      <c r="X317" s="373">
        <v>900000</v>
      </c>
      <c r="Y317" s="248"/>
      <c r="Z317" s="247"/>
      <c r="AA317" s="248"/>
      <c r="AB317" s="340">
        <f t="shared" si="97"/>
        <v>1634400</v>
      </c>
      <c r="AC317" s="347">
        <f t="shared" si="98"/>
        <v>0</v>
      </c>
      <c r="AD317" s="249"/>
      <c r="AE317" s="435">
        <f t="shared" si="101"/>
        <v>4242240</v>
      </c>
      <c r="AF317" s="342">
        <f t="shared" si="99"/>
        <v>5876640</v>
      </c>
      <c r="AG317" s="251">
        <f t="shared" si="100"/>
        <v>3927999.9999999995</v>
      </c>
      <c r="AH317" s="241"/>
      <c r="AI317" s="241"/>
      <c r="AJ317" s="241"/>
      <c r="AK317" s="194"/>
      <c r="AL317" s="195"/>
      <c r="AM317" s="195"/>
    </row>
    <row r="318" spans="2:39">
      <c r="B318" s="253">
        <v>5</v>
      </c>
      <c r="C318" s="244"/>
      <c r="D318" s="654" t="s">
        <v>2812</v>
      </c>
      <c r="E318" s="474">
        <v>306565262050</v>
      </c>
      <c r="F318" s="640" t="s">
        <v>2812</v>
      </c>
      <c r="G318" s="391" t="s">
        <v>2844</v>
      </c>
      <c r="H318" s="230" t="s">
        <v>210</v>
      </c>
      <c r="I318" s="230"/>
      <c r="J318" s="230">
        <v>1</v>
      </c>
      <c r="K318" s="230"/>
      <c r="L318" s="228"/>
      <c r="M318" s="257"/>
      <c r="N318" s="228" t="s">
        <v>2785</v>
      </c>
      <c r="O318" s="228" t="s">
        <v>2843</v>
      </c>
      <c r="P318" s="245" t="s">
        <v>2813</v>
      </c>
      <c r="Q318" s="2368"/>
      <c r="R318" s="254" t="s">
        <v>2760</v>
      </c>
      <c r="S318" s="2357"/>
      <c r="T318" s="228"/>
      <c r="U318" s="2357"/>
      <c r="V318" s="256"/>
      <c r="W318" s="373">
        <v>1150000</v>
      </c>
      <c r="X318" s="373">
        <v>766800</v>
      </c>
      <c r="Y318" s="248"/>
      <c r="Z318" s="247"/>
      <c r="AA318" s="248"/>
      <c r="AB318" s="340">
        <f t="shared" si="97"/>
        <v>1916800</v>
      </c>
      <c r="AC318" s="347">
        <f t="shared" si="98"/>
        <v>0</v>
      </c>
      <c r="AD318" s="249"/>
      <c r="AE318" s="435">
        <f t="shared" si="101"/>
        <v>4350240</v>
      </c>
      <c r="AF318" s="342">
        <f t="shared" si="99"/>
        <v>6267040</v>
      </c>
      <c r="AG318" s="251">
        <f t="shared" si="100"/>
        <v>4027999.9999999995</v>
      </c>
      <c r="AH318" s="241"/>
      <c r="AI318" s="241"/>
      <c r="AJ318" s="241"/>
      <c r="AK318" s="194"/>
      <c r="AL318" s="195"/>
      <c r="AM318" s="195"/>
    </row>
    <row r="319" spans="2:39">
      <c r="B319" s="253">
        <v>6</v>
      </c>
      <c r="C319" s="244"/>
      <c r="D319" s="670" t="s">
        <v>2846</v>
      </c>
      <c r="E319" s="706" t="s">
        <v>2856</v>
      </c>
      <c r="F319" s="640" t="s">
        <v>2846</v>
      </c>
      <c r="G319" s="391" t="s">
        <v>2858</v>
      </c>
      <c r="H319" s="230" t="s">
        <v>210</v>
      </c>
      <c r="I319" s="230">
        <v>1</v>
      </c>
      <c r="J319" s="230"/>
      <c r="K319" s="230"/>
      <c r="L319" s="228"/>
      <c r="M319" s="257"/>
      <c r="N319" s="228" t="s">
        <v>2849</v>
      </c>
      <c r="O319" s="696" t="s">
        <v>2957</v>
      </c>
      <c r="P319" s="672" t="s">
        <v>2854</v>
      </c>
      <c r="Q319" s="2369"/>
      <c r="R319" s="254" t="s">
        <v>2857</v>
      </c>
      <c r="S319" s="2357"/>
      <c r="T319" s="228"/>
      <c r="U319" s="2357"/>
      <c r="V319" s="256"/>
      <c r="W319" s="373">
        <v>885000</v>
      </c>
      <c r="X319" s="373">
        <v>710000</v>
      </c>
      <c r="Y319" s="248"/>
      <c r="Z319" s="247"/>
      <c r="AA319" s="248"/>
      <c r="AB319" s="340">
        <f t="shared" si="97"/>
        <v>1595000</v>
      </c>
      <c r="AC319" s="347">
        <f t="shared" si="98"/>
        <v>0</v>
      </c>
      <c r="AD319" s="249"/>
      <c r="AE319" s="435">
        <f t="shared" si="101"/>
        <v>4242240</v>
      </c>
      <c r="AF319" s="342">
        <f t="shared" si="99"/>
        <v>5837240</v>
      </c>
      <c r="AG319" s="251">
        <f t="shared" si="100"/>
        <v>3927999.9999999995</v>
      </c>
      <c r="AH319" s="241"/>
      <c r="AI319" s="241"/>
      <c r="AJ319" s="241"/>
      <c r="AK319" s="194"/>
      <c r="AL319" s="195"/>
      <c r="AM319" s="195"/>
    </row>
    <row r="320" spans="2:39" ht="31.2">
      <c r="B320" s="228">
        <v>7</v>
      </c>
      <c r="C320" s="244"/>
      <c r="D320" s="654" t="s">
        <v>2850</v>
      </c>
      <c r="E320" s="707" t="s">
        <v>2950</v>
      </c>
      <c r="F320" s="640" t="s">
        <v>2812</v>
      </c>
      <c r="G320" s="391" t="s">
        <v>2880</v>
      </c>
      <c r="H320" s="230" t="s">
        <v>206</v>
      </c>
      <c r="I320" s="230">
        <v>1</v>
      </c>
      <c r="J320" s="230"/>
      <c r="K320" s="230"/>
      <c r="L320" s="228"/>
      <c r="M320" s="257"/>
      <c r="N320" s="228" t="s">
        <v>2852</v>
      </c>
      <c r="O320" s="228" t="s">
        <v>2853</v>
      </c>
      <c r="P320" s="245"/>
      <c r="Q320" s="2368"/>
      <c r="R320" s="254" t="s">
        <v>2760</v>
      </c>
      <c r="S320" s="2357"/>
      <c r="T320" s="228"/>
      <c r="U320" s="2357"/>
      <c r="V320" s="256"/>
      <c r="W320" s="324">
        <v>734400</v>
      </c>
      <c r="X320" s="373">
        <v>890000</v>
      </c>
      <c r="Y320" s="248"/>
      <c r="Z320" s="247"/>
      <c r="AA320" s="248"/>
      <c r="AB320" s="340">
        <f t="shared" si="97"/>
        <v>1624400</v>
      </c>
      <c r="AC320" s="347">
        <f t="shared" si="98"/>
        <v>0</v>
      </c>
      <c r="AD320" s="249"/>
      <c r="AE320" s="435">
        <f t="shared" si="101"/>
        <v>4242240</v>
      </c>
      <c r="AF320" s="342">
        <f t="shared" si="99"/>
        <v>5866640</v>
      </c>
      <c r="AG320" s="251">
        <f t="shared" si="100"/>
        <v>3927999.9999999995</v>
      </c>
      <c r="AH320" s="241"/>
      <c r="AI320" s="241"/>
      <c r="AJ320" s="241"/>
      <c r="AK320" s="194"/>
      <c r="AL320" s="195"/>
      <c r="AM320" s="195"/>
    </row>
    <row r="321" spans="2:39" ht="31.2">
      <c r="B321" s="253">
        <v>8</v>
      </c>
      <c r="C321" s="244"/>
      <c r="D321" s="654" t="s">
        <v>2887</v>
      </c>
      <c r="E321" s="708">
        <v>306591509730</v>
      </c>
      <c r="F321" s="640" t="s">
        <v>2887</v>
      </c>
      <c r="G321" s="391" t="s">
        <v>2926</v>
      </c>
      <c r="H321" s="230" t="s">
        <v>210</v>
      </c>
      <c r="I321" s="230"/>
      <c r="J321" s="230">
        <v>2</v>
      </c>
      <c r="K321" s="230"/>
      <c r="L321" s="228"/>
      <c r="M321" s="257"/>
      <c r="N321" s="228" t="s">
        <v>2913</v>
      </c>
      <c r="O321" s="254" t="s">
        <v>2985</v>
      </c>
      <c r="P321" s="245"/>
      <c r="Q321" s="2368"/>
      <c r="R321" s="254"/>
      <c r="S321" s="2357"/>
      <c r="T321" s="228"/>
      <c r="U321" s="2357"/>
      <c r="V321" s="256"/>
      <c r="W321" s="373">
        <f>1160000+1160000</f>
        <v>2320000</v>
      </c>
      <c r="X321" s="373">
        <v>2320000</v>
      </c>
      <c r="Y321" s="248"/>
      <c r="Z321" s="247"/>
      <c r="AA321" s="248"/>
      <c r="AB321" s="340">
        <f t="shared" si="97"/>
        <v>4640000</v>
      </c>
      <c r="AC321" s="347">
        <f t="shared" si="98"/>
        <v>0</v>
      </c>
      <c r="AD321" s="249"/>
      <c r="AE321" s="435">
        <f t="shared" si="101"/>
        <v>8700480</v>
      </c>
      <c r="AF321" s="342">
        <f t="shared" si="99"/>
        <v>13340480</v>
      </c>
      <c r="AG321" s="251">
        <f t="shared" si="100"/>
        <v>8055999.9999999991</v>
      </c>
      <c r="AH321" s="241"/>
      <c r="AI321" s="241"/>
      <c r="AJ321" s="241"/>
      <c r="AK321" s="194"/>
      <c r="AL321" s="195"/>
      <c r="AM321" s="195"/>
    </row>
    <row r="322" spans="2:39">
      <c r="B322" s="253">
        <v>9</v>
      </c>
      <c r="C322" s="244"/>
      <c r="D322" s="654" t="s">
        <v>2915</v>
      </c>
      <c r="E322" s="708">
        <v>306596543540</v>
      </c>
      <c r="F322" s="612" t="s">
        <v>2915</v>
      </c>
      <c r="G322" s="391" t="s">
        <v>2952</v>
      </c>
      <c r="H322" s="230" t="s">
        <v>210</v>
      </c>
      <c r="I322" s="230">
        <v>1</v>
      </c>
      <c r="J322" s="230"/>
      <c r="K322" s="230"/>
      <c r="L322" s="228"/>
      <c r="M322" s="257"/>
      <c r="N322" s="289" t="s">
        <v>2914</v>
      </c>
      <c r="O322" s="228" t="s">
        <v>2932</v>
      </c>
      <c r="P322" s="245"/>
      <c r="Q322" s="2368"/>
      <c r="R322" s="254" t="s">
        <v>2947</v>
      </c>
      <c r="S322" s="2357"/>
      <c r="T322" s="228"/>
      <c r="U322" s="2357"/>
      <c r="V322" s="256"/>
      <c r="W322" s="373">
        <v>795000</v>
      </c>
      <c r="X322" s="373">
        <v>432000</v>
      </c>
      <c r="Y322" s="248"/>
      <c r="Z322" s="247"/>
      <c r="AA322" s="248"/>
      <c r="AB322" s="340">
        <f t="shared" si="97"/>
        <v>1227000</v>
      </c>
      <c r="AC322" s="347">
        <f>+Z322</f>
        <v>0</v>
      </c>
      <c r="AD322" s="249"/>
      <c r="AE322" s="435">
        <f t="shared" si="101"/>
        <v>4242240</v>
      </c>
      <c r="AF322" s="342">
        <f>+AB322+AE322</f>
        <v>5469240</v>
      </c>
      <c r="AG322" s="251">
        <f>+AE322/1.08</f>
        <v>3927999.9999999995</v>
      </c>
      <c r="AH322" s="241"/>
      <c r="AI322" s="241"/>
      <c r="AJ322" s="241"/>
      <c r="AK322" s="194"/>
      <c r="AL322" s="195"/>
      <c r="AM322" s="195"/>
    </row>
    <row r="323" spans="2:39">
      <c r="B323" s="253">
        <v>10</v>
      </c>
      <c r="C323" s="244"/>
      <c r="D323" s="654" t="s">
        <v>2935</v>
      </c>
      <c r="E323" s="708">
        <v>306602985900</v>
      </c>
      <c r="F323" s="640" t="s">
        <v>2935</v>
      </c>
      <c r="G323" s="391" t="s">
        <v>2970</v>
      </c>
      <c r="H323" s="230" t="s">
        <v>210</v>
      </c>
      <c r="I323" s="230"/>
      <c r="J323" s="230">
        <v>1</v>
      </c>
      <c r="K323" s="230"/>
      <c r="L323" s="228"/>
      <c r="M323" s="257"/>
      <c r="N323" s="289" t="s">
        <v>2954</v>
      </c>
      <c r="O323" s="228" t="s">
        <v>2965</v>
      </c>
      <c r="P323" s="672" t="s">
        <v>2967</v>
      </c>
      <c r="Q323" s="2369"/>
      <c r="R323" s="228" t="s">
        <v>2966</v>
      </c>
      <c r="S323" s="2357"/>
      <c r="T323" s="228"/>
      <c r="U323" s="2357"/>
      <c r="V323" s="256"/>
      <c r="W323" s="373">
        <v>1160000</v>
      </c>
      <c r="X323" s="373">
        <v>766800</v>
      </c>
      <c r="Y323" s="248"/>
      <c r="Z323" s="247"/>
      <c r="AA323" s="248"/>
      <c r="AB323" s="340">
        <f t="shared" si="97"/>
        <v>1926800</v>
      </c>
      <c r="AC323" s="347">
        <f>+Z323</f>
        <v>0</v>
      </c>
      <c r="AD323" s="249"/>
      <c r="AE323" s="435">
        <f t="shared" si="101"/>
        <v>4350240</v>
      </c>
      <c r="AF323" s="342">
        <f>+AB323+AE323</f>
        <v>6277040</v>
      </c>
      <c r="AG323" s="251">
        <f>+AE323/1.08</f>
        <v>4027999.9999999995</v>
      </c>
      <c r="AH323" s="241"/>
      <c r="AI323" s="241"/>
      <c r="AJ323" s="241"/>
      <c r="AK323" s="194"/>
      <c r="AL323" s="195"/>
      <c r="AM323" s="195"/>
    </row>
    <row r="324" spans="2:39">
      <c r="B324" s="253">
        <v>11</v>
      </c>
      <c r="C324" s="244"/>
      <c r="D324" s="654" t="s">
        <v>2953</v>
      </c>
      <c r="E324" s="708">
        <v>306607371400</v>
      </c>
      <c r="F324" s="640" t="s">
        <v>2953</v>
      </c>
      <c r="G324" s="391" t="s">
        <v>2971</v>
      </c>
      <c r="H324" s="230" t="s">
        <v>210</v>
      </c>
      <c r="I324" s="230"/>
      <c r="J324" s="230">
        <v>1</v>
      </c>
      <c r="K324" s="230"/>
      <c r="L324" s="228"/>
      <c r="M324" s="257"/>
      <c r="N324" s="289" t="s">
        <v>2955</v>
      </c>
      <c r="O324" s="228" t="s">
        <v>2976</v>
      </c>
      <c r="P324" s="245" t="s">
        <v>2956</v>
      </c>
      <c r="Q324" s="2368"/>
      <c r="R324" s="254" t="s">
        <v>2966</v>
      </c>
      <c r="S324" s="2357"/>
      <c r="T324" s="228"/>
      <c r="U324" s="2357"/>
      <c r="V324" s="256"/>
      <c r="W324" s="373">
        <v>1450000</v>
      </c>
      <c r="X324" s="373">
        <v>766800</v>
      </c>
      <c r="Y324" s="248"/>
      <c r="Z324" s="247"/>
      <c r="AA324" s="248"/>
      <c r="AB324" s="340">
        <f t="shared" si="97"/>
        <v>2216800</v>
      </c>
      <c r="AC324" s="347">
        <f>+Z324</f>
        <v>0</v>
      </c>
      <c r="AD324" s="249"/>
      <c r="AE324" s="435">
        <f t="shared" si="101"/>
        <v>4350240</v>
      </c>
      <c r="AF324" s="342">
        <f>+AB324+AE324</f>
        <v>6567040</v>
      </c>
      <c r="AG324" s="251">
        <f>+AE324/1.08</f>
        <v>4027999.9999999995</v>
      </c>
      <c r="AH324" s="241"/>
      <c r="AI324" s="241"/>
      <c r="AJ324" s="241"/>
      <c r="AK324" s="194"/>
      <c r="AL324" s="195"/>
      <c r="AM324" s="195"/>
    </row>
    <row r="325" spans="2:39">
      <c r="B325" s="3405" t="s">
        <v>2941</v>
      </c>
      <c r="C325" s="3312"/>
      <c r="D325" s="3312"/>
      <c r="E325" s="3312"/>
      <c r="F325" s="3312"/>
      <c r="G325" s="3312"/>
      <c r="H325" s="3312"/>
      <c r="I325" s="3312"/>
      <c r="J325" s="3312"/>
      <c r="K325" s="3312"/>
      <c r="L325" s="3312"/>
      <c r="M325" s="346"/>
      <c r="N325" s="346"/>
      <c r="O325" s="346"/>
      <c r="P325" s="346"/>
      <c r="Q325" s="346"/>
      <c r="R325" s="346"/>
      <c r="S325" s="346"/>
      <c r="T325" s="346"/>
      <c r="U325" s="346"/>
      <c r="V325" s="590">
        <f>+V315+W317+W320</f>
        <v>1492364</v>
      </c>
      <c r="W325" s="590">
        <f>+V300+W303+W309+V315+W315+W316+W318+W320</f>
        <v>5476564</v>
      </c>
      <c r="X325" s="590"/>
      <c r="Y325" s="357"/>
      <c r="Z325" s="357"/>
      <c r="AA325" s="357"/>
      <c r="AB325" s="358">
        <f>SUM(AB314:AB324)</f>
        <v>21984764</v>
      </c>
      <c r="AC325" s="358">
        <f>SUM(AC302:AC319)</f>
        <v>0</v>
      </c>
      <c r="AD325" s="358">
        <f>SUM(AD300:AD319)</f>
        <v>0</v>
      </c>
      <c r="AE325" s="358">
        <f>SUM(AE314:AE324)</f>
        <v>49060080</v>
      </c>
      <c r="AF325" s="358">
        <f>+AB325+AE325</f>
        <v>71044844</v>
      </c>
      <c r="AG325" s="358">
        <f>SUM(AG314:AG324)</f>
        <v>45426000</v>
      </c>
      <c r="AH325" s="241"/>
      <c r="AI325" s="241"/>
      <c r="AJ325" s="241"/>
      <c r="AK325" s="194"/>
      <c r="AL325" s="195"/>
      <c r="AM325" s="195"/>
    </row>
    <row r="326" spans="2:39" ht="31.2">
      <c r="B326" s="253">
        <v>1</v>
      </c>
      <c r="C326" s="244"/>
      <c r="D326" s="654" t="s">
        <v>2979</v>
      </c>
      <c r="E326" s="708">
        <v>306624226440</v>
      </c>
      <c r="F326" s="640" t="s">
        <v>2979</v>
      </c>
      <c r="G326" s="391" t="s">
        <v>2992</v>
      </c>
      <c r="H326" s="230" t="s">
        <v>210</v>
      </c>
      <c r="I326" s="230"/>
      <c r="J326" s="230">
        <v>2</v>
      </c>
      <c r="K326" s="230"/>
      <c r="L326" s="228"/>
      <c r="M326" s="257"/>
      <c r="N326" s="228" t="s">
        <v>2980</v>
      </c>
      <c r="O326" s="254" t="s">
        <v>2990</v>
      </c>
      <c r="P326" s="245" t="s">
        <v>2991</v>
      </c>
      <c r="Q326" s="2368"/>
      <c r="R326" s="228" t="s">
        <v>2966</v>
      </c>
      <c r="S326" s="2357"/>
      <c r="T326" s="2364"/>
      <c r="U326" s="2364"/>
      <c r="V326" s="248"/>
      <c r="W326" s="373">
        <f>1300000+1300000</f>
        <v>2600000</v>
      </c>
      <c r="X326" s="373">
        <v>1533600</v>
      </c>
      <c r="Y326" s="248"/>
      <c r="Z326" s="247"/>
      <c r="AA326" s="248"/>
      <c r="AB326" s="340">
        <f t="shared" ref="AB326:AB344" si="102">V326+W326+X326+Y326+Z326+AA326</f>
        <v>4133600</v>
      </c>
      <c r="AC326" s="347">
        <f>+Z326</f>
        <v>0</v>
      </c>
      <c r="AD326" s="249"/>
      <c r="AE326" s="435">
        <f t="shared" ref="AE326:AE331" si="103">+(I326*3714000+J326*(3714000+100000))*1.08+((I326+J326+K326)*150000)*1.08</f>
        <v>8562240</v>
      </c>
      <c r="AF326" s="342">
        <f>+AB326+AE326</f>
        <v>12695840</v>
      </c>
      <c r="AG326" s="251">
        <f>+AE326/1.08</f>
        <v>7927999.9999999991</v>
      </c>
      <c r="AH326" s="241"/>
      <c r="AI326" s="241"/>
      <c r="AJ326" s="241"/>
      <c r="AK326" s="194"/>
      <c r="AL326" s="195"/>
      <c r="AM326" s="195"/>
    </row>
    <row r="327" spans="2:39">
      <c r="B327" s="253">
        <v>2</v>
      </c>
      <c r="C327" s="244"/>
      <c r="D327" s="654" t="s">
        <v>2978</v>
      </c>
      <c r="E327" s="708">
        <v>306630828360</v>
      </c>
      <c r="F327" s="640" t="s">
        <v>2978</v>
      </c>
      <c r="G327" s="391" t="s">
        <v>3002</v>
      </c>
      <c r="H327" s="230" t="s">
        <v>210</v>
      </c>
      <c r="I327" s="230">
        <v>1</v>
      </c>
      <c r="J327" s="230"/>
      <c r="K327" s="230"/>
      <c r="L327" s="228"/>
      <c r="M327" s="257"/>
      <c r="N327" s="228" t="s">
        <v>2997</v>
      </c>
      <c r="O327" s="254" t="s">
        <v>2999</v>
      </c>
      <c r="P327" s="245" t="s">
        <v>3000</v>
      </c>
      <c r="Q327" s="2368"/>
      <c r="R327" s="228" t="s">
        <v>3001</v>
      </c>
      <c r="S327" s="2357"/>
      <c r="T327" s="709"/>
      <c r="U327" s="709"/>
      <c r="V327" s="256"/>
      <c r="W327" s="373">
        <v>900000</v>
      </c>
      <c r="X327" s="373">
        <v>710000</v>
      </c>
      <c r="Y327" s="248"/>
      <c r="Z327" s="247"/>
      <c r="AA327" s="248"/>
      <c r="AB327" s="340">
        <f t="shared" si="102"/>
        <v>1610000</v>
      </c>
      <c r="AC327" s="347">
        <f t="shared" ref="AC327:AC332" si="104">+Z327</f>
        <v>0</v>
      </c>
      <c r="AD327" s="249"/>
      <c r="AE327" s="435">
        <f t="shared" si="103"/>
        <v>4173120.0000000005</v>
      </c>
      <c r="AF327" s="342">
        <f t="shared" ref="AF327:AF332" si="105">+AB327+AE327</f>
        <v>5783120</v>
      </c>
      <c r="AG327" s="251">
        <f t="shared" ref="AG327:AG332" si="106">+AE327/1.08</f>
        <v>3864000</v>
      </c>
      <c r="AH327" s="241"/>
      <c r="AI327" s="241"/>
      <c r="AJ327" s="241"/>
      <c r="AK327" s="194"/>
      <c r="AL327" s="195"/>
      <c r="AM327" s="195"/>
    </row>
    <row r="328" spans="2:39" ht="31.2">
      <c r="B328" s="253">
        <v>3</v>
      </c>
      <c r="C328" s="244"/>
      <c r="D328" s="654" t="s">
        <v>3009</v>
      </c>
      <c r="E328" s="708">
        <v>306637525520</v>
      </c>
      <c r="F328" s="640" t="s">
        <v>3009</v>
      </c>
      <c r="G328" s="391" t="s">
        <v>3033</v>
      </c>
      <c r="H328" s="230" t="s">
        <v>210</v>
      </c>
      <c r="I328" s="230"/>
      <c r="J328" s="230">
        <v>2</v>
      </c>
      <c r="K328" s="230"/>
      <c r="L328" s="228"/>
      <c r="M328" s="257"/>
      <c r="N328" s="228" t="s">
        <v>3008</v>
      </c>
      <c r="O328" s="254" t="s">
        <v>3032</v>
      </c>
      <c r="P328" s="420" t="s">
        <v>3014</v>
      </c>
      <c r="Q328" s="420"/>
      <c r="R328" s="228" t="s">
        <v>3001</v>
      </c>
      <c r="S328" s="2357"/>
      <c r="T328" s="2364"/>
      <c r="U328" s="2357"/>
      <c r="V328" s="256"/>
      <c r="W328" s="373">
        <f>1160000+1160000</f>
        <v>2320000</v>
      </c>
      <c r="X328" s="373">
        <f>1160000+1160000</f>
        <v>2320000</v>
      </c>
      <c r="Y328" s="248"/>
      <c r="Z328" s="247"/>
      <c r="AA328" s="248"/>
      <c r="AB328" s="340">
        <f t="shared" si="102"/>
        <v>4640000</v>
      </c>
      <c r="AC328" s="347">
        <f t="shared" si="104"/>
        <v>0</v>
      </c>
      <c r="AD328" s="249"/>
      <c r="AE328" s="435">
        <f t="shared" si="103"/>
        <v>8562240</v>
      </c>
      <c r="AF328" s="342">
        <f t="shared" si="105"/>
        <v>13202240</v>
      </c>
      <c r="AG328" s="251">
        <f t="shared" si="106"/>
        <v>7927999.9999999991</v>
      </c>
      <c r="AH328" s="241"/>
      <c r="AI328" s="241"/>
      <c r="AJ328" s="241"/>
      <c r="AK328" s="194"/>
      <c r="AL328" s="195"/>
      <c r="AM328" s="195"/>
    </row>
    <row r="329" spans="2:39" ht="20.25" customHeight="1">
      <c r="B329" s="253">
        <v>4</v>
      </c>
      <c r="C329" s="244"/>
      <c r="D329" s="654" t="s">
        <v>3009</v>
      </c>
      <c r="E329" s="708">
        <v>306637225110</v>
      </c>
      <c r="F329" s="640" t="s">
        <v>3009</v>
      </c>
      <c r="G329" s="391" t="s">
        <v>3034</v>
      </c>
      <c r="H329" s="230" t="s">
        <v>210</v>
      </c>
      <c r="I329" s="230"/>
      <c r="J329" s="230">
        <v>1</v>
      </c>
      <c r="K329" s="230"/>
      <c r="L329" s="228"/>
      <c r="M329" s="257"/>
      <c r="N329" s="228" t="s">
        <v>3010</v>
      </c>
      <c r="O329" s="228" t="s">
        <v>3031</v>
      </c>
      <c r="P329" s="420" t="s">
        <v>3014</v>
      </c>
      <c r="Q329" s="420"/>
      <c r="R329" s="228" t="s">
        <v>2966</v>
      </c>
      <c r="S329" s="2357"/>
      <c r="T329" s="2364"/>
      <c r="U329" s="2357"/>
      <c r="V329" s="256"/>
      <c r="W329" s="373">
        <v>1450000</v>
      </c>
      <c r="X329" s="373">
        <v>766800</v>
      </c>
      <c r="Y329" s="248"/>
      <c r="Z329" s="247"/>
      <c r="AA329" s="248"/>
      <c r="AB329" s="340">
        <f t="shared" si="102"/>
        <v>2216800</v>
      </c>
      <c r="AC329" s="347">
        <f t="shared" si="104"/>
        <v>0</v>
      </c>
      <c r="AD329" s="249"/>
      <c r="AE329" s="435">
        <f t="shared" si="103"/>
        <v>4281120</v>
      </c>
      <c r="AF329" s="342">
        <f t="shared" si="105"/>
        <v>6497920</v>
      </c>
      <c r="AG329" s="251">
        <f t="shared" si="106"/>
        <v>3963999.9999999995</v>
      </c>
      <c r="AH329" s="241"/>
      <c r="AI329" s="241"/>
      <c r="AJ329" s="241"/>
      <c r="AK329" s="194"/>
      <c r="AL329" s="195"/>
      <c r="AM329" s="195"/>
    </row>
    <row r="330" spans="2:39" ht="20.25" customHeight="1">
      <c r="B330" s="253">
        <v>5</v>
      </c>
      <c r="C330" s="244"/>
      <c r="D330" s="654" t="s">
        <v>3011</v>
      </c>
      <c r="E330" s="708">
        <v>306644975030</v>
      </c>
      <c r="F330" s="640" t="s">
        <v>3011</v>
      </c>
      <c r="G330" s="391" t="s">
        <v>3042</v>
      </c>
      <c r="H330" s="230" t="s">
        <v>210</v>
      </c>
      <c r="I330" s="230"/>
      <c r="J330" s="230">
        <v>1</v>
      </c>
      <c r="K330" s="230"/>
      <c r="L330" s="228"/>
      <c r="M330" s="257"/>
      <c r="N330" s="228" t="s">
        <v>3012</v>
      </c>
      <c r="O330" s="228" t="s">
        <v>3040</v>
      </c>
      <c r="P330" s="245" t="s">
        <v>3038</v>
      </c>
      <c r="Q330" s="2368"/>
      <c r="R330" s="228" t="s">
        <v>2966</v>
      </c>
      <c r="S330" s="2357"/>
      <c r="T330" s="2364"/>
      <c r="U330" s="2357"/>
      <c r="V330" s="256"/>
      <c r="W330" s="373">
        <v>1425000</v>
      </c>
      <c r="X330" s="373">
        <v>766800</v>
      </c>
      <c r="Y330" s="248"/>
      <c r="Z330" s="247"/>
      <c r="AA330" s="248"/>
      <c r="AB330" s="340">
        <f t="shared" si="102"/>
        <v>2191800</v>
      </c>
      <c r="AC330" s="347">
        <f t="shared" si="104"/>
        <v>0</v>
      </c>
      <c r="AD330" s="249"/>
      <c r="AE330" s="435">
        <f t="shared" si="103"/>
        <v>4281120</v>
      </c>
      <c r="AF330" s="342">
        <f t="shared" si="105"/>
        <v>6472920</v>
      </c>
      <c r="AG330" s="251">
        <f t="shared" si="106"/>
        <v>3963999.9999999995</v>
      </c>
      <c r="AH330" s="241"/>
      <c r="AI330" s="241"/>
      <c r="AJ330" s="241"/>
      <c r="AK330" s="194"/>
      <c r="AL330" s="195"/>
      <c r="AM330" s="195"/>
    </row>
    <row r="331" spans="2:39" ht="20.25" customHeight="1">
      <c r="B331" s="253">
        <v>6</v>
      </c>
      <c r="C331" s="244"/>
      <c r="D331" s="654" t="s">
        <v>3011</v>
      </c>
      <c r="E331" s="708">
        <v>306643818520</v>
      </c>
      <c r="F331" s="640" t="s">
        <v>3011</v>
      </c>
      <c r="G331" s="391" t="s">
        <v>3043</v>
      </c>
      <c r="H331" s="230" t="s">
        <v>210</v>
      </c>
      <c r="I331" s="230"/>
      <c r="J331" s="230">
        <v>1</v>
      </c>
      <c r="K331" s="230"/>
      <c r="L331" s="228"/>
      <c r="M331" s="257"/>
      <c r="N331" s="228" t="s">
        <v>3013</v>
      </c>
      <c r="O331" s="228" t="s">
        <v>3039</v>
      </c>
      <c r="P331" s="245" t="s">
        <v>3015</v>
      </c>
      <c r="Q331" s="2368"/>
      <c r="R331" s="228" t="s">
        <v>2966</v>
      </c>
      <c r="S331" s="2357"/>
      <c r="T331" s="2364"/>
      <c r="U331" s="2357"/>
      <c r="V331" s="256"/>
      <c r="W331" s="373">
        <v>1160000</v>
      </c>
      <c r="X331" s="373">
        <v>766800</v>
      </c>
      <c r="Y331" s="248"/>
      <c r="Z331" s="247"/>
      <c r="AA331" s="248"/>
      <c r="AB331" s="340">
        <f t="shared" si="102"/>
        <v>1926800</v>
      </c>
      <c r="AC331" s="347">
        <f t="shared" si="104"/>
        <v>0</v>
      </c>
      <c r="AD331" s="249"/>
      <c r="AE331" s="435">
        <f t="shared" si="103"/>
        <v>4281120</v>
      </c>
      <c r="AF331" s="342">
        <f t="shared" si="105"/>
        <v>6207920</v>
      </c>
      <c r="AG331" s="251">
        <f t="shared" si="106"/>
        <v>3963999.9999999995</v>
      </c>
      <c r="AH331" s="241"/>
      <c r="AI331" s="241"/>
      <c r="AJ331" s="241"/>
      <c r="AK331" s="194"/>
      <c r="AL331" s="195"/>
      <c r="AM331" s="195"/>
    </row>
    <row r="332" spans="2:39" ht="20.25" customHeight="1">
      <c r="B332" s="253">
        <v>7</v>
      </c>
      <c r="C332" s="244"/>
      <c r="D332" s="654" t="s">
        <v>3059</v>
      </c>
      <c r="E332" s="466">
        <v>106490190000</v>
      </c>
      <c r="F332" s="640" t="s">
        <v>3049</v>
      </c>
      <c r="G332" s="391" t="s">
        <v>3064</v>
      </c>
      <c r="H332" s="230" t="s">
        <v>1300</v>
      </c>
      <c r="I332" s="230"/>
      <c r="J332" s="230"/>
      <c r="K332" s="230">
        <v>1</v>
      </c>
      <c r="L332" s="228"/>
      <c r="M332" s="257"/>
      <c r="N332" s="228" t="s">
        <v>3060</v>
      </c>
      <c r="O332" s="228"/>
      <c r="P332" s="245"/>
      <c r="Q332" s="2368"/>
      <c r="R332" s="254"/>
      <c r="S332" s="2357"/>
      <c r="T332" s="2364"/>
      <c r="U332" s="2357"/>
      <c r="V332" s="324">
        <v>250953</v>
      </c>
      <c r="W332" s="248"/>
      <c r="X332" s="248"/>
      <c r="Y332" s="248"/>
      <c r="Z332" s="247"/>
      <c r="AA332" s="248"/>
      <c r="AB332" s="340">
        <f t="shared" si="102"/>
        <v>250953</v>
      </c>
      <c r="AC332" s="347">
        <f t="shared" si="104"/>
        <v>0</v>
      </c>
      <c r="AD332" s="544" t="s">
        <v>3065</v>
      </c>
      <c r="AE332" s="605">
        <f>+(3568000*1.08+((I332+J332+K332)*150000)*1.08)</f>
        <v>4015440.0000000005</v>
      </c>
      <c r="AF332" s="342">
        <f t="shared" si="105"/>
        <v>4266393</v>
      </c>
      <c r="AG332" s="251">
        <f t="shared" si="106"/>
        <v>3718000</v>
      </c>
      <c r="AH332" s="241"/>
      <c r="AI332" s="241"/>
      <c r="AJ332" s="241"/>
      <c r="AK332" s="194"/>
      <c r="AL332" s="195"/>
      <c r="AM332" s="195"/>
    </row>
    <row r="333" spans="2:39" ht="20.25" customHeight="1">
      <c r="B333" s="253">
        <v>8</v>
      </c>
      <c r="C333" s="244"/>
      <c r="D333" s="654" t="s">
        <v>3069</v>
      </c>
      <c r="E333" s="474">
        <v>306656712521</v>
      </c>
      <c r="F333" s="640" t="s">
        <v>3069</v>
      </c>
      <c r="G333" s="391" t="s">
        <v>3088</v>
      </c>
      <c r="H333" s="230" t="s">
        <v>210</v>
      </c>
      <c r="I333" s="230"/>
      <c r="J333" s="230">
        <v>1</v>
      </c>
      <c r="K333" s="230"/>
      <c r="L333" s="544" t="s">
        <v>136</v>
      </c>
      <c r="M333" s="257"/>
      <c r="N333" s="228" t="s">
        <v>3067</v>
      </c>
      <c r="O333" s="228" t="s">
        <v>3084</v>
      </c>
      <c r="P333" s="744" t="s">
        <v>3070</v>
      </c>
      <c r="Q333" s="2370"/>
      <c r="R333" s="254" t="s">
        <v>2966</v>
      </c>
      <c r="S333" s="2357"/>
      <c r="T333" s="2364"/>
      <c r="U333" s="2357"/>
      <c r="V333" s="256"/>
      <c r="W333" s="753">
        <v>1450000</v>
      </c>
      <c r="X333" s="753">
        <v>766800</v>
      </c>
      <c r="Y333" s="248"/>
      <c r="Z333" s="247"/>
      <c r="AA333" s="248"/>
      <c r="AB333" s="340">
        <f t="shared" si="102"/>
        <v>2216800</v>
      </c>
      <c r="AC333" s="347">
        <f t="shared" ref="AC333:AC339" si="107">+Z333</f>
        <v>0</v>
      </c>
      <c r="AD333" s="249" t="s">
        <v>3091</v>
      </c>
      <c r="AE333" s="605">
        <f>+(I333*3714000+J333*(3714000+100000))*1.08+((I333+J333+K333)*150000)*1.08+((500000+545900)*1.08)</f>
        <v>5410692</v>
      </c>
      <c r="AF333" s="342">
        <f t="shared" ref="AF333:AF344" si="108">+AB333+AE333</f>
        <v>7627492</v>
      </c>
      <c r="AG333" s="251">
        <f t="shared" ref="AG333:AG338" si="109">+AE333/1.08</f>
        <v>5009900</v>
      </c>
      <c r="AH333" s="241"/>
      <c r="AI333" s="241"/>
      <c r="AJ333" s="241"/>
      <c r="AK333" s="194"/>
      <c r="AL333" s="195"/>
      <c r="AM333" s="195">
        <f>530000*1.03</f>
        <v>545900</v>
      </c>
    </row>
    <row r="334" spans="2:39" ht="33.75" customHeight="1">
      <c r="B334" s="253">
        <v>9</v>
      </c>
      <c r="C334" s="244"/>
      <c r="D334" s="654" t="s">
        <v>3069</v>
      </c>
      <c r="E334" s="474">
        <v>306660285100</v>
      </c>
      <c r="F334" s="640" t="s">
        <v>3069</v>
      </c>
      <c r="G334" s="391" t="s">
        <v>3089</v>
      </c>
      <c r="H334" s="230" t="s">
        <v>210</v>
      </c>
      <c r="I334" s="230"/>
      <c r="J334" s="230">
        <v>2</v>
      </c>
      <c r="K334" s="230"/>
      <c r="L334" s="228"/>
      <c r="M334" s="257"/>
      <c r="N334" s="228" t="s">
        <v>3068</v>
      </c>
      <c r="O334" s="254" t="s">
        <v>3083</v>
      </c>
      <c r="P334" s="245" t="s">
        <v>3071</v>
      </c>
      <c r="Q334" s="2368"/>
      <c r="R334" s="254" t="s">
        <v>2966</v>
      </c>
      <c r="S334" s="2357"/>
      <c r="T334" s="2364"/>
      <c r="U334" s="2357"/>
      <c r="V334" s="256"/>
      <c r="W334" s="753">
        <f>1300000*2</f>
        <v>2600000</v>
      </c>
      <c r="X334" s="753">
        <v>1533600</v>
      </c>
      <c r="Y334" s="248"/>
      <c r="Z334" s="247"/>
      <c r="AA334" s="248"/>
      <c r="AB334" s="340">
        <f t="shared" si="102"/>
        <v>4133600</v>
      </c>
      <c r="AC334" s="347">
        <f t="shared" si="107"/>
        <v>0</v>
      </c>
      <c r="AD334" s="249"/>
      <c r="AE334" s="435">
        <f t="shared" ref="AE334:AE339" si="110">+(I334*3714000+J334*(3714000+100000))*1.08+((I334+J334+K334)*150000)*1.08</f>
        <v>8562240</v>
      </c>
      <c r="AF334" s="342">
        <f t="shared" si="108"/>
        <v>12695840</v>
      </c>
      <c r="AG334" s="251">
        <f t="shared" si="109"/>
        <v>7927999.9999999991</v>
      </c>
      <c r="AH334" s="241"/>
      <c r="AI334" s="241"/>
      <c r="AJ334" s="241"/>
      <c r="AK334" s="194"/>
      <c r="AL334" s="195"/>
      <c r="AM334" s="195"/>
    </row>
    <row r="335" spans="2:39">
      <c r="B335" s="253">
        <v>10</v>
      </c>
      <c r="C335" s="244"/>
      <c r="D335" s="654" t="s">
        <v>3069</v>
      </c>
      <c r="E335" s="474">
        <v>306657659840</v>
      </c>
      <c r="F335" s="640" t="s">
        <v>3069</v>
      </c>
      <c r="G335" s="391" t="s">
        <v>3090</v>
      </c>
      <c r="H335" s="230" t="s">
        <v>210</v>
      </c>
      <c r="I335" s="230"/>
      <c r="J335" s="230">
        <v>1</v>
      </c>
      <c r="K335" s="230"/>
      <c r="L335" s="228"/>
      <c r="M335" s="257"/>
      <c r="N335" s="228" t="s">
        <v>3073</v>
      </c>
      <c r="O335" s="228" t="s">
        <v>3075</v>
      </c>
      <c r="P335" s="245" t="s">
        <v>3071</v>
      </c>
      <c r="Q335" s="2368"/>
      <c r="R335" s="254" t="s">
        <v>2966</v>
      </c>
      <c r="S335" s="2357"/>
      <c r="T335" s="2364"/>
      <c r="U335" s="2357"/>
      <c r="V335" s="256"/>
      <c r="W335" s="753">
        <v>1300000</v>
      </c>
      <c r="X335" s="753">
        <v>766800</v>
      </c>
      <c r="Y335" s="248"/>
      <c r="Z335" s="247"/>
      <c r="AA335" s="248"/>
      <c r="AB335" s="340">
        <f t="shared" si="102"/>
        <v>2066800</v>
      </c>
      <c r="AC335" s="347">
        <f t="shared" si="107"/>
        <v>0</v>
      </c>
      <c r="AD335" s="249"/>
      <c r="AE335" s="435">
        <f t="shared" si="110"/>
        <v>4281120</v>
      </c>
      <c r="AF335" s="342">
        <f t="shared" si="108"/>
        <v>6347920</v>
      </c>
      <c r="AG335" s="251">
        <f t="shared" si="109"/>
        <v>3963999.9999999995</v>
      </c>
      <c r="AH335" s="241"/>
      <c r="AI335" s="241"/>
      <c r="AJ335" s="241"/>
      <c r="AK335" s="194"/>
      <c r="AL335" s="195"/>
      <c r="AM335" s="195"/>
    </row>
    <row r="336" spans="2:39" ht="31.2">
      <c r="B336" s="253">
        <v>11</v>
      </c>
      <c r="C336" s="244"/>
      <c r="D336" s="654" t="s">
        <v>3092</v>
      </c>
      <c r="E336" s="747" t="s">
        <v>3094</v>
      </c>
      <c r="F336" s="640" t="s">
        <v>3059</v>
      </c>
      <c r="G336" s="391" t="s">
        <v>3096</v>
      </c>
      <c r="H336" s="230" t="s">
        <v>1300</v>
      </c>
      <c r="I336" s="230">
        <v>1</v>
      </c>
      <c r="J336" s="230"/>
      <c r="K336" s="230"/>
      <c r="L336" s="609" t="s">
        <v>418</v>
      </c>
      <c r="M336" s="257"/>
      <c r="N336" s="228" t="s">
        <v>3093</v>
      </c>
      <c r="O336" s="228" t="s">
        <v>3095</v>
      </c>
      <c r="P336" s="245"/>
      <c r="Q336" s="2368"/>
      <c r="R336" s="254" t="s">
        <v>2760</v>
      </c>
      <c r="S336" s="2357"/>
      <c r="T336" s="2364"/>
      <c r="V336"/>
      <c r="W336" s="324">
        <v>631800</v>
      </c>
      <c r="X336" s="753">
        <v>918000</v>
      </c>
      <c r="Y336" s="248"/>
      <c r="Z336" s="247"/>
      <c r="AA336" s="248"/>
      <c r="AB336" s="340">
        <f t="shared" si="102"/>
        <v>1549800</v>
      </c>
      <c r="AC336" s="347">
        <f t="shared" si="107"/>
        <v>0</v>
      </c>
      <c r="AD336" s="249"/>
      <c r="AE336" s="435">
        <f t="shared" si="110"/>
        <v>4173120.0000000005</v>
      </c>
      <c r="AF336" s="342">
        <f t="shared" si="108"/>
        <v>5722920</v>
      </c>
      <c r="AG336" s="251">
        <f t="shared" si="109"/>
        <v>3864000</v>
      </c>
      <c r="AH336" s="241"/>
      <c r="AI336" s="241"/>
      <c r="AJ336" s="241"/>
      <c r="AK336" s="194"/>
      <c r="AL336" s="195"/>
      <c r="AM336" s="195"/>
    </row>
    <row r="337" spans="2:39" ht="31.2">
      <c r="B337" s="253">
        <v>12</v>
      </c>
      <c r="C337" s="244"/>
      <c r="D337" s="654" t="s">
        <v>3098</v>
      </c>
      <c r="E337" s="708">
        <v>306672202010</v>
      </c>
      <c r="F337" s="640" t="s">
        <v>3098</v>
      </c>
      <c r="G337" s="391" t="s">
        <v>3117</v>
      </c>
      <c r="H337" s="230" t="s">
        <v>210</v>
      </c>
      <c r="I337" s="230"/>
      <c r="J337" s="230">
        <v>1</v>
      </c>
      <c r="K337" s="230"/>
      <c r="L337" s="228"/>
      <c r="M337" s="757" t="s">
        <v>3170</v>
      </c>
      <c r="N337" s="228" t="s">
        <v>3100</v>
      </c>
      <c r="O337" s="748" t="s">
        <v>3107</v>
      </c>
      <c r="P337" s="750" t="s">
        <v>3105</v>
      </c>
      <c r="Q337" s="2371"/>
      <c r="R337" s="254" t="s">
        <v>3101</v>
      </c>
      <c r="S337" s="2357"/>
      <c r="T337" s="2364"/>
      <c r="U337" s="2357"/>
      <c r="V337" s="256"/>
      <c r="W337" s="753">
        <v>1425000</v>
      </c>
      <c r="X337" s="753">
        <v>1140000</v>
      </c>
      <c r="Y337" s="248"/>
      <c r="Z337" s="247"/>
      <c r="AA337" s="248"/>
      <c r="AB337" s="340">
        <f t="shared" si="102"/>
        <v>2565000</v>
      </c>
      <c r="AC337" s="347">
        <f t="shared" si="107"/>
        <v>0</v>
      </c>
      <c r="AD337" s="249"/>
      <c r="AE337" s="435">
        <f t="shared" si="110"/>
        <v>4281120</v>
      </c>
      <c r="AF337" s="342">
        <f t="shared" si="108"/>
        <v>6846120</v>
      </c>
      <c r="AG337" s="251">
        <f t="shared" si="109"/>
        <v>3963999.9999999995</v>
      </c>
      <c r="AH337" s="241"/>
      <c r="AI337" s="241"/>
      <c r="AJ337" s="241"/>
      <c r="AK337" s="194"/>
      <c r="AL337" s="195"/>
      <c r="AM337" s="195"/>
    </row>
    <row r="338" spans="2:39" ht="31.2">
      <c r="B338" s="253">
        <v>13</v>
      </c>
      <c r="C338" s="244"/>
      <c r="D338" s="654" t="s">
        <v>3111</v>
      </c>
      <c r="E338" s="474">
        <v>306677212460</v>
      </c>
      <c r="F338" s="640" t="s">
        <v>3111</v>
      </c>
      <c r="G338" s="391" t="s">
        <v>3125</v>
      </c>
      <c r="H338" s="230" t="s">
        <v>210</v>
      </c>
      <c r="I338" s="230"/>
      <c r="J338" s="230">
        <v>2</v>
      </c>
      <c r="K338" s="230"/>
      <c r="L338" s="228"/>
      <c r="M338" s="257"/>
      <c r="N338" s="228" t="s">
        <v>3112</v>
      </c>
      <c r="O338" s="292" t="s">
        <v>3124</v>
      </c>
      <c r="P338" s="751" t="s">
        <v>3113</v>
      </c>
      <c r="Q338" s="2372"/>
      <c r="R338" s="752" t="s">
        <v>2966</v>
      </c>
      <c r="S338" s="2357"/>
      <c r="T338" s="3198"/>
      <c r="U338" s="2365"/>
      <c r="V338" s="256"/>
      <c r="W338" s="753">
        <f>1160000*2</f>
        <v>2320000</v>
      </c>
      <c r="X338" s="753">
        <v>1533600</v>
      </c>
      <c r="Y338" s="248"/>
      <c r="Z338" s="247"/>
      <c r="AA338" s="248"/>
      <c r="AB338" s="340">
        <f t="shared" si="102"/>
        <v>3853600</v>
      </c>
      <c r="AC338" s="347">
        <f t="shared" si="107"/>
        <v>0</v>
      </c>
      <c r="AD338" s="249"/>
      <c r="AE338" s="435">
        <f t="shared" si="110"/>
        <v>8562240</v>
      </c>
      <c r="AF338" s="342">
        <f t="shared" si="108"/>
        <v>12415840</v>
      </c>
      <c r="AG338" s="251">
        <f t="shared" si="109"/>
        <v>7927999.9999999991</v>
      </c>
      <c r="AH338" s="241"/>
      <c r="AI338" s="241"/>
      <c r="AJ338" s="241"/>
      <c r="AK338" s="194"/>
      <c r="AL338" s="195"/>
      <c r="AM338" s="195"/>
    </row>
    <row r="339" spans="2:39" ht="37.5" customHeight="1">
      <c r="B339" s="253">
        <v>14</v>
      </c>
      <c r="C339" s="244"/>
      <c r="D339" s="654" t="s">
        <v>3105</v>
      </c>
      <c r="E339" s="463">
        <v>106515179300</v>
      </c>
      <c r="F339" s="612" t="s">
        <v>3106</v>
      </c>
      <c r="G339" s="391" t="s">
        <v>3137</v>
      </c>
      <c r="H339" s="230" t="s">
        <v>1300</v>
      </c>
      <c r="I339" s="609">
        <v>1</v>
      </c>
      <c r="J339" s="230"/>
      <c r="K339" s="230"/>
      <c r="L339" s="228"/>
      <c r="M339" s="257"/>
      <c r="N339" s="228" t="s">
        <v>3136</v>
      </c>
      <c r="O339" s="748" t="s">
        <v>3135</v>
      </c>
      <c r="P339" s="638"/>
      <c r="Q339" s="1472"/>
      <c r="R339" s="638"/>
      <c r="S339" s="2357"/>
      <c r="T339" s="3199"/>
      <c r="U339" s="1472"/>
      <c r="V339" s="256"/>
      <c r="W339" s="324">
        <v>432000</v>
      </c>
      <c r="X339" s="753">
        <v>900000</v>
      </c>
      <c r="Y339" s="248"/>
      <c r="Z339" s="247"/>
      <c r="AA339" s="248"/>
      <c r="AB339" s="340">
        <f t="shared" si="102"/>
        <v>1332000</v>
      </c>
      <c r="AC339" s="347">
        <f t="shared" si="107"/>
        <v>0</v>
      </c>
      <c r="AD339" s="249"/>
      <c r="AE339" s="435">
        <f t="shared" si="110"/>
        <v>4173120.0000000005</v>
      </c>
      <c r="AF339" s="342">
        <f t="shared" si="108"/>
        <v>5505120</v>
      </c>
      <c r="AG339" s="251">
        <f t="shared" ref="AG339:AG344" si="111">+AE339/1.08</f>
        <v>3864000</v>
      </c>
      <c r="AH339" s="241"/>
      <c r="AI339" s="241"/>
      <c r="AJ339" s="241"/>
      <c r="AK339" s="194"/>
      <c r="AL339" s="195"/>
      <c r="AM339" s="195"/>
    </row>
    <row r="340" spans="2:39" ht="37.5" customHeight="1">
      <c r="B340" s="253">
        <v>15</v>
      </c>
      <c r="C340" s="244"/>
      <c r="D340" s="654" t="s">
        <v>3149</v>
      </c>
      <c r="E340" s="465" t="s">
        <v>3153</v>
      </c>
      <c r="F340" s="640" t="s">
        <v>3105</v>
      </c>
      <c r="G340" s="391" t="s">
        <v>3156</v>
      </c>
      <c r="H340" s="230" t="s">
        <v>1300</v>
      </c>
      <c r="I340" s="230"/>
      <c r="J340" s="230"/>
      <c r="K340" s="249">
        <v>1</v>
      </c>
      <c r="L340" s="228"/>
      <c r="M340" s="228" t="s">
        <v>3159</v>
      </c>
      <c r="N340" s="228">
        <v>78408711872</v>
      </c>
      <c r="O340" s="748"/>
      <c r="P340" s="638"/>
      <c r="Q340" s="1472"/>
      <c r="R340" s="254" t="s">
        <v>3144</v>
      </c>
      <c r="S340" s="2357"/>
      <c r="T340" s="3199"/>
      <c r="U340" s="1472"/>
      <c r="V340" s="324">
        <v>729324</v>
      </c>
      <c r="W340" s="754"/>
      <c r="X340" s="248"/>
      <c r="Y340" s="248"/>
      <c r="Z340" s="247"/>
      <c r="AA340" s="248"/>
      <c r="AB340" s="340">
        <f t="shared" si="102"/>
        <v>729324</v>
      </c>
      <c r="AC340" s="347">
        <f>+Z340</f>
        <v>0</v>
      </c>
      <c r="AD340" s="249"/>
      <c r="AE340" s="435">
        <f>(150000+1320000)*1.08</f>
        <v>1587600</v>
      </c>
      <c r="AF340" s="342">
        <f t="shared" si="108"/>
        <v>2316924</v>
      </c>
      <c r="AG340" s="251">
        <f t="shared" si="111"/>
        <v>1470000</v>
      </c>
      <c r="AH340" s="241"/>
      <c r="AI340" s="241"/>
      <c r="AJ340" s="241"/>
      <c r="AK340" s="194"/>
      <c r="AL340" s="195"/>
      <c r="AM340" s="195"/>
    </row>
    <row r="341" spans="2:39" ht="21" customHeight="1">
      <c r="B341" s="253">
        <v>19</v>
      </c>
      <c r="C341" s="244"/>
      <c r="D341" s="654" t="s">
        <v>3164</v>
      </c>
      <c r="E341" s="756" t="s">
        <v>3154</v>
      </c>
      <c r="F341" s="640" t="s">
        <v>3146</v>
      </c>
      <c r="G341" s="391" t="s">
        <v>3157</v>
      </c>
      <c r="H341" s="230" t="s">
        <v>1300</v>
      </c>
      <c r="I341" s="230"/>
      <c r="J341" s="230"/>
      <c r="K341" s="230">
        <v>1</v>
      </c>
      <c r="L341" s="609" t="s">
        <v>418</v>
      </c>
      <c r="M341" s="228" t="s">
        <v>3158</v>
      </c>
      <c r="N341" s="193" t="s">
        <v>3155</v>
      </c>
      <c r="O341" s="228"/>
      <c r="P341" s="245"/>
      <c r="Q341" s="2368"/>
      <c r="R341" s="195" t="s">
        <v>3167</v>
      </c>
      <c r="S341" s="2357"/>
      <c r="T341" s="2364"/>
      <c r="U341" s="2357"/>
      <c r="V341" s="324">
        <v>38880</v>
      </c>
      <c r="W341" s="248"/>
      <c r="X341" s="248"/>
      <c r="Y341" s="248"/>
      <c r="Z341" s="247"/>
      <c r="AA341" s="248"/>
      <c r="AB341" s="340">
        <f t="shared" si="102"/>
        <v>38880</v>
      </c>
      <c r="AC341" s="347">
        <f>+Z341</f>
        <v>0</v>
      </c>
      <c r="AD341" s="249"/>
      <c r="AE341" s="435">
        <f>(150000+1320000)*1.08</f>
        <v>1587600</v>
      </c>
      <c r="AF341" s="342">
        <f t="shared" si="108"/>
        <v>1626480</v>
      </c>
      <c r="AG341" s="251">
        <f t="shared" si="111"/>
        <v>1470000</v>
      </c>
      <c r="AH341" s="241"/>
      <c r="AI341" s="241"/>
      <c r="AJ341" s="241"/>
      <c r="AK341" s="194"/>
      <c r="AL341" s="195"/>
      <c r="AM341" s="195"/>
    </row>
    <row r="342" spans="2:39" ht="31.2">
      <c r="B342" s="253">
        <v>16</v>
      </c>
      <c r="C342" s="244"/>
      <c r="D342" s="654" t="s">
        <v>3146</v>
      </c>
      <c r="E342" s="474">
        <v>306689239900</v>
      </c>
      <c r="F342" s="640" t="s">
        <v>3146</v>
      </c>
      <c r="G342" s="391" t="s">
        <v>3169</v>
      </c>
      <c r="H342" s="230" t="s">
        <v>210</v>
      </c>
      <c r="I342" s="230"/>
      <c r="J342" s="230">
        <v>2</v>
      </c>
      <c r="K342" s="230"/>
      <c r="L342" s="228"/>
      <c r="M342" s="257"/>
      <c r="N342" s="228" t="s">
        <v>3147</v>
      </c>
      <c r="O342" s="254" t="s">
        <v>3168</v>
      </c>
      <c r="P342" s="245" t="s">
        <v>3148</v>
      </c>
      <c r="Q342" s="2368"/>
      <c r="R342" s="254" t="s">
        <v>2760</v>
      </c>
      <c r="S342" s="2357"/>
      <c r="T342" s="2364"/>
      <c r="U342" s="2357"/>
      <c r="V342" s="256"/>
      <c r="W342" s="753">
        <f>1300000*2</f>
        <v>2600000</v>
      </c>
      <c r="X342" s="753">
        <v>1533600</v>
      </c>
      <c r="Y342" s="248"/>
      <c r="Z342" s="247"/>
      <c r="AA342" s="248"/>
      <c r="AB342" s="340">
        <f t="shared" si="102"/>
        <v>4133600</v>
      </c>
      <c r="AC342" s="347">
        <f>+Z342</f>
        <v>0</v>
      </c>
      <c r="AD342" s="249"/>
      <c r="AE342" s="435">
        <f>+(I342*3714000+J342*(3714000+100000))*1.08+((I342+J342+K342)*150000)*1.08</f>
        <v>8562240</v>
      </c>
      <c r="AF342" s="342">
        <f t="shared" si="108"/>
        <v>12695840</v>
      </c>
      <c r="AG342" s="251">
        <f t="shared" si="111"/>
        <v>7927999.9999999991</v>
      </c>
      <c r="AH342" s="241"/>
      <c r="AI342" s="241"/>
      <c r="AJ342" s="241"/>
      <c r="AK342" s="194"/>
      <c r="AL342" s="195"/>
      <c r="AM342" s="195"/>
    </row>
    <row r="343" spans="2:39" ht="31.2">
      <c r="B343" s="253">
        <v>17</v>
      </c>
      <c r="C343" s="244"/>
      <c r="D343" s="654" t="s">
        <v>3149</v>
      </c>
      <c r="E343" s="529">
        <v>306692247760</v>
      </c>
      <c r="F343" s="640" t="s">
        <v>3149</v>
      </c>
      <c r="G343" s="391" t="s">
        <v>3169</v>
      </c>
      <c r="H343" s="230" t="s">
        <v>210</v>
      </c>
      <c r="I343" s="230"/>
      <c r="J343" s="230">
        <v>2</v>
      </c>
      <c r="K343" s="230"/>
      <c r="L343" s="228"/>
      <c r="M343" s="257"/>
      <c r="N343" s="228" t="s">
        <v>3150</v>
      </c>
      <c r="O343" s="254" t="s">
        <v>3173</v>
      </c>
      <c r="P343" s="245" t="s">
        <v>3148</v>
      </c>
      <c r="Q343" s="2368"/>
      <c r="R343" s="254" t="s">
        <v>2760</v>
      </c>
      <c r="S343" s="2357"/>
      <c r="T343" s="2364"/>
      <c r="U343" s="2357"/>
      <c r="V343" s="256"/>
      <c r="W343" s="753">
        <f>1300000*2</f>
        <v>2600000</v>
      </c>
      <c r="X343" s="753">
        <v>1533600</v>
      </c>
      <c r="Y343" s="248"/>
      <c r="Z343" s="247"/>
      <c r="AA343" s="248"/>
      <c r="AB343" s="340">
        <f t="shared" si="102"/>
        <v>4133600</v>
      </c>
      <c r="AC343" s="347">
        <f>+Z343</f>
        <v>0</v>
      </c>
      <c r="AD343" s="249"/>
      <c r="AE343" s="435">
        <f>+(I343*3714000+J343*(3714000+100000))*1.08+((I343+J343+K343)*150000)*1.08</f>
        <v>8562240</v>
      </c>
      <c r="AF343" s="342">
        <f t="shared" si="108"/>
        <v>12695840</v>
      </c>
      <c r="AG343" s="251">
        <f t="shared" si="111"/>
        <v>7927999.9999999991</v>
      </c>
      <c r="AH343" s="241"/>
      <c r="AI343" s="241"/>
      <c r="AJ343" s="241"/>
      <c r="AK343" s="194"/>
      <c r="AL343" s="195"/>
      <c r="AM343" s="195"/>
    </row>
    <row r="344" spans="2:39" ht="36.75" customHeight="1">
      <c r="B344" s="253">
        <v>18</v>
      </c>
      <c r="C344" s="244"/>
      <c r="D344" s="654" t="s">
        <v>3149</v>
      </c>
      <c r="E344" s="708">
        <v>306692254100</v>
      </c>
      <c r="F344" s="640" t="s">
        <v>3149</v>
      </c>
      <c r="G344" s="391" t="s">
        <v>3171</v>
      </c>
      <c r="H344" s="230" t="s">
        <v>210</v>
      </c>
      <c r="I344" s="230"/>
      <c r="J344" s="230">
        <v>1</v>
      </c>
      <c r="K344" s="230"/>
      <c r="L344" s="228"/>
      <c r="M344" s="757" t="s">
        <v>3170</v>
      </c>
      <c r="N344" s="228" t="s">
        <v>3151</v>
      </c>
      <c r="O344" s="228" t="s">
        <v>3172</v>
      </c>
      <c r="P344" s="245" t="s">
        <v>3148</v>
      </c>
      <c r="Q344" s="2368"/>
      <c r="R344" s="254" t="s">
        <v>3152</v>
      </c>
      <c r="S344" s="2357"/>
      <c r="T344" s="2364"/>
      <c r="U344" s="2357"/>
      <c r="V344" s="256"/>
      <c r="W344" s="753">
        <v>1300000</v>
      </c>
      <c r="X344" s="753">
        <v>1140000</v>
      </c>
      <c r="Y344" s="248"/>
      <c r="Z344" s="247"/>
      <c r="AA344" s="248"/>
      <c r="AB344" s="340">
        <f t="shared" si="102"/>
        <v>2440000</v>
      </c>
      <c r="AC344" s="347">
        <f>+Z344</f>
        <v>0</v>
      </c>
      <c r="AD344" s="249"/>
      <c r="AE344" s="435">
        <f>+(I344*3714000+J344*(3714000+100000))*1.08+((I344+J344+K344)*150000)*1.08</f>
        <v>4281120</v>
      </c>
      <c r="AF344" s="342">
        <f t="shared" si="108"/>
        <v>6721120</v>
      </c>
      <c r="AG344" s="251">
        <f t="shared" si="111"/>
        <v>3963999.9999999995</v>
      </c>
      <c r="AH344" s="241"/>
      <c r="AI344" s="241"/>
      <c r="AJ344" s="241"/>
      <c r="AK344" s="194"/>
      <c r="AL344" s="195"/>
      <c r="AM344" s="195"/>
    </row>
    <row r="345" spans="2:39">
      <c r="B345" s="3405" t="s">
        <v>3132</v>
      </c>
      <c r="C345" s="3312"/>
      <c r="D345" s="3312"/>
      <c r="E345" s="3312"/>
      <c r="F345" s="3312"/>
      <c r="G345" s="3312"/>
      <c r="H345" s="3312"/>
      <c r="I345" s="3312"/>
      <c r="J345" s="3312"/>
      <c r="K345" s="3312"/>
      <c r="L345" s="3312"/>
      <c r="M345" s="346"/>
      <c r="N345" s="346"/>
      <c r="O345" s="346"/>
      <c r="P345" s="346"/>
      <c r="Q345" s="346"/>
      <c r="R345" s="346"/>
      <c r="S345" s="346"/>
      <c r="T345" s="346"/>
      <c r="U345" s="346"/>
      <c r="V345" s="590"/>
      <c r="W345" s="590"/>
      <c r="X345" s="590"/>
      <c r="Y345" s="357"/>
      <c r="Z345" s="357"/>
      <c r="AA345" s="357"/>
      <c r="AB345" s="358">
        <f>SUM(AB326:AB344)</f>
        <v>46162957</v>
      </c>
      <c r="AC345" s="358"/>
      <c r="AD345" s="358"/>
      <c r="AE345" s="358">
        <f>SUM(AE326:AE344)</f>
        <v>102180852</v>
      </c>
      <c r="AF345" s="358">
        <f>SUM(AF326:AF344)</f>
        <v>148343809</v>
      </c>
      <c r="AG345" s="358">
        <f>SUM(AG326:AG344)</f>
        <v>94611900</v>
      </c>
      <c r="AH345" s="241"/>
      <c r="AI345" s="241"/>
      <c r="AJ345" s="241"/>
      <c r="AK345" s="194"/>
      <c r="AL345" s="195"/>
      <c r="AM345" s="195"/>
    </row>
    <row r="346" spans="2:39">
      <c r="B346" s="253">
        <v>1</v>
      </c>
      <c r="C346" s="244"/>
      <c r="D346" s="654" t="s">
        <v>3194</v>
      </c>
      <c r="E346" s="708">
        <v>306711832360</v>
      </c>
      <c r="F346" s="640" t="s">
        <v>3194</v>
      </c>
      <c r="G346" s="391" t="s">
        <v>3232</v>
      </c>
      <c r="H346" s="230" t="s">
        <v>210</v>
      </c>
      <c r="I346" s="230"/>
      <c r="J346" s="230">
        <v>1</v>
      </c>
      <c r="K346" s="230"/>
      <c r="L346" s="228"/>
      <c r="M346" s="257"/>
      <c r="N346" s="228" t="s">
        <v>3195</v>
      </c>
      <c r="O346" s="228" t="s">
        <v>3230</v>
      </c>
      <c r="P346" s="245" t="s">
        <v>3199</v>
      </c>
      <c r="Q346" s="2368"/>
      <c r="R346" s="254" t="s">
        <v>2966</v>
      </c>
      <c r="S346" s="2357"/>
      <c r="T346" s="228"/>
      <c r="U346" s="2357"/>
      <c r="V346" s="256"/>
      <c r="W346" s="753">
        <v>1160000</v>
      </c>
      <c r="X346" s="753">
        <v>766800</v>
      </c>
      <c r="Y346" s="248"/>
      <c r="Z346" s="247"/>
      <c r="AA346" s="248"/>
      <c r="AB346" s="340">
        <f t="shared" ref="AB346:AB357" si="112">V346+W346+X346+Y346+Z346+AA346</f>
        <v>1926800</v>
      </c>
      <c r="AC346" s="347">
        <f>+Z346</f>
        <v>0</v>
      </c>
      <c r="AD346" s="249"/>
      <c r="AE346" s="435">
        <f t="shared" ref="AE346:AE355" si="113">+(I346*3650000+J346*(3650000+100000))*1.08+((I346+J346+K346)*150000)*1.08</f>
        <v>4212000</v>
      </c>
      <c r="AF346" s="342">
        <f>+AB346+AE346</f>
        <v>6138800</v>
      </c>
      <c r="AG346" s="251">
        <f>+AE346/1.08</f>
        <v>3899999.9999999995</v>
      </c>
      <c r="AH346" s="241"/>
      <c r="AI346" s="241"/>
      <c r="AJ346" s="241"/>
      <c r="AK346" s="194"/>
      <c r="AL346" s="195"/>
      <c r="AM346" s="195"/>
    </row>
    <row r="347" spans="2:39">
      <c r="B347" s="253">
        <v>2</v>
      </c>
      <c r="C347" s="244"/>
      <c r="D347" s="654" t="s">
        <v>3194</v>
      </c>
      <c r="E347" s="708">
        <v>306710430300</v>
      </c>
      <c r="F347" s="640" t="s">
        <v>3194</v>
      </c>
      <c r="G347" s="391" t="s">
        <v>3231</v>
      </c>
      <c r="H347" s="230" t="s">
        <v>210</v>
      </c>
      <c r="I347" s="230"/>
      <c r="J347" s="230">
        <v>1</v>
      </c>
      <c r="K347" s="230"/>
      <c r="L347" s="228"/>
      <c r="M347" s="257"/>
      <c r="N347" s="228" t="s">
        <v>3197</v>
      </c>
      <c r="O347" s="228" t="s">
        <v>3229</v>
      </c>
      <c r="P347" s="245" t="s">
        <v>3198</v>
      </c>
      <c r="Q347" s="2368"/>
      <c r="R347" s="254" t="s">
        <v>2966</v>
      </c>
      <c r="S347" s="2357"/>
      <c r="T347" s="228"/>
      <c r="U347" s="2357"/>
      <c r="V347" s="256"/>
      <c r="W347" s="753">
        <v>1160000</v>
      </c>
      <c r="X347" s="753">
        <v>766800</v>
      </c>
      <c r="Y347" s="248"/>
      <c r="Z347" s="247"/>
      <c r="AA347" s="248"/>
      <c r="AB347" s="340">
        <f t="shared" si="112"/>
        <v>1926800</v>
      </c>
      <c r="AC347" s="347">
        <f>+Z347</f>
        <v>0</v>
      </c>
      <c r="AD347" s="249"/>
      <c r="AE347" s="435">
        <f t="shared" si="113"/>
        <v>4212000</v>
      </c>
      <c r="AF347" s="342">
        <f>+AB347+AE347</f>
        <v>6138800</v>
      </c>
      <c r="AG347" s="251">
        <f>+AE347/1.08</f>
        <v>3899999.9999999995</v>
      </c>
      <c r="AH347" s="241"/>
      <c r="AI347" s="241"/>
      <c r="AJ347" s="241"/>
      <c r="AK347" s="194"/>
      <c r="AL347" s="195"/>
      <c r="AM347" s="195"/>
    </row>
    <row r="348" spans="2:39">
      <c r="B348" s="253">
        <v>3</v>
      </c>
      <c r="C348" s="244"/>
      <c r="D348" s="654" t="s">
        <v>3208</v>
      </c>
      <c r="E348" s="708">
        <v>306723938860</v>
      </c>
      <c r="F348" s="640" t="s">
        <v>3208</v>
      </c>
      <c r="G348" s="391" t="s">
        <v>3233</v>
      </c>
      <c r="H348" s="230" t="s">
        <v>210</v>
      </c>
      <c r="I348" s="230"/>
      <c r="J348" s="230">
        <v>1</v>
      </c>
      <c r="K348" s="230"/>
      <c r="L348" s="228"/>
      <c r="M348" s="257"/>
      <c r="N348" s="228" t="s">
        <v>3212</v>
      </c>
      <c r="O348" s="228" t="s">
        <v>3246</v>
      </c>
      <c r="P348" s="245" t="s">
        <v>3213</v>
      </c>
      <c r="Q348" s="2368"/>
      <c r="R348" s="254" t="s">
        <v>2966</v>
      </c>
      <c r="S348" s="2357"/>
      <c r="T348" s="228"/>
      <c r="U348" s="2357"/>
      <c r="V348" s="256"/>
      <c r="W348" s="753">
        <v>1160000</v>
      </c>
      <c r="X348" s="753">
        <v>766800</v>
      </c>
      <c r="Y348" s="248"/>
      <c r="Z348" s="247"/>
      <c r="AA348" s="248"/>
      <c r="AB348" s="340">
        <f t="shared" si="112"/>
        <v>1926800</v>
      </c>
      <c r="AC348" s="347">
        <f>+Z348</f>
        <v>0</v>
      </c>
      <c r="AD348" s="249"/>
      <c r="AE348" s="435">
        <f t="shared" si="113"/>
        <v>4212000</v>
      </c>
      <c r="AF348" s="342">
        <f>+AB348+AE348</f>
        <v>6138800</v>
      </c>
      <c r="AG348" s="251">
        <f>+AE348/1.08</f>
        <v>3899999.9999999995</v>
      </c>
      <c r="AH348" s="241"/>
      <c r="AI348" s="241"/>
      <c r="AJ348" s="241"/>
      <c r="AK348" s="194"/>
      <c r="AL348" s="195"/>
      <c r="AM348" s="195"/>
    </row>
    <row r="349" spans="2:39" ht="31.2">
      <c r="B349" s="253">
        <v>4</v>
      </c>
      <c r="C349" s="244"/>
      <c r="D349" s="654" t="s">
        <v>3237</v>
      </c>
      <c r="E349" s="463" t="s">
        <v>3238</v>
      </c>
      <c r="F349" s="640" t="s">
        <v>3239</v>
      </c>
      <c r="G349" s="391" t="s">
        <v>3243</v>
      </c>
      <c r="H349" s="230" t="s">
        <v>206</v>
      </c>
      <c r="I349" s="230"/>
      <c r="J349" s="230">
        <v>1</v>
      </c>
      <c r="K349" s="230"/>
      <c r="L349" s="228"/>
      <c r="M349" s="257"/>
      <c r="N349" s="228" t="s">
        <v>3240</v>
      </c>
      <c r="O349" s="228" t="s">
        <v>3241</v>
      </c>
      <c r="P349" s="245"/>
      <c r="Q349" s="2368"/>
      <c r="R349" s="254" t="s">
        <v>2760</v>
      </c>
      <c r="S349" s="2357"/>
      <c r="T349" s="228"/>
      <c r="U349" s="2357"/>
      <c r="V349" s="256"/>
      <c r="W349" s="324">
        <v>1312200</v>
      </c>
      <c r="X349" s="753">
        <v>1450000</v>
      </c>
      <c r="Y349" s="248"/>
      <c r="Z349" s="247"/>
      <c r="AA349" s="248"/>
      <c r="AB349" s="340">
        <f t="shared" si="112"/>
        <v>2762200</v>
      </c>
      <c r="AC349" s="347">
        <f>+Z349</f>
        <v>0</v>
      </c>
      <c r="AD349" s="249"/>
      <c r="AE349" s="435">
        <f t="shared" si="113"/>
        <v>4212000</v>
      </c>
      <c r="AF349" s="342">
        <f>+AB349+AE349</f>
        <v>6974200</v>
      </c>
      <c r="AG349" s="251">
        <f>+AE349/1.08</f>
        <v>3899999.9999999995</v>
      </c>
      <c r="AH349" s="241"/>
      <c r="AI349" s="241"/>
      <c r="AJ349" s="241"/>
      <c r="AK349" s="194"/>
      <c r="AL349" s="195"/>
      <c r="AM349" s="195"/>
    </row>
    <row r="350" spans="2:39" ht="31.2">
      <c r="B350" s="253">
        <v>5</v>
      </c>
      <c r="C350" s="244"/>
      <c r="D350" s="654" t="s">
        <v>3298</v>
      </c>
      <c r="E350" s="708">
        <v>306744993500</v>
      </c>
      <c r="F350" s="640" t="s">
        <v>3298</v>
      </c>
      <c r="G350" s="391" t="s">
        <v>3311</v>
      </c>
      <c r="H350" s="230" t="s">
        <v>210</v>
      </c>
      <c r="I350" s="230"/>
      <c r="J350" s="230">
        <v>2</v>
      </c>
      <c r="K350" s="230"/>
      <c r="L350" s="228"/>
      <c r="M350" s="257"/>
      <c r="N350" s="228" t="s">
        <v>3299</v>
      </c>
      <c r="O350" s="254" t="s">
        <v>3310</v>
      </c>
      <c r="P350" s="245" t="s">
        <v>3302</v>
      </c>
      <c r="Q350" s="2368"/>
      <c r="R350" s="254" t="s">
        <v>2966</v>
      </c>
      <c r="S350" s="2357"/>
      <c r="T350" s="228"/>
      <c r="U350" s="2357"/>
      <c r="V350" s="256"/>
      <c r="W350" s="753">
        <f>1100000+1300000</f>
        <v>2400000</v>
      </c>
      <c r="X350" s="753">
        <v>1533600</v>
      </c>
      <c r="Y350" s="248"/>
      <c r="Z350" s="247"/>
      <c r="AA350" s="248"/>
      <c r="AB350" s="340">
        <f t="shared" si="112"/>
        <v>3933600</v>
      </c>
      <c r="AC350" s="347">
        <f t="shared" ref="AC350:AC355" si="114">+Z350</f>
        <v>0</v>
      </c>
      <c r="AD350" s="249"/>
      <c r="AE350" s="435">
        <f t="shared" si="113"/>
        <v>8424000</v>
      </c>
      <c r="AF350" s="342">
        <f t="shared" ref="AF350:AF355" si="115">+AB350+AE350</f>
        <v>12357600</v>
      </c>
      <c r="AG350" s="251">
        <f t="shared" ref="AG350:AG355" si="116">+AE350/1.08</f>
        <v>7799999.9999999991</v>
      </c>
      <c r="AH350" s="241"/>
      <c r="AI350" s="241"/>
      <c r="AJ350" s="241"/>
      <c r="AK350" s="194"/>
      <c r="AL350" s="195"/>
      <c r="AM350" s="195"/>
    </row>
    <row r="351" spans="2:39" ht="31.2">
      <c r="B351" s="253">
        <v>6</v>
      </c>
      <c r="C351" s="244"/>
      <c r="D351" s="654" t="s">
        <v>3298</v>
      </c>
      <c r="E351" s="708">
        <v>306746387200</v>
      </c>
      <c r="F351" s="640" t="s">
        <v>3298</v>
      </c>
      <c r="G351" s="391" t="s">
        <v>3312</v>
      </c>
      <c r="H351" s="230" t="s">
        <v>210</v>
      </c>
      <c r="I351" s="230">
        <v>1</v>
      </c>
      <c r="J351" s="230">
        <v>1</v>
      </c>
      <c r="K351" s="230"/>
      <c r="L351" s="228"/>
      <c r="M351" s="257"/>
      <c r="N351" s="228" t="s">
        <v>3301</v>
      </c>
      <c r="O351" s="254" t="s">
        <v>3313</v>
      </c>
      <c r="P351" s="245" t="s">
        <v>3300</v>
      </c>
      <c r="Q351" s="2368"/>
      <c r="R351" s="254" t="s">
        <v>2966</v>
      </c>
      <c r="S351" s="2357"/>
      <c r="T351" s="228"/>
      <c r="U351" s="2357"/>
      <c r="V351" s="256"/>
      <c r="W351" s="753">
        <f>1160000+795000</f>
        <v>1955000</v>
      </c>
      <c r="X351" s="753">
        <v>1198800</v>
      </c>
      <c r="Y351" s="248"/>
      <c r="Z351" s="247"/>
      <c r="AA351" s="248"/>
      <c r="AB351" s="340">
        <f t="shared" si="112"/>
        <v>3153800</v>
      </c>
      <c r="AC351" s="347">
        <f t="shared" si="114"/>
        <v>0</v>
      </c>
      <c r="AD351" s="249"/>
      <c r="AE351" s="435">
        <f t="shared" si="113"/>
        <v>8316000.0000000009</v>
      </c>
      <c r="AF351" s="342">
        <f t="shared" si="115"/>
        <v>11469800</v>
      </c>
      <c r="AG351" s="251">
        <f t="shared" si="116"/>
        <v>7700000</v>
      </c>
      <c r="AH351" s="241"/>
      <c r="AI351" s="241"/>
      <c r="AJ351" s="241"/>
      <c r="AK351" s="194"/>
      <c r="AL351" s="195"/>
      <c r="AM351" s="195"/>
    </row>
    <row r="352" spans="2:39">
      <c r="B352" s="253">
        <v>7</v>
      </c>
      <c r="C352" s="244"/>
      <c r="D352" s="654" t="s">
        <v>3281</v>
      </c>
      <c r="E352" s="708">
        <v>306748136500</v>
      </c>
      <c r="F352" s="640" t="s">
        <v>3281</v>
      </c>
      <c r="G352" s="391" t="s">
        <v>3327</v>
      </c>
      <c r="H352" s="230" t="s">
        <v>210</v>
      </c>
      <c r="I352" s="230"/>
      <c r="J352" s="230">
        <v>1</v>
      </c>
      <c r="K352" s="230"/>
      <c r="L352" s="228"/>
      <c r="M352" s="257"/>
      <c r="N352" s="228">
        <v>244204550</v>
      </c>
      <c r="O352" s="228" t="s">
        <v>3326</v>
      </c>
      <c r="P352" s="245" t="s">
        <v>3303</v>
      </c>
      <c r="Q352" s="2368"/>
      <c r="R352" s="254" t="s">
        <v>2966</v>
      </c>
      <c r="S352" s="2357"/>
      <c r="T352" s="228"/>
      <c r="U352" s="2357"/>
      <c r="V352" s="256"/>
      <c r="W352" s="753">
        <v>1160000</v>
      </c>
      <c r="X352" s="753">
        <v>766800</v>
      </c>
      <c r="Y352" s="248"/>
      <c r="Z352" s="247"/>
      <c r="AA352" s="248"/>
      <c r="AB352" s="340">
        <f t="shared" si="112"/>
        <v>1926800</v>
      </c>
      <c r="AC352" s="347">
        <f t="shared" si="114"/>
        <v>0</v>
      </c>
      <c r="AD352" s="249"/>
      <c r="AE352" s="435">
        <f t="shared" si="113"/>
        <v>4212000</v>
      </c>
      <c r="AF352" s="342">
        <f t="shared" si="115"/>
        <v>6138800</v>
      </c>
      <c r="AG352" s="251">
        <f t="shared" si="116"/>
        <v>3899999.9999999995</v>
      </c>
      <c r="AH352" s="241"/>
      <c r="AI352" s="241"/>
      <c r="AJ352" s="241"/>
      <c r="AK352" s="194"/>
      <c r="AL352" s="195"/>
      <c r="AM352" s="195"/>
    </row>
    <row r="353" spans="2:40">
      <c r="B353" s="253">
        <v>8</v>
      </c>
      <c r="C353" s="244"/>
      <c r="D353" s="654" t="s">
        <v>3315</v>
      </c>
      <c r="E353" s="466">
        <v>106575011101</v>
      </c>
      <c r="F353" s="640" t="s">
        <v>3279</v>
      </c>
      <c r="G353" s="391" t="s">
        <v>3328</v>
      </c>
      <c r="H353" s="230" t="s">
        <v>206</v>
      </c>
      <c r="I353" s="230">
        <v>1</v>
      </c>
      <c r="J353" s="230"/>
      <c r="K353" s="230"/>
      <c r="L353" s="544" t="s">
        <v>136</v>
      </c>
      <c r="M353" s="257"/>
      <c r="N353" s="228" t="s">
        <v>3322</v>
      </c>
      <c r="O353" s="228" t="s">
        <v>3323</v>
      </c>
      <c r="P353" s="378" t="s">
        <v>3279</v>
      </c>
      <c r="Q353" s="2373"/>
      <c r="R353" s="254" t="s">
        <v>2760</v>
      </c>
      <c r="S353" s="2357"/>
      <c r="T353" s="228"/>
      <c r="U353" s="2357"/>
      <c r="V353" s="256"/>
      <c r="W353" s="324">
        <v>432000</v>
      </c>
      <c r="X353" s="753">
        <v>890000</v>
      </c>
      <c r="Y353" s="248"/>
      <c r="Z353" s="247"/>
      <c r="AA353" s="248"/>
      <c r="AB353" s="340">
        <f t="shared" si="112"/>
        <v>1322000</v>
      </c>
      <c r="AC353" s="347">
        <f t="shared" si="114"/>
        <v>0</v>
      </c>
      <c r="AD353" s="249"/>
      <c r="AE353" s="435">
        <f t="shared" si="113"/>
        <v>4104000.0000000005</v>
      </c>
      <c r="AF353" s="342">
        <f t="shared" si="115"/>
        <v>5426000</v>
      </c>
      <c r="AG353" s="251">
        <f t="shared" si="116"/>
        <v>3800000</v>
      </c>
      <c r="AH353" s="241"/>
      <c r="AI353" s="241"/>
      <c r="AJ353" s="241"/>
      <c r="AK353" s="194"/>
      <c r="AL353" s="195"/>
      <c r="AM353" s="195"/>
    </row>
    <row r="354" spans="2:40">
      <c r="B354" s="253">
        <v>9</v>
      </c>
      <c r="C354" s="244"/>
      <c r="D354" s="654" t="s">
        <v>3345</v>
      </c>
      <c r="E354" s="708">
        <v>306759900440</v>
      </c>
      <c r="F354" s="640" t="s">
        <v>3345</v>
      </c>
      <c r="G354" s="391" t="s">
        <v>3366</v>
      </c>
      <c r="H354" s="230" t="s">
        <v>210</v>
      </c>
      <c r="I354" s="230"/>
      <c r="J354" s="230">
        <v>1</v>
      </c>
      <c r="K354" s="230"/>
      <c r="L354" s="228"/>
      <c r="M354" s="257"/>
      <c r="N354" s="228" t="s">
        <v>3346</v>
      </c>
      <c r="O354" s="228" t="s">
        <v>3367</v>
      </c>
      <c r="P354" s="245" t="s">
        <v>3368</v>
      </c>
      <c r="Q354" s="2368"/>
      <c r="R354" s="254" t="s">
        <v>2966</v>
      </c>
      <c r="S354" s="2357"/>
      <c r="T354" s="228"/>
      <c r="U354" s="2357"/>
      <c r="V354" s="256"/>
      <c r="W354" s="753">
        <v>1160000</v>
      </c>
      <c r="X354" s="753">
        <v>766800</v>
      </c>
      <c r="Y354" s="248"/>
      <c r="Z354" s="247"/>
      <c r="AA354" s="248"/>
      <c r="AB354" s="340">
        <f t="shared" si="112"/>
        <v>1926800</v>
      </c>
      <c r="AC354" s="347">
        <f t="shared" si="114"/>
        <v>0</v>
      </c>
      <c r="AD354" s="249"/>
      <c r="AE354" s="435">
        <f t="shared" si="113"/>
        <v>4212000</v>
      </c>
      <c r="AF354" s="342">
        <f t="shared" si="115"/>
        <v>6138800</v>
      </c>
      <c r="AG354" s="251">
        <f t="shared" si="116"/>
        <v>3899999.9999999995</v>
      </c>
      <c r="AH354" s="241"/>
      <c r="AI354" s="241"/>
      <c r="AJ354" s="241"/>
      <c r="AK354" s="194"/>
      <c r="AL354" s="195"/>
      <c r="AM354" s="195"/>
    </row>
    <row r="355" spans="2:40" ht="31.2">
      <c r="B355" s="253">
        <v>10</v>
      </c>
      <c r="C355" s="244"/>
      <c r="D355" s="654" t="s">
        <v>3352</v>
      </c>
      <c r="E355" s="708">
        <v>306766932200</v>
      </c>
      <c r="F355" s="640" t="s">
        <v>3352</v>
      </c>
      <c r="G355" s="391" t="s">
        <v>3379</v>
      </c>
      <c r="H355" s="230" t="s">
        <v>210</v>
      </c>
      <c r="I355" s="230">
        <v>1</v>
      </c>
      <c r="J355" s="230"/>
      <c r="K355" s="230"/>
      <c r="L355" s="228"/>
      <c r="M355" s="257"/>
      <c r="N355" s="228" t="s">
        <v>3347</v>
      </c>
      <c r="O355" s="228" t="s">
        <v>3377</v>
      </c>
      <c r="P355" s="245" t="s">
        <v>3378</v>
      </c>
      <c r="Q355" s="2368"/>
      <c r="R355" s="254" t="s">
        <v>3351</v>
      </c>
      <c r="S355" s="2357"/>
      <c r="T355" s="228"/>
      <c r="U355" s="2357"/>
      <c r="V355" s="256"/>
      <c r="W355" s="753">
        <v>900000</v>
      </c>
      <c r="X355" s="753">
        <v>700000</v>
      </c>
      <c r="Y355" s="248"/>
      <c r="Z355" s="247"/>
      <c r="AA355" s="248"/>
      <c r="AB355" s="340">
        <f t="shared" si="112"/>
        <v>1600000</v>
      </c>
      <c r="AC355" s="347">
        <f t="shared" si="114"/>
        <v>0</v>
      </c>
      <c r="AD355" s="249"/>
      <c r="AE355" s="435">
        <f t="shared" si="113"/>
        <v>4104000.0000000005</v>
      </c>
      <c r="AF355" s="342">
        <f t="shared" si="115"/>
        <v>5704000</v>
      </c>
      <c r="AG355" s="251">
        <f t="shared" si="116"/>
        <v>3800000</v>
      </c>
      <c r="AH355" s="241"/>
      <c r="AI355" s="241"/>
      <c r="AJ355" s="241"/>
      <c r="AK355" s="194"/>
      <c r="AL355" s="195"/>
      <c r="AM355" s="195"/>
    </row>
    <row r="356" spans="2:40">
      <c r="B356" s="253">
        <v>11</v>
      </c>
      <c r="C356" s="244"/>
      <c r="D356" s="990" t="s">
        <v>3360</v>
      </c>
      <c r="E356" s="466">
        <v>106600328000</v>
      </c>
      <c r="F356" s="640" t="s">
        <v>3388</v>
      </c>
      <c r="G356" s="391" t="s">
        <v>3394</v>
      </c>
      <c r="H356" s="230" t="s">
        <v>206</v>
      </c>
      <c r="I356" s="230"/>
      <c r="J356" s="230"/>
      <c r="K356" s="230">
        <v>1</v>
      </c>
      <c r="L356" s="490" t="s">
        <v>418</v>
      </c>
      <c r="M356" s="257" t="s">
        <v>3395</v>
      </c>
      <c r="N356" s="228" t="s">
        <v>3392</v>
      </c>
      <c r="O356" s="228"/>
      <c r="P356" s="245" t="s">
        <v>3372</v>
      </c>
      <c r="Q356" s="2368"/>
      <c r="R356" s="254" t="s">
        <v>2760</v>
      </c>
      <c r="S356" s="2357"/>
      <c r="T356" s="228"/>
      <c r="U356" s="2357"/>
      <c r="V356" s="256"/>
      <c r="W356" s="248"/>
      <c r="X356" s="248"/>
      <c r="Y356" s="248"/>
      <c r="Z356" s="247"/>
      <c r="AA356" s="248"/>
      <c r="AB356" s="340">
        <f t="shared" si="112"/>
        <v>0</v>
      </c>
      <c r="AC356" s="347">
        <f>+Z356</f>
        <v>0</v>
      </c>
      <c r="AD356" s="391" t="s">
        <v>3398</v>
      </c>
      <c r="AE356" s="435">
        <f>(150000+3700000)*1.08</f>
        <v>4158000.0000000005</v>
      </c>
      <c r="AF356" s="342">
        <f>+AB356+AE356</f>
        <v>4158000.0000000005</v>
      </c>
      <c r="AG356" s="251">
        <f>+AE356/1.08</f>
        <v>3850000</v>
      </c>
      <c r="AH356" s="241"/>
      <c r="AI356" s="241"/>
      <c r="AJ356" s="241"/>
      <c r="AK356" s="194"/>
      <c r="AL356" s="195"/>
      <c r="AM356" s="195"/>
    </row>
    <row r="357" spans="2:40">
      <c r="B357" s="253">
        <v>12</v>
      </c>
      <c r="C357" s="244"/>
      <c r="D357" s="654" t="s">
        <v>3416</v>
      </c>
      <c r="E357" s="466">
        <v>106607223700</v>
      </c>
      <c r="F357" s="612" t="s">
        <v>3360</v>
      </c>
      <c r="G357" s="391" t="s">
        <v>3396</v>
      </c>
      <c r="H357" s="230" t="s">
        <v>206</v>
      </c>
      <c r="I357" s="230"/>
      <c r="J357" s="230"/>
      <c r="K357" s="230">
        <v>1</v>
      </c>
      <c r="L357" s="490" t="s">
        <v>418</v>
      </c>
      <c r="M357" s="257" t="s">
        <v>3393</v>
      </c>
      <c r="N357" s="228" t="s">
        <v>3391</v>
      </c>
      <c r="O357" s="981"/>
      <c r="P357" s="245" t="s">
        <v>3397</v>
      </c>
      <c r="Q357" s="2368"/>
      <c r="R357" s="254" t="s">
        <v>2760</v>
      </c>
      <c r="S357" s="2357"/>
      <c r="T357" s="228"/>
      <c r="U357" s="2357"/>
      <c r="V357" s="256"/>
      <c r="W357" s="248"/>
      <c r="X357" s="248"/>
      <c r="Y357" s="248"/>
      <c r="Z357" s="247"/>
      <c r="AA357" s="248"/>
      <c r="AB357" s="340">
        <f t="shared" si="112"/>
        <v>0</v>
      </c>
      <c r="AC357" s="347">
        <f>+Z357</f>
        <v>0</v>
      </c>
      <c r="AD357" s="249"/>
      <c r="AE357" s="435">
        <f>(150000+2520000)*1.08</f>
        <v>2883600</v>
      </c>
      <c r="AF357" s="342">
        <f>+AB357+AE357</f>
        <v>2883600</v>
      </c>
      <c r="AG357" s="251">
        <f>+AE357/1.08</f>
        <v>2670000</v>
      </c>
      <c r="AH357" s="241"/>
      <c r="AI357" s="241"/>
      <c r="AJ357" s="241"/>
      <c r="AK357" s="194"/>
      <c r="AL357" s="195"/>
      <c r="AM357" s="195"/>
    </row>
    <row r="358" spans="2:40">
      <c r="B358" s="3405" t="s">
        <v>3330</v>
      </c>
      <c r="C358" s="3312"/>
      <c r="D358" s="3312"/>
      <c r="E358" s="3312"/>
      <c r="F358" s="3312"/>
      <c r="G358" s="3312"/>
      <c r="H358" s="3312"/>
      <c r="I358" s="3312"/>
      <c r="J358" s="3312"/>
      <c r="K358" s="3312"/>
      <c r="L358" s="3312"/>
      <c r="M358" s="346"/>
      <c r="N358" s="346"/>
      <c r="O358" s="346"/>
      <c r="P358" s="346"/>
      <c r="Q358" s="346"/>
      <c r="R358" s="346"/>
      <c r="S358" s="346"/>
      <c r="T358" s="346"/>
      <c r="U358" s="346"/>
      <c r="V358" s="590"/>
      <c r="W358" s="590">
        <f>+W349+W353</f>
        <v>1744200</v>
      </c>
      <c r="X358" s="590">
        <f>+W358+'CHÍNH NGUYÊN'!T162</f>
        <v>7172000</v>
      </c>
      <c r="Y358" s="357"/>
      <c r="Z358" s="357"/>
      <c r="AA358" s="357"/>
      <c r="AB358" s="358">
        <f>SUM(AB346:AB355)</f>
        <v>22405600</v>
      </c>
      <c r="AC358" s="358"/>
      <c r="AD358" s="358"/>
      <c r="AE358" s="358">
        <f>SUM(AE346:AE355)</f>
        <v>50220000</v>
      </c>
      <c r="AF358" s="358">
        <f>SUM(AF346:AF355)</f>
        <v>72625600</v>
      </c>
      <c r="AG358" s="358">
        <f>SUM(AG346:AG355)</f>
        <v>46499999.999999993</v>
      </c>
      <c r="AH358" s="241"/>
      <c r="AI358" s="241"/>
      <c r="AJ358" s="241"/>
      <c r="AK358" s="194"/>
      <c r="AL358" s="195"/>
      <c r="AM358" s="195"/>
    </row>
    <row r="359" spans="2:40">
      <c r="B359" s="253">
        <v>1</v>
      </c>
      <c r="C359" s="244"/>
      <c r="D359" s="990" t="s">
        <v>3360</v>
      </c>
      <c r="E359" s="708">
        <v>306781152000</v>
      </c>
      <c r="F359" s="612" t="s">
        <v>3360</v>
      </c>
      <c r="G359" s="391" t="s">
        <v>3411</v>
      </c>
      <c r="H359" s="230" t="s">
        <v>210</v>
      </c>
      <c r="I359" s="230"/>
      <c r="J359" s="230">
        <v>1</v>
      </c>
      <c r="K359" s="230"/>
      <c r="L359" s="228"/>
      <c r="M359" s="257"/>
      <c r="N359" s="228" t="s">
        <v>3384</v>
      </c>
      <c r="O359" s="245" t="s">
        <v>3410</v>
      </c>
      <c r="P359" s="245" t="s">
        <v>3385</v>
      </c>
      <c r="Q359" s="2368"/>
      <c r="R359" s="2368"/>
      <c r="S359" s="254" t="s">
        <v>2966</v>
      </c>
      <c r="T359" s="228"/>
      <c r="U359" s="2357"/>
      <c r="V359" s="256"/>
      <c r="W359" s="753">
        <v>1160000</v>
      </c>
      <c r="X359" s="753">
        <v>766800</v>
      </c>
      <c r="Y359" s="248"/>
      <c r="Z359" s="247"/>
      <c r="AA359" s="248"/>
      <c r="AB359" s="340">
        <f t="shared" ref="AB359:AB374" si="117">V359+W359+X359+Y359+Z359+AA359</f>
        <v>1926800</v>
      </c>
      <c r="AC359" s="347"/>
      <c r="AD359" s="249"/>
      <c r="AE359" s="435">
        <f>+(I359*3650000+J359*(3650000+100000))*1.08+((I359+J359+K359)*150000)*1.08</f>
        <v>4212000</v>
      </c>
      <c r="AF359" s="342">
        <f>+AB359+AE359</f>
        <v>6138800</v>
      </c>
      <c r="AG359" s="251">
        <f>+AE359/1.08</f>
        <v>3899999.9999999995</v>
      </c>
      <c r="AH359" s="241"/>
      <c r="AI359" s="241"/>
      <c r="AJ359" s="241"/>
      <c r="AK359" s="194"/>
      <c r="AL359" s="195"/>
      <c r="AM359" s="195"/>
      <c r="AN359" s="1087"/>
    </row>
    <row r="360" spans="2:40" ht="31.2">
      <c r="B360" s="253">
        <v>2</v>
      </c>
      <c r="C360" s="244"/>
      <c r="D360" s="990" t="s">
        <v>3415</v>
      </c>
      <c r="E360" s="708">
        <v>306789199750</v>
      </c>
      <c r="F360" s="612">
        <v>45332</v>
      </c>
      <c r="G360" s="998" t="s">
        <v>3431</v>
      </c>
      <c r="H360" s="230" t="s">
        <v>210</v>
      </c>
      <c r="I360" s="230"/>
      <c r="J360" s="230">
        <v>1</v>
      </c>
      <c r="K360" s="230"/>
      <c r="L360" s="228"/>
      <c r="M360" s="999"/>
      <c r="N360" s="228" t="s">
        <v>3418</v>
      </c>
      <c r="O360" s="228" t="s">
        <v>3430</v>
      </c>
      <c r="P360" s="245" t="s">
        <v>3419</v>
      </c>
      <c r="Q360" s="2368"/>
      <c r="R360" s="2368"/>
      <c r="S360" s="254" t="s">
        <v>3387</v>
      </c>
      <c r="T360" s="228"/>
      <c r="U360" s="2357"/>
      <c r="V360" s="256"/>
      <c r="W360" s="753">
        <v>1458000</v>
      </c>
      <c r="X360" s="753">
        <v>1140000</v>
      </c>
      <c r="Y360" s="248"/>
      <c r="Z360" s="247"/>
      <c r="AA360" s="248"/>
      <c r="AB360" s="340">
        <f t="shared" si="117"/>
        <v>2598000</v>
      </c>
      <c r="AC360" s="347">
        <f t="shared" ref="AC360:AC383" si="118">+Z360</f>
        <v>0</v>
      </c>
      <c r="AD360" s="249"/>
      <c r="AE360" s="435">
        <f>+(I360*3650000+J360*(3650000+100000))*1.08+((I360+J360+K360)*150000)*1.08</f>
        <v>4212000</v>
      </c>
      <c r="AF360" s="342">
        <f>+AB360+AE360</f>
        <v>6810000</v>
      </c>
      <c r="AG360" s="251">
        <f t="shared" ref="AG360:AG411" si="119">+AE360/1.08</f>
        <v>3899999.9999999995</v>
      </c>
      <c r="AH360" s="241"/>
      <c r="AI360" s="241"/>
      <c r="AJ360" s="241"/>
      <c r="AK360" s="194"/>
      <c r="AL360" s="195"/>
      <c r="AM360" s="195"/>
      <c r="AN360" s="1087"/>
    </row>
    <row r="361" spans="2:40" ht="31.2">
      <c r="B361" s="253">
        <v>3</v>
      </c>
      <c r="C361" s="244"/>
      <c r="D361" s="990" t="s">
        <v>3424</v>
      </c>
      <c r="E361" s="708">
        <v>306799266930</v>
      </c>
      <c r="F361" s="640" t="s">
        <v>3424</v>
      </c>
      <c r="G361" s="998" t="s">
        <v>3452</v>
      </c>
      <c r="H361" s="230" t="s">
        <v>210</v>
      </c>
      <c r="I361" s="230"/>
      <c r="J361" s="230">
        <v>1</v>
      </c>
      <c r="K361" s="230"/>
      <c r="L361" s="228"/>
      <c r="M361" s="999"/>
      <c r="N361" s="228" t="s">
        <v>3386</v>
      </c>
      <c r="O361" s="228" t="s">
        <v>3453</v>
      </c>
      <c r="P361" s="245" t="s">
        <v>3442</v>
      </c>
      <c r="Q361" s="2368"/>
      <c r="R361" s="2368"/>
      <c r="S361" s="254" t="s">
        <v>3387</v>
      </c>
      <c r="T361" s="228"/>
      <c r="U361" s="2357"/>
      <c r="V361" s="256"/>
      <c r="W361" s="753">
        <v>1450000</v>
      </c>
      <c r="X361" s="753">
        <v>1140000</v>
      </c>
      <c r="Y361" s="248"/>
      <c r="Z361" s="247"/>
      <c r="AA361" s="248"/>
      <c r="AB361" s="340">
        <f t="shared" si="117"/>
        <v>2590000</v>
      </c>
      <c r="AC361" s="347">
        <f t="shared" si="118"/>
        <v>0</v>
      </c>
      <c r="AD361" s="249"/>
      <c r="AE361" s="435">
        <f>+(I361*3650000+J361*(3650000+100000))*1.08+((I361+J361+K361)*150000)*1.08</f>
        <v>4212000</v>
      </c>
      <c r="AF361" s="342">
        <f t="shared" ref="AF361:AF414" si="120">+AB361+AE361</f>
        <v>6802000</v>
      </c>
      <c r="AG361" s="251">
        <f t="shared" si="119"/>
        <v>3899999.9999999995</v>
      </c>
      <c r="AH361" s="241"/>
      <c r="AI361" s="241"/>
      <c r="AJ361" s="241"/>
      <c r="AK361" s="194"/>
      <c r="AL361" s="195"/>
      <c r="AM361" s="195"/>
      <c r="AN361" s="1087"/>
    </row>
    <row r="362" spans="2:40">
      <c r="B362" s="253">
        <v>4</v>
      </c>
      <c r="C362" s="244"/>
      <c r="D362" s="990" t="s">
        <v>3424</v>
      </c>
      <c r="E362" s="708">
        <v>306799027640</v>
      </c>
      <c r="F362" s="640" t="s">
        <v>3424</v>
      </c>
      <c r="G362" s="391" t="s">
        <v>3454</v>
      </c>
      <c r="H362" s="230" t="s">
        <v>210</v>
      </c>
      <c r="I362" s="230"/>
      <c r="J362" s="230">
        <v>1</v>
      </c>
      <c r="K362" s="230"/>
      <c r="L362" s="228"/>
      <c r="M362" s="257"/>
      <c r="N362" s="228" t="s">
        <v>3417</v>
      </c>
      <c r="O362" s="228" t="s">
        <v>3457</v>
      </c>
      <c r="P362" s="245" t="s">
        <v>3451</v>
      </c>
      <c r="Q362" s="2368"/>
      <c r="R362" s="2368"/>
      <c r="S362" s="254" t="s">
        <v>2966</v>
      </c>
      <c r="T362" s="228"/>
      <c r="U362" s="2357"/>
      <c r="V362" s="256"/>
      <c r="W362" s="753">
        <v>1450000</v>
      </c>
      <c r="X362" s="753">
        <v>766800</v>
      </c>
      <c r="Y362" s="248"/>
      <c r="Z362" s="247"/>
      <c r="AA362" s="248"/>
      <c r="AB362" s="340">
        <f t="shared" si="117"/>
        <v>2216800</v>
      </c>
      <c r="AC362" s="347">
        <f t="shared" si="118"/>
        <v>0</v>
      </c>
      <c r="AD362" s="249"/>
      <c r="AE362" s="435">
        <f>+(I362*3650000+J362*(3650000+100000))*1.08+((I362+J362+K362)*150000)*1.08</f>
        <v>4212000</v>
      </c>
      <c r="AF362" s="342">
        <f t="shared" si="120"/>
        <v>6428800</v>
      </c>
      <c r="AG362" s="251">
        <f t="shared" si="119"/>
        <v>3899999.9999999995</v>
      </c>
      <c r="AH362" s="241"/>
      <c r="AI362" s="241"/>
      <c r="AJ362" s="241"/>
      <c r="AK362" s="194"/>
      <c r="AL362" s="195"/>
      <c r="AM362" s="195"/>
      <c r="AN362" s="1087"/>
    </row>
    <row r="363" spans="2:40">
      <c r="B363" s="253">
        <v>5</v>
      </c>
      <c r="C363" s="244"/>
      <c r="D363" s="990" t="s">
        <v>3450</v>
      </c>
      <c r="E363" s="708">
        <v>306806039910</v>
      </c>
      <c r="F363" s="640" t="s">
        <v>3450</v>
      </c>
      <c r="G363" s="391" t="s">
        <v>3488</v>
      </c>
      <c r="H363" s="230" t="s">
        <v>210</v>
      </c>
      <c r="I363" s="230"/>
      <c r="J363" s="230">
        <v>1</v>
      </c>
      <c r="K363" s="230"/>
      <c r="L363" s="228"/>
      <c r="M363" s="257"/>
      <c r="N363" s="228" t="s">
        <v>3455</v>
      </c>
      <c r="O363" s="228" t="s">
        <v>3487</v>
      </c>
      <c r="P363" s="245" t="s">
        <v>3456</v>
      </c>
      <c r="Q363" s="2368"/>
      <c r="R363" s="2368"/>
      <c r="S363" s="254" t="s">
        <v>2966</v>
      </c>
      <c r="T363" s="228"/>
      <c r="U363" s="2357"/>
      <c r="V363" s="256"/>
      <c r="W363" s="753">
        <v>1450000</v>
      </c>
      <c r="X363" s="753">
        <v>766800</v>
      </c>
      <c r="Y363" s="248"/>
      <c r="Z363" s="247"/>
      <c r="AA363" s="248"/>
      <c r="AB363" s="340">
        <f t="shared" si="117"/>
        <v>2216800</v>
      </c>
      <c r="AC363" s="347">
        <f t="shared" si="118"/>
        <v>0</v>
      </c>
      <c r="AD363" s="249"/>
      <c r="AE363" s="435">
        <f>+(I363*3650000+J363*(3650000+100000))*1.08+((I363+J363+K363)*150000)*1.08</f>
        <v>4212000</v>
      </c>
      <c r="AF363" s="342">
        <f t="shared" si="120"/>
        <v>6428800</v>
      </c>
      <c r="AG363" s="251">
        <f t="shared" si="119"/>
        <v>3899999.9999999995</v>
      </c>
      <c r="AH363" s="241"/>
      <c r="AI363" s="241"/>
      <c r="AJ363" s="241"/>
      <c r="AK363" s="194"/>
      <c r="AL363" s="195"/>
      <c r="AM363" s="195"/>
      <c r="AN363" s="1087"/>
    </row>
    <row r="364" spans="2:40">
      <c r="B364" s="253">
        <v>6</v>
      </c>
      <c r="C364" s="244"/>
      <c r="D364" s="990" t="s">
        <v>3477</v>
      </c>
      <c r="E364" s="466">
        <v>106630402430</v>
      </c>
      <c r="F364" s="612">
        <v>45514</v>
      </c>
      <c r="G364" s="1009" t="s">
        <v>3484</v>
      </c>
      <c r="H364" s="230" t="s">
        <v>206</v>
      </c>
      <c r="I364" s="230"/>
      <c r="J364" s="230"/>
      <c r="K364" s="230">
        <v>1</v>
      </c>
      <c r="L364" s="490" t="s">
        <v>418</v>
      </c>
      <c r="M364" s="257" t="s">
        <v>3476</v>
      </c>
      <c r="N364" s="228" t="s">
        <v>3475</v>
      </c>
      <c r="O364" s="1010"/>
      <c r="P364" s="245">
        <v>45514</v>
      </c>
      <c r="Q364" s="2368"/>
      <c r="R364" s="2368"/>
      <c r="S364" s="254" t="s">
        <v>3493</v>
      </c>
      <c r="T364" s="228"/>
      <c r="U364" s="2357"/>
      <c r="V364" s="324">
        <v>47481</v>
      </c>
      <c r="W364" s="754"/>
      <c r="X364" s="1074"/>
      <c r="Y364" s="248"/>
      <c r="Z364" s="247"/>
      <c r="AA364" s="248"/>
      <c r="AB364" s="340">
        <f t="shared" si="117"/>
        <v>47481</v>
      </c>
      <c r="AC364" s="347">
        <f t="shared" si="118"/>
        <v>0</v>
      </c>
      <c r="AD364" s="249"/>
      <c r="AE364" s="618">
        <f>(1420000+150000)*1.08</f>
        <v>1695600</v>
      </c>
      <c r="AF364" s="342">
        <f t="shared" si="120"/>
        <v>1743081</v>
      </c>
      <c r="AG364" s="251">
        <f t="shared" si="119"/>
        <v>1570000</v>
      </c>
      <c r="AH364" s="241"/>
      <c r="AI364" s="241"/>
      <c r="AJ364" s="241"/>
      <c r="AK364" s="194"/>
      <c r="AL364" s="195"/>
      <c r="AM364" s="195"/>
      <c r="AN364" s="1087"/>
    </row>
    <row r="365" spans="2:40">
      <c r="B365" s="253">
        <v>7</v>
      </c>
      <c r="C365" s="244"/>
      <c r="D365" s="654" t="s">
        <v>3489</v>
      </c>
      <c r="E365" s="708">
        <v>306812232440</v>
      </c>
      <c r="F365" s="640" t="s">
        <v>3489</v>
      </c>
      <c r="G365" s="391" t="s">
        <v>3498</v>
      </c>
      <c r="H365" s="230" t="s">
        <v>210</v>
      </c>
      <c r="I365" s="230">
        <v>1</v>
      </c>
      <c r="J365" s="230"/>
      <c r="K365" s="230"/>
      <c r="L365" s="228"/>
      <c r="M365" s="257"/>
      <c r="N365" s="228" t="s">
        <v>3436</v>
      </c>
      <c r="O365" s="228" t="s">
        <v>3499</v>
      </c>
      <c r="P365" s="245" t="s">
        <v>3495</v>
      </c>
      <c r="Q365" s="2368"/>
      <c r="R365" s="2368"/>
      <c r="S365" s="254" t="s">
        <v>2966</v>
      </c>
      <c r="T365" s="228"/>
      <c r="U365" s="2357"/>
      <c r="V365" s="256"/>
      <c r="W365" s="753">
        <v>900000</v>
      </c>
      <c r="X365" s="753">
        <v>432000</v>
      </c>
      <c r="Y365" s="248"/>
      <c r="Z365" s="247"/>
      <c r="AA365" s="248"/>
      <c r="AB365" s="340">
        <f t="shared" si="117"/>
        <v>1332000</v>
      </c>
      <c r="AC365" s="347">
        <f t="shared" si="118"/>
        <v>0</v>
      </c>
      <c r="AD365" s="249"/>
      <c r="AE365" s="435">
        <f t="shared" ref="AE365:AE372" si="121">+(I365*3650000+J365*(3650000+100000))*1.08+((I365+J365+K365)*150000)*1.08</f>
        <v>4104000.0000000005</v>
      </c>
      <c r="AF365" s="342">
        <f t="shared" si="120"/>
        <v>5436000</v>
      </c>
      <c r="AG365" s="251">
        <f t="shared" si="119"/>
        <v>3800000</v>
      </c>
      <c r="AH365" s="241"/>
      <c r="AI365" s="241"/>
      <c r="AJ365" s="241"/>
      <c r="AK365" s="194"/>
      <c r="AL365" s="195"/>
      <c r="AM365" s="195"/>
      <c r="AN365" s="1087"/>
    </row>
    <row r="366" spans="2:40" ht="31.2">
      <c r="B366" s="253">
        <v>8</v>
      </c>
      <c r="C366" s="244"/>
      <c r="D366" s="990" t="s">
        <v>3513</v>
      </c>
      <c r="E366" s="708">
        <v>306824415240</v>
      </c>
      <c r="F366" s="640" t="s">
        <v>3513</v>
      </c>
      <c r="G366" s="391" t="s">
        <v>3522</v>
      </c>
      <c r="H366" s="230" t="s">
        <v>210</v>
      </c>
      <c r="I366" s="230"/>
      <c r="J366" s="230">
        <v>2</v>
      </c>
      <c r="K366" s="230"/>
      <c r="L366" s="228"/>
      <c r="M366" s="257"/>
      <c r="N366" s="228" t="s">
        <v>3514</v>
      </c>
      <c r="O366" s="254" t="s">
        <v>3521</v>
      </c>
      <c r="P366" s="245" t="s">
        <v>3515</v>
      </c>
      <c r="Q366" s="2368"/>
      <c r="R366" s="2368"/>
      <c r="S366" s="254" t="s">
        <v>2966</v>
      </c>
      <c r="T366" s="228"/>
      <c r="U366" s="2357"/>
      <c r="V366" s="256"/>
      <c r="W366" s="753">
        <f>1450000+1450000</f>
        <v>2900000</v>
      </c>
      <c r="X366" s="753">
        <v>1533600</v>
      </c>
      <c r="Y366" s="248"/>
      <c r="Z366" s="247"/>
      <c r="AA366" s="248"/>
      <c r="AB366" s="340">
        <f t="shared" si="117"/>
        <v>4433600</v>
      </c>
      <c r="AC366" s="347">
        <f t="shared" si="118"/>
        <v>0</v>
      </c>
      <c r="AD366" s="249"/>
      <c r="AE366" s="435">
        <f t="shared" si="121"/>
        <v>8424000</v>
      </c>
      <c r="AF366" s="342">
        <f t="shared" si="120"/>
        <v>12857600</v>
      </c>
      <c r="AG366" s="251">
        <f t="shared" si="119"/>
        <v>7799999.9999999991</v>
      </c>
      <c r="AH366" s="241"/>
      <c r="AI366" s="241"/>
      <c r="AJ366" s="241"/>
      <c r="AK366" s="194"/>
      <c r="AL366" s="195"/>
      <c r="AM366" s="195"/>
      <c r="AN366" s="1087"/>
    </row>
    <row r="367" spans="2:40">
      <c r="B367" s="253">
        <v>9</v>
      </c>
      <c r="C367" s="244"/>
      <c r="D367" s="990" t="s">
        <v>3507</v>
      </c>
      <c r="E367" s="708">
        <v>306828977250</v>
      </c>
      <c r="F367" s="640" t="s">
        <v>3507</v>
      </c>
      <c r="G367" s="391" t="s">
        <v>704</v>
      </c>
      <c r="H367" s="230" t="s">
        <v>210</v>
      </c>
      <c r="I367" s="230"/>
      <c r="J367" s="230">
        <v>1</v>
      </c>
      <c r="K367" s="230"/>
      <c r="L367" s="228"/>
      <c r="M367" s="257"/>
      <c r="N367" s="228" t="s">
        <v>3516</v>
      </c>
      <c r="O367" s="228" t="s">
        <v>3526</v>
      </c>
      <c r="P367" s="245" t="s">
        <v>3515</v>
      </c>
      <c r="Q367" s="2368"/>
      <c r="R367" s="2368"/>
      <c r="S367" s="254" t="s">
        <v>2966</v>
      </c>
      <c r="T367" s="228"/>
      <c r="U367" s="2357"/>
      <c r="V367" s="256"/>
      <c r="W367" s="753">
        <v>1160000</v>
      </c>
      <c r="X367" s="753">
        <v>766800</v>
      </c>
      <c r="Y367" s="248"/>
      <c r="Z367" s="247"/>
      <c r="AA367" s="248"/>
      <c r="AB367" s="340">
        <f t="shared" si="117"/>
        <v>1926800</v>
      </c>
      <c r="AC367" s="347">
        <f t="shared" si="118"/>
        <v>0</v>
      </c>
      <c r="AD367" s="249"/>
      <c r="AE367" s="435">
        <f t="shared" si="121"/>
        <v>4212000</v>
      </c>
      <c r="AF367" s="342">
        <f t="shared" si="120"/>
        <v>6138800</v>
      </c>
      <c r="AG367" s="251">
        <f t="shared" si="119"/>
        <v>3899999.9999999995</v>
      </c>
      <c r="AH367" s="241"/>
      <c r="AI367" s="241"/>
      <c r="AJ367" s="241"/>
      <c r="AK367" s="194"/>
      <c r="AL367" s="195"/>
      <c r="AM367" s="195"/>
      <c r="AN367" s="1087"/>
    </row>
    <row r="368" spans="2:40">
      <c r="B368" s="253">
        <v>10</v>
      </c>
      <c r="C368" s="244"/>
      <c r="D368" s="990" t="s">
        <v>3507</v>
      </c>
      <c r="E368" s="708">
        <v>306827371710</v>
      </c>
      <c r="F368" s="640" t="s">
        <v>3507</v>
      </c>
      <c r="G368" s="391" t="s">
        <v>3547</v>
      </c>
      <c r="H368" s="230" t="s">
        <v>210</v>
      </c>
      <c r="I368" s="230">
        <v>1</v>
      </c>
      <c r="J368" s="230"/>
      <c r="K368" s="230"/>
      <c r="L368" s="228"/>
      <c r="M368" s="257"/>
      <c r="N368" s="228">
        <v>91228290</v>
      </c>
      <c r="O368" s="228" t="s">
        <v>3527</v>
      </c>
      <c r="P368" s="245" t="s">
        <v>3517</v>
      </c>
      <c r="Q368" s="2368"/>
      <c r="R368" s="2368"/>
      <c r="S368" s="254" t="s">
        <v>2966</v>
      </c>
      <c r="T368" s="228"/>
      <c r="U368" s="2357"/>
      <c r="V368" s="256"/>
      <c r="W368" s="753">
        <v>900000</v>
      </c>
      <c r="X368" s="753">
        <v>432000</v>
      </c>
      <c r="Y368" s="248"/>
      <c r="Z368" s="247"/>
      <c r="AA368" s="248"/>
      <c r="AB368" s="340">
        <f t="shared" si="117"/>
        <v>1332000</v>
      </c>
      <c r="AC368" s="347">
        <f t="shared" si="118"/>
        <v>0</v>
      </c>
      <c r="AD368" s="249"/>
      <c r="AE368" s="435">
        <f t="shared" si="121"/>
        <v>4104000.0000000005</v>
      </c>
      <c r="AF368" s="342">
        <f t="shared" si="120"/>
        <v>5436000</v>
      </c>
      <c r="AG368" s="251">
        <f t="shared" si="119"/>
        <v>3800000</v>
      </c>
      <c r="AH368" s="241"/>
      <c r="AI368" s="241"/>
      <c r="AJ368" s="241"/>
      <c r="AK368" s="194"/>
      <c r="AL368" s="195"/>
      <c r="AM368" s="195"/>
      <c r="AN368" s="1087"/>
    </row>
    <row r="369" spans="2:40" ht="31.2">
      <c r="B369" s="253">
        <v>11</v>
      </c>
      <c r="C369" s="244"/>
      <c r="D369" s="654" t="s">
        <v>3539</v>
      </c>
      <c r="E369" s="708">
        <v>306836388410</v>
      </c>
      <c r="F369" s="654" t="s">
        <v>3539</v>
      </c>
      <c r="G369" s="391" t="s">
        <v>3570</v>
      </c>
      <c r="H369" s="230" t="s">
        <v>210</v>
      </c>
      <c r="I369" s="230"/>
      <c r="J369" s="230">
        <v>1</v>
      </c>
      <c r="K369" s="230"/>
      <c r="L369" s="228"/>
      <c r="M369" s="257"/>
      <c r="N369" s="228" t="s">
        <v>3538</v>
      </c>
      <c r="O369" s="228" t="s">
        <v>3562</v>
      </c>
      <c r="P369" s="254" t="s">
        <v>3546</v>
      </c>
      <c r="Q369" s="2374"/>
      <c r="R369" s="2374"/>
      <c r="S369" s="254" t="s">
        <v>2966</v>
      </c>
      <c r="T369" s="228"/>
      <c r="U369" s="2357"/>
      <c r="V369" s="256"/>
      <c r="W369" s="753">
        <v>1160000</v>
      </c>
      <c r="X369" s="753">
        <v>766800</v>
      </c>
      <c r="Y369" s="248"/>
      <c r="Z369" s="247"/>
      <c r="AA369" s="248"/>
      <c r="AB369" s="340">
        <f t="shared" si="117"/>
        <v>1926800</v>
      </c>
      <c r="AC369" s="347">
        <f t="shared" si="118"/>
        <v>0</v>
      </c>
      <c r="AD369" s="249"/>
      <c r="AE369" s="435">
        <f t="shared" si="121"/>
        <v>4212000</v>
      </c>
      <c r="AF369" s="342">
        <f t="shared" si="120"/>
        <v>6138800</v>
      </c>
      <c r="AG369" s="251">
        <f t="shared" si="119"/>
        <v>3899999.9999999995</v>
      </c>
      <c r="AH369" s="241"/>
      <c r="AI369" s="241"/>
      <c r="AJ369" s="241"/>
      <c r="AK369" s="194"/>
      <c r="AL369" s="195"/>
      <c r="AM369" s="195"/>
      <c r="AN369" s="1087"/>
    </row>
    <row r="370" spans="2:40" ht="31.2">
      <c r="B370" s="253">
        <v>12</v>
      </c>
      <c r="C370" s="1016"/>
      <c r="D370" s="654" t="s">
        <v>3539</v>
      </c>
      <c r="E370" s="1017">
        <v>106659252450</v>
      </c>
      <c r="F370" s="990" t="s">
        <v>3529</v>
      </c>
      <c r="G370" s="1058" t="s">
        <v>3890</v>
      </c>
      <c r="H370" s="1018" t="s">
        <v>1300</v>
      </c>
      <c r="I370" s="1018"/>
      <c r="J370" s="1018">
        <v>2</v>
      </c>
      <c r="K370" s="1018"/>
      <c r="L370" s="1019"/>
      <c r="M370" s="1020"/>
      <c r="N370" s="1021" t="s">
        <v>3892</v>
      </c>
      <c r="O370" s="1021" t="s">
        <v>3891</v>
      </c>
      <c r="P370" s="1021" t="s">
        <v>3893</v>
      </c>
      <c r="Q370" s="2374"/>
      <c r="R370" s="2374"/>
      <c r="S370" s="254" t="s">
        <v>2760</v>
      </c>
      <c r="T370" s="1019"/>
      <c r="U370" s="2357"/>
      <c r="V370" s="1022"/>
      <c r="W370" s="1076">
        <v>2257200</v>
      </c>
      <c r="X370" s="753">
        <f>1450000*2</f>
        <v>2900000</v>
      </c>
      <c r="Y370" s="1023"/>
      <c r="Z370" s="1024"/>
      <c r="AA370" s="1023"/>
      <c r="AB370" s="1079">
        <f t="shared" si="117"/>
        <v>5157200</v>
      </c>
      <c r="AC370" s="347">
        <f t="shared" si="118"/>
        <v>0</v>
      </c>
      <c r="AD370" s="1026"/>
      <c r="AE370" s="435">
        <f t="shared" si="121"/>
        <v>8424000</v>
      </c>
      <c r="AF370" s="342">
        <f t="shared" si="120"/>
        <v>13581200</v>
      </c>
      <c r="AG370" s="251">
        <f t="shared" si="119"/>
        <v>7799999.9999999991</v>
      </c>
      <c r="AH370" s="1028"/>
      <c r="AI370" s="1028"/>
      <c r="AJ370" s="1028"/>
      <c r="AK370" s="1025"/>
      <c r="AL370" s="1029"/>
      <c r="AM370" s="195"/>
      <c r="AN370" s="1087"/>
    </row>
    <row r="371" spans="2:40" ht="31.2">
      <c r="B371" s="253">
        <v>13</v>
      </c>
      <c r="C371" s="244"/>
      <c r="D371" s="654" t="s">
        <v>3542</v>
      </c>
      <c r="E371" s="708">
        <v>306841673850</v>
      </c>
      <c r="F371" s="640" t="s">
        <v>3542</v>
      </c>
      <c r="G371" s="391" t="s">
        <v>3907</v>
      </c>
      <c r="H371" s="230" t="s">
        <v>210</v>
      </c>
      <c r="I371" s="230"/>
      <c r="J371" s="230">
        <v>1</v>
      </c>
      <c r="K371" s="230"/>
      <c r="L371" s="228"/>
      <c r="M371" s="257"/>
      <c r="N371" s="228" t="s">
        <v>3540</v>
      </c>
      <c r="O371" s="1021" t="s">
        <v>3899</v>
      </c>
      <c r="P371" s="254" t="s">
        <v>3563</v>
      </c>
      <c r="Q371" s="2374"/>
      <c r="R371" s="2374"/>
      <c r="S371" s="254" t="s">
        <v>2966</v>
      </c>
      <c r="T371" s="228"/>
      <c r="U371" s="2357"/>
      <c r="V371" s="256"/>
      <c r="W371" s="753">
        <v>1160000</v>
      </c>
      <c r="X371" s="753">
        <v>766800</v>
      </c>
      <c r="Y371" s="248"/>
      <c r="Z371" s="247"/>
      <c r="AA371" s="248"/>
      <c r="AB371" s="340">
        <f t="shared" si="117"/>
        <v>1926800</v>
      </c>
      <c r="AC371" s="347">
        <f t="shared" si="118"/>
        <v>0</v>
      </c>
      <c r="AD371" s="249"/>
      <c r="AE371" s="435">
        <f t="shared" si="121"/>
        <v>4212000</v>
      </c>
      <c r="AF371" s="342">
        <f t="shared" si="120"/>
        <v>6138800</v>
      </c>
      <c r="AG371" s="251">
        <f t="shared" si="119"/>
        <v>3899999.9999999995</v>
      </c>
      <c r="AH371" s="241"/>
      <c r="AI371" s="241"/>
      <c r="AJ371" s="241"/>
      <c r="AK371" s="194"/>
      <c r="AL371" s="195"/>
      <c r="AM371" s="195"/>
      <c r="AN371" s="1087"/>
    </row>
    <row r="372" spans="2:40" ht="31.2">
      <c r="B372" s="253">
        <v>14</v>
      </c>
      <c r="C372" s="244"/>
      <c r="D372" s="654" t="s">
        <v>3542</v>
      </c>
      <c r="E372" s="708">
        <v>306841722260</v>
      </c>
      <c r="F372" s="640" t="s">
        <v>3542</v>
      </c>
      <c r="G372" s="391" t="s">
        <v>3908</v>
      </c>
      <c r="H372" s="230" t="s">
        <v>210</v>
      </c>
      <c r="I372" s="230"/>
      <c r="J372" s="230">
        <v>1</v>
      </c>
      <c r="K372" s="230"/>
      <c r="L372" s="228"/>
      <c r="M372" s="257"/>
      <c r="N372" s="228" t="s">
        <v>3541</v>
      </c>
      <c r="O372" s="1021" t="s">
        <v>3898</v>
      </c>
      <c r="P372" s="254" t="s">
        <v>3546</v>
      </c>
      <c r="Q372" s="2374"/>
      <c r="R372" s="2374"/>
      <c r="S372" s="254" t="s">
        <v>2966</v>
      </c>
      <c r="T372" s="228"/>
      <c r="U372" s="2357"/>
      <c r="V372" s="256"/>
      <c r="W372" s="753">
        <v>1160000</v>
      </c>
      <c r="X372" s="753">
        <v>766800</v>
      </c>
      <c r="Y372" s="248"/>
      <c r="Z372" s="247"/>
      <c r="AA372" s="248"/>
      <c r="AB372" s="340">
        <f t="shared" si="117"/>
        <v>1926800</v>
      </c>
      <c r="AC372" s="347">
        <f t="shared" si="118"/>
        <v>0</v>
      </c>
      <c r="AD372" s="249"/>
      <c r="AE372" s="435">
        <f t="shared" si="121"/>
        <v>4212000</v>
      </c>
      <c r="AF372" s="342">
        <f>+AB372+AE372</f>
        <v>6138800</v>
      </c>
      <c r="AG372" s="251">
        <f t="shared" si="119"/>
        <v>3899999.9999999995</v>
      </c>
      <c r="AH372" s="241"/>
      <c r="AI372" s="241"/>
      <c r="AJ372" s="241"/>
      <c r="AK372" s="194"/>
      <c r="AL372" s="195"/>
      <c r="AM372" s="195"/>
      <c r="AN372" s="1087"/>
    </row>
    <row r="373" spans="2:40">
      <c r="B373" s="253">
        <v>15</v>
      </c>
      <c r="C373" s="244"/>
      <c r="D373" s="654" t="s">
        <v>3553</v>
      </c>
      <c r="E373" s="466">
        <v>106662218500</v>
      </c>
      <c r="F373" s="640" t="s">
        <v>3539</v>
      </c>
      <c r="G373" s="391" t="s">
        <v>3909</v>
      </c>
      <c r="H373" s="1018" t="s">
        <v>1300</v>
      </c>
      <c r="I373" s="230"/>
      <c r="J373" s="230"/>
      <c r="K373" s="230">
        <v>1</v>
      </c>
      <c r="L373" s="228"/>
      <c r="M373" s="257" t="s">
        <v>3906</v>
      </c>
      <c r="N373" s="228" t="s">
        <v>3905</v>
      </c>
      <c r="P373" s="245"/>
      <c r="Q373" s="2368"/>
      <c r="R373" s="2368"/>
      <c r="S373" s="254"/>
      <c r="T373" s="228"/>
      <c r="U373" s="2357"/>
      <c r="V373" s="256"/>
      <c r="W373" s="248"/>
      <c r="X373" s="248"/>
      <c r="Y373" s="248"/>
      <c r="Z373" s="247"/>
      <c r="AA373" s="248"/>
      <c r="AB373" s="340">
        <f t="shared" si="117"/>
        <v>0</v>
      </c>
      <c r="AC373" s="347">
        <f t="shared" si="118"/>
        <v>0</v>
      </c>
      <c r="AD373" s="249"/>
      <c r="AE373" s="618">
        <f>(1320000+150000)*1.08</f>
        <v>1587600</v>
      </c>
      <c r="AF373" s="342">
        <f t="shared" si="120"/>
        <v>1587600</v>
      </c>
      <c r="AG373" s="251">
        <f>+AE373/1.08</f>
        <v>1470000</v>
      </c>
      <c r="AH373" s="241"/>
      <c r="AI373" s="241"/>
      <c r="AJ373" s="241"/>
      <c r="AK373" s="194"/>
      <c r="AL373" s="195"/>
      <c r="AM373" s="195"/>
      <c r="AN373" s="1087"/>
    </row>
    <row r="374" spans="2:40" ht="46.8">
      <c r="B374" s="253">
        <v>16</v>
      </c>
      <c r="C374" s="244"/>
      <c r="D374" s="654" t="s">
        <v>3921</v>
      </c>
      <c r="E374" s="466">
        <v>106675493410</v>
      </c>
      <c r="F374" s="640" t="s">
        <v>3917</v>
      </c>
      <c r="G374" s="391" t="s">
        <v>3920</v>
      </c>
      <c r="H374" s="1018" t="s">
        <v>1300</v>
      </c>
      <c r="I374" s="230"/>
      <c r="J374" s="230">
        <v>3</v>
      </c>
      <c r="K374" s="230"/>
      <c r="L374" s="228"/>
      <c r="M374" s="257"/>
      <c r="N374" s="228" t="s">
        <v>3918</v>
      </c>
      <c r="O374" s="1021" t="s">
        <v>3919</v>
      </c>
      <c r="P374" s="378" t="s">
        <v>3566</v>
      </c>
      <c r="Q374" s="2373"/>
      <c r="R374" s="2373"/>
      <c r="S374" s="254" t="s">
        <v>2760</v>
      </c>
      <c r="T374" s="228"/>
      <c r="U374" s="2357"/>
      <c r="V374" s="256"/>
      <c r="W374" s="1076">
        <v>3385800</v>
      </c>
      <c r="X374" s="753">
        <f>1450000*3</f>
        <v>4350000</v>
      </c>
      <c r="Y374" s="248"/>
      <c r="Z374" s="247"/>
      <c r="AA374" s="248"/>
      <c r="AB374" s="340">
        <f t="shared" si="117"/>
        <v>7735800</v>
      </c>
      <c r="AC374" s="347">
        <f t="shared" si="118"/>
        <v>0</v>
      </c>
      <c r="AD374" s="249"/>
      <c r="AE374" s="435">
        <f>+(I374*3650000+J374*(3650000+100000))*1.08+((I374+J374+K374)*150000)*1.08</f>
        <v>12636000</v>
      </c>
      <c r="AF374" s="342">
        <f t="shared" si="120"/>
        <v>20371800</v>
      </c>
      <c r="AG374" s="251">
        <f t="shared" si="119"/>
        <v>11700000</v>
      </c>
      <c r="AH374" s="241"/>
      <c r="AI374" s="241"/>
      <c r="AJ374" s="241"/>
      <c r="AK374" s="194"/>
      <c r="AL374" s="195"/>
      <c r="AM374" s="195"/>
      <c r="AN374" s="1087"/>
    </row>
    <row r="375" spans="2:40">
      <c r="B375" s="3405" t="s">
        <v>3560</v>
      </c>
      <c r="C375" s="3312"/>
      <c r="D375" s="3312"/>
      <c r="E375" s="3312"/>
      <c r="F375" s="3312"/>
      <c r="G375" s="3312"/>
      <c r="H375" s="3312"/>
      <c r="I375" s="3312"/>
      <c r="J375" s="3312"/>
      <c r="K375" s="3312"/>
      <c r="L375" s="3312"/>
      <c r="M375" s="346"/>
      <c r="N375" s="346"/>
      <c r="O375" s="346"/>
      <c r="P375" s="346"/>
      <c r="Q375" s="346"/>
      <c r="R375" s="346"/>
      <c r="S375" s="346"/>
      <c r="T375" s="346"/>
      <c r="U375" s="346"/>
      <c r="V375" s="590"/>
      <c r="W375" s="590">
        <f>V364+W370+W374</f>
        <v>5690481</v>
      </c>
      <c r="X375" s="590">
        <f>+W375+'CHÍNH NGUYÊN'!S175</f>
        <v>8878881</v>
      </c>
      <c r="Y375" s="357"/>
      <c r="Z375" s="357"/>
      <c r="AA375" s="357"/>
      <c r="AB375" s="358">
        <f>SUM(AB359:AB374)</f>
        <v>39293681</v>
      </c>
      <c r="AC375" s="358"/>
      <c r="AD375" s="358"/>
      <c r="AE375" s="358">
        <f>SUM(AE359:AE374)</f>
        <v>78883200</v>
      </c>
      <c r="AF375" s="358">
        <f>SUM(AF359:AF374)</f>
        <v>118176881</v>
      </c>
      <c r="AG375" s="358">
        <f>SUM(AG359:AG374)</f>
        <v>73040000</v>
      </c>
      <c r="AH375" s="241"/>
      <c r="AI375" s="241"/>
      <c r="AJ375" s="241"/>
      <c r="AK375" s="194"/>
      <c r="AL375" s="195"/>
      <c r="AM375" s="195"/>
      <c r="AN375" s="1087"/>
    </row>
    <row r="376" spans="2:40" ht="31.2">
      <c r="B376" s="253">
        <v>1</v>
      </c>
      <c r="C376" s="244"/>
      <c r="D376" s="654" t="s">
        <v>3915</v>
      </c>
      <c r="E376" s="708">
        <v>306860164500</v>
      </c>
      <c r="F376" s="612" t="s">
        <v>3915</v>
      </c>
      <c r="G376" s="391" t="s">
        <v>3941</v>
      </c>
      <c r="H376" s="230" t="s">
        <v>210</v>
      </c>
      <c r="I376" s="230"/>
      <c r="J376" s="230">
        <v>1</v>
      </c>
      <c r="K376" s="230"/>
      <c r="L376" s="228"/>
      <c r="M376" s="257"/>
      <c r="N376" s="228" t="s">
        <v>3925</v>
      </c>
      <c r="O376" s="1021" t="s">
        <v>3940</v>
      </c>
      <c r="P376" s="1089" t="s">
        <v>3928</v>
      </c>
      <c r="Q376" s="2375"/>
      <c r="R376" s="2375"/>
      <c r="S376" s="254" t="s">
        <v>3927</v>
      </c>
      <c r="T376" s="228"/>
      <c r="U376" s="2357"/>
      <c r="V376" s="256"/>
      <c r="W376" s="753">
        <v>1160000</v>
      </c>
      <c r="X376" s="753">
        <v>1160000</v>
      </c>
      <c r="Y376" s="248"/>
      <c r="Z376" s="247"/>
      <c r="AA376" s="248"/>
      <c r="AB376" s="340">
        <f t="shared" ref="AB376:AB384" si="122">V376+W376+X376+Y376+Z376+AA376</f>
        <v>2320000</v>
      </c>
      <c r="AC376" s="347">
        <f t="shared" si="118"/>
        <v>0</v>
      </c>
      <c r="AD376" s="249"/>
      <c r="AE376" s="435">
        <f t="shared" ref="AE376:AE383" si="123">+(I376*3650000+J376*(3650000+100000))*1.08+((I376+J376+K376)*150000)*1.08</f>
        <v>4212000</v>
      </c>
      <c r="AF376" s="342">
        <f>+AB376+AE376</f>
        <v>6532000</v>
      </c>
      <c r="AG376" s="251">
        <f>+AE376/1.08</f>
        <v>3899999.9999999995</v>
      </c>
      <c r="AH376" s="241"/>
      <c r="AI376" s="241"/>
      <c r="AJ376" s="241"/>
      <c r="AK376" s="194"/>
      <c r="AL376" s="195"/>
      <c r="AM376" s="195"/>
    </row>
    <row r="377" spans="2:40" ht="31.2">
      <c r="B377" s="253">
        <v>2</v>
      </c>
      <c r="C377" s="244"/>
      <c r="D377" s="654" t="s">
        <v>3915</v>
      </c>
      <c r="E377" s="708">
        <v>306861671560</v>
      </c>
      <c r="F377" s="612" t="s">
        <v>3915</v>
      </c>
      <c r="G377" s="391" t="s">
        <v>3943</v>
      </c>
      <c r="H377" s="230" t="s">
        <v>210</v>
      </c>
      <c r="I377" s="230"/>
      <c r="J377" s="230">
        <v>1</v>
      </c>
      <c r="K377" s="230"/>
      <c r="L377" s="228"/>
      <c r="M377" s="257"/>
      <c r="N377" s="228" t="s">
        <v>3926</v>
      </c>
      <c r="O377" s="1021" t="s">
        <v>3942</v>
      </c>
      <c r="P377" s="1089" t="s">
        <v>3929</v>
      </c>
      <c r="Q377" s="2375"/>
      <c r="R377" s="2375"/>
      <c r="S377" s="254" t="s">
        <v>3927</v>
      </c>
      <c r="T377" s="228"/>
      <c r="U377" s="2357"/>
      <c r="V377" s="256"/>
      <c r="W377" s="753">
        <v>1160000</v>
      </c>
      <c r="X377" s="753">
        <v>1160000</v>
      </c>
      <c r="Y377" s="248"/>
      <c r="Z377" s="247"/>
      <c r="AA377" s="248"/>
      <c r="AB377" s="340">
        <f t="shared" si="122"/>
        <v>2320000</v>
      </c>
      <c r="AC377" s="347">
        <f t="shared" si="118"/>
        <v>0</v>
      </c>
      <c r="AD377" s="249"/>
      <c r="AE377" s="435">
        <f t="shared" si="123"/>
        <v>4212000</v>
      </c>
      <c r="AF377" s="342">
        <f>+AB377+AE377</f>
        <v>6532000</v>
      </c>
      <c r="AG377" s="251">
        <f>+AE377/1.08</f>
        <v>3899999.9999999995</v>
      </c>
      <c r="AH377" s="241"/>
      <c r="AI377" s="241"/>
      <c r="AJ377" s="241"/>
      <c r="AK377" s="194"/>
      <c r="AL377" s="195"/>
      <c r="AM377" s="195"/>
    </row>
    <row r="378" spans="2:40" ht="31.2">
      <c r="B378" s="253">
        <v>3</v>
      </c>
      <c r="C378" s="244"/>
      <c r="D378" s="654" t="s">
        <v>3934</v>
      </c>
      <c r="E378" s="708">
        <v>306867301440</v>
      </c>
      <c r="F378" s="612" t="s">
        <v>3934</v>
      </c>
      <c r="G378" s="391" t="s">
        <v>3958</v>
      </c>
      <c r="H378" s="230" t="s">
        <v>210</v>
      </c>
      <c r="I378" s="230"/>
      <c r="J378" s="230">
        <v>1</v>
      </c>
      <c r="K378" s="230"/>
      <c r="L378" s="228"/>
      <c r="M378" s="257"/>
      <c r="N378" s="228" t="s">
        <v>3944</v>
      </c>
      <c r="O378" s="1021" t="s">
        <v>3956</v>
      </c>
      <c r="P378" s="1089" t="s">
        <v>3946</v>
      </c>
      <c r="Q378" s="2375"/>
      <c r="R378" s="2375"/>
      <c r="S378" s="254" t="s">
        <v>2966</v>
      </c>
      <c r="T378" s="228"/>
      <c r="U378" s="2357"/>
      <c r="V378" s="256"/>
      <c r="W378" s="753">
        <v>1400000</v>
      </c>
      <c r="X378" s="753">
        <v>766800</v>
      </c>
      <c r="Y378" s="248"/>
      <c r="Z378" s="247"/>
      <c r="AA378" s="248"/>
      <c r="AB378" s="340">
        <f t="shared" si="122"/>
        <v>2166800</v>
      </c>
      <c r="AC378" s="347">
        <f t="shared" si="118"/>
        <v>0</v>
      </c>
      <c r="AD378" s="249"/>
      <c r="AE378" s="435">
        <f t="shared" si="123"/>
        <v>4212000</v>
      </c>
      <c r="AF378" s="342">
        <f t="shared" si="120"/>
        <v>6378800</v>
      </c>
      <c r="AG378" s="251">
        <f t="shared" si="119"/>
        <v>3899999.9999999995</v>
      </c>
      <c r="AH378" s="241"/>
      <c r="AI378" s="241"/>
      <c r="AJ378" s="241"/>
      <c r="AK378" s="194"/>
      <c r="AL378" s="195"/>
      <c r="AM378" s="195"/>
    </row>
    <row r="379" spans="2:40" ht="31.2">
      <c r="B379" s="253">
        <v>4</v>
      </c>
      <c r="C379" s="244"/>
      <c r="D379" s="654" t="s">
        <v>3934</v>
      </c>
      <c r="E379" s="708">
        <v>306867433520</v>
      </c>
      <c r="F379" s="612" t="s">
        <v>3934</v>
      </c>
      <c r="G379" s="391" t="s">
        <v>3959</v>
      </c>
      <c r="H379" s="230" t="s">
        <v>210</v>
      </c>
      <c r="I379" s="230"/>
      <c r="J379" s="230">
        <v>1</v>
      </c>
      <c r="K379" s="230"/>
      <c r="L379" s="228"/>
      <c r="M379" s="257"/>
      <c r="N379" s="228" t="s">
        <v>3945</v>
      </c>
      <c r="O379" s="1021" t="s">
        <v>3957</v>
      </c>
      <c r="P379" s="1089" t="s">
        <v>3947</v>
      </c>
      <c r="Q379" s="2375"/>
      <c r="R379" s="2375"/>
      <c r="S379" s="254" t="s">
        <v>2966</v>
      </c>
      <c r="T379" s="228"/>
      <c r="U379" s="2357"/>
      <c r="V379" s="256"/>
      <c r="W379" s="753">
        <v>1160000</v>
      </c>
      <c r="X379" s="753">
        <v>766800</v>
      </c>
      <c r="Y379" s="248"/>
      <c r="Z379" s="247"/>
      <c r="AA379" s="248"/>
      <c r="AB379" s="340">
        <f t="shared" si="122"/>
        <v>1926800</v>
      </c>
      <c r="AC379" s="347">
        <f t="shared" si="118"/>
        <v>0</v>
      </c>
      <c r="AD379" s="249"/>
      <c r="AE379" s="435">
        <f t="shared" si="123"/>
        <v>4212000</v>
      </c>
      <c r="AF379" s="342">
        <f t="shared" si="120"/>
        <v>6138800</v>
      </c>
      <c r="AG379" s="251">
        <f t="shared" si="119"/>
        <v>3899999.9999999995</v>
      </c>
      <c r="AH379" s="241"/>
      <c r="AI379" s="241"/>
      <c r="AJ379" s="241"/>
      <c r="AK379" s="194"/>
      <c r="AL379" s="195"/>
      <c r="AM379" s="195"/>
    </row>
    <row r="380" spans="2:40">
      <c r="B380" s="253">
        <v>5</v>
      </c>
      <c r="C380" s="244"/>
      <c r="D380" s="654" t="s">
        <v>3965</v>
      </c>
      <c r="E380" s="708">
        <v>306875719420</v>
      </c>
      <c r="F380" s="640" t="s">
        <v>3965</v>
      </c>
      <c r="G380" s="391" t="s">
        <v>3967</v>
      </c>
      <c r="H380" s="230" t="s">
        <v>210</v>
      </c>
      <c r="I380" s="230"/>
      <c r="J380" s="230">
        <v>1</v>
      </c>
      <c r="K380" s="230"/>
      <c r="L380" s="228"/>
      <c r="M380" s="257"/>
      <c r="N380" s="228">
        <v>8897767960</v>
      </c>
      <c r="O380" s="1021" t="s">
        <v>4038</v>
      </c>
      <c r="P380" s="245" t="s">
        <v>3966</v>
      </c>
      <c r="Q380" s="2368"/>
      <c r="R380" s="2368"/>
      <c r="S380" s="254" t="s">
        <v>2760</v>
      </c>
      <c r="T380" s="228"/>
      <c r="U380" s="2357"/>
      <c r="V380" s="256"/>
      <c r="W380" s="753">
        <v>1430000</v>
      </c>
      <c r="X380" s="753">
        <v>766800</v>
      </c>
      <c r="Y380" s="248"/>
      <c r="Z380" s="247"/>
      <c r="AA380" s="248"/>
      <c r="AB380" s="340">
        <f t="shared" si="122"/>
        <v>2196800</v>
      </c>
      <c r="AC380" s="347">
        <f t="shared" si="118"/>
        <v>0</v>
      </c>
      <c r="AD380" s="249"/>
      <c r="AE380" s="435">
        <f t="shared" si="123"/>
        <v>4212000</v>
      </c>
      <c r="AF380" s="342">
        <f t="shared" si="120"/>
        <v>6408800</v>
      </c>
      <c r="AG380" s="251">
        <f t="shared" si="119"/>
        <v>3899999.9999999995</v>
      </c>
      <c r="AH380" s="241"/>
      <c r="AI380" s="241"/>
      <c r="AJ380" s="241"/>
      <c r="AK380" s="194"/>
      <c r="AL380" s="195"/>
      <c r="AM380" s="195"/>
    </row>
    <row r="381" spans="2:40" ht="31.2">
      <c r="B381" s="253">
        <v>6</v>
      </c>
      <c r="C381" s="244"/>
      <c r="D381" s="654" t="s">
        <v>3963</v>
      </c>
      <c r="E381" s="708">
        <v>306882406260</v>
      </c>
      <c r="F381" s="640" t="s">
        <v>3963</v>
      </c>
      <c r="G381" s="391" t="s">
        <v>3980</v>
      </c>
      <c r="H381" s="230" t="s">
        <v>210</v>
      </c>
      <c r="I381" s="230"/>
      <c r="J381" s="230">
        <v>1</v>
      </c>
      <c r="K381" s="230"/>
      <c r="L381" s="228"/>
      <c r="M381" s="257"/>
      <c r="N381" s="228" t="s">
        <v>3973</v>
      </c>
      <c r="O381" s="1021" t="s">
        <v>3979</v>
      </c>
      <c r="P381" s="1089" t="s">
        <v>3974</v>
      </c>
      <c r="Q381" s="2375"/>
      <c r="R381" s="2375"/>
      <c r="S381" s="254" t="s">
        <v>3975</v>
      </c>
      <c r="T381" s="228"/>
      <c r="U381" s="2357"/>
      <c r="V381" s="256"/>
      <c r="W381" s="753">
        <v>1450000</v>
      </c>
      <c r="X381" s="753">
        <v>1140000</v>
      </c>
      <c r="Y381" s="248"/>
      <c r="Z381" s="247"/>
      <c r="AA381" s="248"/>
      <c r="AB381" s="340">
        <f t="shared" si="122"/>
        <v>2590000</v>
      </c>
      <c r="AC381" s="347">
        <f t="shared" si="118"/>
        <v>0</v>
      </c>
      <c r="AD381" s="249"/>
      <c r="AE381" s="435">
        <f t="shared" si="123"/>
        <v>4212000</v>
      </c>
      <c r="AF381" s="342">
        <f t="shared" si="120"/>
        <v>6802000</v>
      </c>
      <c r="AG381" s="251">
        <f t="shared" si="119"/>
        <v>3899999.9999999995</v>
      </c>
      <c r="AH381" s="241"/>
      <c r="AI381" s="241"/>
      <c r="AJ381" s="241"/>
      <c r="AK381" s="194"/>
      <c r="AL381" s="195"/>
      <c r="AM381" s="195"/>
    </row>
    <row r="382" spans="2:40" ht="31.2">
      <c r="B382" s="253">
        <v>7</v>
      </c>
      <c r="C382" s="244"/>
      <c r="D382" s="654" t="s">
        <v>3988</v>
      </c>
      <c r="E382" s="708">
        <v>306894332640</v>
      </c>
      <c r="F382" s="1164" t="s">
        <v>3988</v>
      </c>
      <c r="G382" s="391" t="s">
        <v>4000</v>
      </c>
      <c r="H382" s="230" t="s">
        <v>210</v>
      </c>
      <c r="I382" s="230"/>
      <c r="J382" s="230">
        <v>1</v>
      </c>
      <c r="K382" s="230"/>
      <c r="L382" s="228"/>
      <c r="M382" s="257"/>
      <c r="N382" s="228" t="s">
        <v>3989</v>
      </c>
      <c r="O382" s="1021" t="s">
        <v>3998</v>
      </c>
      <c r="P382" s="1089" t="s">
        <v>3990</v>
      </c>
      <c r="Q382" s="2375"/>
      <c r="R382" s="2375"/>
      <c r="S382" s="254" t="s">
        <v>3975</v>
      </c>
      <c r="T382" s="228"/>
      <c r="U382" s="2357"/>
      <c r="V382" s="256"/>
      <c r="W382" s="753">
        <v>1425000</v>
      </c>
      <c r="X382" s="753">
        <v>1140000</v>
      </c>
      <c r="Y382" s="248"/>
      <c r="Z382" s="247"/>
      <c r="AA382" s="248"/>
      <c r="AB382" s="340">
        <f t="shared" si="122"/>
        <v>2565000</v>
      </c>
      <c r="AC382" s="347">
        <f t="shared" si="118"/>
        <v>0</v>
      </c>
      <c r="AD382" s="249"/>
      <c r="AE382" s="435">
        <f t="shared" si="123"/>
        <v>4212000</v>
      </c>
      <c r="AF382" s="342">
        <f t="shared" si="120"/>
        <v>6777000</v>
      </c>
      <c r="AG382" s="251">
        <f t="shared" si="119"/>
        <v>3899999.9999999995</v>
      </c>
      <c r="AH382" s="241"/>
      <c r="AI382" s="241"/>
      <c r="AJ382" s="241"/>
      <c r="AK382" s="194"/>
      <c r="AL382" s="195"/>
      <c r="AM382" s="195"/>
    </row>
    <row r="383" spans="2:40" ht="31.2">
      <c r="B383" s="253">
        <v>8</v>
      </c>
      <c r="C383" s="244"/>
      <c r="D383" s="654" t="s">
        <v>4018</v>
      </c>
      <c r="E383" s="708">
        <v>306926955440</v>
      </c>
      <c r="F383" s="1109" t="s">
        <v>4018</v>
      </c>
      <c r="G383" s="1163" t="s">
        <v>4058</v>
      </c>
      <c r="H383" s="230" t="s">
        <v>210</v>
      </c>
      <c r="I383" s="230">
        <v>1</v>
      </c>
      <c r="J383" s="230"/>
      <c r="K383" s="230"/>
      <c r="L383" s="228"/>
      <c r="M383" s="257"/>
      <c r="N383" s="228" t="s">
        <v>4026</v>
      </c>
      <c r="O383" s="1021" t="s">
        <v>4059</v>
      </c>
      <c r="P383" s="1089" t="s">
        <v>4027</v>
      </c>
      <c r="Q383" s="2375"/>
      <c r="R383" s="2375"/>
      <c r="S383" s="254" t="s">
        <v>2760</v>
      </c>
      <c r="T383" s="228"/>
      <c r="U383" s="2357"/>
      <c r="V383" s="256"/>
      <c r="W383" s="753">
        <v>795000</v>
      </c>
      <c r="X383" s="753">
        <v>432000</v>
      </c>
      <c r="Y383" s="248"/>
      <c r="Z383" s="247"/>
      <c r="AA383" s="248"/>
      <c r="AB383" s="340">
        <f t="shared" si="122"/>
        <v>1227000</v>
      </c>
      <c r="AC383" s="347">
        <f t="shared" si="118"/>
        <v>0</v>
      </c>
      <c r="AD383" s="249"/>
      <c r="AE383" s="435">
        <f t="shared" si="123"/>
        <v>4104000.0000000005</v>
      </c>
      <c r="AF383" s="342">
        <f t="shared" si="120"/>
        <v>5331000</v>
      </c>
      <c r="AG383" s="251">
        <f t="shared" si="119"/>
        <v>3800000</v>
      </c>
      <c r="AH383" s="241"/>
      <c r="AI383" s="241"/>
      <c r="AJ383" s="241"/>
      <c r="AK383" s="194"/>
      <c r="AL383" s="195"/>
      <c r="AM383" s="195"/>
    </row>
    <row r="384" spans="2:40">
      <c r="B384" s="253">
        <v>9</v>
      </c>
      <c r="C384" s="244"/>
      <c r="D384" s="1024" t="s">
        <v>4052</v>
      </c>
      <c r="E384" s="708">
        <v>306933707050</v>
      </c>
      <c r="F384" s="1152" t="s">
        <v>4052</v>
      </c>
      <c r="G384" s="1171" t="s">
        <v>4080</v>
      </c>
      <c r="H384" s="230" t="s">
        <v>210</v>
      </c>
      <c r="I384" s="1018"/>
      <c r="J384" s="1018">
        <v>1</v>
      </c>
      <c r="K384" s="1018"/>
      <c r="L384" s="1019"/>
      <c r="M384" s="257"/>
      <c r="N384" s="254" t="s">
        <v>4088</v>
      </c>
      <c r="O384" s="1021" t="s">
        <v>4076</v>
      </c>
      <c r="P384" s="1173" t="s">
        <v>4077</v>
      </c>
      <c r="Q384" s="2376"/>
      <c r="R384" s="2376"/>
      <c r="S384" s="254" t="s">
        <v>2966</v>
      </c>
      <c r="T384" s="228"/>
      <c r="U384" s="2357"/>
      <c r="V384" s="256"/>
      <c r="W384" s="753">
        <v>1150000</v>
      </c>
      <c r="X384" s="753">
        <v>766800</v>
      </c>
      <c r="Y384" s="248"/>
      <c r="Z384" s="247"/>
      <c r="AA384" s="248"/>
      <c r="AB384" s="340">
        <f t="shared" si="122"/>
        <v>1916800</v>
      </c>
      <c r="AC384" s="347">
        <f>+Z384</f>
        <v>0</v>
      </c>
      <c r="AD384" s="391" t="s">
        <v>4089</v>
      </c>
      <c r="AE384" s="435">
        <f>+(I384*3650000+J384*(3650000+100000))*1.08+((I384+J384+K384)*150000)*1.08+(2000000*1.08)</f>
        <v>6372000</v>
      </c>
      <c r="AF384" s="342">
        <f>+AB384+AE384</f>
        <v>8288800</v>
      </c>
      <c r="AG384" s="251">
        <f>+AE384/1.08</f>
        <v>5900000</v>
      </c>
      <c r="AH384" s="241"/>
      <c r="AI384" s="241"/>
      <c r="AJ384" s="241"/>
      <c r="AK384" s="194"/>
      <c r="AL384" s="195"/>
      <c r="AM384" s="195"/>
    </row>
    <row r="385" spans="2:40" ht="21">
      <c r="B385" s="1176">
        <v>10</v>
      </c>
      <c r="C385" s="1177"/>
      <c r="D385" s="1178" t="s">
        <v>4127</v>
      </c>
      <c r="E385" s="1195">
        <v>106760962820</v>
      </c>
      <c r="F385" s="1179" t="s">
        <v>4096</v>
      </c>
      <c r="G385" s="1180" t="s">
        <v>4110</v>
      </c>
      <c r="H385" s="1181" t="s">
        <v>1300</v>
      </c>
      <c r="I385" s="1181"/>
      <c r="J385" s="1181"/>
      <c r="K385" s="1181">
        <v>1</v>
      </c>
      <c r="L385" s="1182"/>
      <c r="M385" s="1183" t="s">
        <v>4109</v>
      </c>
      <c r="N385" s="1182" t="s">
        <v>4108</v>
      </c>
      <c r="O385" s="1184"/>
      <c r="P385" s="1185"/>
      <c r="Q385" s="2375"/>
      <c r="R385" s="2375"/>
      <c r="S385" s="1184"/>
      <c r="T385" s="1182"/>
      <c r="U385" s="2357"/>
      <c r="V385" s="1076">
        <v>75993</v>
      </c>
      <c r="W385" s="1196"/>
      <c r="X385" s="1196"/>
      <c r="Y385" s="1186"/>
      <c r="Z385" s="1187"/>
      <c r="AA385" s="1186"/>
      <c r="AB385" s="1188"/>
      <c r="AC385" s="1189"/>
      <c r="AD385" s="1190"/>
      <c r="AE385" s="435">
        <f>(1320000+150000)*1.08</f>
        <v>1587600</v>
      </c>
      <c r="AF385" s="342">
        <f>+AB385+AE385</f>
        <v>1587600</v>
      </c>
      <c r="AG385" s="1191">
        <f>+AE385/1.08</f>
        <v>1470000</v>
      </c>
      <c r="AH385" s="1192"/>
      <c r="AI385" s="1192"/>
      <c r="AJ385" s="1192"/>
      <c r="AK385" s="1193"/>
      <c r="AL385" s="1194"/>
      <c r="AM385" s="1194"/>
    </row>
    <row r="386" spans="2:40">
      <c r="B386" s="3405" t="s">
        <v>4086</v>
      </c>
      <c r="C386" s="3312"/>
      <c r="D386" s="3312"/>
      <c r="E386" s="3312"/>
      <c r="F386" s="3312"/>
      <c r="G386" s="3312"/>
      <c r="H386" s="3312"/>
      <c r="I386" s="3312"/>
      <c r="J386" s="3312"/>
      <c r="K386" s="3312"/>
      <c r="L386" s="3312"/>
      <c r="M386" s="346"/>
      <c r="N386" s="346"/>
      <c r="O386" s="346"/>
      <c r="P386" s="346"/>
      <c r="Q386" s="346"/>
      <c r="R386" s="346"/>
      <c r="S386" s="346"/>
      <c r="T386" s="346"/>
      <c r="U386" s="346"/>
      <c r="V386" s="590"/>
      <c r="W386" s="590">
        <f>SUM(W376:W385)</f>
        <v>11130000</v>
      </c>
      <c r="X386" s="590">
        <f>+W386+'CHÍNH NGUYÊN'!S185</f>
        <v>11130000</v>
      </c>
      <c r="Y386" s="357"/>
      <c r="Z386" s="357"/>
      <c r="AA386" s="357"/>
      <c r="AB386" s="358">
        <f>SUM(AB369:AB385)</f>
        <v>77196281</v>
      </c>
      <c r="AC386" s="358"/>
      <c r="AD386" s="358"/>
      <c r="AE386" s="358">
        <f>SUM(AE376:AE385)</f>
        <v>41547600</v>
      </c>
      <c r="AF386" s="358">
        <f>SUM(AF376:AF385)</f>
        <v>60776800</v>
      </c>
      <c r="AG386" s="358">
        <f>SUM(AG376:AG385)</f>
        <v>38470000</v>
      </c>
      <c r="AH386" s="241"/>
      <c r="AI386" s="241"/>
      <c r="AJ386" s="241"/>
      <c r="AK386" s="194"/>
      <c r="AL386" s="195"/>
      <c r="AM386" s="195"/>
      <c r="AN386" s="1087"/>
    </row>
    <row r="387" spans="2:40" ht="31.2">
      <c r="B387" s="253">
        <v>1</v>
      </c>
      <c r="C387" s="244"/>
      <c r="D387" s="654" t="s">
        <v>4053</v>
      </c>
      <c r="E387" s="708">
        <v>306937659400</v>
      </c>
      <c r="F387" s="1077" t="s">
        <v>4053</v>
      </c>
      <c r="G387" s="1163" t="s">
        <v>4101</v>
      </c>
      <c r="H387" s="230" t="s">
        <v>210</v>
      </c>
      <c r="I387" s="230"/>
      <c r="J387" s="230">
        <v>1</v>
      </c>
      <c r="K387" s="230"/>
      <c r="L387" s="228"/>
      <c r="M387" s="1174"/>
      <c r="N387" s="228" t="s">
        <v>4070</v>
      </c>
      <c r="O387" s="1021" t="s">
        <v>4094</v>
      </c>
      <c r="P387" s="1089" t="s">
        <v>4103</v>
      </c>
      <c r="Q387" s="2375"/>
      <c r="R387" s="2375"/>
      <c r="S387" s="254" t="s">
        <v>2966</v>
      </c>
      <c r="T387" s="228"/>
      <c r="U387" s="2357"/>
      <c r="V387" s="256"/>
      <c r="W387" s="753">
        <v>1160000</v>
      </c>
      <c r="X387" s="753">
        <v>766800</v>
      </c>
      <c r="Y387" s="248"/>
      <c r="Z387" s="247"/>
      <c r="AA387" s="248"/>
      <c r="AB387" s="340">
        <f t="shared" ref="AB387:AB412" si="124">V387+W387+X387+Y387+Z387+AA387</f>
        <v>1926800</v>
      </c>
      <c r="AC387" s="347">
        <f t="shared" ref="AC387:AC442" si="125">+Z387</f>
        <v>0</v>
      </c>
      <c r="AD387" s="249"/>
      <c r="AE387" s="435">
        <f t="shared" ref="AE387:AE393" si="126">+(I387*3650000+J387*(3650000+100000))*1.08+((I387+J387+K387)*150000)*1.08</f>
        <v>4212000</v>
      </c>
      <c r="AF387" s="342">
        <f t="shared" si="120"/>
        <v>6138800</v>
      </c>
      <c r="AG387" s="251">
        <f t="shared" si="119"/>
        <v>3899999.9999999995</v>
      </c>
      <c r="AH387" s="241"/>
      <c r="AI387" s="241"/>
      <c r="AJ387" s="241"/>
      <c r="AK387" s="194"/>
      <c r="AL387" s="195"/>
      <c r="AM387" s="195"/>
    </row>
    <row r="388" spans="2:40" ht="31.2">
      <c r="B388" s="253">
        <v>2</v>
      </c>
      <c r="C388" s="244"/>
      <c r="D388" s="654" t="s">
        <v>4053</v>
      </c>
      <c r="E388" s="708">
        <v>306936493640</v>
      </c>
      <c r="F388" s="1077" t="s">
        <v>4053</v>
      </c>
      <c r="G388" s="1207" t="s">
        <v>4084</v>
      </c>
      <c r="H388" s="230" t="s">
        <v>210</v>
      </c>
      <c r="I388" s="230"/>
      <c r="J388" s="230">
        <v>2</v>
      </c>
      <c r="K388" s="230"/>
      <c r="L388" s="228"/>
      <c r="M388" s="257"/>
      <c r="N388" s="1170">
        <v>235402106552</v>
      </c>
      <c r="O388" s="1021" t="s">
        <v>4083</v>
      </c>
      <c r="P388" s="1089" t="s">
        <v>4102</v>
      </c>
      <c r="Q388" s="2375"/>
      <c r="R388" s="2375"/>
      <c r="S388" s="254" t="s">
        <v>4078</v>
      </c>
      <c r="T388" s="228"/>
      <c r="U388" s="2357"/>
      <c r="V388" s="256"/>
      <c r="W388" s="753">
        <f>1450000*2</f>
        <v>2900000</v>
      </c>
      <c r="X388" s="753">
        <f>1140000*2</f>
        <v>2280000</v>
      </c>
      <c r="Y388" s="248"/>
      <c r="Z388" s="247"/>
      <c r="AA388" s="248"/>
      <c r="AB388" s="340">
        <f t="shared" si="124"/>
        <v>5180000</v>
      </c>
      <c r="AC388" s="347">
        <f t="shared" si="125"/>
        <v>0</v>
      </c>
      <c r="AD388" s="249"/>
      <c r="AE388" s="435">
        <f t="shared" si="126"/>
        <v>8424000</v>
      </c>
      <c r="AF388" s="342">
        <f t="shared" si="120"/>
        <v>13604000</v>
      </c>
      <c r="AG388" s="251">
        <f t="shared" si="119"/>
        <v>7799999.9999999991</v>
      </c>
      <c r="AH388" s="241"/>
      <c r="AI388" s="241"/>
      <c r="AJ388" s="241"/>
      <c r="AK388" s="194"/>
      <c r="AL388" s="195"/>
      <c r="AM388" s="195"/>
    </row>
    <row r="389" spans="2:40" ht="31.2">
      <c r="B389" s="253">
        <v>3</v>
      </c>
      <c r="C389" s="244"/>
      <c r="D389" s="654" t="s">
        <v>4085</v>
      </c>
      <c r="E389" s="708">
        <v>306940090720</v>
      </c>
      <c r="F389" s="1077" t="s">
        <v>4085</v>
      </c>
      <c r="G389" s="1163" t="s">
        <v>4099</v>
      </c>
      <c r="H389" s="230" t="s">
        <v>210</v>
      </c>
      <c r="I389" s="230"/>
      <c r="J389" s="230">
        <v>1</v>
      </c>
      <c r="K389" s="230"/>
      <c r="L389" s="228"/>
      <c r="M389" s="257"/>
      <c r="N389" s="228">
        <v>11816780</v>
      </c>
      <c r="O389" s="1021" t="s">
        <v>4097</v>
      </c>
      <c r="P389" s="1089" t="s">
        <v>4092</v>
      </c>
      <c r="Q389" s="2375"/>
      <c r="R389" s="2375"/>
      <c r="S389" s="254" t="s">
        <v>4091</v>
      </c>
      <c r="T389" s="228"/>
      <c r="U389" s="2357"/>
      <c r="V389" s="256"/>
      <c r="W389" s="753">
        <v>1450000</v>
      </c>
      <c r="X389" s="753">
        <v>1140000</v>
      </c>
      <c r="Y389" s="248"/>
      <c r="Z389" s="247"/>
      <c r="AA389" s="248"/>
      <c r="AB389" s="340">
        <f t="shared" si="124"/>
        <v>2590000</v>
      </c>
      <c r="AC389" s="347">
        <f t="shared" si="125"/>
        <v>0</v>
      </c>
      <c r="AD389" s="249"/>
      <c r="AE389" s="435">
        <f t="shared" si="126"/>
        <v>4212000</v>
      </c>
      <c r="AF389" s="342">
        <f t="shared" si="120"/>
        <v>6802000</v>
      </c>
      <c r="AG389" s="251">
        <f t="shared" si="119"/>
        <v>3899999.9999999995</v>
      </c>
      <c r="AH389" s="241"/>
      <c r="AI389" s="241"/>
      <c r="AJ389" s="241"/>
      <c r="AK389" s="194"/>
      <c r="AL389" s="195"/>
      <c r="AM389" s="195"/>
    </row>
    <row r="390" spans="2:40" ht="31.2">
      <c r="B390" s="253">
        <v>4</v>
      </c>
      <c r="C390" s="244"/>
      <c r="D390" s="654" t="s">
        <v>4085</v>
      </c>
      <c r="E390" s="708">
        <v>306939657160</v>
      </c>
      <c r="F390" s="1077" t="s">
        <v>4085</v>
      </c>
      <c r="G390" s="1163" t="s">
        <v>4100</v>
      </c>
      <c r="H390" s="230" t="s">
        <v>210</v>
      </c>
      <c r="I390" s="230"/>
      <c r="J390" s="230">
        <v>1</v>
      </c>
      <c r="K390" s="230"/>
      <c r="L390" s="228"/>
      <c r="M390" s="257"/>
      <c r="N390" s="228" t="s">
        <v>4090</v>
      </c>
      <c r="O390" s="1021" t="s">
        <v>4098</v>
      </c>
      <c r="P390" s="1089" t="s">
        <v>4093</v>
      </c>
      <c r="Q390" s="2375"/>
      <c r="R390" s="2375"/>
      <c r="S390" s="254" t="s">
        <v>2966</v>
      </c>
      <c r="T390" s="228"/>
      <c r="U390" s="2357"/>
      <c r="V390" s="256"/>
      <c r="W390" s="753">
        <v>1250000</v>
      </c>
      <c r="X390" s="753">
        <v>766800</v>
      </c>
      <c r="Y390" s="248"/>
      <c r="Z390" s="247"/>
      <c r="AA390" s="248"/>
      <c r="AB390" s="340">
        <f t="shared" si="124"/>
        <v>2016800</v>
      </c>
      <c r="AC390" s="347">
        <f t="shared" si="125"/>
        <v>0</v>
      </c>
      <c r="AD390" s="391"/>
      <c r="AE390" s="605">
        <f t="shared" si="126"/>
        <v>4212000</v>
      </c>
      <c r="AF390" s="342">
        <f t="shared" si="120"/>
        <v>6228800</v>
      </c>
      <c r="AG390" s="251">
        <f t="shared" si="119"/>
        <v>3899999.9999999995</v>
      </c>
      <c r="AH390" s="241"/>
      <c r="AI390" s="241"/>
      <c r="AJ390" s="241"/>
      <c r="AK390" s="194"/>
      <c r="AL390" s="195"/>
      <c r="AM390" s="195"/>
    </row>
    <row r="391" spans="2:40" ht="31.2">
      <c r="B391" s="253">
        <v>5</v>
      </c>
      <c r="C391" s="244"/>
      <c r="D391" s="654" t="s">
        <v>4096</v>
      </c>
      <c r="E391" s="708">
        <v>306943547910</v>
      </c>
      <c r="F391" s="1077" t="s">
        <v>4096</v>
      </c>
      <c r="G391" s="1163" t="s">
        <v>4112</v>
      </c>
      <c r="H391" s="230" t="s">
        <v>210</v>
      </c>
      <c r="I391" s="230">
        <v>1</v>
      </c>
      <c r="J391" s="230"/>
      <c r="K391" s="230"/>
      <c r="L391" s="228"/>
      <c r="M391" s="257"/>
      <c r="N391" s="228" t="s">
        <v>4095</v>
      </c>
      <c r="O391" s="228" t="s">
        <v>4107</v>
      </c>
      <c r="P391" s="1089" t="s">
        <v>4186</v>
      </c>
      <c r="Q391" s="2375"/>
      <c r="R391" s="2375"/>
      <c r="S391" s="254" t="s">
        <v>2966</v>
      </c>
      <c r="T391" s="228"/>
      <c r="U391" s="2357"/>
      <c r="V391" s="256"/>
      <c r="W391" s="753">
        <v>900000</v>
      </c>
      <c r="X391" s="753">
        <v>432000</v>
      </c>
      <c r="Y391" s="248"/>
      <c r="Z391" s="247"/>
      <c r="AA391" s="248"/>
      <c r="AB391" s="340">
        <f t="shared" si="124"/>
        <v>1332000</v>
      </c>
      <c r="AC391" s="347">
        <f t="shared" si="125"/>
        <v>0</v>
      </c>
      <c r="AD391" s="249"/>
      <c r="AE391" s="435">
        <f t="shared" si="126"/>
        <v>4104000.0000000005</v>
      </c>
      <c r="AF391" s="342">
        <f t="shared" si="120"/>
        <v>5436000</v>
      </c>
      <c r="AG391" s="251">
        <f t="shared" si="119"/>
        <v>3800000</v>
      </c>
      <c r="AH391" s="241"/>
      <c r="AI391" s="241"/>
      <c r="AJ391" s="241"/>
      <c r="AK391" s="194"/>
      <c r="AL391" s="195"/>
      <c r="AM391" s="195"/>
    </row>
    <row r="392" spans="2:40" ht="31.2">
      <c r="B392" s="253">
        <v>6</v>
      </c>
      <c r="C392" s="244"/>
      <c r="D392" s="1197">
        <v>45334</v>
      </c>
      <c r="E392" s="708">
        <v>306954892550</v>
      </c>
      <c r="F392" s="640" t="s">
        <v>4130</v>
      </c>
      <c r="G392" s="391" t="s">
        <v>4133</v>
      </c>
      <c r="H392" s="230" t="s">
        <v>210</v>
      </c>
      <c r="I392" s="230">
        <v>1</v>
      </c>
      <c r="J392" s="230"/>
      <c r="K392" s="230"/>
      <c r="L392" s="228"/>
      <c r="M392" s="257"/>
      <c r="N392" s="228" t="s">
        <v>4119</v>
      </c>
      <c r="O392" s="228" t="s">
        <v>4132</v>
      </c>
      <c r="P392" s="1173" t="s">
        <v>4187</v>
      </c>
      <c r="Q392" s="2376"/>
      <c r="R392" s="2376"/>
      <c r="S392" s="254" t="s">
        <v>2947</v>
      </c>
      <c r="T392" s="228"/>
      <c r="U392" s="2357"/>
      <c r="V392" s="256"/>
      <c r="W392" s="753">
        <v>334800</v>
      </c>
      <c r="X392" s="753">
        <v>351000</v>
      </c>
      <c r="Y392" s="248"/>
      <c r="Z392" s="247"/>
      <c r="AA392" s="248"/>
      <c r="AB392" s="340">
        <f t="shared" si="124"/>
        <v>685800</v>
      </c>
      <c r="AC392" s="347">
        <f t="shared" si="125"/>
        <v>0</v>
      </c>
      <c r="AD392" s="249"/>
      <c r="AE392" s="435">
        <f t="shared" si="126"/>
        <v>4104000.0000000005</v>
      </c>
      <c r="AF392" s="342">
        <f t="shared" si="120"/>
        <v>4789800</v>
      </c>
      <c r="AG392" s="251">
        <f t="shared" si="119"/>
        <v>3800000</v>
      </c>
      <c r="AH392" s="241"/>
      <c r="AI392" s="241"/>
      <c r="AJ392" s="241"/>
      <c r="AK392" s="194"/>
      <c r="AL392" s="195"/>
      <c r="AM392" s="195"/>
    </row>
    <row r="393" spans="2:40" ht="31.2">
      <c r="B393" s="253">
        <v>7</v>
      </c>
      <c r="C393" s="244"/>
      <c r="D393" s="1197">
        <v>45363</v>
      </c>
      <c r="E393" s="708">
        <v>306956426950</v>
      </c>
      <c r="F393" s="612">
        <v>45363</v>
      </c>
      <c r="G393" s="391" t="s">
        <v>4136</v>
      </c>
      <c r="H393" s="230" t="s">
        <v>210</v>
      </c>
      <c r="I393" s="230"/>
      <c r="J393" s="230">
        <v>1</v>
      </c>
      <c r="K393" s="230"/>
      <c r="L393" s="228"/>
      <c r="M393" s="257"/>
      <c r="N393" s="1170">
        <v>235402280454</v>
      </c>
      <c r="O393" s="228" t="s">
        <v>4135</v>
      </c>
      <c r="P393" s="1089" t="s">
        <v>4188</v>
      </c>
      <c r="Q393" s="2375"/>
      <c r="R393" s="2375"/>
      <c r="S393" s="254" t="s">
        <v>2947</v>
      </c>
      <c r="T393" s="228"/>
      <c r="U393" s="2357"/>
      <c r="V393" s="256"/>
      <c r="W393" s="753">
        <v>1500000</v>
      </c>
      <c r="X393" s="753">
        <v>602640</v>
      </c>
      <c r="Y393" s="248"/>
      <c r="Z393" s="247"/>
      <c r="AA393" s="248"/>
      <c r="AB393" s="340">
        <f t="shared" si="124"/>
        <v>2102640</v>
      </c>
      <c r="AC393" s="347">
        <f t="shared" si="125"/>
        <v>0</v>
      </c>
      <c r="AD393" s="249"/>
      <c r="AE393" s="435">
        <f t="shared" si="126"/>
        <v>4212000</v>
      </c>
      <c r="AF393" s="342">
        <f t="shared" si="120"/>
        <v>6314640</v>
      </c>
      <c r="AG393" s="251">
        <f t="shared" si="119"/>
        <v>3899999.9999999995</v>
      </c>
      <c r="AH393" s="241"/>
      <c r="AI393" s="241"/>
      <c r="AJ393" s="241"/>
      <c r="AK393" s="194"/>
      <c r="AL393" s="195"/>
      <c r="AM393" s="195"/>
    </row>
    <row r="394" spans="2:40">
      <c r="B394" s="253">
        <v>8</v>
      </c>
      <c r="C394" s="244"/>
      <c r="D394" s="654" t="s">
        <v>4149</v>
      </c>
      <c r="E394" s="1209">
        <v>106775884351</v>
      </c>
      <c r="F394" s="612">
        <v>45394</v>
      </c>
      <c r="G394" s="391" t="s">
        <v>4150</v>
      </c>
      <c r="H394" s="230" t="s">
        <v>1300</v>
      </c>
      <c r="I394" s="230"/>
      <c r="J394" s="230"/>
      <c r="K394" s="230">
        <v>1</v>
      </c>
      <c r="L394" s="228"/>
      <c r="M394" s="1183" t="s">
        <v>4148</v>
      </c>
      <c r="N394" s="1170" t="s">
        <v>4147</v>
      </c>
      <c r="O394" s="1175"/>
      <c r="P394" s="245"/>
      <c r="Q394" s="2368"/>
      <c r="R394" s="2368"/>
      <c r="S394" s="254" t="s">
        <v>3493</v>
      </c>
      <c r="T394" s="228"/>
      <c r="U394" s="2357"/>
      <c r="V394" s="1076">
        <v>30869</v>
      </c>
      <c r="X394" s="248"/>
      <c r="Y394" s="248"/>
      <c r="Z394" s="247"/>
      <c r="AA394" s="248"/>
      <c r="AB394" s="340">
        <f t="shared" si="124"/>
        <v>30869</v>
      </c>
      <c r="AC394" s="347">
        <f t="shared" si="125"/>
        <v>0</v>
      </c>
      <c r="AD394" s="391" t="s">
        <v>4152</v>
      </c>
      <c r="AE394" s="605">
        <f>(2520000+150000)*1.08+(500000*1.08)</f>
        <v>3423600</v>
      </c>
      <c r="AF394" s="342">
        <f t="shared" si="120"/>
        <v>3454469</v>
      </c>
      <c r="AG394" s="251">
        <f t="shared" si="119"/>
        <v>3170000</v>
      </c>
      <c r="AH394" s="241"/>
      <c r="AI394" s="241"/>
      <c r="AJ394" s="241"/>
      <c r="AK394" s="194"/>
      <c r="AL394" s="195"/>
      <c r="AM394" s="195"/>
    </row>
    <row r="395" spans="2:40" ht="31.2">
      <c r="B395" s="253">
        <v>9</v>
      </c>
      <c r="C395" s="244"/>
      <c r="D395" s="654" t="s">
        <v>4149</v>
      </c>
      <c r="E395" s="708">
        <v>306968028530</v>
      </c>
      <c r="F395" s="640" t="s">
        <v>4149</v>
      </c>
      <c r="G395" s="391" t="s">
        <v>4165</v>
      </c>
      <c r="H395" s="230" t="s">
        <v>210</v>
      </c>
      <c r="I395" s="230"/>
      <c r="J395" s="230">
        <v>2</v>
      </c>
      <c r="K395" s="230"/>
      <c r="L395" s="228"/>
      <c r="M395" s="257"/>
      <c r="N395" s="228" t="s">
        <v>4151</v>
      </c>
      <c r="O395" s="254" t="s">
        <v>4164</v>
      </c>
      <c r="P395" s="1173" t="s">
        <v>4189</v>
      </c>
      <c r="Q395" s="2376"/>
      <c r="R395" s="2376"/>
      <c r="S395" s="254" t="s">
        <v>3927</v>
      </c>
      <c r="T395" s="228"/>
      <c r="U395" s="2357"/>
      <c r="V395" s="256"/>
      <c r="W395" s="753">
        <f>1450000*2</f>
        <v>2900000</v>
      </c>
      <c r="X395" s="753">
        <v>2320000</v>
      </c>
      <c r="Y395" s="248"/>
      <c r="Z395" s="247"/>
      <c r="AA395" s="248"/>
      <c r="AB395" s="340">
        <f t="shared" si="124"/>
        <v>5220000</v>
      </c>
      <c r="AC395" s="347">
        <f t="shared" si="125"/>
        <v>0</v>
      </c>
      <c r="AD395" s="249"/>
      <c r="AE395" s="435">
        <f>+(I395*3650000+J395*(3650000+100000))*1.08+((I395+J395+K395)*150000)*1.08</f>
        <v>8424000</v>
      </c>
      <c r="AF395" s="342">
        <f t="shared" si="120"/>
        <v>13644000</v>
      </c>
      <c r="AG395" s="251">
        <f t="shared" si="119"/>
        <v>7799999.9999999991</v>
      </c>
      <c r="AH395" s="241"/>
      <c r="AI395" s="241"/>
      <c r="AJ395" s="241"/>
      <c r="AK395" s="194"/>
      <c r="AL395" s="195"/>
      <c r="AM395" s="195"/>
    </row>
    <row r="396" spans="2:40" ht="31.2">
      <c r="B396" s="253">
        <v>10</v>
      </c>
      <c r="C396" s="1177"/>
      <c r="D396" s="1178" t="s">
        <v>4163</v>
      </c>
      <c r="E396" s="1211">
        <v>106779673600</v>
      </c>
      <c r="F396" s="1217" t="s">
        <v>4183</v>
      </c>
      <c r="G396" s="1200" t="s">
        <v>4166</v>
      </c>
      <c r="H396" s="1181" t="s">
        <v>1300</v>
      </c>
      <c r="I396" s="1181"/>
      <c r="J396" s="1181"/>
      <c r="K396" s="1181">
        <v>1</v>
      </c>
      <c r="L396" s="1182"/>
      <c r="M396" s="1183" t="s">
        <v>4160</v>
      </c>
      <c r="N396" s="228" t="s">
        <v>4161</v>
      </c>
      <c r="O396" s="1213"/>
      <c r="P396" s="245"/>
      <c r="Q396" s="2368"/>
      <c r="R396" s="2368"/>
      <c r="S396" s="254" t="s">
        <v>3167</v>
      </c>
      <c r="T396" s="1182"/>
      <c r="U396" s="2357"/>
      <c r="V396" s="1212"/>
      <c r="W396" s="1074"/>
      <c r="X396" s="1074"/>
      <c r="Y396" s="1186"/>
      <c r="Z396" s="1187"/>
      <c r="AA396" s="1186"/>
      <c r="AB396" s="340">
        <f t="shared" si="124"/>
        <v>0</v>
      </c>
      <c r="AC396" s="347">
        <f t="shared" si="125"/>
        <v>0</v>
      </c>
      <c r="AD396" s="391" t="s">
        <v>4162</v>
      </c>
      <c r="AE396" s="605">
        <f>(1420000+150000)*1.08</f>
        <v>1695600</v>
      </c>
      <c r="AF396" s="342">
        <f t="shared" si="120"/>
        <v>1695600</v>
      </c>
      <c r="AG396" s="251">
        <f t="shared" si="119"/>
        <v>1570000</v>
      </c>
      <c r="AH396" s="1192"/>
      <c r="AI396" s="1192"/>
      <c r="AJ396" s="1192"/>
      <c r="AK396" s="1193"/>
      <c r="AL396" s="1194"/>
      <c r="AM396" s="1194"/>
    </row>
    <row r="397" spans="2:40" ht="31.2">
      <c r="B397" s="253">
        <v>11</v>
      </c>
      <c r="C397" s="244"/>
      <c r="D397" s="654" t="s">
        <v>4156</v>
      </c>
      <c r="E397" s="708">
        <v>306972728700</v>
      </c>
      <c r="F397" s="640" t="s">
        <v>4156</v>
      </c>
      <c r="G397" s="391" t="s">
        <v>4192</v>
      </c>
      <c r="H397" s="230" t="s">
        <v>210</v>
      </c>
      <c r="I397" s="230">
        <v>1</v>
      </c>
      <c r="J397" s="230"/>
      <c r="K397" s="230"/>
      <c r="L397" s="228"/>
      <c r="M397" s="257"/>
      <c r="N397" s="228" t="s">
        <v>4157</v>
      </c>
      <c r="O397" s="254" t="s">
        <v>4185</v>
      </c>
      <c r="P397" s="1173" t="s">
        <v>4175</v>
      </c>
      <c r="Q397" s="2376"/>
      <c r="R397" s="2376"/>
      <c r="S397" s="254" t="s">
        <v>2966</v>
      </c>
      <c r="T397" s="228"/>
      <c r="U397" s="2357"/>
      <c r="V397" s="256"/>
      <c r="W397" s="753">
        <v>885000</v>
      </c>
      <c r="X397" s="753">
        <v>432000</v>
      </c>
      <c r="Y397" s="248"/>
      <c r="Z397" s="247"/>
      <c r="AA397" s="248"/>
      <c r="AB397" s="340">
        <f t="shared" si="124"/>
        <v>1317000</v>
      </c>
      <c r="AC397" s="347">
        <f t="shared" si="125"/>
        <v>0</v>
      </c>
      <c r="AD397" s="249"/>
      <c r="AE397" s="435">
        <f t="shared" ref="AE397:AE411" si="127">+(I397*3650000+J397*(3650000+100000))*1.08+((I397+J397+K397)*150000)*1.08</f>
        <v>4104000.0000000005</v>
      </c>
      <c r="AF397" s="342">
        <f t="shared" si="120"/>
        <v>5421000</v>
      </c>
      <c r="AG397" s="251">
        <f t="shared" si="119"/>
        <v>3800000</v>
      </c>
      <c r="AH397" s="241"/>
      <c r="AI397" s="241"/>
      <c r="AJ397" s="241"/>
      <c r="AK397" s="194"/>
      <c r="AL397" s="195"/>
      <c r="AM397" s="195"/>
    </row>
    <row r="398" spans="2:40" ht="31.2">
      <c r="B398" s="253">
        <v>12</v>
      </c>
      <c r="C398" s="244"/>
      <c r="D398" s="654" t="s">
        <v>4156</v>
      </c>
      <c r="E398" s="708">
        <v>306972636520</v>
      </c>
      <c r="F398" s="640" t="s">
        <v>4156</v>
      </c>
      <c r="G398" s="391" t="s">
        <v>4193</v>
      </c>
      <c r="H398" s="230" t="s">
        <v>210</v>
      </c>
      <c r="I398" s="230"/>
      <c r="J398" s="230">
        <v>1</v>
      </c>
      <c r="K398" s="230"/>
      <c r="L398" s="228"/>
      <c r="M398" s="257"/>
      <c r="N398" s="228" t="s">
        <v>4158</v>
      </c>
      <c r="O398" s="254" t="s">
        <v>4184</v>
      </c>
      <c r="P398" s="1173" t="s">
        <v>4175</v>
      </c>
      <c r="Q398" s="2376"/>
      <c r="R398" s="2376"/>
      <c r="S398" s="254" t="s">
        <v>2966</v>
      </c>
      <c r="T398" s="228"/>
      <c r="U398" s="2357"/>
      <c r="V398" s="256"/>
      <c r="W398" s="753">
        <v>1400000</v>
      </c>
      <c r="X398" s="753">
        <v>766800</v>
      </c>
      <c r="Y398" s="248"/>
      <c r="Z398" s="247"/>
      <c r="AA398" s="248"/>
      <c r="AB398" s="340">
        <f t="shared" si="124"/>
        <v>2166800</v>
      </c>
      <c r="AC398" s="347">
        <f t="shared" si="125"/>
        <v>0</v>
      </c>
      <c r="AD398" s="249"/>
      <c r="AE398" s="435">
        <f t="shared" si="127"/>
        <v>4212000</v>
      </c>
      <c r="AF398" s="342">
        <f t="shared" si="120"/>
        <v>6378800</v>
      </c>
      <c r="AG398" s="251">
        <f t="shared" si="119"/>
        <v>3899999.9999999995</v>
      </c>
      <c r="AH398" s="241"/>
      <c r="AI398" s="241"/>
      <c r="AJ398" s="241"/>
      <c r="AK398" s="194"/>
      <c r="AL398" s="195"/>
      <c r="AM398" s="195"/>
    </row>
    <row r="399" spans="2:40" ht="31.2">
      <c r="B399" s="253">
        <v>13</v>
      </c>
      <c r="C399" s="244"/>
      <c r="D399" s="654" t="s">
        <v>4176</v>
      </c>
      <c r="E399" s="708">
        <v>306974724030</v>
      </c>
      <c r="F399" s="640" t="s">
        <v>4176</v>
      </c>
      <c r="G399" s="391" t="s">
        <v>4196</v>
      </c>
      <c r="H399" s="230" t="s">
        <v>210</v>
      </c>
      <c r="I399" s="230">
        <v>1</v>
      </c>
      <c r="J399" s="230"/>
      <c r="K399" s="230"/>
      <c r="L399" s="228"/>
      <c r="M399" s="1194"/>
      <c r="N399" s="228" t="s">
        <v>4177</v>
      </c>
      <c r="O399" s="254" t="s">
        <v>4194</v>
      </c>
      <c r="P399" s="1223" t="s">
        <v>4238</v>
      </c>
      <c r="Q399" s="2377"/>
      <c r="R399" s="2377"/>
      <c r="S399" s="1214" t="s">
        <v>4181</v>
      </c>
      <c r="T399" s="228"/>
      <c r="U399" s="2357"/>
      <c r="V399" s="256"/>
      <c r="W399" s="753">
        <v>900000</v>
      </c>
      <c r="X399" s="753">
        <v>710000</v>
      </c>
      <c r="Y399" s="248"/>
      <c r="Z399" s="247"/>
      <c r="AA399" s="248"/>
      <c r="AB399" s="340">
        <f t="shared" si="124"/>
        <v>1610000</v>
      </c>
      <c r="AC399" s="347">
        <f t="shared" si="125"/>
        <v>0</v>
      </c>
      <c r="AD399" s="196"/>
      <c r="AE399" s="435">
        <f t="shared" si="127"/>
        <v>4104000.0000000005</v>
      </c>
      <c r="AF399" s="342">
        <f t="shared" si="120"/>
        <v>5714000</v>
      </c>
      <c r="AG399" s="251">
        <f t="shared" si="119"/>
        <v>3800000</v>
      </c>
      <c r="AH399" s="241"/>
      <c r="AI399" s="241"/>
      <c r="AJ399" s="241"/>
      <c r="AK399" s="194"/>
      <c r="AL399" s="195"/>
      <c r="AM399" s="195"/>
    </row>
    <row r="400" spans="2:40" ht="31.2">
      <c r="B400" s="253">
        <v>14</v>
      </c>
      <c r="C400" s="244"/>
      <c r="D400" s="654" t="s">
        <v>4176</v>
      </c>
      <c r="E400" s="708">
        <v>306975483530</v>
      </c>
      <c r="F400" s="640" t="s">
        <v>4176</v>
      </c>
      <c r="G400" s="391" t="s">
        <v>4197</v>
      </c>
      <c r="H400" s="230" t="s">
        <v>210</v>
      </c>
      <c r="I400" s="230">
        <v>1</v>
      </c>
      <c r="J400" s="230"/>
      <c r="K400" s="230"/>
      <c r="L400" s="228"/>
      <c r="M400" s="1218"/>
      <c r="N400" s="228" t="s">
        <v>4178</v>
      </c>
      <c r="O400" s="254" t="s">
        <v>4195</v>
      </c>
      <c r="P400" s="1216" t="s">
        <v>4237</v>
      </c>
      <c r="Q400" s="2378"/>
      <c r="R400" s="2378"/>
      <c r="S400" s="1215" t="s">
        <v>2966</v>
      </c>
      <c r="T400" s="228"/>
      <c r="U400" s="2357"/>
      <c r="V400" s="256"/>
      <c r="W400" s="753">
        <v>900000</v>
      </c>
      <c r="X400" s="753">
        <v>432000</v>
      </c>
      <c r="Y400" s="248"/>
      <c r="Z400" s="247"/>
      <c r="AA400" s="248"/>
      <c r="AB400" s="340">
        <f t="shared" si="124"/>
        <v>1332000</v>
      </c>
      <c r="AC400" s="347">
        <f t="shared" si="125"/>
        <v>0</v>
      </c>
      <c r="AD400" s="249"/>
      <c r="AE400" s="435">
        <f t="shared" si="127"/>
        <v>4104000.0000000005</v>
      </c>
      <c r="AF400" s="342">
        <f t="shared" si="120"/>
        <v>5436000</v>
      </c>
      <c r="AG400" s="251">
        <f t="shared" si="119"/>
        <v>3800000</v>
      </c>
      <c r="AH400" s="241"/>
      <c r="AI400" s="241"/>
      <c r="AJ400" s="241"/>
      <c r="AK400" s="194"/>
      <c r="AL400" s="195"/>
      <c r="AM400" s="195"/>
    </row>
    <row r="401" spans="2:40" ht="31.2">
      <c r="B401" s="253">
        <v>15</v>
      </c>
      <c r="C401" s="244"/>
      <c r="D401" s="654" t="s">
        <v>4172</v>
      </c>
      <c r="E401" s="708">
        <v>306979149910</v>
      </c>
      <c r="F401" s="640" t="s">
        <v>4172</v>
      </c>
      <c r="G401" s="391" t="s">
        <v>4206</v>
      </c>
      <c r="H401" s="230" t="s">
        <v>210</v>
      </c>
      <c r="I401" s="230"/>
      <c r="J401" s="230">
        <v>1</v>
      </c>
      <c r="K401" s="230"/>
      <c r="L401" s="228"/>
      <c r="M401" s="1218"/>
      <c r="N401" s="228" t="s">
        <v>4179</v>
      </c>
      <c r="O401" s="254" t="s">
        <v>4204</v>
      </c>
      <c r="P401" s="1216" t="s">
        <v>4182</v>
      </c>
      <c r="Q401" s="2378"/>
      <c r="R401" s="2378"/>
      <c r="S401" s="1215" t="s">
        <v>2966</v>
      </c>
      <c r="T401" s="228"/>
      <c r="U401" s="2357"/>
      <c r="V401" s="256"/>
      <c r="W401" s="753">
        <v>1500000</v>
      </c>
      <c r="X401" s="753">
        <v>766800</v>
      </c>
      <c r="Y401" s="248"/>
      <c r="Z401" s="247"/>
      <c r="AA401" s="248"/>
      <c r="AB401" s="340">
        <f t="shared" si="124"/>
        <v>2266800</v>
      </c>
      <c r="AC401" s="347">
        <f t="shared" si="125"/>
        <v>0</v>
      </c>
      <c r="AD401" s="249"/>
      <c r="AE401" s="435">
        <f t="shared" si="127"/>
        <v>4212000</v>
      </c>
      <c r="AF401" s="342">
        <f t="shared" si="120"/>
        <v>6478800</v>
      </c>
      <c r="AG401" s="251">
        <f t="shared" si="119"/>
        <v>3899999.9999999995</v>
      </c>
      <c r="AH401" s="241"/>
      <c r="AI401" s="241"/>
      <c r="AJ401" s="241"/>
      <c r="AK401" s="194"/>
      <c r="AL401" s="195"/>
      <c r="AM401" s="195"/>
    </row>
    <row r="402" spans="2:40" ht="31.2">
      <c r="B402" s="253">
        <v>16</v>
      </c>
      <c r="C402" s="244"/>
      <c r="D402" s="654" t="s">
        <v>4172</v>
      </c>
      <c r="E402" s="708">
        <v>306979219430</v>
      </c>
      <c r="F402" s="640" t="s">
        <v>4172</v>
      </c>
      <c r="G402" s="391" t="s">
        <v>4207</v>
      </c>
      <c r="H402" s="230" t="s">
        <v>210</v>
      </c>
      <c r="I402" s="230"/>
      <c r="J402" s="230">
        <v>1</v>
      </c>
      <c r="K402" s="230"/>
      <c r="L402" s="228"/>
      <c r="M402" s="257"/>
      <c r="N402" s="228" t="s">
        <v>4180</v>
      </c>
      <c r="O402" s="254" t="s">
        <v>4203</v>
      </c>
      <c r="P402" s="1216" t="s">
        <v>4236</v>
      </c>
      <c r="Q402" s="2378"/>
      <c r="R402" s="2378"/>
      <c r="S402" s="1215" t="s">
        <v>2966</v>
      </c>
      <c r="T402" s="228"/>
      <c r="U402" s="2357"/>
      <c r="V402" s="256"/>
      <c r="W402" s="753">
        <v>1160000</v>
      </c>
      <c r="X402" s="753">
        <v>766800</v>
      </c>
      <c r="Y402" s="248"/>
      <c r="Z402" s="247"/>
      <c r="AA402" s="248"/>
      <c r="AB402" s="340">
        <f t="shared" si="124"/>
        <v>1926800</v>
      </c>
      <c r="AC402" s="347">
        <f t="shared" si="125"/>
        <v>0</v>
      </c>
      <c r="AD402" s="249"/>
      <c r="AE402" s="435">
        <f t="shared" si="127"/>
        <v>4212000</v>
      </c>
      <c r="AF402" s="342">
        <f t="shared" si="120"/>
        <v>6138800</v>
      </c>
      <c r="AG402" s="251">
        <f t="shared" si="119"/>
        <v>3899999.9999999995</v>
      </c>
      <c r="AH402" s="241"/>
      <c r="AI402" s="241"/>
      <c r="AJ402" s="241"/>
      <c r="AK402" s="194"/>
      <c r="AL402" s="195"/>
      <c r="AM402" s="195"/>
    </row>
    <row r="403" spans="2:40" ht="31.2">
      <c r="B403" s="253">
        <v>17</v>
      </c>
      <c r="C403" s="244"/>
      <c r="D403" s="654" t="s">
        <v>4220</v>
      </c>
      <c r="E403" s="708">
        <v>306990214810</v>
      </c>
      <c r="F403" s="640" t="s">
        <v>4220</v>
      </c>
      <c r="G403" s="391" t="s">
        <v>4229</v>
      </c>
      <c r="H403" s="230" t="s">
        <v>210</v>
      </c>
      <c r="I403" s="230"/>
      <c r="J403" s="230">
        <v>1</v>
      </c>
      <c r="K403" s="230"/>
      <c r="L403" s="228"/>
      <c r="M403" s="257"/>
      <c r="N403" s="1182" t="s">
        <v>4223</v>
      </c>
      <c r="O403" s="254" t="s">
        <v>4228</v>
      </c>
      <c r="P403" s="1223" t="s">
        <v>4235</v>
      </c>
      <c r="Q403" s="2379"/>
      <c r="R403" s="2379"/>
      <c r="S403" s="1215" t="s">
        <v>2966</v>
      </c>
      <c r="T403" s="228"/>
      <c r="U403" s="2357"/>
      <c r="V403" s="256"/>
      <c r="W403" s="753">
        <v>1450000</v>
      </c>
      <c r="X403" s="753">
        <v>766800</v>
      </c>
      <c r="Y403" s="248"/>
      <c r="Z403" s="247"/>
      <c r="AA403" s="248"/>
      <c r="AB403" s="340">
        <f t="shared" si="124"/>
        <v>2216800</v>
      </c>
      <c r="AC403" s="347">
        <f t="shared" si="125"/>
        <v>0</v>
      </c>
      <c r="AD403" s="249"/>
      <c r="AE403" s="435">
        <f t="shared" si="127"/>
        <v>4212000</v>
      </c>
      <c r="AF403" s="342">
        <f t="shared" si="120"/>
        <v>6428800</v>
      </c>
      <c r="AG403" s="251">
        <f t="shared" si="119"/>
        <v>3899999.9999999995</v>
      </c>
      <c r="AH403" s="241"/>
      <c r="AI403" s="241"/>
      <c r="AJ403" s="241"/>
      <c r="AK403" s="194"/>
      <c r="AL403" s="195"/>
      <c r="AM403" s="195"/>
    </row>
    <row r="404" spans="2:40" ht="31.2">
      <c r="B404" s="253">
        <v>18</v>
      </c>
      <c r="C404" s="244"/>
      <c r="D404" s="654" t="s">
        <v>4222</v>
      </c>
      <c r="E404" s="708">
        <v>306995641540</v>
      </c>
      <c r="F404" s="640" t="s">
        <v>4222</v>
      </c>
      <c r="G404" s="391" t="s">
        <v>4240</v>
      </c>
      <c r="H404" s="230" t="s">
        <v>210</v>
      </c>
      <c r="I404" s="230"/>
      <c r="J404" s="230">
        <v>2</v>
      </c>
      <c r="K404" s="230"/>
      <c r="L404" s="228"/>
      <c r="M404" s="257"/>
      <c r="N404" s="1182" t="s">
        <v>4224</v>
      </c>
      <c r="O404" s="254" t="s">
        <v>4239</v>
      </c>
      <c r="P404" s="1216" t="s">
        <v>4249</v>
      </c>
      <c r="Q404" s="2378"/>
      <c r="R404" s="2378"/>
      <c r="S404" s="1215" t="s">
        <v>2966</v>
      </c>
      <c r="T404" s="228"/>
      <c r="U404" s="2357"/>
      <c r="V404" s="256"/>
      <c r="W404" s="1224">
        <f>1160000*2</f>
        <v>2320000</v>
      </c>
      <c r="X404" s="753">
        <v>1533600</v>
      </c>
      <c r="Y404" s="248"/>
      <c r="Z404" s="247"/>
      <c r="AA404" s="248"/>
      <c r="AB404" s="340">
        <f t="shared" si="124"/>
        <v>3853600</v>
      </c>
      <c r="AC404" s="347">
        <f t="shared" si="125"/>
        <v>0</v>
      </c>
      <c r="AD404" s="249"/>
      <c r="AE404" s="435">
        <f t="shared" si="127"/>
        <v>8424000</v>
      </c>
      <c r="AF404" s="342">
        <f t="shared" si="120"/>
        <v>12277600</v>
      </c>
      <c r="AG404" s="251">
        <f t="shared" si="119"/>
        <v>7799999.9999999991</v>
      </c>
      <c r="AH404" s="241"/>
      <c r="AI404" s="241"/>
      <c r="AJ404" s="241"/>
      <c r="AK404" s="194"/>
      <c r="AL404" s="195"/>
      <c r="AM404" s="195"/>
    </row>
    <row r="405" spans="2:40" ht="31.2">
      <c r="B405" s="253">
        <v>19</v>
      </c>
      <c r="C405" s="244"/>
      <c r="D405" s="654" t="s">
        <v>4221</v>
      </c>
      <c r="E405" s="708">
        <v>306997948520</v>
      </c>
      <c r="F405" s="640" t="s">
        <v>4221</v>
      </c>
      <c r="G405" s="391" t="s">
        <v>4256</v>
      </c>
      <c r="H405" s="230" t="s">
        <v>210</v>
      </c>
      <c r="I405" s="230"/>
      <c r="J405" s="230">
        <v>1</v>
      </c>
      <c r="K405" s="230"/>
      <c r="L405" s="228"/>
      <c r="M405" s="257"/>
      <c r="N405" s="1182" t="s">
        <v>4234</v>
      </c>
      <c r="O405" s="254" t="s">
        <v>4248</v>
      </c>
      <c r="P405" s="1216" t="s">
        <v>4250</v>
      </c>
      <c r="Q405" s="2378"/>
      <c r="R405" s="2378"/>
      <c r="S405" s="1215" t="s">
        <v>2966</v>
      </c>
      <c r="T405" s="228"/>
      <c r="U405" s="2357"/>
      <c r="V405" s="256"/>
      <c r="W405" s="753">
        <v>1150000</v>
      </c>
      <c r="X405" s="753">
        <v>766800</v>
      </c>
      <c r="Y405" s="248"/>
      <c r="Z405" s="247"/>
      <c r="AA405" s="248"/>
      <c r="AB405" s="340">
        <f t="shared" si="124"/>
        <v>1916800</v>
      </c>
      <c r="AC405" s="347">
        <f t="shared" si="125"/>
        <v>0</v>
      </c>
      <c r="AD405" s="249"/>
      <c r="AE405" s="435">
        <f t="shared" si="127"/>
        <v>4212000</v>
      </c>
      <c r="AF405" s="342">
        <f t="shared" si="120"/>
        <v>6128800</v>
      </c>
      <c r="AG405" s="251">
        <f t="shared" si="119"/>
        <v>3899999.9999999995</v>
      </c>
      <c r="AH405" s="241"/>
      <c r="AI405" s="241"/>
      <c r="AJ405" s="241"/>
      <c r="AK405" s="194"/>
      <c r="AL405" s="195"/>
      <c r="AM405" s="195"/>
    </row>
    <row r="406" spans="2:40" ht="46.8">
      <c r="B406" s="253">
        <v>20</v>
      </c>
      <c r="C406" s="244"/>
      <c r="D406" s="654" t="s">
        <v>4218</v>
      </c>
      <c r="E406" s="708">
        <v>307001293600</v>
      </c>
      <c r="F406" s="640" t="s">
        <v>4218</v>
      </c>
      <c r="G406" s="391" t="s">
        <v>4257</v>
      </c>
      <c r="H406" s="230" t="s">
        <v>210</v>
      </c>
      <c r="I406" s="230"/>
      <c r="J406" s="230">
        <v>1</v>
      </c>
      <c r="K406" s="230"/>
      <c r="L406" s="228"/>
      <c r="M406" s="257"/>
      <c r="N406" s="1182" t="s">
        <v>4225</v>
      </c>
      <c r="O406" s="254" t="s">
        <v>4255</v>
      </c>
      <c r="P406" s="1223" t="s">
        <v>4296</v>
      </c>
      <c r="Q406" s="2379"/>
      <c r="R406" s="2379"/>
      <c r="S406" s="1215" t="s">
        <v>2966</v>
      </c>
      <c r="T406" s="228"/>
      <c r="U406" s="2357"/>
      <c r="V406" s="256"/>
      <c r="W406" s="753">
        <v>1300000</v>
      </c>
      <c r="X406" s="753">
        <v>766800</v>
      </c>
      <c r="Y406" s="248"/>
      <c r="Z406" s="247"/>
      <c r="AA406" s="248"/>
      <c r="AB406" s="340">
        <f t="shared" si="124"/>
        <v>2066800</v>
      </c>
      <c r="AC406" s="347">
        <f t="shared" si="125"/>
        <v>0</v>
      </c>
      <c r="AD406" s="249"/>
      <c r="AE406" s="435">
        <f t="shared" si="127"/>
        <v>4212000</v>
      </c>
      <c r="AF406" s="342">
        <f t="shared" si="120"/>
        <v>6278800</v>
      </c>
      <c r="AG406" s="251">
        <f t="shared" si="119"/>
        <v>3899999.9999999995</v>
      </c>
      <c r="AH406" s="241"/>
      <c r="AI406" s="241"/>
      <c r="AJ406" s="241"/>
      <c r="AK406" s="194"/>
      <c r="AL406" s="195"/>
      <c r="AM406" s="195"/>
    </row>
    <row r="407" spans="2:40" ht="31.2">
      <c r="B407" s="253">
        <v>21</v>
      </c>
      <c r="C407" s="244"/>
      <c r="D407" s="654" t="s">
        <v>4260</v>
      </c>
      <c r="E407" s="708">
        <v>307006505540</v>
      </c>
      <c r="F407" s="640" t="s">
        <v>4260</v>
      </c>
      <c r="G407" s="391" t="s">
        <v>4271</v>
      </c>
      <c r="H407" s="230" t="s">
        <v>210</v>
      </c>
      <c r="I407" s="230"/>
      <c r="J407" s="230">
        <v>1</v>
      </c>
      <c r="K407" s="230"/>
      <c r="L407" s="228"/>
      <c r="M407" s="257"/>
      <c r="N407" s="1182">
        <v>243558002</v>
      </c>
      <c r="O407" s="254" t="s">
        <v>4270</v>
      </c>
      <c r="P407" s="1089" t="s">
        <v>4297</v>
      </c>
      <c r="Q407" s="2375"/>
      <c r="R407" s="2375"/>
      <c r="S407" s="254" t="s">
        <v>4261</v>
      </c>
      <c r="T407" s="228"/>
      <c r="U407" s="2357"/>
      <c r="V407" s="256"/>
      <c r="W407" s="753">
        <v>1450000</v>
      </c>
      <c r="X407" s="753">
        <v>766800</v>
      </c>
      <c r="Y407" s="248"/>
      <c r="Z407" s="247"/>
      <c r="AA407" s="248"/>
      <c r="AB407" s="340">
        <f t="shared" si="124"/>
        <v>2216800</v>
      </c>
      <c r="AC407" s="347">
        <f t="shared" si="125"/>
        <v>0</v>
      </c>
      <c r="AD407" s="249"/>
      <c r="AE407" s="435">
        <f t="shared" si="127"/>
        <v>4212000</v>
      </c>
      <c r="AF407" s="342">
        <f t="shared" si="120"/>
        <v>6428800</v>
      </c>
      <c r="AG407" s="251">
        <f t="shared" si="119"/>
        <v>3899999.9999999995</v>
      </c>
      <c r="AH407" s="241"/>
      <c r="AI407" s="241"/>
      <c r="AJ407" s="241"/>
      <c r="AK407" s="194"/>
      <c r="AL407" s="195"/>
      <c r="AM407" s="195"/>
    </row>
    <row r="408" spans="2:40" ht="31.2">
      <c r="B408" s="253">
        <v>22</v>
      </c>
      <c r="C408" s="244"/>
      <c r="D408" s="654" t="s">
        <v>4279</v>
      </c>
      <c r="E408" s="708">
        <v>307014614450</v>
      </c>
      <c r="F408" s="654" t="s">
        <v>4279</v>
      </c>
      <c r="G408" s="391" t="s">
        <v>4288</v>
      </c>
      <c r="H408" s="230" t="s">
        <v>210</v>
      </c>
      <c r="I408" s="230"/>
      <c r="J408" s="230">
        <v>1</v>
      </c>
      <c r="K408" s="230"/>
      <c r="L408" s="228"/>
      <c r="M408" s="257"/>
      <c r="N408" s="228" t="s">
        <v>4280</v>
      </c>
      <c r="O408" s="254" t="s">
        <v>4287</v>
      </c>
      <c r="P408" s="1089" t="s">
        <v>4298</v>
      </c>
      <c r="Q408" s="2375"/>
      <c r="R408" s="2375"/>
      <c r="S408" s="254" t="s">
        <v>2966</v>
      </c>
      <c r="T408" s="228"/>
      <c r="U408" s="2357"/>
      <c r="V408" s="256"/>
      <c r="W408" s="753">
        <v>1160000</v>
      </c>
      <c r="X408" s="753">
        <v>766800</v>
      </c>
      <c r="Y408" s="248"/>
      <c r="Z408" s="247"/>
      <c r="AA408" s="248"/>
      <c r="AB408" s="340">
        <f t="shared" si="124"/>
        <v>1926800</v>
      </c>
      <c r="AC408" s="347">
        <f t="shared" si="125"/>
        <v>0</v>
      </c>
      <c r="AD408" s="249"/>
      <c r="AE408" s="435">
        <f t="shared" si="127"/>
        <v>4212000</v>
      </c>
      <c r="AF408" s="342">
        <f t="shared" si="120"/>
        <v>6138800</v>
      </c>
      <c r="AG408" s="251">
        <f t="shared" si="119"/>
        <v>3899999.9999999995</v>
      </c>
      <c r="AH408" s="241"/>
      <c r="AI408" s="241"/>
      <c r="AJ408" s="241"/>
      <c r="AK408" s="194"/>
      <c r="AL408" s="195"/>
      <c r="AM408" s="195"/>
    </row>
    <row r="409" spans="2:40" ht="31.2">
      <c r="B409" s="253">
        <v>23</v>
      </c>
      <c r="C409" s="244"/>
      <c r="D409" s="654" t="s">
        <v>4283</v>
      </c>
      <c r="E409" s="708">
        <v>307017031000</v>
      </c>
      <c r="F409" s="612" t="s">
        <v>4283</v>
      </c>
      <c r="G409" s="391" t="s">
        <v>4292</v>
      </c>
      <c r="H409" s="230" t="s">
        <v>210</v>
      </c>
      <c r="I409" s="230"/>
      <c r="J409" s="230">
        <v>1</v>
      </c>
      <c r="K409" s="230"/>
      <c r="L409" s="228"/>
      <c r="M409" s="257"/>
      <c r="N409" s="228" t="s">
        <v>4285</v>
      </c>
      <c r="O409" s="254" t="s">
        <v>4289</v>
      </c>
      <c r="P409" s="1089" t="s">
        <v>4294</v>
      </c>
      <c r="Q409" s="2375"/>
      <c r="R409" s="2375"/>
      <c r="S409" s="254" t="s">
        <v>2966</v>
      </c>
      <c r="T409" s="228"/>
      <c r="U409" s="2357"/>
      <c r="V409" s="256"/>
      <c r="W409" s="753">
        <v>1150000</v>
      </c>
      <c r="X409" s="753">
        <v>766800</v>
      </c>
      <c r="Y409" s="248"/>
      <c r="Z409" s="247"/>
      <c r="AA409" s="248"/>
      <c r="AB409" s="340">
        <f t="shared" si="124"/>
        <v>1916800</v>
      </c>
      <c r="AC409" s="347">
        <f t="shared" si="125"/>
        <v>0</v>
      </c>
      <c r="AD409" s="249"/>
      <c r="AE409" s="435">
        <f t="shared" si="127"/>
        <v>4212000</v>
      </c>
      <c r="AF409" s="342">
        <f t="shared" si="120"/>
        <v>6128800</v>
      </c>
      <c r="AG409" s="251">
        <f t="shared" si="119"/>
        <v>3899999.9999999995</v>
      </c>
      <c r="AH409" s="241"/>
      <c r="AI409" s="241"/>
      <c r="AJ409" s="241"/>
      <c r="AK409" s="194"/>
      <c r="AL409" s="195"/>
      <c r="AM409" s="195"/>
    </row>
    <row r="410" spans="2:40" ht="31.2">
      <c r="B410" s="253">
        <v>24</v>
      </c>
      <c r="C410" s="244"/>
      <c r="D410" s="654" t="s">
        <v>4283</v>
      </c>
      <c r="E410" s="708">
        <v>307018868350</v>
      </c>
      <c r="F410" s="612" t="s">
        <v>4283</v>
      </c>
      <c r="G410" s="391" t="s">
        <v>4293</v>
      </c>
      <c r="H410" s="230" t="s">
        <v>210</v>
      </c>
      <c r="I410" s="230"/>
      <c r="J410" s="230">
        <v>1</v>
      </c>
      <c r="K410" s="230"/>
      <c r="L410" s="228"/>
      <c r="M410" s="257"/>
      <c r="N410" s="228">
        <v>22213056</v>
      </c>
      <c r="O410" s="228" t="s">
        <v>4291</v>
      </c>
      <c r="P410" s="1226" t="s">
        <v>4299</v>
      </c>
      <c r="Q410" s="2380"/>
      <c r="R410" s="2380"/>
      <c r="S410" s="254" t="s">
        <v>4181</v>
      </c>
      <c r="T410" s="228"/>
      <c r="U410" s="2357"/>
      <c r="V410" s="256"/>
      <c r="W410" s="753">
        <v>1450000</v>
      </c>
      <c r="X410" s="753">
        <v>1160000</v>
      </c>
      <c r="Y410" s="248"/>
      <c r="Z410" s="247"/>
      <c r="AA410" s="248"/>
      <c r="AB410" s="340">
        <f t="shared" si="124"/>
        <v>2610000</v>
      </c>
      <c r="AC410" s="347">
        <f t="shared" si="125"/>
        <v>0</v>
      </c>
      <c r="AD410" s="249"/>
      <c r="AE410" s="435">
        <f t="shared" si="127"/>
        <v>4212000</v>
      </c>
      <c r="AF410" s="342">
        <f t="shared" si="120"/>
        <v>6822000</v>
      </c>
      <c r="AG410" s="251">
        <f t="shared" si="119"/>
        <v>3899999.9999999995</v>
      </c>
      <c r="AH410" s="241"/>
      <c r="AI410" s="241"/>
      <c r="AJ410" s="241"/>
      <c r="AK410" s="194"/>
      <c r="AL410" s="195"/>
      <c r="AM410" s="195"/>
    </row>
    <row r="411" spans="2:40" ht="46.8">
      <c r="B411" s="253">
        <v>25</v>
      </c>
      <c r="C411" s="244"/>
      <c r="D411" s="654" t="s">
        <v>4284</v>
      </c>
      <c r="E411" s="708">
        <v>307021085030</v>
      </c>
      <c r="F411" s="612" t="s">
        <v>4284</v>
      </c>
      <c r="G411" s="391" t="s">
        <v>4301</v>
      </c>
      <c r="H411" s="230" t="s">
        <v>210</v>
      </c>
      <c r="I411" s="230">
        <v>1</v>
      </c>
      <c r="J411" s="230"/>
      <c r="K411" s="230"/>
      <c r="L411" s="228"/>
      <c r="M411" s="257"/>
      <c r="N411" s="228" t="s">
        <v>4286</v>
      </c>
      <c r="O411" s="228" t="s">
        <v>4300</v>
      </c>
      <c r="P411" s="1226" t="s">
        <v>4295</v>
      </c>
      <c r="Q411" s="2380"/>
      <c r="R411" s="2380"/>
      <c r="S411" s="254" t="s">
        <v>4091</v>
      </c>
      <c r="T411" s="228"/>
      <c r="U411" s="2357"/>
      <c r="V411" s="256"/>
      <c r="W411" s="753">
        <v>795000</v>
      </c>
      <c r="X411" s="753">
        <v>700000</v>
      </c>
      <c r="Y411" s="248"/>
      <c r="Z411" s="247"/>
      <c r="AA411" s="248"/>
      <c r="AB411" s="340">
        <f t="shared" si="124"/>
        <v>1495000</v>
      </c>
      <c r="AC411" s="347">
        <f t="shared" si="125"/>
        <v>0</v>
      </c>
      <c r="AD411" s="249"/>
      <c r="AE411" s="435">
        <f t="shared" si="127"/>
        <v>4104000.0000000005</v>
      </c>
      <c r="AF411" s="342">
        <f>+AB411+AE411</f>
        <v>5599000</v>
      </c>
      <c r="AG411" s="251">
        <f t="shared" si="119"/>
        <v>3800000</v>
      </c>
      <c r="AH411" s="241"/>
      <c r="AI411" s="241"/>
      <c r="AJ411" s="241"/>
      <c r="AK411" s="194"/>
      <c r="AL411" s="195"/>
      <c r="AM411" s="195"/>
    </row>
    <row r="412" spans="2:40">
      <c r="B412" s="253">
        <v>26</v>
      </c>
      <c r="C412" s="244"/>
      <c r="D412" s="654" t="s">
        <v>4313</v>
      </c>
      <c r="E412" s="466">
        <v>106844958840</v>
      </c>
      <c r="F412" s="612" t="s">
        <v>4282</v>
      </c>
      <c r="G412" s="391" t="s">
        <v>4319</v>
      </c>
      <c r="H412" s="230" t="s">
        <v>1300</v>
      </c>
      <c r="I412" s="230"/>
      <c r="J412" s="230"/>
      <c r="K412" s="230">
        <v>1</v>
      </c>
      <c r="L412" s="228"/>
      <c r="M412" s="257" t="s">
        <v>4318</v>
      </c>
      <c r="N412" s="228" t="s">
        <v>4317</v>
      </c>
      <c r="O412" s="228"/>
      <c r="P412" s="258"/>
      <c r="Q412" s="2381"/>
      <c r="R412" s="2381"/>
      <c r="S412" s="254"/>
      <c r="T412" s="228"/>
      <c r="U412" s="2357"/>
      <c r="V412" s="256"/>
      <c r="W412" s="248"/>
      <c r="X412" s="248"/>
      <c r="Y412" s="248"/>
      <c r="Z412" s="247"/>
      <c r="AA412" s="248"/>
      <c r="AB412" s="340">
        <f t="shared" si="124"/>
        <v>0</v>
      </c>
      <c r="AC412" s="347">
        <f t="shared" si="125"/>
        <v>0</v>
      </c>
      <c r="AD412" s="391" t="s">
        <v>4323</v>
      </c>
      <c r="AE412" s="605">
        <f>(2520000+150000)*1.08</f>
        <v>2883600</v>
      </c>
      <c r="AF412" s="342">
        <f>+AB412+AE412</f>
        <v>2883600</v>
      </c>
      <c r="AG412" s="251">
        <f>+AE412/1.08</f>
        <v>2670000</v>
      </c>
      <c r="AH412" s="241"/>
      <c r="AI412" s="241"/>
      <c r="AJ412" s="241"/>
      <c r="AK412" s="194"/>
      <c r="AL412" s="195"/>
      <c r="AM412" s="195"/>
    </row>
    <row r="413" spans="2:40">
      <c r="B413" s="3405" t="s">
        <v>4281</v>
      </c>
      <c r="C413" s="3312"/>
      <c r="D413" s="3312"/>
      <c r="E413" s="3312"/>
      <c r="F413" s="3312"/>
      <c r="G413" s="3312"/>
      <c r="H413" s="3312"/>
      <c r="I413" s="3312"/>
      <c r="J413" s="3312"/>
      <c r="K413" s="3312"/>
      <c r="L413" s="3312"/>
      <c r="M413" s="346"/>
      <c r="N413" s="346"/>
      <c r="O413" s="346"/>
      <c r="P413" s="346"/>
      <c r="Q413" s="346"/>
      <c r="R413" s="346"/>
      <c r="S413" s="346"/>
      <c r="T413" s="346"/>
      <c r="U413" s="346"/>
      <c r="V413" s="590"/>
      <c r="W413" s="590">
        <f>SUM(W387:W412)</f>
        <v>31364800</v>
      </c>
      <c r="X413" s="590">
        <f>SUM(X387:X412)</f>
        <v>20528040</v>
      </c>
      <c r="Y413" s="357"/>
      <c r="Z413" s="357"/>
      <c r="AA413" s="357"/>
      <c r="AB413" s="590">
        <f>SUM(AB387:AB412)</f>
        <v>51923709</v>
      </c>
      <c r="AC413" s="358"/>
      <c r="AD413" s="358"/>
      <c r="AE413" s="1231">
        <f>SUM(AE387:AE412)</f>
        <v>116866800</v>
      </c>
      <c r="AF413" s="590">
        <f>SUM(AF387:AF412)</f>
        <v>168790509</v>
      </c>
      <c r="AG413" s="590">
        <f>SUM(AG387:AG412)</f>
        <v>108210000</v>
      </c>
      <c r="AH413" s="241"/>
      <c r="AI413" s="241"/>
      <c r="AJ413" s="241"/>
      <c r="AK413" s="194"/>
      <c r="AL413" s="195"/>
      <c r="AM413" s="195"/>
      <c r="AN413" s="1087"/>
    </row>
    <row r="414" spans="2:40" ht="31.2">
      <c r="B414" s="253">
        <v>1</v>
      </c>
      <c r="C414" s="244"/>
      <c r="D414" s="990" t="s">
        <v>4282</v>
      </c>
      <c r="E414" s="708">
        <v>307031596560</v>
      </c>
      <c r="F414" s="990" t="s">
        <v>4282</v>
      </c>
      <c r="G414" s="391" t="s">
        <v>4342</v>
      </c>
      <c r="H414" s="230" t="s">
        <v>210</v>
      </c>
      <c r="I414" s="230">
        <v>1</v>
      </c>
      <c r="J414" s="230"/>
      <c r="K414" s="230"/>
      <c r="L414" s="228"/>
      <c r="M414" s="257"/>
      <c r="N414" s="228" t="s">
        <v>4308</v>
      </c>
      <c r="O414" s="1233" t="s">
        <v>4322</v>
      </c>
      <c r="P414" s="1226" t="s">
        <v>4328</v>
      </c>
      <c r="Q414" s="2380"/>
      <c r="R414" s="2380"/>
      <c r="S414" s="254" t="s">
        <v>2966</v>
      </c>
      <c r="T414" s="228"/>
      <c r="U414" s="2357"/>
      <c r="V414" s="256"/>
      <c r="W414" s="753">
        <v>1000000</v>
      </c>
      <c r="X414" s="753">
        <v>432000</v>
      </c>
      <c r="Y414" s="248"/>
      <c r="Z414" s="247"/>
      <c r="AA414" s="248"/>
      <c r="AB414" s="340">
        <f t="shared" ref="AB414:AB429" si="128">V414+W414+X414+Y414+Z414+AA414</f>
        <v>1432000</v>
      </c>
      <c r="AC414" s="347">
        <f t="shared" si="125"/>
        <v>0</v>
      </c>
      <c r="AD414" s="249"/>
      <c r="AE414" s="435">
        <f t="shared" ref="AE414:AE429" si="129">+(I414*3650000+J414*(3650000+100000))*1.08+((I414+J414+K414)*150000)*1.08</f>
        <v>4104000.0000000005</v>
      </c>
      <c r="AF414" s="342">
        <f t="shared" si="120"/>
        <v>5536000</v>
      </c>
      <c r="AG414" s="251">
        <f>+AE414/1.08</f>
        <v>3800000</v>
      </c>
      <c r="AH414" s="241"/>
      <c r="AI414" s="241"/>
      <c r="AJ414" s="241"/>
      <c r="AK414" s="194"/>
      <c r="AL414" s="195"/>
      <c r="AM414" s="195"/>
    </row>
    <row r="415" spans="2:40" ht="31.2">
      <c r="B415" s="253">
        <v>2</v>
      </c>
      <c r="C415" s="244"/>
      <c r="D415" s="990" t="s">
        <v>4282</v>
      </c>
      <c r="E415" s="708">
        <v>307031493220</v>
      </c>
      <c r="F415" s="990" t="s">
        <v>4282</v>
      </c>
      <c r="G415" s="391" t="s">
        <v>4343</v>
      </c>
      <c r="H415" s="230" t="s">
        <v>210</v>
      </c>
      <c r="I415" s="230"/>
      <c r="J415" s="230">
        <v>2</v>
      </c>
      <c r="K415" s="230"/>
      <c r="L415" s="228"/>
      <c r="M415" s="257"/>
      <c r="N415" s="228" t="s">
        <v>4309</v>
      </c>
      <c r="O415" s="1233" t="s">
        <v>4321</v>
      </c>
      <c r="P415" s="1226" t="s">
        <v>4329</v>
      </c>
      <c r="Q415" s="2380"/>
      <c r="R415" s="2380"/>
      <c r="S415" s="254" t="s">
        <v>2966</v>
      </c>
      <c r="T415" s="228"/>
      <c r="U415" s="2357"/>
      <c r="V415" s="256"/>
      <c r="W415" s="753">
        <v>2320000</v>
      </c>
      <c r="X415" s="753">
        <v>1533600</v>
      </c>
      <c r="Y415" s="248"/>
      <c r="Z415" s="247"/>
      <c r="AA415" s="248"/>
      <c r="AB415" s="340">
        <f t="shared" si="128"/>
        <v>3853600</v>
      </c>
      <c r="AC415" s="347">
        <f t="shared" si="125"/>
        <v>0</v>
      </c>
      <c r="AD415" s="249"/>
      <c r="AE415" s="435">
        <f t="shared" si="129"/>
        <v>8424000</v>
      </c>
      <c r="AF415" s="342">
        <f t="shared" ref="AF415:AF427" si="130">+AB415+AE415</f>
        <v>12277600</v>
      </c>
      <c r="AG415" s="251">
        <f t="shared" ref="AG415:AG427" si="131">+AE415/1.08</f>
        <v>7799999.9999999991</v>
      </c>
      <c r="AH415" s="241"/>
      <c r="AI415" s="241"/>
      <c r="AJ415" s="241"/>
      <c r="AK415" s="194"/>
      <c r="AL415" s="195"/>
      <c r="AM415" s="195"/>
    </row>
    <row r="416" spans="2:40" ht="31.2">
      <c r="B416" s="253">
        <v>3</v>
      </c>
      <c r="C416" s="244"/>
      <c r="D416" s="990" t="s">
        <v>4282</v>
      </c>
      <c r="E416" s="708">
        <v>307032977660</v>
      </c>
      <c r="F416" s="990" t="s">
        <v>4282</v>
      </c>
      <c r="G416" s="391" t="s">
        <v>4344</v>
      </c>
      <c r="H416" s="230" t="s">
        <v>210</v>
      </c>
      <c r="I416" s="230"/>
      <c r="J416" s="230">
        <v>2</v>
      </c>
      <c r="K416" s="230"/>
      <c r="L416" s="228"/>
      <c r="M416" s="257"/>
      <c r="N416" s="228" t="s">
        <v>4310</v>
      </c>
      <c r="O416" s="1233" t="s">
        <v>4324</v>
      </c>
      <c r="P416" s="1226" t="s">
        <v>4327</v>
      </c>
      <c r="Q416" s="2380"/>
      <c r="R416" s="2380"/>
      <c r="S416" s="254" t="s">
        <v>2966</v>
      </c>
      <c r="T416" s="228"/>
      <c r="U416" s="2357"/>
      <c r="V416" s="256"/>
      <c r="W416" s="753">
        <v>2850000</v>
      </c>
      <c r="X416" s="753">
        <v>1533600</v>
      </c>
      <c r="Y416" s="248"/>
      <c r="Z416" s="247"/>
      <c r="AA416" s="248"/>
      <c r="AB416" s="340">
        <f t="shared" si="128"/>
        <v>4383600</v>
      </c>
      <c r="AC416" s="347">
        <f t="shared" si="125"/>
        <v>0</v>
      </c>
      <c r="AD416" s="249"/>
      <c r="AE416" s="435">
        <f t="shared" si="129"/>
        <v>8424000</v>
      </c>
      <c r="AF416" s="342">
        <f t="shared" si="130"/>
        <v>12807600</v>
      </c>
      <c r="AG416" s="251">
        <f t="shared" si="131"/>
        <v>7799999.9999999991</v>
      </c>
      <c r="AH416" s="241"/>
      <c r="AI416" s="241"/>
      <c r="AJ416" s="241"/>
      <c r="AK416" s="194"/>
      <c r="AL416" s="195"/>
      <c r="AM416" s="195"/>
    </row>
    <row r="417" spans="2:40" ht="46.8">
      <c r="B417" s="253">
        <v>4</v>
      </c>
      <c r="C417" s="244"/>
      <c r="D417" s="990" t="s">
        <v>4282</v>
      </c>
      <c r="E417" s="708">
        <v>307031645560</v>
      </c>
      <c r="F417" s="990" t="s">
        <v>4282</v>
      </c>
      <c r="G417" s="391" t="s">
        <v>4345</v>
      </c>
      <c r="H417" s="230" t="s">
        <v>210</v>
      </c>
      <c r="I417" s="230">
        <v>1</v>
      </c>
      <c r="J417" s="230"/>
      <c r="K417" s="230"/>
      <c r="L417" s="228"/>
      <c r="M417" s="257"/>
      <c r="N417" s="228" t="s">
        <v>4311</v>
      </c>
      <c r="O417" s="1233" t="s">
        <v>4325</v>
      </c>
      <c r="P417" s="1226" t="s">
        <v>4333</v>
      </c>
      <c r="Q417" s="2380"/>
      <c r="R417" s="2380"/>
      <c r="S417" s="254" t="s">
        <v>2966</v>
      </c>
      <c r="T417" s="228"/>
      <c r="U417" s="2357"/>
      <c r="V417" s="256"/>
      <c r="W417" s="753">
        <v>890000</v>
      </c>
      <c r="X417" s="753">
        <v>432000</v>
      </c>
      <c r="Y417" s="248"/>
      <c r="Z417" s="247"/>
      <c r="AA417" s="248"/>
      <c r="AB417" s="340">
        <f t="shared" si="128"/>
        <v>1322000</v>
      </c>
      <c r="AC417" s="347">
        <f t="shared" si="125"/>
        <v>0</v>
      </c>
      <c r="AD417" s="249"/>
      <c r="AE417" s="435">
        <f t="shared" si="129"/>
        <v>4104000.0000000005</v>
      </c>
      <c r="AF417" s="342">
        <f t="shared" si="130"/>
        <v>5426000</v>
      </c>
      <c r="AG417" s="251">
        <f t="shared" si="131"/>
        <v>3800000</v>
      </c>
      <c r="AH417" s="241"/>
      <c r="AI417" s="241"/>
      <c r="AJ417" s="241"/>
      <c r="AK417" s="194"/>
      <c r="AL417" s="195"/>
      <c r="AM417" s="195"/>
    </row>
    <row r="418" spans="2:40" ht="31.2">
      <c r="B418" s="253">
        <v>5</v>
      </c>
      <c r="C418" s="244"/>
      <c r="D418" s="990" t="s">
        <v>4282</v>
      </c>
      <c r="E418" s="708">
        <v>307032884230</v>
      </c>
      <c r="F418" s="990" t="s">
        <v>4282</v>
      </c>
      <c r="G418" s="391" t="s">
        <v>4346</v>
      </c>
      <c r="H418" s="230" t="s">
        <v>210</v>
      </c>
      <c r="I418" s="230"/>
      <c r="J418" s="230">
        <v>1</v>
      </c>
      <c r="K418" s="230"/>
      <c r="L418" s="228"/>
      <c r="M418" s="257"/>
      <c r="N418" s="1227" t="s">
        <v>4312</v>
      </c>
      <c r="O418" s="1233" t="s">
        <v>4326</v>
      </c>
      <c r="P418" s="1226" t="s">
        <v>4315</v>
      </c>
      <c r="Q418" s="2380"/>
      <c r="R418" s="2380"/>
      <c r="S418" s="254" t="s">
        <v>2966</v>
      </c>
      <c r="T418" s="228"/>
      <c r="U418" s="2357"/>
      <c r="V418" s="256"/>
      <c r="W418" s="753">
        <v>1160000</v>
      </c>
      <c r="X418" s="753">
        <v>766800</v>
      </c>
      <c r="Y418" s="248"/>
      <c r="Z418" s="247"/>
      <c r="AA418" s="248"/>
      <c r="AB418" s="340">
        <f t="shared" si="128"/>
        <v>1926800</v>
      </c>
      <c r="AC418" s="347">
        <f t="shared" si="125"/>
        <v>0</v>
      </c>
      <c r="AD418" s="249"/>
      <c r="AE418" s="435">
        <f t="shared" si="129"/>
        <v>4212000</v>
      </c>
      <c r="AF418" s="342">
        <f t="shared" si="130"/>
        <v>6138800</v>
      </c>
      <c r="AG418" s="251">
        <f t="shared" si="131"/>
        <v>3899999.9999999995</v>
      </c>
      <c r="AH418" s="241"/>
      <c r="AI418" s="241"/>
      <c r="AJ418" s="241"/>
      <c r="AK418" s="194"/>
      <c r="AL418" s="195"/>
      <c r="AM418" s="195"/>
    </row>
    <row r="419" spans="2:40" ht="31.2">
      <c r="B419" s="253">
        <v>6</v>
      </c>
      <c r="C419" s="244"/>
      <c r="D419" s="990" t="s">
        <v>4313</v>
      </c>
      <c r="E419" s="708">
        <v>307034612310</v>
      </c>
      <c r="F419" s="990" t="s">
        <v>4313</v>
      </c>
      <c r="G419" s="391" t="s">
        <v>4348</v>
      </c>
      <c r="H419" s="230" t="s">
        <v>210</v>
      </c>
      <c r="I419" s="230"/>
      <c r="J419" s="230">
        <v>1</v>
      </c>
      <c r="K419" s="230"/>
      <c r="L419" s="228"/>
      <c r="M419" s="257"/>
      <c r="N419" s="228" t="s">
        <v>4314</v>
      </c>
      <c r="O419" s="1233" t="s">
        <v>4347</v>
      </c>
      <c r="P419" s="1226" t="s">
        <v>4315</v>
      </c>
      <c r="Q419" s="2380"/>
      <c r="R419" s="2380"/>
      <c r="S419" s="254" t="s">
        <v>2966</v>
      </c>
      <c r="T419" s="228"/>
      <c r="U419" s="2357"/>
      <c r="V419" s="256"/>
      <c r="W419" s="753">
        <v>1160000</v>
      </c>
      <c r="X419" s="753">
        <v>766800</v>
      </c>
      <c r="Y419" s="248"/>
      <c r="Z419" s="247"/>
      <c r="AA419" s="248"/>
      <c r="AB419" s="340">
        <f t="shared" si="128"/>
        <v>1926800</v>
      </c>
      <c r="AC419" s="347">
        <f t="shared" si="125"/>
        <v>0</v>
      </c>
      <c r="AD419" s="249"/>
      <c r="AE419" s="435">
        <f t="shared" si="129"/>
        <v>4212000</v>
      </c>
      <c r="AF419" s="342">
        <f t="shared" si="130"/>
        <v>6138800</v>
      </c>
      <c r="AG419" s="251">
        <f t="shared" si="131"/>
        <v>3899999.9999999995</v>
      </c>
      <c r="AH419" s="241"/>
      <c r="AI419" s="241"/>
      <c r="AJ419" s="241"/>
      <c r="AK419" s="194"/>
      <c r="AL419" s="195"/>
      <c r="AM419" s="195"/>
    </row>
    <row r="420" spans="2:40" ht="31.2">
      <c r="B420" s="253">
        <v>7</v>
      </c>
      <c r="C420" s="244"/>
      <c r="D420" s="654" t="s">
        <v>4336</v>
      </c>
      <c r="E420" s="708">
        <v>307039507040</v>
      </c>
      <c r="F420" s="640" t="s">
        <v>4336</v>
      </c>
      <c r="G420" s="391" t="s">
        <v>4349</v>
      </c>
      <c r="H420" s="230" t="s">
        <v>210</v>
      </c>
      <c r="I420" s="230"/>
      <c r="J420" s="230">
        <v>1</v>
      </c>
      <c r="K420" s="230"/>
      <c r="L420" s="228"/>
      <c r="M420" s="257"/>
      <c r="N420" s="228" t="s">
        <v>4337</v>
      </c>
      <c r="O420" s="1233" t="s">
        <v>4341</v>
      </c>
      <c r="P420" s="1226" t="s">
        <v>4356</v>
      </c>
      <c r="Q420" s="2380"/>
      <c r="R420" s="2380"/>
      <c r="S420" s="254" t="s">
        <v>3101</v>
      </c>
      <c r="T420" s="228"/>
      <c r="U420" s="2357"/>
      <c r="V420" s="256"/>
      <c r="W420" s="753">
        <v>1450000</v>
      </c>
      <c r="X420" s="753">
        <v>1140000</v>
      </c>
      <c r="Y420" s="248"/>
      <c r="Z420" s="247"/>
      <c r="AA420" s="248"/>
      <c r="AB420" s="340">
        <f t="shared" si="128"/>
        <v>2590000</v>
      </c>
      <c r="AC420" s="347">
        <f t="shared" si="125"/>
        <v>0</v>
      </c>
      <c r="AD420" s="249"/>
      <c r="AE420" s="435">
        <f t="shared" si="129"/>
        <v>4212000</v>
      </c>
      <c r="AF420" s="342">
        <f t="shared" si="130"/>
        <v>6802000</v>
      </c>
      <c r="AG420" s="251">
        <f t="shared" si="131"/>
        <v>3899999.9999999995</v>
      </c>
      <c r="AH420" s="241"/>
      <c r="AI420" s="241"/>
      <c r="AJ420" s="241"/>
      <c r="AK420" s="194"/>
      <c r="AL420" s="195"/>
      <c r="AM420" s="195"/>
    </row>
    <row r="421" spans="2:40" ht="31.2">
      <c r="B421" s="253">
        <v>8</v>
      </c>
      <c r="C421" s="244"/>
      <c r="D421" s="990" t="s">
        <v>4334</v>
      </c>
      <c r="E421" s="708">
        <v>307040789920</v>
      </c>
      <c r="F421" s="990" t="s">
        <v>4334</v>
      </c>
      <c r="G421" s="391" t="s">
        <v>4354</v>
      </c>
      <c r="H421" s="230" t="s">
        <v>210</v>
      </c>
      <c r="I421" s="230"/>
      <c r="J421" s="230">
        <v>1</v>
      </c>
      <c r="K421" s="230"/>
      <c r="L421" s="228"/>
      <c r="M421" s="257"/>
      <c r="N421" s="228" t="s">
        <v>4335</v>
      </c>
      <c r="O421" s="1233" t="s">
        <v>4355</v>
      </c>
      <c r="P421" s="1226" t="s">
        <v>4357</v>
      </c>
      <c r="Q421" s="2380"/>
      <c r="R421" s="2380"/>
      <c r="S421" s="254" t="s">
        <v>2966</v>
      </c>
      <c r="T421" s="228"/>
      <c r="U421" s="2357"/>
      <c r="V421" s="256"/>
      <c r="W421" s="753">
        <v>1500000</v>
      </c>
      <c r="X421" s="753">
        <v>766800</v>
      </c>
      <c r="Y421" s="248"/>
      <c r="Z421" s="247"/>
      <c r="AA421" s="248"/>
      <c r="AB421" s="340">
        <f t="shared" si="128"/>
        <v>2266800</v>
      </c>
      <c r="AC421" s="347">
        <f t="shared" si="125"/>
        <v>0</v>
      </c>
      <c r="AD421" s="249"/>
      <c r="AE421" s="435">
        <f t="shared" si="129"/>
        <v>4212000</v>
      </c>
      <c r="AF421" s="342">
        <f t="shared" si="130"/>
        <v>6478800</v>
      </c>
      <c r="AG421" s="251">
        <f t="shared" si="131"/>
        <v>3899999.9999999995</v>
      </c>
      <c r="AH421" s="241"/>
      <c r="AI421" s="241"/>
      <c r="AJ421" s="241"/>
      <c r="AK421" s="194"/>
      <c r="AL421" s="195"/>
      <c r="AM421" s="195"/>
    </row>
    <row r="422" spans="2:40" ht="31.2">
      <c r="B422" s="253">
        <v>9</v>
      </c>
      <c r="C422" s="244"/>
      <c r="D422" s="654" t="s">
        <v>4374</v>
      </c>
      <c r="E422" s="708">
        <v>307051107000</v>
      </c>
      <c r="F422" s="654" t="s">
        <v>4374</v>
      </c>
      <c r="G422" s="1009" t="s">
        <v>4452</v>
      </c>
      <c r="H422" s="230" t="s">
        <v>210</v>
      </c>
      <c r="I422" s="230">
        <v>1</v>
      </c>
      <c r="J422" s="230"/>
      <c r="K422" s="230"/>
      <c r="L422" s="228"/>
      <c r="M422" s="257"/>
      <c r="N422" s="228">
        <v>21829658</v>
      </c>
      <c r="O422" s="1233" t="s">
        <v>4419</v>
      </c>
      <c r="P422" s="1226" t="s">
        <v>4420</v>
      </c>
      <c r="Q422" s="2380"/>
      <c r="R422" s="2380"/>
      <c r="S422" s="254" t="s">
        <v>3101</v>
      </c>
      <c r="T422" s="228"/>
      <c r="U422" s="2357"/>
      <c r="V422" s="256"/>
      <c r="W422" s="753">
        <v>1000000</v>
      </c>
      <c r="X422" s="753">
        <v>700000</v>
      </c>
      <c r="Y422" s="248"/>
      <c r="Z422" s="247"/>
      <c r="AA422" s="248"/>
      <c r="AB422" s="340">
        <f t="shared" si="128"/>
        <v>1700000</v>
      </c>
      <c r="AC422" s="347">
        <f t="shared" si="125"/>
        <v>0</v>
      </c>
      <c r="AD422" s="249"/>
      <c r="AE422" s="435">
        <f t="shared" si="129"/>
        <v>4104000.0000000005</v>
      </c>
      <c r="AF422" s="342">
        <f t="shared" si="130"/>
        <v>5804000</v>
      </c>
      <c r="AG422" s="251">
        <f t="shared" si="131"/>
        <v>3800000</v>
      </c>
      <c r="AH422" s="241"/>
      <c r="AI422" s="241"/>
      <c r="AJ422" s="241"/>
      <c r="AK422" s="194"/>
      <c r="AL422" s="195"/>
      <c r="AM422" s="195"/>
    </row>
    <row r="423" spans="2:40" ht="31.2">
      <c r="B423" s="253">
        <v>10</v>
      </c>
      <c r="C423" s="244"/>
      <c r="D423" s="990" t="s">
        <v>4372</v>
      </c>
      <c r="E423" s="708">
        <v>307053154720</v>
      </c>
      <c r="F423" s="990" t="s">
        <v>4372</v>
      </c>
      <c r="G423" s="1009" t="s">
        <v>4453</v>
      </c>
      <c r="H423" s="230" t="s">
        <v>210</v>
      </c>
      <c r="I423" s="230">
        <v>1</v>
      </c>
      <c r="J423" s="230"/>
      <c r="K423" s="230"/>
      <c r="L423" s="228"/>
      <c r="M423" s="257"/>
      <c r="N423" s="228" t="s">
        <v>4403</v>
      </c>
      <c r="O423" s="1233" t="s">
        <v>4426</v>
      </c>
      <c r="P423" s="1226" t="s">
        <v>4406</v>
      </c>
      <c r="Q423" s="2380"/>
      <c r="R423" s="2380"/>
      <c r="S423" s="254" t="s">
        <v>2966</v>
      </c>
      <c r="T423" s="228"/>
      <c r="U423" s="2357"/>
      <c r="V423" s="256"/>
      <c r="W423" s="753">
        <v>880000</v>
      </c>
      <c r="X423" s="753">
        <v>432000</v>
      </c>
      <c r="Y423" s="248"/>
      <c r="Z423" s="247"/>
      <c r="AA423" s="248"/>
      <c r="AB423" s="340">
        <f t="shared" si="128"/>
        <v>1312000</v>
      </c>
      <c r="AC423" s="347">
        <f t="shared" si="125"/>
        <v>0</v>
      </c>
      <c r="AD423" s="249"/>
      <c r="AE423" s="435">
        <f t="shared" si="129"/>
        <v>4104000.0000000005</v>
      </c>
      <c r="AF423" s="342">
        <f t="shared" si="130"/>
        <v>5416000</v>
      </c>
      <c r="AG423" s="251">
        <f t="shared" si="131"/>
        <v>3800000</v>
      </c>
      <c r="AH423" s="241"/>
      <c r="AI423" s="241"/>
      <c r="AJ423" s="241"/>
      <c r="AK423" s="194"/>
      <c r="AL423" s="195"/>
      <c r="AM423" s="195"/>
    </row>
    <row r="424" spans="2:40" ht="31.2">
      <c r="B424" s="253">
        <v>11</v>
      </c>
      <c r="C424" s="244"/>
      <c r="D424" s="990" t="s">
        <v>4372</v>
      </c>
      <c r="E424" s="708">
        <v>307054936440</v>
      </c>
      <c r="F424" s="990" t="s">
        <v>4372</v>
      </c>
      <c r="G424" s="1009" t="s">
        <v>4454</v>
      </c>
      <c r="H424" s="230" t="s">
        <v>210</v>
      </c>
      <c r="I424" s="230"/>
      <c r="J424" s="230">
        <v>1</v>
      </c>
      <c r="K424" s="230"/>
      <c r="L424" s="228"/>
      <c r="M424" s="257"/>
      <c r="N424" s="228" t="s">
        <v>4404</v>
      </c>
      <c r="O424" s="1233" t="s">
        <v>4431</v>
      </c>
      <c r="P424" s="1226" t="s">
        <v>4406</v>
      </c>
      <c r="Q424" s="2380"/>
      <c r="R424" s="2380"/>
      <c r="S424" s="254" t="s">
        <v>2966</v>
      </c>
      <c r="T424" s="228"/>
      <c r="U424" s="2357"/>
      <c r="V424" s="256"/>
      <c r="W424" s="753">
        <v>1130000</v>
      </c>
      <c r="X424" s="753">
        <v>766800</v>
      </c>
      <c r="Y424" s="248"/>
      <c r="Z424" s="247"/>
      <c r="AA424" s="248"/>
      <c r="AB424" s="340">
        <f t="shared" si="128"/>
        <v>1896800</v>
      </c>
      <c r="AC424" s="347">
        <f t="shared" si="125"/>
        <v>0</v>
      </c>
      <c r="AD424" s="249"/>
      <c r="AE424" s="435">
        <f t="shared" si="129"/>
        <v>4212000</v>
      </c>
      <c r="AF424" s="342">
        <f t="shared" si="130"/>
        <v>6108800</v>
      </c>
      <c r="AG424" s="251">
        <f t="shared" si="131"/>
        <v>3899999.9999999995</v>
      </c>
      <c r="AH424" s="241"/>
      <c r="AI424" s="241"/>
      <c r="AJ424" s="241"/>
      <c r="AK424" s="194"/>
      <c r="AL424" s="195"/>
      <c r="AM424" s="195"/>
    </row>
    <row r="425" spans="2:40" ht="31.2">
      <c r="B425" s="253">
        <v>12</v>
      </c>
      <c r="C425" s="244"/>
      <c r="D425" s="1350" t="s">
        <v>4372</v>
      </c>
      <c r="E425" s="708">
        <v>307055803260</v>
      </c>
      <c r="F425" s="990" t="s">
        <v>4391</v>
      </c>
      <c r="G425" s="1009" t="s">
        <v>4455</v>
      </c>
      <c r="H425" s="230" t="s">
        <v>210</v>
      </c>
      <c r="I425" s="230"/>
      <c r="J425" s="230">
        <v>1</v>
      </c>
      <c r="K425" s="230"/>
      <c r="L425" s="228"/>
      <c r="M425" s="257"/>
      <c r="N425" s="228" t="s">
        <v>4405</v>
      </c>
      <c r="O425" s="1233" t="s">
        <v>4430</v>
      </c>
      <c r="P425" s="1226" t="s">
        <v>4427</v>
      </c>
      <c r="Q425" s="2380"/>
      <c r="R425" s="2380"/>
      <c r="S425" s="254" t="s">
        <v>2966</v>
      </c>
      <c r="T425" s="228"/>
      <c r="U425" s="2357"/>
      <c r="V425" s="256"/>
      <c r="W425" s="753">
        <v>1500000</v>
      </c>
      <c r="X425" s="753">
        <v>766800</v>
      </c>
      <c r="Y425" s="248"/>
      <c r="Z425" s="247"/>
      <c r="AA425" s="248"/>
      <c r="AB425" s="340">
        <f t="shared" si="128"/>
        <v>2266800</v>
      </c>
      <c r="AC425" s="347">
        <f t="shared" si="125"/>
        <v>0</v>
      </c>
      <c r="AD425" s="249"/>
      <c r="AE425" s="435">
        <f t="shared" si="129"/>
        <v>4212000</v>
      </c>
      <c r="AF425" s="342">
        <f t="shared" si="130"/>
        <v>6478800</v>
      </c>
      <c r="AG425" s="251">
        <f t="shared" si="131"/>
        <v>3899999.9999999995</v>
      </c>
      <c r="AH425" s="241"/>
      <c r="AI425" s="241"/>
      <c r="AJ425" s="241"/>
      <c r="AK425" s="194"/>
      <c r="AL425" s="195"/>
      <c r="AM425" s="195"/>
    </row>
    <row r="426" spans="2:40" ht="31.2">
      <c r="B426" s="253">
        <v>13</v>
      </c>
      <c r="C426" s="244"/>
      <c r="D426" s="990" t="s">
        <v>4428</v>
      </c>
      <c r="E426" s="708">
        <v>307066163260</v>
      </c>
      <c r="F426" s="990" t="s">
        <v>4428</v>
      </c>
      <c r="G426" s="1009" t="s">
        <v>4495</v>
      </c>
      <c r="H426" s="230" t="s">
        <v>210</v>
      </c>
      <c r="I426" s="230">
        <v>1</v>
      </c>
      <c r="J426" s="230"/>
      <c r="K426" s="230"/>
      <c r="L426" s="228"/>
      <c r="M426" s="257"/>
      <c r="N426" s="228">
        <v>32510809</v>
      </c>
      <c r="O426" s="1233" t="s">
        <v>4472</v>
      </c>
      <c r="P426" s="1226" t="s">
        <v>4626</v>
      </c>
      <c r="Q426" s="2380"/>
      <c r="R426" s="2380"/>
      <c r="S426" s="254" t="s">
        <v>4458</v>
      </c>
      <c r="T426" s="228"/>
      <c r="U426" s="2357"/>
      <c r="V426" s="256"/>
      <c r="W426" s="753">
        <v>1000000</v>
      </c>
      <c r="X426" s="753">
        <v>700000</v>
      </c>
      <c r="Y426" s="248"/>
      <c r="Z426" s="247"/>
      <c r="AA426" s="248"/>
      <c r="AB426" s="340">
        <f t="shared" si="128"/>
        <v>1700000</v>
      </c>
      <c r="AC426" s="347">
        <f t="shared" si="125"/>
        <v>0</v>
      </c>
      <c r="AD426" s="249"/>
      <c r="AE426" s="435">
        <f t="shared" si="129"/>
        <v>4104000.0000000005</v>
      </c>
      <c r="AF426" s="342">
        <f t="shared" si="130"/>
        <v>5804000</v>
      </c>
      <c r="AG426" s="251">
        <f t="shared" si="131"/>
        <v>3800000</v>
      </c>
      <c r="AH426" s="241"/>
      <c r="AI426" s="241"/>
      <c r="AJ426" s="241"/>
      <c r="AK426" s="194"/>
      <c r="AL426" s="195"/>
      <c r="AM426" s="195"/>
    </row>
    <row r="427" spans="2:40" ht="31.2">
      <c r="B427" s="253">
        <v>14</v>
      </c>
      <c r="C427" s="244"/>
      <c r="D427" s="990" t="s">
        <v>4428</v>
      </c>
      <c r="E427" s="708">
        <v>307066218120</v>
      </c>
      <c r="F427" s="990" t="s">
        <v>4428</v>
      </c>
      <c r="G427" s="1009" t="s">
        <v>4522</v>
      </c>
      <c r="H427" s="230" t="s">
        <v>210</v>
      </c>
      <c r="I427" s="230">
        <v>1</v>
      </c>
      <c r="J427" s="230"/>
      <c r="K427" s="230"/>
      <c r="L427" s="228"/>
      <c r="M427" s="257"/>
      <c r="N427" s="228">
        <v>92139760</v>
      </c>
      <c r="O427" s="1233" t="s">
        <v>4471</v>
      </c>
      <c r="P427" s="1226" t="s">
        <v>4626</v>
      </c>
      <c r="Q427" s="2380"/>
      <c r="R427" s="2380"/>
      <c r="S427" s="254" t="s">
        <v>4458</v>
      </c>
      <c r="T427" s="228"/>
      <c r="U427" s="2357"/>
      <c r="V427" s="256"/>
      <c r="W427" s="753">
        <v>1000000</v>
      </c>
      <c r="X427" s="753">
        <v>700000</v>
      </c>
      <c r="Y427" s="248"/>
      <c r="Z427" s="247"/>
      <c r="AA427" s="248"/>
      <c r="AB427" s="340">
        <f t="shared" si="128"/>
        <v>1700000</v>
      </c>
      <c r="AC427" s="347">
        <f t="shared" si="125"/>
        <v>0</v>
      </c>
      <c r="AD427" s="249"/>
      <c r="AE427" s="435">
        <f t="shared" si="129"/>
        <v>4104000.0000000005</v>
      </c>
      <c r="AF427" s="342">
        <f t="shared" si="130"/>
        <v>5804000</v>
      </c>
      <c r="AG427" s="251">
        <f t="shared" si="131"/>
        <v>3800000</v>
      </c>
      <c r="AH427" s="241"/>
      <c r="AI427" s="241"/>
      <c r="AJ427" s="241"/>
      <c r="AK427" s="194"/>
      <c r="AL427" s="195"/>
      <c r="AM427" s="195"/>
    </row>
    <row r="428" spans="2:40" ht="31.2">
      <c r="B428" s="253">
        <v>15</v>
      </c>
      <c r="C428" s="244"/>
      <c r="D428" s="990" t="s">
        <v>4429</v>
      </c>
      <c r="E428" s="708">
        <v>307071572750</v>
      </c>
      <c r="F428" s="612" t="s">
        <v>4429</v>
      </c>
      <c r="G428" s="1009" t="s">
        <v>4523</v>
      </c>
      <c r="H428" s="230" t="s">
        <v>210</v>
      </c>
      <c r="I428" s="230"/>
      <c r="J428" s="230">
        <v>2</v>
      </c>
      <c r="K428" s="230"/>
      <c r="L428" s="228"/>
      <c r="M428" s="257"/>
      <c r="N428" s="228" t="s">
        <v>4469</v>
      </c>
      <c r="O428" s="1233" t="s">
        <v>4493</v>
      </c>
      <c r="P428" s="1226" t="s">
        <v>4627</v>
      </c>
      <c r="Q428" s="2380"/>
      <c r="R428" s="2380"/>
      <c r="S428" s="254" t="s">
        <v>2966</v>
      </c>
      <c r="T428" s="228"/>
      <c r="U428" s="2357"/>
      <c r="V428" s="256"/>
      <c r="W428" s="753">
        <f>1280000+1280000</f>
        <v>2560000</v>
      </c>
      <c r="X428" s="753">
        <v>1533600</v>
      </c>
      <c r="Y428" s="248"/>
      <c r="Z428" s="247"/>
      <c r="AA428" s="248"/>
      <c r="AB428" s="340">
        <f t="shared" si="128"/>
        <v>4093600</v>
      </c>
      <c r="AC428" s="347">
        <f t="shared" si="125"/>
        <v>0</v>
      </c>
      <c r="AD428" s="249"/>
      <c r="AE428" s="435">
        <f t="shared" si="129"/>
        <v>8424000</v>
      </c>
      <c r="AF428" s="342">
        <f t="shared" ref="AF428:AF438" si="132">+AB428+AE428</f>
        <v>12517600</v>
      </c>
      <c r="AG428" s="251">
        <f t="shared" ref="AG428:AG438" si="133">+AE428/1.08</f>
        <v>7799999.9999999991</v>
      </c>
      <c r="AH428" s="241"/>
      <c r="AI428" s="241"/>
      <c r="AJ428" s="241"/>
      <c r="AK428" s="194"/>
      <c r="AL428" s="195"/>
      <c r="AM428" s="195"/>
    </row>
    <row r="429" spans="2:40" ht="31.2">
      <c r="B429" s="253">
        <v>16</v>
      </c>
      <c r="C429" s="244"/>
      <c r="D429" s="1377" t="s">
        <v>4467</v>
      </c>
      <c r="E429" s="708">
        <v>307075810220</v>
      </c>
      <c r="F429" s="1377" t="s">
        <v>4467</v>
      </c>
      <c r="G429" s="1009" t="s">
        <v>4524</v>
      </c>
      <c r="H429" s="230" t="s">
        <v>210</v>
      </c>
      <c r="I429" s="230"/>
      <c r="J429" s="230">
        <v>2</v>
      </c>
      <c r="K429" s="230"/>
      <c r="L429" s="228"/>
      <c r="M429" s="257"/>
      <c r="N429" s="228" t="s">
        <v>4474</v>
      </c>
      <c r="O429" s="1233" t="s">
        <v>4519</v>
      </c>
      <c r="P429" s="1226" t="s">
        <v>4475</v>
      </c>
      <c r="Q429" s="2380"/>
      <c r="R429" s="2380"/>
      <c r="S429" s="254" t="s">
        <v>4458</v>
      </c>
      <c r="T429" s="228"/>
      <c r="U429" s="2357"/>
      <c r="V429" s="256"/>
      <c r="W429" s="753">
        <f>1280000*2</f>
        <v>2560000</v>
      </c>
      <c r="X429" s="753">
        <f>1140000*2</f>
        <v>2280000</v>
      </c>
      <c r="Y429" s="248"/>
      <c r="Z429" s="247"/>
      <c r="AA429" s="248"/>
      <c r="AB429" s="340">
        <f t="shared" si="128"/>
        <v>4840000</v>
      </c>
      <c r="AC429" s="347">
        <f t="shared" si="125"/>
        <v>0</v>
      </c>
      <c r="AD429" s="249"/>
      <c r="AE429" s="435">
        <f t="shared" si="129"/>
        <v>8424000</v>
      </c>
      <c r="AF429" s="342">
        <f t="shared" si="132"/>
        <v>13264000</v>
      </c>
      <c r="AG429" s="251">
        <f t="shared" si="133"/>
        <v>7799999.9999999991</v>
      </c>
      <c r="AH429" s="241"/>
      <c r="AI429" s="241"/>
      <c r="AJ429" s="241"/>
      <c r="AK429" s="194"/>
      <c r="AL429" s="195"/>
      <c r="AM429" s="195"/>
    </row>
    <row r="430" spans="2:40">
      <c r="B430" s="3405" t="s">
        <v>4668</v>
      </c>
      <c r="C430" s="3312"/>
      <c r="D430" s="3312"/>
      <c r="E430" s="3312"/>
      <c r="F430" s="3312"/>
      <c r="G430" s="3312"/>
      <c r="H430" s="3312"/>
      <c r="I430" s="3312"/>
      <c r="J430" s="3312"/>
      <c r="K430" s="3312"/>
      <c r="L430" s="3312"/>
      <c r="M430" s="346"/>
      <c r="N430" s="346"/>
      <c r="O430" s="346"/>
      <c r="P430" s="346"/>
      <c r="Q430" s="346"/>
      <c r="R430" s="346"/>
      <c r="S430" s="346"/>
      <c r="T430" s="346"/>
      <c r="U430" s="346"/>
      <c r="V430" s="590"/>
      <c r="W430" s="590">
        <f>SUM(W404:W429)</f>
        <v>66099800</v>
      </c>
      <c r="X430" s="590">
        <f>SUM(X404:X429)</f>
        <v>43006440</v>
      </c>
      <c r="Y430" s="357"/>
      <c r="Z430" s="357"/>
      <c r="AA430" s="357"/>
      <c r="AB430" s="590">
        <f>SUM(AB404:AB429)</f>
        <v>109137109</v>
      </c>
      <c r="AC430" s="358"/>
      <c r="AD430" s="358"/>
      <c r="AE430" s="1231">
        <f>SUM(AE404:AE429)</f>
        <v>241142400</v>
      </c>
      <c r="AF430" s="590">
        <f>SUM(AF404:AF429)</f>
        <v>350279509</v>
      </c>
      <c r="AG430" s="590">
        <f>SUM(AG404:AG429)</f>
        <v>223280000</v>
      </c>
      <c r="AH430" s="241"/>
      <c r="AI430" s="241"/>
      <c r="AJ430" s="241"/>
      <c r="AK430" s="194"/>
      <c r="AL430" s="195"/>
      <c r="AM430" s="195"/>
      <c r="AN430" s="1087"/>
    </row>
    <row r="431" spans="2:40" ht="31.2">
      <c r="B431" s="253">
        <v>1</v>
      </c>
      <c r="C431" s="244"/>
      <c r="D431" s="1377" t="s">
        <v>4748</v>
      </c>
      <c r="E431" s="708">
        <v>307119819660</v>
      </c>
      <c r="F431" s="640" t="s">
        <v>4748</v>
      </c>
      <c r="G431" s="1009" t="s">
        <v>4797</v>
      </c>
      <c r="H431" s="230" t="s">
        <v>210</v>
      </c>
      <c r="I431" s="230"/>
      <c r="J431" s="230">
        <v>1</v>
      </c>
      <c r="K431" s="230"/>
      <c r="L431" s="228"/>
      <c r="M431" s="257"/>
      <c r="N431" s="228" t="s">
        <v>4753</v>
      </c>
      <c r="O431" s="1233" t="s">
        <v>4756</v>
      </c>
      <c r="P431" s="1226" t="s">
        <v>4754</v>
      </c>
      <c r="Q431" s="2380"/>
      <c r="R431" s="2380"/>
      <c r="S431" s="254" t="s">
        <v>2966</v>
      </c>
      <c r="T431" s="228"/>
      <c r="U431" s="2357"/>
      <c r="V431" s="256"/>
      <c r="W431" s="1502">
        <v>1270000</v>
      </c>
      <c r="X431" s="1502">
        <v>766800</v>
      </c>
      <c r="Y431" s="248"/>
      <c r="Z431" s="247"/>
      <c r="AA431" s="248"/>
      <c r="AB431" s="340">
        <f t="shared" ref="AB431:AB438" si="134">V431+W431+X431+Y431+Z431+AA431</f>
        <v>2036800</v>
      </c>
      <c r="AC431" s="347">
        <f t="shared" si="125"/>
        <v>0</v>
      </c>
      <c r="AD431" s="249"/>
      <c r="AE431" s="435">
        <f>+(I431*3778000+J431*(3778000+100000))*1.08+((I431+J431+K431)*150000)*1.08</f>
        <v>4350240</v>
      </c>
      <c r="AF431" s="342">
        <f t="shared" si="132"/>
        <v>6387040</v>
      </c>
      <c r="AG431" s="251">
        <f t="shared" si="133"/>
        <v>4027999.9999999995</v>
      </c>
      <c r="AH431" s="241"/>
      <c r="AI431" s="241"/>
      <c r="AJ431" s="241"/>
      <c r="AK431" s="194"/>
      <c r="AL431" s="195"/>
      <c r="AM431" s="195"/>
    </row>
    <row r="432" spans="2:40">
      <c r="B432" s="253">
        <f>+B431+1</f>
        <v>2</v>
      </c>
      <c r="C432" s="244"/>
      <c r="D432" s="1377" t="s">
        <v>4758</v>
      </c>
      <c r="E432" s="1935">
        <v>106924101210</v>
      </c>
      <c r="F432" s="640" t="s">
        <v>4759</v>
      </c>
      <c r="G432" s="1009" t="s">
        <v>4796</v>
      </c>
      <c r="H432" s="230" t="s">
        <v>1300</v>
      </c>
      <c r="I432" s="230"/>
      <c r="J432" s="230"/>
      <c r="K432" s="230">
        <v>1</v>
      </c>
      <c r="L432" s="228"/>
      <c r="M432" s="257" t="s">
        <v>4760</v>
      </c>
      <c r="N432" s="228" t="s">
        <v>4757</v>
      </c>
      <c r="O432" s="228"/>
      <c r="P432" s="258"/>
      <c r="Q432" s="2381"/>
      <c r="R432" s="2381"/>
      <c r="S432" s="254" t="s">
        <v>2760</v>
      </c>
      <c r="T432" s="228"/>
      <c r="U432" s="2357"/>
      <c r="V432" s="256"/>
      <c r="W432" s="248"/>
      <c r="X432" s="248"/>
      <c r="Y432" s="248"/>
      <c r="Z432" s="247"/>
      <c r="AA432" s="248"/>
      <c r="AB432" s="340">
        <f t="shared" si="134"/>
        <v>0</v>
      </c>
      <c r="AC432" s="347">
        <f t="shared" si="125"/>
        <v>0</v>
      </c>
      <c r="AD432" s="1531" t="s">
        <v>4671</v>
      </c>
      <c r="AE432" s="435">
        <f>(2220000+150000)*1.08</f>
        <v>2559600</v>
      </c>
      <c r="AF432" s="342">
        <f t="shared" si="132"/>
        <v>2559600</v>
      </c>
      <c r="AG432" s="251">
        <f t="shared" si="133"/>
        <v>2370000</v>
      </c>
      <c r="AH432" s="241"/>
      <c r="AI432" s="241"/>
      <c r="AJ432" s="241"/>
      <c r="AK432" s="194"/>
      <c r="AL432" s="195"/>
      <c r="AM432" s="195"/>
    </row>
    <row r="433" spans="2:40">
      <c r="B433" s="253">
        <f t="shared" ref="B433:B449" si="135">+B432+1</f>
        <v>3</v>
      </c>
      <c r="C433" s="244"/>
      <c r="D433" s="1377" t="s">
        <v>4758</v>
      </c>
      <c r="E433" s="1935">
        <v>106923091700</v>
      </c>
      <c r="F433" s="640" t="s">
        <v>4759</v>
      </c>
      <c r="G433" s="1009" t="s">
        <v>4798</v>
      </c>
      <c r="H433" s="230" t="s">
        <v>1300</v>
      </c>
      <c r="I433" s="230"/>
      <c r="J433" s="230"/>
      <c r="K433" s="230">
        <v>1</v>
      </c>
      <c r="L433" s="228"/>
      <c r="M433" s="257" t="s">
        <v>4761</v>
      </c>
      <c r="N433" s="228" t="s">
        <v>4762</v>
      </c>
      <c r="O433" s="228"/>
      <c r="P433" s="258"/>
      <c r="Q433" s="2381"/>
      <c r="R433" s="2381"/>
      <c r="S433" s="254" t="s">
        <v>2760</v>
      </c>
      <c r="T433" s="228"/>
      <c r="U433" s="2357"/>
      <c r="V433" s="256"/>
      <c r="W433" s="248"/>
      <c r="X433" s="248"/>
      <c r="Y433" s="248"/>
      <c r="Z433" s="247"/>
      <c r="AA433" s="248"/>
      <c r="AB433" s="340">
        <f t="shared" si="134"/>
        <v>0</v>
      </c>
      <c r="AC433" s="347">
        <f t="shared" si="125"/>
        <v>0</v>
      </c>
      <c r="AD433" s="1531" t="s">
        <v>4671</v>
      </c>
      <c r="AE433" s="435">
        <f>(2220000+150000)*1.08</f>
        <v>2559600</v>
      </c>
      <c r="AF433" s="342">
        <f t="shared" si="132"/>
        <v>2559600</v>
      </c>
      <c r="AG433" s="251">
        <f t="shared" si="133"/>
        <v>2370000</v>
      </c>
      <c r="AH433" s="241"/>
      <c r="AI433" s="241"/>
      <c r="AJ433" s="241"/>
      <c r="AK433" s="194"/>
      <c r="AL433" s="195"/>
      <c r="AM433" s="195"/>
    </row>
    <row r="434" spans="2:40">
      <c r="B434" s="253">
        <f t="shared" si="135"/>
        <v>4</v>
      </c>
      <c r="C434" s="244"/>
      <c r="D434" s="1519" t="s">
        <v>4782</v>
      </c>
      <c r="E434" s="708">
        <v>307133052940</v>
      </c>
      <c r="F434" s="612">
        <v>45700</v>
      </c>
      <c r="G434" s="1009" t="s">
        <v>4799</v>
      </c>
      <c r="H434" s="230" t="s">
        <v>210</v>
      </c>
      <c r="I434" s="230"/>
      <c r="J434" s="230">
        <v>1</v>
      </c>
      <c r="K434" s="230"/>
      <c r="L434" s="228"/>
      <c r="M434" s="257"/>
      <c r="N434" s="228" t="s">
        <v>4779</v>
      </c>
      <c r="O434" s="1233" t="s">
        <v>4787</v>
      </c>
      <c r="P434" s="1514" t="s">
        <v>4786</v>
      </c>
      <c r="Q434" s="2382"/>
      <c r="R434" s="2382"/>
      <c r="S434" s="254" t="s">
        <v>2966</v>
      </c>
      <c r="T434" s="228"/>
      <c r="U434" s="2357"/>
      <c r="V434" s="256"/>
      <c r="W434" s="1502">
        <v>1500000</v>
      </c>
      <c r="X434" s="1502">
        <v>766800</v>
      </c>
      <c r="Y434" s="248"/>
      <c r="Z434" s="247"/>
      <c r="AA434" s="248"/>
      <c r="AB434" s="340">
        <f t="shared" si="134"/>
        <v>2266800</v>
      </c>
      <c r="AC434" s="347">
        <f t="shared" si="125"/>
        <v>0</v>
      </c>
      <c r="AD434" s="249"/>
      <c r="AE434" s="435">
        <f>+(I434*3778000+J434*(3778000+100000))*1.08+((I434+J434+K434)*150000)*1.08</f>
        <v>4350240</v>
      </c>
      <c r="AF434" s="342">
        <f t="shared" si="132"/>
        <v>6617040</v>
      </c>
      <c r="AG434" s="251">
        <f t="shared" si="133"/>
        <v>4027999.9999999995</v>
      </c>
      <c r="AH434" s="241"/>
      <c r="AI434" s="241"/>
      <c r="AJ434" s="241"/>
      <c r="AK434" s="194"/>
      <c r="AL434" s="195"/>
      <c r="AM434" s="195"/>
    </row>
    <row r="435" spans="2:40" ht="46.8">
      <c r="B435" s="253">
        <f t="shared" si="135"/>
        <v>5</v>
      </c>
      <c r="C435" s="244"/>
      <c r="D435" s="1519" t="s">
        <v>4822</v>
      </c>
      <c r="E435" s="708">
        <v>307143682920</v>
      </c>
      <c r="F435" s="1519" t="s">
        <v>4822</v>
      </c>
      <c r="G435" s="1009" t="s">
        <v>4823</v>
      </c>
      <c r="H435" s="230" t="s">
        <v>210</v>
      </c>
      <c r="I435" s="230"/>
      <c r="J435" s="230">
        <v>1</v>
      </c>
      <c r="K435" s="230"/>
      <c r="L435" s="228"/>
      <c r="M435" s="257"/>
      <c r="N435" s="228">
        <v>250219397</v>
      </c>
      <c r="O435" s="1233" t="s">
        <v>4824</v>
      </c>
      <c r="P435" s="1226" t="s">
        <v>4815</v>
      </c>
      <c r="Q435" s="2380"/>
      <c r="R435" s="2380"/>
      <c r="S435" s="254" t="s">
        <v>3152</v>
      </c>
      <c r="T435" s="228"/>
      <c r="U435" s="2357"/>
      <c r="V435" s="256"/>
      <c r="W435" s="1502">
        <v>1450000</v>
      </c>
      <c r="X435" s="1502">
        <v>1140000</v>
      </c>
      <c r="Y435" s="248"/>
      <c r="Z435" s="247"/>
      <c r="AA435" s="248"/>
      <c r="AB435" s="340">
        <f t="shared" si="134"/>
        <v>2590000</v>
      </c>
      <c r="AC435" s="347">
        <f t="shared" si="125"/>
        <v>0</v>
      </c>
      <c r="AD435" s="249"/>
      <c r="AE435" s="435">
        <f>+(I435*3778000+J435*(3778000+100000))*1.08+((I435+J435+K435)*150000)*1.08</f>
        <v>4350240</v>
      </c>
      <c r="AF435" s="342">
        <f t="shared" si="132"/>
        <v>6940240</v>
      </c>
      <c r="AG435" s="251">
        <f t="shared" si="133"/>
        <v>4027999.9999999995</v>
      </c>
      <c r="AH435" s="241"/>
      <c r="AI435" s="241"/>
      <c r="AJ435" s="241"/>
      <c r="AK435" s="194"/>
      <c r="AL435" s="195"/>
      <c r="AM435" s="195"/>
    </row>
    <row r="436" spans="2:40" ht="50.25" customHeight="1">
      <c r="B436" s="253">
        <f t="shared" si="135"/>
        <v>6</v>
      </c>
      <c r="C436" s="244"/>
      <c r="D436" s="1519" t="s">
        <v>4888</v>
      </c>
      <c r="E436" s="708">
        <v>307162817160</v>
      </c>
      <c r="F436" s="640" t="s">
        <v>4888</v>
      </c>
      <c r="G436" s="1009" t="s">
        <v>4904</v>
      </c>
      <c r="H436" s="230" t="s">
        <v>210</v>
      </c>
      <c r="I436" s="230"/>
      <c r="J436" s="230">
        <v>1</v>
      </c>
      <c r="K436" s="230"/>
      <c r="L436" s="228"/>
      <c r="M436" s="257"/>
      <c r="N436" s="228" t="s">
        <v>4849</v>
      </c>
      <c r="O436" s="1233" t="s">
        <v>4898</v>
      </c>
      <c r="P436" s="1226" t="s">
        <v>4851</v>
      </c>
      <c r="Q436" s="2380"/>
      <c r="R436" s="2380"/>
      <c r="S436" s="1233" t="s">
        <v>2966</v>
      </c>
      <c r="T436" s="228"/>
      <c r="U436" s="2357"/>
      <c r="V436" s="256"/>
      <c r="W436" s="1502">
        <v>1500000</v>
      </c>
      <c r="X436" s="1502">
        <v>766800</v>
      </c>
      <c r="Y436" s="248"/>
      <c r="Z436" s="247"/>
      <c r="AA436" s="248"/>
      <c r="AB436" s="340">
        <f t="shared" si="134"/>
        <v>2266800</v>
      </c>
      <c r="AC436" s="347">
        <f t="shared" si="125"/>
        <v>0</v>
      </c>
      <c r="AD436" s="249"/>
      <c r="AE436" s="435">
        <f>+(I436*3778000+J436*(3778000+100000))*1.08+((I436+J436+K436)*150000)*1.08</f>
        <v>4350240</v>
      </c>
      <c r="AF436" s="342">
        <f t="shared" si="132"/>
        <v>6617040</v>
      </c>
      <c r="AG436" s="251">
        <f t="shared" si="133"/>
        <v>4027999.9999999995</v>
      </c>
      <c r="AH436" s="241"/>
      <c r="AI436" s="241"/>
      <c r="AJ436" s="241"/>
      <c r="AK436" s="194"/>
      <c r="AL436" s="195"/>
      <c r="AM436" s="195"/>
    </row>
    <row r="437" spans="2:40" ht="42.75" customHeight="1">
      <c r="B437" s="253">
        <f t="shared" si="135"/>
        <v>7</v>
      </c>
      <c r="C437" s="244"/>
      <c r="D437" s="1519" t="s">
        <v>4888</v>
      </c>
      <c r="E437" s="708">
        <v>307162910740</v>
      </c>
      <c r="F437" s="640" t="s">
        <v>4888</v>
      </c>
      <c r="G437" s="1009" t="s">
        <v>4905</v>
      </c>
      <c r="H437" s="230" t="s">
        <v>210</v>
      </c>
      <c r="I437" s="1485"/>
      <c r="J437" s="230">
        <v>1</v>
      </c>
      <c r="K437" s="1485"/>
      <c r="L437" s="1485"/>
      <c r="M437" s="257"/>
      <c r="N437" s="228" t="s">
        <v>4850</v>
      </c>
      <c r="O437" s="1233" t="s">
        <v>4892</v>
      </c>
      <c r="P437" s="1226" t="s">
        <v>4852</v>
      </c>
      <c r="Q437" s="2380"/>
      <c r="R437" s="2380"/>
      <c r="S437" s="1233" t="s">
        <v>2966</v>
      </c>
      <c r="T437" s="1485"/>
      <c r="U437" s="1485"/>
      <c r="V437" s="1485"/>
      <c r="W437" s="1559">
        <v>1280000</v>
      </c>
      <c r="X437" s="324">
        <v>766800</v>
      </c>
      <c r="Y437" s="1485"/>
      <c r="Z437" s="1485"/>
      <c r="AA437" s="1485"/>
      <c r="AB437" s="340">
        <f t="shared" si="134"/>
        <v>2046800</v>
      </c>
      <c r="AC437" s="347">
        <f t="shared" si="125"/>
        <v>0</v>
      </c>
      <c r="AD437" s="249"/>
      <c r="AE437" s="435">
        <f>+(I437*3778000+J437*(3778000+100000))*1.08+((I437+J437+K437)*150000)*1.08</f>
        <v>4350240</v>
      </c>
      <c r="AF437" s="342">
        <f t="shared" si="132"/>
        <v>6397040</v>
      </c>
      <c r="AG437" s="251">
        <f t="shared" si="133"/>
        <v>4027999.9999999995</v>
      </c>
      <c r="AH437" s="241"/>
      <c r="AI437" s="241"/>
      <c r="AJ437" s="241"/>
      <c r="AK437" s="194"/>
      <c r="AL437" s="195"/>
      <c r="AM437" s="195"/>
    </row>
    <row r="438" spans="2:40" ht="31.2">
      <c r="B438" s="253">
        <f t="shared" si="135"/>
        <v>8</v>
      </c>
      <c r="C438" s="244"/>
      <c r="D438" s="654" t="s">
        <v>4840</v>
      </c>
      <c r="E438" s="708">
        <v>307166228960</v>
      </c>
      <c r="F438" s="1567" t="s">
        <v>4840</v>
      </c>
      <c r="G438" s="1009" t="s">
        <v>4925</v>
      </c>
      <c r="H438" s="230" t="s">
        <v>210</v>
      </c>
      <c r="I438" s="1485"/>
      <c r="J438" s="230" t="s">
        <v>4899</v>
      </c>
      <c r="K438" s="1485"/>
      <c r="L438" s="1485"/>
      <c r="M438" s="257"/>
      <c r="N438" s="228" t="s">
        <v>4900</v>
      </c>
      <c r="O438" s="1233" t="s">
        <v>4915</v>
      </c>
      <c r="P438" s="1226" t="s">
        <v>4901</v>
      </c>
      <c r="Q438" s="2380"/>
      <c r="R438" s="2380"/>
      <c r="S438" s="1233" t="s">
        <v>2966</v>
      </c>
      <c r="T438" s="1485"/>
      <c r="U438" s="1485"/>
      <c r="V438" s="1485"/>
      <c r="W438" s="1559">
        <f>1280000*2</f>
        <v>2560000</v>
      </c>
      <c r="X438" s="324">
        <v>1533600</v>
      </c>
      <c r="Y438" s="1485"/>
      <c r="Z438" s="1485"/>
      <c r="AA438" s="1485"/>
      <c r="AB438" s="340">
        <f t="shared" si="134"/>
        <v>4093600</v>
      </c>
      <c r="AC438" s="347">
        <f t="shared" si="125"/>
        <v>0</v>
      </c>
      <c r="AD438" s="249"/>
      <c r="AE438" s="435">
        <f>+(I438*3778000+J438*(3778000+100000))*1.08+((I438+J438+K438)*150000)*1.08</f>
        <v>8700480</v>
      </c>
      <c r="AF438" s="342">
        <f t="shared" si="132"/>
        <v>12794080</v>
      </c>
      <c r="AG438" s="251">
        <f t="shared" si="133"/>
        <v>8055999.9999999991</v>
      </c>
      <c r="AH438" s="241"/>
      <c r="AI438" s="241"/>
      <c r="AJ438" s="241"/>
      <c r="AK438" s="194"/>
      <c r="AL438" s="195"/>
      <c r="AM438" s="195"/>
    </row>
    <row r="439" spans="2:40">
      <c r="B439" s="3405" t="s">
        <v>5271</v>
      </c>
      <c r="C439" s="3312"/>
      <c r="D439" s="3312"/>
      <c r="E439" s="3312"/>
      <c r="F439" s="3312"/>
      <c r="G439" s="3312"/>
      <c r="H439" s="3312"/>
      <c r="I439" s="3312"/>
      <c r="J439" s="3312"/>
      <c r="K439" s="3312"/>
      <c r="L439" s="3312"/>
      <c r="M439" s="346"/>
      <c r="N439" s="346"/>
      <c r="O439" s="346"/>
      <c r="P439" s="346"/>
      <c r="Q439" s="346"/>
      <c r="R439" s="346"/>
      <c r="S439" s="346"/>
      <c r="T439" s="346"/>
      <c r="U439" s="346"/>
      <c r="V439" s="590"/>
      <c r="W439" s="2022"/>
      <c r="X439" s="590"/>
      <c r="Y439" s="357"/>
      <c r="Z439" s="357"/>
      <c r="AA439" s="357"/>
      <c r="AB439" s="590">
        <f>SUM(AB413:AB438)</f>
        <v>215572418</v>
      </c>
      <c r="AC439" s="358"/>
      <c r="AD439" s="358"/>
      <c r="AE439" s="1231">
        <f>SUM(AE413:AE438)</f>
        <v>477172080</v>
      </c>
      <c r="AF439" s="590">
        <f>SUM(AF413:AF438)</f>
        <v>692744498</v>
      </c>
      <c r="AG439" s="590">
        <f>SUM(AG413:AG438)</f>
        <v>441826000</v>
      </c>
      <c r="AH439" s="241"/>
      <c r="AI439" s="241"/>
      <c r="AJ439" s="241"/>
      <c r="AK439" s="194"/>
      <c r="AL439" s="195"/>
      <c r="AM439" s="195"/>
      <c r="AN439" s="1087"/>
    </row>
    <row r="440" spans="2:40" ht="31.2">
      <c r="B440" s="253">
        <v>1</v>
      </c>
      <c r="C440" s="244"/>
      <c r="D440" s="654" t="s">
        <v>5265</v>
      </c>
      <c r="E440" s="708">
        <v>307277079450</v>
      </c>
      <c r="F440" s="654" t="s">
        <v>5265</v>
      </c>
      <c r="G440" s="391" t="s">
        <v>5276</v>
      </c>
      <c r="H440" s="230" t="s">
        <v>210</v>
      </c>
      <c r="I440" s="230"/>
      <c r="J440" s="230">
        <v>1</v>
      </c>
      <c r="K440" s="230"/>
      <c r="L440" s="228"/>
      <c r="M440" s="1218"/>
      <c r="N440" s="1512" t="s">
        <v>5264</v>
      </c>
      <c r="O440" s="228" t="s">
        <v>5270</v>
      </c>
      <c r="P440" s="1226" t="s">
        <v>5269</v>
      </c>
      <c r="Q440" s="2380"/>
      <c r="R440" s="2380"/>
      <c r="S440" s="1233" t="s">
        <v>2966</v>
      </c>
      <c r="T440" s="228"/>
      <c r="U440" s="2357"/>
      <c r="V440" s="256"/>
      <c r="W440" s="1559">
        <v>1280000</v>
      </c>
      <c r="X440" s="324">
        <v>882000</v>
      </c>
      <c r="Y440" s="248"/>
      <c r="Z440" s="247"/>
      <c r="AA440" s="248"/>
      <c r="AB440" s="340">
        <f t="shared" ref="AB440:AB449" si="136">V440+W440+X440+Y440+Z440+AA440</f>
        <v>2162000</v>
      </c>
      <c r="AC440" s="347">
        <f t="shared" si="125"/>
        <v>0</v>
      </c>
      <c r="AD440" s="249"/>
      <c r="AE440" s="618">
        <f t="shared" ref="AE440:AE449" si="137">+(I440*3832500+J440*(3832500+100000))*1.08+((I440+J440+K440)*150000)*1.08</f>
        <v>4409100</v>
      </c>
      <c r="AF440" s="342">
        <f>+AB440+AE440</f>
        <v>6571100</v>
      </c>
      <c r="AG440" s="251">
        <f>+AE440/1.08</f>
        <v>4082499.9999999995</v>
      </c>
      <c r="AH440" s="241"/>
      <c r="AI440" s="241"/>
      <c r="AJ440" s="241"/>
      <c r="AK440" s="194"/>
      <c r="AL440" s="195"/>
      <c r="AM440" s="195"/>
    </row>
    <row r="441" spans="2:40" ht="46.8">
      <c r="B441" s="253">
        <f t="shared" si="135"/>
        <v>2</v>
      </c>
      <c r="C441" s="244"/>
      <c r="D441" s="654" t="s">
        <v>5310</v>
      </c>
      <c r="E441" s="708">
        <v>307294991860</v>
      </c>
      <c r="F441" s="640" t="s">
        <v>5310</v>
      </c>
      <c r="G441" s="391" t="s">
        <v>5336</v>
      </c>
      <c r="H441" s="230" t="s">
        <v>210</v>
      </c>
      <c r="I441" s="230">
        <v>1</v>
      </c>
      <c r="J441" s="230"/>
      <c r="K441" s="230"/>
      <c r="L441" s="228"/>
      <c r="M441" s="1218"/>
      <c r="N441" s="228">
        <v>69009959</v>
      </c>
      <c r="O441" s="228" t="s">
        <v>5330</v>
      </c>
      <c r="P441" s="1226" t="s">
        <v>5315</v>
      </c>
      <c r="Q441" s="2380"/>
      <c r="R441" s="2380"/>
      <c r="S441" s="1233" t="s">
        <v>2966</v>
      </c>
      <c r="T441" s="228"/>
      <c r="U441" s="2357"/>
      <c r="V441" s="256"/>
      <c r="W441" s="1559">
        <v>1000000</v>
      </c>
      <c r="X441" s="324">
        <v>497000</v>
      </c>
      <c r="Y441" s="248"/>
      <c r="Z441" s="247"/>
      <c r="AA441" s="248"/>
      <c r="AB441" s="340">
        <f t="shared" si="136"/>
        <v>1497000</v>
      </c>
      <c r="AC441" s="347">
        <f t="shared" si="125"/>
        <v>0</v>
      </c>
      <c r="AD441" s="249"/>
      <c r="AE441" s="618">
        <f t="shared" si="137"/>
        <v>4301100</v>
      </c>
      <c r="AF441" s="342">
        <f t="shared" ref="AF441:AF449" si="138">+AB441+AE441</f>
        <v>5798100</v>
      </c>
      <c r="AG441" s="251">
        <f t="shared" ref="AG441:AG454" si="139">+AE441/1.08</f>
        <v>3982499.9999999995</v>
      </c>
      <c r="AH441" s="241"/>
      <c r="AI441" s="241"/>
      <c r="AJ441" s="241"/>
      <c r="AK441" s="194"/>
      <c r="AL441" s="195"/>
      <c r="AM441" s="195"/>
    </row>
    <row r="442" spans="2:40" ht="46.8">
      <c r="B442" s="253">
        <f t="shared" si="135"/>
        <v>3</v>
      </c>
      <c r="C442" s="244"/>
      <c r="D442" s="1519" t="s">
        <v>5337</v>
      </c>
      <c r="E442" s="708">
        <v>307299671620</v>
      </c>
      <c r="F442" s="640" t="s">
        <v>5337</v>
      </c>
      <c r="G442" s="391" t="s">
        <v>5355</v>
      </c>
      <c r="H442" s="230" t="s">
        <v>210</v>
      </c>
      <c r="I442" s="230">
        <v>1</v>
      </c>
      <c r="J442" s="230"/>
      <c r="K442" s="230"/>
      <c r="L442" s="228"/>
      <c r="M442" s="1218"/>
      <c r="N442" s="1512" t="s">
        <v>5312</v>
      </c>
      <c r="O442" s="228" t="s">
        <v>5347</v>
      </c>
      <c r="P442" s="1226" t="s">
        <v>5316</v>
      </c>
      <c r="Q442" s="2380"/>
      <c r="R442" s="2380"/>
      <c r="S442" s="1233" t="s">
        <v>2966</v>
      </c>
      <c r="T442" s="228"/>
      <c r="U442" s="2357"/>
      <c r="V442" s="256"/>
      <c r="W442" s="1559">
        <v>1000000</v>
      </c>
      <c r="X442" s="324">
        <v>497000</v>
      </c>
      <c r="Y442" s="248"/>
      <c r="Z442" s="247"/>
      <c r="AA442" s="248"/>
      <c r="AB442" s="340">
        <f t="shared" si="136"/>
        <v>1497000</v>
      </c>
      <c r="AC442" s="347">
        <f t="shared" si="125"/>
        <v>0</v>
      </c>
      <c r="AD442" s="249"/>
      <c r="AE442" s="618">
        <f t="shared" si="137"/>
        <v>4301100</v>
      </c>
      <c r="AF442" s="342">
        <f t="shared" si="138"/>
        <v>5798100</v>
      </c>
      <c r="AG442" s="251">
        <f t="shared" si="139"/>
        <v>3982499.9999999995</v>
      </c>
      <c r="AH442" s="241"/>
      <c r="AI442" s="241"/>
      <c r="AJ442" s="241"/>
      <c r="AK442" s="194"/>
      <c r="AL442" s="195"/>
      <c r="AM442" s="195"/>
    </row>
    <row r="443" spans="2:40" ht="27.75" customHeight="1">
      <c r="B443" s="253">
        <f t="shared" si="135"/>
        <v>4</v>
      </c>
      <c r="C443" s="244"/>
      <c r="D443" s="1519" t="s">
        <v>5335</v>
      </c>
      <c r="E443" s="708">
        <v>307318993610</v>
      </c>
      <c r="F443" s="1519" t="s">
        <v>5335</v>
      </c>
      <c r="G443" s="391" t="s">
        <v>5414</v>
      </c>
      <c r="H443" s="230" t="s">
        <v>210</v>
      </c>
      <c r="I443" s="230"/>
      <c r="J443" s="230">
        <v>1</v>
      </c>
      <c r="K443" s="230"/>
      <c r="L443" s="228"/>
      <c r="M443" s="257"/>
      <c r="N443" s="228" t="s">
        <v>5386</v>
      </c>
      <c r="O443" s="228" t="s">
        <v>5405</v>
      </c>
      <c r="P443" s="1514" t="s">
        <v>5404</v>
      </c>
      <c r="Q443" s="2382"/>
      <c r="R443" s="2382"/>
      <c r="S443" s="1233" t="s">
        <v>2966</v>
      </c>
      <c r="T443" s="228"/>
      <c r="U443" s="2357"/>
      <c r="V443" s="256"/>
      <c r="W443" s="1559">
        <v>1280000</v>
      </c>
      <c r="X443" s="324">
        <v>882000</v>
      </c>
      <c r="Y443" s="248"/>
      <c r="Z443" s="247"/>
      <c r="AA443" s="248"/>
      <c r="AB443" s="340">
        <f t="shared" si="136"/>
        <v>2162000</v>
      </c>
      <c r="AC443" s="347">
        <f t="shared" ref="AC443:AC449" si="140">+Z443</f>
        <v>0</v>
      </c>
      <c r="AD443" s="249"/>
      <c r="AE443" s="618">
        <f t="shared" si="137"/>
        <v>4409100</v>
      </c>
      <c r="AF443" s="342">
        <f t="shared" si="138"/>
        <v>6571100</v>
      </c>
      <c r="AG443" s="251">
        <f t="shared" si="139"/>
        <v>4082499.9999999995</v>
      </c>
      <c r="AH443" s="241"/>
      <c r="AI443" s="241"/>
      <c r="AJ443" s="241"/>
      <c r="AK443" s="194"/>
      <c r="AL443" s="195"/>
      <c r="AM443" s="195"/>
    </row>
    <row r="444" spans="2:40" ht="39.75" customHeight="1">
      <c r="B444" s="253">
        <f t="shared" si="135"/>
        <v>5</v>
      </c>
      <c r="C444" s="244"/>
      <c r="D444" s="1519" t="s">
        <v>5393</v>
      </c>
      <c r="E444" s="708">
        <v>307325899110</v>
      </c>
      <c r="F444" s="1519" t="s">
        <v>5393</v>
      </c>
      <c r="G444" s="391" t="s">
        <v>5441</v>
      </c>
      <c r="H444" s="230" t="s">
        <v>210</v>
      </c>
      <c r="I444" s="230"/>
      <c r="J444" s="230">
        <v>1</v>
      </c>
      <c r="K444" s="230"/>
      <c r="L444" s="228"/>
      <c r="M444" s="257"/>
      <c r="N444" s="289" t="s">
        <v>5398</v>
      </c>
      <c r="O444" s="228" t="s">
        <v>5436</v>
      </c>
      <c r="P444" s="1226" t="s">
        <v>5406</v>
      </c>
      <c r="Q444" s="2380"/>
      <c r="R444" s="2380"/>
      <c r="S444" s="1233" t="s">
        <v>2966</v>
      </c>
      <c r="T444" s="228"/>
      <c r="U444" s="2357"/>
      <c r="V444" s="256"/>
      <c r="W444" s="1559">
        <v>1500000</v>
      </c>
      <c r="X444" s="324">
        <v>882000</v>
      </c>
      <c r="Y444" s="248"/>
      <c r="Z444" s="247"/>
      <c r="AA444" s="248"/>
      <c r="AB444" s="340">
        <f t="shared" si="136"/>
        <v>2382000</v>
      </c>
      <c r="AC444" s="347">
        <f t="shared" si="140"/>
        <v>0</v>
      </c>
      <c r="AD444" s="249"/>
      <c r="AE444" s="618">
        <f t="shared" si="137"/>
        <v>4409100</v>
      </c>
      <c r="AF444" s="342">
        <f t="shared" si="138"/>
        <v>6791100</v>
      </c>
      <c r="AG444" s="251">
        <f t="shared" si="139"/>
        <v>4082499.9999999995</v>
      </c>
      <c r="AH444" s="241"/>
      <c r="AI444" s="241"/>
      <c r="AJ444" s="241"/>
      <c r="AK444" s="194"/>
      <c r="AL444" s="195"/>
      <c r="AM444" s="195"/>
    </row>
    <row r="445" spans="2:40" ht="31.2">
      <c r="B445" s="253">
        <f t="shared" si="135"/>
        <v>6</v>
      </c>
      <c r="C445" s="244"/>
      <c r="D445" s="1519" t="s">
        <v>5393</v>
      </c>
      <c r="E445" s="2006" t="s">
        <v>5437</v>
      </c>
      <c r="F445" s="1519" t="s">
        <v>5393</v>
      </c>
      <c r="G445" s="1511" t="s">
        <v>5513</v>
      </c>
      <c r="H445" s="230" t="s">
        <v>210</v>
      </c>
      <c r="I445" s="230"/>
      <c r="J445" s="230">
        <v>2</v>
      </c>
      <c r="K445" s="230"/>
      <c r="L445" s="228"/>
      <c r="M445" s="257"/>
      <c r="N445" s="228" t="s">
        <v>5397</v>
      </c>
      <c r="O445" s="254" t="s">
        <v>5438</v>
      </c>
      <c r="P445" s="1226" t="s">
        <v>5406</v>
      </c>
      <c r="Q445" s="2380"/>
      <c r="R445" s="2380"/>
      <c r="S445" s="1233" t="s">
        <v>2966</v>
      </c>
      <c r="T445" s="228"/>
      <c r="U445" s="2357"/>
      <c r="V445" s="256"/>
      <c r="W445" s="1559">
        <f>1500000*2</f>
        <v>3000000</v>
      </c>
      <c r="X445" s="324">
        <v>1764000</v>
      </c>
      <c r="Y445" s="248"/>
      <c r="Z445" s="247"/>
      <c r="AA445" s="248"/>
      <c r="AB445" s="340">
        <f t="shared" si="136"/>
        <v>4764000</v>
      </c>
      <c r="AC445" s="347">
        <f t="shared" si="140"/>
        <v>0</v>
      </c>
      <c r="AD445" s="249"/>
      <c r="AE445" s="618">
        <f t="shared" si="137"/>
        <v>8818200</v>
      </c>
      <c r="AF445" s="342">
        <f t="shared" si="138"/>
        <v>13582200</v>
      </c>
      <c r="AG445" s="251">
        <f t="shared" si="139"/>
        <v>8164999.9999999991</v>
      </c>
      <c r="AH445" s="241"/>
      <c r="AI445" s="241"/>
      <c r="AJ445" s="241"/>
      <c r="AK445" s="194"/>
      <c r="AL445" s="195"/>
      <c r="AM445" s="195"/>
    </row>
    <row r="446" spans="2:40" ht="31.2">
      <c r="B446" s="253">
        <f t="shared" si="135"/>
        <v>7</v>
      </c>
      <c r="C446" s="244"/>
      <c r="D446" s="1519" t="s">
        <v>5431</v>
      </c>
      <c r="E446" s="708">
        <v>307329712450</v>
      </c>
      <c r="F446" s="1519" t="s">
        <v>5431</v>
      </c>
      <c r="G446" s="391" t="s">
        <v>5452</v>
      </c>
      <c r="H446" s="230" t="s">
        <v>210</v>
      </c>
      <c r="I446" s="230"/>
      <c r="J446" s="230">
        <v>1</v>
      </c>
      <c r="K446" s="230"/>
      <c r="L446" s="228"/>
      <c r="M446" s="257"/>
      <c r="N446" s="228" t="s">
        <v>5434</v>
      </c>
      <c r="O446" s="254" t="s">
        <v>5453</v>
      </c>
      <c r="P446" s="1226" t="s">
        <v>5435</v>
      </c>
      <c r="Q446" s="2380"/>
      <c r="R446" s="2380"/>
      <c r="S446" s="254" t="s">
        <v>287</v>
      </c>
      <c r="T446" s="228"/>
      <c r="U446" s="2357"/>
      <c r="V446" s="256"/>
      <c r="W446" s="1559">
        <v>1450000</v>
      </c>
      <c r="X446" s="324">
        <v>882000</v>
      </c>
      <c r="Y446" s="248"/>
      <c r="Z446" s="247"/>
      <c r="AA446" s="248"/>
      <c r="AB446" s="340">
        <f t="shared" si="136"/>
        <v>2332000</v>
      </c>
      <c r="AC446" s="347">
        <f t="shared" si="140"/>
        <v>0</v>
      </c>
      <c r="AD446" s="249"/>
      <c r="AE446" s="618">
        <f t="shared" si="137"/>
        <v>4409100</v>
      </c>
      <c r="AF446" s="342">
        <f t="shared" si="138"/>
        <v>6741100</v>
      </c>
      <c r="AG446" s="251">
        <f t="shared" si="139"/>
        <v>4082499.9999999995</v>
      </c>
      <c r="AH446" s="241"/>
      <c r="AI446" s="241"/>
      <c r="AJ446" s="241"/>
      <c r="AK446" s="194"/>
      <c r="AL446" s="195"/>
      <c r="AM446" s="195"/>
    </row>
    <row r="447" spans="2:40" ht="31.2">
      <c r="B447" s="253">
        <f t="shared" si="135"/>
        <v>8</v>
      </c>
      <c r="C447" s="244"/>
      <c r="D447" s="990" t="s">
        <v>5448</v>
      </c>
      <c r="E447" s="708">
        <v>307333252460</v>
      </c>
      <c r="F447" s="990" t="s">
        <v>5448</v>
      </c>
      <c r="G447" s="391" t="s">
        <v>5466</v>
      </c>
      <c r="H447" s="230" t="s">
        <v>210</v>
      </c>
      <c r="I447" s="230"/>
      <c r="J447" s="230">
        <v>1</v>
      </c>
      <c r="K447" s="230"/>
      <c r="L447" s="228"/>
      <c r="M447" s="257"/>
      <c r="N447" s="289" t="s">
        <v>5455</v>
      </c>
      <c r="O447" s="254" t="s">
        <v>5464</v>
      </c>
      <c r="P447" s="1226" t="s">
        <v>5457</v>
      </c>
      <c r="Q447" s="2380"/>
      <c r="R447" s="2380"/>
      <c r="S447" s="254" t="s">
        <v>287</v>
      </c>
      <c r="T447" s="228"/>
      <c r="U447" s="2357"/>
      <c r="V447" s="256"/>
      <c r="W447" s="1559">
        <v>1500000</v>
      </c>
      <c r="X447" s="324">
        <v>882000</v>
      </c>
      <c r="Y447" s="248"/>
      <c r="Z447" s="247"/>
      <c r="AA447" s="248"/>
      <c r="AB447" s="340">
        <f t="shared" si="136"/>
        <v>2382000</v>
      </c>
      <c r="AC447" s="347">
        <f t="shared" si="140"/>
        <v>0</v>
      </c>
      <c r="AD447" s="249"/>
      <c r="AE447" s="618">
        <f t="shared" si="137"/>
        <v>4409100</v>
      </c>
      <c r="AF447" s="342">
        <f t="shared" si="138"/>
        <v>6791100</v>
      </c>
      <c r="AG447" s="251">
        <f t="shared" si="139"/>
        <v>4082499.9999999995</v>
      </c>
      <c r="AH447" s="241"/>
      <c r="AI447" s="241"/>
      <c r="AJ447" s="241"/>
      <c r="AK447" s="194"/>
      <c r="AL447" s="195"/>
      <c r="AM447" s="195"/>
    </row>
    <row r="448" spans="2:40" ht="31.2">
      <c r="B448" s="253">
        <f t="shared" si="135"/>
        <v>9</v>
      </c>
      <c r="C448" s="244"/>
      <c r="D448" s="1519" t="s">
        <v>5460</v>
      </c>
      <c r="E448" s="708">
        <v>307339633550</v>
      </c>
      <c r="F448" s="1519" t="s">
        <v>5460</v>
      </c>
      <c r="G448" s="391" t="s">
        <v>5482</v>
      </c>
      <c r="H448" s="230" t="s">
        <v>210</v>
      </c>
      <c r="I448" s="230">
        <v>1</v>
      </c>
      <c r="J448" s="230"/>
      <c r="K448" s="230"/>
      <c r="L448" s="228"/>
      <c r="M448" s="257"/>
      <c r="N448" s="228" t="s">
        <v>5454</v>
      </c>
      <c r="O448" s="254" t="s">
        <v>5479</v>
      </c>
      <c r="P448" s="1226" t="s">
        <v>5458</v>
      </c>
      <c r="Q448" s="2380"/>
      <c r="R448" s="2380"/>
      <c r="S448" s="254" t="s">
        <v>287</v>
      </c>
      <c r="T448" s="228"/>
      <c r="U448" s="2357"/>
      <c r="V448" s="256"/>
      <c r="W448" s="1559">
        <v>870000</v>
      </c>
      <c r="X448" s="324">
        <v>497000</v>
      </c>
      <c r="Y448" s="248"/>
      <c r="Z448" s="247"/>
      <c r="AA448" s="248"/>
      <c r="AB448" s="340">
        <f t="shared" si="136"/>
        <v>1367000</v>
      </c>
      <c r="AC448" s="347">
        <f t="shared" si="140"/>
        <v>0</v>
      </c>
      <c r="AD448" s="249"/>
      <c r="AE448" s="618">
        <f t="shared" si="137"/>
        <v>4301100</v>
      </c>
      <c r="AF448" s="342">
        <f t="shared" si="138"/>
        <v>5668100</v>
      </c>
      <c r="AG448" s="251">
        <f t="shared" si="139"/>
        <v>3982499.9999999995</v>
      </c>
      <c r="AH448" s="241"/>
      <c r="AI448" s="241"/>
      <c r="AJ448" s="241"/>
      <c r="AK448" s="194"/>
      <c r="AL448" s="195"/>
      <c r="AM448" s="195"/>
    </row>
    <row r="449" spans="2:40" ht="46.8">
      <c r="B449" s="253">
        <f t="shared" si="135"/>
        <v>10</v>
      </c>
      <c r="C449" s="244"/>
      <c r="D449" s="1519" t="s">
        <v>5468</v>
      </c>
      <c r="E449" s="708">
        <v>307345817720</v>
      </c>
      <c r="F449" s="1519" t="s">
        <v>5468</v>
      </c>
      <c r="G449" s="391" t="s">
        <v>5497</v>
      </c>
      <c r="H449" s="230" t="s">
        <v>210</v>
      </c>
      <c r="I449" s="230">
        <v>1</v>
      </c>
      <c r="J449" s="230"/>
      <c r="K449" s="230"/>
      <c r="L449" s="228"/>
      <c r="M449" s="257"/>
      <c r="N449" s="228" t="s">
        <v>5456</v>
      </c>
      <c r="O449" s="254" t="s">
        <v>5496</v>
      </c>
      <c r="P449" s="1226" t="s">
        <v>5459</v>
      </c>
      <c r="Q449" s="2380"/>
      <c r="R449" s="2380"/>
      <c r="S449" s="1233" t="s">
        <v>2966</v>
      </c>
      <c r="T449" s="228"/>
      <c r="U449" s="2357"/>
      <c r="V449" s="256"/>
      <c r="W449" s="1559">
        <v>870000</v>
      </c>
      <c r="X449" s="324">
        <v>497000</v>
      </c>
      <c r="Y449" s="248"/>
      <c r="Z449" s="247"/>
      <c r="AA449" s="248"/>
      <c r="AB449" s="340">
        <f t="shared" si="136"/>
        <v>1367000</v>
      </c>
      <c r="AC449" s="347">
        <f t="shared" si="140"/>
        <v>0</v>
      </c>
      <c r="AD449" s="249"/>
      <c r="AE449" s="618">
        <f t="shared" si="137"/>
        <v>4301100</v>
      </c>
      <c r="AF449" s="342">
        <f t="shared" si="138"/>
        <v>5668100</v>
      </c>
      <c r="AG449" s="251">
        <f t="shared" si="139"/>
        <v>3982499.9999999995</v>
      </c>
      <c r="AH449" s="241"/>
      <c r="AI449" s="241"/>
      <c r="AJ449" s="241"/>
      <c r="AK449" s="194"/>
      <c r="AL449" s="195"/>
      <c r="AM449" s="195"/>
    </row>
    <row r="450" spans="2:40">
      <c r="B450" s="3405" t="s">
        <v>5503</v>
      </c>
      <c r="C450" s="3312"/>
      <c r="D450" s="3312"/>
      <c r="E450" s="3312"/>
      <c r="F450" s="3312"/>
      <c r="G450" s="3312"/>
      <c r="H450" s="3312"/>
      <c r="I450" s="3312"/>
      <c r="J450" s="3312"/>
      <c r="K450" s="3312"/>
      <c r="L450" s="3312"/>
      <c r="M450" s="346"/>
      <c r="N450" s="346"/>
      <c r="O450" s="346"/>
      <c r="P450" s="346"/>
      <c r="Q450" s="346"/>
      <c r="R450" s="346"/>
      <c r="S450" s="346"/>
      <c r="T450" s="346"/>
      <c r="U450" s="346"/>
      <c r="V450" s="590"/>
      <c r="W450" s="2022"/>
      <c r="X450" s="590"/>
      <c r="Y450" s="357"/>
      <c r="Z450" s="357"/>
      <c r="AA450" s="357"/>
      <c r="AB450" s="590">
        <f>SUM(AB424:AB449)</f>
        <v>378419527</v>
      </c>
      <c r="AC450" s="358"/>
      <c r="AD450" s="358"/>
      <c r="AE450" s="1231">
        <f>SUM(AE424:AE449)</f>
        <v>835433460</v>
      </c>
      <c r="AF450" s="590">
        <f>SUM(AF424:AF449)</f>
        <v>1213852987</v>
      </c>
      <c r="AG450" s="590">
        <f>SUM(AG424:AG449)</f>
        <v>773549500</v>
      </c>
      <c r="AH450" s="241"/>
      <c r="AI450" s="241"/>
      <c r="AJ450" s="241"/>
      <c r="AK450" s="194"/>
      <c r="AL450" s="195"/>
      <c r="AM450" s="195"/>
      <c r="AN450" s="1087"/>
    </row>
    <row r="451" spans="2:40" ht="31.2">
      <c r="B451" s="253">
        <v>1</v>
      </c>
      <c r="C451" s="244"/>
      <c r="D451" s="1519" t="s">
        <v>5574</v>
      </c>
      <c r="E451" s="708">
        <v>307373000820</v>
      </c>
      <c r="F451" s="1519" t="s">
        <v>5574</v>
      </c>
      <c r="G451" s="391" t="s">
        <v>5612</v>
      </c>
      <c r="H451" s="230" t="s">
        <v>210</v>
      </c>
      <c r="I451" s="230"/>
      <c r="J451" s="230">
        <v>1</v>
      </c>
      <c r="K451" s="230"/>
      <c r="L451" s="228"/>
      <c r="M451" s="257"/>
      <c r="N451" s="289" t="s">
        <v>5527</v>
      </c>
      <c r="O451" s="254" t="s">
        <v>5577</v>
      </c>
      <c r="P451" s="1226" t="s">
        <v>5528</v>
      </c>
      <c r="Q451" s="2380" t="s">
        <v>5942</v>
      </c>
      <c r="R451" s="2380"/>
      <c r="S451" s="254" t="s">
        <v>2947</v>
      </c>
      <c r="T451" s="228"/>
      <c r="U451" s="2357"/>
      <c r="V451" s="256"/>
      <c r="W451" s="1559">
        <v>1500000</v>
      </c>
      <c r="X451" s="324">
        <v>702720</v>
      </c>
      <c r="Y451" s="248"/>
      <c r="Z451" s="247"/>
      <c r="AA451" s="248"/>
      <c r="AB451" s="340">
        <f>V451+W451+X451+Y451+Z451+AA451</f>
        <v>2202720</v>
      </c>
      <c r="AC451" s="347">
        <f>+Z451</f>
        <v>0</v>
      </c>
      <c r="AD451" s="387"/>
      <c r="AE451" s="618">
        <f>+(I451*3765300+J451*(3765300+100000))*1.08+((I451+J451+K451)*150000)*1.08</f>
        <v>4336524</v>
      </c>
      <c r="AF451" s="342">
        <f>+AB451+AE451</f>
        <v>6539244</v>
      </c>
      <c r="AG451" s="251">
        <f t="shared" si="139"/>
        <v>4015299.9999999995</v>
      </c>
      <c r="AH451" s="241"/>
      <c r="AI451" s="241"/>
      <c r="AJ451" s="241"/>
      <c r="AK451" s="194"/>
      <c r="AL451" s="195"/>
      <c r="AM451" s="195"/>
    </row>
    <row r="452" spans="2:40" ht="31.2">
      <c r="B452" s="253">
        <v>1</v>
      </c>
      <c r="C452" s="244"/>
      <c r="D452" s="2262" t="s">
        <v>5802</v>
      </c>
      <c r="E452" s="708">
        <v>307433821940</v>
      </c>
      <c r="F452" s="2262" t="s">
        <v>5802</v>
      </c>
      <c r="G452" s="391" t="s">
        <v>5818</v>
      </c>
      <c r="H452" s="230" t="s">
        <v>210</v>
      </c>
      <c r="I452" s="230"/>
      <c r="J452" s="230">
        <v>1</v>
      </c>
      <c r="K452" s="230"/>
      <c r="L452" s="228"/>
      <c r="M452" s="257"/>
      <c r="N452" s="228">
        <v>10769640</v>
      </c>
      <c r="O452" s="228" t="s">
        <v>5814</v>
      </c>
      <c r="P452" s="1226" t="s">
        <v>5792</v>
      </c>
      <c r="Q452" s="2383" t="s">
        <v>5943</v>
      </c>
      <c r="R452" s="2383"/>
      <c r="S452" s="254" t="s">
        <v>2966</v>
      </c>
      <c r="T452" s="228"/>
      <c r="U452" s="2357"/>
      <c r="V452" s="256"/>
      <c r="W452" s="1559">
        <v>1280000</v>
      </c>
      <c r="X452" s="324">
        <v>882000</v>
      </c>
      <c r="Y452" s="248"/>
      <c r="Z452" s="247"/>
      <c r="AA452" s="248"/>
      <c r="AB452" s="340">
        <f>V452+W452+X452+Y452+Z452+AA452</f>
        <v>2162000</v>
      </c>
      <c r="AC452" s="347">
        <f t="shared" ref="AC452:AC476" si="141">+Z452</f>
        <v>0</v>
      </c>
      <c r="AD452" s="249"/>
      <c r="AE452" s="618">
        <f>+(I452*3765300+J452*(3765300+100000))*1.08+((I452+J452+K452)*150000)*1.08</f>
        <v>4336524</v>
      </c>
      <c r="AF452" s="342">
        <f>+AB452+AE452</f>
        <v>6498524</v>
      </c>
      <c r="AG452" s="251">
        <f t="shared" si="139"/>
        <v>4015299.9999999995</v>
      </c>
      <c r="AH452" s="241"/>
      <c r="AI452" s="241"/>
      <c r="AJ452" s="241"/>
      <c r="AK452" s="194"/>
      <c r="AL452" s="195"/>
      <c r="AM452" s="195"/>
    </row>
    <row r="453" spans="2:40">
      <c r="B453" s="3405" t="s">
        <v>5847</v>
      </c>
      <c r="C453" s="3312"/>
      <c r="D453" s="3312"/>
      <c r="E453" s="3312"/>
      <c r="F453" s="3312"/>
      <c r="G453" s="3312"/>
      <c r="H453" s="3312"/>
      <c r="I453" s="3312"/>
      <c r="J453" s="3312"/>
      <c r="K453" s="3312"/>
      <c r="L453" s="3312"/>
      <c r="M453" s="346"/>
      <c r="N453" s="346"/>
      <c r="O453" s="346"/>
      <c r="P453" s="346"/>
      <c r="Q453" s="346"/>
      <c r="R453" s="346"/>
      <c r="S453" s="346"/>
      <c r="T453" s="346"/>
      <c r="U453" s="346"/>
      <c r="V453" s="590"/>
      <c r="W453" s="2022"/>
      <c r="X453" s="590"/>
      <c r="Y453" s="357"/>
      <c r="Z453" s="357"/>
      <c r="AA453" s="357"/>
      <c r="AB453" s="590">
        <f>SUM(AB427:AB452)</f>
        <v>755340174</v>
      </c>
      <c r="AC453" s="358"/>
      <c r="AD453" s="358"/>
      <c r="AE453" s="1231">
        <f>SUM(AE451:AE452)</f>
        <v>8673048</v>
      </c>
      <c r="AF453" s="1231">
        <f>SUM(AF451:AF452)</f>
        <v>13037768</v>
      </c>
      <c r="AG453" s="1231">
        <f>SUM(AG451:AG452)</f>
        <v>8030599.9999999991</v>
      </c>
      <c r="AH453" s="241"/>
      <c r="AI453" s="241"/>
      <c r="AJ453" s="241"/>
      <c r="AK453" s="194"/>
      <c r="AL453" s="195"/>
      <c r="AM453" s="195"/>
      <c r="AN453" s="1087"/>
    </row>
    <row r="454" spans="2:40" ht="31.2">
      <c r="B454" s="253">
        <v>1</v>
      </c>
      <c r="C454" s="244"/>
      <c r="D454" s="654" t="s">
        <v>5864</v>
      </c>
      <c r="E454" s="708">
        <v>307452803620</v>
      </c>
      <c r="F454" s="640" t="s">
        <v>5864</v>
      </c>
      <c r="G454" s="391" t="s">
        <v>5890</v>
      </c>
      <c r="H454" s="230" t="s">
        <v>210</v>
      </c>
      <c r="I454" s="230"/>
      <c r="J454" s="230">
        <v>2</v>
      </c>
      <c r="K454" s="230"/>
      <c r="L454" s="228"/>
      <c r="M454" s="257"/>
      <c r="N454" s="228" t="s">
        <v>5859</v>
      </c>
      <c r="O454" s="254" t="s">
        <v>5889</v>
      </c>
      <c r="P454" s="1226" t="s">
        <v>5861</v>
      </c>
      <c r="Q454" s="2380" t="s">
        <v>5949</v>
      </c>
      <c r="R454" s="254" t="s">
        <v>2966</v>
      </c>
      <c r="S454" s="2357"/>
      <c r="T454" s="228"/>
      <c r="U454" s="2357"/>
      <c r="V454" s="256"/>
      <c r="W454" s="1559">
        <v>3000000</v>
      </c>
      <c r="X454" s="324">
        <v>1764000</v>
      </c>
      <c r="Y454" s="248"/>
      <c r="Z454" s="247"/>
      <c r="AA454" s="248"/>
      <c r="AB454" s="340">
        <f t="shared" ref="AB454:AB476" si="142">V454+W454+X454+Y454+Z454+AA454</f>
        <v>4764000</v>
      </c>
      <c r="AC454" s="347">
        <f t="shared" si="141"/>
        <v>0</v>
      </c>
      <c r="AD454" s="391" t="s">
        <v>6054</v>
      </c>
      <c r="AE454" s="618">
        <f>+(I454*3765300+J454*(3765300+100000))*1.08+((I454+J454+K454)*150000)*1.08</f>
        <v>8673048</v>
      </c>
      <c r="AF454" s="342">
        <f>+AB454+AE454</f>
        <v>13437048</v>
      </c>
      <c r="AG454" s="251">
        <f t="shared" si="139"/>
        <v>8030599.9999999991</v>
      </c>
      <c r="AH454" s="241"/>
      <c r="AI454" s="241"/>
      <c r="AJ454" s="241"/>
      <c r="AK454" s="194"/>
      <c r="AL454" s="195"/>
      <c r="AM454" s="195"/>
    </row>
    <row r="455" spans="2:40" ht="31.2">
      <c r="B455" s="253">
        <f t="shared" ref="B455:B515" si="143">+B454+1</f>
        <v>2</v>
      </c>
      <c r="C455" s="244"/>
      <c r="D455" s="1519" t="s">
        <v>5734</v>
      </c>
      <c r="E455" s="708">
        <v>307457373550</v>
      </c>
      <c r="F455" s="640" t="s">
        <v>5734</v>
      </c>
      <c r="G455" s="391" t="s">
        <v>5892</v>
      </c>
      <c r="H455" s="230" t="s">
        <v>210</v>
      </c>
      <c r="I455" s="230"/>
      <c r="J455" s="230">
        <v>1</v>
      </c>
      <c r="K455" s="230"/>
      <c r="L455" s="228"/>
      <c r="M455" s="257"/>
      <c r="N455" s="228" t="s">
        <v>5860</v>
      </c>
      <c r="O455" s="228" t="s">
        <v>5882</v>
      </c>
      <c r="P455" s="1226" t="s">
        <v>5870</v>
      </c>
      <c r="Q455" s="2380" t="s">
        <v>5956</v>
      </c>
      <c r="R455" s="254" t="s">
        <v>5862</v>
      </c>
      <c r="S455" s="2357"/>
      <c r="T455" s="228"/>
      <c r="U455" s="2357"/>
      <c r="V455" s="256"/>
      <c r="W455" s="1559">
        <v>1280000</v>
      </c>
      <c r="X455" s="1559">
        <v>1140000</v>
      </c>
      <c r="Y455" s="248"/>
      <c r="Z455" s="247"/>
      <c r="AA455" s="248"/>
      <c r="AB455" s="340">
        <f t="shared" si="142"/>
        <v>2420000</v>
      </c>
      <c r="AC455" s="347">
        <f t="shared" si="141"/>
        <v>0</v>
      </c>
      <c r="AD455" s="391" t="s">
        <v>6054</v>
      </c>
      <c r="AE455" s="618">
        <f>+(I455*3765300+J455*(3765300+100000))*1.08+((I455+J455+K455)*150000)*1.08</f>
        <v>4336524</v>
      </c>
      <c r="AF455" s="342">
        <f>+AB455+AE455</f>
        <v>6756524</v>
      </c>
      <c r="AG455" s="251">
        <f>+AE455/1.08</f>
        <v>4015299.9999999995</v>
      </c>
      <c r="AH455" s="241"/>
      <c r="AI455" s="241"/>
      <c r="AJ455" s="241"/>
      <c r="AK455" s="194"/>
      <c r="AL455" s="195"/>
      <c r="AM455" s="195"/>
    </row>
    <row r="456" spans="2:40" ht="31.2">
      <c r="B456" s="253">
        <f t="shared" si="143"/>
        <v>3</v>
      </c>
      <c r="C456" s="244"/>
      <c r="D456" s="2262" t="s">
        <v>6019</v>
      </c>
      <c r="E456" s="708">
        <v>307489744830</v>
      </c>
      <c r="F456" s="640" t="s">
        <v>6019</v>
      </c>
      <c r="G456" s="391" t="s">
        <v>6026</v>
      </c>
      <c r="H456" s="230" t="s">
        <v>210</v>
      </c>
      <c r="I456" s="230"/>
      <c r="J456" s="230">
        <v>2</v>
      </c>
      <c r="K456" s="230"/>
      <c r="L456" s="228"/>
      <c r="M456" s="257"/>
      <c r="N456" s="228" t="s">
        <v>6008</v>
      </c>
      <c r="O456" s="254" t="s">
        <v>6025</v>
      </c>
      <c r="P456" s="1226" t="s">
        <v>6009</v>
      </c>
      <c r="Q456" s="2380" t="s">
        <v>6024</v>
      </c>
      <c r="R456" s="254" t="s">
        <v>4458</v>
      </c>
      <c r="S456" s="2357"/>
      <c r="T456" s="228"/>
      <c r="U456" s="2357"/>
      <c r="V456" s="256"/>
      <c r="W456" s="1559">
        <f>1500000+1280000</f>
        <v>2780000</v>
      </c>
      <c r="X456" s="1559">
        <f>1140000*2</f>
        <v>2280000</v>
      </c>
      <c r="Y456" s="248"/>
      <c r="Z456" s="247"/>
      <c r="AA456" s="248"/>
      <c r="AB456" s="340">
        <f t="shared" si="142"/>
        <v>5060000</v>
      </c>
      <c r="AC456" s="347">
        <f t="shared" si="141"/>
        <v>0</v>
      </c>
      <c r="AD456" s="249"/>
      <c r="AE456" s="618">
        <f>+(I456*3765300+J456*(3765300+100000))*1.08+((I456+J456+K456)*150000)*1.08</f>
        <v>8673048</v>
      </c>
      <c r="AF456" s="342">
        <f>+AB456+AE456</f>
        <v>13733048</v>
      </c>
      <c r="AG456" s="251">
        <f>+AE456/1.08</f>
        <v>8030599.9999999991</v>
      </c>
      <c r="AH456" s="241"/>
      <c r="AI456" s="241"/>
      <c r="AJ456" s="241"/>
      <c r="AK456" s="194"/>
      <c r="AL456" s="195"/>
      <c r="AM456" s="195"/>
    </row>
    <row r="457" spans="2:40" ht="31.2">
      <c r="B457" s="253">
        <f t="shared" si="143"/>
        <v>4</v>
      </c>
      <c r="C457" s="244"/>
      <c r="D457" s="2262" t="s">
        <v>6020</v>
      </c>
      <c r="E457" s="708">
        <v>307491837350</v>
      </c>
      <c r="F457" s="640" t="s">
        <v>6020</v>
      </c>
      <c r="G457" s="391" t="s">
        <v>6036</v>
      </c>
      <c r="H457" s="230" t="s">
        <v>210</v>
      </c>
      <c r="I457" s="230"/>
      <c r="J457" s="230">
        <v>1</v>
      </c>
      <c r="K457" s="230"/>
      <c r="L457" s="228"/>
      <c r="M457" s="257"/>
      <c r="N457" s="228" t="s">
        <v>6001</v>
      </c>
      <c r="O457" s="254" t="s">
        <v>6031</v>
      </c>
      <c r="P457" s="1226" t="s">
        <v>6010</v>
      </c>
      <c r="Q457" s="2382" t="s">
        <v>6030</v>
      </c>
      <c r="R457" s="254" t="s">
        <v>6002</v>
      </c>
      <c r="S457" s="2357"/>
      <c r="T457" s="228"/>
      <c r="U457" s="2357"/>
      <c r="V457" s="256"/>
      <c r="W457" s="1559">
        <v>1500000</v>
      </c>
      <c r="X457" s="1559">
        <v>1140000</v>
      </c>
      <c r="Y457" s="248"/>
      <c r="Z457" s="247"/>
      <c r="AA457" s="248"/>
      <c r="AB457" s="340">
        <f t="shared" si="142"/>
        <v>2640000</v>
      </c>
      <c r="AC457" s="347">
        <f t="shared" si="141"/>
        <v>0</v>
      </c>
      <c r="AD457" s="249"/>
      <c r="AE457" s="618">
        <f>+(I457*3765300+J457*(3765300+100000))*1.08+((I457+J457+K457)*150000)*1.08</f>
        <v>4336524</v>
      </c>
      <c r="AF457" s="342">
        <f>+AB457+AE457</f>
        <v>6976524</v>
      </c>
      <c r="AG457" s="251">
        <f>+AE457/1.08</f>
        <v>4015299.9999999995</v>
      </c>
      <c r="AH457" s="241"/>
      <c r="AI457" s="241"/>
      <c r="AJ457" s="241"/>
      <c r="AK457" s="194"/>
      <c r="AL457" s="195"/>
      <c r="AM457" s="195"/>
    </row>
    <row r="458" spans="2:40" ht="31.2">
      <c r="B458" s="253">
        <f t="shared" si="143"/>
        <v>5</v>
      </c>
      <c r="C458" s="244"/>
      <c r="D458" s="612" t="s">
        <v>5994</v>
      </c>
      <c r="E458" s="708">
        <v>307500478260</v>
      </c>
      <c r="F458" s="612" t="s">
        <v>5994</v>
      </c>
      <c r="G458" s="391" t="s">
        <v>6068</v>
      </c>
      <c r="H458" s="230" t="s">
        <v>210</v>
      </c>
      <c r="I458" s="230"/>
      <c r="J458" s="230">
        <v>2</v>
      </c>
      <c r="K458" s="230"/>
      <c r="L458" s="228"/>
      <c r="M458" s="257"/>
      <c r="N458" s="228" t="s">
        <v>6047</v>
      </c>
      <c r="O458" s="254" t="s">
        <v>6066</v>
      </c>
      <c r="P458" s="1226" t="s">
        <v>6067</v>
      </c>
      <c r="Q458" s="2380" t="s">
        <v>6064</v>
      </c>
      <c r="R458" s="254" t="s">
        <v>2966</v>
      </c>
      <c r="S458" s="2357"/>
      <c r="T458" s="228"/>
      <c r="U458" s="2357"/>
      <c r="V458" s="256"/>
      <c r="W458" s="1559">
        <f>1450000*2</f>
        <v>2900000</v>
      </c>
      <c r="X458" s="324">
        <v>1764000</v>
      </c>
      <c r="Y458" s="248"/>
      <c r="Z458" s="247"/>
      <c r="AA458" s="248"/>
      <c r="AB458" s="340">
        <f t="shared" si="142"/>
        <v>4664000</v>
      </c>
      <c r="AC458" s="347">
        <f t="shared" si="141"/>
        <v>0</v>
      </c>
      <c r="AD458" s="249"/>
      <c r="AE458" s="618">
        <f t="shared" ref="AE458:AE459" si="144">+(I458*3765300+J458*(3765300+100000))*1.08+((I458+J458+K458)*150000)*1.08</f>
        <v>8673048</v>
      </c>
      <c r="AF458" s="342">
        <f t="shared" ref="AF458:AF472" si="145">+AB458+AE458</f>
        <v>13337048</v>
      </c>
      <c r="AG458" s="251">
        <f t="shared" ref="AG458:AG472" si="146">+AE458/1.08</f>
        <v>8030599.9999999991</v>
      </c>
      <c r="AH458" s="241"/>
      <c r="AI458" s="241"/>
      <c r="AJ458" s="241"/>
      <c r="AK458" s="194"/>
      <c r="AL458" s="195"/>
      <c r="AM458" s="195"/>
    </row>
    <row r="459" spans="2:40" ht="31.2">
      <c r="B459" s="253">
        <f t="shared" si="143"/>
        <v>6</v>
      </c>
      <c r="C459" s="244"/>
      <c r="D459" s="2262" t="s">
        <v>6124</v>
      </c>
      <c r="E459" s="708">
        <v>307520383720</v>
      </c>
      <c r="F459" s="640" t="s">
        <v>6124</v>
      </c>
      <c r="G459" s="391" t="s">
        <v>6145</v>
      </c>
      <c r="H459" s="230" t="s">
        <v>210</v>
      </c>
      <c r="I459" s="230"/>
      <c r="J459" s="230">
        <v>1</v>
      </c>
      <c r="K459" s="230"/>
      <c r="L459" s="228"/>
      <c r="M459" s="257"/>
      <c r="N459" s="228" t="s">
        <v>6097</v>
      </c>
      <c r="O459" s="254" t="s">
        <v>6144</v>
      </c>
      <c r="P459" s="2591" t="s">
        <v>6119</v>
      </c>
      <c r="Q459" s="2380" t="s">
        <v>5958</v>
      </c>
      <c r="R459" s="254" t="s">
        <v>6002</v>
      </c>
      <c r="S459" s="2357"/>
      <c r="T459" s="1472"/>
      <c r="U459" s="1472"/>
      <c r="V459" s="256"/>
      <c r="W459" s="1559">
        <v>1500000</v>
      </c>
      <c r="X459" s="1559">
        <v>1140000</v>
      </c>
      <c r="Y459" s="248"/>
      <c r="Z459" s="247"/>
      <c r="AA459" s="248"/>
      <c r="AB459" s="340">
        <f t="shared" si="142"/>
        <v>2640000</v>
      </c>
      <c r="AC459" s="347">
        <f t="shared" si="141"/>
        <v>0</v>
      </c>
      <c r="AD459" s="249"/>
      <c r="AE459" s="618">
        <f t="shared" si="144"/>
        <v>4336524</v>
      </c>
      <c r="AF459" s="342">
        <f t="shared" si="145"/>
        <v>6976524</v>
      </c>
      <c r="AG459" s="251">
        <f t="shared" si="146"/>
        <v>4015299.9999999995</v>
      </c>
      <c r="AH459" s="241"/>
      <c r="AI459" s="241"/>
      <c r="AJ459" s="241"/>
      <c r="AK459" s="194"/>
      <c r="AL459" s="195"/>
      <c r="AM459" s="195"/>
    </row>
    <row r="460" spans="2:40">
      <c r="B460" s="3405" t="s">
        <v>6101</v>
      </c>
      <c r="C460" s="3312"/>
      <c r="D460" s="3312"/>
      <c r="E460" s="3312"/>
      <c r="F460" s="3312"/>
      <c r="G460" s="3312"/>
      <c r="H460" s="3312"/>
      <c r="I460" s="3312"/>
      <c r="J460" s="3312"/>
      <c r="K460" s="3312"/>
      <c r="L460" s="3312"/>
      <c r="M460" s="346"/>
      <c r="N460" s="346"/>
      <c r="O460" s="346"/>
      <c r="P460" s="346"/>
      <c r="Q460" s="346"/>
      <c r="R460" s="346"/>
      <c r="S460" s="346"/>
      <c r="T460" s="346"/>
      <c r="U460" s="346"/>
      <c r="V460" s="590"/>
      <c r="W460" s="2022"/>
      <c r="X460" s="590"/>
      <c r="Y460" s="357"/>
      <c r="Z460" s="357"/>
      <c r="AA460" s="357"/>
      <c r="AB460" s="590">
        <f>SUM(AB434:AB459)</f>
        <v>1411060839</v>
      </c>
      <c r="AC460" s="358"/>
      <c r="AD460" s="358"/>
      <c r="AE460" s="1231">
        <f>SUM(AE458:AE459)</f>
        <v>13009572</v>
      </c>
      <c r="AF460" s="1231">
        <f>SUM(AF458:AF459)</f>
        <v>20313572</v>
      </c>
      <c r="AG460" s="1231">
        <f>SUM(AG458:AG459)</f>
        <v>12045899.999999998</v>
      </c>
      <c r="AH460" s="241"/>
      <c r="AI460" s="241"/>
      <c r="AJ460" s="241"/>
      <c r="AK460" s="194"/>
      <c r="AL460" s="195"/>
      <c r="AM460" s="195"/>
      <c r="AN460" s="1087"/>
    </row>
    <row r="461" spans="2:40" ht="31.2">
      <c r="B461" s="253">
        <v>1</v>
      </c>
      <c r="C461" s="244"/>
      <c r="D461" s="2262" t="s">
        <v>6170</v>
      </c>
      <c r="E461" s="708">
        <v>307531823600</v>
      </c>
      <c r="F461" s="2262" t="s">
        <v>6170</v>
      </c>
      <c r="G461" s="391" t="s">
        <v>6178</v>
      </c>
      <c r="H461" s="230" t="s">
        <v>210</v>
      </c>
      <c r="I461" s="230"/>
      <c r="J461" s="230">
        <v>1</v>
      </c>
      <c r="K461" s="230"/>
      <c r="L461" s="228"/>
      <c r="M461" s="257"/>
      <c r="N461" s="289" t="s">
        <v>6098</v>
      </c>
      <c r="O461" s="254" t="s">
        <v>6171</v>
      </c>
      <c r="P461" s="1226" t="s">
        <v>6099</v>
      </c>
      <c r="Q461" s="2382" t="s">
        <v>5958</v>
      </c>
      <c r="R461" s="254" t="s">
        <v>2966</v>
      </c>
      <c r="S461" s="2357"/>
      <c r="T461" s="228"/>
      <c r="U461" s="2357"/>
      <c r="V461" s="256"/>
      <c r="W461" s="1559">
        <v>1500000</v>
      </c>
      <c r="X461" s="324">
        <v>882000</v>
      </c>
      <c r="Y461" s="248"/>
      <c r="Z461" s="247"/>
      <c r="AA461" s="248"/>
      <c r="AB461" s="340">
        <f t="shared" si="142"/>
        <v>2382000</v>
      </c>
      <c r="AC461" s="347">
        <f t="shared" si="141"/>
        <v>0</v>
      </c>
      <c r="AD461" s="208"/>
      <c r="AE461" s="618">
        <f>+(I461*3899700+J461*(3899700+100000))*1.08+((I461+J461+K461)*150000)*1.08+1500000*1.08</f>
        <v>6101676</v>
      </c>
      <c r="AF461" s="342">
        <f t="shared" si="145"/>
        <v>8483676</v>
      </c>
      <c r="AG461" s="251">
        <f t="shared" si="146"/>
        <v>5649700</v>
      </c>
      <c r="AH461" s="241"/>
      <c r="AI461" s="241"/>
      <c r="AJ461" s="241"/>
      <c r="AK461" s="194"/>
      <c r="AL461" s="195"/>
      <c r="AM461" s="195"/>
    </row>
    <row r="462" spans="2:40" ht="46.8">
      <c r="B462" s="253">
        <f t="shared" si="143"/>
        <v>2</v>
      </c>
      <c r="C462" s="244"/>
      <c r="D462" s="2262" t="s">
        <v>6208</v>
      </c>
      <c r="E462" s="708">
        <v>307552649850</v>
      </c>
      <c r="F462" s="2262" t="s">
        <v>6208</v>
      </c>
      <c r="G462" s="2652" t="s">
        <v>6298</v>
      </c>
      <c r="H462" s="230" t="s">
        <v>210</v>
      </c>
      <c r="I462" s="230"/>
      <c r="J462" s="230">
        <v>1</v>
      </c>
      <c r="K462" s="230"/>
      <c r="L462" s="228"/>
      <c r="M462" s="257"/>
      <c r="N462" s="289" t="s">
        <v>6241</v>
      </c>
      <c r="O462" s="254" t="s">
        <v>6274</v>
      </c>
      <c r="P462" s="1226" t="s">
        <v>6243</v>
      </c>
      <c r="Q462" s="2382" t="s">
        <v>6275</v>
      </c>
      <c r="R462" s="254" t="s">
        <v>6265</v>
      </c>
      <c r="S462" s="2357"/>
      <c r="T462" s="228"/>
      <c r="U462" s="2357"/>
      <c r="V462" s="256"/>
      <c r="W462" s="1559">
        <v>1280000</v>
      </c>
      <c r="X462" s="324">
        <v>1160000</v>
      </c>
      <c r="Y462" s="248"/>
      <c r="Z462" s="247"/>
      <c r="AA462" s="248"/>
      <c r="AB462" s="340">
        <f t="shared" si="142"/>
        <v>2440000</v>
      </c>
      <c r="AC462" s="347">
        <f t="shared" si="141"/>
        <v>0</v>
      </c>
      <c r="AD462" s="249" t="s">
        <v>6514</v>
      </c>
      <c r="AE462" s="618">
        <f>+(I462*3899700+J462*(3899700+100000))*1.08+((I462+J462+K462)*150000)*1.08+500000*1.08</f>
        <v>5021676</v>
      </c>
      <c r="AF462" s="342">
        <f t="shared" si="145"/>
        <v>7461676</v>
      </c>
      <c r="AG462" s="251">
        <f t="shared" si="146"/>
        <v>4649700</v>
      </c>
      <c r="AH462" s="241"/>
      <c r="AI462" s="241"/>
      <c r="AJ462" s="241"/>
      <c r="AK462" s="194"/>
      <c r="AL462" s="195"/>
      <c r="AM462" s="195"/>
    </row>
    <row r="463" spans="2:40" ht="46.8">
      <c r="B463" s="253">
        <f t="shared" si="143"/>
        <v>3</v>
      </c>
      <c r="C463" s="244"/>
      <c r="D463" s="2262" t="s">
        <v>6158</v>
      </c>
      <c r="E463" s="2006" t="s">
        <v>6296</v>
      </c>
      <c r="F463" s="640" t="s">
        <v>6158</v>
      </c>
      <c r="G463" s="391" t="s">
        <v>6299</v>
      </c>
      <c r="H463" s="230" t="s">
        <v>210</v>
      </c>
      <c r="I463" s="230"/>
      <c r="J463" s="230">
        <v>1</v>
      </c>
      <c r="K463" s="230"/>
      <c r="L463" s="228"/>
      <c r="M463" s="257"/>
      <c r="N463" s="228" t="s">
        <v>6242</v>
      </c>
      <c r="O463" s="228" t="s">
        <v>6295</v>
      </c>
      <c r="P463" s="1226" t="s">
        <v>6329</v>
      </c>
      <c r="Q463" s="2382" t="s">
        <v>6297</v>
      </c>
      <c r="R463" s="254" t="s">
        <v>2966</v>
      </c>
      <c r="S463" s="2357"/>
      <c r="T463" s="228"/>
      <c r="U463" s="2357"/>
      <c r="V463" s="256"/>
      <c r="W463" s="1559">
        <v>1500000</v>
      </c>
      <c r="X463" s="324">
        <v>1160000</v>
      </c>
      <c r="Y463" s="248"/>
      <c r="Z463" s="247"/>
      <c r="AA463" s="248"/>
      <c r="AB463" s="340">
        <f t="shared" si="142"/>
        <v>2660000</v>
      </c>
      <c r="AC463" s="347">
        <f t="shared" si="141"/>
        <v>0</v>
      </c>
      <c r="AD463" s="249" t="s">
        <v>6514</v>
      </c>
      <c r="AE463" s="618">
        <f>+(I463*3899700+J463*(3899700+100000))*1.08+((I463+J463+K463)*150000)*1.08+500000*1.08</f>
        <v>5021676</v>
      </c>
      <c r="AF463" s="342">
        <f t="shared" si="145"/>
        <v>7681676</v>
      </c>
      <c r="AG463" s="251">
        <f t="shared" si="146"/>
        <v>4649700</v>
      </c>
      <c r="AH463" s="241"/>
      <c r="AI463" s="241"/>
      <c r="AJ463" s="241"/>
      <c r="AK463" s="194"/>
      <c r="AL463" s="195"/>
      <c r="AM463" s="195"/>
    </row>
    <row r="464" spans="2:40" ht="31.2">
      <c r="B464" s="253">
        <f t="shared" si="143"/>
        <v>4</v>
      </c>
      <c r="C464" s="244"/>
      <c r="D464" s="990" t="s">
        <v>6324</v>
      </c>
      <c r="E464" s="2006">
        <v>307569610740</v>
      </c>
      <c r="F464" s="640" t="s">
        <v>6324</v>
      </c>
      <c r="G464" s="391" t="s">
        <v>6377</v>
      </c>
      <c r="H464" s="230" t="s">
        <v>210</v>
      </c>
      <c r="I464" s="230"/>
      <c r="J464" s="230">
        <v>1</v>
      </c>
      <c r="K464" s="230"/>
      <c r="L464" s="228"/>
      <c r="M464" s="257"/>
      <c r="N464" s="228" t="s">
        <v>6334</v>
      </c>
      <c r="O464" s="228" t="s">
        <v>6360</v>
      </c>
      <c r="P464" s="1226" t="s">
        <v>6335</v>
      </c>
      <c r="Q464" s="2382" t="s">
        <v>6359</v>
      </c>
      <c r="R464" s="254" t="s">
        <v>2966</v>
      </c>
      <c r="S464" s="2357"/>
      <c r="T464" s="228"/>
      <c r="U464" s="2357"/>
      <c r="V464" s="256"/>
      <c r="W464" s="1559">
        <v>1512000</v>
      </c>
      <c r="X464" s="324">
        <v>882000</v>
      </c>
      <c r="Y464" s="248"/>
      <c r="Z464" s="247"/>
      <c r="AA464" s="248"/>
      <c r="AB464" s="340">
        <f t="shared" si="142"/>
        <v>2394000</v>
      </c>
      <c r="AC464" s="347">
        <f t="shared" si="141"/>
        <v>0</v>
      </c>
      <c r="AD464" s="249"/>
      <c r="AE464" s="618">
        <f t="shared" ref="AE464:AE466" si="147">+(I464*3899700+J464*(3899700+100000))*1.08+((I464+J464+K464)*150000)*1.08</f>
        <v>4481676</v>
      </c>
      <c r="AF464" s="342">
        <f t="shared" si="145"/>
        <v>6875676</v>
      </c>
      <c r="AG464" s="251">
        <f t="shared" si="146"/>
        <v>4149699.9999999995</v>
      </c>
      <c r="AH464" s="241"/>
      <c r="AI464" s="241"/>
      <c r="AJ464" s="241"/>
      <c r="AK464" s="194"/>
      <c r="AL464" s="195"/>
      <c r="AM464" s="195"/>
    </row>
    <row r="465" spans="2:40" ht="31.2">
      <c r="B465" s="253">
        <f t="shared" si="143"/>
        <v>5</v>
      </c>
      <c r="C465" s="244"/>
      <c r="D465" s="2262" t="s">
        <v>6342</v>
      </c>
      <c r="E465" s="2006" t="s">
        <v>6366</v>
      </c>
      <c r="F465" s="2262" t="s">
        <v>6342</v>
      </c>
      <c r="G465" s="391" t="s">
        <v>6378</v>
      </c>
      <c r="H465" s="230" t="s">
        <v>210</v>
      </c>
      <c r="I465" s="230"/>
      <c r="J465" s="230">
        <v>1</v>
      </c>
      <c r="K465" s="230"/>
      <c r="L465" s="228"/>
      <c r="M465" s="257"/>
      <c r="N465" s="289" t="s">
        <v>6336</v>
      </c>
      <c r="O465" s="228" t="s">
        <v>6367</v>
      </c>
      <c r="P465" s="1226" t="s">
        <v>6337</v>
      </c>
      <c r="Q465" s="2382" t="s">
        <v>5958</v>
      </c>
      <c r="R465" s="254" t="s">
        <v>6340</v>
      </c>
      <c r="S465" s="2357"/>
      <c r="T465" s="228"/>
      <c r="U465" s="2357"/>
      <c r="V465" s="256"/>
      <c r="W465" s="1559">
        <v>1500000</v>
      </c>
      <c r="X465" s="1559">
        <v>1230000</v>
      </c>
      <c r="Y465" s="248"/>
      <c r="Z465" s="247"/>
      <c r="AA465" s="248"/>
      <c r="AB465" s="340">
        <f t="shared" si="142"/>
        <v>2730000</v>
      </c>
      <c r="AC465" s="347">
        <f t="shared" si="141"/>
        <v>0</v>
      </c>
      <c r="AD465" s="249" t="s">
        <v>6341</v>
      </c>
      <c r="AE465" s="618">
        <f>+(I465*3899700+J465*(3899700+100000))*1.08+((I465+J465+K465)*150000)*1.08+500000*1.08</f>
        <v>5021676</v>
      </c>
      <c r="AF465" s="342">
        <f t="shared" si="145"/>
        <v>7751676</v>
      </c>
      <c r="AG465" s="251">
        <f t="shared" si="146"/>
        <v>4649700</v>
      </c>
      <c r="AH465" s="241"/>
      <c r="AI465" s="241"/>
      <c r="AJ465" s="241"/>
      <c r="AK465" s="194"/>
      <c r="AL465" s="195"/>
      <c r="AM465" s="195"/>
    </row>
    <row r="466" spans="2:40" ht="31.2">
      <c r="B466" s="253">
        <f t="shared" si="143"/>
        <v>6</v>
      </c>
      <c r="C466" s="244"/>
      <c r="D466" s="2262" t="s">
        <v>6441</v>
      </c>
      <c r="E466" s="2006">
        <v>307603494130</v>
      </c>
      <c r="F466" s="2262" t="s">
        <v>6441</v>
      </c>
      <c r="G466" s="391" t="s">
        <v>6482</v>
      </c>
      <c r="H466" s="230" t="s">
        <v>210</v>
      </c>
      <c r="I466" s="230">
        <v>1</v>
      </c>
      <c r="J466" s="230"/>
      <c r="K466" s="230"/>
      <c r="L466" s="228"/>
      <c r="M466" s="257"/>
      <c r="N466" s="228">
        <v>92960357</v>
      </c>
      <c r="O466" s="228" t="s">
        <v>6465</v>
      </c>
      <c r="P466" s="2591" t="s">
        <v>6447</v>
      </c>
      <c r="Q466" s="2382" t="s">
        <v>6468</v>
      </c>
      <c r="R466" s="254" t="s">
        <v>287</v>
      </c>
      <c r="S466" s="2357"/>
      <c r="T466" s="228"/>
      <c r="U466" s="2357"/>
      <c r="V466" s="256"/>
      <c r="W466" s="1559">
        <v>1000000</v>
      </c>
      <c r="X466" s="324">
        <v>497000</v>
      </c>
      <c r="Y466" s="248"/>
      <c r="Z466" s="247"/>
      <c r="AA466" s="248"/>
      <c r="AB466" s="340">
        <f t="shared" si="142"/>
        <v>1497000</v>
      </c>
      <c r="AC466" s="347">
        <f t="shared" si="141"/>
        <v>0</v>
      </c>
      <c r="AD466" s="249"/>
      <c r="AE466" s="618">
        <f t="shared" si="147"/>
        <v>4373676</v>
      </c>
      <c r="AF466" s="342">
        <f t="shared" si="145"/>
        <v>5870676</v>
      </c>
      <c r="AG466" s="251">
        <f t="shared" si="146"/>
        <v>4049699.9999999995</v>
      </c>
      <c r="AH466" s="241"/>
      <c r="AI466" s="241"/>
      <c r="AJ466" s="241"/>
      <c r="AK466" s="194"/>
      <c r="AL466" s="195"/>
      <c r="AM466" s="195"/>
    </row>
    <row r="467" spans="2:40" ht="31.2">
      <c r="B467" s="253">
        <v>7</v>
      </c>
      <c r="C467" s="244"/>
      <c r="D467" s="2262" t="s">
        <v>6484</v>
      </c>
      <c r="E467" s="2006">
        <v>307614742060</v>
      </c>
      <c r="F467" s="2262" t="s">
        <v>6484</v>
      </c>
      <c r="G467" s="391" t="s">
        <v>6494</v>
      </c>
      <c r="H467" s="230" t="s">
        <v>210</v>
      </c>
      <c r="I467" s="230"/>
      <c r="J467" s="230">
        <v>1</v>
      </c>
      <c r="K467" s="230"/>
      <c r="L467" s="228"/>
      <c r="M467" s="257"/>
      <c r="N467" s="228">
        <v>256799173</v>
      </c>
      <c r="O467" s="228" t="s">
        <v>6486</v>
      </c>
      <c r="P467" s="1226" t="s">
        <v>6448</v>
      </c>
      <c r="Q467" s="2382" t="s">
        <v>5942</v>
      </c>
      <c r="R467" s="254" t="s">
        <v>287</v>
      </c>
      <c r="S467" s="2357"/>
      <c r="T467" s="228"/>
      <c r="U467" s="2357"/>
      <c r="V467" s="256"/>
      <c r="W467" s="1559">
        <v>1500000</v>
      </c>
      <c r="X467" s="324">
        <v>882000</v>
      </c>
      <c r="Y467" s="248"/>
      <c r="Z467" s="247"/>
      <c r="AA467" s="248"/>
      <c r="AB467" s="340">
        <f t="shared" si="142"/>
        <v>2382000</v>
      </c>
      <c r="AC467" s="347">
        <f t="shared" si="141"/>
        <v>0</v>
      </c>
      <c r="AD467" s="249" t="s">
        <v>6514</v>
      </c>
      <c r="AE467" s="618">
        <f>+(I467*3899700+J467*(3899700+100000))*1.08+((I467+J467+K467)*150000)*1.08+500000*1.08</f>
        <v>5021676</v>
      </c>
      <c r="AF467" s="342">
        <f t="shared" si="145"/>
        <v>7403676</v>
      </c>
      <c r="AG467" s="251">
        <f t="shared" si="146"/>
        <v>4649700</v>
      </c>
      <c r="AH467" s="241"/>
      <c r="AI467" s="241"/>
      <c r="AJ467" s="241"/>
      <c r="AK467" s="194"/>
      <c r="AL467" s="195"/>
      <c r="AM467" s="195"/>
    </row>
    <row r="468" spans="2:40">
      <c r="B468" s="3405" t="s">
        <v>6483</v>
      </c>
      <c r="C468" s="3312"/>
      <c r="D468" s="3312"/>
      <c r="E468" s="3312"/>
      <c r="F468" s="3312"/>
      <c r="G468" s="3312"/>
      <c r="H468" s="3312"/>
      <c r="I468" s="3312"/>
      <c r="J468" s="3312"/>
      <c r="K468" s="3312"/>
      <c r="L468" s="3312"/>
      <c r="M468" s="346"/>
      <c r="N468" s="346"/>
      <c r="O468" s="346"/>
      <c r="P468" s="346"/>
      <c r="Q468" s="346"/>
      <c r="R468" s="346"/>
      <c r="S468" s="346"/>
      <c r="T468" s="346"/>
      <c r="U468" s="346"/>
      <c r="V468" s="590"/>
      <c r="W468" s="2022"/>
      <c r="X468" s="590"/>
      <c r="Y468" s="357"/>
      <c r="Z468" s="357"/>
      <c r="AA468" s="357"/>
      <c r="AB468" s="590">
        <f>SUM(AB441:AB466)</f>
        <v>2605226260</v>
      </c>
      <c r="AC468" s="358"/>
      <c r="AD468" s="358"/>
      <c r="AE468" s="1231">
        <f>SUM(AE461:AE467)</f>
        <v>35043732</v>
      </c>
      <c r="AF468" s="1231">
        <f>SUM(AF461:AF467)</f>
        <v>51528732</v>
      </c>
      <c r="AG468" s="1231">
        <f>SUM(AG461:AG467)</f>
        <v>32447900</v>
      </c>
      <c r="AH468" s="241"/>
      <c r="AI468" s="241"/>
      <c r="AJ468" s="241"/>
      <c r="AK468" s="194"/>
      <c r="AL468" s="195"/>
      <c r="AM468" s="195"/>
      <c r="AN468" s="1087"/>
    </row>
    <row r="469" spans="2:40" ht="31.2">
      <c r="B469" s="253">
        <v>1</v>
      </c>
      <c r="C469" s="244"/>
      <c r="D469" s="654" t="s">
        <v>6493</v>
      </c>
      <c r="E469" s="2006">
        <v>307619264100</v>
      </c>
      <c r="F469" s="640" t="s">
        <v>6493</v>
      </c>
      <c r="G469" s="391" t="s">
        <v>6550</v>
      </c>
      <c r="H469" s="230" t="s">
        <v>210</v>
      </c>
      <c r="I469" s="230">
        <v>1</v>
      </c>
      <c r="J469" s="230"/>
      <c r="K469" s="230"/>
      <c r="L469" s="228"/>
      <c r="M469" s="257"/>
      <c r="N469" s="289" t="s">
        <v>6496</v>
      </c>
      <c r="O469" s="228" t="s">
        <v>6507</v>
      </c>
      <c r="P469" s="1226" t="s">
        <v>6497</v>
      </c>
      <c r="Q469" s="2382" t="s">
        <v>5942</v>
      </c>
      <c r="R469" s="254" t="s">
        <v>5774</v>
      </c>
      <c r="S469" s="2357"/>
      <c r="T469" s="228"/>
      <c r="U469" s="2357"/>
      <c r="V469" s="256"/>
      <c r="W469" s="1559">
        <v>870000</v>
      </c>
      <c r="X469" s="324">
        <v>416000</v>
      </c>
      <c r="Y469" s="248"/>
      <c r="Z469" s="247"/>
      <c r="AA469" s="248"/>
      <c r="AB469" s="340">
        <f t="shared" si="142"/>
        <v>1286000</v>
      </c>
      <c r="AC469" s="2794"/>
      <c r="AD469" s="249" t="s">
        <v>6506</v>
      </c>
      <c r="AE469" s="618">
        <f>+(I469*3899700+J469*(3899700+100000))*1.08+((I469+J469+K469)*150000)*1.08+(220000*1.08)</f>
        <v>4611276</v>
      </c>
      <c r="AF469" s="342">
        <f t="shared" si="145"/>
        <v>5897276</v>
      </c>
      <c r="AG469" s="251">
        <f t="shared" si="146"/>
        <v>4269700</v>
      </c>
      <c r="AH469" s="241"/>
      <c r="AI469" s="241"/>
      <c r="AJ469" s="241"/>
      <c r="AK469" s="194"/>
      <c r="AL469" s="195"/>
      <c r="AM469" s="195"/>
    </row>
    <row r="470" spans="2:40" ht="31.2">
      <c r="B470" s="253">
        <f t="shared" si="143"/>
        <v>2</v>
      </c>
      <c r="C470" s="244"/>
      <c r="D470" s="654" t="s">
        <v>6565</v>
      </c>
      <c r="E470" s="2006">
        <v>307639178620</v>
      </c>
      <c r="F470" s="1519" t="s">
        <v>6565</v>
      </c>
      <c r="G470" s="391" t="s">
        <v>6581</v>
      </c>
      <c r="H470" s="230" t="s">
        <v>210</v>
      </c>
      <c r="I470" s="230"/>
      <c r="J470" s="230">
        <v>1</v>
      </c>
      <c r="K470" s="230"/>
      <c r="L470" s="228"/>
      <c r="M470" s="257"/>
      <c r="N470" s="228" t="s">
        <v>6541</v>
      </c>
      <c r="O470" s="228" t="s">
        <v>6705</v>
      </c>
      <c r="P470" s="1226" t="s">
        <v>6542</v>
      </c>
      <c r="Q470" s="2382" t="s">
        <v>6056</v>
      </c>
      <c r="R470" s="254" t="s">
        <v>4458</v>
      </c>
      <c r="S470" s="2357"/>
      <c r="T470" s="228"/>
      <c r="U470" s="2357"/>
      <c r="V470" s="256"/>
      <c r="W470" s="1559">
        <v>1280000</v>
      </c>
      <c r="X470" s="1559">
        <v>1140000</v>
      </c>
      <c r="Y470" s="248"/>
      <c r="Z470" s="247"/>
      <c r="AA470" s="248"/>
      <c r="AB470" s="340">
        <f t="shared" si="142"/>
        <v>2420000</v>
      </c>
      <c r="AC470" s="2794"/>
      <c r="AD470" s="249"/>
      <c r="AE470" s="618">
        <f t="shared" ref="AE470:AE472" si="148">+(I470*3899700+J470*(3899700+100000))*1.08+((I470+J470+K470)*150000)*1.08</f>
        <v>4481676</v>
      </c>
      <c r="AF470" s="342">
        <f t="shared" si="145"/>
        <v>6901676</v>
      </c>
      <c r="AG470" s="251">
        <f t="shared" si="146"/>
        <v>4149699.9999999995</v>
      </c>
      <c r="AH470" s="241"/>
      <c r="AI470" s="241"/>
      <c r="AJ470" s="241"/>
      <c r="AK470" s="194"/>
      <c r="AL470" s="195"/>
      <c r="AM470" s="195"/>
    </row>
    <row r="471" spans="2:40" ht="31.2">
      <c r="B471" s="253">
        <f t="shared" si="143"/>
        <v>3</v>
      </c>
      <c r="C471" s="244"/>
      <c r="D471" s="2262" t="s">
        <v>6678</v>
      </c>
      <c r="E471" s="2006">
        <v>307668701230</v>
      </c>
      <c r="F471" s="2262" t="s">
        <v>6678</v>
      </c>
      <c r="G471" s="391" t="s">
        <v>6689</v>
      </c>
      <c r="H471" s="230" t="s">
        <v>210</v>
      </c>
      <c r="I471" s="230"/>
      <c r="J471" s="230">
        <v>1</v>
      </c>
      <c r="K471" s="230"/>
      <c r="L471" s="228"/>
      <c r="M471" s="257"/>
      <c r="N471" s="228">
        <v>10855808</v>
      </c>
      <c r="O471" s="228" t="s">
        <v>6688</v>
      </c>
      <c r="P471" s="1226" t="s">
        <v>6657</v>
      </c>
      <c r="Q471" s="2382" t="s">
        <v>6684</v>
      </c>
      <c r="R471" s="254" t="s">
        <v>287</v>
      </c>
      <c r="S471" s="2357"/>
      <c r="T471" s="228"/>
      <c r="U471" s="2357"/>
      <c r="V471" s="256"/>
      <c r="W471" s="1559">
        <v>1500000</v>
      </c>
      <c r="X471" s="324">
        <v>882000</v>
      </c>
      <c r="Y471" s="248"/>
      <c r="Z471" s="247"/>
      <c r="AA471" s="248"/>
      <c r="AB471" s="340">
        <f t="shared" si="142"/>
        <v>2382000</v>
      </c>
      <c r="AC471" s="2794"/>
      <c r="AD471" s="249"/>
      <c r="AE471" s="618">
        <f t="shared" si="148"/>
        <v>4481676</v>
      </c>
      <c r="AF471" s="342">
        <f t="shared" si="145"/>
        <v>6863676</v>
      </c>
      <c r="AG471" s="251">
        <f t="shared" si="146"/>
        <v>4149699.9999999995</v>
      </c>
      <c r="AH471" s="241"/>
      <c r="AI471" s="241"/>
      <c r="AJ471" s="241"/>
      <c r="AK471" s="194"/>
      <c r="AL471" s="195"/>
      <c r="AM471" s="195"/>
    </row>
    <row r="472" spans="2:40" ht="31.2">
      <c r="B472" s="253">
        <f t="shared" si="143"/>
        <v>4</v>
      </c>
      <c r="C472" s="244"/>
      <c r="D472" s="1519" t="s">
        <v>6663</v>
      </c>
      <c r="E472" s="2006" t="s">
        <v>6785</v>
      </c>
      <c r="F472" s="1519" t="s">
        <v>6663</v>
      </c>
      <c r="G472" s="391" t="s">
        <v>6805</v>
      </c>
      <c r="H472" s="230" t="s">
        <v>210</v>
      </c>
      <c r="I472" s="230"/>
      <c r="J472" s="230">
        <v>1</v>
      </c>
      <c r="K472" s="230"/>
      <c r="L472" s="228"/>
      <c r="M472" s="257"/>
      <c r="N472" s="228">
        <v>22957071</v>
      </c>
      <c r="O472" s="228" t="s">
        <v>6786</v>
      </c>
      <c r="P472" s="1226" t="s">
        <v>6758</v>
      </c>
      <c r="Q472" s="2382" t="s">
        <v>6779</v>
      </c>
      <c r="R472" s="254" t="s">
        <v>2966</v>
      </c>
      <c r="S472" s="2357"/>
      <c r="T472" s="228"/>
      <c r="U472" s="2357"/>
      <c r="V472" s="256"/>
      <c r="W472" s="1559">
        <v>1500000</v>
      </c>
      <c r="X472" s="324">
        <v>882000</v>
      </c>
      <c r="Y472" s="248"/>
      <c r="Z472" s="247"/>
      <c r="AA472" s="248"/>
      <c r="AB472" s="340">
        <f t="shared" si="142"/>
        <v>2382000</v>
      </c>
      <c r="AC472" s="347">
        <f t="shared" si="141"/>
        <v>0</v>
      </c>
      <c r="AD472" s="249"/>
      <c r="AE472" s="618">
        <f t="shared" si="148"/>
        <v>4481676</v>
      </c>
      <c r="AF472" s="342">
        <f t="shared" si="145"/>
        <v>6863676</v>
      </c>
      <c r="AG472" s="251">
        <f t="shared" si="146"/>
        <v>4149699.9999999995</v>
      </c>
      <c r="AH472" s="241"/>
      <c r="AI472" s="241"/>
      <c r="AJ472" s="241"/>
      <c r="AK472" s="194"/>
      <c r="AL472" s="195"/>
      <c r="AM472" s="195"/>
    </row>
    <row r="473" spans="2:40">
      <c r="B473" s="3405" t="s">
        <v>6858</v>
      </c>
      <c r="C473" s="3312"/>
      <c r="D473" s="3312"/>
      <c r="E473" s="3312"/>
      <c r="F473" s="3312"/>
      <c r="G473" s="3312"/>
      <c r="H473" s="3312"/>
      <c r="I473" s="3312"/>
      <c r="J473" s="3312"/>
      <c r="K473" s="3312"/>
      <c r="L473" s="3312"/>
      <c r="M473" s="346"/>
      <c r="N473" s="346"/>
      <c r="O473" s="346"/>
      <c r="P473" s="346"/>
      <c r="Q473" s="346"/>
      <c r="R473" s="346"/>
      <c r="S473" s="346"/>
      <c r="T473" s="346"/>
      <c r="U473" s="346"/>
      <c r="V473" s="590"/>
      <c r="W473" s="2022"/>
      <c r="X473" s="590"/>
      <c r="Y473" s="357"/>
      <c r="Z473" s="357"/>
      <c r="AA473" s="357"/>
      <c r="AB473" s="590">
        <f>SUM(AB446:AB471)</f>
        <v>5206620520</v>
      </c>
      <c r="AC473" s="358"/>
      <c r="AD473" s="358"/>
      <c r="AE473" s="1231">
        <f>SUM(AE469:AE472)</f>
        <v>18056304</v>
      </c>
      <c r="AF473" s="1231">
        <f>SUM(AF466:AF472)</f>
        <v>91329388</v>
      </c>
      <c r="AG473" s="1231">
        <f>SUM(AG466:AG472)</f>
        <v>57866100</v>
      </c>
      <c r="AH473" s="241"/>
      <c r="AI473" s="241"/>
      <c r="AJ473" s="241"/>
      <c r="AK473" s="194"/>
      <c r="AL473" s="195"/>
      <c r="AM473" s="195"/>
      <c r="AN473" s="1087"/>
    </row>
    <row r="474" spans="2:40" ht="31.2">
      <c r="B474" s="253">
        <v>1</v>
      </c>
      <c r="C474" s="244"/>
      <c r="D474" s="990" t="s">
        <v>6825</v>
      </c>
      <c r="E474" s="2006">
        <v>307715400110</v>
      </c>
      <c r="F474" s="990" t="s">
        <v>6825</v>
      </c>
      <c r="G474" s="391" t="s">
        <v>6878</v>
      </c>
      <c r="H474" s="230" t="s">
        <v>210</v>
      </c>
      <c r="I474" s="230"/>
      <c r="J474" s="230">
        <v>1</v>
      </c>
      <c r="K474" s="230"/>
      <c r="L474" s="228"/>
      <c r="M474" s="257"/>
      <c r="N474" s="228" t="s">
        <v>6839</v>
      </c>
      <c r="O474" s="228" t="s">
        <v>6868</v>
      </c>
      <c r="P474" s="1226" t="s">
        <v>6841</v>
      </c>
      <c r="Q474" s="2382" t="s">
        <v>5942</v>
      </c>
      <c r="R474" s="254" t="s">
        <v>2966</v>
      </c>
      <c r="S474" s="254"/>
      <c r="T474" s="228"/>
      <c r="U474" s="2357"/>
      <c r="V474" s="256"/>
      <c r="W474" s="1559">
        <v>1532000</v>
      </c>
      <c r="X474" s="324">
        <v>882000</v>
      </c>
      <c r="Y474" s="248"/>
      <c r="Z474" s="247"/>
      <c r="AA474" s="248"/>
      <c r="AB474" s="340">
        <f t="shared" si="142"/>
        <v>2414000</v>
      </c>
      <c r="AC474" s="347">
        <f t="shared" si="141"/>
        <v>0</v>
      </c>
      <c r="AD474" s="249"/>
      <c r="AE474" s="618">
        <f>+(I474*3832500+J474*(3832500+100000))*1.08+((I474+J474+K474)*150000)*1.08</f>
        <v>4409100</v>
      </c>
      <c r="AF474" s="342">
        <f t="shared" ref="AF474" si="149">+AB474+AE474</f>
        <v>6823100</v>
      </c>
      <c r="AG474" s="251">
        <f t="shared" ref="AG474" si="150">+AE474/1.08</f>
        <v>4082499.9999999995</v>
      </c>
      <c r="AH474" s="241"/>
      <c r="AI474" s="241"/>
      <c r="AJ474" s="241"/>
      <c r="AK474" s="194"/>
      <c r="AL474" s="195"/>
      <c r="AM474" s="2956"/>
    </row>
    <row r="475" spans="2:40" ht="31.2">
      <c r="B475" s="253">
        <f t="shared" si="143"/>
        <v>2</v>
      </c>
      <c r="C475" s="244"/>
      <c r="D475" s="990" t="s">
        <v>6825</v>
      </c>
      <c r="E475" s="2006">
        <v>307715465060</v>
      </c>
      <c r="F475" s="990" t="s">
        <v>6825</v>
      </c>
      <c r="G475" s="391" t="s">
        <v>6879</v>
      </c>
      <c r="H475" s="230" t="s">
        <v>210</v>
      </c>
      <c r="I475" s="230"/>
      <c r="J475" s="230">
        <v>1</v>
      </c>
      <c r="K475" s="230"/>
      <c r="L475" s="228"/>
      <c r="M475" s="257"/>
      <c r="N475" s="228" t="s">
        <v>6840</v>
      </c>
      <c r="O475" s="228" t="s">
        <v>6869</v>
      </c>
      <c r="P475" s="1226" t="s">
        <v>6842</v>
      </c>
      <c r="Q475" s="2382" t="s">
        <v>7176</v>
      </c>
      <c r="R475" s="254" t="s">
        <v>2966</v>
      </c>
      <c r="S475" s="254"/>
      <c r="T475" s="228"/>
      <c r="U475" s="2357"/>
      <c r="V475" s="256"/>
      <c r="W475" s="1559">
        <v>1532000</v>
      </c>
      <c r="X475" s="324">
        <v>882000</v>
      </c>
      <c r="Y475" s="248"/>
      <c r="Z475" s="247"/>
      <c r="AA475" s="248"/>
      <c r="AB475" s="340">
        <f t="shared" si="142"/>
        <v>2414000</v>
      </c>
      <c r="AC475" s="347">
        <f t="shared" si="141"/>
        <v>0</v>
      </c>
      <c r="AD475" s="249"/>
      <c r="AE475" s="618">
        <f t="shared" ref="AE475:AE479" si="151">+(I475*3832500+J475*(3832500+100000))*1.08+((I475+J475+K475)*150000)*1.08</f>
        <v>4409100</v>
      </c>
      <c r="AF475" s="342">
        <f t="shared" ref="AF475:AF477" si="152">+AB475+AE475</f>
        <v>6823100</v>
      </c>
      <c r="AG475" s="251">
        <f t="shared" ref="AG475:AG477" si="153">+AE475/1.08</f>
        <v>4082499.9999999995</v>
      </c>
      <c r="AH475" s="241"/>
      <c r="AI475" s="241"/>
      <c r="AJ475" s="241"/>
      <c r="AK475" s="194"/>
      <c r="AL475" s="195"/>
      <c r="AM475" s="2956"/>
    </row>
    <row r="476" spans="2:40" ht="31.2">
      <c r="B476" s="253">
        <f t="shared" si="143"/>
        <v>3</v>
      </c>
      <c r="C476" s="244"/>
      <c r="D476" s="990" t="s">
        <v>6937</v>
      </c>
      <c r="E476" s="2006">
        <v>307744898550</v>
      </c>
      <c r="F476" s="640" t="s">
        <v>6937</v>
      </c>
      <c r="G476" s="391" t="s">
        <v>6965</v>
      </c>
      <c r="H476" s="230" t="s">
        <v>210</v>
      </c>
      <c r="I476" s="230">
        <v>1</v>
      </c>
      <c r="J476" s="230"/>
      <c r="K476" s="230"/>
      <c r="L476" s="228"/>
      <c r="M476" s="257"/>
      <c r="N476" s="228" t="s">
        <v>6935</v>
      </c>
      <c r="O476" s="228" t="s">
        <v>6956</v>
      </c>
      <c r="P476" s="1226" t="s">
        <v>6936</v>
      </c>
      <c r="Q476" s="2382" t="s">
        <v>5944</v>
      </c>
      <c r="R476" s="254" t="s">
        <v>4181</v>
      </c>
      <c r="S476" s="254"/>
      <c r="T476" s="1472"/>
      <c r="U476" s="1472"/>
      <c r="V476" s="256"/>
      <c r="W476" s="1559">
        <v>870000</v>
      </c>
      <c r="X476" s="324">
        <v>781000</v>
      </c>
      <c r="Y476" s="248"/>
      <c r="Z476" s="247"/>
      <c r="AA476" s="248"/>
      <c r="AB476" s="340">
        <f t="shared" si="142"/>
        <v>1651000</v>
      </c>
      <c r="AC476" s="347">
        <f t="shared" si="141"/>
        <v>0</v>
      </c>
      <c r="AD476" s="249"/>
      <c r="AE476" s="618">
        <f t="shared" si="151"/>
        <v>4301100</v>
      </c>
      <c r="AF476" s="342">
        <f t="shared" si="152"/>
        <v>5952100</v>
      </c>
      <c r="AG476" s="251">
        <f t="shared" si="153"/>
        <v>3982499.9999999995</v>
      </c>
      <c r="AH476" s="241"/>
      <c r="AI476" s="241"/>
      <c r="AJ476" s="241"/>
      <c r="AK476" s="194"/>
      <c r="AL476" s="195"/>
      <c r="AM476" s="2956"/>
    </row>
    <row r="477" spans="2:40" ht="31.2">
      <c r="B477" s="253">
        <f t="shared" si="143"/>
        <v>4</v>
      </c>
      <c r="C477" s="244"/>
      <c r="D477" s="654" t="s">
        <v>6988</v>
      </c>
      <c r="E477" s="2006">
        <v>307764461450</v>
      </c>
      <c r="F477" s="640" t="s">
        <v>6988</v>
      </c>
      <c r="G477" s="391" t="s">
        <v>7048</v>
      </c>
      <c r="H477" s="230" t="s">
        <v>210</v>
      </c>
      <c r="I477" s="230"/>
      <c r="J477" s="230">
        <v>1</v>
      </c>
      <c r="K477" s="230"/>
      <c r="L477" s="228"/>
      <c r="M477" s="257"/>
      <c r="N477" s="228">
        <v>36076343</v>
      </c>
      <c r="O477" s="228" t="s">
        <v>7036</v>
      </c>
      <c r="P477" s="1226" t="s">
        <v>6989</v>
      </c>
      <c r="Q477" s="2382" t="s">
        <v>5942</v>
      </c>
      <c r="R477" s="254" t="s">
        <v>6990</v>
      </c>
      <c r="S477" s="254"/>
      <c r="T477" s="228"/>
      <c r="U477" s="2357"/>
      <c r="V477" s="256"/>
      <c r="W477" s="1559">
        <v>1500000</v>
      </c>
      <c r="X477" s="1559">
        <v>1230000</v>
      </c>
      <c r="Y477" s="248"/>
      <c r="Z477" s="247"/>
      <c r="AA477" s="248"/>
      <c r="AB477" s="340">
        <f t="shared" ref="AB477" si="154">V477+W477+X477+Y477+Z477+AA477</f>
        <v>2730000</v>
      </c>
      <c r="AC477" s="347">
        <f t="shared" ref="AC477" si="155">+Z477</f>
        <v>0</v>
      </c>
      <c r="AD477" s="249" t="s">
        <v>6341</v>
      </c>
      <c r="AE477" s="618">
        <f>+(I477*3832500+J477*(3832500+100000))*1.08+((I477+J477+K477)*150000)*1.08+(500000*1.08)</f>
        <v>4949100</v>
      </c>
      <c r="AF477" s="342">
        <f t="shared" si="152"/>
        <v>7679100</v>
      </c>
      <c r="AG477" s="251">
        <f t="shared" si="153"/>
        <v>4582500</v>
      </c>
      <c r="AH477" s="241"/>
      <c r="AI477" s="241"/>
      <c r="AJ477" s="241"/>
      <c r="AK477" s="194"/>
      <c r="AL477" s="195"/>
      <c r="AM477" s="2957"/>
    </row>
    <row r="478" spans="2:40" ht="31.2">
      <c r="B478" s="253">
        <f t="shared" si="143"/>
        <v>5</v>
      </c>
      <c r="C478" s="244"/>
      <c r="D478" s="2262" t="s">
        <v>7054</v>
      </c>
      <c r="E478" s="2006">
        <v>307786737000</v>
      </c>
      <c r="F478" s="2262" t="s">
        <v>7054</v>
      </c>
      <c r="G478" s="391" t="s">
        <v>7098</v>
      </c>
      <c r="H478" s="230" t="s">
        <v>210</v>
      </c>
      <c r="I478" s="230"/>
      <c r="J478" s="230">
        <v>1</v>
      </c>
      <c r="K478" s="230"/>
      <c r="L478" s="228"/>
      <c r="M478" s="257"/>
      <c r="N478" s="289" t="s">
        <v>7066</v>
      </c>
      <c r="O478" s="228" t="s">
        <v>7089</v>
      </c>
      <c r="P478" s="1226" t="s">
        <v>7087</v>
      </c>
      <c r="Q478" s="2382" t="s">
        <v>5942</v>
      </c>
      <c r="R478" s="254" t="s">
        <v>2966</v>
      </c>
      <c r="S478" s="254"/>
      <c r="T478" s="228"/>
      <c r="U478" s="2357"/>
      <c r="V478" s="256"/>
      <c r="W478" s="1559">
        <v>1450000</v>
      </c>
      <c r="X478" s="324">
        <v>882000</v>
      </c>
      <c r="Y478" s="248"/>
      <c r="Z478" s="247"/>
      <c r="AA478" s="248"/>
      <c r="AB478" s="340">
        <f t="shared" ref="AB478:AB484" si="156">V478+W478+X478+Y478+Z478+AA478</f>
        <v>2332000</v>
      </c>
      <c r="AC478" s="347">
        <f t="shared" ref="AC478:AC484" si="157">+Z478</f>
        <v>0</v>
      </c>
      <c r="AD478" s="249"/>
      <c r="AE478" s="618">
        <f t="shared" si="151"/>
        <v>4409100</v>
      </c>
      <c r="AF478" s="342">
        <f t="shared" ref="AF478:AF479" si="158">+AB478+AE478</f>
        <v>6741100</v>
      </c>
      <c r="AG478" s="251">
        <f t="shared" ref="AG478:AG479" si="159">+AE478/1.08</f>
        <v>4082499.9999999995</v>
      </c>
      <c r="AH478" s="241"/>
      <c r="AI478" s="241"/>
      <c r="AJ478" s="241"/>
      <c r="AK478" s="194"/>
      <c r="AL478" s="195"/>
      <c r="AM478" s="2957"/>
    </row>
    <row r="479" spans="2:40" ht="31.2">
      <c r="B479" s="253">
        <f t="shared" si="143"/>
        <v>6</v>
      </c>
      <c r="C479" s="244"/>
      <c r="D479" s="2262" t="s">
        <v>7108</v>
      </c>
      <c r="E479" s="2006">
        <v>307798283350</v>
      </c>
      <c r="F479" s="2262" t="s">
        <v>7108</v>
      </c>
      <c r="G479" s="391" t="s">
        <v>7125</v>
      </c>
      <c r="H479" s="230" t="s">
        <v>210</v>
      </c>
      <c r="I479" s="230">
        <v>1</v>
      </c>
      <c r="J479" s="230"/>
      <c r="K479" s="230"/>
      <c r="L479" s="228"/>
      <c r="M479" s="257"/>
      <c r="N479" s="228" t="s">
        <v>7067</v>
      </c>
      <c r="O479" s="228" t="s">
        <v>7123</v>
      </c>
      <c r="P479" s="1226" t="s">
        <v>7068</v>
      </c>
      <c r="Q479" s="2382" t="s">
        <v>7124</v>
      </c>
      <c r="R479" s="254" t="s">
        <v>2966</v>
      </c>
      <c r="S479" s="254"/>
      <c r="T479" s="228"/>
      <c r="U479" s="2357"/>
      <c r="V479" s="256"/>
      <c r="W479" s="1559">
        <v>870000</v>
      </c>
      <c r="X479" s="324">
        <v>497000</v>
      </c>
      <c r="Y479" s="248"/>
      <c r="Z479" s="247"/>
      <c r="AA479" s="248"/>
      <c r="AB479" s="340">
        <f t="shared" si="156"/>
        <v>1367000</v>
      </c>
      <c r="AC479" s="347">
        <f t="shared" si="157"/>
        <v>0</v>
      </c>
      <c r="AD479" s="249"/>
      <c r="AE479" s="618">
        <f t="shared" si="151"/>
        <v>4301100</v>
      </c>
      <c r="AF479" s="342">
        <f t="shared" si="158"/>
        <v>5668100</v>
      </c>
      <c r="AG479" s="251">
        <f t="shared" si="159"/>
        <v>3982499.9999999995</v>
      </c>
      <c r="AH479" s="241"/>
      <c r="AI479" s="241"/>
      <c r="AJ479" s="241"/>
      <c r="AK479" s="194"/>
      <c r="AL479" s="195"/>
      <c r="AM479" s="2957"/>
    </row>
    <row r="480" spans="2:40">
      <c r="B480" s="3405" t="s">
        <v>7126</v>
      </c>
      <c r="C480" s="3312"/>
      <c r="D480" s="3312"/>
      <c r="E480" s="3312"/>
      <c r="F480" s="3312"/>
      <c r="G480" s="3312"/>
      <c r="H480" s="3312"/>
      <c r="I480" s="3312"/>
      <c r="J480" s="3312"/>
      <c r="K480" s="3312"/>
      <c r="L480" s="3312"/>
      <c r="M480" s="346"/>
      <c r="N480" s="346"/>
      <c r="O480" s="346"/>
      <c r="P480" s="346"/>
      <c r="Q480" s="346"/>
      <c r="R480" s="346"/>
      <c r="S480" s="346"/>
      <c r="T480" s="346"/>
      <c r="U480" s="346"/>
      <c r="V480" s="590"/>
      <c r="W480" s="2022"/>
      <c r="X480" s="590"/>
      <c r="Y480" s="357"/>
      <c r="Z480" s="357"/>
      <c r="AA480" s="357"/>
      <c r="AB480" s="590">
        <f>SUM(AB453:AB478)</f>
        <v>10036931793</v>
      </c>
      <c r="AC480" s="358"/>
      <c r="AD480" s="358"/>
      <c r="AE480" s="1231">
        <f>SUM(AE476:AE479)</f>
        <v>17960400</v>
      </c>
      <c r="AF480" s="1231">
        <f>SUM(AF473:AF479)</f>
        <v>131015988</v>
      </c>
      <c r="AG480" s="1231">
        <f>SUM(AG473:AG479)</f>
        <v>82661100</v>
      </c>
      <c r="AH480" s="241"/>
      <c r="AI480" s="241"/>
      <c r="AJ480" s="241"/>
      <c r="AK480" s="194"/>
      <c r="AL480" s="195"/>
      <c r="AM480" s="195"/>
      <c r="AN480" s="1087"/>
    </row>
    <row r="481" spans="2:40" ht="31.2">
      <c r="B481" s="253">
        <v>1</v>
      </c>
      <c r="C481" s="244"/>
      <c r="D481" s="1377" t="s">
        <v>7139</v>
      </c>
      <c r="E481" s="2006">
        <v>307810625750</v>
      </c>
      <c r="F481" s="612" t="s">
        <v>7139</v>
      </c>
      <c r="G481" s="391" t="s">
        <v>7190</v>
      </c>
      <c r="H481" s="230" t="s">
        <v>210</v>
      </c>
      <c r="I481" s="230"/>
      <c r="J481" s="230">
        <v>1</v>
      </c>
      <c r="K481" s="230"/>
      <c r="L481" s="228"/>
      <c r="M481" s="257"/>
      <c r="N481" s="228" t="s">
        <v>7138</v>
      </c>
      <c r="O481" s="228" t="s">
        <v>7172</v>
      </c>
      <c r="P481" s="1226" t="s">
        <v>7140</v>
      </c>
      <c r="Q481" s="2382" t="s">
        <v>5972</v>
      </c>
      <c r="R481" s="254" t="s">
        <v>2966</v>
      </c>
      <c r="S481" s="2357"/>
      <c r="T481" s="228"/>
      <c r="U481" s="2357"/>
      <c r="V481" s="256"/>
      <c r="W481" s="2978">
        <v>1280000</v>
      </c>
      <c r="X481" s="1502">
        <v>882000</v>
      </c>
      <c r="Y481" s="248"/>
      <c r="Z481" s="247"/>
      <c r="AA481" s="248"/>
      <c r="AB481" s="340">
        <f t="shared" si="156"/>
        <v>2162000</v>
      </c>
      <c r="AC481" s="347">
        <f t="shared" si="157"/>
        <v>0</v>
      </c>
      <c r="AD481" s="249"/>
      <c r="AE481" s="618">
        <f t="shared" ref="AE481:AE486" si="160">+(I481*3832500+J481*(3832500+100000))*1.08+((I481+J481+K481)*150000)*1.08</f>
        <v>4409100</v>
      </c>
      <c r="AF481" s="342">
        <f t="shared" ref="AF481:AF486" si="161">+AB481+AE481</f>
        <v>6571100</v>
      </c>
      <c r="AG481" s="251">
        <f t="shared" ref="AG481:AG486" si="162">+AE481/1.08</f>
        <v>4082499.9999999995</v>
      </c>
      <c r="AH481" s="241"/>
      <c r="AI481" s="241"/>
      <c r="AJ481" s="241"/>
      <c r="AK481" s="194"/>
      <c r="AL481" s="195"/>
      <c r="AM481" s="242" t="s">
        <v>7023</v>
      </c>
    </row>
    <row r="482" spans="2:40" ht="31.2">
      <c r="B482" s="253">
        <f t="shared" si="143"/>
        <v>2</v>
      </c>
      <c r="C482" s="244"/>
      <c r="D482" s="1377" t="s">
        <v>7224</v>
      </c>
      <c r="E482" s="2006">
        <v>307826136830</v>
      </c>
      <c r="F482" s="1377" t="s">
        <v>7224</v>
      </c>
      <c r="G482" s="391" t="s">
        <v>7254</v>
      </c>
      <c r="H482" s="230" t="s">
        <v>210</v>
      </c>
      <c r="I482" s="230"/>
      <c r="J482" s="230">
        <v>1</v>
      </c>
      <c r="K482" s="230"/>
      <c r="L482" s="228"/>
      <c r="M482" s="257"/>
      <c r="N482" s="228" t="s">
        <v>7228</v>
      </c>
      <c r="O482" s="228" t="s">
        <v>7241</v>
      </c>
      <c r="P482" s="2591" t="s">
        <v>7236</v>
      </c>
      <c r="Q482" s="2382" t="s">
        <v>6709</v>
      </c>
      <c r="R482" s="254" t="s">
        <v>2966</v>
      </c>
      <c r="S482" s="2357"/>
      <c r="T482" s="228"/>
      <c r="U482" s="2357"/>
      <c r="V482" s="256"/>
      <c r="W482" s="2978">
        <v>1500000</v>
      </c>
      <c r="X482" s="1502">
        <v>882000</v>
      </c>
      <c r="Y482" s="248"/>
      <c r="Z482" s="247"/>
      <c r="AA482" s="248"/>
      <c r="AB482" s="340">
        <f t="shared" si="156"/>
        <v>2382000</v>
      </c>
      <c r="AC482" s="347">
        <f t="shared" si="157"/>
        <v>0</v>
      </c>
      <c r="AD482" s="249"/>
      <c r="AE482" s="618">
        <f t="shared" si="160"/>
        <v>4409100</v>
      </c>
      <c r="AF482" s="342">
        <f t="shared" si="161"/>
        <v>6791100</v>
      </c>
      <c r="AG482" s="251">
        <f t="shared" si="162"/>
        <v>4082499.9999999995</v>
      </c>
      <c r="AH482" s="241"/>
      <c r="AI482" s="241"/>
      <c r="AJ482" s="241"/>
      <c r="AK482" s="194"/>
      <c r="AL482" s="195"/>
      <c r="AM482" s="195"/>
    </row>
    <row r="483" spans="2:40" ht="31.2">
      <c r="B483" s="253">
        <f t="shared" si="143"/>
        <v>3</v>
      </c>
      <c r="C483" s="244"/>
      <c r="D483" s="2968" t="s">
        <v>7257</v>
      </c>
      <c r="E483" s="2006">
        <v>307835785300</v>
      </c>
      <c r="F483" s="2968" t="s">
        <v>7257</v>
      </c>
      <c r="G483" s="391" t="s">
        <v>7288</v>
      </c>
      <c r="H483" s="230" t="s">
        <v>210</v>
      </c>
      <c r="I483" s="230">
        <v>1</v>
      </c>
      <c r="J483" s="230"/>
      <c r="K483" s="230"/>
      <c r="L483" s="228"/>
      <c r="M483" s="257"/>
      <c r="N483" s="228" t="s">
        <v>7229</v>
      </c>
      <c r="O483" s="228" t="s">
        <v>7290</v>
      </c>
      <c r="P483" s="2380" t="s">
        <v>7234</v>
      </c>
      <c r="Q483" s="2382" t="s">
        <v>7284</v>
      </c>
      <c r="R483" s="254" t="s">
        <v>2966</v>
      </c>
      <c r="S483" s="2357"/>
      <c r="T483" s="2357"/>
      <c r="U483" s="2357"/>
      <c r="V483" s="2922"/>
      <c r="W483" s="2978">
        <v>900000</v>
      </c>
      <c r="X483" s="1502">
        <v>497000</v>
      </c>
      <c r="Y483" s="1507"/>
      <c r="Z483" s="1508"/>
      <c r="AA483" s="1507"/>
      <c r="AB483" s="340">
        <f t="shared" si="156"/>
        <v>1397000</v>
      </c>
      <c r="AC483" s="347">
        <f t="shared" si="157"/>
        <v>0</v>
      </c>
      <c r="AD483" s="249"/>
      <c r="AE483" s="618">
        <f t="shared" si="160"/>
        <v>4301100</v>
      </c>
      <c r="AF483" s="342">
        <f t="shared" si="161"/>
        <v>5698100</v>
      </c>
      <c r="AG483" s="251">
        <f t="shared" si="162"/>
        <v>3982499.9999999995</v>
      </c>
      <c r="AH483" s="241"/>
      <c r="AI483" s="241"/>
      <c r="AJ483" s="241"/>
      <c r="AK483" s="194"/>
      <c r="AL483" s="195"/>
      <c r="AM483" s="195"/>
    </row>
    <row r="484" spans="2:40" ht="31.2">
      <c r="B484" s="253">
        <f t="shared" si="143"/>
        <v>4</v>
      </c>
      <c r="C484" s="244"/>
      <c r="D484" s="2968" t="s">
        <v>7257</v>
      </c>
      <c r="E484" s="2006">
        <v>307837350130</v>
      </c>
      <c r="F484" s="2968" t="s">
        <v>7257</v>
      </c>
      <c r="G484" s="391" t="s">
        <v>7289</v>
      </c>
      <c r="H484" s="230" t="s">
        <v>210</v>
      </c>
      <c r="I484" s="230">
        <v>1</v>
      </c>
      <c r="J484" s="230"/>
      <c r="K484" s="230"/>
      <c r="L484" s="228"/>
      <c r="M484" s="257"/>
      <c r="N484" s="228" t="s">
        <v>7230</v>
      </c>
      <c r="O484" s="228" t="s">
        <v>7283</v>
      </c>
      <c r="P484" s="1226" t="s">
        <v>7235</v>
      </c>
      <c r="Q484" s="2382" t="s">
        <v>7284</v>
      </c>
      <c r="R484" s="254" t="s">
        <v>2947</v>
      </c>
      <c r="S484" s="2357"/>
      <c r="T484" s="228"/>
      <c r="U484" s="2357"/>
      <c r="V484" s="256"/>
      <c r="W484" s="2978">
        <v>999000</v>
      </c>
      <c r="X484" s="1502">
        <v>401000</v>
      </c>
      <c r="Y484" s="248"/>
      <c r="Z484" s="247"/>
      <c r="AA484" s="248"/>
      <c r="AB484" s="340">
        <f t="shared" si="156"/>
        <v>1400000</v>
      </c>
      <c r="AC484" s="347">
        <f t="shared" si="157"/>
        <v>0</v>
      </c>
      <c r="AD484" s="249" t="s">
        <v>7389</v>
      </c>
      <c r="AE484" s="618">
        <f>+(I484*3832500+J484*(3832500+100000))*1.08+((I484+J484+K484)*150000)*1.08+260000</f>
        <v>4561100</v>
      </c>
      <c r="AF484" s="342">
        <f t="shared" si="161"/>
        <v>5961100</v>
      </c>
      <c r="AG484" s="251">
        <f t="shared" si="162"/>
        <v>4223240.7407407407</v>
      </c>
      <c r="AH484" s="241"/>
      <c r="AI484" s="241"/>
      <c r="AJ484" s="241"/>
      <c r="AK484" s="194"/>
      <c r="AL484" s="195"/>
      <c r="AM484" s="195"/>
    </row>
    <row r="485" spans="2:40" ht="31.2">
      <c r="B485" s="253">
        <f t="shared" si="143"/>
        <v>5</v>
      </c>
      <c r="C485" s="244"/>
      <c r="D485" s="2965" t="s">
        <v>7263</v>
      </c>
      <c r="E485" s="2006">
        <v>307857557730</v>
      </c>
      <c r="F485" s="2990" t="s">
        <v>7263</v>
      </c>
      <c r="G485" s="2991" t="s">
        <v>7353</v>
      </c>
      <c r="H485" s="230" t="s">
        <v>210</v>
      </c>
      <c r="I485" s="230">
        <v>1</v>
      </c>
      <c r="J485" s="230"/>
      <c r="K485" s="230"/>
      <c r="L485" s="228"/>
      <c r="M485" s="257"/>
      <c r="N485" s="228" t="s">
        <v>7318</v>
      </c>
      <c r="O485" s="228" t="s">
        <v>7348</v>
      </c>
      <c r="P485" s="1226" t="s">
        <v>7319</v>
      </c>
      <c r="Q485" s="2382" t="s">
        <v>7343</v>
      </c>
      <c r="R485" s="254" t="s">
        <v>2966</v>
      </c>
      <c r="S485" s="2357"/>
      <c r="T485" s="228"/>
      <c r="U485" s="2357"/>
      <c r="V485" s="256"/>
      <c r="W485" s="2978">
        <v>850000</v>
      </c>
      <c r="X485" s="1502">
        <v>497000</v>
      </c>
      <c r="Y485" s="248"/>
      <c r="Z485" s="247"/>
      <c r="AA485" s="248"/>
      <c r="AB485" s="340">
        <f t="shared" ref="AB485" si="163">V485+W485+X485+Y485+Z485+AA485</f>
        <v>1347000</v>
      </c>
      <c r="AC485" s="347">
        <f t="shared" ref="AC485" si="164">+Z485</f>
        <v>0</v>
      </c>
      <c r="AD485" s="249"/>
      <c r="AE485" s="618">
        <f t="shared" si="160"/>
        <v>4301100</v>
      </c>
      <c r="AF485" s="342">
        <f t="shared" si="161"/>
        <v>5648100</v>
      </c>
      <c r="AG485" s="251">
        <f t="shared" si="162"/>
        <v>3982499.9999999995</v>
      </c>
      <c r="AH485" s="241"/>
      <c r="AI485" s="241"/>
      <c r="AJ485" s="241"/>
      <c r="AK485" s="194"/>
      <c r="AL485" s="195"/>
      <c r="AM485" s="195"/>
    </row>
    <row r="486" spans="2:40" ht="31.2">
      <c r="B486" s="253">
        <f t="shared" si="143"/>
        <v>6</v>
      </c>
      <c r="C486" s="244"/>
      <c r="D486" s="2965" t="s">
        <v>7456</v>
      </c>
      <c r="E486" s="2006">
        <v>307889331320</v>
      </c>
      <c r="F486" s="640" t="s">
        <v>7456</v>
      </c>
      <c r="G486" s="391" t="s">
        <v>7484</v>
      </c>
      <c r="H486" s="230" t="s">
        <v>210</v>
      </c>
      <c r="I486" s="230">
        <v>1</v>
      </c>
      <c r="J486" s="230"/>
      <c r="K486" s="230"/>
      <c r="L486" s="228"/>
      <c r="M486" s="257"/>
      <c r="N486" s="228">
        <v>10733362</v>
      </c>
      <c r="O486" s="228" t="s">
        <v>7476</v>
      </c>
      <c r="P486" s="1226" t="s">
        <v>7455</v>
      </c>
      <c r="Q486" s="2382" t="s">
        <v>6056</v>
      </c>
      <c r="R486" s="254" t="s">
        <v>287</v>
      </c>
      <c r="S486" s="2357"/>
      <c r="T486" s="228"/>
      <c r="U486" s="2357"/>
      <c r="V486" s="256"/>
      <c r="W486" s="2978">
        <v>1000000</v>
      </c>
      <c r="X486" s="2978">
        <v>497000</v>
      </c>
      <c r="Y486" s="248"/>
      <c r="Z486" s="247"/>
      <c r="AA486" s="248"/>
      <c r="AB486" s="340">
        <f t="shared" ref="AB486:AB494" si="165">V486+W486+X486+Y486+Z486+AA486</f>
        <v>1497000</v>
      </c>
      <c r="AC486" s="347">
        <f t="shared" ref="AC486:AC494" si="166">+Z486</f>
        <v>0</v>
      </c>
      <c r="AD486" s="249"/>
      <c r="AE486" s="618">
        <f t="shared" si="160"/>
        <v>4301100</v>
      </c>
      <c r="AF486" s="342">
        <f t="shared" si="161"/>
        <v>5798100</v>
      </c>
      <c r="AG486" s="251">
        <f t="shared" si="162"/>
        <v>3982499.9999999995</v>
      </c>
      <c r="AH486" s="241"/>
      <c r="AI486" s="241"/>
      <c r="AJ486" s="241"/>
      <c r="AK486" s="194"/>
      <c r="AL486" s="195"/>
      <c r="AM486" s="195"/>
    </row>
    <row r="487" spans="2:40" ht="31.2">
      <c r="B487" s="253">
        <f t="shared" si="143"/>
        <v>7</v>
      </c>
      <c r="C487" s="244"/>
      <c r="D487" s="2965" t="s">
        <v>7504</v>
      </c>
      <c r="E487" s="2006">
        <v>307897829320</v>
      </c>
      <c r="F487" s="612" t="s">
        <v>7504</v>
      </c>
      <c r="G487" s="391" t="s">
        <v>7529</v>
      </c>
      <c r="H487" s="230" t="s">
        <v>210</v>
      </c>
      <c r="I487" s="230"/>
      <c r="J487" s="230">
        <v>2</v>
      </c>
      <c r="K487" s="230"/>
      <c r="L487" s="228"/>
      <c r="M487" s="257"/>
      <c r="N487" s="228" t="s">
        <v>7488</v>
      </c>
      <c r="O487" s="254" t="s">
        <v>7527</v>
      </c>
      <c r="P487" s="1226" t="s">
        <v>7490</v>
      </c>
      <c r="Q487" s="2380" t="s">
        <v>7511</v>
      </c>
      <c r="R487" s="254" t="s">
        <v>2966</v>
      </c>
      <c r="S487" s="2357"/>
      <c r="T487" s="228"/>
      <c r="U487" s="2357"/>
      <c r="V487" s="256"/>
      <c r="W487" s="2978">
        <f>1450000*2</f>
        <v>2900000</v>
      </c>
      <c r="X487" s="2978">
        <v>1764000</v>
      </c>
      <c r="Y487" s="248"/>
      <c r="Z487" s="247"/>
      <c r="AA487" s="248"/>
      <c r="AB487" s="340">
        <f t="shared" si="165"/>
        <v>4664000</v>
      </c>
      <c r="AC487" s="347">
        <f t="shared" si="166"/>
        <v>0</v>
      </c>
      <c r="AD487" s="249"/>
      <c r="AE487" s="618">
        <f>+(I487*3832500+J487*(3832500+100000))*1.08+((I487+J487+K487)*150000)*1.08</f>
        <v>8818200</v>
      </c>
      <c r="AF487" s="342">
        <f t="shared" ref="AF487:AF490" si="167">+AB487+AE487</f>
        <v>13482200</v>
      </c>
      <c r="AG487" s="251">
        <f t="shared" ref="AG487:AG490" si="168">+AE487/1.08</f>
        <v>8164999.9999999991</v>
      </c>
      <c r="AH487" s="241"/>
      <c r="AI487" s="241"/>
      <c r="AJ487" s="241"/>
      <c r="AK487" s="194"/>
      <c r="AL487" s="195"/>
      <c r="AM487" s="195"/>
    </row>
    <row r="488" spans="2:40" ht="31.2">
      <c r="B488" s="253">
        <f t="shared" si="143"/>
        <v>8</v>
      </c>
      <c r="C488" s="244"/>
      <c r="D488" s="2965" t="s">
        <v>7504</v>
      </c>
      <c r="E488" s="2006">
        <v>307900756940</v>
      </c>
      <c r="F488" s="612" t="s">
        <v>7504</v>
      </c>
      <c r="G488" s="391" t="s">
        <v>7541</v>
      </c>
      <c r="H488" s="230" t="s">
        <v>210</v>
      </c>
      <c r="I488" s="230">
        <v>1</v>
      </c>
      <c r="J488" s="230"/>
      <c r="K488" s="230"/>
      <c r="L488" s="228"/>
      <c r="M488" s="257"/>
      <c r="N488" s="228" t="s">
        <v>7489</v>
      </c>
      <c r="O488" s="254" t="s">
        <v>7539</v>
      </c>
      <c r="P488" s="1226" t="s">
        <v>7540</v>
      </c>
      <c r="Q488" s="2382" t="s">
        <v>7176</v>
      </c>
      <c r="R488" s="254" t="s">
        <v>4458</v>
      </c>
      <c r="S488" s="2357"/>
      <c r="T488" s="228"/>
      <c r="U488" s="2357"/>
      <c r="V488" s="256"/>
      <c r="W488" s="2978">
        <v>870000</v>
      </c>
      <c r="X488" s="2978">
        <v>770000</v>
      </c>
      <c r="Y488" s="248"/>
      <c r="Z488" s="247"/>
      <c r="AA488" s="248"/>
      <c r="AB488" s="340">
        <f t="shared" si="165"/>
        <v>1640000</v>
      </c>
      <c r="AC488" s="347">
        <f t="shared" si="166"/>
        <v>0</v>
      </c>
      <c r="AD488" s="249"/>
      <c r="AE488" s="618">
        <f t="shared" ref="AE488" si="169">+(I488*3832500+J488*(3832500+100000))*1.08+((I488+J488+K488)*150000)*1.08</f>
        <v>4301100</v>
      </c>
      <c r="AF488" s="342">
        <f t="shared" si="167"/>
        <v>5941100</v>
      </c>
      <c r="AG488" s="251">
        <f t="shared" si="168"/>
        <v>3982499.9999999995</v>
      </c>
      <c r="AH488" s="241"/>
      <c r="AI488" s="241"/>
      <c r="AJ488" s="241"/>
      <c r="AK488" s="194"/>
      <c r="AL488" s="195"/>
      <c r="AM488" s="195"/>
    </row>
    <row r="489" spans="2:40">
      <c r="B489" s="3405" t="s">
        <v>7528</v>
      </c>
      <c r="C489" s="3312"/>
      <c r="D489" s="3312"/>
      <c r="E489" s="3312"/>
      <c r="F489" s="3312"/>
      <c r="G489" s="3312"/>
      <c r="H489" s="3312"/>
      <c r="I489" s="3312"/>
      <c r="J489" s="3312"/>
      <c r="K489" s="3312"/>
      <c r="L489" s="3312"/>
      <c r="M489" s="346"/>
      <c r="N489" s="346"/>
      <c r="O489" s="346"/>
      <c r="P489" s="346"/>
      <c r="Q489" s="346"/>
      <c r="R489" s="346"/>
      <c r="S489" s="346"/>
      <c r="T489" s="346"/>
      <c r="U489" s="346"/>
      <c r="V489" s="590"/>
      <c r="W489" s="2022"/>
      <c r="X489" s="2022"/>
      <c r="Y489" s="357"/>
      <c r="Z489" s="357"/>
      <c r="AA489" s="357"/>
      <c r="AB489" s="590">
        <f>SUM(AB462:AB487)</f>
        <v>17899108573</v>
      </c>
      <c r="AC489" s="358"/>
      <c r="AD489" s="358"/>
      <c r="AE489" s="1231">
        <f>SUM(AE485:AE488)</f>
        <v>21721500</v>
      </c>
      <c r="AF489" s="1231">
        <f>SUM(AF482:AF488)</f>
        <v>49319800</v>
      </c>
      <c r="AG489" s="1231">
        <f>SUM(AG482:AG488)</f>
        <v>32400740.740740739</v>
      </c>
      <c r="AH489" s="241"/>
      <c r="AI489" s="241"/>
      <c r="AJ489" s="241"/>
      <c r="AK489" s="194"/>
      <c r="AL489" s="195"/>
      <c r="AM489" s="195"/>
      <c r="AN489" s="1087"/>
    </row>
    <row r="490" spans="2:40" ht="31.2">
      <c r="B490" s="253">
        <v>1</v>
      </c>
      <c r="C490" s="244"/>
      <c r="D490" s="2965" t="s">
        <v>7449</v>
      </c>
      <c r="E490" s="2006">
        <v>307921496210</v>
      </c>
      <c r="F490" s="640" t="s">
        <v>7449</v>
      </c>
      <c r="G490" s="391" t="s">
        <v>7658</v>
      </c>
      <c r="H490" s="230" t="s">
        <v>210</v>
      </c>
      <c r="I490" s="230"/>
      <c r="J490" s="230">
        <v>2</v>
      </c>
      <c r="K490" s="230"/>
      <c r="L490" s="228"/>
      <c r="M490" s="257"/>
      <c r="N490" s="228" t="s">
        <v>7622</v>
      </c>
      <c r="O490" s="254" t="s">
        <v>7649</v>
      </c>
      <c r="P490" s="1226" t="s">
        <v>7623</v>
      </c>
      <c r="Q490" s="2380" t="s">
        <v>7650</v>
      </c>
      <c r="R490" s="254" t="s">
        <v>4181</v>
      </c>
      <c r="S490" s="2357"/>
      <c r="T490" s="228"/>
      <c r="U490" s="2357"/>
      <c r="V490" s="256"/>
      <c r="W490" s="2978">
        <f>1280000*2</f>
        <v>2560000</v>
      </c>
      <c r="X490" s="2978">
        <v>2552000</v>
      </c>
      <c r="Y490" s="248"/>
      <c r="Z490" s="247"/>
      <c r="AA490" s="248"/>
      <c r="AB490" s="340">
        <f t="shared" si="165"/>
        <v>5112000</v>
      </c>
      <c r="AC490" s="347">
        <f t="shared" si="166"/>
        <v>0</v>
      </c>
      <c r="AD490" s="249"/>
      <c r="AE490" s="618">
        <f>+(I490*3899700+J490*(3899700+100000))*1.08+((I490+J490+K490)*150000)*1.08</f>
        <v>8963352</v>
      </c>
      <c r="AF490" s="342">
        <f t="shared" si="167"/>
        <v>14075352</v>
      </c>
      <c r="AG490" s="251">
        <f t="shared" si="168"/>
        <v>8299399.9999999991</v>
      </c>
      <c r="AH490" s="241"/>
      <c r="AI490" s="241"/>
      <c r="AJ490" s="241"/>
      <c r="AK490" s="194"/>
      <c r="AL490" s="195"/>
      <c r="AM490" s="195"/>
    </row>
    <row r="491" spans="2:40" ht="31.2">
      <c r="B491" s="253">
        <f t="shared" si="143"/>
        <v>2</v>
      </c>
      <c r="C491" s="244"/>
      <c r="D491" s="2968" t="s">
        <v>7758</v>
      </c>
      <c r="E491" s="2006">
        <v>307952384850</v>
      </c>
      <c r="F491" s="612">
        <v>46002</v>
      </c>
      <c r="G491" s="391" t="s">
        <v>7889</v>
      </c>
      <c r="H491" s="230" t="s">
        <v>210</v>
      </c>
      <c r="I491" s="230">
        <v>1</v>
      </c>
      <c r="J491" s="230"/>
      <c r="K491" s="230"/>
      <c r="L491" s="228"/>
      <c r="M491" s="257"/>
      <c r="N491" s="228" t="s">
        <v>7754</v>
      </c>
      <c r="O491" s="254" t="s">
        <v>7782</v>
      </c>
      <c r="P491" s="1226" t="s">
        <v>7755</v>
      </c>
      <c r="Q491" s="2382" t="s">
        <v>7343</v>
      </c>
      <c r="R491" s="254" t="s">
        <v>2966</v>
      </c>
      <c r="S491" s="2357"/>
      <c r="T491" s="228"/>
      <c r="U491" s="2357"/>
      <c r="V491" s="256"/>
      <c r="W491" s="2978">
        <v>900000</v>
      </c>
      <c r="X491" s="2978">
        <v>497000</v>
      </c>
      <c r="Y491" s="248"/>
      <c r="Z491" s="247"/>
      <c r="AA491" s="248"/>
      <c r="AB491" s="340">
        <f t="shared" si="165"/>
        <v>1397000</v>
      </c>
      <c r="AC491" s="347">
        <f t="shared" si="166"/>
        <v>0</v>
      </c>
      <c r="AD491" s="249"/>
      <c r="AE491" s="618">
        <f t="shared" ref="AE491" si="170">+(I491*3899700+J491*(3899700+100000))*1.08+((I491+J491+K491)*150000)*1.08</f>
        <v>4373676</v>
      </c>
      <c r="AF491" s="342">
        <f t="shared" ref="AF491:AF494" si="171">+AB491+AE491</f>
        <v>5770676</v>
      </c>
      <c r="AG491" s="251">
        <f t="shared" ref="AG491:AG496" si="172">+AE491/1.08</f>
        <v>4049699.9999999995</v>
      </c>
      <c r="AH491" s="241"/>
      <c r="AI491" s="241"/>
      <c r="AJ491" s="241"/>
      <c r="AK491" s="194"/>
      <c r="AL491" s="195"/>
      <c r="AM491" s="195"/>
    </row>
    <row r="492" spans="2:40" ht="31.2">
      <c r="B492" s="253">
        <f t="shared" si="143"/>
        <v>3</v>
      </c>
      <c r="C492" s="244"/>
      <c r="D492" s="2968" t="s">
        <v>7813</v>
      </c>
      <c r="E492" s="2006">
        <v>307966019560</v>
      </c>
      <c r="F492" s="2968" t="s">
        <v>7813</v>
      </c>
      <c r="G492" s="391" t="s">
        <v>7890</v>
      </c>
      <c r="H492" s="230" t="s">
        <v>210</v>
      </c>
      <c r="I492" s="230"/>
      <c r="J492" s="230">
        <v>1</v>
      </c>
      <c r="K492" s="230"/>
      <c r="L492" s="228"/>
      <c r="M492" s="257"/>
      <c r="N492" s="228">
        <v>5044537</v>
      </c>
      <c r="O492" s="254" t="s">
        <v>7831</v>
      </c>
      <c r="P492" s="1226" t="s">
        <v>7795</v>
      </c>
      <c r="Q492" s="2382" t="s">
        <v>6255</v>
      </c>
      <c r="R492" s="254" t="s">
        <v>7794</v>
      </c>
      <c r="S492" s="2357"/>
      <c r="T492" s="228"/>
      <c r="U492" s="2357"/>
      <c r="V492" s="256"/>
      <c r="W492" s="2978">
        <v>500000</v>
      </c>
      <c r="X492" s="248"/>
      <c r="Y492" s="248"/>
      <c r="Z492" s="247"/>
      <c r="AA492" s="248"/>
      <c r="AB492" s="340">
        <f t="shared" si="165"/>
        <v>500000</v>
      </c>
      <c r="AC492" s="347">
        <f t="shared" si="166"/>
        <v>0</v>
      </c>
      <c r="AD492" s="249"/>
      <c r="AE492" s="618">
        <f>+(I492*3899700+J492*(3899700+100000))*1.08+((I492+J492+K492)*150000)*1.08+(1500000*1.08)</f>
        <v>6101676</v>
      </c>
      <c r="AF492" s="342">
        <f t="shared" si="171"/>
        <v>6601676</v>
      </c>
      <c r="AG492" s="251">
        <f t="shared" si="172"/>
        <v>5649700</v>
      </c>
      <c r="AH492" s="241"/>
      <c r="AI492" s="241"/>
      <c r="AJ492" s="241"/>
      <c r="AK492" s="194"/>
      <c r="AL492" s="195"/>
      <c r="AM492" s="195"/>
    </row>
    <row r="493" spans="2:40">
      <c r="B493" s="3405" t="s">
        <v>7960</v>
      </c>
      <c r="C493" s="3312"/>
      <c r="D493" s="3312"/>
      <c r="E493" s="3312"/>
      <c r="F493" s="3312"/>
      <c r="G493" s="3312"/>
      <c r="H493" s="3312"/>
      <c r="I493" s="3312"/>
      <c r="J493" s="3312"/>
      <c r="K493" s="3312"/>
      <c r="L493" s="3312"/>
      <c r="M493" s="346"/>
      <c r="N493" s="346"/>
      <c r="O493" s="346"/>
      <c r="P493" s="346"/>
      <c r="Q493" s="346"/>
      <c r="R493" s="346"/>
      <c r="S493" s="346"/>
      <c r="T493" s="346"/>
      <c r="U493" s="346"/>
      <c r="V493" s="590"/>
      <c r="W493" s="2022"/>
      <c r="X493" s="2022"/>
      <c r="Y493" s="357"/>
      <c r="Z493" s="357"/>
      <c r="AA493" s="357"/>
      <c r="AB493" s="590">
        <f>SUM(AB466:AB491)</f>
        <v>35796142146</v>
      </c>
      <c r="AC493" s="358"/>
      <c r="AD493" s="358"/>
      <c r="AE493" s="1231">
        <f>SUM(AE489:AE492)</f>
        <v>41160204</v>
      </c>
      <c r="AF493" s="1231">
        <f>SUM(AF486:AF492)</f>
        <v>100988904</v>
      </c>
      <c r="AG493" s="1231">
        <f>SUM(AG486:AG492)</f>
        <v>66529540.740740739</v>
      </c>
      <c r="AH493" s="241"/>
      <c r="AI493" s="241"/>
      <c r="AJ493" s="241"/>
      <c r="AK493" s="194"/>
      <c r="AL493" s="195"/>
      <c r="AM493" s="195"/>
      <c r="AN493" s="1087"/>
    </row>
    <row r="494" spans="2:40" ht="31.2">
      <c r="B494" s="253">
        <v>1</v>
      </c>
      <c r="C494" s="244"/>
      <c r="D494" s="2968" t="s">
        <v>7955</v>
      </c>
      <c r="E494" s="2006">
        <v>308005650100</v>
      </c>
      <c r="F494" s="2968" t="s">
        <v>7955</v>
      </c>
      <c r="G494" s="391" t="s">
        <v>8075</v>
      </c>
      <c r="H494" s="230" t="s">
        <v>210</v>
      </c>
      <c r="I494" s="230"/>
      <c r="J494" s="230">
        <v>1</v>
      </c>
      <c r="K494" s="230"/>
      <c r="L494" s="228"/>
      <c r="M494" s="257"/>
      <c r="N494" s="228" t="s">
        <v>7903</v>
      </c>
      <c r="O494" s="228" t="s">
        <v>8015</v>
      </c>
      <c r="P494" s="1226" t="s">
        <v>7984</v>
      </c>
      <c r="Q494" s="2382" t="s">
        <v>6056</v>
      </c>
      <c r="R494" s="254" t="s">
        <v>2966</v>
      </c>
      <c r="S494" s="2357"/>
      <c r="T494" s="228"/>
      <c r="U494" s="2357"/>
      <c r="V494" s="256"/>
      <c r="W494" s="2978">
        <v>2250000</v>
      </c>
      <c r="X494" s="2978">
        <v>1031000</v>
      </c>
      <c r="Y494" s="248"/>
      <c r="Z494" s="247"/>
      <c r="AA494" s="248"/>
      <c r="AB494" s="340">
        <f t="shared" si="165"/>
        <v>3281000</v>
      </c>
      <c r="AC494" s="347">
        <f t="shared" si="166"/>
        <v>0</v>
      </c>
      <c r="AD494" s="1592" t="s">
        <v>8074</v>
      </c>
      <c r="AE494" s="618">
        <f>+(I494*3832500+J494*(3832500+100000))*1.08+((I494+J494+K494)*150000)*1.08+(500000*1.08)</f>
        <v>4949100</v>
      </c>
      <c r="AF494" s="342">
        <f t="shared" si="171"/>
        <v>8230100</v>
      </c>
      <c r="AG494" s="251">
        <f t="shared" si="172"/>
        <v>4582500</v>
      </c>
      <c r="AH494" s="241"/>
      <c r="AI494" s="241"/>
      <c r="AJ494" s="241"/>
      <c r="AK494" s="194"/>
      <c r="AL494" s="195"/>
      <c r="AM494" s="195"/>
    </row>
    <row r="495" spans="2:40" ht="31.2">
      <c r="B495" s="253">
        <f t="shared" si="143"/>
        <v>2</v>
      </c>
      <c r="C495" s="244"/>
      <c r="D495" s="2968" t="s">
        <v>7955</v>
      </c>
      <c r="E495" s="2006">
        <v>308005547050</v>
      </c>
      <c r="F495" s="2968" t="s">
        <v>7955</v>
      </c>
      <c r="G495" s="391" t="s">
        <v>8076</v>
      </c>
      <c r="H495" s="230" t="s">
        <v>210</v>
      </c>
      <c r="I495" s="230"/>
      <c r="J495" s="230">
        <v>1</v>
      </c>
      <c r="K495" s="230"/>
      <c r="L495" s="228"/>
      <c r="M495" s="257"/>
      <c r="N495" s="228">
        <v>28630696</v>
      </c>
      <c r="O495" s="228" t="s">
        <v>8016</v>
      </c>
      <c r="P495" s="1226" t="s">
        <v>7982</v>
      </c>
      <c r="Q495" s="2382" t="s">
        <v>8051</v>
      </c>
      <c r="R495" s="254" t="s">
        <v>287</v>
      </c>
      <c r="S495" s="2357"/>
      <c r="T495" s="228"/>
      <c r="U495" s="2357"/>
      <c r="V495" s="256"/>
      <c r="W495" s="2978">
        <v>1500000</v>
      </c>
      <c r="X495" s="2978">
        <v>882000</v>
      </c>
      <c r="Y495" s="248"/>
      <c r="Z495" s="247"/>
      <c r="AA495" s="248"/>
      <c r="AB495" s="340">
        <f t="shared" ref="AB495:AB498" si="173">V495+W495+X495+Y495+Z495+AA495</f>
        <v>2382000</v>
      </c>
      <c r="AC495" s="347">
        <f t="shared" ref="AC495:AC498" si="174">+Z495</f>
        <v>0</v>
      </c>
      <c r="AD495" s="249"/>
      <c r="AE495" s="618">
        <f t="shared" ref="AE495:AE500" si="175">+(I495*3832500+J495*(3832500+100000))*1.08+((I495+J495+K495)*150000)*1.08</f>
        <v>4409100</v>
      </c>
      <c r="AF495" s="342">
        <f t="shared" ref="AF495:AF496" si="176">+AB495+AE495</f>
        <v>6791100</v>
      </c>
      <c r="AG495" s="251">
        <f t="shared" si="172"/>
        <v>4082499.9999999995</v>
      </c>
      <c r="AH495" s="241"/>
      <c r="AI495" s="241"/>
      <c r="AJ495" s="241"/>
      <c r="AK495" s="194"/>
      <c r="AL495" s="195"/>
      <c r="AM495" s="195"/>
    </row>
    <row r="496" spans="2:40" ht="31.2">
      <c r="B496" s="253">
        <f t="shared" si="143"/>
        <v>3</v>
      </c>
      <c r="C496" s="244"/>
      <c r="D496" s="2968" t="s">
        <v>7955</v>
      </c>
      <c r="E496" s="2006">
        <v>308006086900</v>
      </c>
      <c r="F496" s="2968" t="s">
        <v>7955</v>
      </c>
      <c r="G496" s="391" t="s">
        <v>8077</v>
      </c>
      <c r="H496" s="230" t="s">
        <v>210</v>
      </c>
      <c r="I496" s="230"/>
      <c r="J496" s="230">
        <v>1</v>
      </c>
      <c r="K496" s="230"/>
      <c r="L496" s="228"/>
      <c r="M496" s="257"/>
      <c r="N496" s="228" t="s">
        <v>7981</v>
      </c>
      <c r="O496" s="228" t="s">
        <v>8017</v>
      </c>
      <c r="P496" s="1226" t="s">
        <v>7983</v>
      </c>
      <c r="Q496" s="2382" t="s">
        <v>6255</v>
      </c>
      <c r="R496" s="254" t="s">
        <v>7991</v>
      </c>
      <c r="S496" s="2357"/>
      <c r="T496" s="228"/>
      <c r="U496" s="2357"/>
      <c r="V496" s="256"/>
      <c r="W496" s="2978">
        <v>1500000</v>
      </c>
      <c r="X496" s="2978">
        <v>1250000</v>
      </c>
      <c r="Y496" s="248"/>
      <c r="Z496" s="247"/>
      <c r="AA496" s="248"/>
      <c r="AB496" s="340">
        <f t="shared" si="173"/>
        <v>2750000</v>
      </c>
      <c r="AC496" s="347">
        <f t="shared" si="174"/>
        <v>0</v>
      </c>
      <c r="AD496" s="249"/>
      <c r="AE496" s="618">
        <f t="shared" si="175"/>
        <v>4409100</v>
      </c>
      <c r="AF496" s="342">
        <f t="shared" si="176"/>
        <v>7159100</v>
      </c>
      <c r="AG496" s="251">
        <f t="shared" si="172"/>
        <v>4082499.9999999995</v>
      </c>
      <c r="AH496" s="241"/>
      <c r="AI496" s="241"/>
      <c r="AJ496" s="241"/>
      <c r="AK496" s="194"/>
      <c r="AL496" s="195"/>
      <c r="AM496" s="195"/>
    </row>
    <row r="497" spans="2:39" ht="31.2">
      <c r="B497" s="253">
        <f t="shared" si="143"/>
        <v>4</v>
      </c>
      <c r="C497" s="244"/>
      <c r="D497" s="2968" t="s">
        <v>7985</v>
      </c>
      <c r="E497" s="2006">
        <v>308015086430</v>
      </c>
      <c r="F497" s="2968" t="s">
        <v>7985</v>
      </c>
      <c r="G497" s="391" t="s">
        <v>8086</v>
      </c>
      <c r="H497" s="230" t="s">
        <v>210</v>
      </c>
      <c r="I497" s="230">
        <v>1</v>
      </c>
      <c r="J497" s="230"/>
      <c r="K497" s="230"/>
      <c r="L497" s="228"/>
      <c r="M497" s="257"/>
      <c r="N497" s="228" t="s">
        <v>8030</v>
      </c>
      <c r="O497" s="228" t="s">
        <v>8056</v>
      </c>
      <c r="P497" s="1514" t="s">
        <v>8055</v>
      </c>
      <c r="Q497" s="2382" t="s">
        <v>6056</v>
      </c>
      <c r="R497" s="254" t="s">
        <v>8032</v>
      </c>
      <c r="S497" s="2357"/>
      <c r="T497" s="228"/>
      <c r="U497" s="2357"/>
      <c r="V497" s="256"/>
      <c r="W497" s="1502">
        <v>1000000</v>
      </c>
      <c r="X497" s="2978">
        <v>781000</v>
      </c>
      <c r="Y497" s="248"/>
      <c r="Z497" s="247"/>
      <c r="AA497" s="248"/>
      <c r="AB497" s="340">
        <f t="shared" si="173"/>
        <v>1781000</v>
      </c>
      <c r="AC497" s="347">
        <f t="shared" si="174"/>
        <v>0</v>
      </c>
      <c r="AD497" s="249"/>
      <c r="AE497" s="618">
        <f t="shared" si="175"/>
        <v>4301100</v>
      </c>
      <c r="AF497" s="342">
        <f t="shared" ref="AF497:AF500" si="177">+AB497+AE497</f>
        <v>6082100</v>
      </c>
      <c r="AG497" s="251">
        <f t="shared" ref="AG497:AG500" si="178">+AE497/1.08</f>
        <v>3982499.9999999995</v>
      </c>
      <c r="AH497" s="241"/>
      <c r="AI497" s="241"/>
      <c r="AJ497" s="241"/>
      <c r="AK497" s="194"/>
      <c r="AL497" s="195"/>
      <c r="AM497" s="195"/>
    </row>
    <row r="498" spans="2:39">
      <c r="B498" s="253">
        <f t="shared" si="143"/>
        <v>5</v>
      </c>
      <c r="C498" s="244"/>
      <c r="D498" s="2968" t="s">
        <v>7985</v>
      </c>
      <c r="E498" s="2006">
        <v>308015047230</v>
      </c>
      <c r="F498" s="2968" t="s">
        <v>7985</v>
      </c>
      <c r="G498" s="391" t="s">
        <v>8087</v>
      </c>
      <c r="H498" s="230" t="s">
        <v>210</v>
      </c>
      <c r="I498" s="230">
        <v>1</v>
      </c>
      <c r="J498" s="230"/>
      <c r="K498" s="230"/>
      <c r="L498" s="228"/>
      <c r="M498" s="257"/>
      <c r="N498" s="228" t="s">
        <v>8031</v>
      </c>
      <c r="O498" s="228" t="s">
        <v>8057</v>
      </c>
      <c r="P498" s="1514" t="s">
        <v>8065</v>
      </c>
      <c r="Q498" s="2382" t="s">
        <v>5944</v>
      </c>
      <c r="R498" s="254" t="s">
        <v>2966</v>
      </c>
      <c r="S498" s="2357"/>
      <c r="T498" s="228"/>
      <c r="U498" s="2357"/>
      <c r="V498" s="256"/>
      <c r="W498" s="1502">
        <v>1000000</v>
      </c>
      <c r="X498" s="2978">
        <v>497000</v>
      </c>
      <c r="Y498" s="248"/>
      <c r="Z498" s="247"/>
      <c r="AA498" s="248"/>
      <c r="AB498" s="340">
        <f t="shared" si="173"/>
        <v>1497000</v>
      </c>
      <c r="AC498" s="347">
        <f t="shared" si="174"/>
        <v>0</v>
      </c>
      <c r="AD498" s="249"/>
      <c r="AE498" s="618">
        <f t="shared" si="175"/>
        <v>4301100</v>
      </c>
      <c r="AF498" s="342">
        <f t="shared" si="177"/>
        <v>5798100</v>
      </c>
      <c r="AG498" s="251">
        <f t="shared" si="178"/>
        <v>3982499.9999999995</v>
      </c>
      <c r="AH498" s="241"/>
      <c r="AI498" s="241"/>
      <c r="AJ498" s="241"/>
      <c r="AK498" s="194"/>
      <c r="AL498" s="195"/>
      <c r="AM498" s="195"/>
    </row>
    <row r="499" spans="2:39" ht="46.8">
      <c r="B499" s="253">
        <f t="shared" si="143"/>
        <v>6</v>
      </c>
      <c r="C499" s="244"/>
      <c r="D499" s="990" t="s">
        <v>8113</v>
      </c>
      <c r="E499" s="2006">
        <v>308036500500</v>
      </c>
      <c r="F499" s="640" t="s">
        <v>8113</v>
      </c>
      <c r="G499" s="391" t="s">
        <v>8207</v>
      </c>
      <c r="H499" s="230" t="s">
        <v>210</v>
      </c>
      <c r="I499" s="230">
        <v>1</v>
      </c>
      <c r="J499" s="230"/>
      <c r="K499" s="230"/>
      <c r="L499" s="228"/>
      <c r="M499" s="257"/>
      <c r="N499" s="254" t="s">
        <v>8115</v>
      </c>
      <c r="O499" s="228" t="s">
        <v>8140</v>
      </c>
      <c r="P499" s="1226" t="s">
        <v>8116</v>
      </c>
      <c r="Q499" s="2382" t="s">
        <v>5942</v>
      </c>
      <c r="R499" s="254" t="s">
        <v>2966</v>
      </c>
      <c r="S499" s="2374"/>
      <c r="T499" s="228"/>
      <c r="U499" s="2357"/>
      <c r="V499" s="256"/>
      <c r="W499" s="1502">
        <v>1080000</v>
      </c>
      <c r="X499" s="2978">
        <v>497000</v>
      </c>
      <c r="Y499" s="248"/>
      <c r="Z499" s="247"/>
      <c r="AA499" s="248"/>
      <c r="AB499" s="340">
        <f t="shared" ref="AB499:AB500" si="179">V499+W499+X499+Y499+Z499+AA499</f>
        <v>1577000</v>
      </c>
      <c r="AC499" s="347">
        <f t="shared" ref="AC499:AC500" si="180">+Z499</f>
        <v>0</v>
      </c>
      <c r="AD499" s="249"/>
      <c r="AE499" s="618">
        <f t="shared" si="175"/>
        <v>4301100</v>
      </c>
      <c r="AF499" s="342">
        <f t="shared" si="177"/>
        <v>5878100</v>
      </c>
      <c r="AG499" s="251">
        <f t="shared" si="178"/>
        <v>3982499.9999999995</v>
      </c>
      <c r="AH499" s="241"/>
      <c r="AI499" s="241"/>
      <c r="AJ499" s="241"/>
      <c r="AK499" s="194"/>
      <c r="AL499" s="195"/>
      <c r="AM499" s="195"/>
    </row>
    <row r="500" spans="2:39" ht="31.2">
      <c r="B500" s="253">
        <f t="shared" si="143"/>
        <v>7</v>
      </c>
      <c r="C500" s="244"/>
      <c r="D500" s="990" t="s">
        <v>8113</v>
      </c>
      <c r="E500" s="2006">
        <v>308034390220</v>
      </c>
      <c r="F500" s="640" t="s">
        <v>8113</v>
      </c>
      <c r="G500" s="391" t="s">
        <v>8208</v>
      </c>
      <c r="H500" s="230" t="s">
        <v>210</v>
      </c>
      <c r="I500" s="230">
        <v>1</v>
      </c>
      <c r="J500" s="230"/>
      <c r="K500" s="230"/>
      <c r="L500" s="228"/>
      <c r="M500" s="257"/>
      <c r="N500" s="228" t="s">
        <v>8121</v>
      </c>
      <c r="O500" s="228" t="s">
        <v>8135</v>
      </c>
      <c r="P500" s="1226" t="s">
        <v>8122</v>
      </c>
      <c r="Q500" s="2382" t="s">
        <v>7176</v>
      </c>
      <c r="R500" s="254" t="s">
        <v>2966</v>
      </c>
      <c r="S500" s="2374"/>
      <c r="T500" s="228"/>
      <c r="U500" s="2357"/>
      <c r="V500" s="256"/>
      <c r="W500" s="1502">
        <v>1000000</v>
      </c>
      <c r="X500" s="2978">
        <v>497000</v>
      </c>
      <c r="Y500" s="248"/>
      <c r="Z500" s="247"/>
      <c r="AA500" s="248"/>
      <c r="AB500" s="340">
        <f t="shared" si="179"/>
        <v>1497000</v>
      </c>
      <c r="AC500" s="347">
        <f t="shared" si="180"/>
        <v>0</v>
      </c>
      <c r="AD500" s="249"/>
      <c r="AE500" s="618">
        <f t="shared" si="175"/>
        <v>4301100</v>
      </c>
      <c r="AF500" s="342">
        <f t="shared" si="177"/>
        <v>5798100</v>
      </c>
      <c r="AG500" s="251">
        <f t="shared" si="178"/>
        <v>3982499.9999999995</v>
      </c>
      <c r="AH500" s="241"/>
      <c r="AI500" s="241"/>
      <c r="AJ500" s="241"/>
      <c r="AK500" s="194"/>
      <c r="AL500" s="195"/>
      <c r="AM500" s="195"/>
    </row>
    <row r="501" spans="2:39" ht="46.8">
      <c r="B501" s="253">
        <f t="shared" si="143"/>
        <v>8</v>
      </c>
      <c r="C501" s="244"/>
      <c r="D501" s="2262" t="s">
        <v>8275</v>
      </c>
      <c r="E501" s="2006">
        <v>308075725220</v>
      </c>
      <c r="F501" s="640" t="s">
        <v>8275</v>
      </c>
      <c r="G501" s="391" t="s">
        <v>8351</v>
      </c>
      <c r="H501" s="230" t="s">
        <v>210</v>
      </c>
      <c r="I501" s="3092"/>
      <c r="J501" s="230">
        <v>1</v>
      </c>
      <c r="K501" s="3092"/>
      <c r="L501" s="228"/>
      <c r="M501" s="257"/>
      <c r="N501" s="228">
        <v>262476418</v>
      </c>
      <c r="O501" s="228" t="s">
        <v>8314</v>
      </c>
      <c r="P501" s="1226" t="s">
        <v>8283</v>
      </c>
      <c r="Q501" s="2382" t="s">
        <v>8315</v>
      </c>
      <c r="R501" s="2382" t="s">
        <v>287</v>
      </c>
      <c r="S501" s="2374"/>
      <c r="T501" s="228"/>
      <c r="U501" s="2357"/>
      <c r="V501" s="256"/>
      <c r="W501" s="754"/>
      <c r="X501" s="1502">
        <v>882000</v>
      </c>
      <c r="Y501" s="248"/>
      <c r="Z501" s="247"/>
      <c r="AA501" s="248"/>
      <c r="AB501" s="340">
        <f t="shared" ref="AB501:AB506" si="181">V501+W501+X501+Y501+Z501+AA501</f>
        <v>882000</v>
      </c>
      <c r="AC501" s="347">
        <f t="shared" ref="AC501:AC506" si="182">+Z501</f>
        <v>0</v>
      </c>
      <c r="AD501" s="249"/>
      <c r="AE501" s="618">
        <f t="shared" ref="AE501:AE506" si="183">+(I501*3832500+J501*(3832500+100000))*1.08+((I501+J501+K501)*150000)*1.08</f>
        <v>4409100</v>
      </c>
      <c r="AF501" s="342">
        <f t="shared" ref="AF501:AF506" si="184">+AB501+AE501</f>
        <v>5291100</v>
      </c>
      <c r="AG501" s="251">
        <f t="shared" ref="AG501:AG506" si="185">+AE501/1.08</f>
        <v>4082499.9999999995</v>
      </c>
      <c r="AH501" s="241"/>
      <c r="AI501" s="241"/>
      <c r="AJ501" s="241"/>
      <c r="AK501" s="194"/>
      <c r="AL501" s="195"/>
      <c r="AM501" s="195"/>
    </row>
    <row r="502" spans="2:39" ht="46.8">
      <c r="B502" s="253">
        <f t="shared" si="143"/>
        <v>9</v>
      </c>
      <c r="C502" s="3260"/>
      <c r="D502" s="2262" t="s">
        <v>8252</v>
      </c>
      <c r="E502" s="2006">
        <v>308081557140</v>
      </c>
      <c r="F502" s="640" t="s">
        <v>8252</v>
      </c>
      <c r="G502" s="391" t="s">
        <v>8352</v>
      </c>
      <c r="H502" s="230" t="s">
        <v>210</v>
      </c>
      <c r="I502" s="3092"/>
      <c r="J502" s="2974">
        <v>2</v>
      </c>
      <c r="K502" s="3092"/>
      <c r="L502" s="2357"/>
      <c r="M502" s="2358"/>
      <c r="N502" s="2357" t="s">
        <v>8312</v>
      </c>
      <c r="O502" s="254" t="s">
        <v>8336</v>
      </c>
      <c r="P502" s="2380" t="s">
        <v>8313</v>
      </c>
      <c r="Q502" s="3268" t="s">
        <v>8345</v>
      </c>
      <c r="R502" s="2380" t="s">
        <v>5938</v>
      </c>
      <c r="S502" s="2374"/>
      <c r="T502" s="2357"/>
      <c r="U502" s="2357"/>
      <c r="V502" s="2922"/>
      <c r="W502" s="3269"/>
      <c r="X502" s="1502">
        <v>2552000</v>
      </c>
      <c r="Y502" s="1507"/>
      <c r="Z502" s="1508"/>
      <c r="AA502" s="1507"/>
      <c r="AB502" s="2491">
        <f t="shared" si="181"/>
        <v>2552000</v>
      </c>
      <c r="AC502" s="3261"/>
      <c r="AD502" s="1518"/>
      <c r="AE502" s="618"/>
      <c r="AF502" s="1602"/>
      <c r="AG502" s="2574"/>
      <c r="AH502" s="3262"/>
      <c r="AI502" s="3262"/>
      <c r="AJ502" s="3262"/>
      <c r="AK502" s="2572"/>
      <c r="AL502" s="2957"/>
      <c r="AM502" s="2957"/>
    </row>
    <row r="503" spans="2:39" ht="31.2">
      <c r="B503" s="253">
        <f t="shared" si="143"/>
        <v>10</v>
      </c>
      <c r="C503" s="244"/>
      <c r="D503" s="2262" t="s">
        <v>8252</v>
      </c>
      <c r="E503" s="2006">
        <v>308080168010</v>
      </c>
      <c r="F503" s="640" t="s">
        <v>8252</v>
      </c>
      <c r="G503" s="391" t="s">
        <v>8354</v>
      </c>
      <c r="H503" s="230" t="s">
        <v>210</v>
      </c>
      <c r="I503" s="230"/>
      <c r="J503" s="230">
        <v>1</v>
      </c>
      <c r="K503" s="230"/>
      <c r="L503" s="228"/>
      <c r="M503" s="257"/>
      <c r="N503" s="228" t="s">
        <v>8280</v>
      </c>
      <c r="O503" s="228" t="s">
        <v>8337</v>
      </c>
      <c r="P503" s="1226" t="s">
        <v>8284</v>
      </c>
      <c r="Q503" s="3268" t="s">
        <v>8343</v>
      </c>
      <c r="R503" s="254" t="s">
        <v>2966</v>
      </c>
      <c r="S503" s="254"/>
      <c r="T503" s="228"/>
      <c r="U503" s="2357"/>
      <c r="V503" s="256"/>
      <c r="W503" s="3269"/>
      <c r="X503" s="1502">
        <v>882000</v>
      </c>
      <c r="Y503" s="248"/>
      <c r="Z503" s="247"/>
      <c r="AA503" s="1507"/>
      <c r="AB503" s="340">
        <f t="shared" si="181"/>
        <v>882000</v>
      </c>
      <c r="AC503" s="347">
        <f t="shared" si="182"/>
        <v>0</v>
      </c>
      <c r="AD503" s="249"/>
      <c r="AE503" s="618">
        <f t="shared" si="183"/>
        <v>4409100</v>
      </c>
      <c r="AF503" s="342">
        <f t="shared" si="184"/>
        <v>5291100</v>
      </c>
      <c r="AG503" s="251">
        <f t="shared" si="185"/>
        <v>4082499.9999999995</v>
      </c>
      <c r="AH503" s="241"/>
      <c r="AI503" s="241"/>
      <c r="AJ503" s="241"/>
      <c r="AK503" s="194"/>
      <c r="AL503" s="195"/>
      <c r="AM503" s="195"/>
    </row>
    <row r="504" spans="2:39" ht="54" customHeight="1">
      <c r="B504" s="253">
        <f t="shared" si="143"/>
        <v>11</v>
      </c>
      <c r="C504" s="244"/>
      <c r="D504" s="2262" t="s">
        <v>8292</v>
      </c>
      <c r="E504" s="2006">
        <v>308084719960</v>
      </c>
      <c r="F504" s="640" t="s">
        <v>8292</v>
      </c>
      <c r="G504" s="391" t="s">
        <v>8353</v>
      </c>
      <c r="H504" s="230" t="s">
        <v>210</v>
      </c>
      <c r="I504" s="230"/>
      <c r="J504" s="230">
        <v>2</v>
      </c>
      <c r="K504" s="230"/>
      <c r="L504" s="228"/>
      <c r="M504" s="257"/>
      <c r="N504" s="228" t="s">
        <v>8281</v>
      </c>
      <c r="O504" s="254" t="s">
        <v>8344</v>
      </c>
      <c r="P504" s="1226" t="s">
        <v>8285</v>
      </c>
      <c r="Q504" s="3268" t="s">
        <v>8346</v>
      </c>
      <c r="R504" s="2380" t="s">
        <v>5938</v>
      </c>
      <c r="S504" s="254"/>
      <c r="T504" s="228"/>
      <c r="U504" s="2357"/>
      <c r="V504" s="256"/>
      <c r="W504" s="3269"/>
      <c r="X504" s="324">
        <v>2552000</v>
      </c>
      <c r="Y504" s="248"/>
      <c r="Z504" s="247"/>
      <c r="AA504" s="248"/>
      <c r="AB504" s="340">
        <f t="shared" si="181"/>
        <v>2552000</v>
      </c>
      <c r="AC504" s="347">
        <f t="shared" si="182"/>
        <v>0</v>
      </c>
      <c r="AD504" s="249"/>
      <c r="AE504" s="618">
        <f t="shared" si="183"/>
        <v>8818200</v>
      </c>
      <c r="AF504" s="342">
        <f t="shared" si="184"/>
        <v>11370200</v>
      </c>
      <c r="AG504" s="251">
        <f t="shared" si="185"/>
        <v>8164999.9999999991</v>
      </c>
      <c r="AH504" s="241"/>
      <c r="AI504" s="241"/>
      <c r="AJ504" s="241"/>
      <c r="AK504" s="194"/>
      <c r="AL504" s="195"/>
      <c r="AM504" s="195"/>
    </row>
    <row r="505" spans="2:39" ht="31.2">
      <c r="B505" s="253">
        <f t="shared" si="143"/>
        <v>12</v>
      </c>
      <c r="C505" s="244"/>
      <c r="D505" s="3256"/>
      <c r="E505" s="2006" t="s">
        <v>8370</v>
      </c>
      <c r="F505" s="640"/>
      <c r="G505" s="230"/>
      <c r="H505" s="230" t="s">
        <v>210</v>
      </c>
      <c r="I505" s="230">
        <v>1</v>
      </c>
      <c r="J505" s="230"/>
      <c r="K505" s="230"/>
      <c r="L505" s="228"/>
      <c r="M505" s="257"/>
      <c r="N505" s="228" t="s">
        <v>8282</v>
      </c>
      <c r="O505" s="228"/>
      <c r="P505" s="1226" t="s">
        <v>8286</v>
      </c>
      <c r="Q505" s="2381"/>
      <c r="R505" s="254" t="s">
        <v>2966</v>
      </c>
      <c r="S505" s="254"/>
      <c r="T505" s="228"/>
      <c r="U505" s="2357"/>
      <c r="V505" s="256"/>
      <c r="W505" s="754"/>
      <c r="X505" s="3269"/>
      <c r="Y505" s="248"/>
      <c r="Z505" s="247"/>
      <c r="AA505" s="248"/>
      <c r="AB505" s="340">
        <f t="shared" si="181"/>
        <v>0</v>
      </c>
      <c r="AC505" s="347">
        <f t="shared" si="182"/>
        <v>0</v>
      </c>
      <c r="AD505" s="249" t="s">
        <v>8369</v>
      </c>
      <c r="AE505" s="618">
        <v>1000000</v>
      </c>
      <c r="AF505" s="342">
        <f t="shared" si="184"/>
        <v>1000000</v>
      </c>
      <c r="AG505" s="251">
        <f t="shared" si="185"/>
        <v>925925.92592592584</v>
      </c>
      <c r="AH505" s="241"/>
      <c r="AI505" s="241"/>
      <c r="AJ505" s="241"/>
      <c r="AK505" s="194"/>
      <c r="AL505" s="195"/>
      <c r="AM505" s="195"/>
    </row>
    <row r="506" spans="2:39" ht="31.2">
      <c r="B506" s="253">
        <f t="shared" si="143"/>
        <v>13</v>
      </c>
      <c r="C506" s="244"/>
      <c r="D506" s="3255" t="s">
        <v>8371</v>
      </c>
      <c r="E506" s="2006"/>
      <c r="F506" s="640"/>
      <c r="G506" s="230"/>
      <c r="H506" s="230" t="s">
        <v>210</v>
      </c>
      <c r="I506" s="230"/>
      <c r="J506" s="230">
        <v>1</v>
      </c>
      <c r="K506" s="230"/>
      <c r="L506" s="228"/>
      <c r="M506" s="257"/>
      <c r="N506" s="228" t="s">
        <v>8372</v>
      </c>
      <c r="O506" s="228"/>
      <c r="P506" s="1226" t="s">
        <v>8375</v>
      </c>
      <c r="Q506" s="3273"/>
      <c r="R506" s="254" t="s">
        <v>2966</v>
      </c>
      <c r="S506" s="254"/>
      <c r="T506" s="228"/>
      <c r="U506" s="2357"/>
      <c r="V506" s="256"/>
      <c r="W506" s="248"/>
      <c r="X506" s="248"/>
      <c r="Y506" s="248"/>
      <c r="Z506" s="247"/>
      <c r="AA506" s="248"/>
      <c r="AB506" s="340">
        <f t="shared" si="181"/>
        <v>0</v>
      </c>
      <c r="AC506" s="347">
        <f t="shared" si="182"/>
        <v>0</v>
      </c>
      <c r="AD506" s="249"/>
      <c r="AE506" s="618">
        <f t="shared" si="183"/>
        <v>4409100</v>
      </c>
      <c r="AF506" s="342">
        <f t="shared" si="184"/>
        <v>4409100</v>
      </c>
      <c r="AG506" s="251">
        <f t="shared" si="185"/>
        <v>4082499.9999999995</v>
      </c>
      <c r="AH506" s="241"/>
      <c r="AI506" s="241"/>
      <c r="AJ506" s="241"/>
      <c r="AK506" s="194"/>
      <c r="AL506" s="195"/>
      <c r="AM506" s="195"/>
    </row>
    <row r="507" spans="2:39" ht="31.2">
      <c r="B507" s="253">
        <f t="shared" si="143"/>
        <v>14</v>
      </c>
      <c r="C507" s="244"/>
      <c r="D507" s="3255" t="s">
        <v>8374</v>
      </c>
      <c r="E507" s="466"/>
      <c r="F507" s="612"/>
      <c r="G507" s="230"/>
      <c r="H507" s="230" t="s">
        <v>210</v>
      </c>
      <c r="I507" s="230">
        <v>1</v>
      </c>
      <c r="J507" s="230"/>
      <c r="K507" s="230"/>
      <c r="L507" s="228"/>
      <c r="M507" s="257"/>
      <c r="N507" s="228" t="s">
        <v>8373</v>
      </c>
      <c r="O507" s="228"/>
      <c r="P507" s="1226" t="s">
        <v>8376</v>
      </c>
      <c r="Q507" s="2381"/>
      <c r="R507" s="254" t="s">
        <v>287</v>
      </c>
      <c r="S507" s="254"/>
      <c r="T507" s="228"/>
      <c r="U507" s="2357"/>
      <c r="V507" s="256"/>
      <c r="W507" s="248"/>
      <c r="X507" s="248"/>
      <c r="Y507" s="248"/>
      <c r="Z507" s="247"/>
      <c r="AA507" s="248"/>
      <c r="AB507" s="248"/>
      <c r="AC507" s="194"/>
      <c r="AD507" s="249"/>
      <c r="AE507" s="250"/>
      <c r="AF507" s="251"/>
      <c r="AG507" s="252"/>
      <c r="AH507" s="241"/>
      <c r="AI507" s="241"/>
      <c r="AJ507" s="241"/>
      <c r="AK507" s="194"/>
      <c r="AL507" s="195"/>
      <c r="AM507" s="195"/>
    </row>
    <row r="508" spans="2:39">
      <c r="B508" s="253">
        <f t="shared" si="143"/>
        <v>15</v>
      </c>
      <c r="C508" s="244"/>
      <c r="D508" s="654"/>
      <c r="E508" s="466"/>
      <c r="F508" s="612"/>
      <c r="G508" s="230"/>
      <c r="H508" s="230"/>
      <c r="I508" s="230"/>
      <c r="J508" s="230"/>
      <c r="K508" s="230"/>
      <c r="L508" s="228"/>
      <c r="M508" s="257"/>
      <c r="N508" s="228"/>
      <c r="O508" s="3267"/>
      <c r="P508" s="258"/>
      <c r="Q508" s="2381"/>
      <c r="R508" s="2381"/>
      <c r="S508" s="254"/>
      <c r="T508" s="228"/>
      <c r="U508" s="2357"/>
      <c r="V508" s="256"/>
      <c r="W508" s="248"/>
      <c r="X508" s="248"/>
      <c r="Y508" s="248"/>
      <c r="Z508" s="247"/>
      <c r="AA508" s="248"/>
      <c r="AB508" s="248"/>
      <c r="AC508" s="194"/>
      <c r="AD508" s="249"/>
      <c r="AE508" s="250"/>
      <c r="AF508" s="251"/>
      <c r="AG508" s="252"/>
      <c r="AH508" s="241"/>
      <c r="AI508" s="241"/>
      <c r="AJ508" s="241"/>
      <c r="AK508" s="194"/>
      <c r="AL508" s="195"/>
      <c r="AM508" s="195"/>
    </row>
    <row r="509" spans="2:39">
      <c r="B509" s="253">
        <f t="shared" si="143"/>
        <v>16</v>
      </c>
      <c r="C509" s="244"/>
      <c r="D509" s="654"/>
      <c r="E509" s="466"/>
      <c r="F509" s="612"/>
      <c r="G509" s="230"/>
      <c r="H509" s="230"/>
      <c r="I509" s="230"/>
      <c r="J509" s="230"/>
      <c r="K509" s="230"/>
      <c r="L509" s="228"/>
      <c r="M509" s="257"/>
      <c r="N509" s="228"/>
      <c r="O509" s="228"/>
      <c r="P509" s="258"/>
      <c r="Q509" s="2381"/>
      <c r="R509" s="2381"/>
      <c r="S509" s="254"/>
      <c r="T509" s="228"/>
      <c r="U509" s="2357"/>
      <c r="V509" s="256"/>
      <c r="W509" s="248"/>
      <c r="X509" s="248"/>
      <c r="Y509" s="248"/>
      <c r="Z509" s="247"/>
      <c r="AA509" s="248"/>
      <c r="AB509" s="248"/>
      <c r="AC509" s="194"/>
      <c r="AD509" s="249"/>
      <c r="AE509" s="250"/>
      <c r="AF509" s="251"/>
      <c r="AG509" s="252"/>
      <c r="AH509" s="241"/>
      <c r="AI509" s="241"/>
      <c r="AJ509" s="241"/>
      <c r="AK509" s="194"/>
      <c r="AL509" s="195"/>
      <c r="AM509" s="195"/>
    </row>
    <row r="510" spans="2:39">
      <c r="B510" s="253">
        <f t="shared" si="143"/>
        <v>17</v>
      </c>
      <c r="C510" s="244"/>
      <c r="D510" s="654"/>
      <c r="E510" s="466"/>
      <c r="F510" s="612"/>
      <c r="G510" s="230"/>
      <c r="H510" s="230"/>
      <c r="I510" s="230"/>
      <c r="J510" s="230"/>
      <c r="K510" s="230"/>
      <c r="L510" s="228"/>
      <c r="M510" s="257"/>
      <c r="N510" s="228"/>
      <c r="O510" s="3267"/>
      <c r="P510" s="258"/>
      <c r="Q510" s="2381"/>
      <c r="R510" s="2381"/>
      <c r="S510" s="254"/>
      <c r="T510" s="228"/>
      <c r="U510" s="2357"/>
      <c r="V510" s="256"/>
      <c r="W510" s="248"/>
      <c r="X510" s="248"/>
      <c r="Y510" s="248"/>
      <c r="Z510" s="247"/>
      <c r="AA510" s="248"/>
      <c r="AB510" s="248"/>
      <c r="AC510" s="194"/>
      <c r="AD510" s="249"/>
      <c r="AE510" s="250"/>
      <c r="AF510" s="251"/>
      <c r="AG510" s="252"/>
      <c r="AH510" s="241"/>
      <c r="AI510" s="241"/>
      <c r="AJ510" s="241"/>
      <c r="AK510" s="194"/>
      <c r="AL510" s="195"/>
      <c r="AM510" s="195"/>
    </row>
    <row r="511" spans="2:39">
      <c r="B511" s="253">
        <f t="shared" si="143"/>
        <v>18</v>
      </c>
      <c r="C511" s="244"/>
      <c r="D511" s="654"/>
      <c r="E511" s="466"/>
      <c r="F511" s="612"/>
      <c r="G511" s="230"/>
      <c r="H511" s="230"/>
      <c r="I511" s="230"/>
      <c r="J511" s="230"/>
      <c r="K511" s="230"/>
      <c r="L511" s="228"/>
      <c r="M511" s="257"/>
      <c r="N511" s="228"/>
      <c r="O511" s="228"/>
      <c r="P511" s="258"/>
      <c r="Q511" s="2381"/>
      <c r="R511" s="2381"/>
      <c r="S511" s="254"/>
      <c r="T511" s="228"/>
      <c r="U511" s="2357"/>
      <c r="V511" s="256"/>
      <c r="W511" s="248"/>
      <c r="X511" s="248"/>
      <c r="Y511" s="248"/>
      <c r="Z511" s="247"/>
      <c r="AA511" s="248"/>
      <c r="AB511" s="248"/>
      <c r="AC511" s="194"/>
      <c r="AD511" s="249"/>
      <c r="AE511" s="250"/>
      <c r="AF511" s="251"/>
      <c r="AG511" s="252"/>
      <c r="AH511" s="241"/>
      <c r="AI511" s="241"/>
      <c r="AJ511" s="241"/>
      <c r="AK511" s="194"/>
      <c r="AL511" s="195"/>
      <c r="AM511" s="195"/>
    </row>
    <row r="512" spans="2:39">
      <c r="B512" s="253">
        <f t="shared" si="143"/>
        <v>19</v>
      </c>
      <c r="C512" s="244"/>
      <c r="D512" s="654"/>
      <c r="E512" s="466"/>
      <c r="F512" s="612"/>
      <c r="G512" s="230"/>
      <c r="H512" s="230"/>
      <c r="I512" s="230"/>
      <c r="J512" s="230"/>
      <c r="K512" s="230"/>
      <c r="L512" s="228"/>
      <c r="M512" s="257"/>
      <c r="N512" s="228"/>
      <c r="O512" s="228"/>
      <c r="P512" s="258"/>
      <c r="Q512" s="2381"/>
      <c r="R512" s="2381"/>
      <c r="S512" s="254"/>
      <c r="T512" s="228"/>
      <c r="U512" s="2357"/>
      <c r="V512" s="256"/>
      <c r="W512" s="248"/>
      <c r="X512" s="248"/>
      <c r="Y512" s="248"/>
      <c r="Z512" s="247"/>
      <c r="AA512" s="248"/>
      <c r="AB512" s="248"/>
      <c r="AC512" s="194"/>
      <c r="AD512" s="249"/>
      <c r="AE512" s="250"/>
      <c r="AF512" s="251"/>
      <c r="AG512" s="252"/>
      <c r="AH512" s="241"/>
      <c r="AI512" s="241"/>
      <c r="AJ512" s="241"/>
      <c r="AK512" s="194"/>
      <c r="AL512" s="195"/>
      <c r="AM512" s="195"/>
    </row>
    <row r="513" spans="2:39">
      <c r="B513" s="253">
        <f t="shared" si="143"/>
        <v>20</v>
      </c>
      <c r="C513" s="244"/>
      <c r="D513" s="654"/>
      <c r="E513" s="466"/>
      <c r="F513" s="612"/>
      <c r="G513" s="230"/>
      <c r="H513" s="230"/>
      <c r="I513" s="230"/>
      <c r="J513" s="230"/>
      <c r="K513" s="230"/>
      <c r="L513" s="228"/>
      <c r="M513" s="257"/>
      <c r="N513" s="228"/>
      <c r="O513" s="228"/>
      <c r="P513" s="258"/>
      <c r="Q513" s="2381"/>
      <c r="R513" s="2381"/>
      <c r="S513" s="254"/>
      <c r="T513" s="228"/>
      <c r="U513" s="2357"/>
      <c r="V513" s="256"/>
      <c r="W513" s="248"/>
      <c r="X513" s="248"/>
      <c r="Y513" s="248"/>
      <c r="Z513" s="247"/>
      <c r="AA513" s="248"/>
      <c r="AB513" s="248"/>
      <c r="AC513" s="194"/>
      <c r="AD513" s="249"/>
      <c r="AE513" s="250"/>
      <c r="AF513" s="251"/>
      <c r="AG513" s="252"/>
      <c r="AH513" s="241"/>
      <c r="AI513" s="241"/>
      <c r="AJ513" s="241"/>
      <c r="AK513" s="194"/>
      <c r="AL513" s="195"/>
      <c r="AM513" s="195"/>
    </row>
    <row r="514" spans="2:39">
      <c r="B514" s="253">
        <f t="shared" si="143"/>
        <v>21</v>
      </c>
      <c r="C514" s="244"/>
      <c r="D514" s="654"/>
      <c r="E514" s="466"/>
      <c r="F514" s="612"/>
      <c r="G514" s="230"/>
      <c r="H514" s="230"/>
      <c r="I514" s="230"/>
      <c r="J514" s="230"/>
      <c r="K514" s="230"/>
      <c r="L514" s="228"/>
      <c r="M514" s="257"/>
      <c r="N514" s="228"/>
      <c r="O514" s="228"/>
      <c r="P514" s="258"/>
      <c r="Q514" s="2381"/>
      <c r="R514" s="2381"/>
      <c r="S514" s="254"/>
      <c r="T514" s="228"/>
      <c r="U514" s="2357"/>
      <c r="V514" s="256"/>
      <c r="W514" s="248"/>
      <c r="X514" s="248"/>
      <c r="Y514" s="248"/>
      <c r="Z514" s="247"/>
      <c r="AA514" s="248"/>
      <c r="AB514" s="248"/>
      <c r="AC514" s="194"/>
      <c r="AD514" s="249"/>
      <c r="AE514" s="250"/>
      <c r="AF514" s="251"/>
      <c r="AG514" s="252"/>
      <c r="AH514" s="241"/>
      <c r="AI514" s="241"/>
      <c r="AJ514" s="241"/>
      <c r="AK514" s="194"/>
      <c r="AL514" s="195"/>
      <c r="AM514" s="195"/>
    </row>
    <row r="515" spans="2:39">
      <c r="B515" s="253">
        <f t="shared" si="143"/>
        <v>22</v>
      </c>
      <c r="C515" s="244"/>
      <c r="D515" s="654"/>
      <c r="E515" s="466"/>
      <c r="F515" s="612"/>
      <c r="G515" s="230"/>
      <c r="H515" s="230"/>
      <c r="I515" s="230"/>
      <c r="J515" s="230"/>
      <c r="K515" s="230"/>
      <c r="L515" s="228"/>
      <c r="M515" s="257"/>
      <c r="N515" s="228"/>
      <c r="O515" s="228"/>
      <c r="P515" s="258"/>
      <c r="Q515" s="2381"/>
      <c r="R515" s="2381"/>
      <c r="S515" s="254"/>
      <c r="T515" s="228"/>
      <c r="U515" s="2357"/>
      <c r="V515" s="256"/>
      <c r="W515" s="248"/>
      <c r="X515" s="248"/>
      <c r="Y515" s="248"/>
      <c r="Z515" s="247"/>
      <c r="AA515" s="248"/>
      <c r="AB515" s="248"/>
      <c r="AC515" s="194"/>
      <c r="AD515" s="249"/>
      <c r="AE515" s="250"/>
      <c r="AF515" s="251"/>
      <c r="AG515" s="252"/>
      <c r="AH515" s="241"/>
      <c r="AI515" s="241"/>
      <c r="AJ515" s="241"/>
      <c r="AK515" s="194"/>
      <c r="AL515" s="195"/>
      <c r="AM515" s="195"/>
    </row>
    <row r="516" spans="2:39">
      <c r="B516" s="253">
        <f t="shared" ref="B516:B579" si="186">+B515+1</f>
        <v>23</v>
      </c>
      <c r="C516" s="244"/>
      <c r="D516" s="654"/>
      <c r="E516" s="466"/>
      <c r="F516" s="612"/>
      <c r="G516" s="230"/>
      <c r="H516" s="230"/>
      <c r="I516" s="230"/>
      <c r="J516" s="230"/>
      <c r="K516" s="230"/>
      <c r="L516" s="228"/>
      <c r="M516" s="257"/>
      <c r="N516" s="228"/>
      <c r="O516" s="228"/>
      <c r="P516" s="258"/>
      <c r="Q516" s="2381"/>
      <c r="R516" s="2381"/>
      <c r="S516" s="254"/>
      <c r="T516" s="228"/>
      <c r="U516" s="2357"/>
      <c r="V516" s="256"/>
      <c r="W516" s="248"/>
      <c r="X516" s="248"/>
      <c r="Y516" s="248"/>
      <c r="Z516" s="247"/>
      <c r="AA516" s="248"/>
      <c r="AB516" s="248"/>
      <c r="AC516" s="194"/>
      <c r="AD516" s="249"/>
      <c r="AE516" s="250"/>
      <c r="AF516" s="251"/>
      <c r="AG516" s="252"/>
      <c r="AH516" s="241"/>
      <c r="AI516" s="241"/>
      <c r="AJ516" s="241"/>
      <c r="AK516" s="194"/>
      <c r="AL516" s="195"/>
      <c r="AM516" s="195"/>
    </row>
    <row r="517" spans="2:39">
      <c r="B517" s="253">
        <f t="shared" si="186"/>
        <v>24</v>
      </c>
      <c r="C517" s="244"/>
      <c r="D517" s="654"/>
      <c r="E517" s="466"/>
      <c r="F517" s="612"/>
      <c r="G517" s="230"/>
      <c r="H517" s="230"/>
      <c r="I517" s="230"/>
      <c r="J517" s="230"/>
      <c r="K517" s="230"/>
      <c r="L517" s="228"/>
      <c r="M517" s="257"/>
      <c r="N517" s="228"/>
      <c r="O517" s="228"/>
      <c r="P517" s="258"/>
      <c r="Q517" s="2381"/>
      <c r="R517" s="2381"/>
      <c r="S517" s="254"/>
      <c r="T517" s="228"/>
      <c r="U517" s="2357"/>
      <c r="V517" s="256"/>
      <c r="W517" s="248"/>
      <c r="X517" s="248"/>
      <c r="Y517" s="248"/>
      <c r="Z517" s="247"/>
      <c r="AA517" s="248"/>
      <c r="AB517" s="248"/>
      <c r="AC517" s="194"/>
      <c r="AD517" s="249"/>
      <c r="AE517" s="250"/>
      <c r="AF517" s="251"/>
      <c r="AG517" s="252"/>
      <c r="AH517" s="241"/>
      <c r="AI517" s="241"/>
      <c r="AJ517" s="241"/>
      <c r="AK517" s="194"/>
      <c r="AL517" s="195"/>
      <c r="AM517" s="195"/>
    </row>
    <row r="518" spans="2:39">
      <c r="B518" s="253">
        <f t="shared" si="186"/>
        <v>25</v>
      </c>
      <c r="C518" s="244"/>
      <c r="D518" s="654"/>
      <c r="E518" s="466"/>
      <c r="F518" s="612"/>
      <c r="G518" s="230"/>
      <c r="H518" s="230"/>
      <c r="I518" s="230"/>
      <c r="J518" s="230"/>
      <c r="K518" s="230"/>
      <c r="L518" s="228"/>
      <c r="M518" s="257"/>
      <c r="N518" s="228"/>
      <c r="O518" s="228"/>
      <c r="P518" s="258"/>
      <c r="Q518" s="2381"/>
      <c r="R518" s="2381"/>
      <c r="S518" s="254"/>
      <c r="T518" s="228"/>
      <c r="U518" s="2357"/>
      <c r="V518" s="256"/>
      <c r="W518" s="248"/>
      <c r="X518" s="248"/>
      <c r="Y518" s="248"/>
      <c r="Z518" s="247"/>
      <c r="AA518" s="248"/>
      <c r="AB518" s="248"/>
      <c r="AC518" s="194"/>
      <c r="AD518" s="249"/>
      <c r="AE518" s="250"/>
      <c r="AF518" s="251"/>
      <c r="AG518" s="252"/>
      <c r="AH518" s="241"/>
      <c r="AI518" s="241"/>
      <c r="AJ518" s="241"/>
      <c r="AK518" s="194"/>
      <c r="AL518" s="195"/>
      <c r="AM518" s="195"/>
    </row>
    <row r="519" spans="2:39">
      <c r="B519" s="253">
        <f t="shared" si="186"/>
        <v>26</v>
      </c>
      <c r="C519" s="244"/>
      <c r="D519" s="654"/>
      <c r="E519" s="466"/>
      <c r="F519" s="612"/>
      <c r="G519" s="230"/>
      <c r="H519" s="230"/>
      <c r="I519" s="230"/>
      <c r="J519" s="230"/>
      <c r="K519" s="230"/>
      <c r="L519" s="228"/>
      <c r="M519" s="257"/>
      <c r="N519" s="228"/>
      <c r="O519" s="228"/>
      <c r="P519" s="258"/>
      <c r="Q519" s="2381"/>
      <c r="R519" s="2381"/>
      <c r="S519" s="254"/>
      <c r="T519" s="228"/>
      <c r="U519" s="2357"/>
      <c r="V519" s="256"/>
      <c r="W519" s="248"/>
      <c r="X519" s="248"/>
      <c r="Y519" s="248"/>
      <c r="Z519" s="247"/>
      <c r="AA519" s="248"/>
      <c r="AB519" s="248"/>
      <c r="AC519" s="194"/>
      <c r="AD519" s="249"/>
      <c r="AE519" s="250"/>
      <c r="AF519" s="251"/>
      <c r="AG519" s="252"/>
      <c r="AH519" s="241"/>
      <c r="AI519" s="241"/>
      <c r="AJ519" s="241"/>
      <c r="AK519" s="194"/>
      <c r="AL519" s="195"/>
      <c r="AM519" s="195"/>
    </row>
    <row r="520" spans="2:39">
      <c r="B520" s="253">
        <f t="shared" si="186"/>
        <v>27</v>
      </c>
      <c r="C520" s="244"/>
      <c r="D520" s="654"/>
      <c r="E520" s="466"/>
      <c r="F520" s="612"/>
      <c r="G520" s="230"/>
      <c r="H520" s="230"/>
      <c r="I520" s="230"/>
      <c r="J520" s="230"/>
      <c r="K520" s="230"/>
      <c r="L520" s="228"/>
      <c r="M520" s="257"/>
      <c r="N520" s="228"/>
      <c r="O520" s="228"/>
      <c r="P520" s="258"/>
      <c r="Q520" s="2381"/>
      <c r="R520" s="2381"/>
      <c r="S520" s="254"/>
      <c r="T520" s="228"/>
      <c r="U520" s="2357"/>
      <c r="V520" s="256"/>
      <c r="W520" s="248"/>
      <c r="X520" s="248"/>
      <c r="Y520" s="248"/>
      <c r="Z520" s="247"/>
      <c r="AA520" s="248"/>
      <c r="AB520" s="248"/>
      <c r="AC520" s="194"/>
      <c r="AD520" s="249"/>
      <c r="AE520" s="250"/>
      <c r="AF520" s="251"/>
      <c r="AG520" s="252"/>
      <c r="AH520" s="241"/>
      <c r="AI520" s="241"/>
      <c r="AJ520" s="241"/>
      <c r="AK520" s="194"/>
      <c r="AL520" s="195"/>
      <c r="AM520" s="195"/>
    </row>
    <row r="521" spans="2:39">
      <c r="B521" s="253">
        <f t="shared" si="186"/>
        <v>28</v>
      </c>
      <c r="C521" s="244"/>
      <c r="D521" s="654"/>
      <c r="E521" s="466"/>
      <c r="F521" s="612"/>
      <c r="G521" s="230"/>
      <c r="H521" s="230"/>
      <c r="I521" s="230"/>
      <c r="J521" s="230"/>
      <c r="K521" s="230"/>
      <c r="L521" s="228"/>
      <c r="M521" s="257"/>
      <c r="N521" s="228"/>
      <c r="O521" s="228"/>
      <c r="P521" s="258"/>
      <c r="Q521" s="2381"/>
      <c r="R521" s="2381"/>
      <c r="S521" s="254"/>
      <c r="T521" s="228"/>
      <c r="U521" s="2357"/>
      <c r="V521" s="256"/>
      <c r="W521" s="248"/>
      <c r="X521" s="248"/>
      <c r="Y521" s="248"/>
      <c r="Z521" s="247"/>
      <c r="AA521" s="248"/>
      <c r="AB521" s="248"/>
      <c r="AC521" s="194"/>
      <c r="AD521" s="249"/>
      <c r="AE521" s="250"/>
      <c r="AF521" s="251"/>
      <c r="AG521" s="252"/>
      <c r="AH521" s="241"/>
      <c r="AI521" s="241"/>
      <c r="AJ521" s="241"/>
      <c r="AK521" s="194"/>
      <c r="AL521" s="195"/>
      <c r="AM521" s="195"/>
    </row>
    <row r="522" spans="2:39">
      <c r="B522" s="253">
        <f t="shared" si="186"/>
        <v>29</v>
      </c>
      <c r="C522" s="244"/>
      <c r="D522" s="654"/>
      <c r="E522" s="466"/>
      <c r="F522" s="612"/>
      <c r="G522" s="230"/>
      <c r="H522" s="230"/>
      <c r="I522" s="230"/>
      <c r="J522" s="230"/>
      <c r="K522" s="230"/>
      <c r="L522" s="228"/>
      <c r="M522" s="257"/>
      <c r="N522" s="228"/>
      <c r="O522" s="228"/>
      <c r="P522" s="258"/>
      <c r="Q522" s="2381"/>
      <c r="R522" s="2381"/>
      <c r="S522" s="254"/>
      <c r="T522" s="228"/>
      <c r="U522" s="2357"/>
      <c r="V522" s="256"/>
      <c r="W522" s="248"/>
      <c r="X522" s="248"/>
      <c r="Y522" s="248"/>
      <c r="Z522" s="247"/>
      <c r="AA522" s="248"/>
      <c r="AB522" s="248"/>
      <c r="AC522" s="194"/>
      <c r="AD522" s="249"/>
      <c r="AE522" s="250"/>
      <c r="AF522" s="251"/>
      <c r="AG522" s="252"/>
      <c r="AH522" s="241"/>
      <c r="AI522" s="241"/>
      <c r="AJ522" s="241"/>
      <c r="AK522" s="194"/>
      <c r="AL522" s="195"/>
      <c r="AM522" s="195"/>
    </row>
    <row r="523" spans="2:39">
      <c r="B523" s="253">
        <f t="shared" si="186"/>
        <v>30</v>
      </c>
      <c r="C523" s="244"/>
      <c r="D523" s="654"/>
      <c r="E523" s="466"/>
      <c r="F523" s="612"/>
      <c r="G523" s="230"/>
      <c r="H523" s="230"/>
      <c r="I523" s="230"/>
      <c r="J523" s="230"/>
      <c r="K523" s="230"/>
      <c r="L523" s="228"/>
      <c r="M523" s="257"/>
      <c r="N523" s="228"/>
      <c r="O523" s="228"/>
      <c r="P523" s="258"/>
      <c r="Q523" s="2381"/>
      <c r="R523" s="2381"/>
      <c r="S523" s="254"/>
      <c r="T523" s="228"/>
      <c r="U523" s="2357"/>
      <c r="V523" s="256"/>
      <c r="W523" s="248"/>
      <c r="X523" s="248"/>
      <c r="Y523" s="248"/>
      <c r="Z523" s="247"/>
      <c r="AA523" s="248"/>
      <c r="AB523" s="248"/>
      <c r="AC523" s="194"/>
      <c r="AD523" s="249"/>
      <c r="AE523" s="250"/>
      <c r="AF523" s="251"/>
      <c r="AG523" s="252"/>
      <c r="AH523" s="241"/>
      <c r="AI523" s="241"/>
      <c r="AJ523" s="241"/>
      <c r="AK523" s="194"/>
      <c r="AL523" s="195"/>
      <c r="AM523" s="195"/>
    </row>
    <row r="524" spans="2:39">
      <c r="B524" s="253">
        <f t="shared" si="186"/>
        <v>31</v>
      </c>
      <c r="C524" s="244"/>
      <c r="D524" s="654"/>
      <c r="E524" s="466"/>
      <c r="F524" s="612"/>
      <c r="G524" s="230"/>
      <c r="H524" s="230"/>
      <c r="I524" s="230"/>
      <c r="J524" s="230"/>
      <c r="K524" s="230"/>
      <c r="L524" s="228"/>
      <c r="M524" s="257"/>
      <c r="N524" s="228"/>
      <c r="O524" s="228"/>
      <c r="P524" s="258"/>
      <c r="Q524" s="2381"/>
      <c r="R524" s="2381"/>
      <c r="S524" s="254"/>
      <c r="T524" s="228"/>
      <c r="U524" s="2357"/>
      <c r="V524" s="256"/>
      <c r="W524" s="248"/>
      <c r="X524" s="248"/>
      <c r="Y524" s="248"/>
      <c r="Z524" s="247"/>
      <c r="AA524" s="248"/>
      <c r="AB524" s="248"/>
      <c r="AC524" s="194"/>
      <c r="AD524" s="249"/>
      <c r="AE524" s="250"/>
      <c r="AF524" s="251"/>
      <c r="AG524" s="252"/>
      <c r="AH524" s="241"/>
      <c r="AI524" s="241"/>
      <c r="AJ524" s="241"/>
      <c r="AK524" s="194"/>
      <c r="AL524" s="195"/>
      <c r="AM524" s="195"/>
    </row>
    <row r="525" spans="2:39">
      <c r="B525" s="253">
        <f t="shared" si="186"/>
        <v>32</v>
      </c>
      <c r="C525" s="244"/>
      <c r="D525" s="654"/>
      <c r="E525" s="466"/>
      <c r="F525" s="612"/>
      <c r="G525" s="230"/>
      <c r="H525" s="230"/>
      <c r="I525" s="230"/>
      <c r="J525" s="230"/>
      <c r="K525" s="230"/>
      <c r="L525" s="228"/>
      <c r="M525" s="257"/>
      <c r="N525" s="228"/>
      <c r="O525" s="228"/>
      <c r="P525" s="258"/>
      <c r="Q525" s="2381"/>
      <c r="R525" s="2381"/>
      <c r="S525" s="254"/>
      <c r="T525" s="228"/>
      <c r="U525" s="2357"/>
      <c r="V525" s="256"/>
      <c r="W525" s="248"/>
      <c r="X525" s="248"/>
      <c r="Y525" s="248"/>
      <c r="Z525" s="247"/>
      <c r="AA525" s="248"/>
      <c r="AB525" s="248"/>
      <c r="AC525" s="194"/>
      <c r="AD525" s="249"/>
      <c r="AE525" s="250"/>
      <c r="AF525" s="251"/>
      <c r="AG525" s="252"/>
      <c r="AH525" s="241"/>
      <c r="AI525" s="241"/>
      <c r="AJ525" s="241"/>
      <c r="AK525" s="194"/>
      <c r="AL525" s="195"/>
      <c r="AM525" s="195"/>
    </row>
    <row r="526" spans="2:39">
      <c r="B526" s="253">
        <f t="shared" si="186"/>
        <v>33</v>
      </c>
      <c r="C526" s="244"/>
      <c r="D526" s="654"/>
      <c r="E526" s="466"/>
      <c r="F526" s="612"/>
      <c r="G526" s="230"/>
      <c r="H526" s="230"/>
      <c r="I526" s="230"/>
      <c r="J526" s="230"/>
      <c r="K526" s="230"/>
      <c r="L526" s="228"/>
      <c r="M526" s="257"/>
      <c r="N526" s="228"/>
      <c r="O526" s="228"/>
      <c r="P526" s="258"/>
      <c r="Q526" s="2381"/>
      <c r="R526" s="2381"/>
      <c r="S526" s="254"/>
      <c r="T526" s="228"/>
      <c r="U526" s="2357"/>
      <c r="V526" s="256"/>
      <c r="W526" s="248"/>
      <c r="X526" s="248"/>
      <c r="Y526" s="248"/>
      <c r="Z526" s="247"/>
      <c r="AA526" s="248"/>
      <c r="AB526" s="248"/>
      <c r="AC526" s="194"/>
      <c r="AD526" s="249"/>
      <c r="AE526" s="250"/>
      <c r="AF526" s="251"/>
      <c r="AG526" s="252"/>
      <c r="AH526" s="241"/>
      <c r="AI526" s="241"/>
      <c r="AJ526" s="241"/>
      <c r="AK526" s="194"/>
      <c r="AL526" s="195"/>
      <c r="AM526" s="195"/>
    </row>
    <row r="527" spans="2:39">
      <c r="B527" s="253">
        <f t="shared" si="186"/>
        <v>34</v>
      </c>
      <c r="C527" s="244"/>
      <c r="D527" s="654"/>
      <c r="E527" s="466"/>
      <c r="F527" s="612"/>
      <c r="G527" s="230"/>
      <c r="H527" s="230"/>
      <c r="I527" s="230"/>
      <c r="J527" s="230"/>
      <c r="K527" s="230"/>
      <c r="L527" s="228"/>
      <c r="M527" s="257"/>
      <c r="N527" s="228"/>
      <c r="O527" s="228"/>
      <c r="P527" s="258"/>
      <c r="Q527" s="2381"/>
      <c r="R527" s="2381"/>
      <c r="S527" s="254"/>
      <c r="T527" s="228"/>
      <c r="U527" s="2357"/>
      <c r="V527" s="256"/>
      <c r="W527" s="248"/>
      <c r="X527" s="248"/>
      <c r="Y527" s="248"/>
      <c r="Z527" s="247"/>
      <c r="AA527" s="248"/>
      <c r="AB527" s="248"/>
      <c r="AC527" s="194"/>
      <c r="AD527" s="249"/>
      <c r="AE527" s="250"/>
      <c r="AF527" s="251"/>
      <c r="AG527" s="252"/>
      <c r="AH527" s="241"/>
      <c r="AI527" s="241"/>
      <c r="AJ527" s="241"/>
      <c r="AK527" s="194"/>
      <c r="AL527" s="195"/>
      <c r="AM527" s="195"/>
    </row>
    <row r="528" spans="2:39">
      <c r="B528" s="253">
        <f t="shared" si="186"/>
        <v>35</v>
      </c>
      <c r="C528" s="244"/>
      <c r="D528" s="654"/>
      <c r="E528" s="466"/>
      <c r="F528" s="612"/>
      <c r="G528" s="230"/>
      <c r="H528" s="230"/>
      <c r="I528" s="230"/>
      <c r="J528" s="230"/>
      <c r="K528" s="230"/>
      <c r="L528" s="228"/>
      <c r="M528" s="257"/>
      <c r="N528" s="228"/>
      <c r="O528" s="228"/>
      <c r="P528" s="258"/>
      <c r="Q528" s="2381"/>
      <c r="R528" s="2381"/>
      <c r="S528" s="254"/>
      <c r="T528" s="228"/>
      <c r="U528" s="2357"/>
      <c r="V528" s="256"/>
      <c r="W528" s="248"/>
      <c r="X528" s="248"/>
      <c r="Y528" s="248"/>
      <c r="Z528" s="247"/>
      <c r="AA528" s="248"/>
      <c r="AB528" s="248"/>
      <c r="AC528" s="194"/>
      <c r="AD528" s="249"/>
      <c r="AE528" s="250"/>
      <c r="AF528" s="251"/>
      <c r="AG528" s="252"/>
      <c r="AH528" s="241"/>
      <c r="AI528" s="241"/>
      <c r="AJ528" s="241"/>
      <c r="AK528" s="194"/>
      <c r="AL528" s="195"/>
      <c r="AM528" s="195"/>
    </row>
    <row r="529" spans="2:39">
      <c r="B529" s="253">
        <f t="shared" si="186"/>
        <v>36</v>
      </c>
      <c r="C529" s="244"/>
      <c r="D529" s="654"/>
      <c r="E529" s="466"/>
      <c r="F529" s="612"/>
      <c r="G529" s="230"/>
      <c r="H529" s="230"/>
      <c r="I529" s="230"/>
      <c r="J529" s="230"/>
      <c r="K529" s="230"/>
      <c r="L529" s="228"/>
      <c r="M529" s="257"/>
      <c r="N529" s="228"/>
      <c r="O529" s="228"/>
      <c r="P529" s="258"/>
      <c r="Q529" s="2381"/>
      <c r="R529" s="2381"/>
      <c r="S529" s="254"/>
      <c r="T529" s="228"/>
      <c r="U529" s="2357"/>
      <c r="V529" s="256"/>
      <c r="W529" s="248"/>
      <c r="X529" s="248"/>
      <c r="Y529" s="248"/>
      <c r="Z529" s="247"/>
      <c r="AA529" s="248"/>
      <c r="AB529" s="248"/>
      <c r="AC529" s="194"/>
      <c r="AD529" s="249"/>
      <c r="AE529" s="250"/>
      <c r="AF529" s="251"/>
      <c r="AG529" s="252"/>
      <c r="AH529" s="241"/>
      <c r="AI529" s="241"/>
      <c r="AJ529" s="241"/>
      <c r="AK529" s="194"/>
      <c r="AL529" s="195"/>
      <c r="AM529" s="195"/>
    </row>
    <row r="530" spans="2:39">
      <c r="B530" s="253">
        <f t="shared" si="186"/>
        <v>37</v>
      </c>
      <c r="C530" s="244"/>
      <c r="D530" s="654"/>
      <c r="E530" s="466"/>
      <c r="F530" s="612"/>
      <c r="G530" s="230"/>
      <c r="H530" s="230"/>
      <c r="I530" s="230"/>
      <c r="J530" s="230"/>
      <c r="K530" s="230"/>
      <c r="L530" s="228"/>
      <c r="M530" s="257"/>
      <c r="N530" s="228"/>
      <c r="O530" s="228"/>
      <c r="P530" s="258"/>
      <c r="Q530" s="2381"/>
      <c r="R530" s="2381"/>
      <c r="S530" s="254"/>
      <c r="T530" s="228"/>
      <c r="U530" s="2357"/>
      <c r="V530" s="256"/>
      <c r="W530" s="248"/>
      <c r="X530" s="248"/>
      <c r="Y530" s="248"/>
      <c r="Z530" s="247"/>
      <c r="AA530" s="248"/>
      <c r="AB530" s="248"/>
      <c r="AC530" s="194"/>
      <c r="AD530" s="249"/>
      <c r="AE530" s="250"/>
      <c r="AF530" s="251"/>
      <c r="AG530" s="252"/>
      <c r="AH530" s="241"/>
      <c r="AI530" s="241"/>
      <c r="AJ530" s="241"/>
      <c r="AK530" s="194"/>
      <c r="AL530" s="195"/>
      <c r="AM530" s="195"/>
    </row>
    <row r="531" spans="2:39">
      <c r="B531" s="253">
        <f t="shared" si="186"/>
        <v>38</v>
      </c>
      <c r="C531" s="244"/>
      <c r="D531" s="654"/>
      <c r="E531" s="466"/>
      <c r="F531" s="612"/>
      <c r="G531" s="230"/>
      <c r="H531" s="230"/>
      <c r="I531" s="230"/>
      <c r="J531" s="230"/>
      <c r="K531" s="230"/>
      <c r="L531" s="228"/>
      <c r="M531" s="257"/>
      <c r="N531" s="228"/>
      <c r="O531" s="228"/>
      <c r="P531" s="258"/>
      <c r="Q531" s="2381"/>
      <c r="R531" s="2381"/>
      <c r="S531" s="254"/>
      <c r="T531" s="228"/>
      <c r="U531" s="2357"/>
      <c r="V531" s="256"/>
      <c r="W531" s="248"/>
      <c r="X531" s="248"/>
      <c r="Y531" s="248"/>
      <c r="Z531" s="247"/>
      <c r="AA531" s="248"/>
      <c r="AB531" s="248"/>
      <c r="AC531" s="194"/>
      <c r="AD531" s="249"/>
      <c r="AE531" s="250"/>
      <c r="AF531" s="251"/>
      <c r="AG531" s="252"/>
      <c r="AH531" s="241"/>
      <c r="AI531" s="241"/>
      <c r="AJ531" s="241"/>
      <c r="AK531" s="194"/>
      <c r="AL531" s="195"/>
      <c r="AM531" s="195"/>
    </row>
    <row r="532" spans="2:39">
      <c r="B532" s="253">
        <f t="shared" si="186"/>
        <v>39</v>
      </c>
      <c r="C532" s="244"/>
      <c r="D532" s="654"/>
      <c r="E532" s="466"/>
      <c r="F532" s="612"/>
      <c r="G532" s="230"/>
      <c r="H532" s="230"/>
      <c r="I532" s="230"/>
      <c r="J532" s="230"/>
      <c r="K532" s="230"/>
      <c r="L532" s="228"/>
      <c r="M532" s="257"/>
      <c r="N532" s="228"/>
      <c r="O532" s="228"/>
      <c r="P532" s="258"/>
      <c r="Q532" s="2381"/>
      <c r="R532" s="2381"/>
      <c r="S532" s="254"/>
      <c r="T532" s="228"/>
      <c r="U532" s="2357"/>
      <c r="V532" s="256"/>
      <c r="W532" s="248"/>
      <c r="X532" s="248"/>
      <c r="Y532" s="248"/>
      <c r="Z532" s="247"/>
      <c r="AA532" s="248"/>
      <c r="AB532" s="248"/>
      <c r="AC532" s="194"/>
      <c r="AD532" s="249"/>
      <c r="AE532" s="250"/>
      <c r="AF532" s="251"/>
      <c r="AG532" s="252"/>
      <c r="AH532" s="241"/>
      <c r="AI532" s="241"/>
      <c r="AJ532" s="241"/>
      <c r="AK532" s="194"/>
      <c r="AL532" s="195"/>
      <c r="AM532" s="195"/>
    </row>
    <row r="533" spans="2:39">
      <c r="B533" s="253">
        <f t="shared" si="186"/>
        <v>40</v>
      </c>
      <c r="C533" s="244"/>
      <c r="D533" s="654"/>
      <c r="E533" s="466"/>
      <c r="F533" s="612"/>
      <c r="G533" s="230"/>
      <c r="H533" s="230"/>
      <c r="I533" s="230"/>
      <c r="J533" s="230"/>
      <c r="K533" s="230"/>
      <c r="L533" s="228"/>
      <c r="M533" s="257"/>
      <c r="N533" s="228"/>
      <c r="O533" s="228"/>
      <c r="P533" s="258"/>
      <c r="Q533" s="2381"/>
      <c r="R533" s="2381"/>
      <c r="S533" s="254"/>
      <c r="T533" s="228"/>
      <c r="U533" s="2357"/>
      <c r="V533" s="256"/>
      <c r="W533" s="248"/>
      <c r="X533" s="248"/>
      <c r="Y533" s="248"/>
      <c r="Z533" s="247"/>
      <c r="AA533" s="248"/>
      <c r="AB533" s="248"/>
      <c r="AC533" s="194"/>
      <c r="AD533" s="249"/>
      <c r="AE533" s="250"/>
      <c r="AF533" s="251"/>
      <c r="AG533" s="252"/>
      <c r="AH533" s="241"/>
      <c r="AI533" s="241"/>
      <c r="AJ533" s="241"/>
      <c r="AK533" s="194"/>
      <c r="AL533" s="195"/>
      <c r="AM533" s="195"/>
    </row>
    <row r="534" spans="2:39">
      <c r="B534" s="253">
        <f t="shared" si="186"/>
        <v>41</v>
      </c>
      <c r="C534" s="244"/>
      <c r="D534" s="654"/>
      <c r="E534" s="466"/>
      <c r="F534" s="612"/>
      <c r="G534" s="230"/>
      <c r="H534" s="230"/>
      <c r="I534" s="230"/>
      <c r="J534" s="230"/>
      <c r="K534" s="230"/>
      <c r="L534" s="228"/>
      <c r="M534" s="257"/>
      <c r="N534" s="228"/>
      <c r="O534" s="228"/>
      <c r="P534" s="258"/>
      <c r="Q534" s="2381"/>
      <c r="R534" s="2381"/>
      <c r="S534" s="254"/>
      <c r="T534" s="228"/>
      <c r="U534" s="2357"/>
      <c r="V534" s="256"/>
      <c r="W534" s="248"/>
      <c r="X534" s="248"/>
      <c r="Y534" s="248"/>
      <c r="Z534" s="247"/>
      <c r="AA534" s="248"/>
      <c r="AB534" s="248"/>
      <c r="AC534" s="194"/>
      <c r="AD534" s="249"/>
      <c r="AE534" s="250"/>
      <c r="AF534" s="251"/>
      <c r="AG534" s="252"/>
      <c r="AH534" s="241"/>
      <c r="AI534" s="241"/>
      <c r="AJ534" s="241"/>
      <c r="AK534" s="194"/>
      <c r="AL534" s="195"/>
      <c r="AM534" s="195"/>
    </row>
    <row r="535" spans="2:39">
      <c r="B535" s="253">
        <f t="shared" si="186"/>
        <v>42</v>
      </c>
      <c r="C535" s="244"/>
      <c r="D535" s="654"/>
      <c r="E535" s="466"/>
      <c r="F535" s="612"/>
      <c r="G535" s="230"/>
      <c r="H535" s="230"/>
      <c r="I535" s="230"/>
      <c r="J535" s="230"/>
      <c r="K535" s="230"/>
      <c r="L535" s="228"/>
      <c r="M535" s="257"/>
      <c r="N535" s="228"/>
      <c r="O535" s="228"/>
      <c r="P535" s="258"/>
      <c r="Q535" s="2381"/>
      <c r="R535" s="2381"/>
      <c r="S535" s="254"/>
      <c r="T535" s="228"/>
      <c r="U535" s="2357"/>
      <c r="V535" s="256"/>
      <c r="W535" s="248"/>
      <c r="X535" s="248"/>
      <c r="Y535" s="248"/>
      <c r="Z535" s="247"/>
      <c r="AA535" s="248"/>
      <c r="AB535" s="248"/>
      <c r="AC535" s="194"/>
      <c r="AD535" s="249"/>
      <c r="AE535" s="250"/>
      <c r="AF535" s="251"/>
      <c r="AG535" s="252"/>
      <c r="AH535" s="241"/>
      <c r="AI535" s="241"/>
      <c r="AJ535" s="241"/>
      <c r="AK535" s="194"/>
      <c r="AL535" s="195"/>
      <c r="AM535" s="195"/>
    </row>
    <row r="536" spans="2:39">
      <c r="B536" s="253">
        <f t="shared" si="186"/>
        <v>43</v>
      </c>
      <c r="C536" s="244"/>
      <c r="D536" s="654"/>
      <c r="E536" s="466"/>
      <c r="F536" s="612"/>
      <c r="G536" s="230"/>
      <c r="H536" s="230"/>
      <c r="I536" s="230"/>
      <c r="J536" s="230"/>
      <c r="K536" s="230"/>
      <c r="L536" s="228"/>
      <c r="M536" s="257"/>
      <c r="N536" s="228"/>
      <c r="O536" s="228"/>
      <c r="P536" s="258"/>
      <c r="Q536" s="2381"/>
      <c r="R536" s="2381"/>
      <c r="S536" s="254"/>
      <c r="T536" s="228"/>
      <c r="U536" s="2357"/>
      <c r="V536" s="256"/>
      <c r="W536" s="248"/>
      <c r="X536" s="248"/>
      <c r="Y536" s="248"/>
      <c r="Z536" s="247"/>
      <c r="AA536" s="248"/>
      <c r="AB536" s="248"/>
      <c r="AC536" s="194"/>
      <c r="AD536" s="249"/>
      <c r="AE536" s="250"/>
      <c r="AF536" s="251"/>
      <c r="AG536" s="252"/>
      <c r="AH536" s="241"/>
      <c r="AI536" s="241"/>
      <c r="AJ536" s="241"/>
      <c r="AK536" s="194"/>
      <c r="AL536" s="195"/>
      <c r="AM536" s="195"/>
    </row>
    <row r="537" spans="2:39">
      <c r="B537" s="253">
        <f t="shared" si="186"/>
        <v>44</v>
      </c>
      <c r="C537" s="244"/>
      <c r="D537" s="654"/>
      <c r="E537" s="466"/>
      <c r="F537" s="612"/>
      <c r="G537" s="230"/>
      <c r="H537" s="230"/>
      <c r="I537" s="230"/>
      <c r="J537" s="230"/>
      <c r="K537" s="230"/>
      <c r="L537" s="228"/>
      <c r="M537" s="257"/>
      <c r="N537" s="228"/>
      <c r="O537" s="228"/>
      <c r="P537" s="258"/>
      <c r="Q537" s="2381"/>
      <c r="R537" s="2381"/>
      <c r="S537" s="254"/>
      <c r="T537" s="228"/>
      <c r="U537" s="2357"/>
      <c r="V537" s="256"/>
      <c r="W537" s="248"/>
      <c r="X537" s="248"/>
      <c r="Y537" s="248"/>
      <c r="Z537" s="247"/>
      <c r="AA537" s="248"/>
      <c r="AB537" s="248"/>
      <c r="AC537" s="194"/>
      <c r="AD537" s="249"/>
      <c r="AE537" s="250"/>
      <c r="AF537" s="251"/>
      <c r="AG537" s="252"/>
      <c r="AH537" s="241"/>
      <c r="AI537" s="241"/>
      <c r="AJ537" s="241"/>
      <c r="AK537" s="194"/>
      <c r="AL537" s="195"/>
      <c r="AM537" s="195"/>
    </row>
    <row r="538" spans="2:39">
      <c r="B538" s="253">
        <f t="shared" si="186"/>
        <v>45</v>
      </c>
      <c r="C538" s="244"/>
      <c r="D538" s="654"/>
      <c r="E538" s="466"/>
      <c r="F538" s="612"/>
      <c r="G538" s="230"/>
      <c r="H538" s="230"/>
      <c r="I538" s="230"/>
      <c r="J538" s="230"/>
      <c r="K538" s="230"/>
      <c r="L538" s="228"/>
      <c r="M538" s="257"/>
      <c r="N538" s="228"/>
      <c r="O538" s="228"/>
      <c r="P538" s="258"/>
      <c r="Q538" s="2381"/>
      <c r="R538" s="2381"/>
      <c r="S538" s="254"/>
      <c r="T538" s="228"/>
      <c r="U538" s="2357"/>
      <c r="V538" s="256"/>
      <c r="W538" s="248"/>
      <c r="X538" s="248"/>
      <c r="Y538" s="248"/>
      <c r="Z538" s="247"/>
      <c r="AA538" s="248"/>
      <c r="AB538" s="248"/>
      <c r="AC538" s="194"/>
      <c r="AD538" s="249"/>
      <c r="AE538" s="250"/>
      <c r="AF538" s="251"/>
      <c r="AG538" s="252"/>
      <c r="AH538" s="241"/>
      <c r="AI538" s="241"/>
      <c r="AJ538" s="241"/>
      <c r="AK538" s="194"/>
      <c r="AL538" s="195"/>
      <c r="AM538" s="195"/>
    </row>
    <row r="539" spans="2:39">
      <c r="B539" s="253">
        <f t="shared" si="186"/>
        <v>46</v>
      </c>
      <c r="C539" s="244"/>
      <c r="D539" s="654"/>
      <c r="E539" s="466"/>
      <c r="F539" s="612"/>
      <c r="G539" s="230"/>
      <c r="H539" s="230"/>
      <c r="I539" s="230"/>
      <c r="J539" s="230"/>
      <c r="K539" s="230"/>
      <c r="L539" s="228"/>
      <c r="M539" s="257"/>
      <c r="N539" s="228"/>
      <c r="O539" s="228"/>
      <c r="P539" s="258"/>
      <c r="Q539" s="2381"/>
      <c r="R539" s="2381"/>
      <c r="S539" s="254"/>
      <c r="T539" s="228"/>
      <c r="U539" s="2357"/>
      <c r="V539" s="256"/>
      <c r="W539" s="248"/>
      <c r="X539" s="248"/>
      <c r="Y539" s="248"/>
      <c r="Z539" s="247"/>
      <c r="AA539" s="248"/>
      <c r="AB539" s="248"/>
      <c r="AC539" s="194"/>
      <c r="AD539" s="249"/>
      <c r="AE539" s="250"/>
      <c r="AF539" s="251"/>
      <c r="AG539" s="252"/>
      <c r="AH539" s="241"/>
      <c r="AI539" s="241"/>
      <c r="AJ539" s="241"/>
      <c r="AK539" s="194"/>
      <c r="AL539" s="195"/>
      <c r="AM539" s="195"/>
    </row>
    <row r="540" spans="2:39">
      <c r="B540" s="253">
        <f t="shared" si="186"/>
        <v>47</v>
      </c>
      <c r="C540" s="244"/>
      <c r="D540" s="654"/>
      <c r="E540" s="466"/>
      <c r="F540" s="612"/>
      <c r="G540" s="230"/>
      <c r="H540" s="230"/>
      <c r="I540" s="230"/>
      <c r="J540" s="230"/>
      <c r="K540" s="230"/>
      <c r="L540" s="228"/>
      <c r="M540" s="257"/>
      <c r="N540" s="228"/>
      <c r="O540" s="228"/>
      <c r="P540" s="258"/>
      <c r="Q540" s="2381"/>
      <c r="R540" s="2381"/>
      <c r="S540" s="254"/>
      <c r="T540" s="228"/>
      <c r="U540" s="2357"/>
      <c r="V540" s="256"/>
      <c r="W540" s="248"/>
      <c r="X540" s="248"/>
      <c r="Y540" s="248"/>
      <c r="Z540" s="247"/>
      <c r="AA540" s="248"/>
      <c r="AB540" s="248"/>
      <c r="AC540" s="194"/>
      <c r="AD540" s="249"/>
      <c r="AE540" s="250"/>
      <c r="AF540" s="251"/>
      <c r="AG540" s="252"/>
      <c r="AH540" s="241"/>
      <c r="AI540" s="241"/>
      <c r="AJ540" s="241"/>
      <c r="AK540" s="194"/>
      <c r="AL540" s="195"/>
      <c r="AM540" s="195"/>
    </row>
    <row r="541" spans="2:39">
      <c r="B541" s="253">
        <f t="shared" si="186"/>
        <v>48</v>
      </c>
      <c r="C541" s="244"/>
      <c r="D541" s="654"/>
      <c r="E541" s="466"/>
      <c r="F541" s="612"/>
      <c r="G541" s="230"/>
      <c r="H541" s="230"/>
      <c r="I541" s="230"/>
      <c r="J541" s="230"/>
      <c r="K541" s="230"/>
      <c r="L541" s="228"/>
      <c r="M541" s="257"/>
      <c r="N541" s="228"/>
      <c r="O541" s="228"/>
      <c r="P541" s="258"/>
      <c r="Q541" s="2381"/>
      <c r="R541" s="2381"/>
      <c r="S541" s="254"/>
      <c r="T541" s="228"/>
      <c r="U541" s="2357"/>
      <c r="V541" s="256"/>
      <c r="W541" s="248"/>
      <c r="X541" s="248"/>
      <c r="Y541" s="248"/>
      <c r="Z541" s="247"/>
      <c r="AA541" s="248"/>
      <c r="AB541" s="248"/>
      <c r="AC541" s="194"/>
      <c r="AD541" s="249"/>
      <c r="AE541" s="250"/>
      <c r="AF541" s="251"/>
      <c r="AG541" s="252"/>
      <c r="AH541" s="241"/>
      <c r="AI541" s="241"/>
      <c r="AJ541" s="241"/>
      <c r="AK541" s="194"/>
      <c r="AL541" s="195"/>
      <c r="AM541" s="195"/>
    </row>
    <row r="542" spans="2:39">
      <c r="B542" s="253">
        <f t="shared" si="186"/>
        <v>49</v>
      </c>
      <c r="C542" s="244"/>
      <c r="D542" s="654"/>
      <c r="E542" s="466"/>
      <c r="F542" s="612"/>
      <c r="G542" s="230"/>
      <c r="H542" s="230"/>
      <c r="I542" s="230"/>
      <c r="J542" s="230"/>
      <c r="K542" s="230"/>
      <c r="L542" s="228"/>
      <c r="M542" s="257"/>
      <c r="N542" s="228"/>
      <c r="O542" s="228"/>
      <c r="P542" s="258"/>
      <c r="Q542" s="2381"/>
      <c r="R542" s="2381"/>
      <c r="S542" s="254"/>
      <c r="T542" s="228"/>
      <c r="U542" s="2357"/>
      <c r="V542" s="256"/>
      <c r="W542" s="248"/>
      <c r="X542" s="248"/>
      <c r="Y542" s="248"/>
      <c r="Z542" s="247"/>
      <c r="AA542" s="248"/>
      <c r="AB542" s="248"/>
      <c r="AC542" s="194"/>
      <c r="AD542" s="249"/>
      <c r="AE542" s="250"/>
      <c r="AF542" s="251"/>
      <c r="AG542" s="252"/>
      <c r="AH542" s="241"/>
      <c r="AI542" s="241"/>
      <c r="AJ542" s="241"/>
      <c r="AK542" s="194"/>
      <c r="AL542" s="195"/>
      <c r="AM542" s="195"/>
    </row>
    <row r="543" spans="2:39">
      <c r="B543" s="253">
        <f t="shared" si="186"/>
        <v>50</v>
      </c>
      <c r="C543" s="244"/>
      <c r="D543" s="654"/>
      <c r="E543" s="466"/>
      <c r="F543" s="612"/>
      <c r="G543" s="230"/>
      <c r="H543" s="230"/>
      <c r="I543" s="230"/>
      <c r="J543" s="230"/>
      <c r="K543" s="230"/>
      <c r="L543" s="228"/>
      <c r="M543" s="257"/>
      <c r="N543" s="228"/>
      <c r="O543" s="228"/>
      <c r="P543" s="258"/>
      <c r="Q543" s="2381"/>
      <c r="R543" s="2381"/>
      <c r="S543" s="254"/>
      <c r="T543" s="228"/>
      <c r="U543" s="2357"/>
      <c r="V543" s="256"/>
      <c r="W543" s="248"/>
      <c r="X543" s="248"/>
      <c r="Y543" s="248"/>
      <c r="Z543" s="247"/>
      <c r="AA543" s="248"/>
      <c r="AB543" s="248"/>
      <c r="AC543" s="194"/>
      <c r="AD543" s="249"/>
      <c r="AE543" s="250"/>
      <c r="AF543" s="251"/>
      <c r="AG543" s="252"/>
      <c r="AH543" s="241"/>
      <c r="AI543" s="241"/>
      <c r="AJ543" s="241"/>
      <c r="AK543" s="194"/>
      <c r="AL543" s="195"/>
      <c r="AM543" s="195"/>
    </row>
    <row r="544" spans="2:39">
      <c r="B544" s="253">
        <f t="shared" si="186"/>
        <v>51</v>
      </c>
      <c r="C544" s="244"/>
      <c r="D544" s="654"/>
      <c r="E544" s="466"/>
      <c r="F544" s="612"/>
      <c r="G544" s="230"/>
      <c r="H544" s="230"/>
      <c r="I544" s="230"/>
      <c r="J544" s="230"/>
      <c r="K544" s="230"/>
      <c r="L544" s="228"/>
      <c r="M544" s="257"/>
      <c r="N544" s="228"/>
      <c r="O544" s="228"/>
      <c r="P544" s="258"/>
      <c r="Q544" s="2381"/>
      <c r="R544" s="2381"/>
      <c r="S544" s="254"/>
      <c r="T544" s="228"/>
      <c r="U544" s="2357"/>
      <c r="V544" s="256"/>
      <c r="W544" s="248"/>
      <c r="X544" s="248"/>
      <c r="Y544" s="248"/>
      <c r="Z544" s="247"/>
      <c r="AA544" s="248"/>
      <c r="AB544" s="248"/>
      <c r="AC544" s="194"/>
      <c r="AD544" s="249"/>
      <c r="AE544" s="250"/>
      <c r="AF544" s="251"/>
      <c r="AG544" s="252"/>
      <c r="AH544" s="241"/>
      <c r="AI544" s="241"/>
      <c r="AJ544" s="241"/>
      <c r="AK544" s="194"/>
      <c r="AL544" s="195"/>
      <c r="AM544" s="195"/>
    </row>
    <row r="545" spans="2:39">
      <c r="B545" s="253">
        <f t="shared" si="186"/>
        <v>52</v>
      </c>
      <c r="C545" s="244"/>
      <c r="D545" s="654"/>
      <c r="E545" s="466"/>
      <c r="F545" s="612"/>
      <c r="G545" s="230"/>
      <c r="H545" s="230"/>
      <c r="I545" s="230"/>
      <c r="J545" s="230"/>
      <c r="K545" s="230"/>
      <c r="L545" s="228"/>
      <c r="M545" s="257"/>
      <c r="N545" s="228"/>
      <c r="O545" s="228"/>
      <c r="P545" s="258"/>
      <c r="Q545" s="2381"/>
      <c r="R545" s="2381"/>
      <c r="S545" s="254"/>
      <c r="T545" s="228"/>
      <c r="U545" s="2357"/>
      <c r="V545" s="256"/>
      <c r="W545" s="248"/>
      <c r="X545" s="248"/>
      <c r="Y545" s="248"/>
      <c r="Z545" s="247"/>
      <c r="AA545" s="248"/>
      <c r="AB545" s="248"/>
      <c r="AC545" s="194"/>
      <c r="AD545" s="249"/>
      <c r="AE545" s="250"/>
      <c r="AF545" s="251"/>
      <c r="AG545" s="252"/>
      <c r="AH545" s="241"/>
      <c r="AI545" s="241"/>
      <c r="AJ545" s="241"/>
      <c r="AK545" s="194"/>
      <c r="AL545" s="195"/>
      <c r="AM545" s="195"/>
    </row>
    <row r="546" spans="2:39">
      <c r="B546" s="253">
        <f t="shared" si="186"/>
        <v>53</v>
      </c>
      <c r="C546" s="244"/>
      <c r="D546" s="654"/>
      <c r="E546" s="466"/>
      <c r="F546" s="612"/>
      <c r="G546" s="230"/>
      <c r="H546" s="230"/>
      <c r="I546" s="230"/>
      <c r="J546" s="230"/>
      <c r="K546" s="230"/>
      <c r="L546" s="228"/>
      <c r="M546" s="257"/>
      <c r="N546" s="228"/>
      <c r="O546" s="228"/>
      <c r="P546" s="258"/>
      <c r="Q546" s="2381"/>
      <c r="R546" s="2381"/>
      <c r="S546" s="254"/>
      <c r="T546" s="228"/>
      <c r="U546" s="2357"/>
      <c r="V546" s="256"/>
      <c r="W546" s="248"/>
      <c r="X546" s="248"/>
      <c r="Y546" s="248"/>
      <c r="Z546" s="247"/>
      <c r="AA546" s="248"/>
      <c r="AB546" s="248"/>
      <c r="AC546" s="194"/>
      <c r="AD546" s="249"/>
      <c r="AE546" s="250"/>
      <c r="AF546" s="251"/>
      <c r="AG546" s="252"/>
      <c r="AH546" s="241"/>
      <c r="AI546" s="241"/>
      <c r="AJ546" s="241"/>
      <c r="AK546" s="194"/>
      <c r="AL546" s="195"/>
      <c r="AM546" s="195"/>
    </row>
    <row r="547" spans="2:39">
      <c r="B547" s="253">
        <f t="shared" si="186"/>
        <v>54</v>
      </c>
      <c r="C547" s="244"/>
      <c r="D547" s="654"/>
      <c r="E547" s="466"/>
      <c r="F547" s="612"/>
      <c r="G547" s="230"/>
      <c r="H547" s="230"/>
      <c r="I547" s="230"/>
      <c r="J547" s="230"/>
      <c r="K547" s="230"/>
      <c r="L547" s="228"/>
      <c r="M547" s="257"/>
      <c r="N547" s="228"/>
      <c r="O547" s="228"/>
      <c r="P547" s="258"/>
      <c r="Q547" s="2381"/>
      <c r="R547" s="2381"/>
      <c r="S547" s="254"/>
      <c r="T547" s="228"/>
      <c r="U547" s="2357"/>
      <c r="V547" s="256"/>
      <c r="W547" s="248"/>
      <c r="X547" s="248"/>
      <c r="Y547" s="248"/>
      <c r="Z547" s="247"/>
      <c r="AA547" s="248"/>
      <c r="AB547" s="248"/>
      <c r="AC547" s="194"/>
      <c r="AD547" s="249"/>
      <c r="AE547" s="250"/>
      <c r="AF547" s="251"/>
      <c r="AG547" s="252"/>
      <c r="AH547" s="241"/>
      <c r="AI547" s="241"/>
      <c r="AJ547" s="241"/>
      <c r="AK547" s="194"/>
      <c r="AL547" s="195"/>
      <c r="AM547" s="195"/>
    </row>
    <row r="548" spans="2:39">
      <c r="B548" s="253">
        <f t="shared" si="186"/>
        <v>55</v>
      </c>
      <c r="C548" s="244"/>
      <c r="D548" s="654"/>
      <c r="E548" s="466"/>
      <c r="F548" s="612"/>
      <c r="G548" s="230"/>
      <c r="H548" s="230"/>
      <c r="I548" s="230"/>
      <c r="J548" s="230"/>
      <c r="K548" s="230"/>
      <c r="L548" s="228"/>
      <c r="M548" s="257"/>
      <c r="N548" s="228"/>
      <c r="O548" s="228"/>
      <c r="P548" s="258"/>
      <c r="Q548" s="2381"/>
      <c r="R548" s="2381"/>
      <c r="S548" s="254"/>
      <c r="T548" s="228"/>
      <c r="U548" s="2357"/>
      <c r="V548" s="256"/>
      <c r="W548" s="248"/>
      <c r="X548" s="248"/>
      <c r="Y548" s="248"/>
      <c r="Z548" s="247"/>
      <c r="AA548" s="248"/>
      <c r="AB548" s="248"/>
      <c r="AC548" s="194"/>
      <c r="AD548" s="249"/>
      <c r="AE548" s="250"/>
      <c r="AF548" s="251"/>
      <c r="AG548" s="252"/>
      <c r="AH548" s="241"/>
      <c r="AI548" s="241"/>
      <c r="AJ548" s="241"/>
      <c r="AK548" s="194"/>
      <c r="AL548" s="195"/>
      <c r="AM548" s="195"/>
    </row>
    <row r="549" spans="2:39">
      <c r="B549" s="253">
        <f t="shared" si="186"/>
        <v>56</v>
      </c>
      <c r="C549" s="244"/>
      <c r="D549" s="654"/>
      <c r="E549" s="466"/>
      <c r="F549" s="612"/>
      <c r="G549" s="230"/>
      <c r="H549" s="230"/>
      <c r="I549" s="230"/>
      <c r="J549" s="230"/>
      <c r="K549" s="230"/>
      <c r="L549" s="228"/>
      <c r="M549" s="257"/>
      <c r="N549" s="228"/>
      <c r="O549" s="228"/>
      <c r="P549" s="258"/>
      <c r="Q549" s="2381"/>
      <c r="R549" s="2381"/>
      <c r="S549" s="254"/>
      <c r="T549" s="228"/>
      <c r="U549" s="2357"/>
      <c r="V549" s="256"/>
      <c r="W549" s="248"/>
      <c r="X549" s="248"/>
      <c r="Y549" s="248"/>
      <c r="Z549" s="247"/>
      <c r="AA549" s="248"/>
      <c r="AB549" s="248"/>
      <c r="AC549" s="194"/>
      <c r="AD549" s="249"/>
      <c r="AE549" s="250"/>
      <c r="AF549" s="251"/>
      <c r="AG549" s="252"/>
      <c r="AH549" s="241"/>
      <c r="AI549" s="241"/>
      <c r="AJ549" s="241"/>
      <c r="AK549" s="194"/>
      <c r="AL549" s="195"/>
      <c r="AM549" s="195"/>
    </row>
    <row r="550" spans="2:39">
      <c r="B550" s="253">
        <f t="shared" si="186"/>
        <v>57</v>
      </c>
      <c r="C550" s="244"/>
      <c r="D550" s="654"/>
      <c r="E550" s="466"/>
      <c r="F550" s="612"/>
      <c r="G550" s="230"/>
      <c r="H550" s="230"/>
      <c r="I550" s="230"/>
      <c r="J550" s="230"/>
      <c r="K550" s="230"/>
      <c r="L550" s="228"/>
      <c r="M550" s="257"/>
      <c r="N550" s="228"/>
      <c r="O550" s="228"/>
      <c r="P550" s="258"/>
      <c r="Q550" s="2381"/>
      <c r="R550" s="2381"/>
      <c r="S550" s="254"/>
      <c r="T550" s="228"/>
      <c r="U550" s="2357"/>
      <c r="V550" s="256"/>
      <c r="W550" s="248"/>
      <c r="X550" s="248"/>
      <c r="Y550" s="248"/>
      <c r="Z550" s="247"/>
      <c r="AA550" s="248"/>
      <c r="AB550" s="248"/>
      <c r="AC550" s="194"/>
      <c r="AD550" s="249"/>
      <c r="AE550" s="250"/>
      <c r="AF550" s="251"/>
      <c r="AG550" s="252"/>
      <c r="AH550" s="241"/>
      <c r="AI550" s="241"/>
      <c r="AJ550" s="241"/>
      <c r="AK550" s="194"/>
      <c r="AL550" s="195"/>
      <c r="AM550" s="195"/>
    </row>
    <row r="551" spans="2:39">
      <c r="B551" s="253">
        <f t="shared" si="186"/>
        <v>58</v>
      </c>
      <c r="C551" s="244"/>
      <c r="D551" s="654"/>
      <c r="E551" s="466"/>
      <c r="F551" s="612"/>
      <c r="G551" s="230"/>
      <c r="H551" s="230"/>
      <c r="I551" s="230"/>
      <c r="J551" s="230"/>
      <c r="K551" s="230"/>
      <c r="L551" s="228"/>
      <c r="M551" s="257"/>
      <c r="N551" s="228"/>
      <c r="O551" s="228"/>
      <c r="P551" s="258"/>
      <c r="Q551" s="2381"/>
      <c r="R551" s="2381"/>
      <c r="S551" s="254"/>
      <c r="T551" s="228"/>
      <c r="U551" s="2357"/>
      <c r="V551" s="256"/>
      <c r="W551" s="248"/>
      <c r="X551" s="248"/>
      <c r="Y551" s="248"/>
      <c r="Z551" s="247"/>
      <c r="AA551" s="248"/>
      <c r="AB551" s="248"/>
      <c r="AC551" s="194"/>
      <c r="AD551" s="249"/>
      <c r="AE551" s="250"/>
      <c r="AF551" s="251"/>
      <c r="AG551" s="252"/>
      <c r="AH551" s="241"/>
      <c r="AI551" s="241"/>
      <c r="AJ551" s="241"/>
      <c r="AK551" s="194"/>
      <c r="AL551" s="195"/>
      <c r="AM551" s="195"/>
    </row>
    <row r="552" spans="2:39">
      <c r="B552" s="253">
        <f t="shared" si="186"/>
        <v>59</v>
      </c>
      <c r="C552" s="244"/>
      <c r="D552" s="654"/>
      <c r="E552" s="466"/>
      <c r="F552" s="612"/>
      <c r="G552" s="230"/>
      <c r="H552" s="230"/>
      <c r="I552" s="230"/>
      <c r="J552" s="230"/>
      <c r="K552" s="230"/>
      <c r="L552" s="228"/>
      <c r="M552" s="257"/>
      <c r="N552" s="228"/>
      <c r="O552" s="228"/>
      <c r="P552" s="258"/>
      <c r="Q552" s="2381"/>
      <c r="R552" s="2381"/>
      <c r="S552" s="254"/>
      <c r="T552" s="228"/>
      <c r="U552" s="2357"/>
      <c r="V552" s="256"/>
      <c r="W552" s="248"/>
      <c r="X552" s="248"/>
      <c r="Y552" s="248"/>
      <c r="Z552" s="247"/>
      <c r="AA552" s="248"/>
      <c r="AB552" s="248"/>
      <c r="AC552" s="194"/>
      <c r="AD552" s="249"/>
      <c r="AE552" s="250"/>
      <c r="AF552" s="251"/>
      <c r="AG552" s="252"/>
      <c r="AH552" s="241"/>
      <c r="AI552" s="241"/>
      <c r="AJ552" s="241"/>
      <c r="AK552" s="194"/>
      <c r="AL552" s="195"/>
      <c r="AM552" s="195"/>
    </row>
    <row r="553" spans="2:39">
      <c r="B553" s="253">
        <f t="shared" si="186"/>
        <v>60</v>
      </c>
      <c r="C553" s="244"/>
      <c r="D553" s="654"/>
      <c r="E553" s="466"/>
      <c r="F553" s="612"/>
      <c r="G553" s="230"/>
      <c r="H553" s="230"/>
      <c r="I553" s="230"/>
      <c r="J553" s="230"/>
      <c r="K553" s="230"/>
      <c r="L553" s="228"/>
      <c r="M553" s="257"/>
      <c r="N553" s="228"/>
      <c r="O553" s="228"/>
      <c r="P553" s="258"/>
      <c r="Q553" s="2381"/>
      <c r="R553" s="2381"/>
      <c r="S553" s="254"/>
      <c r="T553" s="228"/>
      <c r="U553" s="2357"/>
      <c r="V553" s="256"/>
      <c r="W553" s="248"/>
      <c r="X553" s="248"/>
      <c r="Y553" s="248"/>
      <c r="Z553" s="247"/>
      <c r="AA553" s="248"/>
      <c r="AB553" s="248"/>
      <c r="AC553" s="194"/>
      <c r="AD553" s="249"/>
      <c r="AE553" s="250"/>
      <c r="AF553" s="251"/>
      <c r="AG553" s="252"/>
      <c r="AH553" s="241"/>
      <c r="AI553" s="241"/>
      <c r="AJ553" s="241"/>
      <c r="AK553" s="194"/>
      <c r="AL553" s="195"/>
      <c r="AM553" s="195"/>
    </row>
    <row r="554" spans="2:39">
      <c r="B554" s="253">
        <f t="shared" si="186"/>
        <v>61</v>
      </c>
      <c r="C554" s="244"/>
      <c r="D554" s="654"/>
      <c r="E554" s="466"/>
      <c r="F554" s="612"/>
      <c r="G554" s="230"/>
      <c r="H554" s="230"/>
      <c r="I554" s="230"/>
      <c r="J554" s="230"/>
      <c r="K554" s="230"/>
      <c r="L554" s="228"/>
      <c r="M554" s="257"/>
      <c r="N554" s="228"/>
      <c r="O554" s="228"/>
      <c r="P554" s="258"/>
      <c r="Q554" s="2381"/>
      <c r="R554" s="2381"/>
      <c r="S554" s="254"/>
      <c r="T554" s="228"/>
      <c r="U554" s="2357"/>
      <c r="V554" s="256"/>
      <c r="W554" s="248"/>
      <c r="X554" s="248"/>
      <c r="Y554" s="248"/>
      <c r="Z554" s="247"/>
      <c r="AA554" s="248"/>
      <c r="AB554" s="248"/>
      <c r="AC554" s="194"/>
      <c r="AD554" s="249"/>
      <c r="AE554" s="250"/>
      <c r="AF554" s="251"/>
      <c r="AG554" s="252"/>
      <c r="AH554" s="241"/>
      <c r="AI554" s="241"/>
      <c r="AJ554" s="241"/>
      <c r="AK554" s="194"/>
      <c r="AL554" s="195"/>
      <c r="AM554" s="195"/>
    </row>
    <row r="555" spans="2:39">
      <c r="B555" s="253">
        <f t="shared" si="186"/>
        <v>62</v>
      </c>
      <c r="C555" s="244"/>
      <c r="D555" s="654"/>
      <c r="E555" s="466"/>
      <c r="F555" s="612"/>
      <c r="G555" s="230"/>
      <c r="H555" s="230"/>
      <c r="I555" s="230"/>
      <c r="J555" s="230"/>
      <c r="K555" s="230"/>
      <c r="L555" s="228"/>
      <c r="M555" s="257"/>
      <c r="N555" s="228"/>
      <c r="O555" s="228"/>
      <c r="P555" s="258"/>
      <c r="Q555" s="2381"/>
      <c r="R555" s="2381"/>
      <c r="S555" s="254"/>
      <c r="T555" s="228"/>
      <c r="U555" s="2357"/>
      <c r="V555" s="256"/>
      <c r="W555" s="248"/>
      <c r="X555" s="248"/>
      <c r="Y555" s="248"/>
      <c r="Z555" s="247"/>
      <c r="AA555" s="248"/>
      <c r="AB555" s="248"/>
      <c r="AC555" s="194"/>
      <c r="AD555" s="249"/>
      <c r="AE555" s="250"/>
      <c r="AF555" s="251"/>
      <c r="AG555" s="252"/>
      <c r="AH555" s="241"/>
      <c r="AI555" s="241"/>
      <c r="AJ555" s="241"/>
      <c r="AK555" s="194"/>
      <c r="AL555" s="195"/>
      <c r="AM555" s="195"/>
    </row>
    <row r="556" spans="2:39">
      <c r="B556" s="253">
        <f t="shared" si="186"/>
        <v>63</v>
      </c>
      <c r="C556" s="244"/>
      <c r="D556" s="654"/>
      <c r="E556" s="466"/>
      <c r="F556" s="612"/>
      <c r="G556" s="230"/>
      <c r="H556" s="230"/>
      <c r="I556" s="230"/>
      <c r="J556" s="230"/>
      <c r="K556" s="230"/>
      <c r="L556" s="228"/>
      <c r="M556" s="257"/>
      <c r="N556" s="228"/>
      <c r="O556" s="228"/>
      <c r="P556" s="258"/>
      <c r="Q556" s="2381"/>
      <c r="R556" s="2381"/>
      <c r="S556" s="254"/>
      <c r="T556" s="228"/>
      <c r="U556" s="2357"/>
      <c r="V556" s="256"/>
      <c r="W556" s="248"/>
      <c r="X556" s="248"/>
      <c r="Y556" s="248"/>
      <c r="Z556" s="247"/>
      <c r="AA556" s="248"/>
      <c r="AB556" s="248"/>
      <c r="AC556" s="194"/>
      <c r="AD556" s="249"/>
      <c r="AE556" s="250"/>
      <c r="AF556" s="251"/>
      <c r="AG556" s="252"/>
      <c r="AH556" s="241"/>
      <c r="AI556" s="241"/>
      <c r="AJ556" s="241"/>
      <c r="AK556" s="194"/>
      <c r="AL556" s="195"/>
      <c r="AM556" s="195"/>
    </row>
    <row r="557" spans="2:39">
      <c r="B557" s="253">
        <f t="shared" si="186"/>
        <v>64</v>
      </c>
      <c r="C557" s="244"/>
      <c r="D557" s="654"/>
      <c r="E557" s="466"/>
      <c r="F557" s="612"/>
      <c r="G557" s="230"/>
      <c r="H557" s="230"/>
      <c r="I557" s="230"/>
      <c r="J557" s="230"/>
      <c r="K557" s="230"/>
      <c r="L557" s="228"/>
      <c r="M557" s="257"/>
      <c r="N557" s="228"/>
      <c r="O557" s="228"/>
      <c r="P557" s="258"/>
      <c r="Q557" s="2381"/>
      <c r="R557" s="2381"/>
      <c r="S557" s="254"/>
      <c r="T557" s="228"/>
      <c r="U557" s="2357"/>
      <c r="V557" s="256"/>
      <c r="W557" s="248"/>
      <c r="X557" s="248"/>
      <c r="Y557" s="248"/>
      <c r="Z557" s="247"/>
      <c r="AA557" s="248"/>
      <c r="AB557" s="248"/>
      <c r="AC557" s="194"/>
      <c r="AD557" s="249"/>
      <c r="AE557" s="250"/>
      <c r="AF557" s="251"/>
      <c r="AG557" s="252"/>
      <c r="AH557" s="241"/>
      <c r="AI557" s="241"/>
      <c r="AJ557" s="241"/>
      <c r="AK557" s="194"/>
      <c r="AL557" s="195"/>
      <c r="AM557" s="195"/>
    </row>
    <row r="558" spans="2:39">
      <c r="B558" s="253">
        <f t="shared" si="186"/>
        <v>65</v>
      </c>
      <c r="C558" s="244"/>
      <c r="D558" s="654"/>
      <c r="E558" s="466"/>
      <c r="F558" s="612"/>
      <c r="G558" s="230"/>
      <c r="H558" s="230"/>
      <c r="I558" s="230"/>
      <c r="J558" s="230"/>
      <c r="K558" s="230"/>
      <c r="L558" s="228"/>
      <c r="M558" s="257"/>
      <c r="N558" s="228"/>
      <c r="O558" s="228"/>
      <c r="P558" s="258"/>
      <c r="Q558" s="2381"/>
      <c r="R558" s="2381"/>
      <c r="S558" s="254"/>
      <c r="T558" s="228"/>
      <c r="U558" s="2357"/>
      <c r="V558" s="256"/>
      <c r="W558" s="248"/>
      <c r="X558" s="248"/>
      <c r="Y558" s="248"/>
      <c r="Z558" s="247"/>
      <c r="AA558" s="248"/>
      <c r="AB558" s="248"/>
      <c r="AC558" s="194"/>
      <c r="AD558" s="249"/>
      <c r="AE558" s="250"/>
      <c r="AF558" s="251"/>
      <c r="AG558" s="252"/>
      <c r="AH558" s="241"/>
      <c r="AI558" s="241"/>
      <c r="AJ558" s="241"/>
      <c r="AK558" s="194"/>
      <c r="AL558" s="195"/>
      <c r="AM558" s="195"/>
    </row>
    <row r="559" spans="2:39">
      <c r="B559" s="253">
        <f t="shared" si="186"/>
        <v>66</v>
      </c>
      <c r="C559" s="244"/>
      <c r="D559" s="654"/>
      <c r="E559" s="466"/>
      <c r="F559" s="612"/>
      <c r="G559" s="230"/>
      <c r="H559" s="230"/>
      <c r="I559" s="230"/>
      <c r="J559" s="230"/>
      <c r="K559" s="230"/>
      <c r="L559" s="228"/>
      <c r="M559" s="257"/>
      <c r="N559" s="228"/>
      <c r="O559" s="228"/>
      <c r="P559" s="258"/>
      <c r="Q559" s="2381"/>
      <c r="R559" s="2381"/>
      <c r="S559" s="254"/>
      <c r="T559" s="228"/>
      <c r="U559" s="2357"/>
      <c r="V559" s="256"/>
      <c r="W559" s="248"/>
      <c r="X559" s="248"/>
      <c r="Y559" s="248"/>
      <c r="Z559" s="247"/>
      <c r="AA559" s="248"/>
      <c r="AB559" s="248"/>
      <c r="AC559" s="194"/>
      <c r="AD559" s="249"/>
      <c r="AE559" s="250"/>
      <c r="AF559" s="251"/>
      <c r="AG559" s="252"/>
      <c r="AH559" s="241"/>
      <c r="AI559" s="241"/>
      <c r="AJ559" s="241"/>
      <c r="AK559" s="194"/>
      <c r="AL559" s="195"/>
      <c r="AM559" s="195"/>
    </row>
    <row r="560" spans="2:39">
      <c r="B560" s="253">
        <f t="shared" si="186"/>
        <v>67</v>
      </c>
      <c r="C560" s="244"/>
      <c r="D560" s="654"/>
      <c r="E560" s="466"/>
      <c r="F560" s="612"/>
      <c r="G560" s="230"/>
      <c r="H560" s="230"/>
      <c r="I560" s="230"/>
      <c r="J560" s="230"/>
      <c r="K560" s="230"/>
      <c r="L560" s="228"/>
      <c r="M560" s="257"/>
      <c r="N560" s="228"/>
      <c r="O560" s="228"/>
      <c r="P560" s="258"/>
      <c r="Q560" s="2381"/>
      <c r="R560" s="2381"/>
      <c r="S560" s="254"/>
      <c r="T560" s="228"/>
      <c r="U560" s="2357"/>
      <c r="V560" s="256"/>
      <c r="W560" s="248"/>
      <c r="X560" s="248"/>
      <c r="Y560" s="248"/>
      <c r="Z560" s="247"/>
      <c r="AA560" s="248"/>
      <c r="AB560" s="248"/>
      <c r="AC560" s="194"/>
      <c r="AD560" s="249"/>
      <c r="AE560" s="250"/>
      <c r="AF560" s="251"/>
      <c r="AG560" s="252"/>
      <c r="AH560" s="241"/>
      <c r="AI560" s="241"/>
      <c r="AJ560" s="241"/>
      <c r="AK560" s="194"/>
      <c r="AL560" s="195"/>
      <c r="AM560" s="195"/>
    </row>
    <row r="561" spans="2:39">
      <c r="B561" s="253">
        <f t="shared" si="186"/>
        <v>68</v>
      </c>
      <c r="C561" s="244"/>
      <c r="D561" s="654"/>
      <c r="E561" s="466"/>
      <c r="F561" s="612"/>
      <c r="G561" s="230"/>
      <c r="H561" s="230"/>
      <c r="I561" s="230"/>
      <c r="J561" s="230"/>
      <c r="K561" s="230"/>
      <c r="L561" s="228"/>
      <c r="M561" s="257"/>
      <c r="N561" s="228"/>
      <c r="O561" s="228"/>
      <c r="P561" s="258"/>
      <c r="Q561" s="2381"/>
      <c r="R561" s="2381"/>
      <c r="S561" s="254"/>
      <c r="T561" s="228"/>
      <c r="U561" s="2357"/>
      <c r="V561" s="256"/>
      <c r="W561" s="248"/>
      <c r="X561" s="248"/>
      <c r="Y561" s="248"/>
      <c r="Z561" s="247"/>
      <c r="AA561" s="248"/>
      <c r="AB561" s="248"/>
      <c r="AC561" s="194"/>
      <c r="AD561" s="249"/>
      <c r="AE561" s="250"/>
      <c r="AF561" s="251"/>
      <c r="AG561" s="252"/>
      <c r="AH561" s="241"/>
      <c r="AI561" s="241"/>
      <c r="AJ561" s="241"/>
      <c r="AK561" s="194"/>
      <c r="AL561" s="195"/>
      <c r="AM561" s="195"/>
    </row>
    <row r="562" spans="2:39">
      <c r="B562" s="253">
        <f t="shared" si="186"/>
        <v>69</v>
      </c>
      <c r="C562" s="244"/>
      <c r="D562" s="654"/>
      <c r="E562" s="466"/>
      <c r="F562" s="612"/>
      <c r="G562" s="230"/>
      <c r="H562" s="230"/>
      <c r="I562" s="230"/>
      <c r="J562" s="230"/>
      <c r="K562" s="230"/>
      <c r="L562" s="228"/>
      <c r="M562" s="257"/>
      <c r="N562" s="228"/>
      <c r="O562" s="228"/>
      <c r="P562" s="258"/>
      <c r="Q562" s="2381"/>
      <c r="R562" s="2381"/>
      <c r="S562" s="254"/>
      <c r="T562" s="228"/>
      <c r="U562" s="2357"/>
      <c r="V562" s="256"/>
      <c r="W562" s="248"/>
      <c r="X562" s="248"/>
      <c r="Y562" s="248"/>
      <c r="Z562" s="247"/>
      <c r="AA562" s="248"/>
      <c r="AB562" s="248"/>
      <c r="AC562" s="194"/>
      <c r="AD562" s="249"/>
      <c r="AE562" s="250"/>
      <c r="AF562" s="251"/>
      <c r="AG562" s="252"/>
      <c r="AH562" s="241"/>
      <c r="AI562" s="241"/>
      <c r="AJ562" s="241"/>
      <c r="AK562" s="194"/>
      <c r="AL562" s="195"/>
      <c r="AM562" s="195"/>
    </row>
    <row r="563" spans="2:39">
      <c r="B563" s="253">
        <f t="shared" si="186"/>
        <v>70</v>
      </c>
      <c r="C563" s="244"/>
      <c r="D563" s="654"/>
      <c r="E563" s="466"/>
      <c r="F563" s="612"/>
      <c r="G563" s="230"/>
      <c r="H563" s="230"/>
      <c r="I563" s="230"/>
      <c r="J563" s="230"/>
      <c r="K563" s="230"/>
      <c r="L563" s="228"/>
      <c r="M563" s="257"/>
      <c r="N563" s="228"/>
      <c r="O563" s="228"/>
      <c r="P563" s="258"/>
      <c r="Q563" s="2381"/>
      <c r="R563" s="2381"/>
      <c r="S563" s="254"/>
      <c r="T563" s="228"/>
      <c r="U563" s="2357"/>
      <c r="V563" s="256"/>
      <c r="W563" s="248"/>
      <c r="X563" s="248"/>
      <c r="Y563" s="248"/>
      <c r="Z563" s="247"/>
      <c r="AA563" s="248"/>
      <c r="AB563" s="248"/>
      <c r="AC563" s="194"/>
      <c r="AD563" s="249"/>
      <c r="AE563" s="250"/>
      <c r="AF563" s="251"/>
      <c r="AG563" s="252"/>
      <c r="AH563" s="241"/>
      <c r="AI563" s="241"/>
      <c r="AJ563" s="241"/>
      <c r="AK563" s="194"/>
      <c r="AL563" s="195"/>
      <c r="AM563" s="195"/>
    </row>
    <row r="564" spans="2:39">
      <c r="B564" s="253">
        <f t="shared" si="186"/>
        <v>71</v>
      </c>
      <c r="C564" s="244"/>
      <c r="D564" s="654"/>
      <c r="E564" s="466"/>
      <c r="F564" s="612"/>
      <c r="G564" s="230"/>
      <c r="H564" s="230"/>
      <c r="I564" s="230"/>
      <c r="J564" s="230"/>
      <c r="K564" s="230"/>
      <c r="L564" s="228"/>
      <c r="M564" s="257"/>
      <c r="N564" s="228"/>
      <c r="O564" s="228"/>
      <c r="P564" s="258"/>
      <c r="Q564" s="2381"/>
      <c r="R564" s="2381"/>
      <c r="S564" s="254"/>
      <c r="T564" s="228"/>
      <c r="U564" s="2357"/>
      <c r="V564" s="256"/>
      <c r="W564" s="248"/>
      <c r="X564" s="248"/>
      <c r="Y564" s="248"/>
      <c r="Z564" s="247"/>
      <c r="AA564" s="248"/>
      <c r="AB564" s="248"/>
      <c r="AC564" s="194"/>
      <c r="AD564" s="249"/>
      <c r="AE564" s="250"/>
      <c r="AF564" s="251"/>
      <c r="AG564" s="252"/>
      <c r="AH564" s="241"/>
      <c r="AI564" s="241"/>
      <c r="AJ564" s="241"/>
      <c r="AK564" s="194"/>
      <c r="AL564" s="195"/>
      <c r="AM564" s="195"/>
    </row>
    <row r="565" spans="2:39">
      <c r="B565" s="253">
        <f t="shared" si="186"/>
        <v>72</v>
      </c>
      <c r="C565" s="244"/>
      <c r="D565" s="654"/>
      <c r="E565" s="466"/>
      <c r="F565" s="612"/>
      <c r="G565" s="230"/>
      <c r="H565" s="230"/>
      <c r="I565" s="230"/>
      <c r="J565" s="230"/>
      <c r="K565" s="230"/>
      <c r="L565" s="228"/>
      <c r="M565" s="257"/>
      <c r="N565" s="228"/>
      <c r="O565" s="228"/>
      <c r="P565" s="258"/>
      <c r="Q565" s="2381"/>
      <c r="R565" s="2381"/>
      <c r="S565" s="254"/>
      <c r="T565" s="228"/>
      <c r="U565" s="2357"/>
      <c r="V565" s="256"/>
      <c r="W565" s="248"/>
      <c r="X565" s="248"/>
      <c r="Y565" s="248"/>
      <c r="Z565" s="247"/>
      <c r="AA565" s="248"/>
      <c r="AB565" s="248"/>
      <c r="AC565" s="194"/>
      <c r="AD565" s="249"/>
      <c r="AE565" s="250"/>
      <c r="AF565" s="251"/>
      <c r="AG565" s="252"/>
      <c r="AH565" s="241"/>
      <c r="AI565" s="241"/>
      <c r="AJ565" s="241"/>
      <c r="AK565" s="194"/>
      <c r="AL565" s="195"/>
      <c r="AM565" s="195"/>
    </row>
    <row r="566" spans="2:39">
      <c r="B566" s="253">
        <f t="shared" si="186"/>
        <v>73</v>
      </c>
      <c r="C566" s="244"/>
      <c r="D566" s="654"/>
      <c r="E566" s="466"/>
      <c r="F566" s="612"/>
      <c r="G566" s="230"/>
      <c r="H566" s="230"/>
      <c r="I566" s="230"/>
      <c r="J566" s="230"/>
      <c r="K566" s="230"/>
      <c r="L566" s="228"/>
      <c r="M566" s="257"/>
      <c r="N566" s="228"/>
      <c r="O566" s="228"/>
      <c r="P566" s="258"/>
      <c r="Q566" s="2381"/>
      <c r="R566" s="2381"/>
      <c r="S566" s="254"/>
      <c r="T566" s="228"/>
      <c r="U566" s="2357"/>
      <c r="V566" s="256"/>
      <c r="W566" s="248"/>
      <c r="X566" s="248"/>
      <c r="Y566" s="248"/>
      <c r="Z566" s="247"/>
      <c r="AA566" s="248"/>
      <c r="AB566" s="248"/>
      <c r="AC566" s="194"/>
      <c r="AD566" s="249"/>
      <c r="AE566" s="250"/>
      <c r="AF566" s="251"/>
      <c r="AG566" s="252"/>
      <c r="AH566" s="241"/>
      <c r="AI566" s="241"/>
      <c r="AJ566" s="241"/>
      <c r="AK566" s="194"/>
      <c r="AL566" s="195"/>
      <c r="AM566" s="195"/>
    </row>
    <row r="567" spans="2:39">
      <c r="B567" s="253">
        <f t="shared" si="186"/>
        <v>74</v>
      </c>
      <c r="C567" s="244"/>
      <c r="D567" s="654"/>
      <c r="E567" s="466"/>
      <c r="F567" s="612"/>
      <c r="G567" s="230"/>
      <c r="H567" s="230"/>
      <c r="I567" s="230"/>
      <c r="J567" s="230"/>
      <c r="K567" s="230"/>
      <c r="L567" s="228"/>
      <c r="M567" s="257"/>
      <c r="N567" s="228"/>
      <c r="O567" s="228"/>
      <c r="P567" s="258"/>
      <c r="Q567" s="2381"/>
      <c r="R567" s="2381"/>
      <c r="S567" s="254"/>
      <c r="T567" s="228"/>
      <c r="U567" s="2357"/>
      <c r="V567" s="256"/>
      <c r="W567" s="248"/>
      <c r="X567" s="248"/>
      <c r="Y567" s="248"/>
      <c r="Z567" s="247"/>
      <c r="AA567" s="248"/>
      <c r="AB567" s="248"/>
      <c r="AC567" s="194"/>
      <c r="AD567" s="249"/>
      <c r="AE567" s="250"/>
      <c r="AF567" s="251"/>
      <c r="AG567" s="252"/>
      <c r="AH567" s="241"/>
      <c r="AI567" s="241"/>
      <c r="AJ567" s="241"/>
      <c r="AK567" s="194"/>
      <c r="AL567" s="195"/>
      <c r="AM567" s="195"/>
    </row>
    <row r="568" spans="2:39">
      <c r="B568" s="253">
        <f t="shared" si="186"/>
        <v>75</v>
      </c>
      <c r="C568" s="244"/>
      <c r="D568" s="654"/>
      <c r="E568" s="466"/>
      <c r="F568" s="612"/>
      <c r="G568" s="230"/>
      <c r="H568" s="230"/>
      <c r="I568" s="230"/>
      <c r="J568" s="230"/>
      <c r="K568" s="230"/>
      <c r="L568" s="228"/>
      <c r="M568" s="257"/>
      <c r="N568" s="228"/>
      <c r="O568" s="228"/>
      <c r="P568" s="258"/>
      <c r="Q568" s="2381"/>
      <c r="R568" s="2381"/>
      <c r="S568" s="254"/>
      <c r="T568" s="228"/>
      <c r="U568" s="2357"/>
      <c r="V568" s="256"/>
      <c r="W568" s="248"/>
      <c r="X568" s="248"/>
      <c r="Y568" s="248"/>
      <c r="Z568" s="247"/>
      <c r="AA568" s="248"/>
      <c r="AB568" s="248"/>
      <c r="AC568" s="194"/>
      <c r="AD568" s="249"/>
      <c r="AE568" s="250"/>
      <c r="AF568" s="251"/>
      <c r="AG568" s="252"/>
      <c r="AH568" s="241"/>
      <c r="AI568" s="241"/>
      <c r="AJ568" s="241"/>
      <c r="AK568" s="194"/>
      <c r="AL568" s="195"/>
      <c r="AM568" s="195"/>
    </row>
    <row r="569" spans="2:39">
      <c r="B569" s="253">
        <f t="shared" si="186"/>
        <v>76</v>
      </c>
      <c r="C569" s="244"/>
      <c r="D569" s="654"/>
      <c r="E569" s="466"/>
      <c r="F569" s="612"/>
      <c r="G569" s="230"/>
      <c r="H569" s="230"/>
      <c r="I569" s="230"/>
      <c r="J569" s="230"/>
      <c r="K569" s="230"/>
      <c r="L569" s="228"/>
      <c r="M569" s="257"/>
      <c r="N569" s="228"/>
      <c r="O569" s="228"/>
      <c r="P569" s="258"/>
      <c r="Q569" s="2381"/>
      <c r="R569" s="2381"/>
      <c r="S569" s="254"/>
      <c r="T569" s="228"/>
      <c r="U569" s="2357"/>
      <c r="V569" s="256"/>
      <c r="W569" s="248"/>
      <c r="X569" s="248"/>
      <c r="Y569" s="248"/>
      <c r="Z569" s="247"/>
      <c r="AA569" s="248"/>
      <c r="AB569" s="248"/>
      <c r="AC569" s="194"/>
      <c r="AD569" s="249"/>
      <c r="AE569" s="250"/>
      <c r="AF569" s="251"/>
      <c r="AG569" s="252"/>
      <c r="AH569" s="241"/>
      <c r="AI569" s="241"/>
      <c r="AJ569" s="241"/>
      <c r="AK569" s="194"/>
      <c r="AL569" s="195"/>
      <c r="AM569" s="195"/>
    </row>
    <row r="570" spans="2:39">
      <c r="B570" s="253">
        <f t="shared" si="186"/>
        <v>77</v>
      </c>
      <c r="C570" s="244"/>
      <c r="D570" s="654"/>
      <c r="E570" s="466"/>
      <c r="F570" s="612"/>
      <c r="G570" s="230"/>
      <c r="H570" s="230"/>
      <c r="I570" s="230"/>
      <c r="J570" s="230"/>
      <c r="K570" s="230"/>
      <c r="L570" s="228"/>
      <c r="M570" s="257"/>
      <c r="N570" s="228"/>
      <c r="O570" s="228"/>
      <c r="P570" s="258"/>
      <c r="Q570" s="2381"/>
      <c r="R570" s="2381"/>
      <c r="S570" s="254"/>
      <c r="T570" s="228"/>
      <c r="U570" s="2357"/>
      <c r="V570" s="256"/>
      <c r="W570" s="248"/>
      <c r="X570" s="248"/>
      <c r="Y570" s="248"/>
      <c r="Z570" s="247"/>
      <c r="AA570" s="248"/>
      <c r="AB570" s="248"/>
      <c r="AC570" s="194"/>
      <c r="AD570" s="249"/>
      <c r="AE570" s="250"/>
      <c r="AF570" s="251"/>
      <c r="AG570" s="252"/>
      <c r="AH570" s="241"/>
      <c r="AI570" s="241"/>
      <c r="AJ570" s="241"/>
      <c r="AK570" s="194"/>
      <c r="AL570" s="195"/>
      <c r="AM570" s="195"/>
    </row>
    <row r="571" spans="2:39">
      <c r="B571" s="253">
        <f t="shared" si="186"/>
        <v>78</v>
      </c>
      <c r="C571" s="244"/>
      <c r="D571" s="654"/>
      <c r="E571" s="466"/>
      <c r="F571" s="612"/>
      <c r="G571" s="230"/>
      <c r="H571" s="230"/>
      <c r="I571" s="230"/>
      <c r="J571" s="230"/>
      <c r="K571" s="230"/>
      <c r="L571" s="228"/>
      <c r="M571" s="257"/>
      <c r="N571" s="228"/>
      <c r="O571" s="228"/>
      <c r="P571" s="258"/>
      <c r="Q571" s="2381"/>
      <c r="R571" s="2381"/>
      <c r="S571" s="254"/>
      <c r="T571" s="228"/>
      <c r="U571" s="2357"/>
      <c r="V571" s="256"/>
      <c r="W571" s="248"/>
      <c r="X571" s="248"/>
      <c r="Y571" s="248"/>
      <c r="Z571" s="247"/>
      <c r="AA571" s="248"/>
      <c r="AB571" s="248"/>
      <c r="AC571" s="194"/>
      <c r="AD571" s="249"/>
      <c r="AE571" s="250"/>
      <c r="AF571" s="251"/>
      <c r="AG571" s="252"/>
      <c r="AH571" s="241"/>
      <c r="AI571" s="241"/>
      <c r="AJ571" s="241"/>
      <c r="AK571" s="194"/>
      <c r="AL571" s="195"/>
      <c r="AM571" s="195"/>
    </row>
    <row r="572" spans="2:39">
      <c r="B572" s="253">
        <f t="shared" si="186"/>
        <v>79</v>
      </c>
      <c r="C572" s="244"/>
      <c r="D572" s="654"/>
      <c r="E572" s="466"/>
      <c r="F572" s="612"/>
      <c r="G572" s="230"/>
      <c r="H572" s="230"/>
      <c r="I572" s="230"/>
      <c r="J572" s="230"/>
      <c r="K572" s="230"/>
      <c r="L572" s="228"/>
      <c r="M572" s="257"/>
      <c r="N572" s="228"/>
      <c r="O572" s="228"/>
      <c r="P572" s="258"/>
      <c r="Q572" s="2381"/>
      <c r="R572" s="2381"/>
      <c r="S572" s="254"/>
      <c r="T572" s="228"/>
      <c r="U572" s="2357"/>
      <c r="V572" s="256"/>
      <c r="W572" s="248"/>
      <c r="X572" s="248"/>
      <c r="Y572" s="248"/>
      <c r="Z572" s="247"/>
      <c r="AA572" s="248"/>
      <c r="AB572" s="248"/>
      <c r="AC572" s="194"/>
      <c r="AD572" s="249"/>
      <c r="AE572" s="250"/>
      <c r="AF572" s="251"/>
      <c r="AG572" s="252"/>
      <c r="AH572" s="241"/>
      <c r="AI572" s="241"/>
      <c r="AJ572" s="241"/>
      <c r="AK572" s="194"/>
      <c r="AL572" s="195"/>
      <c r="AM572" s="195"/>
    </row>
    <row r="573" spans="2:39">
      <c r="B573" s="253">
        <f t="shared" si="186"/>
        <v>80</v>
      </c>
      <c r="C573" s="244"/>
      <c r="D573" s="654"/>
      <c r="E573" s="466"/>
      <c r="F573" s="612"/>
      <c r="G573" s="230"/>
      <c r="H573" s="230"/>
      <c r="I573" s="230"/>
      <c r="J573" s="230"/>
      <c r="K573" s="230"/>
      <c r="L573" s="228"/>
      <c r="M573" s="257"/>
      <c r="N573" s="228"/>
      <c r="O573" s="228"/>
      <c r="P573" s="258"/>
      <c r="Q573" s="2381"/>
      <c r="R573" s="2381"/>
      <c r="S573" s="254"/>
      <c r="T573" s="228"/>
      <c r="U573" s="2357"/>
      <c r="V573" s="256"/>
      <c r="W573" s="248"/>
      <c r="X573" s="248"/>
      <c r="Y573" s="248"/>
      <c r="Z573" s="247"/>
      <c r="AA573" s="248"/>
      <c r="AB573" s="248"/>
      <c r="AC573" s="194"/>
      <c r="AD573" s="249"/>
      <c r="AE573" s="250"/>
      <c r="AF573" s="251"/>
      <c r="AG573" s="252"/>
      <c r="AH573" s="241"/>
      <c r="AI573" s="241"/>
      <c r="AJ573" s="241"/>
      <c r="AK573" s="194"/>
      <c r="AL573" s="195"/>
      <c r="AM573" s="195"/>
    </row>
    <row r="574" spans="2:39">
      <c r="B574" s="253">
        <f t="shared" si="186"/>
        <v>81</v>
      </c>
      <c r="C574" s="244"/>
      <c r="D574" s="654"/>
      <c r="E574" s="466"/>
      <c r="F574" s="612"/>
      <c r="G574" s="230"/>
      <c r="H574" s="230"/>
      <c r="I574" s="230"/>
      <c r="J574" s="230"/>
      <c r="K574" s="230"/>
      <c r="L574" s="228"/>
      <c r="M574" s="257"/>
      <c r="N574" s="228"/>
      <c r="O574" s="228"/>
      <c r="P574" s="258"/>
      <c r="Q574" s="2381"/>
      <c r="R574" s="2381"/>
      <c r="S574" s="254"/>
      <c r="T574" s="228"/>
      <c r="U574" s="2357"/>
      <c r="V574" s="256"/>
      <c r="W574" s="248"/>
      <c r="X574" s="248"/>
      <c r="Y574" s="248"/>
      <c r="Z574" s="247"/>
      <c r="AA574" s="248"/>
      <c r="AB574" s="248"/>
      <c r="AC574" s="194"/>
      <c r="AD574" s="249"/>
      <c r="AE574" s="250"/>
      <c r="AF574" s="251"/>
      <c r="AG574" s="252"/>
      <c r="AH574" s="241"/>
      <c r="AI574" s="241"/>
      <c r="AJ574" s="241"/>
      <c r="AK574" s="194"/>
      <c r="AL574" s="195"/>
      <c r="AM574" s="195"/>
    </row>
    <row r="575" spans="2:39">
      <c r="B575" s="253">
        <f t="shared" si="186"/>
        <v>82</v>
      </c>
      <c r="C575" s="244"/>
      <c r="D575" s="654"/>
      <c r="E575" s="466"/>
      <c r="F575" s="612"/>
      <c r="G575" s="230"/>
      <c r="H575" s="230"/>
      <c r="I575" s="230"/>
      <c r="J575" s="230"/>
      <c r="K575" s="230"/>
      <c r="L575" s="228"/>
      <c r="M575" s="257"/>
      <c r="N575" s="228"/>
      <c r="O575" s="228"/>
      <c r="P575" s="258"/>
      <c r="Q575" s="2381"/>
      <c r="R575" s="2381"/>
      <c r="S575" s="254"/>
      <c r="T575" s="228"/>
      <c r="U575" s="2357"/>
      <c r="V575" s="256"/>
      <c r="W575" s="248"/>
      <c r="X575" s="248"/>
      <c r="Y575" s="248"/>
      <c r="Z575" s="247"/>
      <c r="AA575" s="248"/>
      <c r="AB575" s="248"/>
      <c r="AC575" s="194"/>
      <c r="AD575" s="249"/>
      <c r="AE575" s="250"/>
      <c r="AF575" s="251"/>
      <c r="AG575" s="252"/>
      <c r="AH575" s="241"/>
      <c r="AI575" s="241"/>
      <c r="AJ575" s="241"/>
      <c r="AK575" s="194"/>
      <c r="AL575" s="195"/>
      <c r="AM575" s="195"/>
    </row>
    <row r="576" spans="2:39">
      <c r="B576" s="253">
        <f t="shared" si="186"/>
        <v>83</v>
      </c>
      <c r="C576" s="244"/>
      <c r="D576" s="654"/>
      <c r="E576" s="466"/>
      <c r="F576" s="612"/>
      <c r="G576" s="230"/>
      <c r="H576" s="230"/>
      <c r="I576" s="230"/>
      <c r="J576" s="230"/>
      <c r="K576" s="230"/>
      <c r="L576" s="228"/>
      <c r="M576" s="257"/>
      <c r="N576" s="228"/>
      <c r="O576" s="228"/>
      <c r="P576" s="258"/>
      <c r="Q576" s="2381"/>
      <c r="R576" s="2381"/>
      <c r="S576" s="254"/>
      <c r="T576" s="228"/>
      <c r="U576" s="2357"/>
      <c r="V576" s="256"/>
      <c r="W576" s="248"/>
      <c r="X576" s="248"/>
      <c r="Y576" s="248"/>
      <c r="Z576" s="247"/>
      <c r="AA576" s="248"/>
      <c r="AB576" s="248"/>
      <c r="AC576" s="194"/>
      <c r="AD576" s="249"/>
      <c r="AE576" s="250"/>
      <c r="AF576" s="251"/>
      <c r="AG576" s="252"/>
      <c r="AH576" s="241"/>
      <c r="AI576" s="241"/>
      <c r="AJ576" s="241"/>
      <c r="AK576" s="194"/>
      <c r="AL576" s="195"/>
      <c r="AM576" s="195"/>
    </row>
    <row r="577" spans="2:39">
      <c r="B577" s="253">
        <f t="shared" si="186"/>
        <v>84</v>
      </c>
      <c r="C577" s="244"/>
      <c r="D577" s="654"/>
      <c r="E577" s="466"/>
      <c r="F577" s="612"/>
      <c r="G577" s="230"/>
      <c r="H577" s="230"/>
      <c r="I577" s="230"/>
      <c r="J577" s="230"/>
      <c r="K577" s="230"/>
      <c r="L577" s="228"/>
      <c r="M577" s="257"/>
      <c r="N577" s="228"/>
      <c r="O577" s="228"/>
      <c r="P577" s="258"/>
      <c r="Q577" s="2381"/>
      <c r="R577" s="2381"/>
      <c r="S577" s="254"/>
      <c r="T577" s="228"/>
      <c r="U577" s="2357"/>
      <c r="V577" s="256"/>
      <c r="W577" s="248"/>
      <c r="X577" s="248"/>
      <c r="Y577" s="248"/>
      <c r="Z577" s="247"/>
      <c r="AA577" s="248"/>
      <c r="AB577" s="248"/>
      <c r="AC577" s="194"/>
      <c r="AD577" s="249"/>
      <c r="AE577" s="250"/>
      <c r="AF577" s="251"/>
      <c r="AG577" s="252"/>
      <c r="AH577" s="241"/>
      <c r="AI577" s="241"/>
      <c r="AJ577" s="241"/>
      <c r="AK577" s="194"/>
      <c r="AL577" s="195"/>
      <c r="AM577" s="195"/>
    </row>
    <row r="578" spans="2:39">
      <c r="B578" s="253">
        <f t="shared" si="186"/>
        <v>85</v>
      </c>
      <c r="C578" s="244"/>
      <c r="D578" s="654"/>
      <c r="E578" s="466"/>
      <c r="F578" s="612"/>
      <c r="G578" s="230"/>
      <c r="H578" s="230"/>
      <c r="I578" s="230"/>
      <c r="J578" s="230"/>
      <c r="K578" s="230"/>
      <c r="L578" s="228"/>
      <c r="M578" s="257"/>
      <c r="N578" s="228"/>
      <c r="O578" s="228"/>
      <c r="P578" s="258"/>
      <c r="Q578" s="2381"/>
      <c r="R578" s="2381"/>
      <c r="S578" s="254"/>
      <c r="T578" s="228"/>
      <c r="U578" s="2357"/>
      <c r="V578" s="256"/>
      <c r="W578" s="248"/>
      <c r="X578" s="248"/>
      <c r="Y578" s="248"/>
      <c r="Z578" s="247"/>
      <c r="AA578" s="248"/>
      <c r="AB578" s="248"/>
      <c r="AC578" s="194"/>
      <c r="AD578" s="249"/>
      <c r="AE578" s="250"/>
      <c r="AF578" s="251"/>
      <c r="AG578" s="252"/>
      <c r="AH578" s="241"/>
      <c r="AI578" s="241"/>
      <c r="AJ578" s="241"/>
      <c r="AK578" s="194"/>
      <c r="AL578" s="195"/>
      <c r="AM578" s="195"/>
    </row>
    <row r="579" spans="2:39">
      <c r="B579" s="253">
        <f t="shared" si="186"/>
        <v>86</v>
      </c>
      <c r="C579" s="244"/>
      <c r="D579" s="654"/>
      <c r="E579" s="466"/>
      <c r="F579" s="612"/>
      <c r="G579" s="230"/>
      <c r="H579" s="230"/>
      <c r="I579" s="230"/>
      <c r="J579" s="230"/>
      <c r="K579" s="230"/>
      <c r="L579" s="228"/>
      <c r="M579" s="257"/>
      <c r="N579" s="228"/>
      <c r="O579" s="228"/>
      <c r="P579" s="258"/>
      <c r="Q579" s="2381"/>
      <c r="R579" s="2381"/>
      <c r="S579" s="254"/>
      <c r="T579" s="228"/>
      <c r="U579" s="2357"/>
      <c r="V579" s="256"/>
      <c r="W579" s="248"/>
      <c r="X579" s="248"/>
      <c r="Y579" s="248"/>
      <c r="Z579" s="247"/>
      <c r="AA579" s="248"/>
      <c r="AB579" s="248"/>
      <c r="AC579" s="194"/>
      <c r="AD579" s="249"/>
      <c r="AE579" s="250"/>
      <c r="AF579" s="251"/>
      <c r="AG579" s="252"/>
      <c r="AH579" s="241"/>
      <c r="AI579" s="241"/>
      <c r="AJ579" s="241"/>
      <c r="AK579" s="194"/>
      <c r="AL579" s="195"/>
      <c r="AM579" s="195"/>
    </row>
    <row r="580" spans="2:39">
      <c r="B580" s="253">
        <f t="shared" ref="B580:B643" si="187">+B579+1</f>
        <v>87</v>
      </c>
      <c r="C580" s="244"/>
      <c r="D580" s="654"/>
      <c r="E580" s="466"/>
      <c r="F580" s="612"/>
      <c r="G580" s="230"/>
      <c r="H580" s="230"/>
      <c r="I580" s="230"/>
      <c r="J580" s="230"/>
      <c r="K580" s="230"/>
      <c r="L580" s="228"/>
      <c r="M580" s="257"/>
      <c r="N580" s="228"/>
      <c r="O580" s="228"/>
      <c r="P580" s="258"/>
      <c r="Q580" s="2381"/>
      <c r="R580" s="2381"/>
      <c r="S580" s="254"/>
      <c r="T580" s="228"/>
      <c r="U580" s="2357"/>
      <c r="V580" s="256"/>
      <c r="W580" s="248"/>
      <c r="X580" s="248"/>
      <c r="Y580" s="248"/>
      <c r="Z580" s="247"/>
      <c r="AA580" s="248"/>
      <c r="AB580" s="248"/>
      <c r="AC580" s="194"/>
      <c r="AD580" s="249"/>
      <c r="AE580" s="250"/>
      <c r="AF580" s="251"/>
      <c r="AG580" s="252"/>
      <c r="AH580" s="241"/>
      <c r="AI580" s="241"/>
      <c r="AJ580" s="241"/>
      <c r="AK580" s="194"/>
      <c r="AL580" s="195"/>
      <c r="AM580" s="195"/>
    </row>
    <row r="581" spans="2:39">
      <c r="B581" s="253">
        <f t="shared" si="187"/>
        <v>88</v>
      </c>
      <c r="C581" s="244"/>
      <c r="D581" s="654"/>
      <c r="E581" s="466"/>
      <c r="F581" s="612"/>
      <c r="G581" s="230"/>
      <c r="H581" s="230"/>
      <c r="I581" s="230"/>
      <c r="J581" s="230"/>
      <c r="K581" s="230"/>
      <c r="L581" s="228"/>
      <c r="M581" s="257"/>
      <c r="N581" s="228"/>
      <c r="O581" s="228"/>
      <c r="P581" s="258"/>
      <c r="Q581" s="2381"/>
      <c r="R581" s="2381"/>
      <c r="S581" s="254"/>
      <c r="T581" s="228"/>
      <c r="U581" s="2357"/>
      <c r="V581" s="256"/>
      <c r="W581" s="248"/>
      <c r="X581" s="248"/>
      <c r="Y581" s="248"/>
      <c r="Z581" s="247"/>
      <c r="AA581" s="248"/>
      <c r="AB581" s="248"/>
      <c r="AC581" s="194"/>
      <c r="AD581" s="249"/>
      <c r="AE581" s="250"/>
      <c r="AF581" s="251"/>
      <c r="AG581" s="252"/>
      <c r="AH581" s="241"/>
      <c r="AI581" s="241"/>
      <c r="AJ581" s="241"/>
      <c r="AK581" s="194"/>
      <c r="AL581" s="195"/>
      <c r="AM581" s="195"/>
    </row>
    <row r="582" spans="2:39">
      <c r="B582" s="253">
        <f t="shared" si="187"/>
        <v>89</v>
      </c>
      <c r="C582" s="244"/>
      <c r="D582" s="654"/>
      <c r="E582" s="466"/>
      <c r="F582" s="612"/>
      <c r="G582" s="230"/>
      <c r="H582" s="230"/>
      <c r="I582" s="230"/>
      <c r="J582" s="230"/>
      <c r="K582" s="230"/>
      <c r="L582" s="228"/>
      <c r="M582" s="257"/>
      <c r="N582" s="228"/>
      <c r="O582" s="228"/>
      <c r="P582" s="258"/>
      <c r="Q582" s="2381"/>
      <c r="R582" s="2381"/>
      <c r="S582" s="254"/>
      <c r="T582" s="228"/>
      <c r="U582" s="2357"/>
      <c r="V582" s="256"/>
      <c r="W582" s="248"/>
      <c r="X582" s="248"/>
      <c r="Y582" s="248"/>
      <c r="Z582" s="247"/>
      <c r="AA582" s="248"/>
      <c r="AB582" s="248"/>
      <c r="AC582" s="194"/>
      <c r="AD582" s="249"/>
      <c r="AE582" s="250"/>
      <c r="AF582" s="251"/>
      <c r="AG582" s="252"/>
      <c r="AH582" s="241"/>
      <c r="AI582" s="241"/>
      <c r="AJ582" s="241"/>
      <c r="AK582" s="194"/>
      <c r="AL582" s="195"/>
      <c r="AM582" s="195"/>
    </row>
    <row r="583" spans="2:39">
      <c r="B583" s="253">
        <f t="shared" si="187"/>
        <v>90</v>
      </c>
      <c r="C583" s="244"/>
      <c r="D583" s="654"/>
      <c r="E583" s="466"/>
      <c r="F583" s="612"/>
      <c r="G583" s="230"/>
      <c r="H583" s="230"/>
      <c r="I583" s="230"/>
      <c r="J583" s="230"/>
      <c r="K583" s="230"/>
      <c r="L583" s="228"/>
      <c r="M583" s="257"/>
      <c r="N583" s="228"/>
      <c r="O583" s="228"/>
      <c r="P583" s="258"/>
      <c r="Q583" s="2381"/>
      <c r="R583" s="2381"/>
      <c r="S583" s="254"/>
      <c r="T583" s="228"/>
      <c r="U583" s="2357"/>
      <c r="V583" s="256"/>
      <c r="W583" s="248"/>
      <c r="X583" s="248"/>
      <c r="Y583" s="248"/>
      <c r="Z583" s="247"/>
      <c r="AA583" s="248"/>
      <c r="AB583" s="248"/>
      <c r="AC583" s="194"/>
      <c r="AD583" s="249"/>
      <c r="AE583" s="250"/>
      <c r="AF583" s="251"/>
      <c r="AG583" s="252"/>
      <c r="AH583" s="241"/>
      <c r="AI583" s="241"/>
      <c r="AJ583" s="241"/>
      <c r="AK583" s="194"/>
      <c r="AL583" s="195"/>
      <c r="AM583" s="195"/>
    </row>
    <row r="584" spans="2:39">
      <c r="B584" s="253">
        <f t="shared" si="187"/>
        <v>91</v>
      </c>
      <c r="C584" s="244"/>
      <c r="D584" s="654"/>
      <c r="E584" s="466"/>
      <c r="F584" s="612"/>
      <c r="G584" s="230"/>
      <c r="H584" s="230"/>
      <c r="I584" s="230"/>
      <c r="J584" s="230"/>
      <c r="K584" s="230"/>
      <c r="L584" s="228"/>
      <c r="M584" s="257"/>
      <c r="N584" s="228"/>
      <c r="O584" s="228"/>
      <c r="P584" s="258"/>
      <c r="Q584" s="2381"/>
      <c r="R584" s="2381"/>
      <c r="S584" s="254"/>
      <c r="T584" s="228"/>
      <c r="U584" s="2357"/>
      <c r="V584" s="256"/>
      <c r="W584" s="248"/>
      <c r="X584" s="248"/>
      <c r="Y584" s="248"/>
      <c r="Z584" s="247"/>
      <c r="AA584" s="248"/>
      <c r="AB584" s="248"/>
      <c r="AC584" s="194"/>
      <c r="AD584" s="249"/>
      <c r="AE584" s="250"/>
      <c r="AF584" s="251"/>
      <c r="AG584" s="252"/>
      <c r="AH584" s="241"/>
      <c r="AI584" s="241"/>
      <c r="AJ584" s="241"/>
      <c r="AK584" s="194"/>
      <c r="AL584" s="195"/>
      <c r="AM584" s="195"/>
    </row>
    <row r="585" spans="2:39">
      <c r="B585" s="253">
        <f t="shared" si="187"/>
        <v>92</v>
      </c>
      <c r="C585" s="244"/>
      <c r="D585" s="654"/>
      <c r="E585" s="466"/>
      <c r="F585" s="612"/>
      <c r="G585" s="230"/>
      <c r="H585" s="230"/>
      <c r="I585" s="230"/>
      <c r="J585" s="230"/>
      <c r="K585" s="230"/>
      <c r="L585" s="228"/>
      <c r="M585" s="257"/>
      <c r="N585" s="228"/>
      <c r="O585" s="228"/>
      <c r="P585" s="258"/>
      <c r="Q585" s="2381"/>
      <c r="R585" s="2381"/>
      <c r="S585" s="254"/>
      <c r="T585" s="228"/>
      <c r="U585" s="2357"/>
      <c r="V585" s="256"/>
      <c r="W585" s="248"/>
      <c r="X585" s="248"/>
      <c r="Y585" s="248"/>
      <c r="Z585" s="247"/>
      <c r="AA585" s="248"/>
      <c r="AB585" s="248"/>
      <c r="AC585" s="194"/>
      <c r="AD585" s="249"/>
      <c r="AE585" s="250"/>
      <c r="AF585" s="251"/>
      <c r="AG585" s="252"/>
      <c r="AH585" s="241"/>
      <c r="AI585" s="241"/>
      <c r="AJ585" s="241"/>
      <c r="AK585" s="194"/>
      <c r="AL585" s="195"/>
      <c r="AM585" s="195"/>
    </row>
    <row r="586" spans="2:39">
      <c r="B586" s="253">
        <f t="shared" si="187"/>
        <v>93</v>
      </c>
      <c r="C586" s="244"/>
      <c r="D586" s="654"/>
      <c r="E586" s="466"/>
      <c r="F586" s="612"/>
      <c r="G586" s="230"/>
      <c r="H586" s="230"/>
      <c r="I586" s="230"/>
      <c r="J586" s="230"/>
      <c r="K586" s="230"/>
      <c r="L586" s="228"/>
      <c r="M586" s="257"/>
      <c r="N586" s="228"/>
      <c r="O586" s="228"/>
      <c r="P586" s="258"/>
      <c r="Q586" s="2381"/>
      <c r="R586" s="2381"/>
      <c r="S586" s="254"/>
      <c r="T586" s="228"/>
      <c r="U586" s="2357"/>
      <c r="V586" s="256"/>
      <c r="W586" s="248"/>
      <c r="X586" s="248"/>
      <c r="Y586" s="248"/>
      <c r="Z586" s="247"/>
      <c r="AA586" s="248"/>
      <c r="AB586" s="248"/>
      <c r="AC586" s="194"/>
      <c r="AD586" s="249"/>
      <c r="AE586" s="250"/>
      <c r="AF586" s="251"/>
      <c r="AG586" s="252"/>
      <c r="AH586" s="241"/>
      <c r="AI586" s="241"/>
      <c r="AJ586" s="241"/>
      <c r="AK586" s="194"/>
      <c r="AL586" s="195"/>
      <c r="AM586" s="195"/>
    </row>
    <row r="587" spans="2:39">
      <c r="B587" s="253">
        <f t="shared" si="187"/>
        <v>94</v>
      </c>
      <c r="C587" s="244"/>
      <c r="D587" s="654"/>
      <c r="E587" s="466"/>
      <c r="F587" s="612"/>
      <c r="G587" s="230"/>
      <c r="H587" s="230"/>
      <c r="I587" s="230"/>
      <c r="J587" s="230"/>
      <c r="K587" s="230"/>
      <c r="L587" s="228"/>
      <c r="M587" s="257"/>
      <c r="N587" s="228"/>
      <c r="O587" s="228"/>
      <c r="P587" s="258"/>
      <c r="Q587" s="2381"/>
      <c r="R587" s="2381"/>
      <c r="S587" s="254"/>
      <c r="T587" s="228"/>
      <c r="U587" s="2357"/>
      <c r="V587" s="256"/>
      <c r="W587" s="248"/>
      <c r="X587" s="248"/>
      <c r="Y587" s="248"/>
      <c r="Z587" s="247"/>
      <c r="AA587" s="248"/>
      <c r="AB587" s="248"/>
      <c r="AC587" s="194"/>
      <c r="AD587" s="249"/>
      <c r="AE587" s="250"/>
      <c r="AF587" s="251"/>
      <c r="AG587" s="252"/>
      <c r="AH587" s="241"/>
      <c r="AI587" s="241"/>
      <c r="AJ587" s="241"/>
      <c r="AK587" s="194"/>
      <c r="AL587" s="195"/>
      <c r="AM587" s="195"/>
    </row>
    <row r="588" spans="2:39">
      <c r="B588" s="253">
        <f t="shared" si="187"/>
        <v>95</v>
      </c>
      <c r="C588" s="244"/>
      <c r="D588" s="654"/>
      <c r="E588" s="466"/>
      <c r="F588" s="612"/>
      <c r="G588" s="230"/>
      <c r="H588" s="230"/>
      <c r="I588" s="230"/>
      <c r="J588" s="230"/>
      <c r="K588" s="230"/>
      <c r="L588" s="228"/>
      <c r="M588" s="257"/>
      <c r="N588" s="228"/>
      <c r="O588" s="228"/>
      <c r="P588" s="258"/>
      <c r="Q588" s="2381"/>
      <c r="R588" s="2381"/>
      <c r="S588" s="254"/>
      <c r="T588" s="228"/>
      <c r="U588" s="2357"/>
      <c r="V588" s="256"/>
      <c r="W588" s="248"/>
      <c r="X588" s="248"/>
      <c r="Y588" s="248"/>
      <c r="Z588" s="247"/>
      <c r="AA588" s="248"/>
      <c r="AB588" s="248"/>
      <c r="AC588" s="194"/>
      <c r="AD588" s="249"/>
      <c r="AE588" s="250"/>
      <c r="AF588" s="251"/>
      <c r="AG588" s="252"/>
      <c r="AH588" s="241"/>
      <c r="AI588" s="241"/>
      <c r="AJ588" s="241"/>
      <c r="AK588" s="194"/>
      <c r="AL588" s="195"/>
      <c r="AM588" s="195"/>
    </row>
    <row r="589" spans="2:39">
      <c r="B589" s="253">
        <f t="shared" si="187"/>
        <v>96</v>
      </c>
      <c r="C589" s="244"/>
      <c r="D589" s="654"/>
      <c r="E589" s="466"/>
      <c r="F589" s="612"/>
      <c r="G589" s="230"/>
      <c r="H589" s="230"/>
      <c r="I589" s="230"/>
      <c r="J589" s="230"/>
      <c r="K589" s="230"/>
      <c r="L589" s="228"/>
      <c r="M589" s="257"/>
      <c r="N589" s="228"/>
      <c r="O589" s="228"/>
      <c r="P589" s="258"/>
      <c r="Q589" s="2381"/>
      <c r="R589" s="2381"/>
      <c r="S589" s="254"/>
      <c r="T589" s="228"/>
      <c r="U589" s="2357"/>
      <c r="V589" s="256"/>
      <c r="W589" s="248"/>
      <c r="X589" s="248"/>
      <c r="Y589" s="248"/>
      <c r="Z589" s="247"/>
      <c r="AA589" s="248"/>
      <c r="AB589" s="248"/>
      <c r="AC589" s="194"/>
      <c r="AD589" s="249"/>
      <c r="AE589" s="250"/>
      <c r="AF589" s="251"/>
      <c r="AG589" s="252"/>
      <c r="AH589" s="241"/>
      <c r="AI589" s="241"/>
      <c r="AJ589" s="241"/>
      <c r="AK589" s="194"/>
      <c r="AL589" s="195"/>
      <c r="AM589" s="195"/>
    </row>
    <row r="590" spans="2:39">
      <c r="B590" s="253">
        <f t="shared" si="187"/>
        <v>97</v>
      </c>
      <c r="C590" s="244"/>
      <c r="D590" s="654"/>
      <c r="E590" s="466"/>
      <c r="F590" s="612"/>
      <c r="G590" s="230"/>
      <c r="H590" s="230"/>
      <c r="I590" s="230"/>
      <c r="J590" s="230"/>
      <c r="K590" s="230"/>
      <c r="L590" s="228"/>
      <c r="M590" s="257"/>
      <c r="N590" s="228"/>
      <c r="O590" s="228"/>
      <c r="P590" s="258"/>
      <c r="Q590" s="2381"/>
      <c r="R590" s="2381"/>
      <c r="S590" s="254"/>
      <c r="T590" s="228"/>
      <c r="U590" s="2357"/>
      <c r="V590" s="256"/>
      <c r="W590" s="248"/>
      <c r="X590" s="248"/>
      <c r="Y590" s="248"/>
      <c r="Z590" s="247"/>
      <c r="AA590" s="248"/>
      <c r="AB590" s="248"/>
      <c r="AC590" s="194"/>
      <c r="AD590" s="249"/>
      <c r="AE590" s="250"/>
      <c r="AF590" s="251"/>
      <c r="AG590" s="252"/>
      <c r="AH590" s="241"/>
      <c r="AI590" s="241"/>
      <c r="AJ590" s="241"/>
      <c r="AK590" s="194"/>
      <c r="AL590" s="195"/>
      <c r="AM590" s="195"/>
    </row>
    <row r="591" spans="2:39">
      <c r="B591" s="253">
        <f t="shared" si="187"/>
        <v>98</v>
      </c>
      <c r="C591" s="244"/>
      <c r="D591" s="654"/>
      <c r="E591" s="466"/>
      <c r="F591" s="612"/>
      <c r="G591" s="230"/>
      <c r="H591" s="230"/>
      <c r="I591" s="230"/>
      <c r="J591" s="230"/>
      <c r="K591" s="230"/>
      <c r="L591" s="228"/>
      <c r="M591" s="257"/>
      <c r="N591" s="228"/>
      <c r="O591" s="228"/>
      <c r="P591" s="258"/>
      <c r="Q591" s="2381"/>
      <c r="R591" s="2381"/>
      <c r="S591" s="254"/>
      <c r="T591" s="228"/>
      <c r="U591" s="2357"/>
      <c r="V591" s="256"/>
      <c r="W591" s="248"/>
      <c r="X591" s="248"/>
      <c r="Y591" s="248"/>
      <c r="Z591" s="247"/>
      <c r="AA591" s="248"/>
      <c r="AB591" s="248"/>
      <c r="AC591" s="194"/>
      <c r="AD591" s="249"/>
      <c r="AE591" s="250"/>
      <c r="AF591" s="251"/>
      <c r="AG591" s="252"/>
      <c r="AH591" s="241"/>
      <c r="AI591" s="241"/>
      <c r="AJ591" s="241"/>
      <c r="AK591" s="194"/>
      <c r="AL591" s="195"/>
      <c r="AM591" s="195"/>
    </row>
    <row r="592" spans="2:39">
      <c r="B592" s="253">
        <f t="shared" si="187"/>
        <v>99</v>
      </c>
      <c r="C592" s="244"/>
      <c r="D592" s="654"/>
      <c r="E592" s="466"/>
      <c r="F592" s="612"/>
      <c r="G592" s="230"/>
      <c r="H592" s="230"/>
      <c r="I592" s="230"/>
      <c r="J592" s="230"/>
      <c r="K592" s="230"/>
      <c r="L592" s="228"/>
      <c r="M592" s="257"/>
      <c r="N592" s="228"/>
      <c r="O592" s="228"/>
      <c r="P592" s="258"/>
      <c r="Q592" s="2381"/>
      <c r="R592" s="2381"/>
      <c r="S592" s="254"/>
      <c r="T592" s="228"/>
      <c r="U592" s="2357"/>
      <c r="V592" s="256"/>
      <c r="W592" s="248"/>
      <c r="X592" s="248"/>
      <c r="Y592" s="248"/>
      <c r="Z592" s="247"/>
      <c r="AA592" s="248"/>
      <c r="AB592" s="248"/>
      <c r="AC592" s="194"/>
      <c r="AD592" s="249"/>
      <c r="AE592" s="250"/>
      <c r="AF592" s="251"/>
      <c r="AG592" s="252"/>
      <c r="AH592" s="241"/>
      <c r="AI592" s="241"/>
      <c r="AJ592" s="241"/>
      <c r="AK592" s="194"/>
      <c r="AL592" s="195"/>
      <c r="AM592" s="195"/>
    </row>
    <row r="593" spans="2:39">
      <c r="B593" s="253">
        <f t="shared" si="187"/>
        <v>100</v>
      </c>
      <c r="C593" s="244"/>
      <c r="D593" s="654"/>
      <c r="E593" s="466"/>
      <c r="F593" s="612"/>
      <c r="G593" s="230"/>
      <c r="H593" s="230"/>
      <c r="I593" s="230"/>
      <c r="J593" s="230"/>
      <c r="K593" s="230"/>
      <c r="L593" s="228"/>
      <c r="M593" s="257"/>
      <c r="N593" s="228"/>
      <c r="O593" s="228"/>
      <c r="P593" s="258"/>
      <c r="Q593" s="2381"/>
      <c r="R593" s="2381"/>
      <c r="S593" s="254"/>
      <c r="T593" s="228"/>
      <c r="U593" s="2357"/>
      <c r="V593" s="256"/>
      <c r="W593" s="248"/>
      <c r="X593" s="248"/>
      <c r="Y593" s="248"/>
      <c r="Z593" s="247"/>
      <c r="AA593" s="248"/>
      <c r="AB593" s="248"/>
      <c r="AC593" s="194"/>
      <c r="AD593" s="249"/>
      <c r="AE593" s="250"/>
      <c r="AF593" s="251"/>
      <c r="AG593" s="252"/>
      <c r="AH593" s="241"/>
      <c r="AI593" s="241"/>
      <c r="AJ593" s="241"/>
      <c r="AK593" s="194"/>
      <c r="AL593" s="195"/>
      <c r="AM593" s="195"/>
    </row>
    <row r="594" spans="2:39">
      <c r="B594" s="253">
        <f t="shared" si="187"/>
        <v>101</v>
      </c>
      <c r="C594" s="244"/>
      <c r="D594" s="654"/>
      <c r="E594" s="466"/>
      <c r="F594" s="612"/>
      <c r="G594" s="230"/>
      <c r="H594" s="230"/>
      <c r="I594" s="230"/>
      <c r="J594" s="230"/>
      <c r="K594" s="230"/>
      <c r="L594" s="228"/>
      <c r="M594" s="257"/>
      <c r="N594" s="228"/>
      <c r="O594" s="228"/>
      <c r="P594" s="258"/>
      <c r="Q594" s="2381"/>
      <c r="R594" s="2381"/>
      <c r="S594" s="254"/>
      <c r="T594" s="228"/>
      <c r="U594" s="2357"/>
      <c r="V594" s="256"/>
      <c r="W594" s="248"/>
      <c r="X594" s="248"/>
      <c r="Y594" s="248"/>
      <c r="Z594" s="247"/>
      <c r="AA594" s="248"/>
      <c r="AB594" s="248"/>
      <c r="AC594" s="194"/>
      <c r="AD594" s="249"/>
      <c r="AE594" s="250"/>
      <c r="AF594" s="251"/>
      <c r="AG594" s="252"/>
      <c r="AH594" s="241"/>
      <c r="AI594" s="241"/>
      <c r="AJ594" s="241"/>
      <c r="AK594" s="194"/>
      <c r="AL594" s="195"/>
      <c r="AM594" s="195"/>
    </row>
    <row r="595" spans="2:39">
      <c r="B595" s="253">
        <f t="shared" si="187"/>
        <v>102</v>
      </c>
      <c r="C595" s="244"/>
      <c r="D595" s="654"/>
      <c r="E595" s="466"/>
      <c r="F595" s="612"/>
      <c r="G595" s="230"/>
      <c r="H595" s="230"/>
      <c r="I595" s="230"/>
      <c r="J595" s="230"/>
      <c r="K595" s="230"/>
      <c r="L595" s="228"/>
      <c r="M595" s="257"/>
      <c r="N595" s="228"/>
      <c r="O595" s="228"/>
      <c r="P595" s="258"/>
      <c r="Q595" s="2381"/>
      <c r="R595" s="2381"/>
      <c r="S595" s="254"/>
      <c r="T595" s="228"/>
      <c r="U595" s="2357"/>
      <c r="V595" s="256"/>
      <c r="W595" s="248"/>
      <c r="X595" s="248"/>
      <c r="Y595" s="248"/>
      <c r="Z595" s="247"/>
      <c r="AA595" s="248"/>
      <c r="AB595" s="248"/>
      <c r="AC595" s="194"/>
      <c r="AD595" s="249"/>
      <c r="AE595" s="250"/>
      <c r="AF595" s="251"/>
      <c r="AG595" s="252"/>
      <c r="AH595" s="241"/>
      <c r="AI595" s="241"/>
      <c r="AJ595" s="241"/>
      <c r="AK595" s="194"/>
      <c r="AL595" s="195"/>
      <c r="AM595" s="195"/>
    </row>
    <row r="596" spans="2:39">
      <c r="B596" s="253">
        <f t="shared" si="187"/>
        <v>103</v>
      </c>
      <c r="C596" s="244"/>
      <c r="D596" s="654"/>
      <c r="E596" s="466"/>
      <c r="F596" s="612"/>
      <c r="G596" s="230"/>
      <c r="H596" s="230"/>
      <c r="I596" s="230"/>
      <c r="J596" s="230"/>
      <c r="K596" s="230"/>
      <c r="L596" s="228"/>
      <c r="M596" s="257"/>
      <c r="N596" s="228"/>
      <c r="O596" s="228"/>
      <c r="P596" s="258"/>
      <c r="Q596" s="2381"/>
      <c r="R596" s="2381"/>
      <c r="S596" s="254"/>
      <c r="T596" s="228"/>
      <c r="U596" s="2357"/>
      <c r="V596" s="256"/>
      <c r="W596" s="248"/>
      <c r="X596" s="248"/>
      <c r="Y596" s="248"/>
      <c r="Z596" s="247"/>
      <c r="AA596" s="248"/>
      <c r="AB596" s="248"/>
      <c r="AC596" s="194"/>
      <c r="AD596" s="249"/>
      <c r="AE596" s="250"/>
      <c r="AF596" s="251"/>
      <c r="AG596" s="252"/>
      <c r="AH596" s="241"/>
      <c r="AI596" s="241"/>
      <c r="AJ596" s="241"/>
      <c r="AK596" s="194"/>
      <c r="AL596" s="195"/>
      <c r="AM596" s="195"/>
    </row>
    <row r="597" spans="2:39">
      <c r="B597" s="253">
        <f t="shared" si="187"/>
        <v>104</v>
      </c>
      <c r="C597" s="244"/>
      <c r="D597" s="654"/>
      <c r="E597" s="466"/>
      <c r="F597" s="612"/>
      <c r="G597" s="230"/>
      <c r="H597" s="230"/>
      <c r="I597" s="230"/>
      <c r="J597" s="230"/>
      <c r="K597" s="230"/>
      <c r="L597" s="228"/>
      <c r="M597" s="257"/>
      <c r="N597" s="228"/>
      <c r="O597" s="228"/>
      <c r="P597" s="258"/>
      <c r="Q597" s="2381"/>
      <c r="R597" s="2381"/>
      <c r="S597" s="254"/>
      <c r="T597" s="228"/>
      <c r="U597" s="2357"/>
      <c r="V597" s="256"/>
      <c r="W597" s="248"/>
      <c r="X597" s="248"/>
      <c r="Y597" s="248"/>
      <c r="Z597" s="247"/>
      <c r="AA597" s="248"/>
      <c r="AB597" s="248"/>
      <c r="AC597" s="194"/>
      <c r="AD597" s="249"/>
      <c r="AE597" s="250"/>
      <c r="AF597" s="251"/>
      <c r="AG597" s="252"/>
      <c r="AH597" s="241"/>
      <c r="AI597" s="241"/>
      <c r="AJ597" s="241"/>
      <c r="AK597" s="194"/>
      <c r="AL597" s="195"/>
      <c r="AM597" s="195"/>
    </row>
    <row r="598" spans="2:39">
      <c r="B598" s="253">
        <f t="shared" si="187"/>
        <v>105</v>
      </c>
      <c r="C598" s="244"/>
      <c r="D598" s="654"/>
      <c r="E598" s="466"/>
      <c r="F598" s="612"/>
      <c r="G598" s="230"/>
      <c r="H598" s="230"/>
      <c r="I598" s="230"/>
      <c r="J598" s="230"/>
      <c r="K598" s="230"/>
      <c r="L598" s="228"/>
      <c r="M598" s="257"/>
      <c r="N598" s="228"/>
      <c r="O598" s="228"/>
      <c r="P598" s="258"/>
      <c r="Q598" s="2381"/>
      <c r="R598" s="2381"/>
      <c r="S598" s="254"/>
      <c r="T598" s="228"/>
      <c r="U598" s="2357"/>
      <c r="V598" s="256"/>
      <c r="W598" s="248"/>
      <c r="X598" s="248"/>
      <c r="Y598" s="248"/>
      <c r="Z598" s="247"/>
      <c r="AA598" s="248"/>
      <c r="AB598" s="248"/>
      <c r="AC598" s="194"/>
      <c r="AD598" s="249"/>
      <c r="AE598" s="250"/>
      <c r="AF598" s="251"/>
      <c r="AG598" s="252"/>
      <c r="AH598" s="241"/>
      <c r="AI598" s="241"/>
      <c r="AJ598" s="241"/>
      <c r="AK598" s="194"/>
      <c r="AL598" s="195"/>
      <c r="AM598" s="195"/>
    </row>
    <row r="599" spans="2:39">
      <c r="B599" s="253">
        <f t="shared" si="187"/>
        <v>106</v>
      </c>
      <c r="C599" s="244"/>
      <c r="D599" s="654"/>
      <c r="E599" s="466"/>
      <c r="F599" s="612"/>
      <c r="G599" s="230"/>
      <c r="H599" s="230"/>
      <c r="I599" s="230"/>
      <c r="J599" s="230"/>
      <c r="K599" s="230"/>
      <c r="L599" s="228"/>
      <c r="M599" s="257"/>
      <c r="N599" s="228"/>
      <c r="O599" s="228"/>
      <c r="P599" s="258"/>
      <c r="Q599" s="2381"/>
      <c r="R599" s="2381"/>
      <c r="S599" s="254"/>
      <c r="T599" s="228"/>
      <c r="U599" s="2357"/>
      <c r="V599" s="256"/>
      <c r="W599" s="248"/>
      <c r="X599" s="248"/>
      <c r="Y599" s="248"/>
      <c r="Z599" s="247"/>
      <c r="AA599" s="248"/>
      <c r="AB599" s="248"/>
      <c r="AC599" s="194"/>
      <c r="AD599" s="249"/>
      <c r="AE599" s="250"/>
      <c r="AF599" s="251"/>
      <c r="AG599" s="252"/>
      <c r="AH599" s="241"/>
      <c r="AI599" s="241"/>
      <c r="AJ599" s="241"/>
      <c r="AK599" s="194"/>
      <c r="AL599" s="195"/>
      <c r="AM599" s="195"/>
    </row>
    <row r="600" spans="2:39">
      <c r="B600" s="253">
        <f t="shared" si="187"/>
        <v>107</v>
      </c>
      <c r="C600" s="244"/>
      <c r="D600" s="654"/>
      <c r="E600" s="466"/>
      <c r="F600" s="612"/>
      <c r="G600" s="230"/>
      <c r="H600" s="230"/>
      <c r="I600" s="230"/>
      <c r="J600" s="230"/>
      <c r="K600" s="230"/>
      <c r="L600" s="228"/>
      <c r="M600" s="257"/>
      <c r="N600" s="228"/>
      <c r="O600" s="228"/>
      <c r="P600" s="258"/>
      <c r="Q600" s="2381"/>
      <c r="R600" s="2381"/>
      <c r="S600" s="254"/>
      <c r="T600" s="228"/>
      <c r="U600" s="2357"/>
      <c r="V600" s="256"/>
      <c r="W600" s="248"/>
      <c r="X600" s="248"/>
      <c r="Y600" s="248"/>
      <c r="Z600" s="247"/>
      <c r="AA600" s="248"/>
      <c r="AB600" s="248"/>
      <c r="AC600" s="194"/>
      <c r="AD600" s="249"/>
      <c r="AE600" s="250"/>
      <c r="AF600" s="251"/>
      <c r="AG600" s="252"/>
      <c r="AH600" s="241"/>
      <c r="AI600" s="241"/>
      <c r="AJ600" s="241"/>
      <c r="AK600" s="194"/>
      <c r="AL600" s="195"/>
      <c r="AM600" s="195"/>
    </row>
    <row r="601" spans="2:39">
      <c r="B601" s="253">
        <f t="shared" si="187"/>
        <v>108</v>
      </c>
      <c r="C601" s="244"/>
      <c r="D601" s="654"/>
      <c r="E601" s="466"/>
      <c r="F601" s="612"/>
      <c r="G601" s="230"/>
      <c r="H601" s="230"/>
      <c r="I601" s="230"/>
      <c r="J601" s="230"/>
      <c r="K601" s="230"/>
      <c r="L601" s="228"/>
      <c r="M601" s="257"/>
      <c r="N601" s="228"/>
      <c r="O601" s="228"/>
      <c r="P601" s="258"/>
      <c r="Q601" s="2381"/>
      <c r="R601" s="2381"/>
      <c r="S601" s="254"/>
      <c r="T601" s="228"/>
      <c r="U601" s="2357"/>
      <c r="V601" s="256"/>
      <c r="W601" s="248"/>
      <c r="X601" s="248"/>
      <c r="Y601" s="248"/>
      <c r="Z601" s="247"/>
      <c r="AA601" s="248"/>
      <c r="AB601" s="248"/>
      <c r="AC601" s="194"/>
      <c r="AD601" s="249"/>
      <c r="AE601" s="250"/>
      <c r="AF601" s="251"/>
      <c r="AG601" s="252"/>
      <c r="AH601" s="241"/>
      <c r="AI601" s="241"/>
      <c r="AJ601" s="241"/>
      <c r="AK601" s="194"/>
      <c r="AL601" s="195"/>
      <c r="AM601" s="195"/>
    </row>
    <row r="602" spans="2:39">
      <c r="B602" s="253">
        <f t="shared" si="187"/>
        <v>109</v>
      </c>
      <c r="C602" s="244"/>
      <c r="D602" s="654"/>
      <c r="E602" s="466"/>
      <c r="F602" s="612"/>
      <c r="G602" s="230"/>
      <c r="H602" s="230"/>
      <c r="I602" s="230"/>
      <c r="J602" s="230"/>
      <c r="K602" s="230"/>
      <c r="L602" s="228"/>
      <c r="M602" s="257"/>
      <c r="N602" s="228"/>
      <c r="O602" s="228"/>
      <c r="P602" s="258"/>
      <c r="Q602" s="2381"/>
      <c r="R602" s="2381"/>
      <c r="S602" s="254"/>
      <c r="T602" s="228"/>
      <c r="U602" s="2357"/>
      <c r="V602" s="256"/>
      <c r="W602" s="248"/>
      <c r="X602" s="248"/>
      <c r="Y602" s="248"/>
      <c r="Z602" s="247"/>
      <c r="AA602" s="248"/>
      <c r="AB602" s="248"/>
      <c r="AC602" s="194"/>
      <c r="AD602" s="249"/>
      <c r="AE602" s="250"/>
      <c r="AF602" s="251"/>
      <c r="AG602" s="252"/>
      <c r="AH602" s="241"/>
      <c r="AI602" s="241"/>
      <c r="AJ602" s="241"/>
      <c r="AK602" s="194"/>
      <c r="AL602" s="195"/>
      <c r="AM602" s="195"/>
    </row>
    <row r="603" spans="2:39">
      <c r="B603" s="253">
        <f t="shared" si="187"/>
        <v>110</v>
      </c>
      <c r="C603" s="244"/>
      <c r="D603" s="654"/>
      <c r="E603" s="466"/>
      <c r="F603" s="612"/>
      <c r="G603" s="230"/>
      <c r="H603" s="230"/>
      <c r="I603" s="230"/>
      <c r="J603" s="230"/>
      <c r="K603" s="230"/>
      <c r="L603" s="228"/>
      <c r="M603" s="257"/>
      <c r="N603" s="228"/>
      <c r="O603" s="228"/>
      <c r="P603" s="258"/>
      <c r="Q603" s="2381"/>
      <c r="R603" s="2381"/>
      <c r="S603" s="254"/>
      <c r="T603" s="228"/>
      <c r="U603" s="2357"/>
      <c r="V603" s="256"/>
      <c r="W603" s="248"/>
      <c r="X603" s="248"/>
      <c r="Y603" s="248"/>
      <c r="Z603" s="247"/>
      <c r="AA603" s="248"/>
      <c r="AB603" s="248"/>
      <c r="AC603" s="194"/>
      <c r="AD603" s="249"/>
      <c r="AE603" s="250"/>
      <c r="AF603" s="251"/>
      <c r="AG603" s="252"/>
      <c r="AH603" s="241"/>
      <c r="AI603" s="241"/>
      <c r="AJ603" s="241"/>
      <c r="AK603" s="194"/>
      <c r="AL603" s="195"/>
      <c r="AM603" s="195"/>
    </row>
    <row r="604" spans="2:39">
      <c r="B604" s="253">
        <f t="shared" si="187"/>
        <v>111</v>
      </c>
      <c r="C604" s="244"/>
      <c r="D604" s="654"/>
      <c r="E604" s="466"/>
      <c r="F604" s="612"/>
      <c r="G604" s="230"/>
      <c r="H604" s="230"/>
      <c r="I604" s="230"/>
      <c r="J604" s="230"/>
      <c r="K604" s="230"/>
      <c r="L604" s="228"/>
      <c r="M604" s="257"/>
      <c r="N604" s="228"/>
      <c r="O604" s="228"/>
      <c r="P604" s="258"/>
      <c r="Q604" s="2381"/>
      <c r="R604" s="2381"/>
      <c r="S604" s="254"/>
      <c r="T604" s="228"/>
      <c r="U604" s="2357"/>
      <c r="V604" s="256"/>
      <c r="W604" s="248"/>
      <c r="X604" s="248"/>
      <c r="Y604" s="248"/>
      <c r="Z604" s="247"/>
      <c r="AA604" s="248"/>
      <c r="AB604" s="248"/>
      <c r="AC604" s="194"/>
      <c r="AD604" s="249"/>
      <c r="AE604" s="250"/>
      <c r="AF604" s="251"/>
      <c r="AG604" s="252"/>
      <c r="AH604" s="241"/>
      <c r="AI604" s="241"/>
      <c r="AJ604" s="241"/>
      <c r="AK604" s="194"/>
      <c r="AL604" s="195"/>
      <c r="AM604" s="195"/>
    </row>
    <row r="605" spans="2:39">
      <c r="B605" s="253">
        <f t="shared" si="187"/>
        <v>112</v>
      </c>
      <c r="C605" s="244"/>
      <c r="D605" s="654"/>
      <c r="E605" s="466"/>
      <c r="F605" s="612"/>
      <c r="G605" s="230"/>
      <c r="H605" s="230"/>
      <c r="I605" s="230"/>
      <c r="J605" s="230"/>
      <c r="K605" s="230"/>
      <c r="L605" s="228"/>
      <c r="M605" s="257"/>
      <c r="N605" s="228"/>
      <c r="O605" s="228"/>
      <c r="P605" s="258"/>
      <c r="Q605" s="2381"/>
      <c r="R605" s="2381"/>
      <c r="S605" s="254"/>
      <c r="T605" s="228"/>
      <c r="U605" s="2357"/>
      <c r="V605" s="256"/>
      <c r="W605" s="248"/>
      <c r="X605" s="248"/>
      <c r="Y605" s="248"/>
      <c r="Z605" s="247"/>
      <c r="AA605" s="248"/>
      <c r="AB605" s="248"/>
      <c r="AC605" s="194"/>
      <c r="AD605" s="249"/>
      <c r="AE605" s="250"/>
      <c r="AF605" s="251"/>
      <c r="AG605" s="252"/>
      <c r="AH605" s="241"/>
      <c r="AI605" s="241"/>
      <c r="AJ605" s="241"/>
      <c r="AK605" s="194"/>
      <c r="AL605" s="195"/>
      <c r="AM605" s="195"/>
    </row>
    <row r="606" spans="2:39">
      <c r="B606" s="253">
        <f t="shared" si="187"/>
        <v>113</v>
      </c>
      <c r="C606" s="244"/>
      <c r="D606" s="654"/>
      <c r="E606" s="466"/>
      <c r="F606" s="612"/>
      <c r="G606" s="230"/>
      <c r="H606" s="230"/>
      <c r="I606" s="230"/>
      <c r="J606" s="230"/>
      <c r="K606" s="230"/>
      <c r="L606" s="228"/>
      <c r="M606" s="257"/>
      <c r="N606" s="228"/>
      <c r="O606" s="228"/>
      <c r="P606" s="258"/>
      <c r="Q606" s="2381"/>
      <c r="R606" s="2381"/>
      <c r="S606" s="254"/>
      <c r="T606" s="228"/>
      <c r="U606" s="2357"/>
      <c r="V606" s="256"/>
      <c r="W606" s="248"/>
      <c r="X606" s="248"/>
      <c r="Y606" s="248"/>
      <c r="Z606" s="247"/>
      <c r="AA606" s="248"/>
      <c r="AB606" s="248"/>
      <c r="AC606" s="194"/>
      <c r="AD606" s="249"/>
      <c r="AE606" s="250"/>
      <c r="AF606" s="251"/>
      <c r="AG606" s="252"/>
      <c r="AH606" s="241"/>
      <c r="AI606" s="241"/>
      <c r="AJ606" s="241"/>
      <c r="AK606" s="194"/>
      <c r="AL606" s="195"/>
      <c r="AM606" s="195"/>
    </row>
    <row r="607" spans="2:39">
      <c r="B607" s="253">
        <f t="shared" si="187"/>
        <v>114</v>
      </c>
      <c r="C607" s="244"/>
      <c r="D607" s="654"/>
      <c r="E607" s="466"/>
      <c r="F607" s="612"/>
      <c r="G607" s="230"/>
      <c r="H607" s="230"/>
      <c r="I607" s="230"/>
      <c r="J607" s="230"/>
      <c r="K607" s="230"/>
      <c r="L607" s="228"/>
      <c r="M607" s="257"/>
      <c r="N607" s="228"/>
      <c r="O607" s="228"/>
      <c r="P607" s="258"/>
      <c r="Q607" s="2381"/>
      <c r="R607" s="2381"/>
      <c r="S607" s="254"/>
      <c r="T607" s="228"/>
      <c r="U607" s="2357"/>
      <c r="V607" s="256"/>
      <c r="W607" s="248"/>
      <c r="X607" s="248"/>
      <c r="Y607" s="248"/>
      <c r="Z607" s="247"/>
      <c r="AA607" s="248"/>
      <c r="AB607" s="248"/>
      <c r="AC607" s="194"/>
      <c r="AD607" s="249"/>
      <c r="AE607" s="250"/>
      <c r="AF607" s="251"/>
      <c r="AG607" s="252"/>
      <c r="AH607" s="241"/>
      <c r="AI607" s="241"/>
      <c r="AJ607" s="241"/>
      <c r="AK607" s="194"/>
      <c r="AL607" s="195"/>
      <c r="AM607" s="195"/>
    </row>
    <row r="608" spans="2:39">
      <c r="B608" s="253">
        <f t="shared" si="187"/>
        <v>115</v>
      </c>
      <c r="C608" s="244"/>
      <c r="D608" s="654"/>
      <c r="E608" s="466"/>
      <c r="F608" s="612"/>
      <c r="G608" s="230"/>
      <c r="H608" s="230"/>
      <c r="I608" s="230"/>
      <c r="J608" s="230"/>
      <c r="K608" s="230"/>
      <c r="L608" s="228"/>
      <c r="M608" s="257"/>
      <c r="N608" s="228"/>
      <c r="O608" s="228"/>
      <c r="P608" s="258"/>
      <c r="Q608" s="2381"/>
      <c r="R608" s="2381"/>
      <c r="S608" s="254"/>
      <c r="T608" s="228"/>
      <c r="U608" s="2357"/>
      <c r="V608" s="256"/>
      <c r="W608" s="248"/>
      <c r="X608" s="248"/>
      <c r="Y608" s="248"/>
      <c r="Z608" s="247"/>
      <c r="AA608" s="248"/>
      <c r="AB608" s="248"/>
      <c r="AC608" s="194"/>
      <c r="AD608" s="249"/>
      <c r="AE608" s="250"/>
      <c r="AF608" s="251"/>
      <c r="AG608" s="252"/>
      <c r="AH608" s="241"/>
      <c r="AI608" s="241"/>
      <c r="AJ608" s="241"/>
      <c r="AK608" s="194"/>
      <c r="AL608" s="195"/>
      <c r="AM608" s="195"/>
    </row>
    <row r="609" spans="2:39">
      <c r="B609" s="253">
        <f t="shared" si="187"/>
        <v>116</v>
      </c>
      <c r="C609" s="244"/>
      <c r="D609" s="654"/>
      <c r="E609" s="466"/>
      <c r="F609" s="612"/>
      <c r="G609" s="230"/>
      <c r="H609" s="230"/>
      <c r="I609" s="230"/>
      <c r="J609" s="230"/>
      <c r="K609" s="230"/>
      <c r="L609" s="228"/>
      <c r="M609" s="257"/>
      <c r="N609" s="228"/>
      <c r="O609" s="228"/>
      <c r="P609" s="258"/>
      <c r="Q609" s="2381"/>
      <c r="R609" s="2381"/>
      <c r="S609" s="254"/>
      <c r="T609" s="228"/>
      <c r="U609" s="2357"/>
      <c r="V609" s="256"/>
      <c r="W609" s="248"/>
      <c r="X609" s="248"/>
      <c r="Y609" s="248"/>
      <c r="Z609" s="247"/>
      <c r="AA609" s="248"/>
      <c r="AB609" s="248"/>
      <c r="AC609" s="194"/>
      <c r="AD609" s="249"/>
      <c r="AE609" s="250"/>
      <c r="AF609" s="251"/>
      <c r="AG609" s="252"/>
      <c r="AH609" s="241"/>
      <c r="AI609" s="241"/>
      <c r="AJ609" s="241"/>
      <c r="AK609" s="194"/>
      <c r="AL609" s="195"/>
      <c r="AM609" s="195"/>
    </row>
    <row r="610" spans="2:39">
      <c r="B610" s="253">
        <f t="shared" si="187"/>
        <v>117</v>
      </c>
      <c r="C610" s="244"/>
      <c r="D610" s="654"/>
      <c r="E610" s="466"/>
      <c r="F610" s="612"/>
      <c r="G610" s="230"/>
      <c r="H610" s="230"/>
      <c r="I610" s="230"/>
      <c r="J610" s="230"/>
      <c r="K610" s="230"/>
      <c r="L610" s="228"/>
      <c r="M610" s="257"/>
      <c r="N610" s="228"/>
      <c r="O610" s="228"/>
      <c r="P610" s="258"/>
      <c r="Q610" s="2381"/>
      <c r="R610" s="2381"/>
      <c r="S610" s="254"/>
      <c r="T610" s="228"/>
      <c r="U610" s="2357"/>
      <c r="V610" s="256"/>
      <c r="W610" s="248"/>
      <c r="X610" s="248"/>
      <c r="Y610" s="248"/>
      <c r="Z610" s="247"/>
      <c r="AA610" s="248"/>
      <c r="AB610" s="248"/>
      <c r="AC610" s="194"/>
      <c r="AD610" s="249"/>
      <c r="AE610" s="250"/>
      <c r="AF610" s="251"/>
      <c r="AG610" s="252"/>
      <c r="AH610" s="241"/>
      <c r="AI610" s="241"/>
      <c r="AJ610" s="241"/>
      <c r="AK610" s="194"/>
      <c r="AL610" s="195"/>
      <c r="AM610" s="195"/>
    </row>
    <row r="611" spans="2:39">
      <c r="B611" s="253">
        <f t="shared" si="187"/>
        <v>118</v>
      </c>
      <c r="C611" s="244"/>
      <c r="D611" s="654"/>
      <c r="E611" s="466"/>
      <c r="F611" s="612"/>
      <c r="G611" s="230"/>
      <c r="H611" s="230"/>
      <c r="I611" s="230"/>
      <c r="J611" s="230"/>
      <c r="K611" s="230"/>
      <c r="L611" s="228"/>
      <c r="M611" s="257"/>
      <c r="N611" s="228"/>
      <c r="O611" s="228"/>
      <c r="P611" s="258"/>
      <c r="Q611" s="2381"/>
      <c r="R611" s="2381"/>
      <c r="S611" s="254"/>
      <c r="T611" s="228"/>
      <c r="U611" s="2357"/>
      <c r="V611" s="256"/>
      <c r="W611" s="248"/>
      <c r="X611" s="248"/>
      <c r="Y611" s="248"/>
      <c r="Z611" s="247"/>
      <c r="AA611" s="248"/>
      <c r="AB611" s="248"/>
      <c r="AC611" s="194"/>
      <c r="AD611" s="249"/>
      <c r="AE611" s="250"/>
      <c r="AF611" s="251"/>
      <c r="AG611" s="252"/>
      <c r="AH611" s="241"/>
      <c r="AI611" s="241"/>
      <c r="AJ611" s="241"/>
      <c r="AK611" s="194"/>
      <c r="AL611" s="195"/>
      <c r="AM611" s="195"/>
    </row>
    <row r="612" spans="2:39">
      <c r="B612" s="253">
        <f t="shared" si="187"/>
        <v>119</v>
      </c>
      <c r="C612" s="244"/>
      <c r="D612" s="654"/>
      <c r="E612" s="466"/>
      <c r="F612" s="612"/>
      <c r="G612" s="230"/>
      <c r="H612" s="230"/>
      <c r="I612" s="230"/>
      <c r="J612" s="230"/>
      <c r="K612" s="230"/>
      <c r="L612" s="228"/>
      <c r="M612" s="257"/>
      <c r="N612" s="228"/>
      <c r="O612" s="228"/>
      <c r="P612" s="258"/>
      <c r="Q612" s="2381"/>
      <c r="R612" s="2381"/>
      <c r="S612" s="254"/>
      <c r="T612" s="228"/>
      <c r="U612" s="2357"/>
      <c r="V612" s="256"/>
      <c r="W612" s="248"/>
      <c r="X612" s="248"/>
      <c r="Y612" s="248"/>
      <c r="Z612" s="247"/>
      <c r="AA612" s="248"/>
      <c r="AB612" s="248"/>
      <c r="AC612" s="194"/>
      <c r="AD612" s="249"/>
      <c r="AE612" s="250"/>
      <c r="AF612" s="251"/>
      <c r="AG612" s="252"/>
      <c r="AH612" s="241"/>
      <c r="AI612" s="241"/>
      <c r="AJ612" s="241"/>
      <c r="AK612" s="194"/>
      <c r="AL612" s="195"/>
      <c r="AM612" s="195"/>
    </row>
    <row r="613" spans="2:39">
      <c r="B613" s="253">
        <f t="shared" si="187"/>
        <v>120</v>
      </c>
      <c r="C613" s="244"/>
      <c r="D613" s="654"/>
      <c r="E613" s="466"/>
      <c r="F613" s="612"/>
      <c r="G613" s="230"/>
      <c r="H613" s="230"/>
      <c r="I613" s="230"/>
      <c r="J613" s="230"/>
      <c r="K613" s="230"/>
      <c r="L613" s="228"/>
      <c r="M613" s="257"/>
      <c r="N613" s="228"/>
      <c r="O613" s="228"/>
      <c r="P613" s="258"/>
      <c r="Q613" s="2381"/>
      <c r="R613" s="2381"/>
      <c r="S613" s="254"/>
      <c r="T613" s="228"/>
      <c r="U613" s="2357"/>
      <c r="V613" s="256"/>
      <c r="W613" s="248"/>
      <c r="X613" s="248"/>
      <c r="Y613" s="248"/>
      <c r="Z613" s="247"/>
      <c r="AA613" s="248"/>
      <c r="AB613" s="248"/>
      <c r="AC613" s="194"/>
      <c r="AD613" s="249"/>
      <c r="AE613" s="250"/>
      <c r="AF613" s="251"/>
      <c r="AG613" s="252"/>
      <c r="AH613" s="241"/>
      <c r="AI613" s="241"/>
      <c r="AJ613" s="241"/>
      <c r="AK613" s="194"/>
      <c r="AL613" s="195"/>
      <c r="AM613" s="195"/>
    </row>
    <row r="614" spans="2:39">
      <c r="B614" s="253">
        <f t="shared" si="187"/>
        <v>121</v>
      </c>
      <c r="C614" s="244"/>
      <c r="D614" s="654"/>
      <c r="E614" s="466"/>
      <c r="F614" s="612"/>
      <c r="G614" s="230"/>
      <c r="H614" s="230"/>
      <c r="I614" s="230"/>
      <c r="J614" s="230"/>
      <c r="K614" s="230"/>
      <c r="L614" s="228"/>
      <c r="M614" s="257"/>
      <c r="N614" s="228"/>
      <c r="O614" s="228"/>
      <c r="P614" s="258"/>
      <c r="Q614" s="2381"/>
      <c r="R614" s="2381"/>
      <c r="S614" s="254"/>
      <c r="T614" s="228"/>
      <c r="U614" s="2357"/>
      <c r="V614" s="256"/>
      <c r="W614" s="248"/>
      <c r="X614" s="248"/>
      <c r="Y614" s="248"/>
      <c r="Z614" s="247"/>
      <c r="AA614" s="248"/>
      <c r="AB614" s="248"/>
      <c r="AC614" s="194"/>
      <c r="AD614" s="249"/>
      <c r="AE614" s="250"/>
      <c r="AF614" s="251"/>
      <c r="AG614" s="252"/>
      <c r="AH614" s="241"/>
      <c r="AI614" s="241"/>
      <c r="AJ614" s="241"/>
      <c r="AK614" s="194"/>
      <c r="AL614" s="195"/>
      <c r="AM614" s="195"/>
    </row>
    <row r="615" spans="2:39">
      <c r="B615" s="253">
        <f t="shared" si="187"/>
        <v>122</v>
      </c>
      <c r="C615" s="244"/>
      <c r="D615" s="654"/>
      <c r="E615" s="466"/>
      <c r="F615" s="612"/>
      <c r="G615" s="230"/>
      <c r="H615" s="230"/>
      <c r="I615" s="230"/>
      <c r="J615" s="230"/>
      <c r="K615" s="230"/>
      <c r="L615" s="228"/>
      <c r="M615" s="257"/>
      <c r="N615" s="228"/>
      <c r="O615" s="228"/>
      <c r="P615" s="258"/>
      <c r="Q615" s="2381"/>
      <c r="R615" s="2381"/>
      <c r="S615" s="254"/>
      <c r="T615" s="228"/>
      <c r="U615" s="2357"/>
      <c r="V615" s="256"/>
      <c r="W615" s="248"/>
      <c r="X615" s="248"/>
      <c r="Y615" s="248"/>
      <c r="Z615" s="247"/>
      <c r="AA615" s="248"/>
      <c r="AB615" s="248"/>
      <c r="AC615" s="194"/>
      <c r="AD615" s="249"/>
      <c r="AE615" s="250"/>
      <c r="AF615" s="251"/>
      <c r="AG615" s="252"/>
      <c r="AH615" s="241"/>
      <c r="AI615" s="241"/>
      <c r="AJ615" s="241"/>
      <c r="AK615" s="194"/>
      <c r="AL615" s="195"/>
      <c r="AM615" s="195"/>
    </row>
    <row r="616" spans="2:39">
      <c r="B616" s="253">
        <f t="shared" si="187"/>
        <v>123</v>
      </c>
      <c r="C616" s="244"/>
      <c r="D616" s="654"/>
      <c r="E616" s="466"/>
      <c r="F616" s="612"/>
      <c r="G616" s="230"/>
      <c r="H616" s="230"/>
      <c r="I616" s="230"/>
      <c r="J616" s="230"/>
      <c r="K616" s="230"/>
      <c r="L616" s="228"/>
      <c r="M616" s="257"/>
      <c r="N616" s="228"/>
      <c r="O616" s="228"/>
      <c r="P616" s="258"/>
      <c r="Q616" s="2381"/>
      <c r="R616" s="2381"/>
      <c r="S616" s="254"/>
      <c r="T616" s="228"/>
      <c r="U616" s="2357"/>
      <c r="V616" s="256"/>
      <c r="W616" s="248"/>
      <c r="X616" s="248"/>
      <c r="Y616" s="248"/>
      <c r="Z616" s="247"/>
      <c r="AA616" s="248"/>
      <c r="AB616" s="248"/>
      <c r="AC616" s="194"/>
      <c r="AD616" s="249"/>
      <c r="AE616" s="250"/>
      <c r="AF616" s="251"/>
      <c r="AG616" s="252"/>
      <c r="AH616" s="241"/>
      <c r="AI616" s="241"/>
      <c r="AJ616" s="241"/>
      <c r="AK616" s="194"/>
      <c r="AL616" s="195"/>
      <c r="AM616" s="195"/>
    </row>
    <row r="617" spans="2:39">
      <c r="B617" s="253">
        <f t="shared" si="187"/>
        <v>124</v>
      </c>
      <c r="C617" s="244"/>
      <c r="D617" s="654"/>
      <c r="E617" s="466"/>
      <c r="F617" s="612"/>
      <c r="G617" s="230"/>
      <c r="H617" s="230"/>
      <c r="I617" s="230"/>
      <c r="J617" s="230"/>
      <c r="K617" s="230"/>
      <c r="L617" s="228"/>
      <c r="M617" s="257"/>
      <c r="N617" s="228"/>
      <c r="O617" s="228"/>
      <c r="P617" s="258"/>
      <c r="Q617" s="2381"/>
      <c r="R617" s="2381"/>
      <c r="S617" s="254"/>
      <c r="T617" s="228"/>
      <c r="U617" s="2357"/>
      <c r="V617" s="256"/>
      <c r="W617" s="248"/>
      <c r="X617" s="248"/>
      <c r="Y617" s="248"/>
      <c r="Z617" s="247"/>
      <c r="AA617" s="248"/>
      <c r="AB617" s="248"/>
      <c r="AC617" s="194"/>
      <c r="AD617" s="249"/>
      <c r="AE617" s="250"/>
      <c r="AF617" s="251"/>
      <c r="AG617" s="252"/>
      <c r="AH617" s="241"/>
      <c r="AI617" s="241"/>
      <c r="AJ617" s="241"/>
      <c r="AK617" s="194"/>
      <c r="AL617" s="195"/>
      <c r="AM617" s="195"/>
    </row>
    <row r="618" spans="2:39">
      <c r="B618" s="253">
        <f t="shared" si="187"/>
        <v>125</v>
      </c>
      <c r="C618" s="244"/>
      <c r="D618" s="654"/>
      <c r="E618" s="466"/>
      <c r="F618" s="612"/>
      <c r="G618" s="230"/>
      <c r="H618" s="230"/>
      <c r="I618" s="230"/>
      <c r="J618" s="230"/>
      <c r="K618" s="230"/>
      <c r="L618" s="228"/>
      <c r="M618" s="257"/>
      <c r="N618" s="228"/>
      <c r="O618" s="228"/>
      <c r="P618" s="258"/>
      <c r="Q618" s="2381"/>
      <c r="R618" s="2381"/>
      <c r="S618" s="254"/>
      <c r="T618" s="228"/>
      <c r="U618" s="2357"/>
      <c r="V618" s="256"/>
      <c r="W618" s="248"/>
      <c r="X618" s="248"/>
      <c r="Y618" s="248"/>
      <c r="Z618" s="247"/>
      <c r="AA618" s="248"/>
      <c r="AB618" s="248"/>
      <c r="AC618" s="194"/>
      <c r="AD618" s="249"/>
      <c r="AE618" s="250"/>
      <c r="AF618" s="251"/>
      <c r="AG618" s="252"/>
      <c r="AH618" s="241"/>
      <c r="AI618" s="241"/>
      <c r="AJ618" s="241"/>
      <c r="AK618" s="194"/>
      <c r="AL618" s="195"/>
      <c r="AM618" s="195"/>
    </row>
    <row r="619" spans="2:39">
      <c r="B619" s="253">
        <f t="shared" si="187"/>
        <v>126</v>
      </c>
      <c r="C619" s="244"/>
      <c r="D619" s="654"/>
      <c r="E619" s="466"/>
      <c r="F619" s="612"/>
      <c r="G619" s="230"/>
      <c r="H619" s="230"/>
      <c r="I619" s="230"/>
      <c r="J619" s="230"/>
      <c r="K619" s="230"/>
      <c r="L619" s="228"/>
      <c r="M619" s="257"/>
      <c r="N619" s="228"/>
      <c r="O619" s="228"/>
      <c r="P619" s="258"/>
      <c r="Q619" s="2381"/>
      <c r="R619" s="2381"/>
      <c r="S619" s="254"/>
      <c r="T619" s="228"/>
      <c r="U619" s="2357"/>
      <c r="V619" s="256"/>
      <c r="W619" s="248"/>
      <c r="X619" s="248"/>
      <c r="Y619" s="248"/>
      <c r="Z619" s="247"/>
      <c r="AA619" s="248"/>
      <c r="AB619" s="248"/>
      <c r="AC619" s="194"/>
      <c r="AD619" s="249"/>
      <c r="AE619" s="250"/>
      <c r="AF619" s="251"/>
      <c r="AG619" s="252"/>
      <c r="AH619" s="241"/>
      <c r="AI619" s="241"/>
      <c r="AJ619" s="241"/>
      <c r="AK619" s="194"/>
      <c r="AL619" s="195"/>
      <c r="AM619" s="195"/>
    </row>
    <row r="620" spans="2:39">
      <c r="B620" s="253">
        <f t="shared" si="187"/>
        <v>127</v>
      </c>
      <c r="C620" s="244"/>
      <c r="D620" s="654"/>
      <c r="E620" s="466"/>
      <c r="F620" s="612"/>
      <c r="G620" s="230"/>
      <c r="H620" s="230"/>
      <c r="I620" s="230"/>
      <c r="J620" s="230"/>
      <c r="K620" s="230"/>
      <c r="L620" s="228"/>
      <c r="M620" s="257"/>
      <c r="N620" s="228"/>
      <c r="O620" s="228"/>
      <c r="P620" s="258"/>
      <c r="Q620" s="2381"/>
      <c r="R620" s="2381"/>
      <c r="S620" s="254"/>
      <c r="T620" s="228"/>
      <c r="U620" s="2357"/>
      <c r="V620" s="256"/>
      <c r="W620" s="248"/>
      <c r="X620" s="248"/>
      <c r="Y620" s="248"/>
      <c r="Z620" s="247"/>
      <c r="AA620" s="248"/>
      <c r="AB620" s="248"/>
      <c r="AC620" s="194"/>
      <c r="AD620" s="249"/>
      <c r="AE620" s="250"/>
      <c r="AF620" s="251"/>
      <c r="AG620" s="252"/>
      <c r="AH620" s="241"/>
      <c r="AI620" s="241"/>
      <c r="AJ620" s="241"/>
      <c r="AK620" s="194"/>
      <c r="AL620" s="195"/>
      <c r="AM620" s="195"/>
    </row>
    <row r="621" spans="2:39">
      <c r="B621" s="253">
        <f t="shared" si="187"/>
        <v>128</v>
      </c>
      <c r="C621" s="244"/>
      <c r="D621" s="654"/>
      <c r="E621" s="466"/>
      <c r="F621" s="612"/>
      <c r="G621" s="230"/>
      <c r="H621" s="230"/>
      <c r="I621" s="230"/>
      <c r="J621" s="230"/>
      <c r="K621" s="230"/>
      <c r="L621" s="228"/>
      <c r="M621" s="257"/>
      <c r="N621" s="228"/>
      <c r="O621" s="228"/>
      <c r="P621" s="258"/>
      <c r="Q621" s="2381"/>
      <c r="R621" s="2381"/>
      <c r="S621" s="254"/>
      <c r="T621" s="228"/>
      <c r="U621" s="2357"/>
      <c r="V621" s="256"/>
      <c r="W621" s="248"/>
      <c r="X621" s="248"/>
      <c r="Y621" s="248"/>
      <c r="Z621" s="247"/>
      <c r="AA621" s="248"/>
      <c r="AB621" s="248"/>
      <c r="AC621" s="194"/>
      <c r="AD621" s="249"/>
      <c r="AE621" s="250"/>
      <c r="AF621" s="251"/>
      <c r="AG621" s="252"/>
      <c r="AH621" s="241"/>
      <c r="AI621" s="241"/>
      <c r="AJ621" s="241"/>
      <c r="AK621" s="194"/>
      <c r="AL621" s="195"/>
      <c r="AM621" s="195"/>
    </row>
    <row r="622" spans="2:39">
      <c r="B622" s="253">
        <f t="shared" si="187"/>
        <v>129</v>
      </c>
      <c r="C622" s="244"/>
      <c r="D622" s="654"/>
      <c r="E622" s="466"/>
      <c r="F622" s="612"/>
      <c r="G622" s="230"/>
      <c r="H622" s="230"/>
      <c r="I622" s="230"/>
      <c r="J622" s="230"/>
      <c r="K622" s="230"/>
      <c r="L622" s="228"/>
      <c r="M622" s="257"/>
      <c r="N622" s="228"/>
      <c r="O622" s="228"/>
      <c r="P622" s="258"/>
      <c r="Q622" s="2381"/>
      <c r="R622" s="2381"/>
      <c r="S622" s="254"/>
      <c r="T622" s="228"/>
      <c r="U622" s="2357"/>
      <c r="V622" s="256"/>
      <c r="W622" s="248"/>
      <c r="X622" s="248"/>
      <c r="Y622" s="248"/>
      <c r="Z622" s="247"/>
      <c r="AA622" s="248"/>
      <c r="AB622" s="248"/>
      <c r="AC622" s="194"/>
      <c r="AD622" s="249"/>
      <c r="AE622" s="250"/>
      <c r="AF622" s="251"/>
      <c r="AG622" s="252"/>
      <c r="AH622" s="241"/>
      <c r="AI622" s="241"/>
      <c r="AJ622" s="241"/>
      <c r="AK622" s="194"/>
      <c r="AL622" s="195"/>
      <c r="AM622" s="195"/>
    </row>
    <row r="623" spans="2:39">
      <c r="B623" s="253">
        <f t="shared" si="187"/>
        <v>130</v>
      </c>
      <c r="C623" s="244"/>
      <c r="D623" s="654"/>
      <c r="E623" s="466"/>
      <c r="F623" s="612"/>
      <c r="G623" s="230"/>
      <c r="H623" s="230"/>
      <c r="I623" s="230"/>
      <c r="J623" s="230"/>
      <c r="K623" s="230"/>
      <c r="L623" s="228"/>
      <c r="M623" s="257"/>
      <c r="N623" s="228"/>
      <c r="O623" s="228"/>
      <c r="P623" s="258"/>
      <c r="Q623" s="2381"/>
      <c r="R623" s="2381"/>
      <c r="S623" s="254"/>
      <c r="T623" s="228"/>
      <c r="U623" s="2357"/>
      <c r="V623" s="256"/>
      <c r="W623" s="248"/>
      <c r="X623" s="248"/>
      <c r="Y623" s="248"/>
      <c r="Z623" s="247"/>
      <c r="AA623" s="248"/>
      <c r="AB623" s="248"/>
      <c r="AC623" s="194"/>
      <c r="AD623" s="249"/>
      <c r="AE623" s="250"/>
      <c r="AF623" s="251"/>
      <c r="AG623" s="252"/>
      <c r="AH623" s="241"/>
      <c r="AI623" s="241"/>
      <c r="AJ623" s="241"/>
      <c r="AK623" s="194"/>
      <c r="AL623" s="195"/>
      <c r="AM623" s="195"/>
    </row>
    <row r="624" spans="2:39">
      <c r="B624" s="253">
        <f t="shared" si="187"/>
        <v>131</v>
      </c>
      <c r="C624" s="244"/>
      <c r="D624" s="654"/>
      <c r="E624" s="466"/>
      <c r="F624" s="612"/>
      <c r="G624" s="230"/>
      <c r="H624" s="230"/>
      <c r="I624" s="230"/>
      <c r="J624" s="230"/>
      <c r="K624" s="230"/>
      <c r="L624" s="228"/>
      <c r="M624" s="257"/>
      <c r="N624" s="228"/>
      <c r="O624" s="228"/>
      <c r="P624" s="258"/>
      <c r="Q624" s="2381"/>
      <c r="R624" s="2381"/>
      <c r="S624" s="254"/>
      <c r="T624" s="228"/>
      <c r="U624" s="2357"/>
      <c r="V624" s="256"/>
      <c r="W624" s="248"/>
      <c r="X624" s="248"/>
      <c r="Y624" s="248"/>
      <c r="Z624" s="247"/>
      <c r="AA624" s="248"/>
      <c r="AB624" s="248"/>
      <c r="AC624" s="194"/>
      <c r="AD624" s="249"/>
      <c r="AE624" s="250"/>
      <c r="AF624" s="251"/>
      <c r="AG624" s="252"/>
      <c r="AH624" s="241"/>
      <c r="AI624" s="241"/>
      <c r="AJ624" s="241"/>
      <c r="AK624" s="194"/>
      <c r="AL624" s="195"/>
      <c r="AM624" s="195"/>
    </row>
    <row r="625" spans="2:39">
      <c r="B625" s="253">
        <f t="shared" si="187"/>
        <v>132</v>
      </c>
      <c r="C625" s="244"/>
      <c r="D625" s="654"/>
      <c r="E625" s="466"/>
      <c r="F625" s="612"/>
      <c r="G625" s="230"/>
      <c r="H625" s="230"/>
      <c r="I625" s="230"/>
      <c r="J625" s="230"/>
      <c r="K625" s="230"/>
      <c r="L625" s="228"/>
      <c r="M625" s="257"/>
      <c r="N625" s="228"/>
      <c r="O625" s="228"/>
      <c r="P625" s="258"/>
      <c r="Q625" s="2381"/>
      <c r="R625" s="2381"/>
      <c r="S625" s="254"/>
      <c r="T625" s="228"/>
      <c r="U625" s="2357"/>
      <c r="V625" s="256"/>
      <c r="W625" s="248"/>
      <c r="X625" s="248"/>
      <c r="Y625" s="248"/>
      <c r="Z625" s="247"/>
      <c r="AA625" s="248"/>
      <c r="AB625" s="248"/>
      <c r="AC625" s="194"/>
      <c r="AD625" s="249"/>
      <c r="AE625" s="250"/>
      <c r="AF625" s="251"/>
      <c r="AG625" s="252"/>
      <c r="AH625" s="241"/>
      <c r="AI625" s="241"/>
      <c r="AJ625" s="241"/>
      <c r="AK625" s="194"/>
      <c r="AL625" s="195"/>
      <c r="AM625" s="195"/>
    </row>
    <row r="626" spans="2:39">
      <c r="B626" s="253">
        <f t="shared" si="187"/>
        <v>133</v>
      </c>
      <c r="C626" s="244"/>
      <c r="D626" s="654"/>
      <c r="E626" s="466"/>
      <c r="F626" s="612"/>
      <c r="G626" s="230"/>
      <c r="H626" s="230"/>
      <c r="I626" s="230"/>
      <c r="J626" s="230"/>
      <c r="K626" s="230"/>
      <c r="L626" s="228"/>
      <c r="M626" s="257"/>
      <c r="N626" s="228"/>
      <c r="O626" s="228"/>
      <c r="P626" s="258"/>
      <c r="Q626" s="2381"/>
      <c r="R626" s="2381"/>
      <c r="S626" s="254"/>
      <c r="T626" s="228"/>
      <c r="U626" s="2357"/>
      <c r="V626" s="256"/>
      <c r="W626" s="248"/>
      <c r="X626" s="248"/>
      <c r="Y626" s="248"/>
      <c r="Z626" s="247"/>
      <c r="AA626" s="248"/>
      <c r="AB626" s="248"/>
      <c r="AC626" s="194"/>
      <c r="AD626" s="249"/>
      <c r="AE626" s="250"/>
      <c r="AF626" s="251"/>
      <c r="AG626" s="252"/>
      <c r="AH626" s="241"/>
      <c r="AI626" s="241"/>
      <c r="AJ626" s="241"/>
      <c r="AK626" s="194"/>
      <c r="AL626" s="195"/>
      <c r="AM626" s="195"/>
    </row>
    <row r="627" spans="2:39">
      <c r="B627" s="253">
        <f t="shared" si="187"/>
        <v>134</v>
      </c>
      <c r="C627" s="244"/>
      <c r="D627" s="654"/>
      <c r="E627" s="466"/>
      <c r="F627" s="612"/>
      <c r="G627" s="230"/>
      <c r="H627" s="230"/>
      <c r="I627" s="230"/>
      <c r="J627" s="230"/>
      <c r="K627" s="230"/>
      <c r="L627" s="228"/>
      <c r="M627" s="257"/>
      <c r="N627" s="228"/>
      <c r="O627" s="228"/>
      <c r="P627" s="258"/>
      <c r="Q627" s="2381"/>
      <c r="R627" s="2381"/>
      <c r="S627" s="254"/>
      <c r="T627" s="228"/>
      <c r="U627" s="2357"/>
      <c r="V627" s="256"/>
      <c r="W627" s="248"/>
      <c r="X627" s="248"/>
      <c r="Y627" s="248"/>
      <c r="Z627" s="247"/>
      <c r="AA627" s="248"/>
      <c r="AB627" s="248"/>
      <c r="AC627" s="194"/>
      <c r="AD627" s="249"/>
      <c r="AE627" s="250"/>
      <c r="AF627" s="251"/>
      <c r="AG627" s="252"/>
      <c r="AH627" s="241"/>
      <c r="AI627" s="241"/>
      <c r="AJ627" s="241"/>
      <c r="AK627" s="194"/>
      <c r="AL627" s="195"/>
      <c r="AM627" s="195"/>
    </row>
    <row r="628" spans="2:39">
      <c r="B628" s="253">
        <f t="shared" si="187"/>
        <v>135</v>
      </c>
      <c r="C628" s="244"/>
      <c r="D628" s="654"/>
      <c r="E628" s="466"/>
      <c r="F628" s="612"/>
      <c r="G628" s="230"/>
      <c r="H628" s="230"/>
      <c r="I628" s="230"/>
      <c r="J628" s="230"/>
      <c r="K628" s="230"/>
      <c r="L628" s="228"/>
      <c r="M628" s="257"/>
      <c r="N628" s="228"/>
      <c r="O628" s="228"/>
      <c r="P628" s="258"/>
      <c r="Q628" s="2381"/>
      <c r="R628" s="2381"/>
      <c r="S628" s="254"/>
      <c r="T628" s="228"/>
      <c r="U628" s="2357"/>
      <c r="V628" s="256"/>
      <c r="W628" s="248"/>
      <c r="X628" s="248"/>
      <c r="Y628" s="248"/>
      <c r="Z628" s="247"/>
      <c r="AA628" s="248"/>
      <c r="AB628" s="248"/>
      <c r="AC628" s="194"/>
      <c r="AD628" s="249"/>
      <c r="AE628" s="250"/>
      <c r="AF628" s="251"/>
      <c r="AG628" s="252"/>
      <c r="AH628" s="241"/>
      <c r="AI628" s="241"/>
      <c r="AJ628" s="241"/>
      <c r="AK628" s="194"/>
      <c r="AL628" s="195"/>
      <c r="AM628" s="195"/>
    </row>
    <row r="629" spans="2:39">
      <c r="B629" s="253">
        <f t="shared" si="187"/>
        <v>136</v>
      </c>
      <c r="C629" s="244"/>
      <c r="D629" s="654"/>
      <c r="E629" s="466"/>
      <c r="F629" s="612"/>
      <c r="G629" s="230"/>
      <c r="H629" s="230"/>
      <c r="I629" s="230"/>
      <c r="J629" s="230"/>
      <c r="K629" s="230"/>
      <c r="L629" s="228"/>
      <c r="M629" s="257"/>
      <c r="N629" s="228"/>
      <c r="O629" s="228"/>
      <c r="P629" s="258"/>
      <c r="Q629" s="2381"/>
      <c r="R629" s="2381"/>
      <c r="S629" s="254"/>
      <c r="T629" s="228"/>
      <c r="U629" s="2357"/>
      <c r="V629" s="256"/>
      <c r="W629" s="248"/>
      <c r="X629" s="248"/>
      <c r="Y629" s="248"/>
      <c r="Z629" s="247"/>
      <c r="AA629" s="248"/>
      <c r="AB629" s="248"/>
      <c r="AC629" s="194"/>
      <c r="AD629" s="249"/>
      <c r="AE629" s="250"/>
      <c r="AF629" s="251"/>
      <c r="AG629" s="252"/>
      <c r="AH629" s="241"/>
      <c r="AI629" s="241"/>
      <c r="AJ629" s="241"/>
      <c r="AK629" s="194"/>
      <c r="AL629" s="195"/>
      <c r="AM629" s="195"/>
    </row>
    <row r="630" spans="2:39">
      <c r="B630" s="253">
        <f t="shared" si="187"/>
        <v>137</v>
      </c>
      <c r="C630" s="244"/>
      <c r="D630" s="654"/>
      <c r="E630" s="466"/>
      <c r="F630" s="612"/>
      <c r="G630" s="230"/>
      <c r="H630" s="230"/>
      <c r="I630" s="230"/>
      <c r="J630" s="230"/>
      <c r="K630" s="230"/>
      <c r="L630" s="228"/>
      <c r="M630" s="257"/>
      <c r="N630" s="228"/>
      <c r="O630" s="228"/>
      <c r="P630" s="258"/>
      <c r="Q630" s="2381"/>
      <c r="R630" s="2381"/>
      <c r="S630" s="254"/>
      <c r="T630" s="228"/>
      <c r="U630" s="2357"/>
      <c r="V630" s="256"/>
      <c r="W630" s="248"/>
      <c r="X630" s="248"/>
      <c r="Y630" s="248"/>
      <c r="Z630" s="247"/>
      <c r="AA630" s="248"/>
      <c r="AB630" s="248"/>
      <c r="AC630" s="194"/>
      <c r="AD630" s="249"/>
      <c r="AE630" s="250"/>
      <c r="AF630" s="251"/>
      <c r="AG630" s="252"/>
      <c r="AH630" s="241"/>
      <c r="AI630" s="241"/>
      <c r="AJ630" s="241"/>
      <c r="AK630" s="194"/>
      <c r="AL630" s="195"/>
      <c r="AM630" s="195"/>
    </row>
    <row r="631" spans="2:39">
      <c r="B631" s="253">
        <f t="shared" si="187"/>
        <v>138</v>
      </c>
      <c r="C631" s="244"/>
      <c r="D631" s="654"/>
      <c r="E631" s="466"/>
      <c r="F631" s="612"/>
      <c r="G631" s="230"/>
      <c r="H631" s="230"/>
      <c r="I631" s="230"/>
      <c r="J631" s="230"/>
      <c r="K631" s="230"/>
      <c r="L631" s="228"/>
      <c r="M631" s="257"/>
      <c r="N631" s="228"/>
      <c r="O631" s="228"/>
      <c r="P631" s="258"/>
      <c r="Q631" s="2381"/>
      <c r="R631" s="2381"/>
      <c r="S631" s="254"/>
      <c r="T631" s="228"/>
      <c r="U631" s="2357"/>
      <c r="V631" s="256"/>
      <c r="W631" s="248"/>
      <c r="X631" s="248"/>
      <c r="Y631" s="248"/>
      <c r="Z631" s="247"/>
      <c r="AA631" s="248"/>
      <c r="AB631" s="248"/>
      <c r="AC631" s="194"/>
      <c r="AD631" s="249"/>
      <c r="AE631" s="250"/>
      <c r="AF631" s="251"/>
      <c r="AG631" s="252"/>
      <c r="AH631" s="241"/>
      <c r="AI631" s="241"/>
      <c r="AJ631" s="241"/>
      <c r="AK631" s="194"/>
      <c r="AL631" s="195"/>
      <c r="AM631" s="195"/>
    </row>
    <row r="632" spans="2:39">
      <c r="B632" s="253">
        <f t="shared" si="187"/>
        <v>139</v>
      </c>
      <c r="C632" s="244"/>
      <c r="D632" s="654"/>
      <c r="E632" s="466"/>
      <c r="F632" s="612"/>
      <c r="G632" s="230"/>
      <c r="H632" s="230"/>
      <c r="I632" s="230"/>
      <c r="J632" s="230"/>
      <c r="K632" s="230"/>
      <c r="L632" s="228"/>
      <c r="M632" s="257"/>
      <c r="N632" s="228"/>
      <c r="O632" s="228"/>
      <c r="P632" s="258"/>
      <c r="Q632" s="2381"/>
      <c r="R632" s="2381"/>
      <c r="S632" s="254"/>
      <c r="T632" s="228"/>
      <c r="U632" s="2357"/>
      <c r="V632" s="256"/>
      <c r="W632" s="248"/>
      <c r="X632" s="248"/>
      <c r="Y632" s="248"/>
      <c r="Z632" s="247"/>
      <c r="AA632" s="248"/>
      <c r="AB632" s="248"/>
      <c r="AC632" s="194"/>
      <c r="AD632" s="249"/>
      <c r="AE632" s="250"/>
      <c r="AF632" s="251"/>
      <c r="AG632" s="252"/>
      <c r="AH632" s="241"/>
      <c r="AI632" s="241"/>
      <c r="AJ632" s="241"/>
      <c r="AK632" s="194"/>
      <c r="AL632" s="195"/>
      <c r="AM632" s="195"/>
    </row>
    <row r="633" spans="2:39">
      <c r="B633" s="253">
        <f t="shared" si="187"/>
        <v>140</v>
      </c>
      <c r="C633" s="244"/>
      <c r="D633" s="654"/>
      <c r="E633" s="466"/>
      <c r="F633" s="612"/>
      <c r="G633" s="230"/>
      <c r="H633" s="230"/>
      <c r="I633" s="230"/>
      <c r="J633" s="230"/>
      <c r="K633" s="230"/>
      <c r="L633" s="228"/>
      <c r="M633" s="257"/>
      <c r="N633" s="228"/>
      <c r="O633" s="228"/>
      <c r="P633" s="258"/>
      <c r="Q633" s="2381"/>
      <c r="R633" s="2381"/>
      <c r="S633" s="254"/>
      <c r="T633" s="228"/>
      <c r="U633" s="2357"/>
      <c r="V633" s="256"/>
      <c r="W633" s="248"/>
      <c r="X633" s="248"/>
      <c r="Y633" s="248"/>
      <c r="Z633" s="247"/>
      <c r="AA633" s="248"/>
      <c r="AB633" s="248"/>
      <c r="AC633" s="194"/>
      <c r="AD633" s="249"/>
      <c r="AE633" s="250"/>
      <c r="AF633" s="251"/>
      <c r="AG633" s="252"/>
      <c r="AH633" s="241"/>
      <c r="AI633" s="241"/>
      <c r="AJ633" s="241"/>
      <c r="AK633" s="194"/>
      <c r="AL633" s="195"/>
      <c r="AM633" s="195"/>
    </row>
    <row r="634" spans="2:39">
      <c r="B634" s="253">
        <f t="shared" si="187"/>
        <v>141</v>
      </c>
      <c r="C634" s="244"/>
      <c r="D634" s="654"/>
      <c r="E634" s="466"/>
      <c r="F634" s="612"/>
      <c r="G634" s="230"/>
      <c r="H634" s="230"/>
      <c r="I634" s="230"/>
      <c r="J634" s="230"/>
      <c r="K634" s="230"/>
      <c r="L634" s="228"/>
      <c r="M634" s="257"/>
      <c r="N634" s="228"/>
      <c r="O634" s="228"/>
      <c r="P634" s="258"/>
      <c r="Q634" s="2381"/>
      <c r="R634" s="2381"/>
      <c r="S634" s="254"/>
      <c r="T634" s="228"/>
      <c r="U634" s="2357"/>
      <c r="V634" s="256"/>
      <c r="W634" s="248"/>
      <c r="X634" s="248"/>
      <c r="Y634" s="248"/>
      <c r="Z634" s="247"/>
      <c r="AA634" s="248"/>
      <c r="AB634" s="248"/>
      <c r="AC634" s="194"/>
      <c r="AD634" s="249"/>
      <c r="AE634" s="250"/>
      <c r="AF634" s="251"/>
      <c r="AG634" s="252"/>
      <c r="AH634" s="241"/>
      <c r="AI634" s="241"/>
      <c r="AJ634" s="241"/>
      <c r="AK634" s="194"/>
      <c r="AL634" s="195"/>
      <c r="AM634" s="195"/>
    </row>
    <row r="635" spans="2:39">
      <c r="B635" s="253">
        <f t="shared" si="187"/>
        <v>142</v>
      </c>
      <c r="C635" s="244"/>
      <c r="D635" s="654"/>
      <c r="E635" s="466"/>
      <c r="F635" s="612"/>
      <c r="G635" s="230"/>
      <c r="H635" s="230"/>
      <c r="I635" s="230"/>
      <c r="J635" s="230"/>
      <c r="K635" s="230"/>
      <c r="L635" s="228"/>
      <c r="M635" s="257"/>
      <c r="N635" s="228"/>
      <c r="O635" s="228"/>
      <c r="P635" s="258"/>
      <c r="Q635" s="2381"/>
      <c r="R635" s="2381"/>
      <c r="S635" s="254"/>
      <c r="T635" s="228"/>
      <c r="U635" s="2357"/>
      <c r="V635" s="256"/>
      <c r="W635" s="248"/>
      <c r="X635" s="248"/>
      <c r="Y635" s="248"/>
      <c r="Z635" s="247"/>
      <c r="AA635" s="248"/>
      <c r="AB635" s="248"/>
      <c r="AC635" s="194"/>
      <c r="AD635" s="249"/>
      <c r="AE635" s="250"/>
      <c r="AF635" s="251"/>
      <c r="AG635" s="252"/>
      <c r="AH635" s="241"/>
      <c r="AI635" s="241"/>
      <c r="AJ635" s="241"/>
      <c r="AK635" s="194"/>
      <c r="AL635" s="195"/>
      <c r="AM635" s="195"/>
    </row>
    <row r="636" spans="2:39">
      <c r="B636" s="253">
        <f t="shared" si="187"/>
        <v>143</v>
      </c>
      <c r="C636" s="244"/>
      <c r="D636" s="654"/>
      <c r="E636" s="466"/>
      <c r="F636" s="612"/>
      <c r="G636" s="230"/>
      <c r="H636" s="230"/>
      <c r="I636" s="230"/>
      <c r="J636" s="230"/>
      <c r="K636" s="230"/>
      <c r="L636" s="228"/>
      <c r="M636" s="257"/>
      <c r="N636" s="228"/>
      <c r="O636" s="228"/>
      <c r="P636" s="258"/>
      <c r="Q636" s="2381"/>
      <c r="R636" s="2381"/>
      <c r="S636" s="254"/>
      <c r="T636" s="228"/>
      <c r="U636" s="2357"/>
      <c r="V636" s="256"/>
      <c r="W636" s="248"/>
      <c r="X636" s="248"/>
      <c r="Y636" s="248"/>
      <c r="Z636" s="247"/>
      <c r="AA636" s="248"/>
      <c r="AB636" s="248"/>
      <c r="AC636" s="194"/>
      <c r="AD636" s="249"/>
      <c r="AE636" s="250"/>
      <c r="AF636" s="251"/>
      <c r="AG636" s="252"/>
      <c r="AH636" s="241"/>
      <c r="AI636" s="241"/>
      <c r="AJ636" s="241"/>
      <c r="AK636" s="194"/>
      <c r="AL636" s="195"/>
      <c r="AM636" s="195"/>
    </row>
    <row r="637" spans="2:39">
      <c r="B637" s="253">
        <f t="shared" si="187"/>
        <v>144</v>
      </c>
      <c r="C637" s="244"/>
      <c r="D637" s="654"/>
      <c r="E637" s="466"/>
      <c r="F637" s="612"/>
      <c r="G637" s="230"/>
      <c r="H637" s="230"/>
      <c r="I637" s="230"/>
      <c r="J637" s="230"/>
      <c r="K637" s="230"/>
      <c r="L637" s="228"/>
      <c r="M637" s="257"/>
      <c r="N637" s="228"/>
      <c r="O637" s="228"/>
      <c r="P637" s="258"/>
      <c r="Q637" s="2381"/>
      <c r="R637" s="2381"/>
      <c r="S637" s="254"/>
      <c r="T637" s="228"/>
      <c r="U637" s="2357"/>
      <c r="V637" s="256"/>
      <c r="W637" s="248"/>
      <c r="X637" s="248"/>
      <c r="Y637" s="248"/>
      <c r="Z637" s="247"/>
      <c r="AA637" s="248"/>
      <c r="AB637" s="248"/>
      <c r="AC637" s="194"/>
      <c r="AD637" s="249"/>
      <c r="AE637" s="250"/>
      <c r="AF637" s="251"/>
      <c r="AG637" s="252"/>
      <c r="AH637" s="241"/>
      <c r="AI637" s="241"/>
      <c r="AJ637" s="241"/>
      <c r="AK637" s="194"/>
      <c r="AL637" s="195"/>
      <c r="AM637" s="195"/>
    </row>
    <row r="638" spans="2:39">
      <c r="B638" s="253">
        <f t="shared" si="187"/>
        <v>145</v>
      </c>
      <c r="C638" s="244"/>
      <c r="D638" s="654"/>
      <c r="E638" s="466"/>
      <c r="F638" s="612"/>
      <c r="G638" s="230"/>
      <c r="H638" s="230"/>
      <c r="I638" s="230"/>
      <c r="J638" s="230"/>
      <c r="K638" s="230"/>
      <c r="L638" s="228"/>
      <c r="M638" s="257"/>
      <c r="N638" s="228"/>
      <c r="O638" s="228"/>
      <c r="P638" s="258"/>
      <c r="Q638" s="2381"/>
      <c r="R638" s="2381"/>
      <c r="S638" s="254"/>
      <c r="T638" s="228"/>
      <c r="U638" s="2357"/>
      <c r="V638" s="256"/>
      <c r="W638" s="248"/>
      <c r="X638" s="248"/>
      <c r="Y638" s="248"/>
      <c r="Z638" s="247"/>
      <c r="AA638" s="248"/>
      <c r="AB638" s="248"/>
      <c r="AC638" s="194"/>
      <c r="AD638" s="249"/>
      <c r="AE638" s="250"/>
      <c r="AF638" s="251"/>
      <c r="AG638" s="252"/>
      <c r="AH638" s="241"/>
      <c r="AI638" s="241"/>
      <c r="AJ638" s="241"/>
      <c r="AK638" s="194"/>
      <c r="AL638" s="195"/>
      <c r="AM638" s="195"/>
    </row>
    <row r="639" spans="2:39">
      <c r="B639" s="253">
        <f t="shared" si="187"/>
        <v>146</v>
      </c>
      <c r="C639" s="244"/>
      <c r="D639" s="654"/>
      <c r="E639" s="466"/>
      <c r="F639" s="612"/>
      <c r="G639" s="230"/>
      <c r="H639" s="230"/>
      <c r="I639" s="230"/>
      <c r="J639" s="230"/>
      <c r="K639" s="230"/>
      <c r="L639" s="228"/>
      <c r="M639" s="257"/>
      <c r="N639" s="228"/>
      <c r="O639" s="228"/>
      <c r="P639" s="258"/>
      <c r="Q639" s="2381"/>
      <c r="R639" s="2381"/>
      <c r="S639" s="254"/>
      <c r="T639" s="228"/>
      <c r="U639" s="2357"/>
      <c r="V639" s="256"/>
      <c r="W639" s="248"/>
      <c r="X639" s="248"/>
      <c r="Y639" s="248"/>
      <c r="Z639" s="247"/>
      <c r="AA639" s="248"/>
      <c r="AB639" s="248"/>
      <c r="AC639" s="194"/>
      <c r="AD639" s="249"/>
      <c r="AE639" s="250"/>
      <c r="AF639" s="251"/>
      <c r="AG639" s="252"/>
      <c r="AH639" s="241"/>
      <c r="AI639" s="241"/>
      <c r="AJ639" s="241"/>
      <c r="AK639" s="194"/>
      <c r="AL639" s="195"/>
      <c r="AM639" s="195"/>
    </row>
    <row r="640" spans="2:39">
      <c r="B640" s="253">
        <f t="shared" si="187"/>
        <v>147</v>
      </c>
      <c r="C640" s="244"/>
      <c r="D640" s="654"/>
      <c r="E640" s="466"/>
      <c r="F640" s="612"/>
      <c r="G640" s="230"/>
      <c r="H640" s="230"/>
      <c r="I640" s="230"/>
      <c r="J640" s="230"/>
      <c r="K640" s="230"/>
      <c r="L640" s="228"/>
      <c r="M640" s="257"/>
      <c r="N640" s="228"/>
      <c r="O640" s="228"/>
      <c r="P640" s="258"/>
      <c r="Q640" s="2381"/>
      <c r="R640" s="2381"/>
      <c r="S640" s="254"/>
      <c r="T640" s="228"/>
      <c r="U640" s="2357"/>
      <c r="V640" s="256"/>
      <c r="W640" s="248"/>
      <c r="X640" s="248"/>
      <c r="Y640" s="248"/>
      <c r="Z640" s="247"/>
      <c r="AA640" s="248"/>
      <c r="AB640" s="248"/>
      <c r="AC640" s="194"/>
      <c r="AD640" s="249"/>
      <c r="AE640" s="250"/>
      <c r="AF640" s="251"/>
      <c r="AG640" s="252"/>
      <c r="AH640" s="241"/>
      <c r="AI640" s="241"/>
      <c r="AJ640" s="241"/>
      <c r="AK640" s="194"/>
      <c r="AL640" s="195"/>
      <c r="AM640" s="195"/>
    </row>
    <row r="641" spans="2:39">
      <c r="B641" s="253">
        <f t="shared" si="187"/>
        <v>148</v>
      </c>
      <c r="C641" s="244"/>
      <c r="D641" s="654"/>
      <c r="E641" s="466"/>
      <c r="F641" s="612"/>
      <c r="G641" s="230"/>
      <c r="H641" s="230"/>
      <c r="I641" s="230"/>
      <c r="J641" s="230"/>
      <c r="K641" s="230"/>
      <c r="L641" s="228"/>
      <c r="M641" s="257"/>
      <c r="N641" s="228"/>
      <c r="O641" s="228"/>
      <c r="P641" s="258"/>
      <c r="Q641" s="2381"/>
      <c r="R641" s="2381"/>
      <c r="S641" s="254"/>
      <c r="T641" s="228"/>
      <c r="U641" s="2357"/>
      <c r="V641" s="256"/>
      <c r="W641" s="248"/>
      <c r="X641" s="248"/>
      <c r="Y641" s="248"/>
      <c r="Z641" s="247"/>
      <c r="AA641" s="248"/>
      <c r="AB641" s="248"/>
      <c r="AC641" s="194"/>
      <c r="AD641" s="249"/>
      <c r="AE641" s="250"/>
      <c r="AF641" s="251"/>
      <c r="AG641" s="252"/>
      <c r="AH641" s="241"/>
      <c r="AI641" s="241"/>
      <c r="AJ641" s="241"/>
      <c r="AK641" s="194"/>
      <c r="AL641" s="195"/>
      <c r="AM641" s="195"/>
    </row>
    <row r="642" spans="2:39">
      <c r="B642" s="253">
        <f t="shared" si="187"/>
        <v>149</v>
      </c>
      <c r="C642" s="244"/>
      <c r="D642" s="654"/>
      <c r="E642" s="466"/>
      <c r="F642" s="612"/>
      <c r="G642" s="230"/>
      <c r="H642" s="230"/>
      <c r="I642" s="230"/>
      <c r="J642" s="230"/>
      <c r="K642" s="230"/>
      <c r="L642" s="228"/>
      <c r="M642" s="257"/>
      <c r="N642" s="228"/>
      <c r="O642" s="228"/>
      <c r="P642" s="258"/>
      <c r="Q642" s="2381"/>
      <c r="R642" s="2381"/>
      <c r="S642" s="254"/>
      <c r="T642" s="228"/>
      <c r="U642" s="2357"/>
      <c r="V642" s="256"/>
      <c r="W642" s="248"/>
      <c r="X642" s="248"/>
      <c r="Y642" s="248"/>
      <c r="Z642" s="247"/>
      <c r="AA642" s="248"/>
      <c r="AB642" s="248"/>
      <c r="AC642" s="194"/>
      <c r="AD642" s="249"/>
      <c r="AE642" s="250"/>
      <c r="AF642" s="251"/>
      <c r="AG642" s="252"/>
      <c r="AH642" s="241"/>
      <c r="AI642" s="241"/>
      <c r="AJ642" s="241"/>
      <c r="AK642" s="194"/>
      <c r="AL642" s="195"/>
      <c r="AM642" s="195"/>
    </row>
    <row r="643" spans="2:39">
      <c r="B643" s="253">
        <f t="shared" si="187"/>
        <v>150</v>
      </c>
      <c r="C643" s="244"/>
      <c r="D643" s="654"/>
      <c r="E643" s="466"/>
      <c r="F643" s="612"/>
      <c r="G643" s="230"/>
      <c r="H643" s="230"/>
      <c r="I643" s="230"/>
      <c r="J643" s="230"/>
      <c r="K643" s="230"/>
      <c r="L643" s="228"/>
      <c r="M643" s="257"/>
      <c r="N643" s="228"/>
      <c r="O643" s="228"/>
      <c r="P643" s="258"/>
      <c r="Q643" s="2381"/>
      <c r="R643" s="2381"/>
      <c r="S643" s="254"/>
      <c r="T643" s="228"/>
      <c r="U643" s="2357"/>
      <c r="V643" s="256"/>
      <c r="W643" s="248"/>
      <c r="X643" s="248"/>
      <c r="Y643" s="248"/>
      <c r="Z643" s="247"/>
      <c r="AA643" s="248"/>
      <c r="AB643" s="248"/>
      <c r="AC643" s="194"/>
      <c r="AD643" s="249"/>
      <c r="AE643" s="250"/>
      <c r="AF643" s="251"/>
      <c r="AG643" s="252"/>
      <c r="AH643" s="241"/>
      <c r="AI643" s="241"/>
      <c r="AJ643" s="241"/>
      <c r="AK643" s="194"/>
      <c r="AL643" s="195"/>
      <c r="AM643" s="195"/>
    </row>
    <row r="644" spans="2:39">
      <c r="B644" s="253">
        <f t="shared" ref="B644:B707" si="188">+B643+1</f>
        <v>151</v>
      </c>
      <c r="C644" s="244"/>
      <c r="D644" s="654"/>
      <c r="E644" s="466"/>
      <c r="F644" s="612"/>
      <c r="G644" s="230"/>
      <c r="H644" s="230"/>
      <c r="I644" s="230"/>
      <c r="J644" s="230"/>
      <c r="K644" s="230"/>
      <c r="L644" s="228"/>
      <c r="M644" s="257"/>
      <c r="N644" s="228"/>
      <c r="O644" s="228"/>
      <c r="P644" s="258"/>
      <c r="Q644" s="2381"/>
      <c r="R644" s="2381"/>
      <c r="S644" s="254"/>
      <c r="T644" s="228"/>
      <c r="U644" s="2357"/>
      <c r="V644" s="256"/>
      <c r="W644" s="248"/>
      <c r="X644" s="248"/>
      <c r="Y644" s="248"/>
      <c r="Z644" s="247"/>
      <c r="AA644" s="248"/>
      <c r="AB644" s="248"/>
      <c r="AC644" s="194"/>
      <c r="AD644" s="249"/>
      <c r="AE644" s="250"/>
      <c r="AF644" s="251"/>
      <c r="AG644" s="252"/>
      <c r="AH644" s="241"/>
      <c r="AI644" s="241"/>
      <c r="AJ644" s="241"/>
      <c r="AK644" s="194"/>
      <c r="AL644" s="195"/>
      <c r="AM644" s="195"/>
    </row>
    <row r="645" spans="2:39">
      <c r="B645" s="253">
        <f t="shared" si="188"/>
        <v>152</v>
      </c>
      <c r="C645" s="244"/>
      <c r="D645" s="654"/>
      <c r="E645" s="466"/>
      <c r="F645" s="612"/>
      <c r="G645" s="230"/>
      <c r="H645" s="230"/>
      <c r="I645" s="230"/>
      <c r="J645" s="230"/>
      <c r="K645" s="230"/>
      <c r="L645" s="228"/>
      <c r="M645" s="257"/>
      <c r="N645" s="228"/>
      <c r="O645" s="228"/>
      <c r="P645" s="258"/>
      <c r="Q645" s="2381"/>
      <c r="R645" s="2381"/>
      <c r="S645" s="254"/>
      <c r="T645" s="228"/>
      <c r="U645" s="2357"/>
      <c r="V645" s="256"/>
      <c r="W645" s="248"/>
      <c r="X645" s="248"/>
      <c r="Y645" s="248"/>
      <c r="Z645" s="247"/>
      <c r="AA645" s="248"/>
      <c r="AB645" s="248"/>
      <c r="AC645" s="194"/>
      <c r="AD645" s="249"/>
      <c r="AE645" s="250"/>
      <c r="AF645" s="251"/>
      <c r="AG645" s="252"/>
      <c r="AH645" s="241"/>
      <c r="AI645" s="241"/>
      <c r="AJ645" s="241"/>
      <c r="AK645" s="194"/>
      <c r="AL645" s="195"/>
      <c r="AM645" s="195"/>
    </row>
    <row r="646" spans="2:39">
      <c r="B646" s="253">
        <f t="shared" si="188"/>
        <v>153</v>
      </c>
      <c r="C646" s="244"/>
      <c r="D646" s="654"/>
      <c r="E646" s="466"/>
      <c r="F646" s="612"/>
      <c r="G646" s="230"/>
      <c r="H646" s="230"/>
      <c r="I646" s="230"/>
      <c r="J646" s="230"/>
      <c r="K646" s="230"/>
      <c r="L646" s="228"/>
      <c r="M646" s="257"/>
      <c r="N646" s="228"/>
      <c r="O646" s="228"/>
      <c r="P646" s="258"/>
      <c r="Q646" s="2381"/>
      <c r="R646" s="2381"/>
      <c r="S646" s="254"/>
      <c r="T646" s="228"/>
      <c r="U646" s="2357"/>
      <c r="V646" s="256"/>
      <c r="W646" s="248"/>
      <c r="X646" s="248"/>
      <c r="Y646" s="248"/>
      <c r="Z646" s="247"/>
      <c r="AA646" s="248"/>
      <c r="AB646" s="248"/>
      <c r="AC646" s="194"/>
      <c r="AD646" s="249"/>
      <c r="AE646" s="250"/>
      <c r="AF646" s="251"/>
      <c r="AG646" s="252"/>
      <c r="AH646" s="241"/>
      <c r="AI646" s="241"/>
      <c r="AJ646" s="241"/>
      <c r="AK646" s="194"/>
      <c r="AL646" s="195"/>
      <c r="AM646" s="195"/>
    </row>
    <row r="647" spans="2:39">
      <c r="B647" s="253">
        <f t="shared" si="188"/>
        <v>154</v>
      </c>
      <c r="C647" s="244"/>
      <c r="D647" s="654"/>
      <c r="E647" s="466"/>
      <c r="F647" s="612"/>
      <c r="G647" s="230"/>
      <c r="H647" s="230"/>
      <c r="I647" s="230"/>
      <c r="J647" s="230"/>
      <c r="K647" s="230"/>
      <c r="L647" s="228"/>
      <c r="M647" s="257"/>
      <c r="N647" s="228"/>
      <c r="O647" s="228"/>
      <c r="P647" s="258"/>
      <c r="Q647" s="2381"/>
      <c r="R647" s="2381"/>
      <c r="S647" s="254"/>
      <c r="T647" s="228"/>
      <c r="U647" s="2357"/>
      <c r="V647" s="256"/>
      <c r="W647" s="248"/>
      <c r="X647" s="248"/>
      <c r="Y647" s="248"/>
      <c r="Z647" s="247"/>
      <c r="AA647" s="248"/>
      <c r="AB647" s="248"/>
      <c r="AC647" s="194"/>
      <c r="AD647" s="249"/>
      <c r="AE647" s="250"/>
      <c r="AF647" s="251"/>
      <c r="AG647" s="252"/>
      <c r="AH647" s="241"/>
      <c r="AI647" s="241"/>
      <c r="AJ647" s="241"/>
      <c r="AK647" s="194"/>
      <c r="AL647" s="195"/>
      <c r="AM647" s="195"/>
    </row>
    <row r="648" spans="2:39">
      <c r="B648" s="253">
        <f t="shared" si="188"/>
        <v>155</v>
      </c>
      <c r="C648" s="244"/>
      <c r="D648" s="654"/>
      <c r="E648" s="466"/>
      <c r="F648" s="612"/>
      <c r="G648" s="230"/>
      <c r="H648" s="230"/>
      <c r="I648" s="230"/>
      <c r="J648" s="230"/>
      <c r="K648" s="230"/>
      <c r="L648" s="228"/>
      <c r="M648" s="257"/>
      <c r="N648" s="228"/>
      <c r="O648" s="228"/>
      <c r="P648" s="258"/>
      <c r="Q648" s="2381"/>
      <c r="R648" s="2381"/>
      <c r="S648" s="254"/>
      <c r="T648" s="228"/>
      <c r="U648" s="2357"/>
      <c r="V648" s="256"/>
      <c r="W648" s="248"/>
      <c r="X648" s="248"/>
      <c r="Y648" s="248"/>
      <c r="Z648" s="247"/>
      <c r="AA648" s="248"/>
      <c r="AB648" s="248"/>
      <c r="AC648" s="194"/>
      <c r="AD648" s="249"/>
      <c r="AE648" s="250"/>
      <c r="AF648" s="251"/>
      <c r="AG648" s="252"/>
      <c r="AH648" s="241"/>
      <c r="AI648" s="241"/>
      <c r="AJ648" s="241"/>
      <c r="AK648" s="194"/>
      <c r="AL648" s="195"/>
      <c r="AM648" s="195"/>
    </row>
    <row r="649" spans="2:39">
      <c r="B649" s="253">
        <f t="shared" si="188"/>
        <v>156</v>
      </c>
      <c r="C649" s="244"/>
      <c r="D649" s="654"/>
      <c r="E649" s="466"/>
      <c r="F649" s="612"/>
      <c r="G649" s="230"/>
      <c r="H649" s="230"/>
      <c r="I649" s="230"/>
      <c r="J649" s="230"/>
      <c r="K649" s="230"/>
      <c r="L649" s="228"/>
      <c r="M649" s="257"/>
      <c r="N649" s="228"/>
      <c r="O649" s="228"/>
      <c r="P649" s="258"/>
      <c r="Q649" s="2381"/>
      <c r="R649" s="2381"/>
      <c r="S649" s="254"/>
      <c r="T649" s="228"/>
      <c r="U649" s="2357"/>
      <c r="V649" s="256"/>
      <c r="W649" s="248"/>
      <c r="X649" s="248"/>
      <c r="Y649" s="248"/>
      <c r="Z649" s="247"/>
      <c r="AA649" s="248"/>
      <c r="AB649" s="248"/>
      <c r="AC649" s="194"/>
      <c r="AD649" s="249"/>
      <c r="AE649" s="250"/>
      <c r="AF649" s="251"/>
      <c r="AG649" s="252"/>
      <c r="AH649" s="241"/>
      <c r="AI649" s="241"/>
      <c r="AJ649" s="241"/>
      <c r="AK649" s="194"/>
      <c r="AL649" s="195"/>
      <c r="AM649" s="195"/>
    </row>
    <row r="650" spans="2:39">
      <c r="B650" s="253">
        <f t="shared" si="188"/>
        <v>157</v>
      </c>
      <c r="C650" s="244"/>
      <c r="D650" s="654"/>
      <c r="E650" s="466"/>
      <c r="F650" s="612"/>
      <c r="G650" s="230"/>
      <c r="H650" s="230"/>
      <c r="I650" s="230"/>
      <c r="J650" s="230"/>
      <c r="K650" s="230"/>
      <c r="L650" s="228"/>
      <c r="M650" s="257"/>
      <c r="N650" s="228"/>
      <c r="O650" s="228"/>
      <c r="P650" s="258"/>
      <c r="Q650" s="2381"/>
      <c r="R650" s="2381"/>
      <c r="S650" s="254"/>
      <c r="T650" s="228"/>
      <c r="U650" s="2357"/>
      <c r="V650" s="256"/>
      <c r="W650" s="248"/>
      <c r="X650" s="248"/>
      <c r="Y650" s="248"/>
      <c r="Z650" s="247"/>
      <c r="AA650" s="248"/>
      <c r="AB650" s="248"/>
      <c r="AC650" s="194"/>
      <c r="AD650" s="249"/>
      <c r="AE650" s="250"/>
      <c r="AF650" s="251"/>
      <c r="AG650" s="252"/>
      <c r="AH650" s="241"/>
      <c r="AI650" s="241"/>
      <c r="AJ650" s="241"/>
      <c r="AK650" s="194"/>
      <c r="AL650" s="195"/>
      <c r="AM650" s="195"/>
    </row>
    <row r="651" spans="2:39">
      <c r="B651" s="253">
        <f t="shared" si="188"/>
        <v>158</v>
      </c>
      <c r="C651" s="244"/>
      <c r="D651" s="654"/>
      <c r="E651" s="466"/>
      <c r="F651" s="612"/>
      <c r="G651" s="230"/>
      <c r="H651" s="230"/>
      <c r="I651" s="230"/>
      <c r="J651" s="230"/>
      <c r="K651" s="230"/>
      <c r="L651" s="228"/>
      <c r="M651" s="257"/>
      <c r="N651" s="228"/>
      <c r="O651" s="228"/>
      <c r="P651" s="258"/>
      <c r="Q651" s="2381"/>
      <c r="R651" s="2381"/>
      <c r="S651" s="254"/>
      <c r="T651" s="228"/>
      <c r="U651" s="2357"/>
      <c r="V651" s="256"/>
      <c r="W651" s="248"/>
      <c r="X651" s="248"/>
      <c r="Y651" s="248"/>
      <c r="Z651" s="247"/>
      <c r="AA651" s="248"/>
      <c r="AB651" s="248"/>
      <c r="AC651" s="194"/>
      <c r="AD651" s="249"/>
      <c r="AE651" s="250"/>
      <c r="AF651" s="251"/>
      <c r="AG651" s="252"/>
      <c r="AH651" s="241"/>
      <c r="AI651" s="241"/>
      <c r="AJ651" s="241"/>
      <c r="AK651" s="194"/>
      <c r="AL651" s="195"/>
      <c r="AM651" s="195"/>
    </row>
    <row r="652" spans="2:39">
      <c r="B652" s="253">
        <f t="shared" si="188"/>
        <v>159</v>
      </c>
      <c r="C652" s="244"/>
      <c r="D652" s="654"/>
      <c r="E652" s="466"/>
      <c r="F652" s="612"/>
      <c r="G652" s="230"/>
      <c r="H652" s="230"/>
      <c r="I652" s="230"/>
      <c r="J652" s="230"/>
      <c r="K652" s="230"/>
      <c r="L652" s="228"/>
      <c r="M652" s="257"/>
      <c r="N652" s="228"/>
      <c r="O652" s="228"/>
      <c r="P652" s="258"/>
      <c r="Q652" s="2381"/>
      <c r="R652" s="2381"/>
      <c r="S652" s="254"/>
      <c r="T652" s="228"/>
      <c r="U652" s="2357"/>
      <c r="V652" s="256"/>
      <c r="W652" s="248"/>
      <c r="X652" s="248"/>
      <c r="Y652" s="248"/>
      <c r="Z652" s="247"/>
      <c r="AA652" s="248"/>
      <c r="AB652" s="248"/>
      <c r="AC652" s="194"/>
      <c r="AD652" s="249"/>
      <c r="AE652" s="250"/>
      <c r="AF652" s="251"/>
      <c r="AG652" s="252"/>
      <c r="AH652" s="241"/>
      <c r="AI652" s="241"/>
      <c r="AJ652" s="241"/>
      <c r="AK652" s="194"/>
      <c r="AL652" s="195"/>
      <c r="AM652" s="195"/>
    </row>
    <row r="653" spans="2:39">
      <c r="B653" s="253">
        <f t="shared" si="188"/>
        <v>160</v>
      </c>
      <c r="C653" s="244"/>
      <c r="D653" s="654"/>
      <c r="E653" s="466"/>
      <c r="F653" s="612"/>
      <c r="G653" s="230"/>
      <c r="H653" s="230"/>
      <c r="I653" s="230"/>
      <c r="J653" s="230"/>
      <c r="K653" s="230"/>
      <c r="L653" s="228"/>
      <c r="M653" s="257"/>
      <c r="N653" s="228"/>
      <c r="O653" s="228"/>
      <c r="P653" s="258"/>
      <c r="Q653" s="2381"/>
      <c r="R653" s="2381"/>
      <c r="S653" s="254"/>
      <c r="T653" s="228"/>
      <c r="U653" s="2357"/>
      <c r="V653" s="256"/>
      <c r="W653" s="248"/>
      <c r="X653" s="248"/>
      <c r="Y653" s="248"/>
      <c r="Z653" s="247"/>
      <c r="AA653" s="248"/>
      <c r="AB653" s="248"/>
      <c r="AC653" s="194"/>
      <c r="AD653" s="249"/>
      <c r="AE653" s="250"/>
      <c r="AF653" s="251"/>
      <c r="AG653" s="252"/>
      <c r="AH653" s="241"/>
      <c r="AI653" s="241"/>
      <c r="AJ653" s="241"/>
      <c r="AK653" s="194"/>
      <c r="AL653" s="195"/>
      <c r="AM653" s="195"/>
    </row>
    <row r="654" spans="2:39">
      <c r="B654" s="253">
        <f t="shared" si="188"/>
        <v>161</v>
      </c>
      <c r="C654" s="244"/>
      <c r="D654" s="654"/>
      <c r="E654" s="466"/>
      <c r="F654" s="612"/>
      <c r="G654" s="230"/>
      <c r="H654" s="230"/>
      <c r="I654" s="230"/>
      <c r="J654" s="230"/>
      <c r="K654" s="230"/>
      <c r="L654" s="228"/>
      <c r="M654" s="257"/>
      <c r="N654" s="228"/>
      <c r="O654" s="228"/>
      <c r="P654" s="258"/>
      <c r="Q654" s="2381"/>
      <c r="R654" s="2381"/>
      <c r="S654" s="254"/>
      <c r="T654" s="228"/>
      <c r="U654" s="2357"/>
      <c r="V654" s="256"/>
      <c r="W654" s="248"/>
      <c r="X654" s="248"/>
      <c r="Y654" s="248"/>
      <c r="Z654" s="247"/>
      <c r="AA654" s="248"/>
      <c r="AB654" s="248"/>
      <c r="AC654" s="194"/>
      <c r="AD654" s="249"/>
      <c r="AE654" s="250"/>
      <c r="AF654" s="251"/>
      <c r="AG654" s="252"/>
      <c r="AH654" s="241"/>
      <c r="AI654" s="241"/>
      <c r="AJ654" s="241"/>
      <c r="AK654" s="194"/>
      <c r="AL654" s="195"/>
      <c r="AM654" s="195"/>
    </row>
    <row r="655" spans="2:39">
      <c r="B655" s="253">
        <f t="shared" si="188"/>
        <v>162</v>
      </c>
      <c r="C655" s="244"/>
      <c r="D655" s="654"/>
      <c r="E655" s="466"/>
      <c r="F655" s="612"/>
      <c r="G655" s="230"/>
      <c r="H655" s="230"/>
      <c r="I655" s="230"/>
      <c r="J655" s="230"/>
      <c r="K655" s="230"/>
      <c r="L655" s="228"/>
      <c r="M655" s="257"/>
      <c r="N655" s="228"/>
      <c r="O655" s="228"/>
      <c r="P655" s="258"/>
      <c r="Q655" s="2381"/>
      <c r="R655" s="2381"/>
      <c r="S655" s="254"/>
      <c r="T655" s="228"/>
      <c r="U655" s="2357"/>
      <c r="V655" s="256"/>
      <c r="W655" s="248"/>
      <c r="X655" s="248"/>
      <c r="Y655" s="248"/>
      <c r="Z655" s="247"/>
      <c r="AA655" s="248"/>
      <c r="AB655" s="248"/>
      <c r="AC655" s="194"/>
      <c r="AD655" s="249"/>
      <c r="AE655" s="250"/>
      <c r="AF655" s="251"/>
      <c r="AG655" s="252"/>
      <c r="AH655" s="241"/>
      <c r="AI655" s="241"/>
      <c r="AJ655" s="241"/>
      <c r="AK655" s="194"/>
      <c r="AL655" s="195"/>
      <c r="AM655" s="195"/>
    </row>
    <row r="656" spans="2:39">
      <c r="B656" s="253">
        <f t="shared" si="188"/>
        <v>163</v>
      </c>
      <c r="C656" s="244"/>
      <c r="D656" s="654"/>
      <c r="E656" s="466"/>
      <c r="F656" s="612"/>
      <c r="G656" s="230"/>
      <c r="H656" s="230"/>
      <c r="I656" s="230"/>
      <c r="J656" s="230"/>
      <c r="K656" s="230"/>
      <c r="L656" s="228"/>
      <c r="M656" s="257"/>
      <c r="N656" s="228"/>
      <c r="O656" s="228"/>
      <c r="P656" s="258"/>
      <c r="Q656" s="2381"/>
      <c r="R656" s="2381"/>
      <c r="S656" s="254"/>
      <c r="T656" s="228"/>
      <c r="U656" s="2357"/>
      <c r="V656" s="256"/>
      <c r="W656" s="248"/>
      <c r="X656" s="248"/>
      <c r="Y656" s="248"/>
      <c r="Z656" s="247"/>
      <c r="AA656" s="248"/>
      <c r="AB656" s="248"/>
      <c r="AC656" s="194"/>
      <c r="AD656" s="249"/>
      <c r="AE656" s="250"/>
      <c r="AF656" s="251"/>
      <c r="AG656" s="252"/>
      <c r="AH656" s="241"/>
      <c r="AI656" s="241"/>
      <c r="AJ656" s="241"/>
      <c r="AK656" s="194"/>
      <c r="AL656" s="195"/>
      <c r="AM656" s="195"/>
    </row>
    <row r="657" spans="2:39">
      <c r="B657" s="253">
        <f t="shared" si="188"/>
        <v>164</v>
      </c>
      <c r="C657" s="244"/>
      <c r="D657" s="654"/>
      <c r="E657" s="466"/>
      <c r="F657" s="612"/>
      <c r="G657" s="230"/>
      <c r="H657" s="230"/>
      <c r="I657" s="230"/>
      <c r="J657" s="230"/>
      <c r="K657" s="230"/>
      <c r="L657" s="228"/>
      <c r="M657" s="257"/>
      <c r="N657" s="228"/>
      <c r="O657" s="228"/>
      <c r="P657" s="258"/>
      <c r="Q657" s="2381"/>
      <c r="R657" s="2381"/>
      <c r="S657" s="254"/>
      <c r="T657" s="228"/>
      <c r="U657" s="2357"/>
      <c r="V657" s="256"/>
      <c r="W657" s="248"/>
      <c r="X657" s="248"/>
      <c r="Y657" s="248"/>
      <c r="Z657" s="247"/>
      <c r="AA657" s="248"/>
      <c r="AB657" s="248"/>
      <c r="AC657" s="194"/>
      <c r="AD657" s="249"/>
      <c r="AE657" s="250"/>
      <c r="AF657" s="251"/>
      <c r="AG657" s="252"/>
      <c r="AH657" s="241"/>
      <c r="AI657" s="241"/>
      <c r="AJ657" s="241"/>
      <c r="AK657" s="194"/>
      <c r="AL657" s="195"/>
      <c r="AM657" s="195"/>
    </row>
    <row r="658" spans="2:39">
      <c r="B658" s="253">
        <f t="shared" si="188"/>
        <v>165</v>
      </c>
      <c r="C658" s="244"/>
      <c r="D658" s="654"/>
      <c r="E658" s="466"/>
      <c r="F658" s="612"/>
      <c r="G658" s="230"/>
      <c r="H658" s="230"/>
      <c r="I658" s="230"/>
      <c r="J658" s="230"/>
      <c r="K658" s="230"/>
      <c r="L658" s="228"/>
      <c r="M658" s="257"/>
      <c r="N658" s="228"/>
      <c r="O658" s="228"/>
      <c r="P658" s="258"/>
      <c r="Q658" s="2381"/>
      <c r="R658" s="2381"/>
      <c r="S658" s="254"/>
      <c r="T658" s="228"/>
      <c r="U658" s="2357"/>
      <c r="V658" s="256"/>
      <c r="W658" s="248"/>
      <c r="X658" s="248"/>
      <c r="Y658" s="248"/>
      <c r="Z658" s="247"/>
      <c r="AA658" s="248"/>
      <c r="AB658" s="248"/>
      <c r="AC658" s="194"/>
      <c r="AD658" s="249"/>
      <c r="AE658" s="250"/>
      <c r="AF658" s="251"/>
      <c r="AG658" s="252"/>
      <c r="AH658" s="241"/>
      <c r="AI658" s="241"/>
      <c r="AJ658" s="241"/>
      <c r="AK658" s="194"/>
      <c r="AL658" s="195"/>
      <c r="AM658" s="195"/>
    </row>
    <row r="659" spans="2:39">
      <c r="B659" s="253">
        <f t="shared" si="188"/>
        <v>166</v>
      </c>
      <c r="C659" s="244"/>
      <c r="D659" s="654"/>
      <c r="E659" s="466"/>
      <c r="F659" s="612"/>
      <c r="G659" s="230"/>
      <c r="H659" s="230"/>
      <c r="I659" s="230"/>
      <c r="J659" s="230"/>
      <c r="K659" s="230"/>
      <c r="L659" s="228"/>
      <c r="M659" s="257"/>
      <c r="N659" s="228"/>
      <c r="O659" s="228"/>
      <c r="P659" s="258"/>
      <c r="Q659" s="2381"/>
      <c r="R659" s="2381"/>
      <c r="S659" s="254"/>
      <c r="T659" s="228"/>
      <c r="U659" s="2357"/>
      <c r="V659" s="256"/>
      <c r="W659" s="248"/>
      <c r="X659" s="248"/>
      <c r="Y659" s="248"/>
      <c r="Z659" s="247"/>
      <c r="AA659" s="248"/>
      <c r="AB659" s="248"/>
      <c r="AC659" s="194"/>
      <c r="AD659" s="249"/>
      <c r="AE659" s="250"/>
      <c r="AF659" s="251"/>
      <c r="AG659" s="252"/>
      <c r="AH659" s="241"/>
      <c r="AI659" s="241"/>
      <c r="AJ659" s="241"/>
      <c r="AK659" s="194"/>
      <c r="AL659" s="195"/>
      <c r="AM659" s="195"/>
    </row>
    <row r="660" spans="2:39">
      <c r="B660" s="253">
        <f t="shared" si="188"/>
        <v>167</v>
      </c>
      <c r="C660" s="244"/>
      <c r="D660" s="654"/>
      <c r="E660" s="466"/>
      <c r="F660" s="612"/>
      <c r="G660" s="230"/>
      <c r="H660" s="230"/>
      <c r="I660" s="230"/>
      <c r="J660" s="230"/>
      <c r="K660" s="230"/>
      <c r="L660" s="228"/>
      <c r="M660" s="257"/>
      <c r="N660" s="228"/>
      <c r="O660" s="228"/>
      <c r="P660" s="258"/>
      <c r="Q660" s="2381"/>
      <c r="R660" s="2381"/>
      <c r="S660" s="254"/>
      <c r="T660" s="228"/>
      <c r="U660" s="2357"/>
      <c r="V660" s="256"/>
      <c r="W660" s="248"/>
      <c r="X660" s="248"/>
      <c r="Y660" s="248"/>
      <c r="Z660" s="247"/>
      <c r="AA660" s="248"/>
      <c r="AB660" s="248"/>
      <c r="AC660" s="194"/>
      <c r="AD660" s="249"/>
      <c r="AE660" s="250"/>
      <c r="AF660" s="251"/>
      <c r="AG660" s="252"/>
      <c r="AH660" s="241"/>
      <c r="AI660" s="241"/>
      <c r="AJ660" s="241"/>
      <c r="AK660" s="194"/>
      <c r="AL660" s="195"/>
      <c r="AM660" s="195"/>
    </row>
    <row r="661" spans="2:39">
      <c r="B661" s="253">
        <f t="shared" si="188"/>
        <v>168</v>
      </c>
      <c r="C661" s="244"/>
      <c r="D661" s="654"/>
      <c r="E661" s="466"/>
      <c r="F661" s="612"/>
      <c r="G661" s="230"/>
      <c r="H661" s="230"/>
      <c r="I661" s="230"/>
      <c r="J661" s="230"/>
      <c r="K661" s="230"/>
      <c r="L661" s="228"/>
      <c r="M661" s="257"/>
      <c r="N661" s="228"/>
      <c r="O661" s="228"/>
      <c r="P661" s="258"/>
      <c r="Q661" s="2381"/>
      <c r="R661" s="2381"/>
      <c r="S661" s="254"/>
      <c r="T661" s="228"/>
      <c r="U661" s="2357"/>
      <c r="V661" s="256"/>
      <c r="W661" s="248"/>
      <c r="X661" s="248"/>
      <c r="Y661" s="248"/>
      <c r="Z661" s="247"/>
      <c r="AA661" s="248"/>
      <c r="AB661" s="248"/>
      <c r="AC661" s="194"/>
      <c r="AD661" s="249"/>
      <c r="AE661" s="250"/>
      <c r="AF661" s="251"/>
      <c r="AG661" s="252"/>
      <c r="AH661" s="241"/>
      <c r="AI661" s="241"/>
      <c r="AJ661" s="241"/>
      <c r="AK661" s="194"/>
      <c r="AL661" s="195"/>
      <c r="AM661" s="195"/>
    </row>
    <row r="662" spans="2:39">
      <c r="B662" s="253">
        <f t="shared" si="188"/>
        <v>169</v>
      </c>
      <c r="C662" s="244"/>
      <c r="D662" s="654"/>
      <c r="E662" s="466"/>
      <c r="F662" s="612"/>
      <c r="G662" s="230"/>
      <c r="H662" s="230"/>
      <c r="I662" s="230"/>
      <c r="J662" s="230"/>
      <c r="K662" s="230"/>
      <c r="L662" s="228"/>
      <c r="M662" s="257"/>
      <c r="N662" s="228"/>
      <c r="O662" s="228"/>
      <c r="P662" s="258"/>
      <c r="Q662" s="2381"/>
      <c r="R662" s="2381"/>
      <c r="S662" s="254"/>
      <c r="T662" s="228"/>
      <c r="U662" s="2357"/>
      <c r="V662" s="256"/>
      <c r="W662" s="248"/>
      <c r="X662" s="248"/>
      <c r="Y662" s="248"/>
      <c r="Z662" s="247"/>
      <c r="AA662" s="248"/>
      <c r="AB662" s="248"/>
      <c r="AC662" s="194"/>
      <c r="AD662" s="249"/>
      <c r="AE662" s="250"/>
      <c r="AF662" s="251"/>
      <c r="AG662" s="252"/>
      <c r="AH662" s="241"/>
      <c r="AI662" s="241"/>
      <c r="AJ662" s="241"/>
      <c r="AK662" s="194"/>
      <c r="AL662" s="195"/>
      <c r="AM662" s="195"/>
    </row>
    <row r="663" spans="2:39">
      <c r="B663" s="253">
        <f t="shared" si="188"/>
        <v>170</v>
      </c>
      <c r="C663" s="244"/>
      <c r="D663" s="654"/>
      <c r="E663" s="466"/>
      <c r="F663" s="612"/>
      <c r="G663" s="230"/>
      <c r="H663" s="230"/>
      <c r="I663" s="230"/>
      <c r="J663" s="230"/>
      <c r="K663" s="230"/>
      <c r="L663" s="228"/>
      <c r="M663" s="257"/>
      <c r="N663" s="228"/>
      <c r="O663" s="228"/>
      <c r="P663" s="258"/>
      <c r="Q663" s="2381"/>
      <c r="R663" s="2381"/>
      <c r="S663" s="254"/>
      <c r="T663" s="228"/>
      <c r="U663" s="2357"/>
      <c r="V663" s="256"/>
      <c r="W663" s="248"/>
      <c r="X663" s="248"/>
      <c r="Y663" s="248"/>
      <c r="Z663" s="247"/>
      <c r="AA663" s="248"/>
      <c r="AB663" s="248"/>
      <c r="AC663" s="194"/>
      <c r="AD663" s="249"/>
      <c r="AE663" s="250"/>
      <c r="AF663" s="251"/>
      <c r="AG663" s="252"/>
      <c r="AH663" s="241"/>
      <c r="AI663" s="241"/>
      <c r="AJ663" s="241"/>
      <c r="AK663" s="194"/>
      <c r="AL663" s="195"/>
      <c r="AM663" s="195"/>
    </row>
    <row r="664" spans="2:39">
      <c r="B664" s="253">
        <f t="shared" si="188"/>
        <v>171</v>
      </c>
      <c r="C664" s="244"/>
      <c r="D664" s="654"/>
      <c r="E664" s="466"/>
      <c r="F664" s="612"/>
      <c r="G664" s="230"/>
      <c r="H664" s="230"/>
      <c r="I664" s="230"/>
      <c r="J664" s="230"/>
      <c r="K664" s="230"/>
      <c r="L664" s="228"/>
      <c r="M664" s="257"/>
      <c r="N664" s="228"/>
      <c r="O664" s="228"/>
      <c r="P664" s="258"/>
      <c r="Q664" s="2381"/>
      <c r="R664" s="2381"/>
      <c r="S664" s="254"/>
      <c r="T664" s="228"/>
      <c r="U664" s="2357"/>
      <c r="V664" s="256"/>
      <c r="W664" s="248"/>
      <c r="X664" s="248"/>
      <c r="Y664" s="248"/>
      <c r="Z664" s="247"/>
      <c r="AA664" s="248"/>
      <c r="AB664" s="248"/>
      <c r="AC664" s="194"/>
      <c r="AD664" s="249"/>
      <c r="AE664" s="250"/>
      <c r="AF664" s="251"/>
      <c r="AG664" s="252"/>
      <c r="AH664" s="241"/>
      <c r="AI664" s="241"/>
      <c r="AJ664" s="241"/>
      <c r="AK664" s="194"/>
      <c r="AL664" s="195"/>
      <c r="AM664" s="195"/>
    </row>
    <row r="665" spans="2:39">
      <c r="B665" s="253">
        <f t="shared" si="188"/>
        <v>172</v>
      </c>
      <c r="C665" s="244"/>
      <c r="D665" s="654"/>
      <c r="E665" s="466"/>
      <c r="F665" s="612"/>
      <c r="G665" s="230"/>
      <c r="H665" s="230"/>
      <c r="I665" s="230"/>
      <c r="J665" s="230"/>
      <c r="K665" s="230"/>
      <c r="L665" s="228"/>
      <c r="M665" s="257"/>
      <c r="N665" s="228"/>
      <c r="O665" s="228"/>
      <c r="P665" s="258"/>
      <c r="Q665" s="2381"/>
      <c r="R665" s="2381"/>
      <c r="S665" s="254"/>
      <c r="T665" s="228"/>
      <c r="U665" s="2357"/>
      <c r="V665" s="256"/>
      <c r="W665" s="248"/>
      <c r="X665" s="248"/>
      <c r="Y665" s="248"/>
      <c r="Z665" s="247"/>
      <c r="AA665" s="248"/>
      <c r="AB665" s="248"/>
      <c r="AC665" s="194"/>
      <c r="AD665" s="249"/>
      <c r="AE665" s="250"/>
      <c r="AF665" s="251"/>
      <c r="AG665" s="252"/>
      <c r="AH665" s="241"/>
      <c r="AI665" s="241"/>
      <c r="AJ665" s="241"/>
      <c r="AK665" s="194"/>
      <c r="AL665" s="195"/>
      <c r="AM665" s="195"/>
    </row>
    <row r="666" spans="2:39">
      <c r="B666" s="253">
        <f t="shared" si="188"/>
        <v>173</v>
      </c>
      <c r="C666" s="244"/>
      <c r="D666" s="654"/>
      <c r="E666" s="466"/>
      <c r="F666" s="612"/>
      <c r="G666" s="230"/>
      <c r="H666" s="230"/>
      <c r="I666" s="230"/>
      <c r="J666" s="230"/>
      <c r="K666" s="230"/>
      <c r="L666" s="228"/>
      <c r="M666" s="257"/>
      <c r="N666" s="228"/>
      <c r="O666" s="228"/>
      <c r="P666" s="258"/>
      <c r="Q666" s="2381"/>
      <c r="R666" s="2381"/>
      <c r="S666" s="254"/>
      <c r="T666" s="228"/>
      <c r="U666" s="2357"/>
      <c r="V666" s="256"/>
      <c r="W666" s="248"/>
      <c r="X666" s="248"/>
      <c r="Y666" s="248"/>
      <c r="Z666" s="247"/>
      <c r="AA666" s="248"/>
      <c r="AB666" s="248"/>
      <c r="AC666" s="194"/>
      <c r="AD666" s="249"/>
      <c r="AE666" s="250"/>
      <c r="AF666" s="251"/>
      <c r="AG666" s="252"/>
      <c r="AH666" s="241"/>
      <c r="AI666" s="241"/>
      <c r="AJ666" s="241"/>
      <c r="AK666" s="194"/>
      <c r="AL666" s="195"/>
      <c r="AM666" s="195"/>
    </row>
    <row r="667" spans="2:39">
      <c r="B667" s="253">
        <f t="shared" si="188"/>
        <v>174</v>
      </c>
      <c r="C667" s="244"/>
      <c r="D667" s="654"/>
      <c r="E667" s="466"/>
      <c r="F667" s="612"/>
      <c r="G667" s="230"/>
      <c r="H667" s="230"/>
      <c r="I667" s="230"/>
      <c r="J667" s="230"/>
      <c r="K667" s="230"/>
      <c r="L667" s="228"/>
      <c r="M667" s="257"/>
      <c r="N667" s="228"/>
      <c r="O667" s="228"/>
      <c r="P667" s="258"/>
      <c r="Q667" s="2381"/>
      <c r="R667" s="2381"/>
      <c r="S667" s="254"/>
      <c r="T667" s="228"/>
      <c r="U667" s="2357"/>
      <c r="V667" s="256"/>
      <c r="W667" s="248"/>
      <c r="X667" s="248"/>
      <c r="Y667" s="248"/>
      <c r="Z667" s="247"/>
      <c r="AA667" s="248"/>
      <c r="AB667" s="248"/>
      <c r="AC667" s="194"/>
      <c r="AD667" s="249"/>
      <c r="AE667" s="250"/>
      <c r="AF667" s="251"/>
      <c r="AG667" s="252"/>
      <c r="AH667" s="241"/>
      <c r="AI667" s="241"/>
      <c r="AJ667" s="241"/>
      <c r="AK667" s="194"/>
      <c r="AL667" s="195"/>
      <c r="AM667" s="195"/>
    </row>
    <row r="668" spans="2:39">
      <c r="B668" s="253">
        <f t="shared" si="188"/>
        <v>175</v>
      </c>
      <c r="C668" s="244"/>
      <c r="D668" s="654"/>
      <c r="E668" s="466"/>
      <c r="F668" s="612"/>
      <c r="G668" s="230"/>
      <c r="H668" s="230"/>
      <c r="I668" s="230"/>
      <c r="J668" s="230"/>
      <c r="K668" s="230"/>
      <c r="L668" s="228"/>
      <c r="M668" s="257"/>
      <c r="N668" s="228"/>
      <c r="O668" s="228"/>
      <c r="P668" s="258"/>
      <c r="Q668" s="2381"/>
      <c r="R668" s="2381"/>
      <c r="S668" s="254"/>
      <c r="T668" s="228"/>
      <c r="U668" s="2357"/>
      <c r="V668" s="256"/>
      <c r="W668" s="248"/>
      <c r="X668" s="248"/>
      <c r="Y668" s="248"/>
      <c r="Z668" s="247"/>
      <c r="AA668" s="248"/>
      <c r="AB668" s="248"/>
      <c r="AC668" s="194"/>
      <c r="AD668" s="249"/>
      <c r="AE668" s="250"/>
      <c r="AF668" s="251"/>
      <c r="AG668" s="252"/>
      <c r="AH668" s="241"/>
      <c r="AI668" s="241"/>
      <c r="AJ668" s="241"/>
      <c r="AK668" s="194"/>
      <c r="AL668" s="195"/>
      <c r="AM668" s="195"/>
    </row>
    <row r="669" spans="2:39">
      <c r="B669" s="253">
        <f t="shared" si="188"/>
        <v>176</v>
      </c>
      <c r="C669" s="244"/>
      <c r="D669" s="654"/>
      <c r="E669" s="466"/>
      <c r="F669" s="612"/>
      <c r="G669" s="230"/>
      <c r="H669" s="230"/>
      <c r="I669" s="230"/>
      <c r="J669" s="230"/>
      <c r="K669" s="230"/>
      <c r="L669" s="228"/>
      <c r="M669" s="257"/>
      <c r="N669" s="228"/>
      <c r="O669" s="228"/>
      <c r="P669" s="258"/>
      <c r="Q669" s="2381"/>
      <c r="R669" s="2381"/>
      <c r="S669" s="254"/>
      <c r="T669" s="228"/>
      <c r="U669" s="2357"/>
      <c r="V669" s="256"/>
      <c r="W669" s="248"/>
      <c r="X669" s="248"/>
      <c r="Y669" s="248"/>
      <c r="Z669" s="247"/>
      <c r="AA669" s="248"/>
      <c r="AB669" s="248"/>
      <c r="AC669" s="194"/>
      <c r="AD669" s="249"/>
      <c r="AE669" s="250"/>
      <c r="AF669" s="251"/>
      <c r="AG669" s="252"/>
      <c r="AH669" s="241"/>
      <c r="AI669" s="241"/>
      <c r="AJ669" s="241"/>
      <c r="AK669" s="194"/>
      <c r="AL669" s="195"/>
      <c r="AM669" s="195"/>
    </row>
    <row r="670" spans="2:39">
      <c r="B670" s="253">
        <f t="shared" si="188"/>
        <v>177</v>
      </c>
      <c r="C670" s="244"/>
      <c r="D670" s="654"/>
      <c r="E670" s="466"/>
      <c r="F670" s="612"/>
      <c r="G670" s="230"/>
      <c r="H670" s="230"/>
      <c r="I670" s="230"/>
      <c r="J670" s="230"/>
      <c r="K670" s="230"/>
      <c r="L670" s="228"/>
      <c r="M670" s="257"/>
      <c r="N670" s="228"/>
      <c r="O670" s="228"/>
      <c r="P670" s="258"/>
      <c r="Q670" s="2381"/>
      <c r="R670" s="2381"/>
      <c r="S670" s="254"/>
      <c r="T670" s="228"/>
      <c r="U670" s="2357"/>
      <c r="V670" s="256"/>
      <c r="W670" s="248"/>
      <c r="X670" s="248"/>
      <c r="Y670" s="248"/>
      <c r="Z670" s="247"/>
      <c r="AA670" s="248"/>
      <c r="AB670" s="248"/>
      <c r="AC670" s="194"/>
      <c r="AD670" s="249"/>
      <c r="AE670" s="250"/>
      <c r="AF670" s="251"/>
      <c r="AG670" s="252"/>
      <c r="AH670" s="241"/>
      <c r="AI670" s="241"/>
      <c r="AJ670" s="241"/>
      <c r="AK670" s="194"/>
      <c r="AL670" s="195"/>
      <c r="AM670" s="195"/>
    </row>
    <row r="671" spans="2:39">
      <c r="B671" s="253">
        <f t="shared" si="188"/>
        <v>178</v>
      </c>
      <c r="C671" s="244"/>
      <c r="D671" s="654"/>
      <c r="E671" s="466"/>
      <c r="F671" s="612"/>
      <c r="G671" s="230"/>
      <c r="H671" s="230"/>
      <c r="I671" s="230"/>
      <c r="J671" s="230"/>
      <c r="K671" s="230"/>
      <c r="L671" s="228"/>
      <c r="M671" s="257"/>
      <c r="N671" s="228"/>
      <c r="O671" s="228"/>
      <c r="P671" s="258"/>
      <c r="Q671" s="2381"/>
      <c r="R671" s="2381"/>
      <c r="S671" s="254"/>
      <c r="T671" s="228"/>
      <c r="U671" s="2357"/>
      <c r="V671" s="256"/>
      <c r="W671" s="248"/>
      <c r="X671" s="248"/>
      <c r="Y671" s="248"/>
      <c r="Z671" s="247"/>
      <c r="AA671" s="248"/>
      <c r="AB671" s="248"/>
      <c r="AC671" s="194"/>
      <c r="AD671" s="249"/>
      <c r="AE671" s="250"/>
      <c r="AF671" s="251"/>
      <c r="AG671" s="252"/>
      <c r="AH671" s="241"/>
      <c r="AI671" s="241"/>
      <c r="AJ671" s="241"/>
      <c r="AK671" s="194"/>
      <c r="AL671" s="195"/>
      <c r="AM671" s="195"/>
    </row>
    <row r="672" spans="2:39">
      <c r="B672" s="253">
        <f t="shared" si="188"/>
        <v>179</v>
      </c>
      <c r="C672" s="244"/>
      <c r="D672" s="654"/>
      <c r="E672" s="466"/>
      <c r="F672" s="612"/>
      <c r="G672" s="230"/>
      <c r="H672" s="230"/>
      <c r="I672" s="230"/>
      <c r="J672" s="230"/>
      <c r="K672" s="230"/>
      <c r="L672" s="228"/>
      <c r="M672" s="257"/>
      <c r="N672" s="228"/>
      <c r="O672" s="228"/>
      <c r="P672" s="258"/>
      <c r="Q672" s="2381"/>
      <c r="R672" s="2381"/>
      <c r="S672" s="254"/>
      <c r="T672" s="228"/>
      <c r="U672" s="2357"/>
      <c r="V672" s="256"/>
      <c r="W672" s="248"/>
      <c r="X672" s="248"/>
      <c r="Y672" s="248"/>
      <c r="Z672" s="247"/>
      <c r="AA672" s="248"/>
      <c r="AB672" s="248"/>
      <c r="AC672" s="194"/>
      <c r="AD672" s="249"/>
      <c r="AE672" s="250"/>
      <c r="AF672" s="251"/>
      <c r="AG672" s="252"/>
      <c r="AH672" s="241"/>
      <c r="AI672" s="241"/>
      <c r="AJ672" s="241"/>
      <c r="AK672" s="194"/>
      <c r="AL672" s="195"/>
      <c r="AM672" s="195"/>
    </row>
    <row r="673" spans="2:39">
      <c r="B673" s="253">
        <f t="shared" si="188"/>
        <v>180</v>
      </c>
      <c r="C673" s="244"/>
      <c r="D673" s="654"/>
      <c r="E673" s="466"/>
      <c r="F673" s="612"/>
      <c r="G673" s="230"/>
      <c r="H673" s="230"/>
      <c r="I673" s="230"/>
      <c r="J673" s="230"/>
      <c r="K673" s="230"/>
      <c r="L673" s="228"/>
      <c r="M673" s="257"/>
      <c r="N673" s="228"/>
      <c r="O673" s="228"/>
      <c r="P673" s="258"/>
      <c r="Q673" s="2381"/>
      <c r="R673" s="2381"/>
      <c r="S673" s="254"/>
      <c r="T673" s="228"/>
      <c r="U673" s="2357"/>
      <c r="V673" s="256"/>
      <c r="W673" s="248"/>
      <c r="X673" s="248"/>
      <c r="Y673" s="248"/>
      <c r="Z673" s="247"/>
      <c r="AA673" s="248"/>
      <c r="AB673" s="248"/>
      <c r="AC673" s="194"/>
      <c r="AD673" s="249"/>
      <c r="AE673" s="250"/>
      <c r="AF673" s="251"/>
      <c r="AG673" s="252"/>
      <c r="AH673" s="241"/>
      <c r="AI673" s="241"/>
      <c r="AJ673" s="241"/>
      <c r="AK673" s="194"/>
      <c r="AL673" s="195"/>
      <c r="AM673" s="195"/>
    </row>
    <row r="674" spans="2:39">
      <c r="B674" s="253">
        <f t="shared" si="188"/>
        <v>181</v>
      </c>
      <c r="C674" s="244"/>
      <c r="D674" s="654"/>
      <c r="E674" s="466"/>
      <c r="F674" s="612"/>
      <c r="G674" s="230"/>
      <c r="H674" s="230"/>
      <c r="I674" s="230"/>
      <c r="J674" s="230"/>
      <c r="K674" s="230"/>
      <c r="L674" s="228"/>
      <c r="M674" s="257"/>
      <c r="N674" s="228"/>
      <c r="O674" s="228"/>
      <c r="P674" s="258"/>
      <c r="Q674" s="2381"/>
      <c r="R674" s="2381"/>
      <c r="S674" s="254"/>
      <c r="T674" s="228"/>
      <c r="U674" s="2357"/>
      <c r="V674" s="256"/>
      <c r="W674" s="248"/>
      <c r="X674" s="248"/>
      <c r="Y674" s="248"/>
      <c r="Z674" s="247"/>
      <c r="AA674" s="248"/>
      <c r="AB674" s="248"/>
      <c r="AC674" s="194"/>
      <c r="AD674" s="249"/>
      <c r="AE674" s="250"/>
      <c r="AF674" s="251"/>
      <c r="AG674" s="252"/>
      <c r="AH674" s="241"/>
      <c r="AI674" s="241"/>
      <c r="AJ674" s="241"/>
      <c r="AK674" s="194"/>
      <c r="AL674" s="195"/>
      <c r="AM674" s="195"/>
    </row>
    <row r="675" spans="2:39">
      <c r="B675" s="253">
        <f t="shared" si="188"/>
        <v>182</v>
      </c>
      <c r="C675" s="244"/>
      <c r="D675" s="654"/>
      <c r="E675" s="466"/>
      <c r="F675" s="612"/>
      <c r="G675" s="230"/>
      <c r="H675" s="230"/>
      <c r="I675" s="230"/>
      <c r="J675" s="230"/>
      <c r="K675" s="230"/>
      <c r="L675" s="228"/>
      <c r="M675" s="257"/>
      <c r="N675" s="228"/>
      <c r="O675" s="228"/>
      <c r="P675" s="258"/>
      <c r="Q675" s="2381"/>
      <c r="R675" s="2381"/>
      <c r="S675" s="254"/>
      <c r="T675" s="228"/>
      <c r="U675" s="2357"/>
      <c r="V675" s="256"/>
      <c r="W675" s="248"/>
      <c r="X675" s="248"/>
      <c r="Y675" s="248"/>
      <c r="Z675" s="247"/>
      <c r="AA675" s="248"/>
      <c r="AB675" s="248"/>
      <c r="AC675" s="194"/>
      <c r="AD675" s="249"/>
      <c r="AE675" s="250"/>
      <c r="AF675" s="251"/>
      <c r="AG675" s="252"/>
      <c r="AH675" s="241"/>
      <c r="AI675" s="241"/>
      <c r="AJ675" s="241"/>
      <c r="AK675" s="194"/>
      <c r="AL675" s="195"/>
      <c r="AM675" s="195"/>
    </row>
    <row r="676" spans="2:39">
      <c r="B676" s="253">
        <f t="shared" si="188"/>
        <v>183</v>
      </c>
      <c r="C676" s="244"/>
      <c r="D676" s="654"/>
      <c r="E676" s="466"/>
      <c r="F676" s="612"/>
      <c r="G676" s="230"/>
      <c r="H676" s="230"/>
      <c r="I676" s="230"/>
      <c r="J676" s="230"/>
      <c r="K676" s="230"/>
      <c r="L676" s="228"/>
      <c r="M676" s="257"/>
      <c r="N676" s="228"/>
      <c r="O676" s="228"/>
      <c r="P676" s="258"/>
      <c r="Q676" s="2381"/>
      <c r="R676" s="2381"/>
      <c r="S676" s="254"/>
      <c r="T676" s="228"/>
      <c r="U676" s="2357"/>
      <c r="V676" s="256"/>
      <c r="W676" s="248"/>
      <c r="X676" s="248"/>
      <c r="Y676" s="248"/>
      <c r="Z676" s="247"/>
      <c r="AA676" s="248"/>
      <c r="AB676" s="248"/>
      <c r="AC676" s="194"/>
      <c r="AD676" s="249"/>
      <c r="AE676" s="250"/>
      <c r="AF676" s="251"/>
      <c r="AG676" s="252"/>
      <c r="AH676" s="241"/>
      <c r="AI676" s="241"/>
      <c r="AJ676" s="241"/>
      <c r="AK676" s="194"/>
      <c r="AL676" s="195"/>
      <c r="AM676" s="195"/>
    </row>
    <row r="677" spans="2:39">
      <c r="B677" s="253">
        <f t="shared" si="188"/>
        <v>184</v>
      </c>
      <c r="C677" s="244"/>
      <c r="D677" s="654"/>
      <c r="E677" s="466"/>
      <c r="F677" s="612"/>
      <c r="G677" s="230"/>
      <c r="H677" s="230"/>
      <c r="I677" s="230"/>
      <c r="J677" s="230"/>
      <c r="K677" s="230"/>
      <c r="L677" s="228"/>
      <c r="M677" s="257"/>
      <c r="N677" s="228"/>
      <c r="O677" s="228"/>
      <c r="P677" s="258"/>
      <c r="Q677" s="2381"/>
      <c r="R677" s="2381"/>
      <c r="S677" s="254"/>
      <c r="T677" s="228"/>
      <c r="U677" s="2357"/>
      <c r="V677" s="256"/>
      <c r="W677" s="248"/>
      <c r="X677" s="248"/>
      <c r="Y677" s="248"/>
      <c r="Z677" s="247"/>
      <c r="AA677" s="248"/>
      <c r="AB677" s="248"/>
      <c r="AC677" s="194"/>
      <c r="AD677" s="249"/>
      <c r="AE677" s="250"/>
      <c r="AF677" s="251"/>
      <c r="AG677" s="252"/>
      <c r="AH677" s="241"/>
      <c r="AI677" s="241"/>
      <c r="AJ677" s="241"/>
      <c r="AK677" s="194"/>
      <c r="AL677" s="195"/>
      <c r="AM677" s="195"/>
    </row>
    <row r="678" spans="2:39">
      <c r="B678" s="253">
        <f t="shared" si="188"/>
        <v>185</v>
      </c>
      <c r="C678" s="244"/>
      <c r="D678" s="654"/>
      <c r="E678" s="466"/>
      <c r="F678" s="612"/>
      <c r="G678" s="230"/>
      <c r="H678" s="230"/>
      <c r="I678" s="230"/>
      <c r="J678" s="230"/>
      <c r="K678" s="230"/>
      <c r="L678" s="228"/>
      <c r="M678" s="257"/>
      <c r="N678" s="228"/>
      <c r="O678" s="228"/>
      <c r="P678" s="258"/>
      <c r="Q678" s="2381"/>
      <c r="R678" s="2381"/>
      <c r="S678" s="254"/>
      <c r="T678" s="228"/>
      <c r="U678" s="2357"/>
      <c r="V678" s="256"/>
      <c r="W678" s="248"/>
      <c r="X678" s="248"/>
      <c r="Y678" s="248"/>
      <c r="Z678" s="247"/>
      <c r="AA678" s="248"/>
      <c r="AB678" s="248"/>
      <c r="AC678" s="194"/>
      <c r="AD678" s="249"/>
      <c r="AE678" s="250"/>
      <c r="AF678" s="251"/>
      <c r="AG678" s="252"/>
      <c r="AH678" s="241"/>
      <c r="AI678" s="241"/>
      <c r="AJ678" s="241"/>
      <c r="AK678" s="194"/>
      <c r="AL678" s="195"/>
      <c r="AM678" s="195"/>
    </row>
    <row r="679" spans="2:39">
      <c r="B679" s="253">
        <f t="shared" si="188"/>
        <v>186</v>
      </c>
      <c r="C679" s="244"/>
      <c r="D679" s="654"/>
      <c r="E679" s="466"/>
      <c r="F679" s="612"/>
      <c r="G679" s="230"/>
      <c r="H679" s="230"/>
      <c r="I679" s="230"/>
      <c r="J679" s="230"/>
      <c r="K679" s="230"/>
      <c r="L679" s="228"/>
      <c r="M679" s="257"/>
      <c r="N679" s="228"/>
      <c r="O679" s="228"/>
      <c r="P679" s="258"/>
      <c r="Q679" s="2381"/>
      <c r="R679" s="2381"/>
      <c r="S679" s="254"/>
      <c r="T679" s="228"/>
      <c r="U679" s="2357"/>
      <c r="V679" s="256"/>
      <c r="W679" s="248"/>
      <c r="X679" s="248"/>
      <c r="Y679" s="248"/>
      <c r="Z679" s="247"/>
      <c r="AA679" s="248"/>
      <c r="AB679" s="248"/>
      <c r="AC679" s="194"/>
      <c r="AD679" s="249"/>
      <c r="AE679" s="250"/>
      <c r="AF679" s="251"/>
      <c r="AG679" s="252"/>
      <c r="AH679" s="241"/>
      <c r="AI679" s="241"/>
      <c r="AJ679" s="241"/>
      <c r="AK679" s="194"/>
      <c r="AL679" s="195"/>
      <c r="AM679" s="195"/>
    </row>
    <row r="680" spans="2:39">
      <c r="B680" s="253">
        <f t="shared" si="188"/>
        <v>187</v>
      </c>
      <c r="C680" s="244"/>
      <c r="D680" s="654"/>
      <c r="E680" s="466"/>
      <c r="F680" s="612"/>
      <c r="G680" s="230"/>
      <c r="H680" s="230"/>
      <c r="I680" s="230"/>
      <c r="J680" s="230"/>
      <c r="K680" s="230"/>
      <c r="L680" s="228"/>
      <c r="M680" s="257"/>
      <c r="N680" s="228"/>
      <c r="O680" s="228"/>
      <c r="P680" s="258"/>
      <c r="Q680" s="2381"/>
      <c r="R680" s="2381"/>
      <c r="S680" s="254"/>
      <c r="T680" s="228"/>
      <c r="U680" s="2357"/>
      <c r="V680" s="256"/>
      <c r="W680" s="248"/>
      <c r="X680" s="248"/>
      <c r="Y680" s="248"/>
      <c r="Z680" s="247"/>
      <c r="AA680" s="248"/>
      <c r="AB680" s="248"/>
      <c r="AC680" s="194"/>
      <c r="AD680" s="249"/>
      <c r="AE680" s="250"/>
      <c r="AF680" s="251"/>
      <c r="AG680" s="252"/>
      <c r="AH680" s="241"/>
      <c r="AI680" s="241"/>
      <c r="AJ680" s="241"/>
      <c r="AK680" s="194"/>
      <c r="AL680" s="195"/>
      <c r="AM680" s="195"/>
    </row>
    <row r="681" spans="2:39">
      <c r="B681" s="253">
        <f t="shared" si="188"/>
        <v>188</v>
      </c>
      <c r="C681" s="244"/>
      <c r="D681" s="654"/>
      <c r="E681" s="466"/>
      <c r="F681" s="612"/>
      <c r="G681" s="230"/>
      <c r="H681" s="230"/>
      <c r="I681" s="230"/>
      <c r="J681" s="230"/>
      <c r="K681" s="230"/>
      <c r="L681" s="228"/>
      <c r="M681" s="257"/>
      <c r="N681" s="228"/>
      <c r="O681" s="228"/>
      <c r="P681" s="258"/>
      <c r="Q681" s="2381"/>
      <c r="R681" s="2381"/>
      <c r="S681" s="254"/>
      <c r="T681" s="228"/>
      <c r="U681" s="2357"/>
      <c r="V681" s="256"/>
      <c r="W681" s="248"/>
      <c r="X681" s="248"/>
      <c r="Y681" s="248"/>
      <c r="Z681" s="247"/>
      <c r="AA681" s="248"/>
      <c r="AB681" s="248"/>
      <c r="AC681" s="194"/>
      <c r="AD681" s="249"/>
      <c r="AE681" s="250"/>
      <c r="AF681" s="251"/>
      <c r="AG681" s="252"/>
      <c r="AH681" s="241"/>
      <c r="AI681" s="241"/>
      <c r="AJ681" s="241"/>
      <c r="AK681" s="194"/>
      <c r="AL681" s="195"/>
      <c r="AM681" s="195"/>
    </row>
    <row r="682" spans="2:39">
      <c r="B682" s="253">
        <f t="shared" si="188"/>
        <v>189</v>
      </c>
      <c r="C682" s="244"/>
      <c r="D682" s="654"/>
      <c r="E682" s="466"/>
      <c r="F682" s="612"/>
      <c r="G682" s="230"/>
      <c r="H682" s="230"/>
      <c r="I682" s="230"/>
      <c r="J682" s="230"/>
      <c r="K682" s="230"/>
      <c r="L682" s="228"/>
      <c r="M682" s="257"/>
      <c r="N682" s="228"/>
      <c r="O682" s="228"/>
      <c r="P682" s="258"/>
      <c r="Q682" s="2381"/>
      <c r="R682" s="2381"/>
      <c r="S682" s="254"/>
      <c r="T682" s="228"/>
      <c r="U682" s="2357"/>
      <c r="V682" s="256"/>
      <c r="W682" s="248"/>
      <c r="X682" s="248"/>
      <c r="Y682" s="248"/>
      <c r="Z682" s="247"/>
      <c r="AA682" s="248"/>
      <c r="AB682" s="248"/>
      <c r="AC682" s="194"/>
      <c r="AD682" s="249"/>
      <c r="AE682" s="250"/>
      <c r="AF682" s="251"/>
      <c r="AG682" s="252"/>
      <c r="AH682" s="241"/>
      <c r="AI682" s="241"/>
      <c r="AJ682" s="241"/>
      <c r="AK682" s="194"/>
      <c r="AL682" s="195"/>
      <c r="AM682" s="195"/>
    </row>
    <row r="683" spans="2:39">
      <c r="B683" s="253">
        <f t="shared" si="188"/>
        <v>190</v>
      </c>
      <c r="C683" s="244"/>
      <c r="D683" s="654"/>
      <c r="E683" s="466"/>
      <c r="F683" s="612"/>
      <c r="G683" s="230"/>
      <c r="H683" s="230"/>
      <c r="I683" s="230"/>
      <c r="J683" s="230"/>
      <c r="K683" s="230"/>
      <c r="L683" s="228"/>
      <c r="M683" s="257"/>
      <c r="N683" s="228"/>
      <c r="O683" s="228"/>
      <c r="P683" s="258"/>
      <c r="Q683" s="2381"/>
      <c r="R683" s="2381"/>
      <c r="S683" s="254"/>
      <c r="T683" s="228"/>
      <c r="U683" s="2357"/>
      <c r="V683" s="256"/>
      <c r="W683" s="248"/>
      <c r="X683" s="248"/>
      <c r="Y683" s="248"/>
      <c r="Z683" s="247"/>
      <c r="AA683" s="248"/>
      <c r="AB683" s="248"/>
      <c r="AC683" s="194"/>
      <c r="AD683" s="249"/>
      <c r="AE683" s="250"/>
      <c r="AF683" s="251"/>
      <c r="AG683" s="252"/>
      <c r="AH683" s="241"/>
      <c r="AI683" s="241"/>
      <c r="AJ683" s="241"/>
      <c r="AK683" s="194"/>
      <c r="AL683" s="195"/>
      <c r="AM683" s="195"/>
    </row>
    <row r="684" spans="2:39">
      <c r="B684" s="253">
        <f t="shared" si="188"/>
        <v>191</v>
      </c>
      <c r="C684" s="244"/>
      <c r="D684" s="654"/>
      <c r="E684" s="466"/>
      <c r="F684" s="612"/>
      <c r="G684" s="230"/>
      <c r="H684" s="230"/>
      <c r="I684" s="230"/>
      <c r="J684" s="230"/>
      <c r="K684" s="230"/>
      <c r="L684" s="228"/>
      <c r="M684" s="257"/>
      <c r="N684" s="228"/>
      <c r="O684" s="228"/>
      <c r="P684" s="258"/>
      <c r="Q684" s="2381"/>
      <c r="R684" s="2381"/>
      <c r="S684" s="254"/>
      <c r="T684" s="228"/>
      <c r="U684" s="2357"/>
      <c r="V684" s="256"/>
      <c r="W684" s="248"/>
      <c r="X684" s="248"/>
      <c r="Y684" s="248"/>
      <c r="Z684" s="247"/>
      <c r="AA684" s="248"/>
      <c r="AB684" s="248"/>
      <c r="AC684" s="194"/>
      <c r="AD684" s="249"/>
      <c r="AE684" s="250"/>
      <c r="AF684" s="251"/>
      <c r="AG684" s="252"/>
      <c r="AH684" s="241"/>
      <c r="AI684" s="241"/>
      <c r="AJ684" s="241"/>
      <c r="AK684" s="194"/>
      <c r="AL684" s="195"/>
      <c r="AM684" s="195"/>
    </row>
    <row r="685" spans="2:39">
      <c r="B685" s="253">
        <f t="shared" si="188"/>
        <v>192</v>
      </c>
      <c r="C685" s="244"/>
      <c r="D685" s="654"/>
      <c r="E685" s="466"/>
      <c r="F685" s="612"/>
      <c r="G685" s="230"/>
      <c r="H685" s="230"/>
      <c r="I685" s="230"/>
      <c r="J685" s="230"/>
      <c r="K685" s="230"/>
      <c r="L685" s="228"/>
      <c r="M685" s="257"/>
      <c r="N685" s="228"/>
      <c r="O685" s="228"/>
      <c r="P685" s="258"/>
      <c r="Q685" s="2381"/>
      <c r="R685" s="2381"/>
      <c r="S685" s="254"/>
      <c r="T685" s="228"/>
      <c r="U685" s="2357"/>
      <c r="V685" s="256"/>
      <c r="W685" s="248"/>
      <c r="X685" s="248"/>
      <c r="Y685" s="248"/>
      <c r="Z685" s="247"/>
      <c r="AA685" s="248"/>
      <c r="AB685" s="248"/>
      <c r="AC685" s="194"/>
      <c r="AD685" s="249"/>
      <c r="AE685" s="250"/>
      <c r="AF685" s="251"/>
      <c r="AG685" s="252"/>
      <c r="AH685" s="241"/>
      <c r="AI685" s="241"/>
      <c r="AJ685" s="241"/>
      <c r="AK685" s="194"/>
      <c r="AL685" s="195"/>
      <c r="AM685" s="195"/>
    </row>
    <row r="686" spans="2:39">
      <c r="B686" s="253">
        <f t="shared" si="188"/>
        <v>193</v>
      </c>
      <c r="C686" s="244"/>
      <c r="D686" s="654"/>
      <c r="E686" s="466"/>
      <c r="F686" s="612"/>
      <c r="G686" s="230"/>
      <c r="H686" s="230"/>
      <c r="I686" s="230"/>
      <c r="J686" s="230"/>
      <c r="K686" s="230"/>
      <c r="L686" s="228"/>
      <c r="M686" s="257"/>
      <c r="N686" s="228"/>
      <c r="O686" s="228"/>
      <c r="P686" s="258"/>
      <c r="Q686" s="2381"/>
      <c r="R686" s="2381"/>
      <c r="S686" s="254"/>
      <c r="T686" s="228"/>
      <c r="U686" s="2357"/>
      <c r="V686" s="256"/>
      <c r="W686" s="248"/>
      <c r="X686" s="248"/>
      <c r="Y686" s="248"/>
      <c r="Z686" s="247"/>
      <c r="AA686" s="248"/>
      <c r="AB686" s="248"/>
      <c r="AC686" s="194"/>
      <c r="AD686" s="249"/>
      <c r="AE686" s="250"/>
      <c r="AF686" s="251"/>
      <c r="AG686" s="252"/>
      <c r="AH686" s="241"/>
      <c r="AI686" s="241"/>
      <c r="AJ686" s="241"/>
      <c r="AK686" s="194"/>
      <c r="AL686" s="195"/>
      <c r="AM686" s="195"/>
    </row>
    <row r="687" spans="2:39">
      <c r="B687" s="253">
        <f t="shared" si="188"/>
        <v>194</v>
      </c>
      <c r="C687" s="244"/>
      <c r="D687" s="654"/>
      <c r="E687" s="466"/>
      <c r="F687" s="612"/>
      <c r="G687" s="230"/>
      <c r="H687" s="230"/>
      <c r="I687" s="230"/>
      <c r="J687" s="230"/>
      <c r="K687" s="230"/>
      <c r="L687" s="228"/>
      <c r="M687" s="257"/>
      <c r="N687" s="228"/>
      <c r="O687" s="228"/>
      <c r="P687" s="258"/>
      <c r="Q687" s="2381"/>
      <c r="R687" s="2381"/>
      <c r="S687" s="254"/>
      <c r="T687" s="228"/>
      <c r="U687" s="2357"/>
      <c r="V687" s="256"/>
      <c r="W687" s="248"/>
      <c r="X687" s="248"/>
      <c r="Y687" s="248"/>
      <c r="Z687" s="247"/>
      <c r="AA687" s="248"/>
      <c r="AB687" s="248"/>
      <c r="AC687" s="194"/>
      <c r="AD687" s="249"/>
      <c r="AE687" s="250"/>
      <c r="AF687" s="251"/>
      <c r="AG687" s="252"/>
      <c r="AH687" s="241"/>
      <c r="AI687" s="241"/>
      <c r="AJ687" s="241"/>
      <c r="AK687" s="194"/>
      <c r="AL687" s="195"/>
      <c r="AM687" s="195"/>
    </row>
    <row r="688" spans="2:39">
      <c r="B688" s="253">
        <f t="shared" si="188"/>
        <v>195</v>
      </c>
      <c r="C688" s="244"/>
      <c r="D688" s="654"/>
      <c r="E688" s="466"/>
      <c r="F688" s="612"/>
      <c r="G688" s="230"/>
      <c r="H688" s="230"/>
      <c r="I688" s="230"/>
      <c r="J688" s="230"/>
      <c r="K688" s="230"/>
      <c r="L688" s="228"/>
      <c r="M688" s="257"/>
      <c r="N688" s="228"/>
      <c r="O688" s="228"/>
      <c r="P688" s="258"/>
      <c r="Q688" s="2381"/>
      <c r="R688" s="2381"/>
      <c r="S688" s="254"/>
      <c r="T688" s="228"/>
      <c r="U688" s="2357"/>
      <c r="V688" s="256"/>
      <c r="W688" s="248"/>
      <c r="X688" s="248"/>
      <c r="Y688" s="248"/>
      <c r="Z688" s="247"/>
      <c r="AA688" s="248"/>
      <c r="AB688" s="248"/>
      <c r="AC688" s="194"/>
      <c r="AD688" s="249"/>
      <c r="AE688" s="250"/>
      <c r="AF688" s="251"/>
      <c r="AG688" s="252"/>
      <c r="AH688" s="241"/>
      <c r="AI688" s="241"/>
      <c r="AJ688" s="241"/>
      <c r="AK688" s="194"/>
      <c r="AL688" s="195"/>
      <c r="AM688" s="195"/>
    </row>
    <row r="689" spans="2:39">
      <c r="B689" s="253">
        <f t="shared" si="188"/>
        <v>196</v>
      </c>
      <c r="C689" s="244"/>
      <c r="D689" s="654"/>
      <c r="E689" s="466"/>
      <c r="F689" s="612"/>
      <c r="G689" s="230"/>
      <c r="H689" s="230"/>
      <c r="I689" s="230"/>
      <c r="J689" s="230"/>
      <c r="K689" s="230"/>
      <c r="L689" s="228"/>
      <c r="M689" s="257"/>
      <c r="N689" s="228"/>
      <c r="O689" s="228"/>
      <c r="P689" s="258"/>
      <c r="Q689" s="2381"/>
      <c r="R689" s="2381"/>
      <c r="S689" s="254"/>
      <c r="T689" s="228"/>
      <c r="U689" s="2357"/>
      <c r="V689" s="256"/>
      <c r="W689" s="248"/>
      <c r="X689" s="248"/>
      <c r="Y689" s="248"/>
      <c r="Z689" s="247"/>
      <c r="AA689" s="248"/>
      <c r="AB689" s="248"/>
      <c r="AC689" s="194"/>
      <c r="AD689" s="249"/>
      <c r="AE689" s="250"/>
      <c r="AF689" s="251"/>
      <c r="AG689" s="252"/>
      <c r="AH689" s="241"/>
      <c r="AI689" s="241"/>
      <c r="AJ689" s="241"/>
      <c r="AK689" s="194"/>
      <c r="AL689" s="195"/>
      <c r="AM689" s="195"/>
    </row>
    <row r="690" spans="2:39">
      <c r="B690" s="253">
        <f t="shared" si="188"/>
        <v>197</v>
      </c>
      <c r="C690" s="244"/>
      <c r="D690" s="654"/>
      <c r="E690" s="466"/>
      <c r="F690" s="612"/>
      <c r="G690" s="230"/>
      <c r="H690" s="230"/>
      <c r="I690" s="230"/>
      <c r="J690" s="230"/>
      <c r="K690" s="230"/>
      <c r="L690" s="228"/>
      <c r="M690" s="257"/>
      <c r="N690" s="228"/>
      <c r="O690" s="228"/>
      <c r="P690" s="258"/>
      <c r="Q690" s="2381"/>
      <c r="R690" s="2381"/>
      <c r="S690" s="254"/>
      <c r="T690" s="228"/>
      <c r="U690" s="2357"/>
      <c r="V690" s="256"/>
      <c r="W690" s="248"/>
      <c r="X690" s="248"/>
      <c r="Y690" s="248"/>
      <c r="Z690" s="247"/>
      <c r="AA690" s="248"/>
      <c r="AB690" s="248"/>
      <c r="AC690" s="194"/>
      <c r="AD690" s="249"/>
      <c r="AE690" s="250"/>
      <c r="AF690" s="251"/>
      <c r="AG690" s="252"/>
      <c r="AH690" s="241"/>
      <c r="AI690" s="241"/>
      <c r="AJ690" s="241"/>
      <c r="AK690" s="194"/>
      <c r="AL690" s="195"/>
      <c r="AM690" s="195"/>
    </row>
    <row r="691" spans="2:39">
      <c r="B691" s="253">
        <f t="shared" si="188"/>
        <v>198</v>
      </c>
      <c r="C691" s="244"/>
      <c r="D691" s="654"/>
      <c r="E691" s="466"/>
      <c r="F691" s="612"/>
      <c r="G691" s="230"/>
      <c r="H691" s="230"/>
      <c r="I691" s="230"/>
      <c r="J691" s="230"/>
      <c r="K691" s="230"/>
      <c r="L691" s="228"/>
      <c r="M691" s="257"/>
      <c r="N691" s="228"/>
      <c r="O691" s="228"/>
      <c r="P691" s="258"/>
      <c r="Q691" s="2381"/>
      <c r="R691" s="2381"/>
      <c r="S691" s="254"/>
      <c r="T691" s="228"/>
      <c r="U691" s="2357"/>
      <c r="V691" s="256"/>
      <c r="W691" s="248"/>
      <c r="X691" s="248"/>
      <c r="Y691" s="248"/>
      <c r="Z691" s="247"/>
      <c r="AA691" s="248"/>
      <c r="AB691" s="248"/>
      <c r="AC691" s="194"/>
      <c r="AD691" s="249"/>
      <c r="AE691" s="250"/>
      <c r="AF691" s="251"/>
      <c r="AG691" s="252"/>
      <c r="AH691" s="241"/>
      <c r="AI691" s="241"/>
      <c r="AJ691" s="241"/>
      <c r="AK691" s="194"/>
      <c r="AL691" s="195"/>
      <c r="AM691" s="195"/>
    </row>
    <row r="692" spans="2:39">
      <c r="B692" s="253">
        <f t="shared" si="188"/>
        <v>199</v>
      </c>
      <c r="C692" s="244"/>
      <c r="D692" s="654"/>
      <c r="E692" s="466"/>
      <c r="F692" s="612"/>
      <c r="G692" s="230"/>
      <c r="H692" s="230"/>
      <c r="I692" s="230"/>
      <c r="J692" s="230"/>
      <c r="K692" s="230"/>
      <c r="L692" s="228"/>
      <c r="M692" s="257"/>
      <c r="N692" s="228"/>
      <c r="O692" s="228"/>
      <c r="P692" s="258"/>
      <c r="Q692" s="2381"/>
      <c r="R692" s="2381"/>
      <c r="S692" s="254"/>
      <c r="T692" s="228"/>
      <c r="U692" s="2357"/>
      <c r="V692" s="256"/>
      <c r="W692" s="248"/>
      <c r="X692" s="248"/>
      <c r="Y692" s="248"/>
      <c r="Z692" s="247"/>
      <c r="AA692" s="248"/>
      <c r="AB692" s="248"/>
      <c r="AC692" s="194"/>
      <c r="AD692" s="249"/>
      <c r="AE692" s="250"/>
      <c r="AF692" s="251"/>
      <c r="AG692" s="252"/>
      <c r="AH692" s="241"/>
      <c r="AI692" s="241"/>
      <c r="AJ692" s="241"/>
      <c r="AK692" s="194"/>
      <c r="AL692" s="195"/>
      <c r="AM692" s="195"/>
    </row>
    <row r="693" spans="2:39">
      <c r="B693" s="253">
        <f t="shared" si="188"/>
        <v>200</v>
      </c>
      <c r="C693" s="244"/>
      <c r="D693" s="654"/>
      <c r="E693" s="466"/>
      <c r="F693" s="612"/>
      <c r="G693" s="230"/>
      <c r="H693" s="230"/>
      <c r="I693" s="230"/>
      <c r="J693" s="230"/>
      <c r="K693" s="230"/>
      <c r="L693" s="228"/>
      <c r="M693" s="257"/>
      <c r="N693" s="228"/>
      <c r="O693" s="228"/>
      <c r="P693" s="258"/>
      <c r="Q693" s="2381"/>
      <c r="R693" s="2381"/>
      <c r="S693" s="254"/>
      <c r="T693" s="228"/>
      <c r="U693" s="2357"/>
      <c r="V693" s="256"/>
      <c r="W693" s="248"/>
      <c r="X693" s="248"/>
      <c r="Y693" s="248"/>
      <c r="Z693" s="247"/>
      <c r="AA693" s="248"/>
      <c r="AB693" s="248"/>
      <c r="AC693" s="194"/>
      <c r="AD693" s="249"/>
      <c r="AE693" s="250"/>
      <c r="AF693" s="251"/>
      <c r="AG693" s="252"/>
      <c r="AH693" s="241"/>
      <c r="AI693" s="241"/>
      <c r="AJ693" s="241"/>
      <c r="AK693" s="194"/>
      <c r="AL693" s="195"/>
      <c r="AM693" s="195"/>
    </row>
    <row r="694" spans="2:39">
      <c r="B694" s="253">
        <f t="shared" si="188"/>
        <v>201</v>
      </c>
      <c r="C694" s="244"/>
      <c r="D694" s="654"/>
      <c r="E694" s="466"/>
      <c r="F694" s="612"/>
      <c r="G694" s="230"/>
      <c r="H694" s="230"/>
      <c r="I694" s="230"/>
      <c r="J694" s="230"/>
      <c r="K694" s="230"/>
      <c r="L694" s="228"/>
      <c r="M694" s="257"/>
      <c r="N694" s="228"/>
      <c r="O694" s="228"/>
      <c r="P694" s="258"/>
      <c r="Q694" s="2381"/>
      <c r="R694" s="2381"/>
      <c r="S694" s="254"/>
      <c r="T694" s="228"/>
      <c r="U694" s="2357"/>
      <c r="V694" s="256"/>
      <c r="W694" s="248"/>
      <c r="X694" s="248"/>
      <c r="Y694" s="248"/>
      <c r="Z694" s="247"/>
      <c r="AA694" s="248"/>
      <c r="AB694" s="248"/>
      <c r="AC694" s="194"/>
      <c r="AD694" s="249"/>
      <c r="AE694" s="250"/>
      <c r="AF694" s="251"/>
      <c r="AG694" s="252"/>
      <c r="AH694" s="241"/>
      <c r="AI694" s="241"/>
      <c r="AJ694" s="241"/>
      <c r="AK694" s="194"/>
      <c r="AL694" s="195"/>
      <c r="AM694" s="195"/>
    </row>
    <row r="695" spans="2:39">
      <c r="B695" s="253">
        <f t="shared" si="188"/>
        <v>202</v>
      </c>
      <c r="C695" s="244"/>
      <c r="D695" s="654"/>
      <c r="E695" s="466"/>
      <c r="F695" s="612"/>
      <c r="G695" s="230"/>
      <c r="H695" s="230"/>
      <c r="I695" s="230"/>
      <c r="J695" s="230"/>
      <c r="K695" s="230"/>
      <c r="L695" s="228"/>
      <c r="M695" s="257"/>
      <c r="N695" s="228"/>
      <c r="O695" s="228"/>
      <c r="P695" s="258"/>
      <c r="Q695" s="2381"/>
      <c r="R695" s="2381"/>
      <c r="S695" s="254"/>
      <c r="T695" s="228"/>
      <c r="U695" s="2357"/>
      <c r="V695" s="256"/>
      <c r="W695" s="248"/>
      <c r="X695" s="248"/>
      <c r="Y695" s="248"/>
      <c r="Z695" s="247"/>
      <c r="AA695" s="248"/>
      <c r="AB695" s="248"/>
      <c r="AC695" s="194"/>
      <c r="AD695" s="249"/>
      <c r="AE695" s="250"/>
      <c r="AF695" s="251"/>
      <c r="AG695" s="252"/>
      <c r="AH695" s="241"/>
      <c r="AI695" s="241"/>
      <c r="AJ695" s="241"/>
      <c r="AK695" s="194"/>
      <c r="AL695" s="195"/>
      <c r="AM695" s="195"/>
    </row>
    <row r="696" spans="2:39">
      <c r="B696" s="253">
        <f t="shared" si="188"/>
        <v>203</v>
      </c>
      <c r="C696" s="244"/>
      <c r="D696" s="654"/>
      <c r="E696" s="466"/>
      <c r="F696" s="612"/>
      <c r="G696" s="230"/>
      <c r="H696" s="230"/>
      <c r="I696" s="230"/>
      <c r="J696" s="230"/>
      <c r="K696" s="230"/>
      <c r="L696" s="228"/>
      <c r="M696" s="257"/>
      <c r="N696" s="228"/>
      <c r="O696" s="228"/>
      <c r="P696" s="258"/>
      <c r="Q696" s="2381"/>
      <c r="R696" s="2381"/>
      <c r="S696" s="254"/>
      <c r="T696" s="228"/>
      <c r="U696" s="2357"/>
      <c r="V696" s="256"/>
      <c r="W696" s="248"/>
      <c r="X696" s="248"/>
      <c r="Y696" s="248"/>
      <c r="Z696" s="247"/>
      <c r="AA696" s="248"/>
      <c r="AB696" s="248"/>
      <c r="AC696" s="194"/>
      <c r="AD696" s="249"/>
      <c r="AE696" s="250"/>
      <c r="AF696" s="251"/>
      <c r="AG696" s="252"/>
      <c r="AH696" s="241"/>
      <c r="AI696" s="241"/>
      <c r="AJ696" s="241"/>
      <c r="AK696" s="194"/>
      <c r="AL696" s="195"/>
      <c r="AM696" s="195"/>
    </row>
    <row r="697" spans="2:39">
      <c r="B697" s="253">
        <f t="shared" si="188"/>
        <v>204</v>
      </c>
      <c r="C697" s="244"/>
      <c r="D697" s="654"/>
      <c r="E697" s="466"/>
      <c r="F697" s="612"/>
      <c r="G697" s="230"/>
      <c r="H697" s="230"/>
      <c r="I697" s="230"/>
      <c r="J697" s="230"/>
      <c r="K697" s="230"/>
      <c r="L697" s="228"/>
      <c r="M697" s="257"/>
      <c r="N697" s="228"/>
      <c r="O697" s="228"/>
      <c r="P697" s="258"/>
      <c r="Q697" s="2381"/>
      <c r="R697" s="2381"/>
      <c r="S697" s="254"/>
      <c r="T697" s="228"/>
      <c r="U697" s="2357"/>
      <c r="V697" s="256"/>
      <c r="W697" s="248"/>
      <c r="X697" s="248"/>
      <c r="Y697" s="248"/>
      <c r="Z697" s="247"/>
      <c r="AA697" s="248"/>
      <c r="AB697" s="248"/>
      <c r="AC697" s="194"/>
      <c r="AD697" s="249"/>
      <c r="AE697" s="250"/>
      <c r="AF697" s="251"/>
      <c r="AG697" s="252"/>
      <c r="AH697" s="241"/>
      <c r="AI697" s="241"/>
      <c r="AJ697" s="241"/>
      <c r="AK697" s="194"/>
      <c r="AL697" s="195"/>
      <c r="AM697" s="195"/>
    </row>
    <row r="698" spans="2:39">
      <c r="B698" s="253">
        <f t="shared" si="188"/>
        <v>205</v>
      </c>
      <c r="C698" s="244"/>
      <c r="D698" s="654"/>
      <c r="E698" s="466"/>
      <c r="F698" s="612"/>
      <c r="G698" s="230"/>
      <c r="H698" s="230"/>
      <c r="I698" s="230"/>
      <c r="J698" s="230"/>
      <c r="K698" s="230"/>
      <c r="L698" s="228"/>
      <c r="M698" s="257"/>
      <c r="N698" s="228"/>
      <c r="O698" s="228"/>
      <c r="P698" s="258"/>
      <c r="Q698" s="2381"/>
      <c r="R698" s="2381"/>
      <c r="S698" s="254"/>
      <c r="T698" s="228"/>
      <c r="U698" s="2357"/>
      <c r="V698" s="256"/>
      <c r="W698" s="248"/>
      <c r="X698" s="248"/>
      <c r="Y698" s="248"/>
      <c r="Z698" s="247"/>
      <c r="AA698" s="248"/>
      <c r="AB698" s="248"/>
      <c r="AC698" s="194"/>
      <c r="AD698" s="249"/>
      <c r="AE698" s="250"/>
      <c r="AF698" s="251"/>
      <c r="AG698" s="252"/>
      <c r="AH698" s="241"/>
      <c r="AI698" s="241"/>
      <c r="AJ698" s="241"/>
      <c r="AK698" s="194"/>
      <c r="AL698" s="195"/>
      <c r="AM698" s="195"/>
    </row>
    <row r="699" spans="2:39">
      <c r="B699" s="253">
        <f t="shared" si="188"/>
        <v>206</v>
      </c>
      <c r="C699" s="244"/>
      <c r="D699" s="654"/>
      <c r="E699" s="466"/>
      <c r="F699" s="612"/>
      <c r="G699" s="230"/>
      <c r="H699" s="230"/>
      <c r="I699" s="230"/>
      <c r="J699" s="230"/>
      <c r="K699" s="230"/>
      <c r="L699" s="228"/>
      <c r="M699" s="257"/>
      <c r="N699" s="228"/>
      <c r="O699" s="228"/>
      <c r="P699" s="258"/>
      <c r="Q699" s="2381"/>
      <c r="R699" s="2381"/>
      <c r="S699" s="254"/>
      <c r="T699" s="228"/>
      <c r="U699" s="2357"/>
      <c r="V699" s="256"/>
      <c r="W699" s="248"/>
      <c r="X699" s="248"/>
      <c r="Y699" s="248"/>
      <c r="Z699" s="247"/>
      <c r="AA699" s="248"/>
      <c r="AB699" s="248"/>
      <c r="AC699" s="194"/>
      <c r="AD699" s="249"/>
      <c r="AE699" s="250"/>
      <c r="AF699" s="251"/>
      <c r="AG699" s="252"/>
      <c r="AH699" s="241"/>
      <c r="AI699" s="241"/>
      <c r="AJ699" s="241"/>
      <c r="AK699" s="194"/>
      <c r="AL699" s="195"/>
      <c r="AM699" s="195"/>
    </row>
    <row r="700" spans="2:39">
      <c r="B700" s="253">
        <f t="shared" si="188"/>
        <v>207</v>
      </c>
      <c r="C700" s="244"/>
      <c r="D700" s="654"/>
      <c r="E700" s="466"/>
      <c r="F700" s="612"/>
      <c r="G700" s="230"/>
      <c r="H700" s="230"/>
      <c r="I700" s="230"/>
      <c r="J700" s="230"/>
      <c r="K700" s="230"/>
      <c r="L700" s="228"/>
      <c r="M700" s="257"/>
      <c r="N700" s="228"/>
      <c r="O700" s="228"/>
      <c r="P700" s="258"/>
      <c r="Q700" s="2381"/>
      <c r="R700" s="2381"/>
      <c r="S700" s="254"/>
      <c r="T700" s="228"/>
      <c r="U700" s="2357"/>
      <c r="V700" s="256"/>
      <c r="W700" s="248"/>
      <c r="X700" s="248"/>
      <c r="Y700" s="248"/>
      <c r="Z700" s="247"/>
      <c r="AA700" s="248"/>
      <c r="AB700" s="248"/>
      <c r="AC700" s="194"/>
      <c r="AD700" s="249"/>
      <c r="AE700" s="250"/>
      <c r="AF700" s="251"/>
      <c r="AG700" s="252"/>
      <c r="AH700" s="241"/>
      <c r="AI700" s="241"/>
      <c r="AJ700" s="241"/>
      <c r="AK700" s="194"/>
      <c r="AL700" s="195"/>
      <c r="AM700" s="195"/>
    </row>
    <row r="701" spans="2:39">
      <c r="B701" s="253">
        <f t="shared" si="188"/>
        <v>208</v>
      </c>
      <c r="C701" s="244"/>
      <c r="D701" s="654"/>
      <c r="E701" s="466"/>
      <c r="F701" s="612"/>
      <c r="G701" s="230"/>
      <c r="H701" s="230"/>
      <c r="I701" s="230"/>
      <c r="J701" s="230"/>
      <c r="K701" s="230"/>
      <c r="L701" s="228"/>
      <c r="M701" s="257"/>
      <c r="N701" s="228"/>
      <c r="O701" s="228"/>
      <c r="P701" s="258"/>
      <c r="Q701" s="2381"/>
      <c r="R701" s="2381"/>
      <c r="S701" s="254"/>
      <c r="T701" s="228"/>
      <c r="U701" s="2357"/>
      <c r="V701" s="256"/>
      <c r="W701" s="248"/>
      <c r="X701" s="248"/>
      <c r="Y701" s="248"/>
      <c r="Z701" s="247"/>
      <c r="AA701" s="248"/>
      <c r="AB701" s="248"/>
      <c r="AC701" s="194"/>
      <c r="AD701" s="249"/>
      <c r="AE701" s="250"/>
      <c r="AF701" s="251"/>
      <c r="AG701" s="252"/>
      <c r="AH701" s="241"/>
      <c r="AI701" s="241"/>
      <c r="AJ701" s="241"/>
      <c r="AK701" s="194"/>
      <c r="AL701" s="195"/>
      <c r="AM701" s="195"/>
    </row>
    <row r="702" spans="2:39">
      <c r="B702" s="253">
        <f t="shared" si="188"/>
        <v>209</v>
      </c>
      <c r="C702" s="244"/>
      <c r="D702" s="654"/>
      <c r="E702" s="466"/>
      <c r="F702" s="612"/>
      <c r="G702" s="230"/>
      <c r="H702" s="230"/>
      <c r="I702" s="230"/>
      <c r="J702" s="230"/>
      <c r="K702" s="230"/>
      <c r="L702" s="228"/>
      <c r="M702" s="257"/>
      <c r="N702" s="228"/>
      <c r="O702" s="228"/>
      <c r="P702" s="258"/>
      <c r="Q702" s="2381"/>
      <c r="R702" s="2381"/>
      <c r="S702" s="254"/>
      <c r="T702" s="228"/>
      <c r="U702" s="2357"/>
      <c r="V702" s="256"/>
      <c r="W702" s="248"/>
      <c r="X702" s="248"/>
      <c r="Y702" s="248"/>
      <c r="Z702" s="247"/>
      <c r="AA702" s="248"/>
      <c r="AB702" s="248"/>
      <c r="AC702" s="194"/>
      <c r="AD702" s="249"/>
      <c r="AE702" s="250"/>
      <c r="AF702" s="251"/>
      <c r="AG702" s="252"/>
      <c r="AH702" s="241"/>
      <c r="AI702" s="241"/>
      <c r="AJ702" s="241"/>
      <c r="AK702" s="194"/>
      <c r="AL702" s="195"/>
      <c r="AM702" s="195"/>
    </row>
    <row r="703" spans="2:39">
      <c r="B703" s="253">
        <f t="shared" si="188"/>
        <v>210</v>
      </c>
      <c r="C703" s="244"/>
      <c r="D703" s="654"/>
      <c r="E703" s="466"/>
      <c r="F703" s="612"/>
      <c r="G703" s="230"/>
      <c r="H703" s="230"/>
      <c r="I703" s="230"/>
      <c r="J703" s="230"/>
      <c r="K703" s="230"/>
      <c r="L703" s="228"/>
      <c r="M703" s="257"/>
      <c r="N703" s="228"/>
      <c r="O703" s="228"/>
      <c r="P703" s="258"/>
      <c r="Q703" s="2381"/>
      <c r="R703" s="2381"/>
      <c r="S703" s="254"/>
      <c r="T703" s="228"/>
      <c r="U703" s="2357"/>
      <c r="V703" s="256"/>
      <c r="W703" s="248"/>
      <c r="X703" s="248"/>
      <c r="Y703" s="248"/>
      <c r="Z703" s="247"/>
      <c r="AA703" s="248"/>
      <c r="AB703" s="248"/>
      <c r="AC703" s="194"/>
      <c r="AD703" s="249"/>
      <c r="AE703" s="250"/>
      <c r="AF703" s="251"/>
      <c r="AG703" s="252"/>
      <c r="AH703" s="241"/>
      <c r="AI703" s="241"/>
      <c r="AJ703" s="241"/>
      <c r="AK703" s="194"/>
      <c r="AL703" s="195"/>
      <c r="AM703" s="195"/>
    </row>
    <row r="704" spans="2:39">
      <c r="B704" s="253">
        <f t="shared" si="188"/>
        <v>211</v>
      </c>
      <c r="C704" s="244"/>
      <c r="D704" s="654"/>
      <c r="E704" s="466"/>
      <c r="F704" s="612"/>
      <c r="G704" s="230"/>
      <c r="H704" s="230"/>
      <c r="I704" s="230"/>
      <c r="J704" s="230"/>
      <c r="K704" s="230"/>
      <c r="L704" s="228"/>
      <c r="M704" s="257"/>
      <c r="N704" s="228"/>
      <c r="O704" s="228"/>
      <c r="P704" s="258"/>
      <c r="Q704" s="2381"/>
      <c r="R704" s="2381"/>
      <c r="S704" s="254"/>
      <c r="T704" s="228"/>
      <c r="U704" s="2357"/>
      <c r="V704" s="256"/>
      <c r="W704" s="248"/>
      <c r="X704" s="248"/>
      <c r="Y704" s="248"/>
      <c r="Z704" s="247"/>
      <c r="AA704" s="248"/>
      <c r="AB704" s="248"/>
      <c r="AC704" s="194"/>
      <c r="AD704" s="249"/>
      <c r="AE704" s="250"/>
      <c r="AF704" s="251"/>
      <c r="AG704" s="252"/>
      <c r="AH704" s="241"/>
      <c r="AI704" s="241"/>
      <c r="AJ704" s="241"/>
      <c r="AK704" s="194"/>
      <c r="AL704" s="195"/>
      <c r="AM704" s="195"/>
    </row>
    <row r="705" spans="2:39">
      <c r="B705" s="253">
        <f t="shared" si="188"/>
        <v>212</v>
      </c>
      <c r="C705" s="244"/>
      <c r="D705" s="654"/>
      <c r="E705" s="466"/>
      <c r="F705" s="612"/>
      <c r="G705" s="230"/>
      <c r="H705" s="230"/>
      <c r="I705" s="230"/>
      <c r="J705" s="230"/>
      <c r="K705" s="230"/>
      <c r="L705" s="228"/>
      <c r="M705" s="257"/>
      <c r="N705" s="228"/>
      <c r="O705" s="228"/>
      <c r="P705" s="258"/>
      <c r="Q705" s="2381"/>
      <c r="R705" s="2381"/>
      <c r="S705" s="254"/>
      <c r="T705" s="228"/>
      <c r="U705" s="2357"/>
      <c r="V705" s="256"/>
      <c r="W705" s="248"/>
      <c r="X705" s="248"/>
      <c r="Y705" s="248"/>
      <c r="Z705" s="247"/>
      <c r="AA705" s="248"/>
      <c r="AB705" s="248"/>
      <c r="AC705" s="194"/>
      <c r="AD705" s="249"/>
      <c r="AE705" s="250"/>
      <c r="AF705" s="251"/>
      <c r="AG705" s="252"/>
      <c r="AH705" s="241"/>
      <c r="AI705" s="241"/>
      <c r="AJ705" s="241"/>
      <c r="AK705" s="194"/>
      <c r="AL705" s="195"/>
      <c r="AM705" s="195"/>
    </row>
    <row r="706" spans="2:39">
      <c r="B706" s="253">
        <f t="shared" si="188"/>
        <v>213</v>
      </c>
      <c r="C706" s="244"/>
      <c r="D706" s="654"/>
      <c r="E706" s="466"/>
      <c r="F706" s="612"/>
      <c r="G706" s="230"/>
      <c r="H706" s="230"/>
      <c r="I706" s="230"/>
      <c r="J706" s="230"/>
      <c r="K706" s="230"/>
      <c r="L706" s="228"/>
      <c r="M706" s="257"/>
      <c r="N706" s="228"/>
      <c r="O706" s="228"/>
      <c r="P706" s="258"/>
      <c r="Q706" s="2381"/>
      <c r="R706" s="2381"/>
      <c r="S706" s="254"/>
      <c r="T706" s="228"/>
      <c r="U706" s="2357"/>
      <c r="V706" s="256"/>
      <c r="W706" s="248"/>
      <c r="X706" s="248"/>
      <c r="Y706" s="248"/>
      <c r="Z706" s="247"/>
      <c r="AA706" s="248"/>
      <c r="AB706" s="248"/>
      <c r="AC706" s="194"/>
      <c r="AD706" s="249"/>
      <c r="AE706" s="250"/>
      <c r="AF706" s="251"/>
      <c r="AG706" s="252"/>
      <c r="AH706" s="241"/>
      <c r="AI706" s="241"/>
      <c r="AJ706" s="241"/>
      <c r="AK706" s="194"/>
      <c r="AL706" s="195"/>
      <c r="AM706" s="195"/>
    </row>
    <row r="707" spans="2:39">
      <c r="B707" s="253">
        <f t="shared" si="188"/>
        <v>214</v>
      </c>
      <c r="C707" s="244"/>
      <c r="D707" s="654"/>
      <c r="E707" s="466"/>
      <c r="F707" s="612"/>
      <c r="G707" s="230"/>
      <c r="H707" s="230"/>
      <c r="I707" s="230"/>
      <c r="J707" s="230"/>
      <c r="K707" s="230"/>
      <c r="L707" s="228"/>
      <c r="M707" s="257"/>
      <c r="N707" s="228"/>
      <c r="O707" s="228"/>
      <c r="P707" s="258"/>
      <c r="Q707" s="2381"/>
      <c r="R707" s="2381"/>
      <c r="S707" s="254"/>
      <c r="T707" s="228"/>
      <c r="U707" s="2357"/>
      <c r="V707" s="256"/>
      <c r="W707" s="248"/>
      <c r="X707" s="248"/>
      <c r="Y707" s="248"/>
      <c r="Z707" s="247"/>
      <c r="AA707" s="248"/>
      <c r="AB707" s="248"/>
      <c r="AC707" s="194"/>
      <c r="AD707" s="249"/>
      <c r="AE707" s="250"/>
      <c r="AF707" s="251"/>
      <c r="AG707" s="252"/>
      <c r="AH707" s="241"/>
      <c r="AI707" s="241"/>
      <c r="AJ707" s="241"/>
      <c r="AK707" s="194"/>
      <c r="AL707" s="195"/>
      <c r="AM707" s="195"/>
    </row>
    <row r="708" spans="2:39">
      <c r="B708" s="253">
        <f t="shared" ref="B708:B748" si="189">+B707+1</f>
        <v>215</v>
      </c>
      <c r="C708" s="244"/>
      <c r="D708" s="654"/>
      <c r="E708" s="466"/>
      <c r="F708" s="612"/>
      <c r="G708" s="230"/>
      <c r="H708" s="230"/>
      <c r="I708" s="230"/>
      <c r="J708" s="230"/>
      <c r="K708" s="230"/>
      <c r="L708" s="228"/>
      <c r="M708" s="257"/>
      <c r="N708" s="228"/>
      <c r="O708" s="228"/>
      <c r="P708" s="258"/>
      <c r="Q708" s="2381"/>
      <c r="R708" s="2381"/>
      <c r="S708" s="254"/>
      <c r="T708" s="228"/>
      <c r="U708" s="2357"/>
      <c r="V708" s="256"/>
      <c r="W708" s="248"/>
      <c r="X708" s="248"/>
      <c r="Y708" s="248"/>
      <c r="Z708" s="247"/>
      <c r="AA708" s="248"/>
      <c r="AB708" s="248"/>
      <c r="AC708" s="194"/>
      <c r="AD708" s="249"/>
      <c r="AE708" s="250"/>
      <c r="AF708" s="251"/>
      <c r="AG708" s="252"/>
      <c r="AH708" s="241"/>
      <c r="AI708" s="241"/>
      <c r="AJ708" s="241"/>
      <c r="AK708" s="194"/>
      <c r="AL708" s="195"/>
      <c r="AM708" s="195"/>
    </row>
    <row r="709" spans="2:39">
      <c r="B709" s="253">
        <f t="shared" si="189"/>
        <v>216</v>
      </c>
      <c r="C709" s="244"/>
      <c r="D709" s="654"/>
      <c r="E709" s="466"/>
      <c r="F709" s="612"/>
      <c r="G709" s="230"/>
      <c r="H709" s="230"/>
      <c r="I709" s="230"/>
      <c r="J709" s="230"/>
      <c r="K709" s="230"/>
      <c r="L709" s="228"/>
      <c r="M709" s="257"/>
      <c r="N709" s="228"/>
      <c r="O709" s="228"/>
      <c r="P709" s="258"/>
      <c r="Q709" s="2381"/>
      <c r="R709" s="2381"/>
      <c r="S709" s="254"/>
      <c r="T709" s="228"/>
      <c r="U709" s="2357"/>
      <c r="V709" s="256"/>
      <c r="W709" s="248"/>
      <c r="X709" s="248"/>
      <c r="Y709" s="248"/>
      <c r="Z709" s="247"/>
      <c r="AA709" s="248"/>
      <c r="AB709" s="248"/>
      <c r="AC709" s="194"/>
      <c r="AD709" s="249"/>
      <c r="AE709" s="250"/>
      <c r="AF709" s="251"/>
      <c r="AG709" s="252"/>
      <c r="AH709" s="241"/>
      <c r="AI709" s="241"/>
      <c r="AJ709" s="241"/>
      <c r="AK709" s="194"/>
      <c r="AL709" s="195"/>
      <c r="AM709" s="195"/>
    </row>
    <row r="710" spans="2:39">
      <c r="B710" s="253">
        <f t="shared" si="189"/>
        <v>217</v>
      </c>
      <c r="C710" s="244"/>
      <c r="D710" s="654"/>
      <c r="E710" s="466"/>
      <c r="F710" s="612"/>
      <c r="G710" s="230"/>
      <c r="H710" s="230"/>
      <c r="I710" s="230"/>
      <c r="J710" s="230"/>
      <c r="K710" s="230"/>
      <c r="L710" s="228"/>
      <c r="M710" s="257"/>
      <c r="N710" s="228"/>
      <c r="O710" s="228"/>
      <c r="P710" s="258"/>
      <c r="Q710" s="2381"/>
      <c r="R710" s="2381"/>
      <c r="S710" s="254"/>
      <c r="T710" s="228"/>
      <c r="U710" s="2357"/>
      <c r="V710" s="256"/>
      <c r="W710" s="248"/>
      <c r="X710" s="248"/>
      <c r="Y710" s="248"/>
      <c r="Z710" s="247"/>
      <c r="AA710" s="248"/>
      <c r="AB710" s="248"/>
      <c r="AC710" s="194"/>
      <c r="AD710" s="249"/>
      <c r="AE710" s="250"/>
      <c r="AF710" s="251"/>
      <c r="AG710" s="252"/>
      <c r="AH710" s="241"/>
      <c r="AI710" s="241"/>
      <c r="AJ710" s="241"/>
      <c r="AK710" s="194"/>
      <c r="AL710" s="195"/>
      <c r="AM710" s="195"/>
    </row>
    <row r="711" spans="2:39">
      <c r="B711" s="253">
        <f t="shared" si="189"/>
        <v>218</v>
      </c>
      <c r="C711" s="244"/>
      <c r="D711" s="654"/>
      <c r="E711" s="466"/>
      <c r="F711" s="612"/>
      <c r="G711" s="230"/>
      <c r="H711" s="230"/>
      <c r="I711" s="230"/>
      <c r="J711" s="230"/>
      <c r="K711" s="230"/>
      <c r="L711" s="228"/>
      <c r="M711" s="257"/>
      <c r="N711" s="228"/>
      <c r="O711" s="228"/>
      <c r="P711" s="258"/>
      <c r="Q711" s="2381"/>
      <c r="R711" s="2381"/>
      <c r="S711" s="254"/>
      <c r="T711" s="228"/>
      <c r="U711" s="2357"/>
      <c r="V711" s="256"/>
      <c r="W711" s="248"/>
      <c r="X711" s="248"/>
      <c r="Y711" s="248"/>
      <c r="Z711" s="247"/>
      <c r="AA711" s="248"/>
      <c r="AB711" s="248"/>
      <c r="AC711" s="194"/>
      <c r="AD711" s="249"/>
      <c r="AE711" s="250"/>
      <c r="AF711" s="251"/>
      <c r="AG711" s="252"/>
      <c r="AH711" s="241"/>
      <c r="AI711" s="241"/>
      <c r="AJ711" s="241"/>
      <c r="AK711" s="194"/>
      <c r="AL711" s="195"/>
      <c r="AM711" s="195"/>
    </row>
    <row r="712" spans="2:39">
      <c r="B712" s="253">
        <f t="shared" si="189"/>
        <v>219</v>
      </c>
      <c r="C712" s="244"/>
      <c r="D712" s="654"/>
      <c r="E712" s="466"/>
      <c r="F712" s="612"/>
      <c r="G712" s="230"/>
      <c r="H712" s="230"/>
      <c r="I712" s="230"/>
      <c r="J712" s="230"/>
      <c r="K712" s="230"/>
      <c r="L712" s="228"/>
      <c r="M712" s="257"/>
      <c r="N712" s="228"/>
      <c r="O712" s="228"/>
      <c r="P712" s="258"/>
      <c r="Q712" s="2381"/>
      <c r="R712" s="2381"/>
      <c r="S712" s="254"/>
      <c r="T712" s="228"/>
      <c r="U712" s="2357"/>
      <c r="V712" s="256"/>
      <c r="W712" s="248"/>
      <c r="X712" s="248"/>
      <c r="Y712" s="248"/>
      <c r="Z712" s="247"/>
      <c r="AA712" s="248"/>
      <c r="AB712" s="248"/>
      <c r="AC712" s="194"/>
      <c r="AD712" s="249"/>
      <c r="AE712" s="250"/>
      <c r="AF712" s="251"/>
      <c r="AG712" s="252"/>
      <c r="AH712" s="241"/>
      <c r="AI712" s="241"/>
      <c r="AJ712" s="241"/>
      <c r="AK712" s="194"/>
      <c r="AL712" s="195"/>
      <c r="AM712" s="195"/>
    </row>
    <row r="713" spans="2:39">
      <c r="B713" s="253">
        <f t="shared" si="189"/>
        <v>220</v>
      </c>
      <c r="C713" s="244"/>
      <c r="D713" s="654"/>
      <c r="E713" s="466"/>
      <c r="F713" s="612"/>
      <c r="G713" s="230"/>
      <c r="H713" s="230"/>
      <c r="I713" s="230"/>
      <c r="J713" s="230"/>
      <c r="K713" s="230"/>
      <c r="L713" s="228"/>
      <c r="M713" s="257"/>
      <c r="N713" s="228"/>
      <c r="O713" s="228"/>
      <c r="P713" s="258"/>
      <c r="Q713" s="2381"/>
      <c r="R713" s="2381"/>
      <c r="S713" s="254"/>
      <c r="T713" s="228"/>
      <c r="U713" s="2357"/>
      <c r="V713" s="256"/>
      <c r="W713" s="248"/>
      <c r="X713" s="248"/>
      <c r="Y713" s="248"/>
      <c r="Z713" s="247"/>
      <c r="AA713" s="248"/>
      <c r="AB713" s="248"/>
      <c r="AC713" s="194"/>
      <c r="AD713" s="249"/>
      <c r="AE713" s="250"/>
      <c r="AF713" s="251"/>
      <c r="AG713" s="252"/>
      <c r="AH713" s="241"/>
      <c r="AI713" s="241"/>
      <c r="AJ713" s="241"/>
      <c r="AK713" s="194"/>
      <c r="AL713" s="195"/>
      <c r="AM713" s="195"/>
    </row>
    <row r="714" spans="2:39">
      <c r="B714" s="253">
        <f t="shared" si="189"/>
        <v>221</v>
      </c>
      <c r="C714" s="244"/>
      <c r="D714" s="654"/>
      <c r="E714" s="466"/>
      <c r="F714" s="612"/>
      <c r="G714" s="230"/>
      <c r="H714" s="230"/>
      <c r="I714" s="230"/>
      <c r="J714" s="230"/>
      <c r="K714" s="230"/>
      <c r="L714" s="228"/>
      <c r="M714" s="257"/>
      <c r="N714" s="228"/>
      <c r="O714" s="228"/>
      <c r="P714" s="258"/>
      <c r="Q714" s="2381"/>
      <c r="R714" s="2381"/>
      <c r="S714" s="254"/>
      <c r="T714" s="228"/>
      <c r="U714" s="2357"/>
      <c r="V714" s="256"/>
      <c r="W714" s="248"/>
      <c r="X714" s="248"/>
      <c r="Y714" s="248"/>
      <c r="Z714" s="247"/>
      <c r="AA714" s="248"/>
      <c r="AB714" s="248"/>
      <c r="AC714" s="194"/>
      <c r="AD714" s="249"/>
      <c r="AE714" s="250"/>
      <c r="AF714" s="251"/>
      <c r="AG714" s="252"/>
      <c r="AH714" s="241"/>
      <c r="AI714" s="241"/>
      <c r="AJ714" s="241"/>
      <c r="AK714" s="194"/>
      <c r="AL714" s="195"/>
      <c r="AM714" s="195"/>
    </row>
    <row r="715" spans="2:39">
      <c r="B715" s="253">
        <f t="shared" si="189"/>
        <v>222</v>
      </c>
      <c r="C715" s="244"/>
      <c r="D715" s="654"/>
      <c r="E715" s="466"/>
      <c r="F715" s="612"/>
      <c r="G715" s="230"/>
      <c r="H715" s="230"/>
      <c r="I715" s="230"/>
      <c r="J715" s="230"/>
      <c r="K715" s="230"/>
      <c r="L715" s="228"/>
      <c r="M715" s="257"/>
      <c r="N715" s="228"/>
      <c r="O715" s="228"/>
      <c r="P715" s="258"/>
      <c r="Q715" s="2381"/>
      <c r="R715" s="2381"/>
      <c r="S715" s="254"/>
      <c r="T715" s="228"/>
      <c r="U715" s="2357"/>
      <c r="V715" s="256"/>
      <c r="W715" s="248"/>
      <c r="X715" s="248"/>
      <c r="Y715" s="248"/>
      <c r="Z715" s="247"/>
      <c r="AA715" s="248"/>
      <c r="AB715" s="248"/>
      <c r="AC715" s="194"/>
      <c r="AD715" s="249"/>
      <c r="AE715" s="250"/>
      <c r="AF715" s="251"/>
      <c r="AG715" s="252"/>
      <c r="AH715" s="241"/>
      <c r="AI715" s="241"/>
      <c r="AJ715" s="241"/>
      <c r="AK715" s="194"/>
      <c r="AL715" s="195"/>
      <c r="AM715" s="195"/>
    </row>
    <row r="716" spans="2:39">
      <c r="B716" s="253">
        <f t="shared" si="189"/>
        <v>223</v>
      </c>
      <c r="C716" s="244"/>
      <c r="D716" s="654"/>
      <c r="E716" s="466"/>
      <c r="F716" s="612"/>
      <c r="G716" s="230"/>
      <c r="H716" s="230"/>
      <c r="I716" s="230"/>
      <c r="J716" s="230"/>
      <c r="K716" s="230"/>
      <c r="L716" s="228"/>
      <c r="M716" s="257"/>
      <c r="N716" s="228"/>
      <c r="O716" s="228"/>
      <c r="P716" s="258"/>
      <c r="Q716" s="2381"/>
      <c r="R716" s="2381"/>
      <c r="S716" s="254"/>
      <c r="T716" s="228"/>
      <c r="U716" s="2357"/>
      <c r="V716" s="256"/>
      <c r="W716" s="248"/>
      <c r="X716" s="248"/>
      <c r="Y716" s="248"/>
      <c r="Z716" s="247"/>
      <c r="AA716" s="248"/>
      <c r="AB716" s="248"/>
      <c r="AC716" s="194"/>
      <c r="AD716" s="249"/>
      <c r="AE716" s="250"/>
      <c r="AF716" s="251"/>
      <c r="AG716" s="252"/>
      <c r="AH716" s="241"/>
      <c r="AI716" s="241"/>
      <c r="AJ716" s="241"/>
      <c r="AK716" s="194"/>
      <c r="AL716" s="195"/>
      <c r="AM716" s="195"/>
    </row>
    <row r="717" spans="2:39">
      <c r="B717" s="253">
        <f t="shared" si="189"/>
        <v>224</v>
      </c>
      <c r="C717" s="244"/>
      <c r="D717" s="654"/>
      <c r="E717" s="466"/>
      <c r="F717" s="612"/>
      <c r="G717" s="230"/>
      <c r="H717" s="230"/>
      <c r="I717" s="230"/>
      <c r="J717" s="230"/>
      <c r="K717" s="230"/>
      <c r="L717" s="228"/>
      <c r="M717" s="257"/>
      <c r="N717" s="228"/>
      <c r="O717" s="228"/>
      <c r="P717" s="258"/>
      <c r="Q717" s="2381"/>
      <c r="R717" s="2381"/>
      <c r="S717" s="254"/>
      <c r="T717" s="228"/>
      <c r="U717" s="2357"/>
      <c r="V717" s="256"/>
      <c r="W717" s="248"/>
      <c r="X717" s="248"/>
      <c r="Y717" s="248"/>
      <c r="Z717" s="247"/>
      <c r="AA717" s="248"/>
      <c r="AB717" s="248"/>
      <c r="AC717" s="194"/>
      <c r="AD717" s="249"/>
      <c r="AE717" s="250"/>
      <c r="AF717" s="251"/>
      <c r="AG717" s="252"/>
      <c r="AH717" s="241"/>
      <c r="AI717" s="241"/>
      <c r="AJ717" s="241"/>
      <c r="AK717" s="194"/>
      <c r="AL717" s="195"/>
      <c r="AM717" s="195"/>
    </row>
    <row r="718" spans="2:39">
      <c r="B718" s="253">
        <f t="shared" si="189"/>
        <v>225</v>
      </c>
      <c r="C718" s="244"/>
      <c r="D718" s="654"/>
      <c r="E718" s="466"/>
      <c r="F718" s="612"/>
      <c r="G718" s="230"/>
      <c r="H718" s="230"/>
      <c r="I718" s="230"/>
      <c r="J718" s="230"/>
      <c r="K718" s="230"/>
      <c r="L718" s="228"/>
      <c r="M718" s="257"/>
      <c r="N718" s="228"/>
      <c r="O718" s="228"/>
      <c r="P718" s="258"/>
      <c r="Q718" s="2381"/>
      <c r="R718" s="2381"/>
      <c r="S718" s="254"/>
      <c r="T718" s="228"/>
      <c r="U718" s="2357"/>
      <c r="V718" s="256"/>
      <c r="W718" s="248"/>
      <c r="X718" s="248"/>
      <c r="Y718" s="248"/>
      <c r="Z718" s="247"/>
      <c r="AA718" s="248"/>
      <c r="AB718" s="248"/>
      <c r="AC718" s="194"/>
      <c r="AD718" s="249"/>
      <c r="AE718" s="250"/>
      <c r="AF718" s="251"/>
      <c r="AG718" s="252"/>
      <c r="AH718" s="241"/>
      <c r="AI718" s="241"/>
      <c r="AJ718" s="241"/>
      <c r="AK718" s="194"/>
      <c r="AL718" s="195"/>
      <c r="AM718" s="195"/>
    </row>
    <row r="719" spans="2:39">
      <c r="B719" s="253">
        <f t="shared" si="189"/>
        <v>226</v>
      </c>
      <c r="C719" s="244"/>
      <c r="D719" s="654"/>
      <c r="E719" s="466"/>
      <c r="F719" s="612"/>
      <c r="G719" s="230"/>
      <c r="H719" s="230"/>
      <c r="I719" s="230"/>
      <c r="J719" s="230"/>
      <c r="K719" s="230"/>
      <c r="L719" s="228"/>
      <c r="M719" s="257"/>
      <c r="N719" s="228"/>
      <c r="O719" s="228"/>
      <c r="P719" s="258"/>
      <c r="Q719" s="2381"/>
      <c r="R719" s="2381"/>
      <c r="S719" s="254"/>
      <c r="T719" s="228"/>
      <c r="U719" s="2357"/>
      <c r="V719" s="256"/>
      <c r="W719" s="248"/>
      <c r="X719" s="248"/>
      <c r="Y719" s="248"/>
      <c r="Z719" s="247"/>
      <c r="AA719" s="248"/>
      <c r="AB719" s="248"/>
      <c r="AC719" s="194"/>
      <c r="AD719" s="249"/>
      <c r="AE719" s="250"/>
      <c r="AF719" s="251"/>
      <c r="AG719" s="252"/>
      <c r="AH719" s="241"/>
      <c r="AI719" s="241"/>
      <c r="AJ719" s="241"/>
      <c r="AK719" s="194"/>
      <c r="AL719" s="195"/>
      <c r="AM719" s="195"/>
    </row>
    <row r="720" spans="2:39">
      <c r="B720" s="253">
        <f t="shared" si="189"/>
        <v>227</v>
      </c>
      <c r="C720" s="244"/>
      <c r="D720" s="654"/>
      <c r="E720" s="466"/>
      <c r="F720" s="612"/>
      <c r="G720" s="230"/>
      <c r="H720" s="230"/>
      <c r="I720" s="230"/>
      <c r="J720" s="230"/>
      <c r="K720" s="230"/>
      <c r="L720" s="228"/>
      <c r="M720" s="257"/>
      <c r="N720" s="228"/>
      <c r="O720" s="228"/>
      <c r="P720" s="258"/>
      <c r="Q720" s="2381"/>
      <c r="R720" s="2381"/>
      <c r="S720" s="254"/>
      <c r="T720" s="228"/>
      <c r="U720" s="2357"/>
      <c r="V720" s="256"/>
      <c r="W720" s="248"/>
      <c r="X720" s="248"/>
      <c r="Y720" s="248"/>
      <c r="Z720" s="247"/>
      <c r="AA720" s="248"/>
      <c r="AB720" s="248"/>
      <c r="AC720" s="194"/>
      <c r="AD720" s="249"/>
      <c r="AE720" s="250"/>
      <c r="AF720" s="251"/>
      <c r="AG720" s="252"/>
      <c r="AH720" s="241"/>
      <c r="AI720" s="241"/>
      <c r="AJ720" s="241"/>
      <c r="AK720" s="194"/>
      <c r="AL720" s="195"/>
      <c r="AM720" s="195"/>
    </row>
    <row r="721" spans="2:39">
      <c r="B721" s="253">
        <f t="shared" si="189"/>
        <v>228</v>
      </c>
      <c r="C721" s="244"/>
      <c r="D721" s="654"/>
      <c r="E721" s="466"/>
      <c r="F721" s="612"/>
      <c r="G721" s="230"/>
      <c r="H721" s="230"/>
      <c r="I721" s="230"/>
      <c r="J721" s="230"/>
      <c r="K721" s="230"/>
      <c r="L721" s="228"/>
      <c r="M721" s="257"/>
      <c r="N721" s="228"/>
      <c r="O721" s="228"/>
      <c r="P721" s="258"/>
      <c r="Q721" s="2381"/>
      <c r="R721" s="2381"/>
      <c r="S721" s="254"/>
      <c r="T721" s="228"/>
      <c r="U721" s="2357"/>
      <c r="V721" s="256"/>
      <c r="W721" s="248"/>
      <c r="X721" s="248"/>
      <c r="Y721" s="248"/>
      <c r="Z721" s="247"/>
      <c r="AA721" s="248"/>
      <c r="AB721" s="248"/>
      <c r="AC721" s="194"/>
      <c r="AD721" s="249"/>
      <c r="AE721" s="250"/>
      <c r="AF721" s="251"/>
      <c r="AG721" s="252"/>
      <c r="AH721" s="241"/>
      <c r="AI721" s="241"/>
      <c r="AJ721" s="241"/>
      <c r="AK721" s="194"/>
      <c r="AL721" s="195"/>
      <c r="AM721" s="195"/>
    </row>
    <row r="722" spans="2:39">
      <c r="B722" s="253">
        <f t="shared" si="189"/>
        <v>229</v>
      </c>
      <c r="C722" s="244"/>
      <c r="D722" s="654"/>
      <c r="E722" s="466"/>
      <c r="F722" s="612"/>
      <c r="G722" s="230"/>
      <c r="H722" s="230"/>
      <c r="I722" s="230"/>
      <c r="J722" s="230"/>
      <c r="K722" s="230"/>
      <c r="L722" s="228"/>
      <c r="M722" s="257"/>
      <c r="N722" s="228"/>
      <c r="O722" s="228"/>
      <c r="P722" s="258"/>
      <c r="Q722" s="2381"/>
      <c r="R722" s="2381"/>
      <c r="S722" s="254"/>
      <c r="T722" s="228"/>
      <c r="U722" s="2357"/>
      <c r="V722" s="256"/>
      <c r="W722" s="248"/>
      <c r="X722" s="248"/>
      <c r="Y722" s="248"/>
      <c r="Z722" s="247"/>
      <c r="AA722" s="248"/>
      <c r="AB722" s="248"/>
      <c r="AC722" s="194"/>
      <c r="AD722" s="249"/>
      <c r="AE722" s="250"/>
      <c r="AF722" s="251"/>
      <c r="AG722" s="252"/>
      <c r="AH722" s="241"/>
      <c r="AI722" s="241"/>
      <c r="AJ722" s="241"/>
      <c r="AK722" s="194"/>
      <c r="AL722" s="195"/>
      <c r="AM722" s="195"/>
    </row>
    <row r="723" spans="2:39">
      <c r="B723" s="253">
        <f t="shared" si="189"/>
        <v>230</v>
      </c>
      <c r="C723" s="244"/>
      <c r="D723" s="654"/>
      <c r="E723" s="466"/>
      <c r="F723" s="612"/>
      <c r="G723" s="230"/>
      <c r="H723" s="230"/>
      <c r="I723" s="230"/>
      <c r="J723" s="230"/>
      <c r="K723" s="230"/>
      <c r="L723" s="228"/>
      <c r="M723" s="257"/>
      <c r="N723" s="228"/>
      <c r="O723" s="228"/>
      <c r="P723" s="258"/>
      <c r="Q723" s="2381"/>
      <c r="R723" s="2381"/>
      <c r="S723" s="254"/>
      <c r="T723" s="228"/>
      <c r="U723" s="2357"/>
      <c r="V723" s="256"/>
      <c r="W723" s="248"/>
      <c r="X723" s="248"/>
      <c r="Y723" s="248"/>
      <c r="Z723" s="247"/>
      <c r="AA723" s="248"/>
      <c r="AB723" s="248"/>
      <c r="AC723" s="194"/>
      <c r="AD723" s="249"/>
      <c r="AE723" s="250"/>
      <c r="AF723" s="251"/>
      <c r="AG723" s="252"/>
      <c r="AH723" s="241"/>
      <c r="AI723" s="241"/>
      <c r="AJ723" s="241"/>
      <c r="AK723" s="194"/>
      <c r="AL723" s="195"/>
      <c r="AM723" s="195"/>
    </row>
    <row r="724" spans="2:39">
      <c r="B724" s="253">
        <f t="shared" si="189"/>
        <v>231</v>
      </c>
      <c r="C724" s="244"/>
      <c r="D724" s="654"/>
      <c r="E724" s="466"/>
      <c r="F724" s="612"/>
      <c r="G724" s="230"/>
      <c r="H724" s="230"/>
      <c r="I724" s="230"/>
      <c r="J724" s="230"/>
      <c r="K724" s="230"/>
      <c r="L724" s="228"/>
      <c r="M724" s="257"/>
      <c r="N724" s="228"/>
      <c r="O724" s="228"/>
      <c r="P724" s="258"/>
      <c r="Q724" s="2381"/>
      <c r="R724" s="2381"/>
      <c r="S724" s="254"/>
      <c r="T724" s="228"/>
      <c r="U724" s="2357"/>
      <c r="V724" s="256"/>
      <c r="W724" s="248"/>
      <c r="X724" s="248"/>
      <c r="Y724" s="248"/>
      <c r="Z724" s="247"/>
      <c r="AA724" s="248"/>
      <c r="AB724" s="248"/>
      <c r="AC724" s="194"/>
      <c r="AD724" s="249"/>
      <c r="AE724" s="250"/>
      <c r="AF724" s="251"/>
      <c r="AG724" s="252"/>
      <c r="AH724" s="241"/>
      <c r="AI724" s="241"/>
      <c r="AJ724" s="241"/>
      <c r="AK724" s="194"/>
      <c r="AL724" s="195"/>
      <c r="AM724" s="195"/>
    </row>
    <row r="725" spans="2:39">
      <c r="B725" s="253">
        <f t="shared" si="189"/>
        <v>232</v>
      </c>
      <c r="C725" s="244"/>
      <c r="D725" s="654"/>
      <c r="E725" s="466"/>
      <c r="F725" s="612"/>
      <c r="G725" s="230"/>
      <c r="H725" s="230"/>
      <c r="I725" s="230"/>
      <c r="J725" s="230"/>
      <c r="K725" s="230"/>
      <c r="L725" s="228"/>
      <c r="M725" s="257"/>
      <c r="N725" s="228"/>
      <c r="O725" s="228"/>
      <c r="P725" s="258"/>
      <c r="Q725" s="2381"/>
      <c r="R725" s="2381"/>
      <c r="S725" s="254"/>
      <c r="T725" s="228"/>
      <c r="U725" s="2357"/>
      <c r="V725" s="256"/>
      <c r="W725" s="248"/>
      <c r="X725" s="248"/>
      <c r="Y725" s="248"/>
      <c r="Z725" s="247"/>
      <c r="AA725" s="248"/>
      <c r="AB725" s="248"/>
      <c r="AC725" s="194"/>
      <c r="AD725" s="249"/>
      <c r="AE725" s="250"/>
      <c r="AF725" s="251"/>
      <c r="AG725" s="252"/>
      <c r="AH725" s="241"/>
      <c r="AI725" s="241"/>
      <c r="AJ725" s="241"/>
      <c r="AK725" s="194"/>
      <c r="AL725" s="195"/>
      <c r="AM725" s="195"/>
    </row>
    <row r="726" spans="2:39">
      <c r="B726" s="253">
        <f t="shared" si="189"/>
        <v>233</v>
      </c>
      <c r="C726" s="244"/>
      <c r="D726" s="654"/>
      <c r="E726" s="466"/>
      <c r="F726" s="612"/>
      <c r="G726" s="230"/>
      <c r="H726" s="230"/>
      <c r="I726" s="230"/>
      <c r="J726" s="230"/>
      <c r="K726" s="230"/>
      <c r="L726" s="228"/>
      <c r="M726" s="257"/>
      <c r="N726" s="228"/>
      <c r="O726" s="228"/>
      <c r="P726" s="258"/>
      <c r="Q726" s="2381"/>
      <c r="R726" s="2381"/>
      <c r="S726" s="254"/>
      <c r="T726" s="228"/>
      <c r="U726" s="2357"/>
      <c r="V726" s="256"/>
      <c r="W726" s="248"/>
      <c r="X726" s="248"/>
      <c r="Y726" s="248"/>
      <c r="Z726" s="247"/>
      <c r="AA726" s="248"/>
      <c r="AB726" s="248"/>
      <c r="AC726" s="194"/>
      <c r="AD726" s="249"/>
      <c r="AE726" s="250"/>
      <c r="AF726" s="251"/>
      <c r="AG726" s="252"/>
      <c r="AH726" s="241"/>
      <c r="AI726" s="241"/>
      <c r="AJ726" s="241"/>
      <c r="AK726" s="194"/>
      <c r="AL726" s="195"/>
      <c r="AM726" s="195"/>
    </row>
    <row r="727" spans="2:39">
      <c r="B727" s="253">
        <f t="shared" si="189"/>
        <v>234</v>
      </c>
      <c r="C727" s="244"/>
      <c r="D727" s="654"/>
      <c r="E727" s="466"/>
      <c r="F727" s="612"/>
      <c r="G727" s="230"/>
      <c r="H727" s="230"/>
      <c r="I727" s="230"/>
      <c r="J727" s="230"/>
      <c r="K727" s="230"/>
      <c r="L727" s="228"/>
      <c r="M727" s="257"/>
      <c r="N727" s="228"/>
      <c r="O727" s="228"/>
      <c r="P727" s="258"/>
      <c r="Q727" s="2381"/>
      <c r="R727" s="2381"/>
      <c r="S727" s="254"/>
      <c r="T727" s="228"/>
      <c r="U727" s="2357"/>
      <c r="V727" s="256"/>
      <c r="W727" s="248"/>
      <c r="X727" s="248"/>
      <c r="Y727" s="248"/>
      <c r="Z727" s="247"/>
      <c r="AA727" s="248"/>
      <c r="AB727" s="248"/>
      <c r="AC727" s="194"/>
      <c r="AD727" s="249"/>
      <c r="AE727" s="250"/>
      <c r="AF727" s="251"/>
      <c r="AG727" s="252"/>
      <c r="AH727" s="241"/>
      <c r="AI727" s="241"/>
      <c r="AJ727" s="241"/>
      <c r="AK727" s="194"/>
      <c r="AL727" s="195"/>
      <c r="AM727" s="195"/>
    </row>
    <row r="728" spans="2:39">
      <c r="B728" s="253">
        <f t="shared" si="189"/>
        <v>235</v>
      </c>
      <c r="C728" s="244"/>
      <c r="D728" s="654"/>
      <c r="E728" s="466"/>
      <c r="F728" s="612"/>
      <c r="G728" s="230"/>
      <c r="H728" s="230"/>
      <c r="I728" s="230"/>
      <c r="J728" s="230"/>
      <c r="K728" s="230"/>
      <c r="L728" s="228"/>
      <c r="M728" s="257"/>
      <c r="N728" s="228"/>
      <c r="O728" s="228"/>
      <c r="P728" s="258"/>
      <c r="Q728" s="2381"/>
      <c r="R728" s="2381"/>
      <c r="S728" s="254"/>
      <c r="T728" s="228"/>
      <c r="U728" s="2357"/>
      <c r="V728" s="256"/>
      <c r="W728" s="248"/>
      <c r="X728" s="248"/>
      <c r="Y728" s="248"/>
      <c r="Z728" s="247"/>
      <c r="AA728" s="248"/>
      <c r="AB728" s="248"/>
      <c r="AC728" s="194"/>
      <c r="AD728" s="249"/>
      <c r="AE728" s="250"/>
      <c r="AF728" s="251"/>
      <c r="AG728" s="252"/>
      <c r="AH728" s="241"/>
      <c r="AI728" s="241"/>
      <c r="AJ728" s="241"/>
      <c r="AK728" s="194"/>
      <c r="AL728" s="195"/>
      <c r="AM728" s="195"/>
    </row>
    <row r="729" spans="2:39">
      <c r="B729" s="253">
        <f t="shared" si="189"/>
        <v>236</v>
      </c>
      <c r="C729" s="244"/>
      <c r="D729" s="654"/>
      <c r="E729" s="466"/>
      <c r="F729" s="612"/>
      <c r="G729" s="230"/>
      <c r="H729" s="230"/>
      <c r="I729" s="230"/>
      <c r="J729" s="230"/>
      <c r="K729" s="230"/>
      <c r="L729" s="228"/>
      <c r="M729" s="257"/>
      <c r="N729" s="228"/>
      <c r="O729" s="228"/>
      <c r="P729" s="258"/>
      <c r="Q729" s="2381"/>
      <c r="R729" s="2381"/>
      <c r="S729" s="254"/>
      <c r="T729" s="228"/>
      <c r="U729" s="2357"/>
      <c r="V729" s="256"/>
      <c r="W729" s="248"/>
      <c r="X729" s="248"/>
      <c r="Y729" s="248"/>
      <c r="Z729" s="247"/>
      <c r="AA729" s="248"/>
      <c r="AB729" s="248"/>
      <c r="AC729" s="194"/>
      <c r="AD729" s="249"/>
      <c r="AE729" s="250"/>
      <c r="AF729" s="251"/>
      <c r="AG729" s="252"/>
      <c r="AH729" s="241"/>
      <c r="AI729" s="241"/>
      <c r="AJ729" s="241"/>
      <c r="AK729" s="194"/>
      <c r="AL729" s="195"/>
      <c r="AM729" s="195"/>
    </row>
    <row r="730" spans="2:39">
      <c r="B730" s="253">
        <f t="shared" si="189"/>
        <v>237</v>
      </c>
      <c r="C730" s="244"/>
      <c r="D730" s="654"/>
      <c r="E730" s="466"/>
      <c r="F730" s="612"/>
      <c r="G730" s="230"/>
      <c r="H730" s="230"/>
      <c r="I730" s="230"/>
      <c r="J730" s="230"/>
      <c r="K730" s="230"/>
      <c r="L730" s="228"/>
      <c r="M730" s="257"/>
      <c r="N730" s="228"/>
      <c r="O730" s="228"/>
      <c r="P730" s="258"/>
      <c r="Q730" s="2381"/>
      <c r="R730" s="2381"/>
      <c r="S730" s="254"/>
      <c r="T730" s="228"/>
      <c r="U730" s="2357"/>
      <c r="V730" s="256"/>
      <c r="W730" s="248"/>
      <c r="X730" s="248"/>
      <c r="Y730" s="248"/>
      <c r="Z730" s="247"/>
      <c r="AA730" s="248"/>
      <c r="AB730" s="248"/>
      <c r="AC730" s="194"/>
      <c r="AD730" s="249"/>
      <c r="AE730" s="250"/>
      <c r="AF730" s="251"/>
      <c r="AG730" s="252"/>
      <c r="AH730" s="241"/>
      <c r="AI730" s="241"/>
      <c r="AJ730" s="241"/>
      <c r="AK730" s="194"/>
      <c r="AL730" s="195"/>
      <c r="AM730" s="195"/>
    </row>
    <row r="731" spans="2:39">
      <c r="B731" s="253">
        <f t="shared" si="189"/>
        <v>238</v>
      </c>
      <c r="C731" s="244"/>
      <c r="D731" s="654"/>
      <c r="E731" s="466"/>
      <c r="F731" s="612"/>
      <c r="G731" s="230"/>
      <c r="H731" s="230"/>
      <c r="I731" s="230"/>
      <c r="J731" s="230"/>
      <c r="K731" s="230"/>
      <c r="L731" s="228"/>
      <c r="M731" s="257"/>
      <c r="N731" s="228"/>
      <c r="O731" s="228"/>
      <c r="P731" s="258"/>
      <c r="Q731" s="2381"/>
      <c r="R731" s="2381"/>
      <c r="S731" s="254"/>
      <c r="T731" s="228"/>
      <c r="U731" s="2357"/>
      <c r="V731" s="256"/>
      <c r="W731" s="248"/>
      <c r="X731" s="248"/>
      <c r="Y731" s="248"/>
      <c r="Z731" s="247"/>
      <c r="AA731" s="248"/>
      <c r="AB731" s="248"/>
      <c r="AC731" s="194"/>
      <c r="AD731" s="249"/>
      <c r="AE731" s="250"/>
      <c r="AF731" s="251"/>
      <c r="AG731" s="252"/>
      <c r="AH731" s="241"/>
      <c r="AI731" s="241"/>
      <c r="AJ731" s="241"/>
      <c r="AK731" s="194"/>
      <c r="AL731" s="195"/>
      <c r="AM731" s="195"/>
    </row>
    <row r="732" spans="2:39">
      <c r="B732" s="253">
        <f t="shared" si="189"/>
        <v>239</v>
      </c>
      <c r="C732" s="244"/>
      <c r="D732" s="654"/>
      <c r="E732" s="466"/>
      <c r="F732" s="612"/>
      <c r="G732" s="230"/>
      <c r="H732" s="230"/>
      <c r="I732" s="230"/>
      <c r="J732" s="230"/>
      <c r="K732" s="230"/>
      <c r="L732" s="228"/>
      <c r="M732" s="257"/>
      <c r="N732" s="228"/>
      <c r="O732" s="228"/>
      <c r="P732" s="258"/>
      <c r="Q732" s="2381"/>
      <c r="R732" s="2381"/>
      <c r="S732" s="254"/>
      <c r="T732" s="228"/>
      <c r="U732" s="2357"/>
      <c r="V732" s="256"/>
      <c r="W732" s="248"/>
      <c r="X732" s="248"/>
      <c r="Y732" s="248"/>
      <c r="Z732" s="247"/>
      <c r="AA732" s="248"/>
      <c r="AB732" s="248"/>
      <c r="AC732" s="194"/>
      <c r="AD732" s="249"/>
      <c r="AE732" s="250"/>
      <c r="AF732" s="251"/>
      <c r="AG732" s="252"/>
      <c r="AH732" s="241"/>
      <c r="AI732" s="241"/>
      <c r="AJ732" s="241"/>
      <c r="AK732" s="194"/>
      <c r="AL732" s="195"/>
      <c r="AM732" s="195"/>
    </row>
    <row r="733" spans="2:39">
      <c r="B733" s="253">
        <f t="shared" si="189"/>
        <v>240</v>
      </c>
      <c r="C733" s="244"/>
      <c r="D733" s="654"/>
      <c r="E733" s="466"/>
      <c r="F733" s="612"/>
      <c r="G733" s="230"/>
      <c r="H733" s="230"/>
      <c r="I733" s="230"/>
      <c r="J733" s="230"/>
      <c r="K733" s="230"/>
      <c r="L733" s="228"/>
      <c r="M733" s="257"/>
      <c r="N733" s="228"/>
      <c r="O733" s="228"/>
      <c r="P733" s="258"/>
      <c r="Q733" s="2381"/>
      <c r="R733" s="2381"/>
      <c r="S733" s="254"/>
      <c r="T733" s="228"/>
      <c r="U733" s="2357"/>
      <c r="V733" s="256"/>
      <c r="W733" s="248"/>
      <c r="X733" s="248"/>
      <c r="Y733" s="248"/>
      <c r="Z733" s="247"/>
      <c r="AA733" s="248"/>
      <c r="AB733" s="248"/>
      <c r="AC733" s="194"/>
      <c r="AD733" s="249"/>
      <c r="AE733" s="250"/>
      <c r="AF733" s="251"/>
      <c r="AG733" s="252"/>
      <c r="AH733" s="241"/>
      <c r="AI733" s="241"/>
      <c r="AJ733" s="241"/>
      <c r="AK733" s="194"/>
      <c r="AL733" s="195"/>
      <c r="AM733" s="195"/>
    </row>
    <row r="734" spans="2:39">
      <c r="B734" s="253">
        <f t="shared" si="189"/>
        <v>241</v>
      </c>
      <c r="C734" s="244"/>
      <c r="D734" s="654"/>
      <c r="E734" s="466"/>
      <c r="F734" s="612"/>
      <c r="G734" s="230"/>
      <c r="H734" s="230"/>
      <c r="I734" s="230"/>
      <c r="J734" s="230"/>
      <c r="K734" s="230"/>
      <c r="L734" s="228"/>
      <c r="M734" s="257"/>
      <c r="N734" s="228"/>
      <c r="O734" s="228"/>
      <c r="P734" s="258"/>
      <c r="Q734" s="2381"/>
      <c r="R734" s="2381"/>
      <c r="S734" s="254"/>
      <c r="T734" s="228"/>
      <c r="U734" s="2357"/>
      <c r="V734" s="256"/>
      <c r="W734" s="248"/>
      <c r="X734" s="248"/>
      <c r="Y734" s="248"/>
      <c r="Z734" s="247"/>
      <c r="AA734" s="248"/>
      <c r="AB734" s="248"/>
      <c r="AC734" s="194"/>
      <c r="AD734" s="249"/>
      <c r="AE734" s="250"/>
      <c r="AF734" s="251"/>
      <c r="AG734" s="252"/>
      <c r="AH734" s="241"/>
      <c r="AI734" s="241"/>
      <c r="AJ734" s="241"/>
      <c r="AK734" s="194"/>
      <c r="AL734" s="195"/>
      <c r="AM734" s="195"/>
    </row>
    <row r="735" spans="2:39">
      <c r="B735" s="253">
        <f t="shared" si="189"/>
        <v>242</v>
      </c>
      <c r="C735" s="244"/>
      <c r="D735" s="654"/>
      <c r="E735" s="466"/>
      <c r="F735" s="612"/>
      <c r="G735" s="230"/>
      <c r="H735" s="230"/>
      <c r="I735" s="230"/>
      <c r="J735" s="230"/>
      <c r="K735" s="230"/>
      <c r="L735" s="228"/>
      <c r="M735" s="257"/>
      <c r="N735" s="228"/>
      <c r="O735" s="228"/>
      <c r="P735" s="258"/>
      <c r="Q735" s="2381"/>
      <c r="R735" s="2381"/>
      <c r="S735" s="254"/>
      <c r="T735" s="228"/>
      <c r="U735" s="2357"/>
      <c r="V735" s="256"/>
      <c r="W735" s="248"/>
      <c r="X735" s="248"/>
      <c r="Y735" s="248"/>
      <c r="Z735" s="247"/>
      <c r="AA735" s="248"/>
      <c r="AB735" s="248"/>
      <c r="AC735" s="194"/>
      <c r="AD735" s="249"/>
      <c r="AE735" s="250"/>
      <c r="AF735" s="251"/>
      <c r="AG735" s="252"/>
      <c r="AH735" s="241"/>
      <c r="AI735" s="241"/>
      <c r="AJ735" s="241"/>
      <c r="AK735" s="194"/>
      <c r="AL735" s="195"/>
      <c r="AM735" s="195"/>
    </row>
    <row r="736" spans="2:39">
      <c r="B736" s="253">
        <f t="shared" si="189"/>
        <v>243</v>
      </c>
      <c r="C736" s="244"/>
      <c r="D736" s="654"/>
      <c r="E736" s="466"/>
      <c r="F736" s="612"/>
      <c r="G736" s="230"/>
      <c r="H736" s="230"/>
      <c r="I736" s="230"/>
      <c r="J736" s="230"/>
      <c r="K736" s="230"/>
      <c r="L736" s="228"/>
      <c r="M736" s="257"/>
      <c r="N736" s="228"/>
      <c r="O736" s="228"/>
      <c r="P736" s="258"/>
      <c r="Q736" s="2381"/>
      <c r="R736" s="2381"/>
      <c r="S736" s="254"/>
      <c r="T736" s="228"/>
      <c r="U736" s="2357"/>
      <c r="V736" s="256"/>
      <c r="W736" s="248"/>
      <c r="X736" s="248"/>
      <c r="Y736" s="248"/>
      <c r="Z736" s="247"/>
      <c r="AA736" s="248"/>
      <c r="AB736" s="248"/>
      <c r="AC736" s="194"/>
      <c r="AD736" s="249"/>
      <c r="AE736" s="250"/>
      <c r="AF736" s="251"/>
      <c r="AG736" s="252"/>
      <c r="AH736" s="241"/>
      <c r="AI736" s="241"/>
      <c r="AJ736" s="241"/>
      <c r="AK736" s="194"/>
      <c r="AL736" s="195"/>
      <c r="AM736" s="195"/>
    </row>
    <row r="737" spans="2:39">
      <c r="B737" s="253">
        <f t="shared" si="189"/>
        <v>244</v>
      </c>
      <c r="C737" s="244"/>
      <c r="D737" s="654"/>
      <c r="E737" s="466"/>
      <c r="F737" s="612"/>
      <c r="G737" s="230"/>
      <c r="H737" s="230"/>
      <c r="I737" s="230"/>
      <c r="J737" s="230"/>
      <c r="K737" s="230"/>
      <c r="L737" s="228"/>
      <c r="M737" s="257"/>
      <c r="N737" s="228"/>
      <c r="O737" s="228"/>
      <c r="P737" s="258"/>
      <c r="Q737" s="2381"/>
      <c r="R737" s="2381"/>
      <c r="S737" s="254"/>
      <c r="T737" s="228"/>
      <c r="U737" s="2357"/>
      <c r="V737" s="256"/>
      <c r="W737" s="248"/>
      <c r="X737" s="248"/>
      <c r="Y737" s="248"/>
      <c r="Z737" s="247"/>
      <c r="AA737" s="248"/>
      <c r="AB737" s="248"/>
      <c r="AC737" s="194"/>
      <c r="AD737" s="249"/>
      <c r="AE737" s="250"/>
      <c r="AF737" s="251"/>
      <c r="AG737" s="252"/>
      <c r="AH737" s="241"/>
      <c r="AI737" s="241"/>
      <c r="AJ737" s="241"/>
      <c r="AK737" s="194"/>
      <c r="AL737" s="195"/>
      <c r="AM737" s="195"/>
    </row>
    <row r="738" spans="2:39">
      <c r="B738" s="253">
        <f t="shared" si="189"/>
        <v>245</v>
      </c>
      <c r="C738" s="244"/>
      <c r="D738" s="654"/>
      <c r="E738" s="466"/>
      <c r="F738" s="612"/>
      <c r="G738" s="230"/>
      <c r="H738" s="230"/>
      <c r="I738" s="230"/>
      <c r="J738" s="230"/>
      <c r="K738" s="230"/>
      <c r="L738" s="228"/>
      <c r="M738" s="257"/>
      <c r="N738" s="228"/>
      <c r="O738" s="228"/>
      <c r="P738" s="258"/>
      <c r="Q738" s="2381"/>
      <c r="R738" s="2381"/>
      <c r="S738" s="254"/>
      <c r="T738" s="228"/>
      <c r="U738" s="2357"/>
      <c r="V738" s="256"/>
      <c r="W738" s="248"/>
      <c r="X738" s="248"/>
      <c r="Y738" s="248"/>
      <c r="Z738" s="247"/>
      <c r="AA738" s="248"/>
      <c r="AB738" s="248"/>
      <c r="AC738" s="194"/>
      <c r="AD738" s="249"/>
      <c r="AE738" s="250"/>
      <c r="AF738" s="251"/>
      <c r="AG738" s="252"/>
      <c r="AH738" s="241"/>
      <c r="AI738" s="241"/>
      <c r="AJ738" s="241"/>
      <c r="AK738" s="194"/>
      <c r="AL738" s="195"/>
      <c r="AM738" s="195"/>
    </row>
    <row r="739" spans="2:39">
      <c r="B739" s="253">
        <f t="shared" si="189"/>
        <v>246</v>
      </c>
      <c r="C739" s="244"/>
      <c r="D739" s="654"/>
      <c r="E739" s="466"/>
      <c r="F739" s="612"/>
      <c r="G739" s="230"/>
      <c r="H739" s="230"/>
      <c r="I739" s="230"/>
      <c r="J739" s="230"/>
      <c r="K739" s="230"/>
      <c r="L739" s="228"/>
      <c r="M739" s="257"/>
      <c r="N739" s="228"/>
      <c r="O739" s="228"/>
      <c r="P739" s="258"/>
      <c r="Q739" s="2381"/>
      <c r="R739" s="2381"/>
      <c r="S739" s="254"/>
      <c r="T739" s="228"/>
      <c r="U739" s="2357"/>
      <c r="V739" s="256"/>
      <c r="W739" s="248"/>
      <c r="X739" s="248"/>
      <c r="Y739" s="248"/>
      <c r="Z739" s="247"/>
      <c r="AA739" s="248"/>
      <c r="AB739" s="248"/>
      <c r="AC739" s="194"/>
      <c r="AD739" s="249"/>
      <c r="AE739" s="250"/>
      <c r="AF739" s="251"/>
      <c r="AG739" s="252"/>
      <c r="AH739" s="241"/>
      <c r="AI739" s="241"/>
      <c r="AJ739" s="241"/>
      <c r="AK739" s="194"/>
      <c r="AL739" s="195"/>
      <c r="AM739" s="195"/>
    </row>
    <row r="740" spans="2:39">
      <c r="B740" s="253">
        <f t="shared" si="189"/>
        <v>247</v>
      </c>
      <c r="C740" s="244"/>
      <c r="D740" s="654"/>
      <c r="E740" s="466"/>
      <c r="F740" s="612"/>
      <c r="G740" s="230"/>
      <c r="H740" s="230"/>
      <c r="I740" s="230"/>
      <c r="J740" s="230"/>
      <c r="K740" s="230"/>
      <c r="L740" s="228"/>
      <c r="M740" s="257"/>
      <c r="N740" s="228"/>
      <c r="O740" s="228"/>
      <c r="P740" s="258"/>
      <c r="Q740" s="2381"/>
      <c r="R740" s="2381"/>
      <c r="S740" s="254"/>
      <c r="T740" s="228"/>
      <c r="U740" s="2357"/>
      <c r="V740" s="256"/>
      <c r="W740" s="248"/>
      <c r="X740" s="248"/>
      <c r="Y740" s="248"/>
      <c r="Z740" s="247"/>
      <c r="AA740" s="248"/>
      <c r="AB740" s="248"/>
      <c r="AC740" s="194"/>
      <c r="AD740" s="249"/>
      <c r="AE740" s="250"/>
      <c r="AF740" s="251"/>
      <c r="AG740" s="252"/>
      <c r="AH740" s="241"/>
      <c r="AI740" s="241"/>
      <c r="AJ740" s="241"/>
      <c r="AK740" s="194"/>
      <c r="AL740" s="195"/>
      <c r="AM740" s="195"/>
    </row>
    <row r="741" spans="2:39">
      <c r="B741" s="253">
        <f t="shared" si="189"/>
        <v>248</v>
      </c>
      <c r="C741" s="244"/>
      <c r="D741" s="654"/>
      <c r="E741" s="466"/>
      <c r="F741" s="612"/>
      <c r="G741" s="230"/>
      <c r="H741" s="230"/>
      <c r="I741" s="230"/>
      <c r="J741" s="230"/>
      <c r="K741" s="230"/>
      <c r="L741" s="228"/>
      <c r="M741" s="257"/>
      <c r="N741" s="228"/>
      <c r="O741" s="228"/>
      <c r="P741" s="258"/>
      <c r="Q741" s="2381"/>
      <c r="R741" s="2381"/>
      <c r="S741" s="254"/>
      <c r="T741" s="228"/>
      <c r="U741" s="2357"/>
      <c r="V741" s="256"/>
      <c r="W741" s="248"/>
      <c r="X741" s="248"/>
      <c r="Y741" s="248"/>
      <c r="Z741" s="247"/>
      <c r="AA741" s="248"/>
      <c r="AB741" s="248"/>
      <c r="AC741" s="194"/>
      <c r="AD741" s="249"/>
      <c r="AE741" s="250"/>
      <c r="AF741" s="251"/>
      <c r="AG741" s="252"/>
      <c r="AH741" s="241"/>
      <c r="AI741" s="241"/>
      <c r="AJ741" s="241"/>
      <c r="AK741" s="194"/>
      <c r="AL741" s="195"/>
      <c r="AM741" s="195"/>
    </row>
    <row r="742" spans="2:39">
      <c r="B742" s="253">
        <f t="shared" si="189"/>
        <v>249</v>
      </c>
      <c r="C742" s="244"/>
      <c r="D742" s="654"/>
      <c r="E742" s="466"/>
      <c r="F742" s="612"/>
      <c r="G742" s="230"/>
      <c r="H742" s="230"/>
      <c r="I742" s="230"/>
      <c r="J742" s="230"/>
      <c r="K742" s="230"/>
      <c r="L742" s="228"/>
      <c r="M742" s="257"/>
      <c r="N742" s="228"/>
      <c r="O742" s="228"/>
      <c r="P742" s="258"/>
      <c r="Q742" s="2381"/>
      <c r="R742" s="2381"/>
      <c r="S742" s="254"/>
      <c r="T742" s="228"/>
      <c r="U742" s="2357"/>
      <c r="V742" s="256"/>
      <c r="W742" s="248"/>
      <c r="X742" s="248"/>
      <c r="Y742" s="248"/>
      <c r="Z742" s="247"/>
      <c r="AA742" s="248"/>
      <c r="AB742" s="248"/>
      <c r="AC742" s="194"/>
      <c r="AD742" s="249"/>
      <c r="AE742" s="250"/>
      <c r="AF742" s="251"/>
      <c r="AG742" s="252"/>
      <c r="AH742" s="241"/>
      <c r="AI742" s="241"/>
      <c r="AJ742" s="241"/>
      <c r="AK742" s="194"/>
      <c r="AL742" s="195"/>
      <c r="AM742" s="195"/>
    </row>
    <row r="743" spans="2:39">
      <c r="B743" s="253">
        <f t="shared" si="189"/>
        <v>250</v>
      </c>
      <c r="C743" s="244"/>
      <c r="D743" s="654"/>
      <c r="E743" s="466"/>
      <c r="F743" s="612"/>
      <c r="G743" s="230"/>
      <c r="H743" s="230"/>
      <c r="I743" s="230"/>
      <c r="J743" s="230"/>
      <c r="K743" s="230"/>
      <c r="L743" s="228"/>
      <c r="M743" s="257"/>
      <c r="N743" s="228"/>
      <c r="O743" s="228"/>
      <c r="P743" s="258"/>
      <c r="Q743" s="2381"/>
      <c r="R743" s="2381"/>
      <c r="S743" s="254"/>
      <c r="T743" s="228"/>
      <c r="U743" s="2357"/>
      <c r="V743" s="256"/>
      <c r="W743" s="248"/>
      <c r="X743" s="248"/>
      <c r="Y743" s="248"/>
      <c r="Z743" s="247"/>
      <c r="AA743" s="248"/>
      <c r="AB743" s="248"/>
      <c r="AC743" s="194"/>
      <c r="AD743" s="249"/>
      <c r="AE743" s="250"/>
      <c r="AF743" s="251"/>
      <c r="AG743" s="252"/>
      <c r="AH743" s="241"/>
      <c r="AI743" s="241"/>
      <c r="AJ743" s="241"/>
      <c r="AK743" s="194"/>
      <c r="AL743" s="195"/>
      <c r="AM743" s="195"/>
    </row>
    <row r="744" spans="2:39">
      <c r="B744" s="253">
        <f t="shared" si="189"/>
        <v>251</v>
      </c>
      <c r="C744" s="244"/>
      <c r="D744" s="654"/>
      <c r="E744" s="466"/>
      <c r="F744" s="612"/>
      <c r="G744" s="230"/>
      <c r="H744" s="230"/>
      <c r="I744" s="230"/>
      <c r="J744" s="230"/>
      <c r="K744" s="230"/>
      <c r="L744" s="228"/>
      <c r="M744" s="257"/>
      <c r="N744" s="228"/>
      <c r="O744" s="228"/>
      <c r="P744" s="258"/>
      <c r="Q744" s="2381"/>
      <c r="R744" s="2381"/>
      <c r="S744" s="254"/>
      <c r="T744" s="228"/>
      <c r="U744" s="2357"/>
      <c r="V744" s="256"/>
      <c r="W744" s="248"/>
      <c r="X744" s="248"/>
      <c r="Y744" s="248"/>
      <c r="Z744" s="247"/>
      <c r="AA744" s="248"/>
      <c r="AB744" s="248"/>
      <c r="AC744" s="194"/>
      <c r="AD744" s="249"/>
      <c r="AE744" s="250"/>
      <c r="AF744" s="251"/>
      <c r="AG744" s="252"/>
      <c r="AH744" s="241"/>
      <c r="AI744" s="241"/>
      <c r="AJ744" s="241"/>
      <c r="AK744" s="194"/>
      <c r="AL744" s="195"/>
      <c r="AM744" s="195"/>
    </row>
    <row r="745" spans="2:39">
      <c r="B745" s="253">
        <f t="shared" si="189"/>
        <v>252</v>
      </c>
      <c r="C745" s="244"/>
      <c r="D745" s="654"/>
      <c r="E745" s="466"/>
      <c r="F745" s="612"/>
      <c r="G745" s="230"/>
      <c r="H745" s="230"/>
      <c r="I745" s="230"/>
      <c r="J745" s="230"/>
      <c r="K745" s="230"/>
      <c r="L745" s="228"/>
      <c r="M745" s="257"/>
      <c r="N745" s="228"/>
      <c r="O745" s="228"/>
      <c r="P745" s="258"/>
      <c r="Q745" s="2381"/>
      <c r="R745" s="2381"/>
      <c r="S745" s="254"/>
      <c r="T745" s="228"/>
      <c r="U745" s="2357"/>
      <c r="V745" s="256"/>
      <c r="W745" s="248"/>
      <c r="X745" s="248"/>
      <c r="Y745" s="248"/>
      <c r="Z745" s="247"/>
      <c r="AA745" s="248"/>
      <c r="AB745" s="248"/>
      <c r="AC745" s="194"/>
      <c r="AD745" s="249"/>
      <c r="AE745" s="250"/>
      <c r="AF745" s="251"/>
      <c r="AG745" s="252"/>
      <c r="AH745" s="241"/>
      <c r="AI745" s="241"/>
      <c r="AJ745" s="241"/>
      <c r="AK745" s="194"/>
      <c r="AL745" s="195"/>
      <c r="AM745" s="195"/>
    </row>
    <row r="746" spans="2:39">
      <c r="B746" s="253">
        <f t="shared" si="189"/>
        <v>253</v>
      </c>
      <c r="C746" s="244"/>
      <c r="D746" s="654"/>
      <c r="E746" s="466"/>
      <c r="F746" s="612"/>
      <c r="G746" s="230"/>
      <c r="H746" s="230"/>
      <c r="I746" s="230"/>
      <c r="J746" s="230"/>
      <c r="K746" s="230"/>
      <c r="L746" s="228"/>
      <c r="M746" s="257"/>
      <c r="N746" s="228"/>
      <c r="O746" s="228"/>
      <c r="P746" s="258"/>
      <c r="Q746" s="2381"/>
      <c r="R746" s="2381"/>
      <c r="S746" s="254"/>
      <c r="T746" s="228"/>
      <c r="U746" s="2357"/>
      <c r="V746" s="256"/>
      <c r="W746" s="248"/>
      <c r="X746" s="248"/>
      <c r="Y746" s="248"/>
      <c r="Z746" s="247"/>
      <c r="AA746" s="248"/>
      <c r="AB746" s="248"/>
      <c r="AC746" s="194"/>
      <c r="AD746" s="249"/>
      <c r="AE746" s="250"/>
      <c r="AF746" s="251"/>
      <c r="AG746" s="252"/>
      <c r="AH746" s="241"/>
      <c r="AI746" s="241"/>
      <c r="AJ746" s="241"/>
      <c r="AK746" s="194"/>
      <c r="AL746" s="195"/>
      <c r="AM746" s="195"/>
    </row>
    <row r="747" spans="2:39">
      <c r="B747" s="253">
        <f t="shared" si="189"/>
        <v>254</v>
      </c>
      <c r="C747" s="244"/>
      <c r="D747" s="654"/>
      <c r="E747" s="466"/>
      <c r="F747" s="612"/>
      <c r="G747" s="230"/>
      <c r="H747" s="230"/>
      <c r="I747" s="230"/>
      <c r="J747" s="230"/>
      <c r="K747" s="230"/>
      <c r="L747" s="228"/>
      <c r="M747" s="257"/>
      <c r="N747" s="228"/>
      <c r="O747" s="228"/>
      <c r="P747" s="258"/>
      <c r="Q747" s="2381"/>
      <c r="R747" s="2381"/>
      <c r="S747" s="254"/>
      <c r="T747" s="228"/>
      <c r="U747" s="2357"/>
      <c r="V747" s="256"/>
      <c r="W747" s="248"/>
      <c r="X747" s="248"/>
      <c r="Y747" s="248"/>
      <c r="Z747" s="247"/>
      <c r="AA747" s="248"/>
      <c r="AB747" s="248"/>
      <c r="AC747" s="194"/>
      <c r="AD747" s="249"/>
      <c r="AE747" s="250"/>
      <c r="AF747" s="251"/>
      <c r="AG747" s="252"/>
      <c r="AH747" s="241"/>
      <c r="AI747" s="241"/>
      <c r="AJ747" s="241"/>
      <c r="AK747" s="194"/>
      <c r="AL747" s="195"/>
      <c r="AM747" s="195"/>
    </row>
    <row r="748" spans="2:39">
      <c r="B748" s="253">
        <f t="shared" si="189"/>
        <v>255</v>
      </c>
      <c r="C748" s="244"/>
      <c r="D748" s="654"/>
      <c r="E748" s="466"/>
      <c r="F748" s="612"/>
      <c r="G748" s="230"/>
      <c r="H748" s="230"/>
      <c r="I748" s="230"/>
      <c r="J748" s="230"/>
      <c r="K748" s="230"/>
      <c r="L748" s="228"/>
      <c r="M748" s="257"/>
      <c r="N748" s="228"/>
      <c r="O748" s="228"/>
      <c r="P748" s="258"/>
      <c r="Q748" s="2381"/>
      <c r="R748" s="2381"/>
      <c r="S748" s="254"/>
      <c r="T748" s="228"/>
      <c r="U748" s="2357"/>
      <c r="V748" s="256"/>
      <c r="W748" s="248"/>
      <c r="X748" s="248"/>
      <c r="Y748" s="248"/>
      <c r="Z748" s="247"/>
      <c r="AA748" s="248"/>
      <c r="AB748" s="248"/>
      <c r="AC748" s="194"/>
      <c r="AD748" s="249"/>
      <c r="AE748" s="250"/>
      <c r="AF748" s="251"/>
      <c r="AG748" s="252"/>
      <c r="AH748" s="241"/>
      <c r="AI748" s="241"/>
      <c r="AJ748" s="241"/>
      <c r="AK748" s="194"/>
      <c r="AL748" s="195"/>
      <c r="AM748" s="195"/>
    </row>
  </sheetData>
  <autoFilter ref="A3:AN301" xr:uid="{401A7730-CBFE-4F25-8570-4999DF5933D2}"/>
  <mergeCells count="27">
    <mergeCell ref="B493:L493"/>
    <mergeCell ref="B468:L468"/>
    <mergeCell ref="B1:S1"/>
    <mergeCell ref="AM150:AM160"/>
    <mergeCell ref="AE15:AE16"/>
    <mergeCell ref="AF15:AF16"/>
    <mergeCell ref="AM115:AM133"/>
    <mergeCell ref="AM55:AM75"/>
    <mergeCell ref="AH15:AH16"/>
    <mergeCell ref="AD15:AD16"/>
    <mergeCell ref="O15:O16"/>
    <mergeCell ref="B489:L489"/>
    <mergeCell ref="B284:L284"/>
    <mergeCell ref="B460:L460"/>
    <mergeCell ref="B386:L386"/>
    <mergeCell ref="B375:L375"/>
    <mergeCell ref="B358:L358"/>
    <mergeCell ref="B480:L480"/>
    <mergeCell ref="B345:L345"/>
    <mergeCell ref="B313:L313"/>
    <mergeCell ref="B325:L325"/>
    <mergeCell ref="B453:L453"/>
    <mergeCell ref="B450:L450"/>
    <mergeCell ref="B439:L439"/>
    <mergeCell ref="B430:L430"/>
    <mergeCell ref="B413:L413"/>
    <mergeCell ref="B473:L473"/>
  </mergeCells>
  <phoneticPr fontId="49" type="noConversion"/>
  <conditionalFormatting sqref="E280:E282">
    <cfRule type="duplicateValues" dxfId="211" priority="240"/>
  </conditionalFormatting>
  <conditionalFormatting sqref="E283">
    <cfRule type="duplicateValues" dxfId="210" priority="238"/>
  </conditionalFormatting>
  <conditionalFormatting sqref="E285:E287">
    <cfRule type="duplicateValues" dxfId="209" priority="235"/>
  </conditionalFormatting>
  <conditionalFormatting sqref="E290">
    <cfRule type="duplicateValues" dxfId="208" priority="233"/>
  </conditionalFormatting>
  <conditionalFormatting sqref="E298 E292:E296">
    <cfRule type="duplicateValues" dxfId="207" priority="325"/>
  </conditionalFormatting>
  <conditionalFormatting sqref="E299">
    <cfRule type="duplicateValues" dxfId="206" priority="226"/>
  </conditionalFormatting>
  <conditionalFormatting sqref="E300:E302">
    <cfRule type="duplicateValues" dxfId="205" priority="225"/>
  </conditionalFormatting>
  <conditionalFormatting sqref="E303:E304 E291 E231:E265 E267:E279 E288:E289 E297 E306 E308 E315 E317:E324 E326:E328">
    <cfRule type="duplicateValues" dxfId="204" priority="360"/>
  </conditionalFormatting>
  <conditionalFormatting sqref="E305">
    <cfRule type="duplicateValues" dxfId="203" priority="224"/>
  </conditionalFormatting>
  <conditionalFormatting sqref="E307">
    <cfRule type="duplicateValues" dxfId="202" priority="223"/>
  </conditionalFormatting>
  <conditionalFormatting sqref="E309">
    <cfRule type="duplicateValues" dxfId="201" priority="222"/>
  </conditionalFormatting>
  <conditionalFormatting sqref="E310:E312">
    <cfRule type="duplicateValues" dxfId="200" priority="221"/>
  </conditionalFormatting>
  <conditionalFormatting sqref="E314">
    <cfRule type="duplicateValues" dxfId="199" priority="219"/>
  </conditionalFormatting>
  <conditionalFormatting sqref="E316">
    <cfRule type="duplicateValues" dxfId="198" priority="218"/>
  </conditionalFormatting>
  <conditionalFormatting sqref="E329">
    <cfRule type="duplicateValues" dxfId="197" priority="202"/>
  </conditionalFormatting>
  <conditionalFormatting sqref="E330">
    <cfRule type="duplicateValues" dxfId="196" priority="200"/>
  </conditionalFormatting>
  <conditionalFormatting sqref="E331">
    <cfRule type="duplicateValues" dxfId="195" priority="201"/>
  </conditionalFormatting>
  <conditionalFormatting sqref="E333">
    <cfRule type="duplicateValues" dxfId="194" priority="197"/>
  </conditionalFormatting>
  <conditionalFormatting sqref="E334">
    <cfRule type="duplicateValues" dxfId="193" priority="198"/>
  </conditionalFormatting>
  <conditionalFormatting sqref="E335">
    <cfRule type="duplicateValues" dxfId="192" priority="199"/>
  </conditionalFormatting>
  <conditionalFormatting sqref="E337">
    <cfRule type="duplicateValues" dxfId="191" priority="196"/>
  </conditionalFormatting>
  <conditionalFormatting sqref="E338">
    <cfRule type="duplicateValues" dxfId="190" priority="195"/>
  </conditionalFormatting>
  <conditionalFormatting sqref="E342:E344">
    <cfRule type="duplicateValues" dxfId="189" priority="421"/>
  </conditionalFormatting>
  <conditionalFormatting sqref="E346:E348">
    <cfRule type="duplicateValues" dxfId="188" priority="190"/>
  </conditionalFormatting>
  <conditionalFormatting sqref="E350:E352">
    <cfRule type="duplicateValues" dxfId="187" priority="189"/>
  </conditionalFormatting>
  <conditionalFormatting sqref="E354">
    <cfRule type="duplicateValues" dxfId="186" priority="187"/>
  </conditionalFormatting>
  <conditionalFormatting sqref="E355">
    <cfRule type="duplicateValues" dxfId="185" priority="186"/>
  </conditionalFormatting>
  <conditionalFormatting sqref="E359:E360">
    <cfRule type="duplicateValues" dxfId="184" priority="182"/>
  </conditionalFormatting>
  <conditionalFormatting sqref="E361">
    <cfRule type="duplicateValues" dxfId="183" priority="181"/>
  </conditionalFormatting>
  <conditionalFormatting sqref="E362">
    <cfRule type="duplicateValues" dxfId="182" priority="180"/>
  </conditionalFormatting>
  <conditionalFormatting sqref="E363">
    <cfRule type="duplicateValues" dxfId="181" priority="179"/>
  </conditionalFormatting>
  <conditionalFormatting sqref="E365">
    <cfRule type="duplicateValues" dxfId="180" priority="178"/>
  </conditionalFormatting>
  <conditionalFormatting sqref="E366">
    <cfRule type="duplicateValues" dxfId="179" priority="175"/>
  </conditionalFormatting>
  <conditionalFormatting sqref="E367:E368">
    <cfRule type="duplicateValues" dxfId="178" priority="174"/>
  </conditionalFormatting>
  <conditionalFormatting sqref="E369">
    <cfRule type="duplicateValues" dxfId="177" priority="171"/>
  </conditionalFormatting>
  <conditionalFormatting sqref="E371:E372">
    <cfRule type="duplicateValues" dxfId="176" priority="169"/>
  </conditionalFormatting>
  <conditionalFormatting sqref="E376:E377">
    <cfRule type="duplicateValues" dxfId="175" priority="155"/>
  </conditionalFormatting>
  <conditionalFormatting sqref="E378">
    <cfRule type="duplicateValues" dxfId="174" priority="150"/>
  </conditionalFormatting>
  <conditionalFormatting sqref="E379">
    <cfRule type="duplicateValues" dxfId="173" priority="148"/>
  </conditionalFormatting>
  <conditionalFormatting sqref="E380">
    <cfRule type="duplicateValues" dxfId="172" priority="140"/>
  </conditionalFormatting>
  <conditionalFormatting sqref="E381">
    <cfRule type="duplicateValues" dxfId="171" priority="138"/>
  </conditionalFormatting>
  <conditionalFormatting sqref="E382">
    <cfRule type="duplicateValues" dxfId="170" priority="135"/>
  </conditionalFormatting>
  <conditionalFormatting sqref="E383 E385">
    <cfRule type="duplicateValues" dxfId="169" priority="132"/>
  </conditionalFormatting>
  <conditionalFormatting sqref="E384">
    <cfRule type="duplicateValues" dxfId="168" priority="128"/>
  </conditionalFormatting>
  <conditionalFormatting sqref="E387">
    <cfRule type="duplicateValues" dxfId="167" priority="125"/>
  </conditionalFormatting>
  <conditionalFormatting sqref="E388">
    <cfRule type="duplicateValues" dxfId="166" priority="126"/>
  </conditionalFormatting>
  <conditionalFormatting sqref="E389:E390">
    <cfRule type="duplicateValues" dxfId="165" priority="123"/>
  </conditionalFormatting>
  <conditionalFormatting sqref="E391">
    <cfRule type="duplicateValues" dxfId="164" priority="120"/>
  </conditionalFormatting>
  <conditionalFormatting sqref="E392">
    <cfRule type="duplicateValues" dxfId="163" priority="117"/>
  </conditionalFormatting>
  <conditionalFormatting sqref="E393">
    <cfRule type="duplicateValues" dxfId="162" priority="116"/>
  </conditionalFormatting>
  <conditionalFormatting sqref="E394">
    <cfRule type="duplicateValues" dxfId="161" priority="113"/>
  </conditionalFormatting>
  <conditionalFormatting sqref="E395">
    <cfRule type="duplicateValues" dxfId="160" priority="112"/>
  </conditionalFormatting>
  <conditionalFormatting sqref="E396 E303:E304 E291 E233:E265 E267:E279 E288:E289 E297 E306 E308 E315 E317:E324 E326:E340 E342:E344 E346:E357 E359:E374 E412 E432:E433 E507:E748">
    <cfRule type="duplicateValues" dxfId="159" priority="751"/>
  </conditionalFormatting>
  <conditionalFormatting sqref="E397:E398">
    <cfRule type="duplicateValues" dxfId="158" priority="111"/>
  </conditionalFormatting>
  <conditionalFormatting sqref="E399:E402">
    <cfRule type="duplicateValues" dxfId="157" priority="110"/>
  </conditionalFormatting>
  <conditionalFormatting sqref="E403">
    <cfRule type="duplicateValues" dxfId="156" priority="105"/>
  </conditionalFormatting>
  <conditionalFormatting sqref="E404">
    <cfRule type="duplicateValues" dxfId="155" priority="102"/>
  </conditionalFormatting>
  <conditionalFormatting sqref="E405">
    <cfRule type="duplicateValues" dxfId="154" priority="97"/>
  </conditionalFormatting>
  <conditionalFormatting sqref="E406">
    <cfRule type="duplicateValues" dxfId="153" priority="94"/>
  </conditionalFormatting>
  <conditionalFormatting sqref="E407">
    <cfRule type="duplicateValues" dxfId="152" priority="91"/>
  </conditionalFormatting>
  <conditionalFormatting sqref="E408">
    <cfRule type="duplicateValues" dxfId="151" priority="87"/>
  </conditionalFormatting>
  <conditionalFormatting sqref="E409">
    <cfRule type="duplicateValues" dxfId="150" priority="86"/>
  </conditionalFormatting>
  <conditionalFormatting sqref="E410">
    <cfRule type="duplicateValues" dxfId="149" priority="83"/>
  </conditionalFormatting>
  <conditionalFormatting sqref="E411">
    <cfRule type="duplicateValues" dxfId="148" priority="82"/>
  </conditionalFormatting>
  <conditionalFormatting sqref="E414">
    <cfRule type="duplicateValues" dxfId="147" priority="81"/>
  </conditionalFormatting>
  <conditionalFormatting sqref="E415">
    <cfRule type="duplicateValues" dxfId="146" priority="80"/>
  </conditionalFormatting>
  <conditionalFormatting sqref="E416:E419">
    <cfRule type="duplicateValues" dxfId="145" priority="78"/>
  </conditionalFormatting>
  <conditionalFormatting sqref="E420">
    <cfRule type="duplicateValues" dxfId="144" priority="77"/>
  </conditionalFormatting>
  <conditionalFormatting sqref="E421">
    <cfRule type="duplicateValues" dxfId="143" priority="76"/>
  </conditionalFormatting>
  <conditionalFormatting sqref="E422">
    <cfRule type="duplicateValues" dxfId="142" priority="75"/>
  </conditionalFormatting>
  <conditionalFormatting sqref="E423">
    <cfRule type="duplicateValues" dxfId="141" priority="74"/>
  </conditionalFormatting>
  <conditionalFormatting sqref="E424">
    <cfRule type="duplicateValues" dxfId="140" priority="72"/>
  </conditionalFormatting>
  <conditionalFormatting sqref="E425">
    <cfRule type="duplicateValues" dxfId="139" priority="73"/>
  </conditionalFormatting>
  <conditionalFormatting sqref="E426">
    <cfRule type="duplicateValues" dxfId="138" priority="71"/>
  </conditionalFormatting>
  <conditionalFormatting sqref="E427">
    <cfRule type="duplicateValues" dxfId="137" priority="70"/>
  </conditionalFormatting>
  <conditionalFormatting sqref="E428">
    <cfRule type="duplicateValues" dxfId="136" priority="69"/>
  </conditionalFormatting>
  <conditionalFormatting sqref="E429">
    <cfRule type="duplicateValues" dxfId="135" priority="68"/>
  </conditionalFormatting>
  <conditionalFormatting sqref="E431">
    <cfRule type="duplicateValues" dxfId="134" priority="66"/>
  </conditionalFormatting>
  <conditionalFormatting sqref="E434">
    <cfRule type="duplicateValues" dxfId="133" priority="65"/>
  </conditionalFormatting>
  <conditionalFormatting sqref="E435">
    <cfRule type="duplicateValues" dxfId="132" priority="64"/>
  </conditionalFormatting>
  <conditionalFormatting sqref="E436:E437">
    <cfRule type="duplicateValues" dxfId="131" priority="63"/>
  </conditionalFormatting>
  <conditionalFormatting sqref="E440">
    <cfRule type="duplicateValues" dxfId="130" priority="60"/>
  </conditionalFormatting>
  <conditionalFormatting sqref="E441">
    <cfRule type="duplicateValues" dxfId="129" priority="59"/>
  </conditionalFormatting>
  <conditionalFormatting sqref="E442">
    <cfRule type="duplicateValues" dxfId="128" priority="58"/>
  </conditionalFormatting>
  <conditionalFormatting sqref="E443">
    <cfRule type="duplicateValues" dxfId="127" priority="55"/>
  </conditionalFormatting>
  <conditionalFormatting sqref="E444:E446">
    <cfRule type="duplicateValues" dxfId="126" priority="54"/>
  </conditionalFormatting>
  <conditionalFormatting sqref="E447">
    <cfRule type="duplicateValues" dxfId="125" priority="53"/>
  </conditionalFormatting>
  <conditionalFormatting sqref="E448">
    <cfRule type="duplicateValues" dxfId="124" priority="52"/>
  </conditionalFormatting>
  <conditionalFormatting sqref="E449">
    <cfRule type="duplicateValues" dxfId="123" priority="51"/>
  </conditionalFormatting>
  <conditionalFormatting sqref="E451">
    <cfRule type="duplicateValues" dxfId="122" priority="49"/>
  </conditionalFormatting>
  <conditionalFormatting sqref="E452">
    <cfRule type="duplicateValues" dxfId="121" priority="47"/>
  </conditionalFormatting>
  <conditionalFormatting sqref="E454">
    <cfRule type="duplicateValues" dxfId="120" priority="45"/>
  </conditionalFormatting>
  <conditionalFormatting sqref="E455">
    <cfRule type="duplicateValues" dxfId="119" priority="44"/>
  </conditionalFormatting>
  <conditionalFormatting sqref="E456">
    <cfRule type="duplicateValues" dxfId="118" priority="43"/>
  </conditionalFormatting>
  <conditionalFormatting sqref="E457">
    <cfRule type="duplicateValues" dxfId="117" priority="42"/>
  </conditionalFormatting>
  <conditionalFormatting sqref="E458">
    <cfRule type="duplicateValues" dxfId="116" priority="41"/>
  </conditionalFormatting>
  <conditionalFormatting sqref="E459">
    <cfRule type="duplicateValues" dxfId="115" priority="39"/>
  </conditionalFormatting>
  <conditionalFormatting sqref="E461">
    <cfRule type="duplicateValues" dxfId="114" priority="38"/>
  </conditionalFormatting>
  <conditionalFormatting sqref="E462">
    <cfRule type="duplicateValues" dxfId="113" priority="37"/>
  </conditionalFormatting>
  <conditionalFormatting sqref="E463">
    <cfRule type="duplicateValues" dxfId="112" priority="36"/>
  </conditionalFormatting>
  <conditionalFormatting sqref="E464">
    <cfRule type="duplicateValues" dxfId="111" priority="35"/>
  </conditionalFormatting>
  <conditionalFormatting sqref="E465">
    <cfRule type="duplicateValues" dxfId="110" priority="34"/>
  </conditionalFormatting>
  <conditionalFormatting sqref="E466">
    <cfRule type="duplicateValues" dxfId="109" priority="33"/>
  </conditionalFormatting>
  <conditionalFormatting sqref="E467">
    <cfRule type="duplicateValues" dxfId="108" priority="31"/>
  </conditionalFormatting>
  <conditionalFormatting sqref="E469">
    <cfRule type="duplicateValues" dxfId="107" priority="30"/>
  </conditionalFormatting>
  <conditionalFormatting sqref="E470">
    <cfRule type="duplicateValues" dxfId="106" priority="29"/>
  </conditionalFormatting>
  <conditionalFormatting sqref="E471">
    <cfRule type="duplicateValues" dxfId="105" priority="26"/>
  </conditionalFormatting>
  <conditionalFormatting sqref="E472">
    <cfRule type="duplicateValues" dxfId="104" priority="25"/>
  </conditionalFormatting>
  <conditionalFormatting sqref="E474">
    <cfRule type="duplicateValues" dxfId="103" priority="23"/>
  </conditionalFormatting>
  <conditionalFormatting sqref="E475">
    <cfRule type="duplicateValues" dxfId="102" priority="22"/>
  </conditionalFormatting>
  <conditionalFormatting sqref="E476">
    <cfRule type="duplicateValues" dxfId="101" priority="21"/>
  </conditionalFormatting>
  <conditionalFormatting sqref="E477">
    <cfRule type="duplicateValues" dxfId="100" priority="20"/>
  </conditionalFormatting>
  <conditionalFormatting sqref="E478">
    <cfRule type="duplicateValues" dxfId="99" priority="19"/>
  </conditionalFormatting>
  <conditionalFormatting sqref="E479">
    <cfRule type="duplicateValues" dxfId="98" priority="18"/>
  </conditionalFormatting>
  <conditionalFormatting sqref="E481">
    <cfRule type="duplicateValues" dxfId="97" priority="16"/>
  </conditionalFormatting>
  <conditionalFormatting sqref="E482:E484">
    <cfRule type="duplicateValues" dxfId="96" priority="14"/>
  </conditionalFormatting>
  <conditionalFormatting sqref="E485">
    <cfRule type="duplicateValues" dxfId="95" priority="13"/>
  </conditionalFormatting>
  <conditionalFormatting sqref="E486">
    <cfRule type="duplicateValues" dxfId="94" priority="12"/>
  </conditionalFormatting>
  <conditionalFormatting sqref="E487:E488">
    <cfRule type="duplicateValues" dxfId="93" priority="11"/>
  </conditionalFormatting>
  <conditionalFormatting sqref="E490">
    <cfRule type="duplicateValues" dxfId="92" priority="9"/>
  </conditionalFormatting>
  <conditionalFormatting sqref="E491">
    <cfRule type="duplicateValues" dxfId="91" priority="8"/>
  </conditionalFormatting>
  <conditionalFormatting sqref="E492">
    <cfRule type="duplicateValues" dxfId="90" priority="7"/>
  </conditionalFormatting>
  <conditionalFormatting sqref="E494:E496">
    <cfRule type="duplicateValues" dxfId="89" priority="5"/>
  </conditionalFormatting>
  <conditionalFormatting sqref="E497:E498">
    <cfRule type="duplicateValues" dxfId="88" priority="4"/>
  </conditionalFormatting>
  <conditionalFormatting sqref="E499">
    <cfRule type="duplicateValues" dxfId="87" priority="2"/>
  </conditionalFormatting>
  <conditionalFormatting sqref="E500">
    <cfRule type="duplicateValues" dxfId="86" priority="3"/>
  </conditionalFormatting>
  <conditionalFormatting sqref="E501:E506">
    <cfRule type="duplicateValues" dxfId="85" priority="1"/>
  </conditionalFormatting>
  <conditionalFormatting sqref="E438:F438">
    <cfRule type="duplicateValues" dxfId="84" priority="62"/>
  </conditionalFormatting>
  <conditionalFormatting sqref="G322">
    <cfRule type="duplicateValues" dxfId="83" priority="206"/>
  </conditionalFormatting>
  <conditionalFormatting sqref="O244">
    <cfRule type="duplicateValues" dxfId="82" priority="259"/>
  </conditionalFormatting>
  <conditionalFormatting sqref="O248">
    <cfRule type="duplicateValues" dxfId="81" priority="326"/>
  </conditionalFormatting>
  <conditionalFormatting sqref="O266">
    <cfRule type="duplicateValues" dxfId="80" priority="242"/>
  </conditionalFormatting>
  <conditionalFormatting sqref="O284">
    <cfRule type="duplicateValues" dxfId="79" priority="237"/>
  </conditionalFormatting>
  <conditionalFormatting sqref="O290">
    <cfRule type="duplicateValues" dxfId="78" priority="330"/>
  </conditionalFormatting>
  <conditionalFormatting sqref="O292">
    <cfRule type="duplicateValues" dxfId="77" priority="328"/>
  </conditionalFormatting>
  <conditionalFormatting sqref="O313">
    <cfRule type="duplicateValues" dxfId="76" priority="220"/>
  </conditionalFormatting>
  <conditionalFormatting sqref="O315">
    <cfRule type="duplicateValues" dxfId="75" priority="212"/>
    <cfRule type="duplicateValues" dxfId="74" priority="213"/>
  </conditionalFormatting>
  <conditionalFormatting sqref="O320">
    <cfRule type="duplicateValues" dxfId="73" priority="215"/>
    <cfRule type="duplicateValues" dxfId="72" priority="214"/>
  </conditionalFormatting>
  <conditionalFormatting sqref="O325">
    <cfRule type="duplicateValues" dxfId="71" priority="203"/>
  </conditionalFormatting>
  <conditionalFormatting sqref="O339:O340">
    <cfRule type="duplicateValues" dxfId="70" priority="193"/>
  </conditionalFormatting>
  <conditionalFormatting sqref="O345">
    <cfRule type="duplicateValues" dxfId="69" priority="192"/>
  </conditionalFormatting>
  <conditionalFormatting sqref="O358">
    <cfRule type="duplicateValues" dxfId="68" priority="188"/>
  </conditionalFormatting>
  <conditionalFormatting sqref="O365">
    <cfRule type="duplicateValues" dxfId="67" priority="176"/>
    <cfRule type="duplicateValues" dxfId="66" priority="177"/>
  </conditionalFormatting>
  <conditionalFormatting sqref="O366:O368 G364 O341:O344 O321:O322 O245:O247 O203:O243 O249:O265 O267:O283 O285:O289 O293:O312 O291 O314 O316:O319 O324 O329:O337 O346:O357 O360:O363 O391:O398 O410:O412 O414:O429 O431:O438 O440:O449 O451:O452 O454:O459 O461:O467 O469:O470 O472 O474:O479 O481:O488 O490:O492 O494:O748">
    <cfRule type="duplicateValues" dxfId="65" priority="722"/>
  </conditionalFormatting>
  <conditionalFormatting sqref="O366:O368 G364 O341:O344 O321:O322 O245:O247 O231:O243 O249:O265 O267:O283 O285:O289 O293:O312 O291 O314 O316:O319 O324 O329:O337 O346:O357 O360:O363 O391:O398 O410:O412 O414:O429 O431:O438 O440:O449 O451:O452 O454:O459 O461:O467 O469:O470 O472 O474:O479 O481:O488 O490:O492 O494:O748">
    <cfRule type="duplicateValues" dxfId="64" priority="693"/>
  </conditionalFormatting>
  <conditionalFormatting sqref="O369:O370">
    <cfRule type="duplicateValues" dxfId="63" priority="173"/>
    <cfRule type="duplicateValues" dxfId="62" priority="172"/>
  </conditionalFormatting>
  <conditionalFormatting sqref="O371:O372">
    <cfRule type="duplicateValues" dxfId="61" priority="168"/>
    <cfRule type="duplicateValues" dxfId="60" priority="167"/>
  </conditionalFormatting>
  <conditionalFormatting sqref="O374">
    <cfRule type="duplicateValues" dxfId="59" priority="165"/>
  </conditionalFormatting>
  <conditionalFormatting sqref="O375">
    <cfRule type="duplicateValues" dxfId="58" priority="170"/>
  </conditionalFormatting>
  <conditionalFormatting sqref="O376">
    <cfRule type="duplicateValues" dxfId="57" priority="157"/>
  </conditionalFormatting>
  <conditionalFormatting sqref="O377">
    <cfRule type="duplicateValues" dxfId="56" priority="158"/>
  </conditionalFormatting>
  <conditionalFormatting sqref="O378:O379">
    <cfRule type="duplicateValues" dxfId="55" priority="146"/>
  </conditionalFormatting>
  <conditionalFormatting sqref="O380">
    <cfRule type="duplicateValues" dxfId="54" priority="141"/>
  </conditionalFormatting>
  <conditionalFormatting sqref="O381">
    <cfRule type="duplicateValues" dxfId="53" priority="136"/>
  </conditionalFormatting>
  <conditionalFormatting sqref="O382">
    <cfRule type="duplicateValues" dxfId="52" priority="133"/>
  </conditionalFormatting>
  <conditionalFormatting sqref="O383 O385">
    <cfRule type="duplicateValues" dxfId="51" priority="131"/>
  </conditionalFormatting>
  <conditionalFormatting sqref="O384">
    <cfRule type="duplicateValues" dxfId="50" priority="129"/>
  </conditionalFormatting>
  <conditionalFormatting sqref="O386">
    <cfRule type="duplicateValues" dxfId="49" priority="130"/>
  </conditionalFormatting>
  <conditionalFormatting sqref="O387">
    <cfRule type="duplicateValues" dxfId="48" priority="124"/>
  </conditionalFormatting>
  <conditionalFormatting sqref="O388">
    <cfRule type="duplicateValues" dxfId="47" priority="127"/>
  </conditionalFormatting>
  <conditionalFormatting sqref="O389">
    <cfRule type="duplicateValues" dxfId="46" priority="122"/>
  </conditionalFormatting>
  <conditionalFormatting sqref="O390">
    <cfRule type="duplicateValues" dxfId="45" priority="121"/>
  </conditionalFormatting>
  <conditionalFormatting sqref="O399:O400">
    <cfRule type="duplicateValues" dxfId="44" priority="109"/>
    <cfRule type="duplicateValues" dxfId="43" priority="108"/>
  </conditionalFormatting>
  <conditionalFormatting sqref="O401:O402">
    <cfRule type="duplicateValues" dxfId="42" priority="107"/>
    <cfRule type="duplicateValues" dxfId="41" priority="106"/>
  </conditionalFormatting>
  <conditionalFormatting sqref="O403">
    <cfRule type="duplicateValues" dxfId="40" priority="104"/>
    <cfRule type="duplicateValues" dxfId="39" priority="103"/>
  </conditionalFormatting>
  <conditionalFormatting sqref="O404">
    <cfRule type="duplicateValues" dxfId="38" priority="100"/>
    <cfRule type="duplicateValues" dxfId="37" priority="101"/>
  </conditionalFormatting>
  <conditionalFormatting sqref="O405">
    <cfRule type="duplicateValues" dxfId="36" priority="99"/>
    <cfRule type="duplicateValues" dxfId="35" priority="98"/>
  </conditionalFormatting>
  <conditionalFormatting sqref="O406">
    <cfRule type="duplicateValues" dxfId="34" priority="95"/>
    <cfRule type="duplicateValues" dxfId="33" priority="96"/>
  </conditionalFormatting>
  <conditionalFormatting sqref="O407">
    <cfRule type="duplicateValues" dxfId="32" priority="92"/>
    <cfRule type="duplicateValues" dxfId="31" priority="93"/>
  </conditionalFormatting>
  <conditionalFormatting sqref="O408">
    <cfRule type="duplicateValues" dxfId="30" priority="88"/>
    <cfRule type="duplicateValues" dxfId="29" priority="89"/>
  </conditionalFormatting>
  <conditionalFormatting sqref="O409">
    <cfRule type="duplicateValues" dxfId="28" priority="85"/>
    <cfRule type="duplicateValues" dxfId="27" priority="84"/>
  </conditionalFormatting>
  <conditionalFormatting sqref="O413">
    <cfRule type="duplicateValues" dxfId="26" priority="606"/>
  </conditionalFormatting>
  <conditionalFormatting sqref="O430">
    <cfRule type="duplicateValues" dxfId="25" priority="67"/>
  </conditionalFormatting>
  <conditionalFormatting sqref="O439">
    <cfRule type="duplicateValues" dxfId="24" priority="61"/>
  </conditionalFormatting>
  <conditionalFormatting sqref="O450">
    <cfRule type="duplicateValues" dxfId="23" priority="50"/>
  </conditionalFormatting>
  <conditionalFormatting sqref="O453">
    <cfRule type="duplicateValues" dxfId="22" priority="46"/>
  </conditionalFormatting>
  <conditionalFormatting sqref="O460">
    <cfRule type="duplicateValues" dxfId="21" priority="40"/>
  </conditionalFormatting>
  <conditionalFormatting sqref="O468">
    <cfRule type="duplicateValues" dxfId="20" priority="32"/>
  </conditionalFormatting>
  <conditionalFormatting sqref="O471">
    <cfRule type="duplicateValues" dxfId="19" priority="27"/>
    <cfRule type="duplicateValues" dxfId="18" priority="28"/>
  </conditionalFormatting>
  <conditionalFormatting sqref="O473">
    <cfRule type="duplicateValues" dxfId="17" priority="24"/>
  </conditionalFormatting>
  <conditionalFormatting sqref="O480">
    <cfRule type="duplicateValues" dxfId="16" priority="17"/>
  </conditionalFormatting>
  <conditionalFormatting sqref="O489">
    <cfRule type="duplicateValues" dxfId="15" priority="10"/>
  </conditionalFormatting>
  <conditionalFormatting sqref="O493">
    <cfRule type="duplicateValues" dxfId="14" priority="6"/>
  </conditionalFormatting>
  <conditionalFormatting sqref="R323 O323">
    <cfRule type="duplicateValues" dxfId="13" priority="204"/>
  </conditionalFormatting>
  <conditionalFormatting sqref="R323:R324 O323">
    <cfRule type="duplicateValues" dxfId="12" priority="205"/>
  </conditionalFormatting>
  <hyperlinks>
    <hyperlink ref="G4" r:id="rId1" display="javascript:void(0)" xr:uid="{DAA80F81-481D-44AE-870C-AEC7D9C2C8EF}"/>
    <hyperlink ref="E4" r:id="rId2" display="javascript:void(0)" xr:uid="{168A3614-FE17-4BC2-875E-97BDA77980C2}"/>
    <hyperlink ref="G7" r:id="rId3" display="javascript:void(0)" xr:uid="{A530E20B-BEF9-4A8C-A15D-33B721B56362}"/>
    <hyperlink ref="E20" r:id="rId4" display="javascript:void(0)" xr:uid="{8A5C6A56-B7E0-461E-BECA-A86700D303D9}"/>
    <hyperlink ref="G52" r:id="rId5" display="javascript:void(0)" xr:uid="{ACF272F3-C727-4F7E-AD94-6862ECAEF044}"/>
    <hyperlink ref="G106" r:id="rId6" display="javascript:void(0)" xr:uid="{261E923C-851D-41F2-A73F-BD2E7817643A}"/>
    <hyperlink ref="G115" r:id="rId7" display="javascript:void(0)" xr:uid="{EF9248B7-40AF-468F-91D5-C2F8C1D2166B}"/>
  </hyperlinks>
  <pageMargins left="0.7" right="0.7" top="0.75" bottom="0.75" header="0.3" footer="0.3"/>
  <pageSetup paperSize="9" orientation="portrait" r:id="rId8"/>
  <legacyDrawing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EE02-AF79-4E2F-B619-382C93618E62}">
  <dimension ref="A1:AX347"/>
  <sheetViews>
    <sheetView zoomScale="85" zoomScaleNormal="85" workbookViewId="0">
      <pane xSplit="18" ySplit="5" topLeftCell="S139" activePane="bottomRight" state="frozen"/>
      <selection pane="topRight" activeCell="S1" sqref="S1"/>
      <selection pane="bottomLeft" activeCell="A6" sqref="A6"/>
      <selection pane="bottomRight" activeCell="M146" sqref="M146"/>
    </sheetView>
  </sheetViews>
  <sheetFormatPr defaultColWidth="10.33203125" defaultRowHeight="13.2"/>
  <cols>
    <col min="1" max="1" width="7" style="1503" customWidth="1"/>
    <col min="2" max="2" width="14.33203125" style="1549" customWidth="1"/>
    <col min="3" max="3" width="21" style="1896" customWidth="1"/>
    <col min="4" max="4" width="12" style="1805" customWidth="1"/>
    <col min="5" max="5" width="14.6640625" style="1915" customWidth="1"/>
    <col min="6" max="6" width="7.33203125" style="1915" customWidth="1"/>
    <col min="7" max="7" width="4.33203125" style="1639" customWidth="1"/>
    <col min="8" max="8" width="3.88671875" style="1549" customWidth="1"/>
    <col min="9" max="9" width="5.44140625" style="1549" customWidth="1"/>
    <col min="10" max="10" width="9.44140625" style="2910" customWidth="1"/>
    <col min="11" max="11" width="17.109375" style="1641" customWidth="1"/>
    <col min="12" max="12" width="14.6640625" style="2911" customWidth="1"/>
    <col min="13" max="13" width="7.109375" style="2896" customWidth="1"/>
    <col min="14" max="14" width="14.88671875" style="2912" customWidth="1"/>
    <col min="15" max="15" width="12.6640625" style="1504" customWidth="1"/>
    <col min="16" max="16" width="18.44140625" style="2897" customWidth="1"/>
    <col min="17" max="17" width="10.5546875" style="2897" customWidth="1"/>
    <col min="18" max="18" width="11.88671875" style="1504" customWidth="1"/>
    <col min="19" max="19" width="11" style="1504" customWidth="1"/>
    <col min="20" max="20" width="13.33203125" style="1549" customWidth="1"/>
    <col min="21" max="21" width="12.6640625" style="1461" customWidth="1"/>
    <col min="22" max="22" width="13.109375" style="1461" customWidth="1"/>
    <col min="23" max="23" width="13" style="1461" customWidth="1"/>
    <col min="24" max="24" width="11.88671875" style="1461" customWidth="1"/>
    <col min="25" max="26" width="15.33203125" style="2240" customWidth="1"/>
    <col min="27" max="27" width="11.88671875" style="1461" customWidth="1"/>
    <col min="28" max="28" width="19.44140625" style="1461" customWidth="1"/>
    <col min="29" max="29" width="16.33203125" style="1461" customWidth="1"/>
    <col min="30" max="30" width="34.33203125" style="1662" customWidth="1"/>
    <col min="31" max="31" width="18.6640625" style="2904" customWidth="1"/>
    <col min="32" max="32" width="16.6640625" style="2905" customWidth="1"/>
    <col min="33" max="33" width="18.5546875" style="2674" customWidth="1"/>
    <col min="34" max="34" width="14.109375" style="5" customWidth="1"/>
    <col min="35" max="35" width="11.44140625" style="13" customWidth="1"/>
    <col min="36" max="44" width="10.33203125" style="13" customWidth="1"/>
    <col min="45" max="199" width="10.33203125" style="13"/>
    <col min="200" max="200" width="7" style="13" customWidth="1"/>
    <col min="201" max="201" width="13" style="13" customWidth="1"/>
    <col min="202" max="202" width="14.109375" style="13" customWidth="1"/>
    <col min="203" max="203" width="17.33203125" style="13" customWidth="1"/>
    <col min="204" max="204" width="18.88671875" style="13" customWidth="1"/>
    <col min="205" max="205" width="14.109375" style="13" customWidth="1"/>
    <col min="206" max="206" width="21.5546875" style="13" customWidth="1"/>
    <col min="207" max="208" width="14.109375" style="13" customWidth="1"/>
    <col min="209" max="209" width="15" style="13" customWidth="1"/>
    <col min="210" max="210" width="13.33203125" style="13" customWidth="1"/>
    <col min="211" max="211" width="17" style="13" customWidth="1"/>
    <col min="212" max="212" width="24.88671875" style="13" customWidth="1"/>
    <col min="213" max="213" width="14.44140625" style="13" customWidth="1"/>
    <col min="214" max="214" width="23.109375" style="13" customWidth="1"/>
    <col min="215" max="215" width="13.109375" style="13" customWidth="1"/>
    <col min="216" max="219" width="0" style="13" hidden="1" customWidth="1"/>
    <col min="220" max="455" width="10.33203125" style="13"/>
    <col min="456" max="456" width="7" style="13" customWidth="1"/>
    <col min="457" max="457" width="13" style="13" customWidth="1"/>
    <col min="458" max="458" width="14.109375" style="13" customWidth="1"/>
    <col min="459" max="459" width="17.33203125" style="13" customWidth="1"/>
    <col min="460" max="460" width="18.88671875" style="13" customWidth="1"/>
    <col min="461" max="461" width="14.109375" style="13" customWidth="1"/>
    <col min="462" max="462" width="21.5546875" style="13" customWidth="1"/>
    <col min="463" max="464" width="14.109375" style="13" customWidth="1"/>
    <col min="465" max="465" width="15" style="13" customWidth="1"/>
    <col min="466" max="466" width="13.33203125" style="13" customWidth="1"/>
    <col min="467" max="467" width="17" style="13" customWidth="1"/>
    <col min="468" max="468" width="24.88671875" style="13" customWidth="1"/>
    <col min="469" max="469" width="14.44140625" style="13" customWidth="1"/>
    <col min="470" max="470" width="23.109375" style="13" customWidth="1"/>
    <col min="471" max="471" width="13.109375" style="13" customWidth="1"/>
    <col min="472" max="475" width="0" style="13" hidden="1" customWidth="1"/>
    <col min="476" max="711" width="10.33203125" style="13"/>
    <col min="712" max="712" width="7" style="13" customWidth="1"/>
    <col min="713" max="713" width="13" style="13" customWidth="1"/>
    <col min="714" max="714" width="14.109375" style="13" customWidth="1"/>
    <col min="715" max="715" width="17.33203125" style="13" customWidth="1"/>
    <col min="716" max="716" width="18.88671875" style="13" customWidth="1"/>
    <col min="717" max="717" width="14.109375" style="13" customWidth="1"/>
    <col min="718" max="718" width="21.5546875" style="13" customWidth="1"/>
    <col min="719" max="720" width="14.109375" style="13" customWidth="1"/>
    <col min="721" max="721" width="15" style="13" customWidth="1"/>
    <col min="722" max="722" width="13.33203125" style="13" customWidth="1"/>
    <col min="723" max="723" width="17" style="13" customWidth="1"/>
    <col min="724" max="724" width="24.88671875" style="13" customWidth="1"/>
    <col min="725" max="725" width="14.44140625" style="13" customWidth="1"/>
    <col min="726" max="726" width="23.109375" style="13" customWidth="1"/>
    <col min="727" max="727" width="13.109375" style="13" customWidth="1"/>
    <col min="728" max="731" width="0" style="13" hidden="1" customWidth="1"/>
    <col min="732" max="967" width="10.33203125" style="13"/>
    <col min="968" max="968" width="7" style="13" customWidth="1"/>
    <col min="969" max="969" width="13" style="13" customWidth="1"/>
    <col min="970" max="970" width="14.109375" style="13" customWidth="1"/>
    <col min="971" max="971" width="17.33203125" style="13" customWidth="1"/>
    <col min="972" max="972" width="18.88671875" style="13" customWidth="1"/>
    <col min="973" max="973" width="14.109375" style="13" customWidth="1"/>
    <col min="974" max="974" width="21.5546875" style="13" customWidth="1"/>
    <col min="975" max="976" width="14.109375" style="13" customWidth="1"/>
    <col min="977" max="977" width="15" style="13" customWidth="1"/>
    <col min="978" max="978" width="13.33203125" style="13" customWidth="1"/>
    <col min="979" max="979" width="17" style="13" customWidth="1"/>
    <col min="980" max="980" width="24.88671875" style="13" customWidth="1"/>
    <col min="981" max="981" width="14.44140625" style="13" customWidth="1"/>
    <col min="982" max="982" width="23.109375" style="13" customWidth="1"/>
    <col min="983" max="983" width="13.109375" style="13" customWidth="1"/>
    <col min="984" max="987" width="0" style="13" hidden="1" customWidth="1"/>
    <col min="988" max="1223" width="10.33203125" style="13"/>
    <col min="1224" max="1224" width="7" style="13" customWidth="1"/>
    <col min="1225" max="1225" width="13" style="13" customWidth="1"/>
    <col min="1226" max="1226" width="14.109375" style="13" customWidth="1"/>
    <col min="1227" max="1227" width="17.33203125" style="13" customWidth="1"/>
    <col min="1228" max="1228" width="18.88671875" style="13" customWidth="1"/>
    <col min="1229" max="1229" width="14.109375" style="13" customWidth="1"/>
    <col min="1230" max="1230" width="21.5546875" style="13" customWidth="1"/>
    <col min="1231" max="1232" width="14.109375" style="13" customWidth="1"/>
    <col min="1233" max="1233" width="15" style="13" customWidth="1"/>
    <col min="1234" max="1234" width="13.33203125" style="13" customWidth="1"/>
    <col min="1235" max="1235" width="17" style="13" customWidth="1"/>
    <col min="1236" max="1236" width="24.88671875" style="13" customWidth="1"/>
    <col min="1237" max="1237" width="14.44140625" style="13" customWidth="1"/>
    <col min="1238" max="1238" width="23.109375" style="13" customWidth="1"/>
    <col min="1239" max="1239" width="13.109375" style="13" customWidth="1"/>
    <col min="1240" max="1243" width="0" style="13" hidden="1" customWidth="1"/>
    <col min="1244" max="1479" width="10.33203125" style="13"/>
    <col min="1480" max="1480" width="7" style="13" customWidth="1"/>
    <col min="1481" max="1481" width="13" style="13" customWidth="1"/>
    <col min="1482" max="1482" width="14.109375" style="13" customWidth="1"/>
    <col min="1483" max="1483" width="17.33203125" style="13" customWidth="1"/>
    <col min="1484" max="1484" width="18.88671875" style="13" customWidth="1"/>
    <col min="1485" max="1485" width="14.109375" style="13" customWidth="1"/>
    <col min="1486" max="1486" width="21.5546875" style="13" customWidth="1"/>
    <col min="1487" max="1488" width="14.109375" style="13" customWidth="1"/>
    <col min="1489" max="1489" width="15" style="13" customWidth="1"/>
    <col min="1490" max="1490" width="13.33203125" style="13" customWidth="1"/>
    <col min="1491" max="1491" width="17" style="13" customWidth="1"/>
    <col min="1492" max="1492" width="24.88671875" style="13" customWidth="1"/>
    <col min="1493" max="1493" width="14.44140625" style="13" customWidth="1"/>
    <col min="1494" max="1494" width="23.109375" style="13" customWidth="1"/>
    <col min="1495" max="1495" width="13.109375" style="13" customWidth="1"/>
    <col min="1496" max="1499" width="0" style="13" hidden="1" customWidth="1"/>
    <col min="1500" max="1735" width="10.33203125" style="13"/>
    <col min="1736" max="1736" width="7" style="13" customWidth="1"/>
    <col min="1737" max="1737" width="13" style="13" customWidth="1"/>
    <col min="1738" max="1738" width="14.109375" style="13" customWidth="1"/>
    <col min="1739" max="1739" width="17.33203125" style="13" customWidth="1"/>
    <col min="1740" max="1740" width="18.88671875" style="13" customWidth="1"/>
    <col min="1741" max="1741" width="14.109375" style="13" customWidth="1"/>
    <col min="1742" max="1742" width="21.5546875" style="13" customWidth="1"/>
    <col min="1743" max="1744" width="14.109375" style="13" customWidth="1"/>
    <col min="1745" max="1745" width="15" style="13" customWidth="1"/>
    <col min="1746" max="1746" width="13.33203125" style="13" customWidth="1"/>
    <col min="1747" max="1747" width="17" style="13" customWidth="1"/>
    <col min="1748" max="1748" width="24.88671875" style="13" customWidth="1"/>
    <col min="1749" max="1749" width="14.44140625" style="13" customWidth="1"/>
    <col min="1750" max="1750" width="23.109375" style="13" customWidth="1"/>
    <col min="1751" max="1751" width="13.109375" style="13" customWidth="1"/>
    <col min="1752" max="1755" width="0" style="13" hidden="1" customWidth="1"/>
    <col min="1756" max="1991" width="10.33203125" style="13"/>
    <col min="1992" max="1992" width="7" style="13" customWidth="1"/>
    <col min="1993" max="1993" width="13" style="13" customWidth="1"/>
    <col min="1994" max="1994" width="14.109375" style="13" customWidth="1"/>
    <col min="1995" max="1995" width="17.33203125" style="13" customWidth="1"/>
    <col min="1996" max="1996" width="18.88671875" style="13" customWidth="1"/>
    <col min="1997" max="1997" width="14.109375" style="13" customWidth="1"/>
    <col min="1998" max="1998" width="21.5546875" style="13" customWidth="1"/>
    <col min="1999" max="2000" width="14.109375" style="13" customWidth="1"/>
    <col min="2001" max="2001" width="15" style="13" customWidth="1"/>
    <col min="2002" max="2002" width="13.33203125" style="13" customWidth="1"/>
    <col min="2003" max="2003" width="17" style="13" customWidth="1"/>
    <col min="2004" max="2004" width="24.88671875" style="13" customWidth="1"/>
    <col min="2005" max="2005" width="14.44140625" style="13" customWidth="1"/>
    <col min="2006" max="2006" width="23.109375" style="13" customWidth="1"/>
    <col min="2007" max="2007" width="13.109375" style="13" customWidth="1"/>
    <col min="2008" max="2011" width="0" style="13" hidden="1" customWidth="1"/>
    <col min="2012" max="2247" width="10.33203125" style="13"/>
    <col min="2248" max="2248" width="7" style="13" customWidth="1"/>
    <col min="2249" max="2249" width="13" style="13" customWidth="1"/>
    <col min="2250" max="2250" width="14.109375" style="13" customWidth="1"/>
    <col min="2251" max="2251" width="17.33203125" style="13" customWidth="1"/>
    <col min="2252" max="2252" width="18.88671875" style="13" customWidth="1"/>
    <col min="2253" max="2253" width="14.109375" style="13" customWidth="1"/>
    <col min="2254" max="2254" width="21.5546875" style="13" customWidth="1"/>
    <col min="2255" max="2256" width="14.109375" style="13" customWidth="1"/>
    <col min="2257" max="2257" width="15" style="13" customWidth="1"/>
    <col min="2258" max="2258" width="13.33203125" style="13" customWidth="1"/>
    <col min="2259" max="2259" width="17" style="13" customWidth="1"/>
    <col min="2260" max="2260" width="24.88671875" style="13" customWidth="1"/>
    <col min="2261" max="2261" width="14.44140625" style="13" customWidth="1"/>
    <col min="2262" max="2262" width="23.109375" style="13" customWidth="1"/>
    <col min="2263" max="2263" width="13.109375" style="13" customWidth="1"/>
    <col min="2264" max="2267" width="0" style="13" hidden="1" customWidth="1"/>
    <col min="2268" max="2503" width="10.33203125" style="13"/>
    <col min="2504" max="2504" width="7" style="13" customWidth="1"/>
    <col min="2505" max="2505" width="13" style="13" customWidth="1"/>
    <col min="2506" max="2506" width="14.109375" style="13" customWidth="1"/>
    <col min="2507" max="2507" width="17.33203125" style="13" customWidth="1"/>
    <col min="2508" max="2508" width="18.88671875" style="13" customWidth="1"/>
    <col min="2509" max="2509" width="14.109375" style="13" customWidth="1"/>
    <col min="2510" max="2510" width="21.5546875" style="13" customWidth="1"/>
    <col min="2511" max="2512" width="14.109375" style="13" customWidth="1"/>
    <col min="2513" max="2513" width="15" style="13" customWidth="1"/>
    <col min="2514" max="2514" width="13.33203125" style="13" customWidth="1"/>
    <col min="2515" max="2515" width="17" style="13" customWidth="1"/>
    <col min="2516" max="2516" width="24.88671875" style="13" customWidth="1"/>
    <col min="2517" max="2517" width="14.44140625" style="13" customWidth="1"/>
    <col min="2518" max="2518" width="23.109375" style="13" customWidth="1"/>
    <col min="2519" max="2519" width="13.109375" style="13" customWidth="1"/>
    <col min="2520" max="2523" width="0" style="13" hidden="1" customWidth="1"/>
    <col min="2524" max="2759" width="10.33203125" style="13"/>
    <col min="2760" max="2760" width="7" style="13" customWidth="1"/>
    <col min="2761" max="2761" width="13" style="13" customWidth="1"/>
    <col min="2762" max="2762" width="14.109375" style="13" customWidth="1"/>
    <col min="2763" max="2763" width="17.33203125" style="13" customWidth="1"/>
    <col min="2764" max="2764" width="18.88671875" style="13" customWidth="1"/>
    <col min="2765" max="2765" width="14.109375" style="13" customWidth="1"/>
    <col min="2766" max="2766" width="21.5546875" style="13" customWidth="1"/>
    <col min="2767" max="2768" width="14.109375" style="13" customWidth="1"/>
    <col min="2769" max="2769" width="15" style="13" customWidth="1"/>
    <col min="2770" max="2770" width="13.33203125" style="13" customWidth="1"/>
    <col min="2771" max="2771" width="17" style="13" customWidth="1"/>
    <col min="2772" max="2772" width="24.88671875" style="13" customWidth="1"/>
    <col min="2773" max="2773" width="14.44140625" style="13" customWidth="1"/>
    <col min="2774" max="2774" width="23.109375" style="13" customWidth="1"/>
    <col min="2775" max="2775" width="13.109375" style="13" customWidth="1"/>
    <col min="2776" max="2779" width="0" style="13" hidden="1" customWidth="1"/>
    <col min="2780" max="3015" width="10.33203125" style="13"/>
    <col min="3016" max="3016" width="7" style="13" customWidth="1"/>
    <col min="3017" max="3017" width="13" style="13" customWidth="1"/>
    <col min="3018" max="3018" width="14.109375" style="13" customWidth="1"/>
    <col min="3019" max="3019" width="17.33203125" style="13" customWidth="1"/>
    <col min="3020" max="3020" width="18.88671875" style="13" customWidth="1"/>
    <col min="3021" max="3021" width="14.109375" style="13" customWidth="1"/>
    <col min="3022" max="3022" width="21.5546875" style="13" customWidth="1"/>
    <col min="3023" max="3024" width="14.109375" style="13" customWidth="1"/>
    <col min="3025" max="3025" width="15" style="13" customWidth="1"/>
    <col min="3026" max="3026" width="13.33203125" style="13" customWidth="1"/>
    <col min="3027" max="3027" width="17" style="13" customWidth="1"/>
    <col min="3028" max="3028" width="24.88671875" style="13" customWidth="1"/>
    <col min="3029" max="3029" width="14.44140625" style="13" customWidth="1"/>
    <col min="3030" max="3030" width="23.109375" style="13" customWidth="1"/>
    <col min="3031" max="3031" width="13.109375" style="13" customWidth="1"/>
    <col min="3032" max="3035" width="0" style="13" hidden="1" customWidth="1"/>
    <col min="3036" max="3271" width="10.33203125" style="13"/>
    <col min="3272" max="3272" width="7" style="13" customWidth="1"/>
    <col min="3273" max="3273" width="13" style="13" customWidth="1"/>
    <col min="3274" max="3274" width="14.109375" style="13" customWidth="1"/>
    <col min="3275" max="3275" width="17.33203125" style="13" customWidth="1"/>
    <col min="3276" max="3276" width="18.88671875" style="13" customWidth="1"/>
    <col min="3277" max="3277" width="14.109375" style="13" customWidth="1"/>
    <col min="3278" max="3278" width="21.5546875" style="13" customWidth="1"/>
    <col min="3279" max="3280" width="14.109375" style="13" customWidth="1"/>
    <col min="3281" max="3281" width="15" style="13" customWidth="1"/>
    <col min="3282" max="3282" width="13.33203125" style="13" customWidth="1"/>
    <col min="3283" max="3283" width="17" style="13" customWidth="1"/>
    <col min="3284" max="3284" width="24.88671875" style="13" customWidth="1"/>
    <col min="3285" max="3285" width="14.44140625" style="13" customWidth="1"/>
    <col min="3286" max="3286" width="23.109375" style="13" customWidth="1"/>
    <col min="3287" max="3287" width="13.109375" style="13" customWidth="1"/>
    <col min="3288" max="3291" width="0" style="13" hidden="1" customWidth="1"/>
    <col min="3292" max="3527" width="10.33203125" style="13"/>
    <col min="3528" max="3528" width="7" style="13" customWidth="1"/>
    <col min="3529" max="3529" width="13" style="13" customWidth="1"/>
    <col min="3530" max="3530" width="14.109375" style="13" customWidth="1"/>
    <col min="3531" max="3531" width="17.33203125" style="13" customWidth="1"/>
    <col min="3532" max="3532" width="18.88671875" style="13" customWidth="1"/>
    <col min="3533" max="3533" width="14.109375" style="13" customWidth="1"/>
    <col min="3534" max="3534" width="21.5546875" style="13" customWidth="1"/>
    <col min="3535" max="3536" width="14.109375" style="13" customWidth="1"/>
    <col min="3537" max="3537" width="15" style="13" customWidth="1"/>
    <col min="3538" max="3538" width="13.33203125" style="13" customWidth="1"/>
    <col min="3539" max="3539" width="17" style="13" customWidth="1"/>
    <col min="3540" max="3540" width="24.88671875" style="13" customWidth="1"/>
    <col min="3541" max="3541" width="14.44140625" style="13" customWidth="1"/>
    <col min="3542" max="3542" width="23.109375" style="13" customWidth="1"/>
    <col min="3543" max="3543" width="13.109375" style="13" customWidth="1"/>
    <col min="3544" max="3547" width="0" style="13" hidden="1" customWidth="1"/>
    <col min="3548" max="3783" width="10.33203125" style="13"/>
    <col min="3784" max="3784" width="7" style="13" customWidth="1"/>
    <col min="3785" max="3785" width="13" style="13" customWidth="1"/>
    <col min="3786" max="3786" width="14.109375" style="13" customWidth="1"/>
    <col min="3787" max="3787" width="17.33203125" style="13" customWidth="1"/>
    <col min="3788" max="3788" width="18.88671875" style="13" customWidth="1"/>
    <col min="3789" max="3789" width="14.109375" style="13" customWidth="1"/>
    <col min="3790" max="3790" width="21.5546875" style="13" customWidth="1"/>
    <col min="3791" max="3792" width="14.109375" style="13" customWidth="1"/>
    <col min="3793" max="3793" width="15" style="13" customWidth="1"/>
    <col min="3794" max="3794" width="13.33203125" style="13" customWidth="1"/>
    <col min="3795" max="3795" width="17" style="13" customWidth="1"/>
    <col min="3796" max="3796" width="24.88671875" style="13" customWidth="1"/>
    <col min="3797" max="3797" width="14.44140625" style="13" customWidth="1"/>
    <col min="3798" max="3798" width="23.109375" style="13" customWidth="1"/>
    <col min="3799" max="3799" width="13.109375" style="13" customWidth="1"/>
    <col min="3800" max="3803" width="0" style="13" hidden="1" customWidth="1"/>
    <col min="3804" max="4039" width="10.33203125" style="13"/>
    <col min="4040" max="4040" width="7" style="13" customWidth="1"/>
    <col min="4041" max="4041" width="13" style="13" customWidth="1"/>
    <col min="4042" max="4042" width="14.109375" style="13" customWidth="1"/>
    <col min="4043" max="4043" width="17.33203125" style="13" customWidth="1"/>
    <col min="4044" max="4044" width="18.88671875" style="13" customWidth="1"/>
    <col min="4045" max="4045" width="14.109375" style="13" customWidth="1"/>
    <col min="4046" max="4046" width="21.5546875" style="13" customWidth="1"/>
    <col min="4047" max="4048" width="14.109375" style="13" customWidth="1"/>
    <col min="4049" max="4049" width="15" style="13" customWidth="1"/>
    <col min="4050" max="4050" width="13.33203125" style="13" customWidth="1"/>
    <col min="4051" max="4051" width="17" style="13" customWidth="1"/>
    <col min="4052" max="4052" width="24.88671875" style="13" customWidth="1"/>
    <col min="4053" max="4053" width="14.44140625" style="13" customWidth="1"/>
    <col min="4054" max="4054" width="23.109375" style="13" customWidth="1"/>
    <col min="4055" max="4055" width="13.109375" style="13" customWidth="1"/>
    <col min="4056" max="4059" width="0" style="13" hidden="1" customWidth="1"/>
    <col min="4060" max="4295" width="10.33203125" style="13"/>
    <col min="4296" max="4296" width="7" style="13" customWidth="1"/>
    <col min="4297" max="4297" width="13" style="13" customWidth="1"/>
    <col min="4298" max="4298" width="14.109375" style="13" customWidth="1"/>
    <col min="4299" max="4299" width="17.33203125" style="13" customWidth="1"/>
    <col min="4300" max="4300" width="18.88671875" style="13" customWidth="1"/>
    <col min="4301" max="4301" width="14.109375" style="13" customWidth="1"/>
    <col min="4302" max="4302" width="21.5546875" style="13" customWidth="1"/>
    <col min="4303" max="4304" width="14.109375" style="13" customWidth="1"/>
    <col min="4305" max="4305" width="15" style="13" customWidth="1"/>
    <col min="4306" max="4306" width="13.33203125" style="13" customWidth="1"/>
    <col min="4307" max="4307" width="17" style="13" customWidth="1"/>
    <col min="4308" max="4308" width="24.88671875" style="13" customWidth="1"/>
    <col min="4309" max="4309" width="14.44140625" style="13" customWidth="1"/>
    <col min="4310" max="4310" width="23.109375" style="13" customWidth="1"/>
    <col min="4311" max="4311" width="13.109375" style="13" customWidth="1"/>
    <col min="4312" max="4315" width="0" style="13" hidden="1" customWidth="1"/>
    <col min="4316" max="4551" width="10.33203125" style="13"/>
    <col min="4552" max="4552" width="7" style="13" customWidth="1"/>
    <col min="4553" max="4553" width="13" style="13" customWidth="1"/>
    <col min="4554" max="4554" width="14.109375" style="13" customWidth="1"/>
    <col min="4555" max="4555" width="17.33203125" style="13" customWidth="1"/>
    <col min="4556" max="4556" width="18.88671875" style="13" customWidth="1"/>
    <col min="4557" max="4557" width="14.109375" style="13" customWidth="1"/>
    <col min="4558" max="4558" width="21.5546875" style="13" customWidth="1"/>
    <col min="4559" max="4560" width="14.109375" style="13" customWidth="1"/>
    <col min="4561" max="4561" width="15" style="13" customWidth="1"/>
    <col min="4562" max="4562" width="13.33203125" style="13" customWidth="1"/>
    <col min="4563" max="4563" width="17" style="13" customWidth="1"/>
    <col min="4564" max="4564" width="24.88671875" style="13" customWidth="1"/>
    <col min="4565" max="4565" width="14.44140625" style="13" customWidth="1"/>
    <col min="4566" max="4566" width="23.109375" style="13" customWidth="1"/>
    <col min="4567" max="4567" width="13.109375" style="13" customWidth="1"/>
    <col min="4568" max="4571" width="0" style="13" hidden="1" customWidth="1"/>
    <col min="4572" max="4807" width="10.33203125" style="13"/>
    <col min="4808" max="4808" width="7" style="13" customWidth="1"/>
    <col min="4809" max="4809" width="13" style="13" customWidth="1"/>
    <col min="4810" max="4810" width="14.109375" style="13" customWidth="1"/>
    <col min="4811" max="4811" width="17.33203125" style="13" customWidth="1"/>
    <col min="4812" max="4812" width="18.88671875" style="13" customWidth="1"/>
    <col min="4813" max="4813" width="14.109375" style="13" customWidth="1"/>
    <col min="4814" max="4814" width="21.5546875" style="13" customWidth="1"/>
    <col min="4815" max="4816" width="14.109375" style="13" customWidth="1"/>
    <col min="4817" max="4817" width="15" style="13" customWidth="1"/>
    <col min="4818" max="4818" width="13.33203125" style="13" customWidth="1"/>
    <col min="4819" max="4819" width="17" style="13" customWidth="1"/>
    <col min="4820" max="4820" width="24.88671875" style="13" customWidth="1"/>
    <col min="4821" max="4821" width="14.44140625" style="13" customWidth="1"/>
    <col min="4822" max="4822" width="23.109375" style="13" customWidth="1"/>
    <col min="4823" max="4823" width="13.109375" style="13" customWidth="1"/>
    <col min="4824" max="4827" width="0" style="13" hidden="1" customWidth="1"/>
    <col min="4828" max="5063" width="10.33203125" style="13"/>
    <col min="5064" max="5064" width="7" style="13" customWidth="1"/>
    <col min="5065" max="5065" width="13" style="13" customWidth="1"/>
    <col min="5066" max="5066" width="14.109375" style="13" customWidth="1"/>
    <col min="5067" max="5067" width="17.33203125" style="13" customWidth="1"/>
    <col min="5068" max="5068" width="18.88671875" style="13" customWidth="1"/>
    <col min="5069" max="5069" width="14.109375" style="13" customWidth="1"/>
    <col min="5070" max="5070" width="21.5546875" style="13" customWidth="1"/>
    <col min="5071" max="5072" width="14.109375" style="13" customWidth="1"/>
    <col min="5073" max="5073" width="15" style="13" customWidth="1"/>
    <col min="5074" max="5074" width="13.33203125" style="13" customWidth="1"/>
    <col min="5075" max="5075" width="17" style="13" customWidth="1"/>
    <col min="5076" max="5076" width="24.88671875" style="13" customWidth="1"/>
    <col min="5077" max="5077" width="14.44140625" style="13" customWidth="1"/>
    <col min="5078" max="5078" width="23.109375" style="13" customWidth="1"/>
    <col min="5079" max="5079" width="13.109375" style="13" customWidth="1"/>
    <col min="5080" max="5083" width="0" style="13" hidden="1" customWidth="1"/>
    <col min="5084" max="5319" width="10.33203125" style="13"/>
    <col min="5320" max="5320" width="7" style="13" customWidth="1"/>
    <col min="5321" max="5321" width="13" style="13" customWidth="1"/>
    <col min="5322" max="5322" width="14.109375" style="13" customWidth="1"/>
    <col min="5323" max="5323" width="17.33203125" style="13" customWidth="1"/>
    <col min="5324" max="5324" width="18.88671875" style="13" customWidth="1"/>
    <col min="5325" max="5325" width="14.109375" style="13" customWidth="1"/>
    <col min="5326" max="5326" width="21.5546875" style="13" customWidth="1"/>
    <col min="5327" max="5328" width="14.109375" style="13" customWidth="1"/>
    <col min="5329" max="5329" width="15" style="13" customWidth="1"/>
    <col min="5330" max="5330" width="13.33203125" style="13" customWidth="1"/>
    <col min="5331" max="5331" width="17" style="13" customWidth="1"/>
    <col min="5332" max="5332" width="24.88671875" style="13" customWidth="1"/>
    <col min="5333" max="5333" width="14.44140625" style="13" customWidth="1"/>
    <col min="5334" max="5334" width="23.109375" style="13" customWidth="1"/>
    <col min="5335" max="5335" width="13.109375" style="13" customWidth="1"/>
    <col min="5336" max="5339" width="0" style="13" hidden="1" customWidth="1"/>
    <col min="5340" max="5575" width="10.33203125" style="13"/>
    <col min="5576" max="5576" width="7" style="13" customWidth="1"/>
    <col min="5577" max="5577" width="13" style="13" customWidth="1"/>
    <col min="5578" max="5578" width="14.109375" style="13" customWidth="1"/>
    <col min="5579" max="5579" width="17.33203125" style="13" customWidth="1"/>
    <col min="5580" max="5580" width="18.88671875" style="13" customWidth="1"/>
    <col min="5581" max="5581" width="14.109375" style="13" customWidth="1"/>
    <col min="5582" max="5582" width="21.5546875" style="13" customWidth="1"/>
    <col min="5583" max="5584" width="14.109375" style="13" customWidth="1"/>
    <col min="5585" max="5585" width="15" style="13" customWidth="1"/>
    <col min="5586" max="5586" width="13.33203125" style="13" customWidth="1"/>
    <col min="5587" max="5587" width="17" style="13" customWidth="1"/>
    <col min="5588" max="5588" width="24.88671875" style="13" customWidth="1"/>
    <col min="5589" max="5589" width="14.44140625" style="13" customWidth="1"/>
    <col min="5590" max="5590" width="23.109375" style="13" customWidth="1"/>
    <col min="5591" max="5591" width="13.109375" style="13" customWidth="1"/>
    <col min="5592" max="5595" width="0" style="13" hidden="1" customWidth="1"/>
    <col min="5596" max="5831" width="10.33203125" style="13"/>
    <col min="5832" max="5832" width="7" style="13" customWidth="1"/>
    <col min="5833" max="5833" width="13" style="13" customWidth="1"/>
    <col min="5834" max="5834" width="14.109375" style="13" customWidth="1"/>
    <col min="5835" max="5835" width="17.33203125" style="13" customWidth="1"/>
    <col min="5836" max="5836" width="18.88671875" style="13" customWidth="1"/>
    <col min="5837" max="5837" width="14.109375" style="13" customWidth="1"/>
    <col min="5838" max="5838" width="21.5546875" style="13" customWidth="1"/>
    <col min="5839" max="5840" width="14.109375" style="13" customWidth="1"/>
    <col min="5841" max="5841" width="15" style="13" customWidth="1"/>
    <col min="5842" max="5842" width="13.33203125" style="13" customWidth="1"/>
    <col min="5843" max="5843" width="17" style="13" customWidth="1"/>
    <col min="5844" max="5844" width="24.88671875" style="13" customWidth="1"/>
    <col min="5845" max="5845" width="14.44140625" style="13" customWidth="1"/>
    <col min="5846" max="5846" width="23.109375" style="13" customWidth="1"/>
    <col min="5847" max="5847" width="13.109375" style="13" customWidth="1"/>
    <col min="5848" max="5851" width="0" style="13" hidden="1" customWidth="1"/>
    <col min="5852" max="6087" width="10.33203125" style="13"/>
    <col min="6088" max="6088" width="7" style="13" customWidth="1"/>
    <col min="6089" max="6089" width="13" style="13" customWidth="1"/>
    <col min="6090" max="6090" width="14.109375" style="13" customWidth="1"/>
    <col min="6091" max="6091" width="17.33203125" style="13" customWidth="1"/>
    <col min="6092" max="6092" width="18.88671875" style="13" customWidth="1"/>
    <col min="6093" max="6093" width="14.109375" style="13" customWidth="1"/>
    <col min="6094" max="6094" width="21.5546875" style="13" customWidth="1"/>
    <col min="6095" max="6096" width="14.109375" style="13" customWidth="1"/>
    <col min="6097" max="6097" width="15" style="13" customWidth="1"/>
    <col min="6098" max="6098" width="13.33203125" style="13" customWidth="1"/>
    <col min="6099" max="6099" width="17" style="13" customWidth="1"/>
    <col min="6100" max="6100" width="24.88671875" style="13" customWidth="1"/>
    <col min="6101" max="6101" width="14.44140625" style="13" customWidth="1"/>
    <col min="6102" max="6102" width="23.109375" style="13" customWidth="1"/>
    <col min="6103" max="6103" width="13.109375" style="13" customWidth="1"/>
    <col min="6104" max="6107" width="0" style="13" hidden="1" customWidth="1"/>
    <col min="6108" max="6343" width="10.33203125" style="13"/>
    <col min="6344" max="6344" width="7" style="13" customWidth="1"/>
    <col min="6345" max="6345" width="13" style="13" customWidth="1"/>
    <col min="6346" max="6346" width="14.109375" style="13" customWidth="1"/>
    <col min="6347" max="6347" width="17.33203125" style="13" customWidth="1"/>
    <col min="6348" max="6348" width="18.88671875" style="13" customWidth="1"/>
    <col min="6349" max="6349" width="14.109375" style="13" customWidth="1"/>
    <col min="6350" max="6350" width="21.5546875" style="13" customWidth="1"/>
    <col min="6351" max="6352" width="14.109375" style="13" customWidth="1"/>
    <col min="6353" max="6353" width="15" style="13" customWidth="1"/>
    <col min="6354" max="6354" width="13.33203125" style="13" customWidth="1"/>
    <col min="6355" max="6355" width="17" style="13" customWidth="1"/>
    <col min="6356" max="6356" width="24.88671875" style="13" customWidth="1"/>
    <col min="6357" max="6357" width="14.44140625" style="13" customWidth="1"/>
    <col min="6358" max="6358" width="23.109375" style="13" customWidth="1"/>
    <col min="6359" max="6359" width="13.109375" style="13" customWidth="1"/>
    <col min="6360" max="6363" width="0" style="13" hidden="1" customWidth="1"/>
    <col min="6364" max="6599" width="10.33203125" style="13"/>
    <col min="6600" max="6600" width="7" style="13" customWidth="1"/>
    <col min="6601" max="6601" width="13" style="13" customWidth="1"/>
    <col min="6602" max="6602" width="14.109375" style="13" customWidth="1"/>
    <col min="6603" max="6603" width="17.33203125" style="13" customWidth="1"/>
    <col min="6604" max="6604" width="18.88671875" style="13" customWidth="1"/>
    <col min="6605" max="6605" width="14.109375" style="13" customWidth="1"/>
    <col min="6606" max="6606" width="21.5546875" style="13" customWidth="1"/>
    <col min="6607" max="6608" width="14.109375" style="13" customWidth="1"/>
    <col min="6609" max="6609" width="15" style="13" customWidth="1"/>
    <col min="6610" max="6610" width="13.33203125" style="13" customWidth="1"/>
    <col min="6611" max="6611" width="17" style="13" customWidth="1"/>
    <col min="6612" max="6612" width="24.88671875" style="13" customWidth="1"/>
    <col min="6613" max="6613" width="14.44140625" style="13" customWidth="1"/>
    <col min="6614" max="6614" width="23.109375" style="13" customWidth="1"/>
    <col min="6615" max="6615" width="13.109375" style="13" customWidth="1"/>
    <col min="6616" max="6619" width="0" style="13" hidden="1" customWidth="1"/>
    <col min="6620" max="6855" width="10.33203125" style="13"/>
    <col min="6856" max="6856" width="7" style="13" customWidth="1"/>
    <col min="6857" max="6857" width="13" style="13" customWidth="1"/>
    <col min="6858" max="6858" width="14.109375" style="13" customWidth="1"/>
    <col min="6859" max="6859" width="17.33203125" style="13" customWidth="1"/>
    <col min="6860" max="6860" width="18.88671875" style="13" customWidth="1"/>
    <col min="6861" max="6861" width="14.109375" style="13" customWidth="1"/>
    <col min="6862" max="6862" width="21.5546875" style="13" customWidth="1"/>
    <col min="6863" max="6864" width="14.109375" style="13" customWidth="1"/>
    <col min="6865" max="6865" width="15" style="13" customWidth="1"/>
    <col min="6866" max="6866" width="13.33203125" style="13" customWidth="1"/>
    <col min="6867" max="6867" width="17" style="13" customWidth="1"/>
    <col min="6868" max="6868" width="24.88671875" style="13" customWidth="1"/>
    <col min="6869" max="6869" width="14.44140625" style="13" customWidth="1"/>
    <col min="6870" max="6870" width="23.109375" style="13" customWidth="1"/>
    <col min="6871" max="6871" width="13.109375" style="13" customWidth="1"/>
    <col min="6872" max="6875" width="0" style="13" hidden="1" customWidth="1"/>
    <col min="6876" max="7111" width="10.33203125" style="13"/>
    <col min="7112" max="7112" width="7" style="13" customWidth="1"/>
    <col min="7113" max="7113" width="13" style="13" customWidth="1"/>
    <col min="7114" max="7114" width="14.109375" style="13" customWidth="1"/>
    <col min="7115" max="7115" width="17.33203125" style="13" customWidth="1"/>
    <col min="7116" max="7116" width="18.88671875" style="13" customWidth="1"/>
    <col min="7117" max="7117" width="14.109375" style="13" customWidth="1"/>
    <col min="7118" max="7118" width="21.5546875" style="13" customWidth="1"/>
    <col min="7119" max="7120" width="14.109375" style="13" customWidth="1"/>
    <col min="7121" max="7121" width="15" style="13" customWidth="1"/>
    <col min="7122" max="7122" width="13.33203125" style="13" customWidth="1"/>
    <col min="7123" max="7123" width="17" style="13" customWidth="1"/>
    <col min="7124" max="7124" width="24.88671875" style="13" customWidth="1"/>
    <col min="7125" max="7125" width="14.44140625" style="13" customWidth="1"/>
    <col min="7126" max="7126" width="23.109375" style="13" customWidth="1"/>
    <col min="7127" max="7127" width="13.109375" style="13" customWidth="1"/>
    <col min="7128" max="7131" width="0" style="13" hidden="1" customWidth="1"/>
    <col min="7132" max="7367" width="10.33203125" style="13"/>
    <col min="7368" max="7368" width="7" style="13" customWidth="1"/>
    <col min="7369" max="7369" width="13" style="13" customWidth="1"/>
    <col min="7370" max="7370" width="14.109375" style="13" customWidth="1"/>
    <col min="7371" max="7371" width="17.33203125" style="13" customWidth="1"/>
    <col min="7372" max="7372" width="18.88671875" style="13" customWidth="1"/>
    <col min="7373" max="7373" width="14.109375" style="13" customWidth="1"/>
    <col min="7374" max="7374" width="21.5546875" style="13" customWidth="1"/>
    <col min="7375" max="7376" width="14.109375" style="13" customWidth="1"/>
    <col min="7377" max="7377" width="15" style="13" customWidth="1"/>
    <col min="7378" max="7378" width="13.33203125" style="13" customWidth="1"/>
    <col min="7379" max="7379" width="17" style="13" customWidth="1"/>
    <col min="7380" max="7380" width="24.88671875" style="13" customWidth="1"/>
    <col min="7381" max="7381" width="14.44140625" style="13" customWidth="1"/>
    <col min="7382" max="7382" width="23.109375" style="13" customWidth="1"/>
    <col min="7383" max="7383" width="13.109375" style="13" customWidth="1"/>
    <col min="7384" max="7387" width="0" style="13" hidden="1" customWidth="1"/>
    <col min="7388" max="7623" width="10.33203125" style="13"/>
    <col min="7624" max="7624" width="7" style="13" customWidth="1"/>
    <col min="7625" max="7625" width="13" style="13" customWidth="1"/>
    <col min="7626" max="7626" width="14.109375" style="13" customWidth="1"/>
    <col min="7627" max="7627" width="17.33203125" style="13" customWidth="1"/>
    <col min="7628" max="7628" width="18.88671875" style="13" customWidth="1"/>
    <col min="7629" max="7629" width="14.109375" style="13" customWidth="1"/>
    <col min="7630" max="7630" width="21.5546875" style="13" customWidth="1"/>
    <col min="7631" max="7632" width="14.109375" style="13" customWidth="1"/>
    <col min="7633" max="7633" width="15" style="13" customWidth="1"/>
    <col min="7634" max="7634" width="13.33203125" style="13" customWidth="1"/>
    <col min="7635" max="7635" width="17" style="13" customWidth="1"/>
    <col min="7636" max="7636" width="24.88671875" style="13" customWidth="1"/>
    <col min="7637" max="7637" width="14.44140625" style="13" customWidth="1"/>
    <col min="7638" max="7638" width="23.109375" style="13" customWidth="1"/>
    <col min="7639" max="7639" width="13.109375" style="13" customWidth="1"/>
    <col min="7640" max="7643" width="0" style="13" hidden="1" customWidth="1"/>
    <col min="7644" max="7879" width="10.33203125" style="13"/>
    <col min="7880" max="7880" width="7" style="13" customWidth="1"/>
    <col min="7881" max="7881" width="13" style="13" customWidth="1"/>
    <col min="7882" max="7882" width="14.109375" style="13" customWidth="1"/>
    <col min="7883" max="7883" width="17.33203125" style="13" customWidth="1"/>
    <col min="7884" max="7884" width="18.88671875" style="13" customWidth="1"/>
    <col min="7885" max="7885" width="14.109375" style="13" customWidth="1"/>
    <col min="7886" max="7886" width="21.5546875" style="13" customWidth="1"/>
    <col min="7887" max="7888" width="14.109375" style="13" customWidth="1"/>
    <col min="7889" max="7889" width="15" style="13" customWidth="1"/>
    <col min="7890" max="7890" width="13.33203125" style="13" customWidth="1"/>
    <col min="7891" max="7891" width="17" style="13" customWidth="1"/>
    <col min="7892" max="7892" width="24.88671875" style="13" customWidth="1"/>
    <col min="7893" max="7893" width="14.44140625" style="13" customWidth="1"/>
    <col min="7894" max="7894" width="23.109375" style="13" customWidth="1"/>
    <col min="7895" max="7895" width="13.109375" style="13" customWidth="1"/>
    <col min="7896" max="7899" width="0" style="13" hidden="1" customWidth="1"/>
    <col min="7900" max="8135" width="10.33203125" style="13"/>
    <col min="8136" max="8136" width="7" style="13" customWidth="1"/>
    <col min="8137" max="8137" width="13" style="13" customWidth="1"/>
    <col min="8138" max="8138" width="14.109375" style="13" customWidth="1"/>
    <col min="8139" max="8139" width="17.33203125" style="13" customWidth="1"/>
    <col min="8140" max="8140" width="18.88671875" style="13" customWidth="1"/>
    <col min="8141" max="8141" width="14.109375" style="13" customWidth="1"/>
    <col min="8142" max="8142" width="21.5546875" style="13" customWidth="1"/>
    <col min="8143" max="8144" width="14.109375" style="13" customWidth="1"/>
    <col min="8145" max="8145" width="15" style="13" customWidth="1"/>
    <col min="8146" max="8146" width="13.33203125" style="13" customWidth="1"/>
    <col min="8147" max="8147" width="17" style="13" customWidth="1"/>
    <col min="8148" max="8148" width="24.88671875" style="13" customWidth="1"/>
    <col min="8149" max="8149" width="14.44140625" style="13" customWidth="1"/>
    <col min="8150" max="8150" width="23.109375" style="13" customWidth="1"/>
    <col min="8151" max="8151" width="13.109375" style="13" customWidth="1"/>
    <col min="8152" max="8155" width="0" style="13" hidden="1" customWidth="1"/>
    <col min="8156" max="8391" width="10.33203125" style="13"/>
    <col min="8392" max="8392" width="7" style="13" customWidth="1"/>
    <col min="8393" max="8393" width="13" style="13" customWidth="1"/>
    <col min="8394" max="8394" width="14.109375" style="13" customWidth="1"/>
    <col min="8395" max="8395" width="17.33203125" style="13" customWidth="1"/>
    <col min="8396" max="8396" width="18.88671875" style="13" customWidth="1"/>
    <col min="8397" max="8397" width="14.109375" style="13" customWidth="1"/>
    <col min="8398" max="8398" width="21.5546875" style="13" customWidth="1"/>
    <col min="8399" max="8400" width="14.109375" style="13" customWidth="1"/>
    <col min="8401" max="8401" width="15" style="13" customWidth="1"/>
    <col min="8402" max="8402" width="13.33203125" style="13" customWidth="1"/>
    <col min="8403" max="8403" width="17" style="13" customWidth="1"/>
    <col min="8404" max="8404" width="24.88671875" style="13" customWidth="1"/>
    <col min="8405" max="8405" width="14.44140625" style="13" customWidth="1"/>
    <col min="8406" max="8406" width="23.109375" style="13" customWidth="1"/>
    <col min="8407" max="8407" width="13.109375" style="13" customWidth="1"/>
    <col min="8408" max="8411" width="0" style="13" hidden="1" customWidth="1"/>
    <col min="8412" max="8647" width="10.33203125" style="13"/>
    <col min="8648" max="8648" width="7" style="13" customWidth="1"/>
    <col min="8649" max="8649" width="13" style="13" customWidth="1"/>
    <col min="8650" max="8650" width="14.109375" style="13" customWidth="1"/>
    <col min="8651" max="8651" width="17.33203125" style="13" customWidth="1"/>
    <col min="8652" max="8652" width="18.88671875" style="13" customWidth="1"/>
    <col min="8653" max="8653" width="14.109375" style="13" customWidth="1"/>
    <col min="8654" max="8654" width="21.5546875" style="13" customWidth="1"/>
    <col min="8655" max="8656" width="14.109375" style="13" customWidth="1"/>
    <col min="8657" max="8657" width="15" style="13" customWidth="1"/>
    <col min="8658" max="8658" width="13.33203125" style="13" customWidth="1"/>
    <col min="8659" max="8659" width="17" style="13" customWidth="1"/>
    <col min="8660" max="8660" width="24.88671875" style="13" customWidth="1"/>
    <col min="8661" max="8661" width="14.44140625" style="13" customWidth="1"/>
    <col min="8662" max="8662" width="23.109375" style="13" customWidth="1"/>
    <col min="8663" max="8663" width="13.109375" style="13" customWidth="1"/>
    <col min="8664" max="8667" width="0" style="13" hidden="1" customWidth="1"/>
    <col min="8668" max="8903" width="10.33203125" style="13"/>
    <col min="8904" max="8904" width="7" style="13" customWidth="1"/>
    <col min="8905" max="8905" width="13" style="13" customWidth="1"/>
    <col min="8906" max="8906" width="14.109375" style="13" customWidth="1"/>
    <col min="8907" max="8907" width="17.33203125" style="13" customWidth="1"/>
    <col min="8908" max="8908" width="18.88671875" style="13" customWidth="1"/>
    <col min="8909" max="8909" width="14.109375" style="13" customWidth="1"/>
    <col min="8910" max="8910" width="21.5546875" style="13" customWidth="1"/>
    <col min="8911" max="8912" width="14.109375" style="13" customWidth="1"/>
    <col min="8913" max="8913" width="15" style="13" customWidth="1"/>
    <col min="8914" max="8914" width="13.33203125" style="13" customWidth="1"/>
    <col min="8915" max="8915" width="17" style="13" customWidth="1"/>
    <col min="8916" max="8916" width="24.88671875" style="13" customWidth="1"/>
    <col min="8917" max="8917" width="14.44140625" style="13" customWidth="1"/>
    <col min="8918" max="8918" width="23.109375" style="13" customWidth="1"/>
    <col min="8919" max="8919" width="13.109375" style="13" customWidth="1"/>
    <col min="8920" max="8923" width="0" style="13" hidden="1" customWidth="1"/>
    <col min="8924" max="9159" width="10.33203125" style="13"/>
    <col min="9160" max="9160" width="7" style="13" customWidth="1"/>
    <col min="9161" max="9161" width="13" style="13" customWidth="1"/>
    <col min="9162" max="9162" width="14.109375" style="13" customWidth="1"/>
    <col min="9163" max="9163" width="17.33203125" style="13" customWidth="1"/>
    <col min="9164" max="9164" width="18.88671875" style="13" customWidth="1"/>
    <col min="9165" max="9165" width="14.109375" style="13" customWidth="1"/>
    <col min="9166" max="9166" width="21.5546875" style="13" customWidth="1"/>
    <col min="9167" max="9168" width="14.109375" style="13" customWidth="1"/>
    <col min="9169" max="9169" width="15" style="13" customWidth="1"/>
    <col min="9170" max="9170" width="13.33203125" style="13" customWidth="1"/>
    <col min="9171" max="9171" width="17" style="13" customWidth="1"/>
    <col min="9172" max="9172" width="24.88671875" style="13" customWidth="1"/>
    <col min="9173" max="9173" width="14.44140625" style="13" customWidth="1"/>
    <col min="9174" max="9174" width="23.109375" style="13" customWidth="1"/>
    <col min="9175" max="9175" width="13.109375" style="13" customWidth="1"/>
    <col min="9176" max="9179" width="0" style="13" hidden="1" customWidth="1"/>
    <col min="9180" max="9415" width="10.33203125" style="13"/>
    <col min="9416" max="9416" width="7" style="13" customWidth="1"/>
    <col min="9417" max="9417" width="13" style="13" customWidth="1"/>
    <col min="9418" max="9418" width="14.109375" style="13" customWidth="1"/>
    <col min="9419" max="9419" width="17.33203125" style="13" customWidth="1"/>
    <col min="9420" max="9420" width="18.88671875" style="13" customWidth="1"/>
    <col min="9421" max="9421" width="14.109375" style="13" customWidth="1"/>
    <col min="9422" max="9422" width="21.5546875" style="13" customWidth="1"/>
    <col min="9423" max="9424" width="14.109375" style="13" customWidth="1"/>
    <col min="9425" max="9425" width="15" style="13" customWidth="1"/>
    <col min="9426" max="9426" width="13.33203125" style="13" customWidth="1"/>
    <col min="9427" max="9427" width="17" style="13" customWidth="1"/>
    <col min="9428" max="9428" width="24.88671875" style="13" customWidth="1"/>
    <col min="9429" max="9429" width="14.44140625" style="13" customWidth="1"/>
    <col min="9430" max="9430" width="23.109375" style="13" customWidth="1"/>
    <col min="9431" max="9431" width="13.109375" style="13" customWidth="1"/>
    <col min="9432" max="9435" width="0" style="13" hidden="1" customWidth="1"/>
    <col min="9436" max="9671" width="10.33203125" style="13"/>
    <col min="9672" max="9672" width="7" style="13" customWidth="1"/>
    <col min="9673" max="9673" width="13" style="13" customWidth="1"/>
    <col min="9674" max="9674" width="14.109375" style="13" customWidth="1"/>
    <col min="9675" max="9675" width="17.33203125" style="13" customWidth="1"/>
    <col min="9676" max="9676" width="18.88671875" style="13" customWidth="1"/>
    <col min="9677" max="9677" width="14.109375" style="13" customWidth="1"/>
    <col min="9678" max="9678" width="21.5546875" style="13" customWidth="1"/>
    <col min="9679" max="9680" width="14.109375" style="13" customWidth="1"/>
    <col min="9681" max="9681" width="15" style="13" customWidth="1"/>
    <col min="9682" max="9682" width="13.33203125" style="13" customWidth="1"/>
    <col min="9683" max="9683" width="17" style="13" customWidth="1"/>
    <col min="9684" max="9684" width="24.88671875" style="13" customWidth="1"/>
    <col min="9685" max="9685" width="14.44140625" style="13" customWidth="1"/>
    <col min="9686" max="9686" width="23.109375" style="13" customWidth="1"/>
    <col min="9687" max="9687" width="13.109375" style="13" customWidth="1"/>
    <col min="9688" max="9691" width="0" style="13" hidden="1" customWidth="1"/>
    <col min="9692" max="9927" width="10.33203125" style="13"/>
    <col min="9928" max="9928" width="7" style="13" customWidth="1"/>
    <col min="9929" max="9929" width="13" style="13" customWidth="1"/>
    <col min="9930" max="9930" width="14.109375" style="13" customWidth="1"/>
    <col min="9931" max="9931" width="17.33203125" style="13" customWidth="1"/>
    <col min="9932" max="9932" width="18.88671875" style="13" customWidth="1"/>
    <col min="9933" max="9933" width="14.109375" style="13" customWidth="1"/>
    <col min="9934" max="9934" width="21.5546875" style="13" customWidth="1"/>
    <col min="9935" max="9936" width="14.109375" style="13" customWidth="1"/>
    <col min="9937" max="9937" width="15" style="13" customWidth="1"/>
    <col min="9938" max="9938" width="13.33203125" style="13" customWidth="1"/>
    <col min="9939" max="9939" width="17" style="13" customWidth="1"/>
    <col min="9940" max="9940" width="24.88671875" style="13" customWidth="1"/>
    <col min="9941" max="9941" width="14.44140625" style="13" customWidth="1"/>
    <col min="9942" max="9942" width="23.109375" style="13" customWidth="1"/>
    <col min="9943" max="9943" width="13.109375" style="13" customWidth="1"/>
    <col min="9944" max="9947" width="0" style="13" hidden="1" customWidth="1"/>
    <col min="9948" max="10183" width="10.33203125" style="13"/>
    <col min="10184" max="10184" width="7" style="13" customWidth="1"/>
    <col min="10185" max="10185" width="13" style="13" customWidth="1"/>
    <col min="10186" max="10186" width="14.109375" style="13" customWidth="1"/>
    <col min="10187" max="10187" width="17.33203125" style="13" customWidth="1"/>
    <col min="10188" max="10188" width="18.88671875" style="13" customWidth="1"/>
    <col min="10189" max="10189" width="14.109375" style="13" customWidth="1"/>
    <col min="10190" max="10190" width="21.5546875" style="13" customWidth="1"/>
    <col min="10191" max="10192" width="14.109375" style="13" customWidth="1"/>
    <col min="10193" max="10193" width="15" style="13" customWidth="1"/>
    <col min="10194" max="10194" width="13.33203125" style="13" customWidth="1"/>
    <col min="10195" max="10195" width="17" style="13" customWidth="1"/>
    <col min="10196" max="10196" width="24.88671875" style="13" customWidth="1"/>
    <col min="10197" max="10197" width="14.44140625" style="13" customWidth="1"/>
    <col min="10198" max="10198" width="23.109375" style="13" customWidth="1"/>
    <col min="10199" max="10199" width="13.109375" style="13" customWidth="1"/>
    <col min="10200" max="10203" width="0" style="13" hidden="1" customWidth="1"/>
    <col min="10204" max="10439" width="10.33203125" style="13"/>
    <col min="10440" max="10440" width="7" style="13" customWidth="1"/>
    <col min="10441" max="10441" width="13" style="13" customWidth="1"/>
    <col min="10442" max="10442" width="14.109375" style="13" customWidth="1"/>
    <col min="10443" max="10443" width="17.33203125" style="13" customWidth="1"/>
    <col min="10444" max="10444" width="18.88671875" style="13" customWidth="1"/>
    <col min="10445" max="10445" width="14.109375" style="13" customWidth="1"/>
    <col min="10446" max="10446" width="21.5546875" style="13" customWidth="1"/>
    <col min="10447" max="10448" width="14.109375" style="13" customWidth="1"/>
    <col min="10449" max="10449" width="15" style="13" customWidth="1"/>
    <col min="10450" max="10450" width="13.33203125" style="13" customWidth="1"/>
    <col min="10451" max="10451" width="17" style="13" customWidth="1"/>
    <col min="10452" max="10452" width="24.88671875" style="13" customWidth="1"/>
    <col min="10453" max="10453" width="14.44140625" style="13" customWidth="1"/>
    <col min="10454" max="10454" width="23.109375" style="13" customWidth="1"/>
    <col min="10455" max="10455" width="13.109375" style="13" customWidth="1"/>
    <col min="10456" max="10459" width="0" style="13" hidden="1" customWidth="1"/>
    <col min="10460" max="10695" width="10.33203125" style="13"/>
    <col min="10696" max="10696" width="7" style="13" customWidth="1"/>
    <col min="10697" max="10697" width="13" style="13" customWidth="1"/>
    <col min="10698" max="10698" width="14.109375" style="13" customWidth="1"/>
    <col min="10699" max="10699" width="17.33203125" style="13" customWidth="1"/>
    <col min="10700" max="10700" width="18.88671875" style="13" customWidth="1"/>
    <col min="10701" max="10701" width="14.109375" style="13" customWidth="1"/>
    <col min="10702" max="10702" width="21.5546875" style="13" customWidth="1"/>
    <col min="10703" max="10704" width="14.109375" style="13" customWidth="1"/>
    <col min="10705" max="10705" width="15" style="13" customWidth="1"/>
    <col min="10706" max="10706" width="13.33203125" style="13" customWidth="1"/>
    <col min="10707" max="10707" width="17" style="13" customWidth="1"/>
    <col min="10708" max="10708" width="24.88671875" style="13" customWidth="1"/>
    <col min="10709" max="10709" width="14.44140625" style="13" customWidth="1"/>
    <col min="10710" max="10710" width="23.109375" style="13" customWidth="1"/>
    <col min="10711" max="10711" width="13.109375" style="13" customWidth="1"/>
    <col min="10712" max="10715" width="0" style="13" hidden="1" customWidth="1"/>
    <col min="10716" max="10951" width="10.33203125" style="13"/>
    <col min="10952" max="10952" width="7" style="13" customWidth="1"/>
    <col min="10953" max="10953" width="13" style="13" customWidth="1"/>
    <col min="10954" max="10954" width="14.109375" style="13" customWidth="1"/>
    <col min="10955" max="10955" width="17.33203125" style="13" customWidth="1"/>
    <col min="10956" max="10956" width="18.88671875" style="13" customWidth="1"/>
    <col min="10957" max="10957" width="14.109375" style="13" customWidth="1"/>
    <col min="10958" max="10958" width="21.5546875" style="13" customWidth="1"/>
    <col min="10959" max="10960" width="14.109375" style="13" customWidth="1"/>
    <col min="10961" max="10961" width="15" style="13" customWidth="1"/>
    <col min="10962" max="10962" width="13.33203125" style="13" customWidth="1"/>
    <col min="10963" max="10963" width="17" style="13" customWidth="1"/>
    <col min="10964" max="10964" width="24.88671875" style="13" customWidth="1"/>
    <col min="10965" max="10965" width="14.44140625" style="13" customWidth="1"/>
    <col min="10966" max="10966" width="23.109375" style="13" customWidth="1"/>
    <col min="10967" max="10967" width="13.109375" style="13" customWidth="1"/>
    <col min="10968" max="10971" width="0" style="13" hidden="1" customWidth="1"/>
    <col min="10972" max="11207" width="10.33203125" style="13"/>
    <col min="11208" max="11208" width="7" style="13" customWidth="1"/>
    <col min="11209" max="11209" width="13" style="13" customWidth="1"/>
    <col min="11210" max="11210" width="14.109375" style="13" customWidth="1"/>
    <col min="11211" max="11211" width="17.33203125" style="13" customWidth="1"/>
    <col min="11212" max="11212" width="18.88671875" style="13" customWidth="1"/>
    <col min="11213" max="11213" width="14.109375" style="13" customWidth="1"/>
    <col min="11214" max="11214" width="21.5546875" style="13" customWidth="1"/>
    <col min="11215" max="11216" width="14.109375" style="13" customWidth="1"/>
    <col min="11217" max="11217" width="15" style="13" customWidth="1"/>
    <col min="11218" max="11218" width="13.33203125" style="13" customWidth="1"/>
    <col min="11219" max="11219" width="17" style="13" customWidth="1"/>
    <col min="11220" max="11220" width="24.88671875" style="13" customWidth="1"/>
    <col min="11221" max="11221" width="14.44140625" style="13" customWidth="1"/>
    <col min="11222" max="11222" width="23.109375" style="13" customWidth="1"/>
    <col min="11223" max="11223" width="13.109375" style="13" customWidth="1"/>
    <col min="11224" max="11227" width="0" style="13" hidden="1" customWidth="1"/>
    <col min="11228" max="11463" width="10.33203125" style="13"/>
    <col min="11464" max="11464" width="7" style="13" customWidth="1"/>
    <col min="11465" max="11465" width="13" style="13" customWidth="1"/>
    <col min="11466" max="11466" width="14.109375" style="13" customWidth="1"/>
    <col min="11467" max="11467" width="17.33203125" style="13" customWidth="1"/>
    <col min="11468" max="11468" width="18.88671875" style="13" customWidth="1"/>
    <col min="11469" max="11469" width="14.109375" style="13" customWidth="1"/>
    <col min="11470" max="11470" width="21.5546875" style="13" customWidth="1"/>
    <col min="11471" max="11472" width="14.109375" style="13" customWidth="1"/>
    <col min="11473" max="11473" width="15" style="13" customWidth="1"/>
    <col min="11474" max="11474" width="13.33203125" style="13" customWidth="1"/>
    <col min="11475" max="11475" width="17" style="13" customWidth="1"/>
    <col min="11476" max="11476" width="24.88671875" style="13" customWidth="1"/>
    <col min="11477" max="11477" width="14.44140625" style="13" customWidth="1"/>
    <col min="11478" max="11478" width="23.109375" style="13" customWidth="1"/>
    <col min="11479" max="11479" width="13.109375" style="13" customWidth="1"/>
    <col min="11480" max="11483" width="0" style="13" hidden="1" customWidth="1"/>
    <col min="11484" max="11719" width="10.33203125" style="13"/>
    <col min="11720" max="11720" width="7" style="13" customWidth="1"/>
    <col min="11721" max="11721" width="13" style="13" customWidth="1"/>
    <col min="11722" max="11722" width="14.109375" style="13" customWidth="1"/>
    <col min="11723" max="11723" width="17.33203125" style="13" customWidth="1"/>
    <col min="11724" max="11724" width="18.88671875" style="13" customWidth="1"/>
    <col min="11725" max="11725" width="14.109375" style="13" customWidth="1"/>
    <col min="11726" max="11726" width="21.5546875" style="13" customWidth="1"/>
    <col min="11727" max="11728" width="14.109375" style="13" customWidth="1"/>
    <col min="11729" max="11729" width="15" style="13" customWidth="1"/>
    <col min="11730" max="11730" width="13.33203125" style="13" customWidth="1"/>
    <col min="11731" max="11731" width="17" style="13" customWidth="1"/>
    <col min="11732" max="11732" width="24.88671875" style="13" customWidth="1"/>
    <col min="11733" max="11733" width="14.44140625" style="13" customWidth="1"/>
    <col min="11734" max="11734" width="23.109375" style="13" customWidth="1"/>
    <col min="11735" max="11735" width="13.109375" style="13" customWidth="1"/>
    <col min="11736" max="11739" width="0" style="13" hidden="1" customWidth="1"/>
    <col min="11740" max="11975" width="10.33203125" style="13"/>
    <col min="11976" max="11976" width="7" style="13" customWidth="1"/>
    <col min="11977" max="11977" width="13" style="13" customWidth="1"/>
    <col min="11978" max="11978" width="14.109375" style="13" customWidth="1"/>
    <col min="11979" max="11979" width="17.33203125" style="13" customWidth="1"/>
    <col min="11980" max="11980" width="18.88671875" style="13" customWidth="1"/>
    <col min="11981" max="11981" width="14.109375" style="13" customWidth="1"/>
    <col min="11982" max="11982" width="21.5546875" style="13" customWidth="1"/>
    <col min="11983" max="11984" width="14.109375" style="13" customWidth="1"/>
    <col min="11985" max="11985" width="15" style="13" customWidth="1"/>
    <col min="11986" max="11986" width="13.33203125" style="13" customWidth="1"/>
    <col min="11987" max="11987" width="17" style="13" customWidth="1"/>
    <col min="11988" max="11988" width="24.88671875" style="13" customWidth="1"/>
    <col min="11989" max="11989" width="14.44140625" style="13" customWidth="1"/>
    <col min="11990" max="11990" width="23.109375" style="13" customWidth="1"/>
    <col min="11991" max="11991" width="13.109375" style="13" customWidth="1"/>
    <col min="11992" max="11995" width="0" style="13" hidden="1" customWidth="1"/>
    <col min="11996" max="12231" width="10.33203125" style="13"/>
    <col min="12232" max="12232" width="7" style="13" customWidth="1"/>
    <col min="12233" max="12233" width="13" style="13" customWidth="1"/>
    <col min="12234" max="12234" width="14.109375" style="13" customWidth="1"/>
    <col min="12235" max="12235" width="17.33203125" style="13" customWidth="1"/>
    <col min="12236" max="12236" width="18.88671875" style="13" customWidth="1"/>
    <col min="12237" max="12237" width="14.109375" style="13" customWidth="1"/>
    <col min="12238" max="12238" width="21.5546875" style="13" customWidth="1"/>
    <col min="12239" max="12240" width="14.109375" style="13" customWidth="1"/>
    <col min="12241" max="12241" width="15" style="13" customWidth="1"/>
    <col min="12242" max="12242" width="13.33203125" style="13" customWidth="1"/>
    <col min="12243" max="12243" width="17" style="13" customWidth="1"/>
    <col min="12244" max="12244" width="24.88671875" style="13" customWidth="1"/>
    <col min="12245" max="12245" width="14.44140625" style="13" customWidth="1"/>
    <col min="12246" max="12246" width="23.109375" style="13" customWidth="1"/>
    <col min="12247" max="12247" width="13.109375" style="13" customWidth="1"/>
    <col min="12248" max="12251" width="0" style="13" hidden="1" customWidth="1"/>
    <col min="12252" max="12487" width="10.33203125" style="13"/>
    <col min="12488" max="12488" width="7" style="13" customWidth="1"/>
    <col min="12489" max="12489" width="13" style="13" customWidth="1"/>
    <col min="12490" max="12490" width="14.109375" style="13" customWidth="1"/>
    <col min="12491" max="12491" width="17.33203125" style="13" customWidth="1"/>
    <col min="12492" max="12492" width="18.88671875" style="13" customWidth="1"/>
    <col min="12493" max="12493" width="14.109375" style="13" customWidth="1"/>
    <col min="12494" max="12494" width="21.5546875" style="13" customWidth="1"/>
    <col min="12495" max="12496" width="14.109375" style="13" customWidth="1"/>
    <col min="12497" max="12497" width="15" style="13" customWidth="1"/>
    <col min="12498" max="12498" width="13.33203125" style="13" customWidth="1"/>
    <col min="12499" max="12499" width="17" style="13" customWidth="1"/>
    <col min="12500" max="12500" width="24.88671875" style="13" customWidth="1"/>
    <col min="12501" max="12501" width="14.44140625" style="13" customWidth="1"/>
    <col min="12502" max="12502" width="23.109375" style="13" customWidth="1"/>
    <col min="12503" max="12503" width="13.109375" style="13" customWidth="1"/>
    <col min="12504" max="12507" width="0" style="13" hidden="1" customWidth="1"/>
    <col min="12508" max="12743" width="10.33203125" style="13"/>
    <col min="12744" max="12744" width="7" style="13" customWidth="1"/>
    <col min="12745" max="12745" width="13" style="13" customWidth="1"/>
    <col min="12746" max="12746" width="14.109375" style="13" customWidth="1"/>
    <col min="12747" max="12747" width="17.33203125" style="13" customWidth="1"/>
    <col min="12748" max="12748" width="18.88671875" style="13" customWidth="1"/>
    <col min="12749" max="12749" width="14.109375" style="13" customWidth="1"/>
    <col min="12750" max="12750" width="21.5546875" style="13" customWidth="1"/>
    <col min="12751" max="12752" width="14.109375" style="13" customWidth="1"/>
    <col min="12753" max="12753" width="15" style="13" customWidth="1"/>
    <col min="12754" max="12754" width="13.33203125" style="13" customWidth="1"/>
    <col min="12755" max="12755" width="17" style="13" customWidth="1"/>
    <col min="12756" max="12756" width="24.88671875" style="13" customWidth="1"/>
    <col min="12757" max="12757" width="14.44140625" style="13" customWidth="1"/>
    <col min="12758" max="12758" width="23.109375" style="13" customWidth="1"/>
    <col min="12759" max="12759" width="13.109375" style="13" customWidth="1"/>
    <col min="12760" max="12763" width="0" style="13" hidden="1" customWidth="1"/>
    <col min="12764" max="12999" width="10.33203125" style="13"/>
    <col min="13000" max="13000" width="7" style="13" customWidth="1"/>
    <col min="13001" max="13001" width="13" style="13" customWidth="1"/>
    <col min="13002" max="13002" width="14.109375" style="13" customWidth="1"/>
    <col min="13003" max="13003" width="17.33203125" style="13" customWidth="1"/>
    <col min="13004" max="13004" width="18.88671875" style="13" customWidth="1"/>
    <col min="13005" max="13005" width="14.109375" style="13" customWidth="1"/>
    <col min="13006" max="13006" width="21.5546875" style="13" customWidth="1"/>
    <col min="13007" max="13008" width="14.109375" style="13" customWidth="1"/>
    <col min="13009" max="13009" width="15" style="13" customWidth="1"/>
    <col min="13010" max="13010" width="13.33203125" style="13" customWidth="1"/>
    <col min="13011" max="13011" width="17" style="13" customWidth="1"/>
    <col min="13012" max="13012" width="24.88671875" style="13" customWidth="1"/>
    <col min="13013" max="13013" width="14.44140625" style="13" customWidth="1"/>
    <col min="13014" max="13014" width="23.109375" style="13" customWidth="1"/>
    <col min="13015" max="13015" width="13.109375" style="13" customWidth="1"/>
    <col min="13016" max="13019" width="0" style="13" hidden="1" customWidth="1"/>
    <col min="13020" max="13255" width="10.33203125" style="13"/>
    <col min="13256" max="13256" width="7" style="13" customWidth="1"/>
    <col min="13257" max="13257" width="13" style="13" customWidth="1"/>
    <col min="13258" max="13258" width="14.109375" style="13" customWidth="1"/>
    <col min="13259" max="13259" width="17.33203125" style="13" customWidth="1"/>
    <col min="13260" max="13260" width="18.88671875" style="13" customWidth="1"/>
    <col min="13261" max="13261" width="14.109375" style="13" customWidth="1"/>
    <col min="13262" max="13262" width="21.5546875" style="13" customWidth="1"/>
    <col min="13263" max="13264" width="14.109375" style="13" customWidth="1"/>
    <col min="13265" max="13265" width="15" style="13" customWidth="1"/>
    <col min="13266" max="13266" width="13.33203125" style="13" customWidth="1"/>
    <col min="13267" max="13267" width="17" style="13" customWidth="1"/>
    <col min="13268" max="13268" width="24.88671875" style="13" customWidth="1"/>
    <col min="13269" max="13269" width="14.44140625" style="13" customWidth="1"/>
    <col min="13270" max="13270" width="23.109375" style="13" customWidth="1"/>
    <col min="13271" max="13271" width="13.109375" style="13" customWidth="1"/>
    <col min="13272" max="13275" width="0" style="13" hidden="1" customWidth="1"/>
    <col min="13276" max="13511" width="10.33203125" style="13"/>
    <col min="13512" max="13512" width="7" style="13" customWidth="1"/>
    <col min="13513" max="13513" width="13" style="13" customWidth="1"/>
    <col min="13514" max="13514" width="14.109375" style="13" customWidth="1"/>
    <col min="13515" max="13515" width="17.33203125" style="13" customWidth="1"/>
    <col min="13516" max="13516" width="18.88671875" style="13" customWidth="1"/>
    <col min="13517" max="13517" width="14.109375" style="13" customWidth="1"/>
    <col min="13518" max="13518" width="21.5546875" style="13" customWidth="1"/>
    <col min="13519" max="13520" width="14.109375" style="13" customWidth="1"/>
    <col min="13521" max="13521" width="15" style="13" customWidth="1"/>
    <col min="13522" max="13522" width="13.33203125" style="13" customWidth="1"/>
    <col min="13523" max="13523" width="17" style="13" customWidth="1"/>
    <col min="13524" max="13524" width="24.88671875" style="13" customWidth="1"/>
    <col min="13525" max="13525" width="14.44140625" style="13" customWidth="1"/>
    <col min="13526" max="13526" width="23.109375" style="13" customWidth="1"/>
    <col min="13527" max="13527" width="13.109375" style="13" customWidth="1"/>
    <col min="13528" max="13531" width="0" style="13" hidden="1" customWidth="1"/>
    <col min="13532" max="13767" width="10.33203125" style="13"/>
    <col min="13768" max="13768" width="7" style="13" customWidth="1"/>
    <col min="13769" max="13769" width="13" style="13" customWidth="1"/>
    <col min="13770" max="13770" width="14.109375" style="13" customWidth="1"/>
    <col min="13771" max="13771" width="17.33203125" style="13" customWidth="1"/>
    <col min="13772" max="13772" width="18.88671875" style="13" customWidth="1"/>
    <col min="13773" max="13773" width="14.109375" style="13" customWidth="1"/>
    <col min="13774" max="13774" width="21.5546875" style="13" customWidth="1"/>
    <col min="13775" max="13776" width="14.109375" style="13" customWidth="1"/>
    <col min="13777" max="13777" width="15" style="13" customWidth="1"/>
    <col min="13778" max="13778" width="13.33203125" style="13" customWidth="1"/>
    <col min="13779" max="13779" width="17" style="13" customWidth="1"/>
    <col min="13780" max="13780" width="24.88671875" style="13" customWidth="1"/>
    <col min="13781" max="13781" width="14.44140625" style="13" customWidth="1"/>
    <col min="13782" max="13782" width="23.109375" style="13" customWidth="1"/>
    <col min="13783" max="13783" width="13.109375" style="13" customWidth="1"/>
    <col min="13784" max="13787" width="0" style="13" hidden="1" customWidth="1"/>
    <col min="13788" max="14023" width="10.33203125" style="13"/>
    <col min="14024" max="14024" width="7" style="13" customWidth="1"/>
    <col min="14025" max="14025" width="13" style="13" customWidth="1"/>
    <col min="14026" max="14026" width="14.109375" style="13" customWidth="1"/>
    <col min="14027" max="14027" width="17.33203125" style="13" customWidth="1"/>
    <col min="14028" max="14028" width="18.88671875" style="13" customWidth="1"/>
    <col min="14029" max="14029" width="14.109375" style="13" customWidth="1"/>
    <col min="14030" max="14030" width="21.5546875" style="13" customWidth="1"/>
    <col min="14031" max="14032" width="14.109375" style="13" customWidth="1"/>
    <col min="14033" max="14033" width="15" style="13" customWidth="1"/>
    <col min="14034" max="14034" width="13.33203125" style="13" customWidth="1"/>
    <col min="14035" max="14035" width="17" style="13" customWidth="1"/>
    <col min="14036" max="14036" width="24.88671875" style="13" customWidth="1"/>
    <col min="14037" max="14037" width="14.44140625" style="13" customWidth="1"/>
    <col min="14038" max="14038" width="23.109375" style="13" customWidth="1"/>
    <col min="14039" max="14039" width="13.109375" style="13" customWidth="1"/>
    <col min="14040" max="14043" width="0" style="13" hidden="1" customWidth="1"/>
    <col min="14044" max="14279" width="10.33203125" style="13"/>
    <col min="14280" max="14280" width="7" style="13" customWidth="1"/>
    <col min="14281" max="14281" width="13" style="13" customWidth="1"/>
    <col min="14282" max="14282" width="14.109375" style="13" customWidth="1"/>
    <col min="14283" max="14283" width="17.33203125" style="13" customWidth="1"/>
    <col min="14284" max="14284" width="18.88671875" style="13" customWidth="1"/>
    <col min="14285" max="14285" width="14.109375" style="13" customWidth="1"/>
    <col min="14286" max="14286" width="21.5546875" style="13" customWidth="1"/>
    <col min="14287" max="14288" width="14.109375" style="13" customWidth="1"/>
    <col min="14289" max="14289" width="15" style="13" customWidth="1"/>
    <col min="14290" max="14290" width="13.33203125" style="13" customWidth="1"/>
    <col min="14291" max="14291" width="17" style="13" customWidth="1"/>
    <col min="14292" max="14292" width="24.88671875" style="13" customWidth="1"/>
    <col min="14293" max="14293" width="14.44140625" style="13" customWidth="1"/>
    <col min="14294" max="14294" width="23.109375" style="13" customWidth="1"/>
    <col min="14295" max="14295" width="13.109375" style="13" customWidth="1"/>
    <col min="14296" max="14299" width="0" style="13" hidden="1" customWidth="1"/>
    <col min="14300" max="14535" width="10.33203125" style="13"/>
    <col min="14536" max="14536" width="7" style="13" customWidth="1"/>
    <col min="14537" max="14537" width="13" style="13" customWidth="1"/>
    <col min="14538" max="14538" width="14.109375" style="13" customWidth="1"/>
    <col min="14539" max="14539" width="17.33203125" style="13" customWidth="1"/>
    <col min="14540" max="14540" width="18.88671875" style="13" customWidth="1"/>
    <col min="14541" max="14541" width="14.109375" style="13" customWidth="1"/>
    <col min="14542" max="14542" width="21.5546875" style="13" customWidth="1"/>
    <col min="14543" max="14544" width="14.109375" style="13" customWidth="1"/>
    <col min="14545" max="14545" width="15" style="13" customWidth="1"/>
    <col min="14546" max="14546" width="13.33203125" style="13" customWidth="1"/>
    <col min="14547" max="14547" width="17" style="13" customWidth="1"/>
    <col min="14548" max="14548" width="24.88671875" style="13" customWidth="1"/>
    <col min="14549" max="14549" width="14.44140625" style="13" customWidth="1"/>
    <col min="14550" max="14550" width="23.109375" style="13" customWidth="1"/>
    <col min="14551" max="14551" width="13.109375" style="13" customWidth="1"/>
    <col min="14552" max="14555" width="0" style="13" hidden="1" customWidth="1"/>
    <col min="14556" max="14791" width="10.33203125" style="13"/>
    <col min="14792" max="14792" width="7" style="13" customWidth="1"/>
    <col min="14793" max="14793" width="13" style="13" customWidth="1"/>
    <col min="14794" max="14794" width="14.109375" style="13" customWidth="1"/>
    <col min="14795" max="14795" width="17.33203125" style="13" customWidth="1"/>
    <col min="14796" max="14796" width="18.88671875" style="13" customWidth="1"/>
    <col min="14797" max="14797" width="14.109375" style="13" customWidth="1"/>
    <col min="14798" max="14798" width="21.5546875" style="13" customWidth="1"/>
    <col min="14799" max="14800" width="14.109375" style="13" customWidth="1"/>
    <col min="14801" max="14801" width="15" style="13" customWidth="1"/>
    <col min="14802" max="14802" width="13.33203125" style="13" customWidth="1"/>
    <col min="14803" max="14803" width="17" style="13" customWidth="1"/>
    <col min="14804" max="14804" width="24.88671875" style="13" customWidth="1"/>
    <col min="14805" max="14805" width="14.44140625" style="13" customWidth="1"/>
    <col min="14806" max="14806" width="23.109375" style="13" customWidth="1"/>
    <col min="14807" max="14807" width="13.109375" style="13" customWidth="1"/>
    <col min="14808" max="14811" width="0" style="13" hidden="1" customWidth="1"/>
    <col min="14812" max="15047" width="10.33203125" style="13"/>
    <col min="15048" max="15048" width="7" style="13" customWidth="1"/>
    <col min="15049" max="15049" width="13" style="13" customWidth="1"/>
    <col min="15050" max="15050" width="14.109375" style="13" customWidth="1"/>
    <col min="15051" max="15051" width="17.33203125" style="13" customWidth="1"/>
    <col min="15052" max="15052" width="18.88671875" style="13" customWidth="1"/>
    <col min="15053" max="15053" width="14.109375" style="13" customWidth="1"/>
    <col min="15054" max="15054" width="21.5546875" style="13" customWidth="1"/>
    <col min="15055" max="15056" width="14.109375" style="13" customWidth="1"/>
    <col min="15057" max="15057" width="15" style="13" customWidth="1"/>
    <col min="15058" max="15058" width="13.33203125" style="13" customWidth="1"/>
    <col min="15059" max="15059" width="17" style="13" customWidth="1"/>
    <col min="15060" max="15060" width="24.88671875" style="13" customWidth="1"/>
    <col min="15061" max="15061" width="14.44140625" style="13" customWidth="1"/>
    <col min="15062" max="15062" width="23.109375" style="13" customWidth="1"/>
    <col min="15063" max="15063" width="13.109375" style="13" customWidth="1"/>
    <col min="15064" max="15067" width="0" style="13" hidden="1" customWidth="1"/>
    <col min="15068" max="15303" width="10.33203125" style="13"/>
    <col min="15304" max="15304" width="7" style="13" customWidth="1"/>
    <col min="15305" max="15305" width="13" style="13" customWidth="1"/>
    <col min="15306" max="15306" width="14.109375" style="13" customWidth="1"/>
    <col min="15307" max="15307" width="17.33203125" style="13" customWidth="1"/>
    <col min="15308" max="15308" width="18.88671875" style="13" customWidth="1"/>
    <col min="15309" max="15309" width="14.109375" style="13" customWidth="1"/>
    <col min="15310" max="15310" width="21.5546875" style="13" customWidth="1"/>
    <col min="15311" max="15312" width="14.109375" style="13" customWidth="1"/>
    <col min="15313" max="15313" width="15" style="13" customWidth="1"/>
    <col min="15314" max="15314" width="13.33203125" style="13" customWidth="1"/>
    <col min="15315" max="15315" width="17" style="13" customWidth="1"/>
    <col min="15316" max="15316" width="24.88671875" style="13" customWidth="1"/>
    <col min="15317" max="15317" width="14.44140625" style="13" customWidth="1"/>
    <col min="15318" max="15318" width="23.109375" style="13" customWidth="1"/>
    <col min="15319" max="15319" width="13.109375" style="13" customWidth="1"/>
    <col min="15320" max="15323" width="0" style="13" hidden="1" customWidth="1"/>
    <col min="15324" max="15559" width="10.33203125" style="13"/>
    <col min="15560" max="15560" width="7" style="13" customWidth="1"/>
    <col min="15561" max="15561" width="13" style="13" customWidth="1"/>
    <col min="15562" max="15562" width="14.109375" style="13" customWidth="1"/>
    <col min="15563" max="15563" width="17.33203125" style="13" customWidth="1"/>
    <col min="15564" max="15564" width="18.88671875" style="13" customWidth="1"/>
    <col min="15565" max="15565" width="14.109375" style="13" customWidth="1"/>
    <col min="15566" max="15566" width="21.5546875" style="13" customWidth="1"/>
    <col min="15567" max="15568" width="14.109375" style="13" customWidth="1"/>
    <col min="15569" max="15569" width="15" style="13" customWidth="1"/>
    <col min="15570" max="15570" width="13.33203125" style="13" customWidth="1"/>
    <col min="15571" max="15571" width="17" style="13" customWidth="1"/>
    <col min="15572" max="15572" width="24.88671875" style="13" customWidth="1"/>
    <col min="15573" max="15573" width="14.44140625" style="13" customWidth="1"/>
    <col min="15574" max="15574" width="23.109375" style="13" customWidth="1"/>
    <col min="15575" max="15575" width="13.109375" style="13" customWidth="1"/>
    <col min="15576" max="15579" width="0" style="13" hidden="1" customWidth="1"/>
    <col min="15580" max="15815" width="10.33203125" style="13"/>
    <col min="15816" max="15816" width="7" style="13" customWidth="1"/>
    <col min="15817" max="15817" width="13" style="13" customWidth="1"/>
    <col min="15818" max="15818" width="14.109375" style="13" customWidth="1"/>
    <col min="15819" max="15819" width="17.33203125" style="13" customWidth="1"/>
    <col min="15820" max="15820" width="18.88671875" style="13" customWidth="1"/>
    <col min="15821" max="15821" width="14.109375" style="13" customWidth="1"/>
    <col min="15822" max="15822" width="21.5546875" style="13" customWidth="1"/>
    <col min="15823" max="15824" width="14.109375" style="13" customWidth="1"/>
    <col min="15825" max="15825" width="15" style="13" customWidth="1"/>
    <col min="15826" max="15826" width="13.33203125" style="13" customWidth="1"/>
    <col min="15827" max="15827" width="17" style="13" customWidth="1"/>
    <col min="15828" max="15828" width="24.88671875" style="13" customWidth="1"/>
    <col min="15829" max="15829" width="14.44140625" style="13" customWidth="1"/>
    <col min="15830" max="15830" width="23.109375" style="13" customWidth="1"/>
    <col min="15831" max="15831" width="13.109375" style="13" customWidth="1"/>
    <col min="15832" max="15835" width="0" style="13" hidden="1" customWidth="1"/>
    <col min="15836" max="16071" width="10.33203125" style="13"/>
    <col min="16072" max="16072" width="7" style="13" customWidth="1"/>
    <col min="16073" max="16073" width="13" style="13" customWidth="1"/>
    <col min="16074" max="16074" width="14.109375" style="13" customWidth="1"/>
    <col min="16075" max="16075" width="17.33203125" style="13" customWidth="1"/>
    <col min="16076" max="16076" width="18.88671875" style="13" customWidth="1"/>
    <col min="16077" max="16077" width="14.109375" style="13" customWidth="1"/>
    <col min="16078" max="16078" width="21.5546875" style="13" customWidth="1"/>
    <col min="16079" max="16080" width="14.109375" style="13" customWidth="1"/>
    <col min="16081" max="16081" width="15" style="13" customWidth="1"/>
    <col min="16082" max="16082" width="13.33203125" style="13" customWidth="1"/>
    <col min="16083" max="16083" width="17" style="13" customWidth="1"/>
    <col min="16084" max="16084" width="24.88671875" style="13" customWidth="1"/>
    <col min="16085" max="16085" width="14.44140625" style="13" customWidth="1"/>
    <col min="16086" max="16086" width="23.109375" style="13" customWidth="1"/>
    <col min="16087" max="16087" width="13.109375" style="13" customWidth="1"/>
    <col min="16088" max="16091" width="0" style="13" hidden="1" customWidth="1"/>
    <col min="16092" max="16384" width="10.33203125" style="13"/>
  </cols>
  <sheetData>
    <row r="1" spans="1:44" ht="35.25" customHeight="1">
      <c r="A1" s="3642" t="s">
        <v>4574</v>
      </c>
      <c r="B1" s="3642"/>
      <c r="C1" s="3642"/>
      <c r="D1" s="3642"/>
      <c r="E1" s="3642"/>
      <c r="F1" s="3642"/>
      <c r="G1" s="3642"/>
      <c r="H1" s="3642"/>
      <c r="I1" s="3642"/>
      <c r="J1" s="3642"/>
      <c r="K1" s="3642"/>
      <c r="L1" s="1813"/>
      <c r="M1" s="1813"/>
      <c r="N1" s="1813"/>
      <c r="O1" s="1814"/>
      <c r="P1" s="1813"/>
      <c r="Q1" s="1813"/>
      <c r="R1" s="1813"/>
      <c r="S1" s="1813"/>
      <c r="T1" s="6"/>
      <c r="U1" s="724"/>
      <c r="V1" s="724"/>
      <c r="W1" s="724"/>
      <c r="X1" s="724"/>
      <c r="Y1" s="725"/>
      <c r="Z1" s="725"/>
      <c r="AA1" s="724"/>
      <c r="AB1" s="724"/>
      <c r="AC1" s="724"/>
      <c r="AD1" s="727"/>
      <c r="AE1" s="728"/>
      <c r="AF1" s="729"/>
      <c r="AG1" s="730"/>
    </row>
    <row r="2" spans="1:44" ht="15" customHeight="1">
      <c r="A2" s="1"/>
      <c r="B2" s="125"/>
      <c r="C2" s="1310"/>
      <c r="D2" s="3"/>
      <c r="E2" s="4"/>
      <c r="F2" s="4"/>
      <c r="G2" s="1302"/>
      <c r="H2" s="6"/>
      <c r="I2" s="6"/>
      <c r="J2" s="1677"/>
      <c r="K2" s="1560"/>
      <c r="L2" s="1303"/>
      <c r="M2" s="1383"/>
      <c r="N2" s="1728"/>
      <c r="O2" s="5"/>
      <c r="P2" s="1299"/>
      <c r="Q2" s="1299"/>
      <c r="R2" s="5"/>
      <c r="S2" s="5"/>
      <c r="T2" s="6"/>
      <c r="U2" s="719"/>
      <c r="V2" s="1446" t="e">
        <f>+INDEX('[2]CHI HO T.1'!$K$4:$K$36,MATCH(N2,$N$9:$N$32,0))</f>
        <v>#N/A</v>
      </c>
      <c r="W2" s="719"/>
      <c r="X2" s="719"/>
      <c r="Y2" s="720"/>
      <c r="Z2" s="1262"/>
      <c r="AA2" s="720"/>
      <c r="AB2" s="720"/>
      <c r="AC2" s="1262"/>
      <c r="AD2" s="721"/>
      <c r="AE2" s="1650">
        <f>(AC2*1.08)+((AH2*$AH$4)+(G2*3450000+H2*3550000+I2*AI2)+(AJ2*$AJ$4)+(AK2*$AK$4)+(AL2*$AL$4)+(AM2*$AM$4*(G2+H2))+(AN2*$AN$4)+(AO2*$AO$4)+(AP2*$AP$4)+(AQ2*$AQ$4))*1.08</f>
        <v>0</v>
      </c>
      <c r="AF2" s="720"/>
      <c r="AG2" s="2665"/>
    </row>
    <row r="3" spans="1:44" s="1286" customFormat="1" ht="20.25" customHeight="1">
      <c r="A3" s="3643" t="s">
        <v>4373</v>
      </c>
      <c r="B3" s="3644"/>
      <c r="C3" s="3644"/>
      <c r="D3" s="3644"/>
      <c r="E3" s="3644"/>
      <c r="F3" s="3644"/>
      <c r="G3" s="3644"/>
      <c r="H3" s="3644"/>
      <c r="I3" s="3644"/>
      <c r="J3" s="3644"/>
      <c r="K3" s="3644"/>
      <c r="L3" s="3644"/>
      <c r="M3" s="3644"/>
      <c r="N3" s="3644"/>
      <c r="O3" s="3644"/>
      <c r="P3" s="3644"/>
      <c r="Q3" s="3644"/>
      <c r="R3" s="3644"/>
      <c r="S3" s="1863"/>
      <c r="T3" s="1246"/>
      <c r="U3" s="1246"/>
      <c r="V3" s="1246"/>
      <c r="W3" s="1246"/>
      <c r="X3" s="1246"/>
      <c r="Y3" s="1246"/>
      <c r="Z3" s="1246"/>
      <c r="AA3" s="1246"/>
      <c r="AB3" s="1246"/>
      <c r="AC3" s="1246"/>
      <c r="AD3" s="1246"/>
      <c r="AE3" s="1246"/>
      <c r="AF3" s="1246"/>
      <c r="AG3" s="1246"/>
    </row>
    <row r="4" spans="1:44">
      <c r="A4" s="1"/>
      <c r="B4" s="478"/>
      <c r="C4" s="1311" t="s">
        <v>4370</v>
      </c>
      <c r="D4" s="3645" t="s">
        <v>6195</v>
      </c>
      <c r="E4" s="3645"/>
      <c r="F4" s="3645"/>
      <c r="G4" s="3645"/>
      <c r="H4" s="3645"/>
      <c r="I4" s="3645"/>
      <c r="J4" s="3645"/>
      <c r="K4" s="3645"/>
      <c r="L4" s="3645"/>
      <c r="M4" s="1384"/>
      <c r="N4" s="1243"/>
      <c r="O4" s="4"/>
      <c r="P4" s="1299"/>
      <c r="Q4" s="1299"/>
      <c r="R4" s="1243"/>
      <c r="S4" s="1765"/>
      <c r="T4" s="6"/>
      <c r="U4" s="724"/>
      <c r="V4" s="724"/>
      <c r="W4" s="724"/>
      <c r="X4" s="724"/>
      <c r="Y4" s="725"/>
      <c r="Z4" s="725"/>
      <c r="AA4" s="724"/>
      <c r="AB4" s="724"/>
      <c r="AC4" s="724"/>
      <c r="AD4" s="727"/>
      <c r="AE4" s="728"/>
      <c r="AF4" s="729"/>
      <c r="AG4" s="730"/>
      <c r="AH4" s="1434">
        <v>770000</v>
      </c>
      <c r="AI4" s="1435"/>
      <c r="AJ4" s="1434">
        <v>900000</v>
      </c>
      <c r="AK4" s="1434">
        <v>450000</v>
      </c>
      <c r="AL4" s="1434">
        <v>2500000</v>
      </c>
      <c r="AM4" s="1434">
        <v>1000000</v>
      </c>
      <c r="AN4" s="1434">
        <v>203703</v>
      </c>
      <c r="AO4" s="1434">
        <v>1000000</v>
      </c>
      <c r="AP4" s="1436">
        <v>400000</v>
      </c>
      <c r="AQ4" s="1436">
        <v>650000</v>
      </c>
      <c r="AR4" s="1436">
        <v>300000</v>
      </c>
    </row>
    <row r="5" spans="1:44" ht="66">
      <c r="A5" s="29" t="s">
        <v>2</v>
      </c>
      <c r="B5" s="1272" t="s">
        <v>4407</v>
      </c>
      <c r="C5" s="1313" t="s">
        <v>3</v>
      </c>
      <c r="D5" s="1274" t="s">
        <v>4</v>
      </c>
      <c r="E5" s="1273" t="s">
        <v>5</v>
      </c>
      <c r="F5" s="1273" t="s">
        <v>179</v>
      </c>
      <c r="G5" s="33" t="s">
        <v>8</v>
      </c>
      <c r="H5" s="33" t="s">
        <v>9</v>
      </c>
      <c r="I5" s="33" t="s">
        <v>102</v>
      </c>
      <c r="J5" s="1678" t="s">
        <v>4497</v>
      </c>
      <c r="K5" s="323" t="s">
        <v>4408</v>
      </c>
      <c r="L5" s="1307" t="s">
        <v>1888</v>
      </c>
      <c r="M5" s="1390" t="s">
        <v>4533</v>
      </c>
      <c r="N5" s="1306" t="s">
        <v>4539</v>
      </c>
      <c r="O5" s="1306" t="s">
        <v>4538</v>
      </c>
      <c r="P5" s="323" t="s">
        <v>4411</v>
      </c>
      <c r="Q5" s="323" t="s">
        <v>8098</v>
      </c>
      <c r="R5" s="33" t="s">
        <v>4397</v>
      </c>
      <c r="S5" s="33" t="s">
        <v>5939</v>
      </c>
      <c r="T5" s="33" t="s">
        <v>97</v>
      </c>
      <c r="U5" s="1270" t="s">
        <v>1291</v>
      </c>
      <c r="V5" s="1270" t="s">
        <v>190</v>
      </c>
      <c r="W5" s="1270" t="s">
        <v>191</v>
      </c>
      <c r="X5" s="1276" t="s">
        <v>192</v>
      </c>
      <c r="Y5" s="1276" t="s">
        <v>193</v>
      </c>
      <c r="Z5" s="1276" t="s">
        <v>1313</v>
      </c>
      <c r="AA5" s="1271" t="s">
        <v>194</v>
      </c>
      <c r="AB5" s="1271" t="s">
        <v>195</v>
      </c>
      <c r="AC5" s="1271" t="s">
        <v>4661</v>
      </c>
      <c r="AD5" s="1277" t="s">
        <v>197</v>
      </c>
      <c r="AE5" s="1276" t="s">
        <v>198</v>
      </c>
      <c r="AF5" s="1271" t="s">
        <v>199</v>
      </c>
      <c r="AG5" s="2666" t="s">
        <v>200</v>
      </c>
      <c r="AH5" s="1287" t="s">
        <v>4655</v>
      </c>
      <c r="AI5" s="13" t="s">
        <v>4663</v>
      </c>
      <c r="AJ5" s="1424" t="s">
        <v>4654</v>
      </c>
      <c r="AK5" s="1424" t="s">
        <v>4656</v>
      </c>
      <c r="AL5" s="1424" t="s">
        <v>4657</v>
      </c>
      <c r="AM5" s="1424" t="s">
        <v>5093</v>
      </c>
      <c r="AN5" s="13" t="s">
        <v>4658</v>
      </c>
      <c r="AO5" s="13" t="s">
        <v>4659</v>
      </c>
      <c r="AP5" s="1424" t="s">
        <v>4660</v>
      </c>
      <c r="AQ5" s="13" t="s">
        <v>4662</v>
      </c>
      <c r="AR5" s="1902" t="s">
        <v>5219</v>
      </c>
    </row>
    <row r="6" spans="1:44" hidden="1">
      <c r="A6" s="3241"/>
      <c r="B6" s="3242"/>
      <c r="C6" s="3243"/>
      <c r="D6" s="3244"/>
      <c r="E6" s="3245"/>
      <c r="F6" s="3245"/>
      <c r="G6" s="3246"/>
      <c r="H6" s="3246"/>
      <c r="I6" s="3246"/>
      <c r="J6" s="3247"/>
      <c r="K6" s="3248"/>
      <c r="L6" s="3249"/>
      <c r="M6" s="3250"/>
      <c r="N6" s="3248"/>
      <c r="O6" s="3248"/>
      <c r="P6" s="3248"/>
      <c r="Q6" s="3248"/>
      <c r="R6" s="3246"/>
      <c r="S6" s="3246"/>
      <c r="T6" s="3246"/>
      <c r="U6" s="1270"/>
      <c r="V6" s="1270"/>
      <c r="W6" s="1270"/>
      <c r="X6" s="1276"/>
      <c r="Y6" s="1276"/>
      <c r="Z6" s="1276"/>
      <c r="AA6" s="1271"/>
      <c r="AB6" s="1271"/>
      <c r="AC6" s="1271"/>
      <c r="AD6" s="1277"/>
      <c r="AE6" s="1276"/>
      <c r="AF6" s="1271"/>
      <c r="AG6" s="2666"/>
      <c r="AH6" s="1287"/>
      <c r="AJ6" s="1424"/>
      <c r="AK6" s="1424"/>
      <c r="AL6" s="1424"/>
      <c r="AM6" s="1424"/>
      <c r="AP6" s="1424"/>
      <c r="AR6" s="1902"/>
    </row>
    <row r="7" spans="1:44">
      <c r="A7" s="3554" t="s">
        <v>4302</v>
      </c>
      <c r="B7" s="3389"/>
      <c r="C7" s="3389"/>
      <c r="D7" s="3389"/>
      <c r="E7" s="3389"/>
      <c r="F7" s="3389"/>
      <c r="G7" s="3389"/>
      <c r="H7" s="3389"/>
      <c r="I7" s="3389"/>
      <c r="J7" s="3389"/>
      <c r="K7" s="3389"/>
      <c r="L7" s="1439"/>
      <c r="M7" s="1439"/>
      <c r="N7" s="1439"/>
      <c r="O7" s="1806"/>
      <c r="P7" s="1300"/>
      <c r="Q7" s="3201"/>
      <c r="R7" s="1278"/>
      <c r="S7" s="1607"/>
      <c r="T7" s="1815"/>
      <c r="U7" s="1816"/>
      <c r="V7" s="1815"/>
      <c r="W7" s="1815"/>
      <c r="X7" s="1815"/>
      <c r="Y7" s="1817"/>
      <c r="Z7" s="1817"/>
      <c r="AA7" s="1815"/>
      <c r="AB7" s="1818"/>
      <c r="AC7" s="1818"/>
      <c r="AD7" s="1819"/>
      <c r="AE7" s="1820"/>
      <c r="AF7" s="1820"/>
      <c r="AG7" s="2667"/>
      <c r="AH7" s="6"/>
      <c r="AI7" s="6"/>
      <c r="AJ7" s="5"/>
    </row>
    <row r="8" spans="1:44" ht="39.6">
      <c r="A8" s="1403">
        <v>1</v>
      </c>
      <c r="B8" s="1409" t="s">
        <v>4577</v>
      </c>
      <c r="C8" s="1457" t="s">
        <v>4578</v>
      </c>
      <c r="D8" s="1456">
        <v>45602</v>
      </c>
      <c r="E8" s="1418" t="s">
        <v>4631</v>
      </c>
      <c r="F8" s="1402" t="s">
        <v>210</v>
      </c>
      <c r="G8" s="1403">
        <v>3</v>
      </c>
      <c r="H8" s="1402"/>
      <c r="I8" s="1402"/>
      <c r="J8" s="1679">
        <v>48412</v>
      </c>
      <c r="K8" s="1403" t="s">
        <v>4579</v>
      </c>
      <c r="L8" s="1405" t="s">
        <v>4611</v>
      </c>
      <c r="M8" s="1402"/>
      <c r="N8" s="1729" t="s">
        <v>4610</v>
      </c>
      <c r="O8" s="1412" t="s">
        <v>4609</v>
      </c>
      <c r="P8" s="1403"/>
      <c r="Q8" s="1639"/>
      <c r="R8" s="1404"/>
      <c r="S8" s="1640"/>
      <c r="T8" s="1821"/>
      <c r="U8" s="1822"/>
      <c r="V8" s="1823"/>
      <c r="W8" s="1821"/>
      <c r="X8" s="1821"/>
      <c r="Y8" s="1355"/>
      <c r="Z8" s="1266"/>
      <c r="AA8" s="1821"/>
      <c r="AB8" s="1261">
        <f t="shared" ref="AB8:AB32" si="0">+U8+V8+W8+X8+Y8+Z8+AA8</f>
        <v>0</v>
      </c>
      <c r="AC8" s="1267"/>
      <c r="AD8" s="1402" t="s">
        <v>4653</v>
      </c>
      <c r="AE8" s="1267">
        <f>600000*1.08</f>
        <v>648000</v>
      </c>
      <c r="AF8" s="1824">
        <f t="shared" ref="AF8:AF32" si="1">+AB8+AE8</f>
        <v>648000</v>
      </c>
      <c r="AG8" s="2668"/>
      <c r="AH8" s="1425"/>
      <c r="AI8" s="1425"/>
      <c r="AJ8" s="1426"/>
      <c r="AK8" s="1427"/>
      <c r="AL8" s="1427"/>
      <c r="AM8" s="1427"/>
      <c r="AN8" s="1427"/>
      <c r="AO8" s="1427"/>
      <c r="AP8" s="1427"/>
      <c r="AQ8" s="1427"/>
      <c r="AR8" s="1427"/>
    </row>
    <row r="9" spans="1:44" ht="21" customHeight="1">
      <c r="A9" s="658">
        <v>2</v>
      </c>
      <c r="B9" s="3386" t="s">
        <v>4358</v>
      </c>
      <c r="C9" s="1260">
        <v>307045848710</v>
      </c>
      <c r="D9" s="1438" t="s">
        <v>4358</v>
      </c>
      <c r="E9" s="3472" t="s">
        <v>4576</v>
      </c>
      <c r="F9" s="3516" t="s">
        <v>210</v>
      </c>
      <c r="G9" s="451">
        <v>1</v>
      </c>
      <c r="H9" s="445"/>
      <c r="I9" s="445"/>
      <c r="J9" s="1679">
        <v>16361.25</v>
      </c>
      <c r="K9" s="3647" t="s">
        <v>4369</v>
      </c>
      <c r="L9" s="1406" t="s">
        <v>4580</v>
      </c>
      <c r="M9" s="1401"/>
      <c r="N9" s="1730" t="s">
        <v>4376</v>
      </c>
      <c r="O9" s="1721"/>
      <c r="P9" s="3537" t="s">
        <v>4379</v>
      </c>
      <c r="Q9" s="3186"/>
      <c r="R9" s="1672" t="s">
        <v>2966</v>
      </c>
      <c r="S9" s="1672"/>
      <c r="T9" s="1672"/>
      <c r="U9" s="1462"/>
      <c r="V9" s="1460">
        <v>1590000</v>
      </c>
      <c r="W9" s="1467">
        <v>1296000</v>
      </c>
      <c r="X9" s="1116"/>
      <c r="Y9" s="1263"/>
      <c r="Z9" s="1416">
        <v>250000</v>
      </c>
      <c r="AA9" s="1116"/>
      <c r="AB9" s="1261">
        <f t="shared" si="0"/>
        <v>3136000</v>
      </c>
      <c r="AC9" s="1267"/>
      <c r="AD9" s="1119"/>
      <c r="AE9" s="1268">
        <f t="shared" ref="AE9:AE32" si="2">(AC9*1.08)+((AH9*$AH$4)+(G9*3450000+H9*3550000+I9*AI9)+(AJ9*$AJ$4)+(AK9*$AK$4)+(AL9*$AL$4)+(AN9*$AN$4)+(AO9*$AO$4)+(AP9*$AP$4)+(AQ9*$AQ$4))*1.08</f>
        <v>5259600</v>
      </c>
      <c r="AF9" s="1824">
        <f t="shared" si="1"/>
        <v>8395600</v>
      </c>
      <c r="AG9" s="2668"/>
      <c r="AH9" s="1426">
        <v>1</v>
      </c>
      <c r="AI9" s="1427"/>
      <c r="AJ9" s="1427"/>
      <c r="AK9" s="1427"/>
      <c r="AL9" s="1427"/>
      <c r="AM9" s="1427"/>
      <c r="AN9" s="1427"/>
      <c r="AO9" s="1427"/>
      <c r="AP9" s="1427"/>
      <c r="AQ9" s="1427">
        <v>1</v>
      </c>
      <c r="AR9" s="1427"/>
    </row>
    <row r="10" spans="1:44">
      <c r="A10" s="1403">
        <v>3</v>
      </c>
      <c r="B10" s="3386"/>
      <c r="C10" s="1260">
        <v>307045857660</v>
      </c>
      <c r="D10" s="684" t="s">
        <v>4358</v>
      </c>
      <c r="E10" s="3472"/>
      <c r="F10" s="3516"/>
      <c r="G10" s="431">
        <v>1</v>
      </c>
      <c r="H10" s="167"/>
      <c r="I10" s="167"/>
      <c r="J10" s="1679">
        <v>17046.09</v>
      </c>
      <c r="K10" s="3648"/>
      <c r="L10" s="1406" t="s">
        <v>4581</v>
      </c>
      <c r="M10" s="1385"/>
      <c r="N10" s="1730" t="s">
        <v>4377</v>
      </c>
      <c r="O10" s="1722"/>
      <c r="P10" s="3537"/>
      <c r="Q10" s="3186"/>
      <c r="R10" s="1672" t="s">
        <v>2966</v>
      </c>
      <c r="S10" s="1672"/>
      <c r="T10" s="1672"/>
      <c r="U10" s="1458"/>
      <c r="V10" s="1461">
        <v>0</v>
      </c>
      <c r="W10" s="1459"/>
      <c r="X10" s="733"/>
      <c r="Y10" s="1264"/>
      <c r="Z10" s="1416">
        <v>250000</v>
      </c>
      <c r="AA10" s="1116"/>
      <c r="AB10" s="1261">
        <f t="shared" si="0"/>
        <v>250000</v>
      </c>
      <c r="AC10" s="1267"/>
      <c r="AD10" s="736"/>
      <c r="AE10" s="1268">
        <f t="shared" si="2"/>
        <v>5259600</v>
      </c>
      <c r="AF10" s="1824">
        <f t="shared" si="1"/>
        <v>5509600</v>
      </c>
      <c r="AG10" s="2669"/>
      <c r="AH10" s="1426">
        <v>1</v>
      </c>
      <c r="AI10" s="1427"/>
      <c r="AJ10" s="1427"/>
      <c r="AK10" s="1427"/>
      <c r="AL10" s="1427"/>
      <c r="AM10" s="1427"/>
      <c r="AN10" s="1427"/>
      <c r="AO10" s="1427"/>
      <c r="AP10" s="1427"/>
      <c r="AQ10" s="1427">
        <v>1</v>
      </c>
      <c r="AR10" s="1427"/>
    </row>
    <row r="11" spans="1:44">
      <c r="A11" s="658">
        <v>4</v>
      </c>
      <c r="B11" s="3387"/>
      <c r="C11" s="1260">
        <v>307045915430</v>
      </c>
      <c r="D11" s="684" t="s">
        <v>4358</v>
      </c>
      <c r="E11" s="3464"/>
      <c r="F11" s="3592"/>
      <c r="G11" s="431">
        <v>1</v>
      </c>
      <c r="H11" s="167"/>
      <c r="I11" s="167"/>
      <c r="J11" s="1679">
        <v>16942.900000000001</v>
      </c>
      <c r="K11" s="3649"/>
      <c r="L11" s="1406" t="s">
        <v>4582</v>
      </c>
      <c r="M11" s="1385"/>
      <c r="N11" s="1731" t="s">
        <v>4378</v>
      </c>
      <c r="O11" s="1723"/>
      <c r="P11" s="3646"/>
      <c r="Q11" s="3193"/>
      <c r="R11" s="1672" t="s">
        <v>2966</v>
      </c>
      <c r="S11" s="1672"/>
      <c r="T11" s="1672"/>
      <c r="U11" s="1458"/>
      <c r="V11" s="1460">
        <v>795000</v>
      </c>
      <c r="W11" s="1459"/>
      <c r="X11" s="733"/>
      <c r="Y11" s="1264"/>
      <c r="Z11" s="1416">
        <v>250000</v>
      </c>
      <c r="AA11" s="1116"/>
      <c r="AB11" s="1261">
        <f t="shared" si="0"/>
        <v>1045000</v>
      </c>
      <c r="AC11" s="1267"/>
      <c r="AD11" s="736"/>
      <c r="AE11" s="1268">
        <f t="shared" si="2"/>
        <v>5259600</v>
      </c>
      <c r="AF11" s="1824">
        <f t="shared" si="1"/>
        <v>6304600</v>
      </c>
      <c r="AG11" s="2669"/>
      <c r="AH11" s="1426">
        <v>1</v>
      </c>
      <c r="AI11" s="1427"/>
      <c r="AJ11" s="1427"/>
      <c r="AK11" s="1427"/>
      <c r="AL11" s="1427"/>
      <c r="AM11" s="1427"/>
      <c r="AN11" s="1427"/>
      <c r="AO11" s="1427"/>
      <c r="AP11" s="1427"/>
      <c r="AQ11" s="1427">
        <v>1</v>
      </c>
      <c r="AR11" s="1427"/>
    </row>
    <row r="12" spans="1:44">
      <c r="A12" s="1403">
        <v>5</v>
      </c>
      <c r="B12" s="3588" t="s">
        <v>4374</v>
      </c>
      <c r="C12" s="1260">
        <v>307049170210</v>
      </c>
      <c r="D12" s="684" t="s">
        <v>4374</v>
      </c>
      <c r="E12" s="3594" t="s">
        <v>4633</v>
      </c>
      <c r="F12" s="3591" t="s">
        <v>210</v>
      </c>
      <c r="G12" s="431">
        <v>1</v>
      </c>
      <c r="H12" s="167"/>
      <c r="I12" s="167"/>
      <c r="J12" s="1679">
        <v>16973.830000000002</v>
      </c>
      <c r="K12" s="3650" t="s">
        <v>4385</v>
      </c>
      <c r="L12" s="1406" t="s">
        <v>4583</v>
      </c>
      <c r="M12" s="1385">
        <v>4</v>
      </c>
      <c r="N12" s="1732" t="s">
        <v>4534</v>
      </c>
      <c r="O12" s="1363"/>
      <c r="P12" s="3640" t="s">
        <v>4410</v>
      </c>
      <c r="Q12" s="2288"/>
      <c r="R12" s="3652" t="s">
        <v>2966</v>
      </c>
      <c r="S12" s="2347"/>
      <c r="T12" s="1672"/>
      <c r="U12" s="1458"/>
      <c r="V12" s="1460">
        <v>795000</v>
      </c>
      <c r="W12" s="1467">
        <v>1296000</v>
      </c>
      <c r="X12" s="733"/>
      <c r="Y12" s="1264"/>
      <c r="Z12" s="1416">
        <v>250000</v>
      </c>
      <c r="AA12" s="1116"/>
      <c r="AB12" s="1261">
        <f t="shared" si="0"/>
        <v>2341000</v>
      </c>
      <c r="AC12" s="1267"/>
      <c r="AD12" s="736"/>
      <c r="AE12" s="1268">
        <f t="shared" si="2"/>
        <v>5259600</v>
      </c>
      <c r="AF12" s="1824">
        <f t="shared" si="1"/>
        <v>7600600</v>
      </c>
      <c r="AG12" s="2669"/>
      <c r="AH12" s="1426">
        <v>1</v>
      </c>
      <c r="AI12" s="1427"/>
      <c r="AJ12" s="1427"/>
      <c r="AK12" s="1427"/>
      <c r="AL12" s="1427"/>
      <c r="AM12" s="1427"/>
      <c r="AN12" s="1427"/>
      <c r="AO12" s="1427"/>
      <c r="AP12" s="1427"/>
      <c r="AQ12" s="1427">
        <v>1</v>
      </c>
      <c r="AR12" s="1427"/>
    </row>
    <row r="13" spans="1:44">
      <c r="A13" s="658">
        <v>6</v>
      </c>
      <c r="B13" s="3589"/>
      <c r="C13" s="1260">
        <v>307049175660</v>
      </c>
      <c r="D13" s="684" t="s">
        <v>4374</v>
      </c>
      <c r="E13" s="3472"/>
      <c r="F13" s="3516"/>
      <c r="G13" s="431">
        <v>1</v>
      </c>
      <c r="H13" s="167"/>
      <c r="I13" s="167"/>
      <c r="J13" s="1679">
        <v>15385.02</v>
      </c>
      <c r="K13" s="3650"/>
      <c r="L13" s="1406" t="s">
        <v>4584</v>
      </c>
      <c r="M13" s="1385">
        <v>5</v>
      </c>
      <c r="N13" s="1733" t="s">
        <v>4535</v>
      </c>
      <c r="O13" s="1724"/>
      <c r="P13" s="3510"/>
      <c r="Q13" s="3185"/>
      <c r="R13" s="3601"/>
      <c r="S13" s="2347"/>
      <c r="T13" s="1672"/>
      <c r="U13" s="1458"/>
      <c r="V13" s="1460">
        <v>795000</v>
      </c>
      <c r="W13" s="1459"/>
      <c r="X13" s="733"/>
      <c r="Y13" s="1264"/>
      <c r="Z13" s="1416">
        <v>250000</v>
      </c>
      <c r="AA13" s="1116"/>
      <c r="AB13" s="1261">
        <f t="shared" si="0"/>
        <v>1045000</v>
      </c>
      <c r="AC13" s="1267"/>
      <c r="AD13" s="736"/>
      <c r="AE13" s="1268">
        <f t="shared" si="2"/>
        <v>5259600</v>
      </c>
      <c r="AF13" s="1824">
        <f t="shared" si="1"/>
        <v>6304600</v>
      </c>
      <c r="AG13" s="2669"/>
      <c r="AH13" s="1426">
        <v>1</v>
      </c>
      <c r="AI13" s="1427"/>
      <c r="AJ13" s="1427"/>
      <c r="AK13" s="1427"/>
      <c r="AL13" s="1427"/>
      <c r="AM13" s="1427"/>
      <c r="AN13" s="1427"/>
      <c r="AO13" s="1427"/>
      <c r="AP13" s="1427"/>
      <c r="AQ13" s="1427">
        <v>1</v>
      </c>
      <c r="AR13" s="1427"/>
    </row>
    <row r="14" spans="1:44" s="5" customFormat="1">
      <c r="A14" s="1403">
        <v>7</v>
      </c>
      <c r="B14" s="3590"/>
      <c r="C14" s="1260">
        <v>307049180820</v>
      </c>
      <c r="D14" s="684" t="s">
        <v>4374</v>
      </c>
      <c r="E14" s="3464"/>
      <c r="F14" s="3592"/>
      <c r="G14" s="431">
        <v>1</v>
      </c>
      <c r="H14" s="167"/>
      <c r="I14" s="167"/>
      <c r="J14" s="1679">
        <v>13083.5</v>
      </c>
      <c r="K14" s="3650"/>
      <c r="L14" s="1406" t="s">
        <v>4585</v>
      </c>
      <c r="M14" s="1385">
        <v>7</v>
      </c>
      <c r="N14" s="1732" t="s">
        <v>4536</v>
      </c>
      <c r="O14" s="1363"/>
      <c r="P14" s="3626"/>
      <c r="Q14" s="2954"/>
      <c r="R14" s="3277"/>
      <c r="S14" s="2344"/>
      <c r="T14" s="1672"/>
      <c r="U14" s="1458"/>
      <c r="V14" s="1460">
        <v>795000</v>
      </c>
      <c r="W14" s="1459"/>
      <c r="X14" s="733"/>
      <c r="Y14" s="1264"/>
      <c r="Z14" s="1416">
        <v>250000</v>
      </c>
      <c r="AA14" s="1116"/>
      <c r="AB14" s="1261">
        <f t="shared" si="0"/>
        <v>1045000</v>
      </c>
      <c r="AC14" s="1267"/>
      <c r="AD14" s="736"/>
      <c r="AE14" s="1268">
        <f t="shared" si="2"/>
        <v>5259600</v>
      </c>
      <c r="AF14" s="1824">
        <f t="shared" si="1"/>
        <v>6304600</v>
      </c>
      <c r="AG14" s="2669"/>
      <c r="AH14" s="1426">
        <v>1</v>
      </c>
      <c r="AI14" s="1427"/>
      <c r="AJ14" s="1426"/>
      <c r="AK14" s="1426"/>
      <c r="AL14" s="1426"/>
      <c r="AM14" s="1426"/>
      <c r="AN14" s="1426"/>
      <c r="AO14" s="1426"/>
      <c r="AP14" s="1426"/>
      <c r="AQ14" s="1427">
        <v>1</v>
      </c>
      <c r="AR14" s="1426"/>
    </row>
    <row r="15" spans="1:44" s="5" customFormat="1" ht="16.5" customHeight="1">
      <c r="A15" s="658">
        <v>8</v>
      </c>
      <c r="B15" s="3599" t="s">
        <v>4428</v>
      </c>
      <c r="C15" s="1312">
        <v>307065448010</v>
      </c>
      <c r="D15" s="386" t="s">
        <v>4428</v>
      </c>
      <c r="E15" s="3594" t="s">
        <v>4634</v>
      </c>
      <c r="F15" s="3591" t="s">
        <v>210</v>
      </c>
      <c r="G15" s="431">
        <v>1</v>
      </c>
      <c r="H15" s="1358"/>
      <c r="I15" s="1358"/>
      <c r="J15" s="1679">
        <v>14412</v>
      </c>
      <c r="K15" s="3593" t="s">
        <v>4447</v>
      </c>
      <c r="L15" s="1407" t="s">
        <v>4586</v>
      </c>
      <c r="M15" s="1386">
        <v>6</v>
      </c>
      <c r="N15" s="1732" t="s">
        <v>4543</v>
      </c>
      <c r="O15" s="1363" t="s">
        <v>4537</v>
      </c>
      <c r="P15" s="3653" t="s">
        <v>4476</v>
      </c>
      <c r="Q15" s="1627"/>
      <c r="R15" s="3637" t="s">
        <v>2857</v>
      </c>
      <c r="S15" s="2345"/>
      <c r="T15" s="1672"/>
      <c r="U15" s="1458"/>
      <c r="V15" s="1460">
        <v>870000</v>
      </c>
      <c r="W15" s="1467">
        <v>1420000</v>
      </c>
      <c r="X15" s="733"/>
      <c r="Y15" s="1264"/>
      <c r="Z15" s="1416">
        <v>250000</v>
      </c>
      <c r="AA15" s="1116"/>
      <c r="AB15" s="1261">
        <f t="shared" si="0"/>
        <v>2540000</v>
      </c>
      <c r="AC15" s="1267"/>
      <c r="AD15" s="736"/>
      <c r="AE15" s="1268">
        <f t="shared" si="2"/>
        <v>5259600</v>
      </c>
      <c r="AF15" s="1824">
        <f t="shared" si="1"/>
        <v>7799600</v>
      </c>
      <c r="AG15" s="2669"/>
      <c r="AH15" s="1426">
        <v>1</v>
      </c>
      <c r="AI15" s="1427"/>
      <c r="AJ15" s="1426"/>
      <c r="AK15" s="1426"/>
      <c r="AL15" s="1426"/>
      <c r="AM15" s="1426"/>
      <c r="AN15" s="1426"/>
      <c r="AO15" s="1426"/>
      <c r="AP15" s="1426"/>
      <c r="AQ15" s="1427">
        <v>1</v>
      </c>
      <c r="AR15" s="1426"/>
    </row>
    <row r="16" spans="1:44" s="5" customFormat="1" ht="15.75" customHeight="1">
      <c r="A16" s="1403">
        <v>9</v>
      </c>
      <c r="B16" s="3590"/>
      <c r="C16" s="1353">
        <v>307065457660</v>
      </c>
      <c r="D16" s="386" t="s">
        <v>4428</v>
      </c>
      <c r="E16" s="3464"/>
      <c r="F16" s="3592"/>
      <c r="G16" s="431">
        <v>1</v>
      </c>
      <c r="H16" s="1358"/>
      <c r="I16" s="1358"/>
      <c r="J16" s="1679">
        <v>14882.32</v>
      </c>
      <c r="K16" s="3504"/>
      <c r="L16" s="1407" t="s">
        <v>4587</v>
      </c>
      <c r="M16" s="1386">
        <v>7</v>
      </c>
      <c r="N16" s="1732" t="s">
        <v>4544</v>
      </c>
      <c r="O16" s="1363" t="s">
        <v>4540</v>
      </c>
      <c r="P16" s="3285"/>
      <c r="Q16" s="740"/>
      <c r="R16" s="3639"/>
      <c r="S16" s="2346"/>
      <c r="T16" s="1672"/>
      <c r="U16" s="1458"/>
      <c r="V16" s="1460">
        <v>870000</v>
      </c>
      <c r="W16" s="1466"/>
      <c r="X16" s="1354"/>
      <c r="Y16" s="1355"/>
      <c r="Z16" s="1416">
        <v>250000</v>
      </c>
      <c r="AA16" s="1116"/>
      <c r="AB16" s="1261">
        <f t="shared" si="0"/>
        <v>1120000</v>
      </c>
      <c r="AC16" s="1267"/>
      <c r="AD16" s="1356"/>
      <c r="AE16" s="1268">
        <f t="shared" si="2"/>
        <v>5259600</v>
      </c>
      <c r="AF16" s="1824">
        <f t="shared" si="1"/>
        <v>6379600</v>
      </c>
      <c r="AG16" s="2669"/>
      <c r="AH16" s="1426">
        <v>1</v>
      </c>
      <c r="AI16" s="1427"/>
      <c r="AJ16" s="1426"/>
      <c r="AK16" s="1426"/>
      <c r="AL16" s="1426"/>
      <c r="AM16" s="1426"/>
      <c r="AN16" s="1426"/>
      <c r="AO16" s="1426"/>
      <c r="AP16" s="1426"/>
      <c r="AQ16" s="1427">
        <v>1</v>
      </c>
      <c r="AR16" s="1426"/>
    </row>
    <row r="17" spans="1:44" s="5" customFormat="1" ht="19.5" customHeight="1">
      <c r="A17" s="658">
        <v>10</v>
      </c>
      <c r="B17" s="3599" t="s">
        <v>4428</v>
      </c>
      <c r="C17" s="1312">
        <v>307065388620</v>
      </c>
      <c r="D17" s="386" t="s">
        <v>4428</v>
      </c>
      <c r="E17" s="3594" t="s">
        <v>4635</v>
      </c>
      <c r="F17" s="3591" t="s">
        <v>210</v>
      </c>
      <c r="G17" s="431">
        <v>1</v>
      </c>
      <c r="H17" s="445"/>
      <c r="I17" s="445"/>
      <c r="J17" s="1680">
        <v>17390.599999999999</v>
      </c>
      <c r="K17" s="3593" t="s">
        <v>4446</v>
      </c>
      <c r="L17" s="1407" t="s">
        <v>4588</v>
      </c>
      <c r="M17" s="1386">
        <v>5</v>
      </c>
      <c r="N17" s="1732" t="s">
        <v>4545</v>
      </c>
      <c r="O17" s="1363" t="s">
        <v>4541</v>
      </c>
      <c r="P17" s="3640" t="s">
        <v>4477</v>
      </c>
      <c r="Q17" s="2288"/>
      <c r="R17" s="3651" t="s">
        <v>4078</v>
      </c>
      <c r="S17" s="2346"/>
      <c r="T17" s="1672"/>
      <c r="U17" s="1458"/>
      <c r="V17" s="1460">
        <v>900000</v>
      </c>
      <c r="W17" s="1460">
        <v>1400000</v>
      </c>
      <c r="X17" s="1459"/>
      <c r="Y17" s="1264"/>
      <c r="Z17" s="1416">
        <v>250000</v>
      </c>
      <c r="AA17" s="1116"/>
      <c r="AB17" s="1261">
        <f t="shared" si="0"/>
        <v>2550000</v>
      </c>
      <c r="AC17" s="1267"/>
      <c r="AD17" s="736"/>
      <c r="AE17" s="1268">
        <f t="shared" si="2"/>
        <v>5259600</v>
      </c>
      <c r="AF17" s="1824">
        <f t="shared" si="1"/>
        <v>7809600</v>
      </c>
      <c r="AG17" s="2669"/>
      <c r="AH17" s="1426">
        <v>1</v>
      </c>
      <c r="AI17" s="1427"/>
      <c r="AJ17" s="1426"/>
      <c r="AK17" s="1426"/>
      <c r="AL17" s="1426"/>
      <c r="AM17" s="1426"/>
      <c r="AN17" s="1426"/>
      <c r="AO17" s="1426"/>
      <c r="AP17" s="1426"/>
      <c r="AQ17" s="1427">
        <v>1</v>
      </c>
      <c r="AR17" s="1426"/>
    </row>
    <row r="18" spans="1:44" s="5" customFormat="1" ht="16.5" customHeight="1">
      <c r="A18" s="1403">
        <v>11</v>
      </c>
      <c r="B18" s="3589"/>
      <c r="C18" s="1312">
        <v>307065400040</v>
      </c>
      <c r="D18" s="386" t="s">
        <v>4428</v>
      </c>
      <c r="E18" s="3472"/>
      <c r="F18" s="3516"/>
      <c r="G18" s="431">
        <v>1</v>
      </c>
      <c r="H18" s="167"/>
      <c r="I18" s="167"/>
      <c r="J18" s="1681">
        <v>17390.599999999999</v>
      </c>
      <c r="K18" s="3574"/>
      <c r="L18" s="1407" t="s">
        <v>4589</v>
      </c>
      <c r="M18" s="1386">
        <v>6</v>
      </c>
      <c r="N18" s="1732" t="s">
        <v>4546</v>
      </c>
      <c r="O18" s="1363" t="s">
        <v>4542</v>
      </c>
      <c r="P18" s="3510"/>
      <c r="Q18" s="3185"/>
      <c r="R18" s="3651"/>
      <c r="S18" s="2346"/>
      <c r="T18" s="1672"/>
      <c r="U18" s="1458"/>
      <c r="V18" s="1460">
        <v>900000</v>
      </c>
      <c r="W18" s="1469"/>
      <c r="X18" s="1459"/>
      <c r="Y18" s="1264"/>
      <c r="Z18" s="1416">
        <v>250000</v>
      </c>
      <c r="AA18" s="1116"/>
      <c r="AB18" s="1261">
        <f t="shared" si="0"/>
        <v>1150000</v>
      </c>
      <c r="AC18" s="1267"/>
      <c r="AD18" s="736"/>
      <c r="AE18" s="1268">
        <f t="shared" si="2"/>
        <v>5259600</v>
      </c>
      <c r="AF18" s="1824">
        <f t="shared" si="1"/>
        <v>6409600</v>
      </c>
      <c r="AG18" s="2669"/>
      <c r="AH18" s="1426">
        <v>1</v>
      </c>
      <c r="AI18" s="1427"/>
      <c r="AJ18" s="1426"/>
      <c r="AK18" s="1426"/>
      <c r="AL18" s="1426"/>
      <c r="AM18" s="1426"/>
      <c r="AN18" s="1426"/>
      <c r="AO18" s="1426"/>
      <c r="AP18" s="1426"/>
      <c r="AQ18" s="1427">
        <v>1</v>
      </c>
      <c r="AR18" s="1426"/>
    </row>
    <row r="19" spans="1:44" s="5" customFormat="1" ht="18" customHeight="1">
      <c r="A19" s="658">
        <v>12</v>
      </c>
      <c r="B19" s="3600"/>
      <c r="C19" s="1312">
        <v>307065410060</v>
      </c>
      <c r="D19" s="386" t="s">
        <v>4428</v>
      </c>
      <c r="E19" s="3464"/>
      <c r="F19" s="3592"/>
      <c r="G19" s="431">
        <v>1</v>
      </c>
      <c r="H19" s="167"/>
      <c r="I19" s="167"/>
      <c r="J19" s="1682">
        <v>17390.599999999999</v>
      </c>
      <c r="K19" s="3504"/>
      <c r="L19" s="1407" t="s">
        <v>4590</v>
      </c>
      <c r="M19" s="1386">
        <v>7</v>
      </c>
      <c r="N19" s="1732" t="s">
        <v>4548</v>
      </c>
      <c r="O19" s="1363" t="s">
        <v>4547</v>
      </c>
      <c r="P19" s="3626"/>
      <c r="Q19" s="2954"/>
      <c r="R19" s="3651"/>
      <c r="S19" s="2346"/>
      <c r="T19" s="1672"/>
      <c r="U19" s="1458"/>
      <c r="V19" s="1460">
        <v>900000</v>
      </c>
      <c r="W19" s="1460">
        <v>700000</v>
      </c>
      <c r="X19" s="1459"/>
      <c r="Y19" s="1264"/>
      <c r="Z19" s="1416">
        <v>250000</v>
      </c>
      <c r="AA19" s="1116"/>
      <c r="AB19" s="1261">
        <f t="shared" si="0"/>
        <v>1850000</v>
      </c>
      <c r="AC19" s="1267"/>
      <c r="AD19" s="736"/>
      <c r="AE19" s="1268">
        <f t="shared" si="2"/>
        <v>5259600</v>
      </c>
      <c r="AF19" s="1824">
        <f t="shared" si="1"/>
        <v>7109600</v>
      </c>
      <c r="AG19" s="2669"/>
      <c r="AH19" s="1426">
        <v>1</v>
      </c>
      <c r="AI19" s="1427"/>
      <c r="AJ19" s="1426"/>
      <c r="AK19" s="1426"/>
      <c r="AL19" s="1426"/>
      <c r="AM19" s="1426"/>
      <c r="AN19" s="1426"/>
      <c r="AO19" s="1426"/>
      <c r="AP19" s="1426"/>
      <c r="AQ19" s="1427">
        <v>1</v>
      </c>
      <c r="AR19" s="1426"/>
    </row>
    <row r="20" spans="1:44" s="5" customFormat="1">
      <c r="A20" s="1403">
        <v>13</v>
      </c>
      <c r="B20" s="3597" t="s">
        <v>4467</v>
      </c>
      <c r="C20" s="1422">
        <v>307073035750</v>
      </c>
      <c r="D20" s="1206" t="s">
        <v>4467</v>
      </c>
      <c r="E20" s="3594" t="s">
        <v>4636</v>
      </c>
      <c r="F20" s="3595" t="s">
        <v>210</v>
      </c>
      <c r="G20" s="431">
        <v>1</v>
      </c>
      <c r="H20" s="1358"/>
      <c r="I20" s="1358"/>
      <c r="J20" s="1683">
        <v>15585.85</v>
      </c>
      <c r="K20" s="3593" t="s">
        <v>4448</v>
      </c>
      <c r="L20" s="1408" t="s">
        <v>4591</v>
      </c>
      <c r="M20" s="1387">
        <v>1</v>
      </c>
      <c r="N20" s="1732" t="s">
        <v>4549</v>
      </c>
      <c r="O20" s="1725" t="s">
        <v>4550</v>
      </c>
      <c r="P20" s="3640" t="s">
        <v>4449</v>
      </c>
      <c r="Q20" s="2288"/>
      <c r="R20" s="3637" t="s">
        <v>2857</v>
      </c>
      <c r="S20" s="2345"/>
      <c r="T20" s="1672"/>
      <c r="U20" s="1458"/>
      <c r="V20" s="1460">
        <v>1000000</v>
      </c>
      <c r="W20" s="1463">
        <v>2840000</v>
      </c>
      <c r="X20" s="1251"/>
      <c r="Y20" s="1266"/>
      <c r="Z20" s="1416">
        <v>250000</v>
      </c>
      <c r="AA20" s="1116"/>
      <c r="AB20" s="1261">
        <f t="shared" si="0"/>
        <v>4090000</v>
      </c>
      <c r="AC20" s="1267"/>
      <c r="AD20" s="1253"/>
      <c r="AE20" s="1268">
        <f t="shared" si="2"/>
        <v>5259600</v>
      </c>
      <c r="AF20" s="1824">
        <f t="shared" si="1"/>
        <v>9349600</v>
      </c>
      <c r="AG20" s="2669"/>
      <c r="AH20" s="1426">
        <v>1</v>
      </c>
      <c r="AI20" s="1427"/>
      <c r="AJ20" s="1426"/>
      <c r="AK20" s="1426"/>
      <c r="AL20" s="1426"/>
      <c r="AM20" s="1426"/>
      <c r="AN20" s="1426"/>
      <c r="AO20" s="1426"/>
      <c r="AP20" s="1426"/>
      <c r="AQ20" s="1427">
        <v>1</v>
      </c>
      <c r="AR20" s="1426"/>
    </row>
    <row r="21" spans="1:44" s="5" customFormat="1">
      <c r="A21" s="658">
        <v>14</v>
      </c>
      <c r="B21" s="3598"/>
      <c r="C21" s="1260">
        <v>307073044630</v>
      </c>
      <c r="D21" s="1206" t="s">
        <v>4467</v>
      </c>
      <c r="E21" s="3472"/>
      <c r="F21" s="3540"/>
      <c r="G21" s="431">
        <v>1</v>
      </c>
      <c r="H21" s="1358"/>
      <c r="I21" s="1358"/>
      <c r="J21" s="1683">
        <v>15726.2</v>
      </c>
      <c r="K21" s="3574"/>
      <c r="L21" s="1408" t="s">
        <v>4592</v>
      </c>
      <c r="M21" s="1387">
        <v>2</v>
      </c>
      <c r="N21" s="1732" t="s">
        <v>4552</v>
      </c>
      <c r="O21" s="1725" t="s">
        <v>4551</v>
      </c>
      <c r="P21" s="3510"/>
      <c r="Q21" s="3185"/>
      <c r="R21" s="3638"/>
      <c r="S21" s="2345"/>
      <c r="T21" s="1672"/>
      <c r="U21" s="1462"/>
      <c r="V21" s="1460">
        <v>1000000</v>
      </c>
      <c r="W21" s="1459"/>
      <c r="X21" s="1116"/>
      <c r="Y21" s="1263"/>
      <c r="Z21" s="1416">
        <v>250000</v>
      </c>
      <c r="AA21" s="1116"/>
      <c r="AB21" s="1261">
        <f t="shared" si="0"/>
        <v>1250000</v>
      </c>
      <c r="AC21" s="1267"/>
      <c r="AD21" s="1119"/>
      <c r="AE21" s="1268">
        <f t="shared" si="2"/>
        <v>5259600</v>
      </c>
      <c r="AF21" s="1824">
        <f t="shared" si="1"/>
        <v>6509600</v>
      </c>
      <c r="AG21" s="2669"/>
      <c r="AH21" s="1426">
        <v>1</v>
      </c>
      <c r="AI21" s="1427"/>
      <c r="AJ21" s="1426"/>
      <c r="AK21" s="1426"/>
      <c r="AL21" s="1426"/>
      <c r="AM21" s="1426"/>
      <c r="AN21" s="1426"/>
      <c r="AO21" s="1426"/>
      <c r="AP21" s="1426"/>
      <c r="AQ21" s="1427">
        <v>1</v>
      </c>
      <c r="AR21" s="1426"/>
    </row>
    <row r="22" spans="1:44" s="5" customFormat="1">
      <c r="A22" s="1403">
        <v>15</v>
      </c>
      <c r="B22" s="3598"/>
      <c r="C22" s="1312">
        <v>307073052110</v>
      </c>
      <c r="D22" s="1206" t="s">
        <v>4467</v>
      </c>
      <c r="E22" s="3472"/>
      <c r="F22" s="3540"/>
      <c r="G22" s="431">
        <v>1</v>
      </c>
      <c r="H22" s="1358"/>
      <c r="I22" s="1358"/>
      <c r="J22" s="1683">
        <v>15364.74</v>
      </c>
      <c r="K22" s="3574"/>
      <c r="L22" s="1408" t="s">
        <v>4593</v>
      </c>
      <c r="M22" s="1387">
        <v>3</v>
      </c>
      <c r="N22" s="1732" t="s">
        <v>4554</v>
      </c>
      <c r="O22" s="1725" t="s">
        <v>4553</v>
      </c>
      <c r="P22" s="3510"/>
      <c r="Q22" s="3185"/>
      <c r="R22" s="3638"/>
      <c r="S22" s="2345"/>
      <c r="T22" s="1672"/>
      <c r="U22" s="1458"/>
      <c r="V22" s="1460">
        <v>1000000</v>
      </c>
      <c r="W22" s="1459"/>
      <c r="X22" s="733"/>
      <c r="Y22" s="1264"/>
      <c r="Z22" s="1416">
        <v>250000</v>
      </c>
      <c r="AA22" s="1116"/>
      <c r="AB22" s="1261">
        <f t="shared" si="0"/>
        <v>1250000</v>
      </c>
      <c r="AC22" s="1267"/>
      <c r="AD22" s="736"/>
      <c r="AE22" s="1268">
        <f t="shared" si="2"/>
        <v>5259600</v>
      </c>
      <c r="AF22" s="1824">
        <f t="shared" si="1"/>
        <v>6509600</v>
      </c>
      <c r="AG22" s="2669"/>
      <c r="AH22" s="1426">
        <v>1</v>
      </c>
      <c r="AI22" s="1427"/>
      <c r="AJ22" s="1426"/>
      <c r="AK22" s="1426"/>
      <c r="AL22" s="1426"/>
      <c r="AM22" s="1426"/>
      <c r="AN22" s="1426"/>
      <c r="AO22" s="1426"/>
      <c r="AP22" s="1426"/>
      <c r="AQ22" s="1427">
        <v>1</v>
      </c>
      <c r="AR22" s="1426"/>
    </row>
    <row r="23" spans="1:44" s="5" customFormat="1">
      <c r="A23" s="658">
        <v>16</v>
      </c>
      <c r="B23" s="3598"/>
      <c r="C23" s="1312">
        <v>307073060620</v>
      </c>
      <c r="D23" s="1206" t="s">
        <v>4467</v>
      </c>
      <c r="E23" s="3464"/>
      <c r="F23" s="3596"/>
      <c r="G23" s="431">
        <v>1</v>
      </c>
      <c r="H23" s="1358"/>
      <c r="I23" s="1358"/>
      <c r="J23" s="1683">
        <v>15430.8</v>
      </c>
      <c r="K23" s="3504"/>
      <c r="L23" s="1408" t="s">
        <v>4594</v>
      </c>
      <c r="M23" s="1387">
        <v>4</v>
      </c>
      <c r="N23" s="1732" t="s">
        <v>4556</v>
      </c>
      <c r="O23" s="1725" t="s">
        <v>4555</v>
      </c>
      <c r="P23" s="3626"/>
      <c r="Q23" s="2954"/>
      <c r="R23" s="3639"/>
      <c r="S23" s="2346"/>
      <c r="T23" s="1672"/>
      <c r="U23" s="1458"/>
      <c r="V23" s="1460">
        <v>1000000</v>
      </c>
      <c r="W23" s="1459"/>
      <c r="X23" s="733"/>
      <c r="Y23" s="1264"/>
      <c r="Z23" s="1416">
        <v>250000</v>
      </c>
      <c r="AA23" s="1116"/>
      <c r="AB23" s="1261">
        <f t="shared" si="0"/>
        <v>1250000</v>
      </c>
      <c r="AC23" s="1267"/>
      <c r="AD23" s="736"/>
      <c r="AE23" s="1268">
        <f t="shared" si="2"/>
        <v>5259600</v>
      </c>
      <c r="AF23" s="1824">
        <f t="shared" si="1"/>
        <v>6509600</v>
      </c>
      <c r="AG23" s="2669"/>
      <c r="AH23" s="1426">
        <v>1</v>
      </c>
      <c r="AI23" s="1427"/>
      <c r="AJ23" s="1426"/>
      <c r="AK23" s="1426"/>
      <c r="AL23" s="1426"/>
      <c r="AM23" s="1426"/>
      <c r="AN23" s="1426"/>
      <c r="AO23" s="1426"/>
      <c r="AP23" s="1426"/>
      <c r="AQ23" s="1427">
        <v>1</v>
      </c>
      <c r="AR23" s="1426"/>
    </row>
    <row r="24" spans="1:44" s="5" customFormat="1" ht="22.5" customHeight="1">
      <c r="A24" s="1403">
        <v>17</v>
      </c>
      <c r="B24" s="1371" t="s">
        <v>4467</v>
      </c>
      <c r="C24" s="1312">
        <v>307074029200</v>
      </c>
      <c r="D24" s="386" t="s">
        <v>4467</v>
      </c>
      <c r="E24" s="1413" t="s">
        <v>4637</v>
      </c>
      <c r="F24" s="1807" t="s">
        <v>210</v>
      </c>
      <c r="G24" s="431"/>
      <c r="H24" s="1366">
        <v>1</v>
      </c>
      <c r="I24" s="1237"/>
      <c r="J24" s="1680">
        <v>11406.6</v>
      </c>
      <c r="K24" s="1808" t="s">
        <v>4473</v>
      </c>
      <c r="L24" s="1407" t="s">
        <v>4595</v>
      </c>
      <c r="M24" s="1386">
        <v>1</v>
      </c>
      <c r="N24" s="1732" t="s">
        <v>4558</v>
      </c>
      <c r="O24" s="1725" t="s">
        <v>4557</v>
      </c>
      <c r="P24" s="1810" t="s">
        <v>4486</v>
      </c>
      <c r="Q24" s="2288"/>
      <c r="R24" s="1809" t="s">
        <v>3001</v>
      </c>
      <c r="S24" s="2386"/>
      <c r="T24" s="1672"/>
      <c r="U24" s="1458"/>
      <c r="V24" s="1460">
        <v>1450000</v>
      </c>
      <c r="W24" s="1468">
        <v>1160000</v>
      </c>
      <c r="X24" s="733"/>
      <c r="Y24" s="734"/>
      <c r="Z24" s="1416">
        <v>500000</v>
      </c>
      <c r="AA24" s="1116"/>
      <c r="AB24" s="1261">
        <f t="shared" si="0"/>
        <v>3110000</v>
      </c>
      <c r="AC24" s="1267"/>
      <c r="AD24" s="736"/>
      <c r="AE24" s="1268">
        <f t="shared" si="2"/>
        <v>5367600</v>
      </c>
      <c r="AF24" s="1824">
        <f t="shared" si="1"/>
        <v>8477600</v>
      </c>
      <c r="AG24" s="2669"/>
      <c r="AH24" s="1426">
        <v>1</v>
      </c>
      <c r="AI24" s="1427"/>
      <c r="AJ24" s="1426"/>
      <c r="AK24" s="1426"/>
      <c r="AL24" s="1426"/>
      <c r="AM24" s="1426"/>
      <c r="AN24" s="1426"/>
      <c r="AO24" s="1426"/>
      <c r="AP24" s="1426"/>
      <c r="AQ24" s="1427">
        <v>1</v>
      </c>
      <c r="AR24" s="1426"/>
    </row>
    <row r="25" spans="1:44" s="5" customFormat="1">
      <c r="A25" s="658">
        <v>18</v>
      </c>
      <c r="B25" s="3597" t="s">
        <v>4478</v>
      </c>
      <c r="C25" s="1312">
        <v>307076925910</v>
      </c>
      <c r="D25" s="386" t="s">
        <v>4478</v>
      </c>
      <c r="E25" s="3594" t="s">
        <v>4638</v>
      </c>
      <c r="F25" s="3591" t="s">
        <v>210</v>
      </c>
      <c r="G25" s="431">
        <v>1</v>
      </c>
      <c r="H25" s="1365"/>
      <c r="I25" s="710"/>
      <c r="J25" s="1681">
        <v>18065.150000000001</v>
      </c>
      <c r="K25" s="3593" t="s">
        <v>4487</v>
      </c>
      <c r="L25" s="1408" t="s">
        <v>4596</v>
      </c>
      <c r="M25" s="1387">
        <v>4</v>
      </c>
      <c r="N25" s="1734" t="s">
        <v>4559</v>
      </c>
      <c r="O25" s="1397" t="s">
        <v>4560</v>
      </c>
      <c r="P25" s="3640" t="s">
        <v>4504</v>
      </c>
      <c r="Q25" s="2288"/>
      <c r="R25" s="3637" t="s">
        <v>4458</v>
      </c>
      <c r="S25" s="2386"/>
      <c r="T25" s="1672"/>
      <c r="U25" s="1458"/>
      <c r="V25" s="1460">
        <v>1000000</v>
      </c>
      <c r="W25" s="1460">
        <v>700000</v>
      </c>
      <c r="X25" s="1459"/>
      <c r="Y25" s="734"/>
      <c r="Z25" s="1416">
        <v>250000</v>
      </c>
      <c r="AA25" s="1116"/>
      <c r="AB25" s="1261">
        <f t="shared" si="0"/>
        <v>1950000</v>
      </c>
      <c r="AC25" s="1267"/>
      <c r="AD25" s="736"/>
      <c r="AE25" s="1268">
        <f t="shared" si="2"/>
        <v>5259600</v>
      </c>
      <c r="AF25" s="1824">
        <f t="shared" si="1"/>
        <v>7209600</v>
      </c>
      <c r="AG25" s="2669"/>
      <c r="AH25" s="1426">
        <v>1</v>
      </c>
      <c r="AI25" s="1427"/>
      <c r="AJ25" s="1426"/>
      <c r="AK25" s="1426"/>
      <c r="AL25" s="1426"/>
      <c r="AM25" s="1426"/>
      <c r="AN25" s="1426"/>
      <c r="AO25" s="1426"/>
      <c r="AP25" s="1426"/>
      <c r="AQ25" s="1427">
        <v>1</v>
      </c>
      <c r="AR25" s="1426"/>
    </row>
    <row r="26" spans="1:44" s="5" customFormat="1">
      <c r="A26" s="1403">
        <v>19</v>
      </c>
      <c r="B26" s="3598"/>
      <c r="C26" s="1312">
        <v>307076934750</v>
      </c>
      <c r="D26" s="386" t="s">
        <v>4478</v>
      </c>
      <c r="E26" s="3472"/>
      <c r="F26" s="3516"/>
      <c r="G26" s="431">
        <v>1</v>
      </c>
      <c r="H26" s="1365"/>
      <c r="I26" s="710"/>
      <c r="J26" s="1682">
        <v>19687.939999999999</v>
      </c>
      <c r="K26" s="3574"/>
      <c r="L26" s="1408" t="s">
        <v>4597</v>
      </c>
      <c r="M26" s="1387">
        <v>5</v>
      </c>
      <c r="N26" s="1734" t="s">
        <v>4603</v>
      </c>
      <c r="O26" s="1397" t="s">
        <v>4561</v>
      </c>
      <c r="P26" s="3510"/>
      <c r="Q26" s="3185"/>
      <c r="R26" s="3638"/>
      <c r="S26" s="2386"/>
      <c r="T26" s="1672"/>
      <c r="U26" s="1465"/>
      <c r="V26" s="1460">
        <v>870000</v>
      </c>
      <c r="W26" s="1460">
        <v>700000</v>
      </c>
      <c r="X26" s="1466"/>
      <c r="Y26" s="1315"/>
      <c r="Z26" s="1416">
        <v>250000</v>
      </c>
      <c r="AA26" s="1116"/>
      <c r="AB26" s="1261">
        <f t="shared" si="0"/>
        <v>1820000</v>
      </c>
      <c r="AC26" s="1267"/>
      <c r="AD26" s="1316"/>
      <c r="AE26" s="1268">
        <f t="shared" si="2"/>
        <v>5259600</v>
      </c>
      <c r="AF26" s="1824">
        <f t="shared" si="1"/>
        <v>7079600</v>
      </c>
      <c r="AG26" s="2669"/>
      <c r="AH26" s="1426">
        <v>1</v>
      </c>
      <c r="AI26" s="1427"/>
      <c r="AJ26" s="1426"/>
      <c r="AK26" s="1426"/>
      <c r="AL26" s="1426"/>
      <c r="AM26" s="1426"/>
      <c r="AN26" s="1426"/>
      <c r="AO26" s="1426"/>
      <c r="AP26" s="1426"/>
      <c r="AQ26" s="1427">
        <v>1</v>
      </c>
      <c r="AR26" s="1426"/>
    </row>
    <row r="27" spans="1:44" s="5" customFormat="1">
      <c r="A27" s="658">
        <v>20</v>
      </c>
      <c r="B27" s="3598"/>
      <c r="C27" s="1312">
        <v>307076945140</v>
      </c>
      <c r="D27" s="386" t="s">
        <v>4478</v>
      </c>
      <c r="E27" s="3464"/>
      <c r="F27" s="3592"/>
      <c r="G27" s="431">
        <v>1</v>
      </c>
      <c r="H27" s="1365"/>
      <c r="I27" s="710"/>
      <c r="J27" s="1682">
        <v>17659.900000000001</v>
      </c>
      <c r="K27" s="3504"/>
      <c r="L27" s="1408" t="s">
        <v>4598</v>
      </c>
      <c r="M27" s="1387">
        <v>6</v>
      </c>
      <c r="N27" s="1734" t="s">
        <v>4604</v>
      </c>
      <c r="O27" s="1397" t="s">
        <v>4562</v>
      </c>
      <c r="P27" s="3626"/>
      <c r="Q27" s="2954"/>
      <c r="R27" s="3639"/>
      <c r="S27" s="2386"/>
      <c r="T27" s="1672"/>
      <c r="U27" s="1465"/>
      <c r="V27" s="1464">
        <v>870000</v>
      </c>
      <c r="W27" s="1464">
        <v>700000</v>
      </c>
      <c r="X27" s="1466"/>
      <c r="Y27" s="1315"/>
      <c r="Z27" s="1416">
        <v>250000</v>
      </c>
      <c r="AA27" s="1116"/>
      <c r="AB27" s="1261">
        <f t="shared" si="0"/>
        <v>1820000</v>
      </c>
      <c r="AC27" s="1267"/>
      <c r="AD27" s="1316"/>
      <c r="AE27" s="1268">
        <f t="shared" si="2"/>
        <v>5259600</v>
      </c>
      <c r="AF27" s="1824">
        <f t="shared" si="1"/>
        <v>7079600</v>
      </c>
      <c r="AG27" s="2669"/>
      <c r="AH27" s="1426">
        <v>1</v>
      </c>
      <c r="AI27" s="1427"/>
      <c r="AJ27" s="1426"/>
      <c r="AK27" s="1426"/>
      <c r="AL27" s="1426"/>
      <c r="AM27" s="1426"/>
      <c r="AN27" s="1426"/>
      <c r="AO27" s="1426"/>
      <c r="AP27" s="1426"/>
      <c r="AQ27" s="1427">
        <v>1</v>
      </c>
      <c r="AR27" s="1426"/>
    </row>
    <row r="28" spans="1:44" s="5" customFormat="1">
      <c r="A28" s="1403">
        <v>21</v>
      </c>
      <c r="B28" s="3597" t="s">
        <v>4607</v>
      </c>
      <c r="C28" s="1317">
        <v>307076956450</v>
      </c>
      <c r="D28" s="386" t="s">
        <v>4478</v>
      </c>
      <c r="E28" s="3594" t="s">
        <v>4639</v>
      </c>
      <c r="F28" s="3591" t="s">
        <v>210</v>
      </c>
      <c r="G28" s="431">
        <v>1</v>
      </c>
      <c r="H28" s="1365"/>
      <c r="I28" s="710"/>
      <c r="J28" s="1682">
        <v>17768.3</v>
      </c>
      <c r="K28" s="3593" t="s">
        <v>4488</v>
      </c>
      <c r="L28" s="1408" t="s">
        <v>4599</v>
      </c>
      <c r="M28" s="1387">
        <v>3</v>
      </c>
      <c r="N28" s="1732" t="s">
        <v>4566</v>
      </c>
      <c r="O28" s="1725" t="s">
        <v>4563</v>
      </c>
      <c r="P28" s="3640" t="s">
        <v>4504</v>
      </c>
      <c r="Q28" s="2288"/>
      <c r="R28" s="3637" t="s">
        <v>4458</v>
      </c>
      <c r="S28" s="2386"/>
      <c r="T28" s="1672"/>
      <c r="U28" s="1465"/>
      <c r="V28" s="1460">
        <v>1000000</v>
      </c>
      <c r="W28" s="1460">
        <v>700000</v>
      </c>
      <c r="X28" s="1466"/>
      <c r="Y28" s="1315"/>
      <c r="Z28" s="1416">
        <v>250000</v>
      </c>
      <c r="AA28" s="1116"/>
      <c r="AB28" s="1261">
        <f t="shared" si="0"/>
        <v>1950000</v>
      </c>
      <c r="AC28" s="1267"/>
      <c r="AD28" s="1316"/>
      <c r="AE28" s="1268">
        <f t="shared" si="2"/>
        <v>5259600</v>
      </c>
      <c r="AF28" s="1824">
        <f t="shared" si="1"/>
        <v>7209600</v>
      </c>
      <c r="AG28" s="2669"/>
      <c r="AH28" s="1426">
        <v>1</v>
      </c>
      <c r="AI28" s="1427"/>
      <c r="AJ28" s="1426"/>
      <c r="AK28" s="1426"/>
      <c r="AL28" s="1426"/>
      <c r="AM28" s="1426"/>
      <c r="AN28" s="1426"/>
      <c r="AO28" s="1426"/>
      <c r="AP28" s="1426"/>
      <c r="AQ28" s="1427">
        <v>1</v>
      </c>
      <c r="AR28" s="1426"/>
    </row>
    <row r="29" spans="1:44" s="5" customFormat="1">
      <c r="A29" s="658">
        <v>22</v>
      </c>
      <c r="B29" s="3598"/>
      <c r="C29" s="1317">
        <v>307081034650</v>
      </c>
      <c r="D29" s="1378" t="s">
        <v>4483</v>
      </c>
      <c r="E29" s="3472"/>
      <c r="F29" s="3516"/>
      <c r="G29" s="431">
        <v>1</v>
      </c>
      <c r="H29" s="1365"/>
      <c r="I29" s="710"/>
      <c r="J29" s="1682"/>
      <c r="K29" s="3574"/>
      <c r="L29" s="1408" t="s">
        <v>4600</v>
      </c>
      <c r="M29" s="1387">
        <v>2</v>
      </c>
      <c r="N29" s="1735" t="s">
        <v>4567</v>
      </c>
      <c r="O29" s="1363" t="s">
        <v>4564</v>
      </c>
      <c r="P29" s="3510"/>
      <c r="Q29" s="3185"/>
      <c r="R29" s="3638"/>
      <c r="S29" s="2386"/>
      <c r="T29" s="1672"/>
      <c r="U29" s="1465"/>
      <c r="V29" s="1460">
        <v>1000000</v>
      </c>
      <c r="W29" s="1460">
        <v>700000</v>
      </c>
      <c r="X29" s="1466"/>
      <c r="Y29" s="1315"/>
      <c r="Z29" s="1416">
        <v>250000</v>
      </c>
      <c r="AA29" s="1116"/>
      <c r="AB29" s="1261">
        <f t="shared" si="0"/>
        <v>1950000</v>
      </c>
      <c r="AC29" s="1267"/>
      <c r="AD29" s="1316"/>
      <c r="AE29" s="1268">
        <f t="shared" si="2"/>
        <v>5259600</v>
      </c>
      <c r="AF29" s="1824">
        <f t="shared" si="1"/>
        <v>7209600</v>
      </c>
      <c r="AG29" s="2669"/>
      <c r="AH29" s="1426">
        <v>1</v>
      </c>
      <c r="AI29" s="1427"/>
      <c r="AJ29" s="1426"/>
      <c r="AK29" s="1426"/>
      <c r="AL29" s="1426"/>
      <c r="AM29" s="1426"/>
      <c r="AN29" s="1426"/>
      <c r="AO29" s="1426"/>
      <c r="AP29" s="1426"/>
      <c r="AQ29" s="1427">
        <v>1</v>
      </c>
      <c r="AR29" s="1426"/>
    </row>
    <row r="30" spans="1:44" s="5" customFormat="1" ht="24.75" customHeight="1">
      <c r="A30" s="1403">
        <v>23</v>
      </c>
      <c r="B30" s="3598"/>
      <c r="C30" s="1428" t="s">
        <v>4571</v>
      </c>
      <c r="D30" s="1378" t="s">
        <v>4483</v>
      </c>
      <c r="E30" s="3464"/>
      <c r="F30" s="3592"/>
      <c r="G30" s="431"/>
      <c r="H30" s="1365">
        <v>1</v>
      </c>
      <c r="I30" s="710"/>
      <c r="J30" s="1682">
        <v>20902.5</v>
      </c>
      <c r="K30" s="3574"/>
      <c r="L30" s="1408" t="s">
        <v>4601</v>
      </c>
      <c r="M30" s="1387">
        <v>1</v>
      </c>
      <c r="N30" s="1735" t="s">
        <v>4568</v>
      </c>
      <c r="O30" s="1363" t="s">
        <v>4565</v>
      </c>
      <c r="P30" s="3626"/>
      <c r="Q30" s="2954"/>
      <c r="R30" s="3639"/>
      <c r="S30" s="2386"/>
      <c r="T30" s="1672"/>
      <c r="U30" s="1465"/>
      <c r="V30" s="1460">
        <v>1500000</v>
      </c>
      <c r="W30" s="1460">
        <v>1140000</v>
      </c>
      <c r="X30" s="1466"/>
      <c r="Y30" s="1315"/>
      <c r="Z30" s="1416">
        <v>500000</v>
      </c>
      <c r="AA30" s="1116"/>
      <c r="AB30" s="1261">
        <f t="shared" si="0"/>
        <v>3140000</v>
      </c>
      <c r="AC30" s="1267">
        <v>300000</v>
      </c>
      <c r="AD30" s="1316"/>
      <c r="AE30" s="1268">
        <f t="shared" si="2"/>
        <v>5691600</v>
      </c>
      <c r="AF30" s="1824">
        <f t="shared" si="1"/>
        <v>8831600</v>
      </c>
      <c r="AG30" s="2669"/>
      <c r="AH30" s="1426">
        <v>1</v>
      </c>
      <c r="AI30" s="1427"/>
      <c r="AJ30" s="1426"/>
      <c r="AK30" s="1426"/>
      <c r="AL30" s="1426"/>
      <c r="AM30" s="1426"/>
      <c r="AN30" s="1426"/>
      <c r="AO30" s="1426"/>
      <c r="AP30" s="1426"/>
      <c r="AQ30" s="1427">
        <v>1</v>
      </c>
      <c r="AR30" s="1426"/>
    </row>
    <row r="31" spans="1:44" s="5" customFormat="1">
      <c r="A31" s="658">
        <v>24</v>
      </c>
      <c r="B31" s="1410" t="s">
        <v>4483</v>
      </c>
      <c r="C31" s="1312">
        <v>307080992320</v>
      </c>
      <c r="D31" s="1378" t="s">
        <v>4483</v>
      </c>
      <c r="E31" s="389" t="s">
        <v>4640</v>
      </c>
      <c r="F31" s="1318" t="s">
        <v>210</v>
      </c>
      <c r="G31" s="431">
        <v>1</v>
      </c>
      <c r="H31" s="1365"/>
      <c r="I31" s="710"/>
      <c r="J31" s="1682">
        <v>5628.46</v>
      </c>
      <c r="K31" s="1808" t="s">
        <v>4503</v>
      </c>
      <c r="L31" s="1408" t="s">
        <v>4602</v>
      </c>
      <c r="M31" s="1387">
        <v>1</v>
      </c>
      <c r="N31" s="1735" t="s">
        <v>4570</v>
      </c>
      <c r="O31" s="1363" t="s">
        <v>4569</v>
      </c>
      <c r="P31" s="1810" t="s">
        <v>4518</v>
      </c>
      <c r="Q31" s="2288"/>
      <c r="R31" s="1809" t="s">
        <v>287</v>
      </c>
      <c r="S31" s="2386"/>
      <c r="T31" s="1672"/>
      <c r="U31" s="1314"/>
      <c r="V31" s="1445">
        <v>900000</v>
      </c>
      <c r="W31" s="1470">
        <v>432000</v>
      </c>
      <c r="X31" s="1314"/>
      <c r="Y31" s="1315"/>
      <c r="Z31" s="1416">
        <v>250000</v>
      </c>
      <c r="AA31" s="1116"/>
      <c r="AB31" s="1261">
        <f t="shared" si="0"/>
        <v>1582000</v>
      </c>
      <c r="AC31" s="1267"/>
      <c r="AD31" s="1316"/>
      <c r="AE31" s="1268">
        <f t="shared" si="2"/>
        <v>5259600</v>
      </c>
      <c r="AF31" s="1824">
        <f t="shared" si="1"/>
        <v>6841600</v>
      </c>
      <c r="AG31" s="2669"/>
      <c r="AH31" s="1426">
        <v>1</v>
      </c>
      <c r="AI31" s="1427"/>
      <c r="AJ31" s="1426"/>
      <c r="AK31" s="1426"/>
      <c r="AL31" s="1426"/>
      <c r="AM31" s="1426"/>
      <c r="AN31" s="1426"/>
      <c r="AO31" s="1426"/>
      <c r="AP31" s="1426"/>
      <c r="AQ31" s="1427">
        <v>1</v>
      </c>
      <c r="AR31" s="1426"/>
    </row>
    <row r="32" spans="1:44">
      <c r="A32" s="1403">
        <v>25</v>
      </c>
      <c r="B32" s="1403"/>
      <c r="C32" s="1312" t="s">
        <v>4605</v>
      </c>
      <c r="D32" s="1201" t="s">
        <v>4313</v>
      </c>
      <c r="E32" s="1418" t="s">
        <v>4632</v>
      </c>
      <c r="F32" s="1402" t="s">
        <v>210</v>
      </c>
      <c r="G32" s="1402"/>
      <c r="H32" s="1402"/>
      <c r="I32" s="1403">
        <v>1</v>
      </c>
      <c r="J32" s="1679">
        <v>472</v>
      </c>
      <c r="K32" s="1403" t="s">
        <v>4606</v>
      </c>
      <c r="L32" s="1411" t="s">
        <v>4608</v>
      </c>
      <c r="M32" s="1402"/>
      <c r="N32" s="1736"/>
      <c r="O32" s="1402"/>
      <c r="P32" s="1403"/>
      <c r="Q32" s="1639"/>
      <c r="R32" s="1404"/>
      <c r="S32" s="1640"/>
      <c r="T32" s="1821"/>
      <c r="U32" s="1822"/>
      <c r="V32" s="1314"/>
      <c r="W32" s="1821"/>
      <c r="X32" s="1821"/>
      <c r="Y32" s="1355"/>
      <c r="Z32" s="1416">
        <v>7080</v>
      </c>
      <c r="AA32" s="1116"/>
      <c r="AB32" s="1261">
        <f t="shared" si="0"/>
        <v>7080</v>
      </c>
      <c r="AC32" s="1267"/>
      <c r="AD32" s="1402"/>
      <c r="AE32" s="1268">
        <f t="shared" si="2"/>
        <v>2451600</v>
      </c>
      <c r="AF32" s="1824">
        <f t="shared" si="1"/>
        <v>2458680</v>
      </c>
      <c r="AG32" s="2668"/>
      <c r="AH32" s="1426">
        <v>1</v>
      </c>
      <c r="AI32" s="1425">
        <v>1500000</v>
      </c>
      <c r="AJ32" s="1426"/>
      <c r="AK32" s="1427"/>
      <c r="AL32" s="1427"/>
      <c r="AM32" s="1427"/>
      <c r="AN32" s="1427"/>
      <c r="AO32" s="1427"/>
      <c r="AP32" s="1427"/>
      <c r="AQ32" s="1427"/>
      <c r="AR32" s="1427"/>
    </row>
    <row r="33" spans="1:50">
      <c r="A33" s="3582" t="s">
        <v>4675</v>
      </c>
      <c r="B33" s="3583"/>
      <c r="C33" s="3583"/>
      <c r="D33" s="3583"/>
      <c r="E33" s="3583"/>
      <c r="F33" s="3583"/>
      <c r="G33" s="3583"/>
      <c r="H33" s="3583"/>
      <c r="I33" s="3583"/>
      <c r="J33" s="3583"/>
      <c r="K33" s="3583"/>
      <c r="L33" s="3583"/>
      <c r="M33" s="3583"/>
      <c r="N33" s="3583"/>
      <c r="O33" s="3584"/>
      <c r="P33" s="1300"/>
      <c r="Q33" s="3201"/>
      <c r="R33" s="1278"/>
      <c r="S33" s="1607"/>
      <c r="T33" s="1815"/>
      <c r="U33" s="1816"/>
      <c r="V33" s="1815">
        <f>SUM(V9:V32)</f>
        <v>21800000</v>
      </c>
      <c r="W33" s="1815">
        <f>+W9+W12+W15+W20+W24+W31</f>
        <v>8444000</v>
      </c>
      <c r="X33" s="1815"/>
      <c r="Y33" s="1817"/>
      <c r="Z33" s="1817">
        <f>SUM(Z9:Z32)</f>
        <v>6257080</v>
      </c>
      <c r="AA33" s="1815"/>
      <c r="AB33" s="1817">
        <f>SUM(AB8:AB32)</f>
        <v>43241080</v>
      </c>
      <c r="AC33" s="1817">
        <f>SUM(AC8:AC32)</f>
        <v>300000</v>
      </c>
      <c r="AD33" s="1819"/>
      <c r="AE33" s="1817">
        <f>SUM(AE8:AE32)</f>
        <v>124610400</v>
      </c>
      <c r="AF33" s="1817">
        <f>SUM(AF8:AF32)</f>
        <v>167851480</v>
      </c>
      <c r="AG33" s="2667"/>
      <c r="AH33" s="6"/>
      <c r="AI33" s="6"/>
      <c r="AJ33" s="5"/>
    </row>
    <row r="34" spans="1:50" s="5" customFormat="1" ht="19.5" customHeight="1">
      <c r="A34" s="658">
        <v>1</v>
      </c>
      <c r="B34" s="1396"/>
      <c r="C34" s="1484" t="s">
        <v>4737</v>
      </c>
      <c r="D34" s="1397"/>
      <c r="E34" s="1346"/>
      <c r="F34" s="1398"/>
      <c r="G34" s="431"/>
      <c r="H34" s="1365"/>
      <c r="I34" s="1365"/>
      <c r="J34" s="1825"/>
      <c r="K34" s="1561"/>
      <c r="L34" s="1372"/>
      <c r="M34" s="1388"/>
      <c r="N34" s="1825"/>
      <c r="O34" s="1826"/>
      <c r="P34" s="1364"/>
      <c r="Q34" s="2315"/>
      <c r="R34" s="1399"/>
      <c r="S34" s="2387"/>
      <c r="T34" s="1672"/>
      <c r="U34" s="1314"/>
      <c r="V34" s="1461"/>
      <c r="W34" s="1314"/>
      <c r="X34" s="1314">
        <v>500000</v>
      </c>
      <c r="Y34" s="1315"/>
      <c r="Z34" s="1315"/>
      <c r="AA34" s="1314"/>
      <c r="AB34" s="1261">
        <f>+U34+V34+W34+X34+Y34+Z34+AA34</f>
        <v>500000</v>
      </c>
      <c r="AC34" s="1267"/>
      <c r="AD34" s="1316"/>
      <c r="AE34" s="1268">
        <f>(AC34*1.08)+((AH34*$AH$4)+(G34*3450000+H34*3550000+I34*AI34)+(AJ34*$AJ$4)+(AK34*$AK$4)+(AL34*$AL$4)+(AN34*$AN$4)+(AO34*$AO$4)+(AP34*$AP$4)+(AQ34*$AQ$4))*1.08</f>
        <v>0</v>
      </c>
      <c r="AF34" s="1824">
        <f>+AB34+AE34</f>
        <v>500000</v>
      </c>
      <c r="AG34" s="2669"/>
      <c r="AH34" s="1426"/>
      <c r="AI34" s="1427"/>
      <c r="AJ34" s="1426"/>
      <c r="AK34" s="1426"/>
      <c r="AL34" s="1426"/>
      <c r="AM34" s="1426"/>
      <c r="AN34" s="1426"/>
      <c r="AO34" s="1426"/>
      <c r="AP34" s="1426"/>
      <c r="AQ34" s="1426"/>
      <c r="AR34" s="1426"/>
    </row>
    <row r="35" spans="1:50" s="5" customFormat="1">
      <c r="A35" s="1403">
        <v>2</v>
      </c>
      <c r="B35" s="1396"/>
      <c r="C35" s="1484" t="s">
        <v>4738</v>
      </c>
      <c r="D35" s="1397"/>
      <c r="E35" s="1346"/>
      <c r="F35" s="1398"/>
      <c r="G35" s="1366"/>
      <c r="H35" s="1365"/>
      <c r="I35" s="1365"/>
      <c r="J35" s="1684"/>
      <c r="K35" s="1561"/>
      <c r="L35" s="1400"/>
      <c r="M35" s="1387"/>
      <c r="N35" s="1737"/>
      <c r="O35" s="1363"/>
      <c r="P35" s="1364"/>
      <c r="Q35" s="2315"/>
      <c r="R35" s="1399"/>
      <c r="S35" s="2387"/>
      <c r="T35" s="1672"/>
      <c r="U35" s="1314"/>
      <c r="W35" s="1314"/>
      <c r="X35" s="1314">
        <v>920000</v>
      </c>
      <c r="Y35" s="1315"/>
      <c r="Z35" s="1315"/>
      <c r="AA35" s="1314"/>
      <c r="AB35" s="1261">
        <f>+U35+V35+W35+X35+Y35+Z35+AA35</f>
        <v>920000</v>
      </c>
      <c r="AC35" s="1267"/>
      <c r="AD35" s="1119"/>
      <c r="AE35" s="1268">
        <f>(AC35*1.08)+((AH35*$AH$4)+(G35*3450000+H35*3550000+I35*AI35)+(AJ35*$AJ$4)+(AK35*$AK$4)+(AL35*$AL$4)+(AN35*$AN$4)+(AO35*$AO$4)+(AP35*$AP$4)+(AQ35*$AQ$4))*1.08</f>
        <v>0</v>
      </c>
      <c r="AF35" s="1824">
        <f>+AB35+AE35</f>
        <v>920000</v>
      </c>
      <c r="AG35" s="2669"/>
      <c r="AH35" s="1426"/>
      <c r="AI35" s="1427"/>
      <c r="AJ35" s="1426"/>
      <c r="AK35" s="1426"/>
      <c r="AL35" s="1426"/>
      <c r="AM35" s="1426"/>
      <c r="AN35" s="1426"/>
      <c r="AO35" s="1426"/>
      <c r="AP35" s="1426"/>
      <c r="AQ35" s="1426"/>
      <c r="AR35" s="1426"/>
    </row>
    <row r="36" spans="1:50" s="5" customFormat="1">
      <c r="A36" s="1403">
        <v>3</v>
      </c>
      <c r="B36" s="1088"/>
      <c r="C36" s="1484" t="s">
        <v>4739</v>
      </c>
      <c r="D36" s="795"/>
      <c r="E36" s="660"/>
      <c r="F36" s="1245"/>
      <c r="G36" s="451"/>
      <c r="H36" s="445"/>
      <c r="I36" s="445"/>
      <c r="J36" s="1680"/>
      <c r="K36" s="1541"/>
      <c r="L36" s="1379"/>
      <c r="M36" s="1389"/>
      <c r="N36" s="1738"/>
      <c r="O36" s="692"/>
      <c r="P36" s="1504"/>
      <c r="Q36" s="2845"/>
      <c r="R36" s="577"/>
      <c r="S36" s="1492"/>
      <c r="T36" s="150"/>
      <c r="U36" s="733"/>
      <c r="V36" s="733"/>
      <c r="W36" s="733"/>
      <c r="X36" s="733">
        <v>20000</v>
      </c>
      <c r="Y36" s="734"/>
      <c r="Z36" s="1252"/>
      <c r="AA36" s="733"/>
      <c r="AB36" s="1261">
        <f>+U36+V36+W36+X36+Y36+Z36+AA36</f>
        <v>20000</v>
      </c>
      <c r="AC36" s="1267"/>
      <c r="AD36" s="736"/>
      <c r="AE36" s="1268">
        <f>(AC36*1.08)+((AH36*$AH$4)+(G36*3450000+H36*3550000+I36*AI36)+(AJ36*$AJ$4)+(AK36*$AK$4)+(AL36*$AL$4)+(AN36*$AN$4)+(AO36*$AO$4)+(AP36*$AP$4)+(AQ36*$AQ$4))*1.08</f>
        <v>0</v>
      </c>
      <c r="AF36" s="1824">
        <f>+AB36+AE36</f>
        <v>20000</v>
      </c>
      <c r="AG36" s="2669"/>
      <c r="AH36" s="1426"/>
      <c r="AI36" s="1427"/>
      <c r="AJ36" s="1426"/>
      <c r="AK36" s="1426"/>
      <c r="AL36" s="1426"/>
      <c r="AM36" s="1426"/>
      <c r="AN36" s="1426"/>
      <c r="AO36" s="1426"/>
      <c r="AP36" s="1426"/>
      <c r="AQ36" s="1426"/>
      <c r="AR36" s="1426"/>
    </row>
    <row r="37" spans="1:50" s="5" customFormat="1">
      <c r="A37" s="658">
        <v>4</v>
      </c>
      <c r="B37" s="1556" t="s">
        <v>5021</v>
      </c>
      <c r="C37" s="1312">
        <v>307170002550</v>
      </c>
      <c r="D37" s="386" t="s">
        <v>4913</v>
      </c>
      <c r="E37" s="1596" t="s">
        <v>4937</v>
      </c>
      <c r="F37" s="693" t="s">
        <v>210</v>
      </c>
      <c r="G37" s="431"/>
      <c r="H37" s="167"/>
      <c r="I37" s="167">
        <v>1</v>
      </c>
      <c r="J37" s="1685" t="s">
        <v>4939</v>
      </c>
      <c r="K37" s="1357" t="s">
        <v>4906</v>
      </c>
      <c r="L37" s="154" t="s">
        <v>4938</v>
      </c>
      <c r="M37" s="1524"/>
      <c r="N37" s="1738"/>
      <c r="O37" s="692"/>
      <c r="P37" s="1516" t="s">
        <v>4940</v>
      </c>
      <c r="Q37" s="2394"/>
      <c r="R37" s="577" t="s">
        <v>3167</v>
      </c>
      <c r="S37" s="1492"/>
      <c r="T37" s="150"/>
      <c r="U37" s="733"/>
      <c r="V37" s="733"/>
      <c r="W37" s="1397"/>
      <c r="X37" s="733"/>
      <c r="Y37" s="734"/>
      <c r="Z37" s="1470">
        <v>46593</v>
      </c>
      <c r="AA37" s="733"/>
      <c r="AB37" s="1261">
        <f>+U37+V37+W37+X37+Y37+Z37+AA37</f>
        <v>46593</v>
      </c>
      <c r="AC37" s="1267"/>
      <c r="AD37" s="736" t="s">
        <v>4947</v>
      </c>
      <c r="AE37" s="1268">
        <f>+(2300000+(19.69-10)*280000)*1.08</f>
        <v>5414256</v>
      </c>
      <c r="AF37" s="1824">
        <f>+AB37+AE37</f>
        <v>5460849</v>
      </c>
      <c r="AG37" s="2669"/>
      <c r="AH37" s="1426"/>
      <c r="AI37" s="1427"/>
      <c r="AJ37" s="1426"/>
      <c r="AK37" s="1426"/>
      <c r="AL37" s="1426"/>
      <c r="AM37" s="1426"/>
      <c r="AN37" s="1426"/>
      <c r="AO37" s="1426"/>
      <c r="AP37" s="1426"/>
      <c r="AQ37" s="1426"/>
      <c r="AR37" s="1426"/>
    </row>
    <row r="38" spans="1:50">
      <c r="A38" s="3582" t="s">
        <v>4935</v>
      </c>
      <c r="B38" s="3583"/>
      <c r="C38" s="3583"/>
      <c r="D38" s="3583"/>
      <c r="E38" s="3583"/>
      <c r="F38" s="3583"/>
      <c r="G38" s="3583"/>
      <c r="H38" s="3583"/>
      <c r="I38" s="3583"/>
      <c r="J38" s="3583"/>
      <c r="K38" s="3583"/>
      <c r="L38" s="3583"/>
      <c r="M38" s="3583"/>
      <c r="N38" s="3583"/>
      <c r="O38" s="3584"/>
      <c r="P38" s="1300"/>
      <c r="Q38" s="3201"/>
      <c r="R38" s="1278"/>
      <c r="S38" s="1607"/>
      <c r="T38" s="1815"/>
      <c r="U38" s="1816"/>
      <c r="V38" s="1815"/>
      <c r="W38" s="1815"/>
      <c r="X38" s="1815"/>
      <c r="Y38" s="1817"/>
      <c r="Z38" s="1817"/>
      <c r="AA38" s="1815"/>
      <c r="AB38" s="1817">
        <f>SUM(AB13:AB37)</f>
        <v>81196753</v>
      </c>
      <c r="AC38" s="1817">
        <f>SUM(AC13:AC37)</f>
        <v>600000</v>
      </c>
      <c r="AD38" s="1819"/>
      <c r="AE38" s="1817">
        <f>SUM(AE13:AE37)</f>
        <v>232948656</v>
      </c>
      <c r="AF38" s="1817">
        <f>SUM(AF13:AF37)</f>
        <v>314145409</v>
      </c>
      <c r="AG38" s="2667"/>
      <c r="AH38" s="6"/>
      <c r="AI38" s="6"/>
      <c r="AJ38" s="5"/>
    </row>
    <row r="39" spans="1:50">
      <c r="A39" s="1641"/>
      <c r="B39" s="1641"/>
      <c r="C39" s="1641" t="s">
        <v>5024</v>
      </c>
      <c r="D39" s="1641"/>
      <c r="E39" s="3447" t="s">
        <v>5259</v>
      </c>
      <c r="F39" s="1641"/>
      <c r="G39" s="1641"/>
      <c r="H39" s="1641"/>
      <c r="I39" s="1641"/>
      <c r="J39" s="1686"/>
      <c r="L39" s="1641"/>
      <c r="M39" s="1641"/>
      <c r="N39" s="1739"/>
      <c r="O39" s="1641"/>
      <c r="P39" s="1639"/>
      <c r="Q39" s="1639"/>
      <c r="R39" s="1640"/>
      <c r="S39" s="1640"/>
      <c r="T39" s="1664"/>
      <c r="U39" s="1827"/>
      <c r="V39" s="1664"/>
      <c r="W39" s="1664"/>
      <c r="X39" s="1664"/>
      <c r="Y39" s="1828"/>
      <c r="Z39" s="1828"/>
      <c r="AA39" s="1664"/>
      <c r="AB39" s="1261">
        <v>80000</v>
      </c>
      <c r="AC39" s="1267"/>
      <c r="AD39" s="1641"/>
      <c r="AE39" s="1268">
        <f>(AC39*1.08)+((AH39*$AH$4)+(G39*3450000+H39*3550000+I39*AI39)+(AJ39*$AJ$4)+(AK39*$AK$4)+(AL39*$AL$4)+(AM39*$AM$4*(G39+H39))+(AN39*$AN$4)+(AO39*$AO$4)+(AP39*$AP$4)+(AQ39*$AQ$4))*1.08</f>
        <v>0</v>
      </c>
      <c r="AF39" s="1824">
        <f t="shared" ref="AF39:AF60" si="3">+AB39+AE39</f>
        <v>80000</v>
      </c>
      <c r="AG39" s="2669"/>
      <c r="AH39" s="6"/>
      <c r="AI39" s="6"/>
      <c r="AJ39" s="5"/>
    </row>
    <row r="40" spans="1:50">
      <c r="A40" s="1654"/>
      <c r="B40" s="1655"/>
      <c r="C40" s="1654" t="s">
        <v>5025</v>
      </c>
      <c r="D40" s="1654"/>
      <c r="E40" s="3448"/>
      <c r="F40" s="1654"/>
      <c r="G40" s="1655"/>
      <c r="H40" s="1655"/>
      <c r="I40" s="1655"/>
      <c r="J40" s="1687"/>
      <c r="K40" s="1656"/>
      <c r="L40" s="1654"/>
      <c r="M40" s="1654"/>
      <c r="N40" s="1740"/>
      <c r="O40" s="1654"/>
      <c r="P40" s="1657"/>
      <c r="Q40" s="1657"/>
      <c r="R40" s="1658"/>
      <c r="S40" s="1640"/>
      <c r="T40" s="1829"/>
      <c r="U40" s="1830"/>
      <c r="V40" s="1664"/>
      <c r="W40" s="1829"/>
      <c r="X40" s="1829"/>
      <c r="Y40" s="1831"/>
      <c r="Z40" s="1831"/>
      <c r="AA40" s="1829"/>
      <c r="AB40" s="1661">
        <v>520000</v>
      </c>
      <c r="AC40" s="1659"/>
      <c r="AD40" s="1654"/>
      <c r="AE40" s="1268">
        <f>(AC40*1.08)+((AH40*$AH$4)+(G40*3450000+H40*3550000+I40*AI40)+(AJ40*$AJ$4)+(AK40*$AK$4)+(AL40*$AL$4)+(AM40*$AM$4*(G40+H40))+(AN40*$AN$4)+(AO40*$AO$4)+(AP40*$AP$4)+(AQ40*$AQ$4))*1.08</f>
        <v>0</v>
      </c>
      <c r="AF40" s="1832">
        <f t="shared" si="3"/>
        <v>520000</v>
      </c>
      <c r="AG40" s="2670"/>
      <c r="AH40" s="1426"/>
      <c r="AI40" s="1427"/>
      <c r="AJ40" s="1426"/>
      <c r="AK40" s="1426"/>
      <c r="AL40" s="1426"/>
      <c r="AM40" s="1426"/>
      <c r="AN40" s="1426"/>
      <c r="AO40" s="1426"/>
      <c r="AP40" s="1426"/>
      <c r="AQ40" s="1427"/>
      <c r="AR40" s="1426"/>
      <c r="AS40" s="1427"/>
      <c r="AT40" s="1426"/>
      <c r="AU40" s="1426"/>
      <c r="AV40" s="1426"/>
      <c r="AW40" s="1426"/>
      <c r="AX40" s="1426"/>
    </row>
    <row r="41" spans="1:50" s="5" customFormat="1" ht="12.75" customHeight="1" thickBot="1">
      <c r="A41" s="1691">
        <v>1</v>
      </c>
      <c r="B41" s="1711" t="s">
        <v>5022</v>
      </c>
      <c r="C41" s="1891">
        <v>307206886360</v>
      </c>
      <c r="D41" s="1700" t="s">
        <v>5022</v>
      </c>
      <c r="E41" s="1712" t="s">
        <v>5045</v>
      </c>
      <c r="F41" s="1701" t="s">
        <v>210</v>
      </c>
      <c r="G41" s="1713"/>
      <c r="H41" s="1714">
        <v>1</v>
      </c>
      <c r="I41" s="1833"/>
      <c r="J41" s="1715" t="s">
        <v>5036</v>
      </c>
      <c r="K41" s="1852" t="s">
        <v>5019</v>
      </c>
      <c r="L41" s="1716" t="s">
        <v>5035</v>
      </c>
      <c r="M41" s="1833"/>
      <c r="N41" s="1741" t="s">
        <v>5033</v>
      </c>
      <c r="O41" s="1726" t="s">
        <v>5034</v>
      </c>
      <c r="P41" s="1717" t="s">
        <v>5020</v>
      </c>
      <c r="Q41" s="1717"/>
      <c r="R41" s="1717" t="s">
        <v>2966</v>
      </c>
      <c r="S41" s="1516"/>
      <c r="T41" s="1834"/>
      <c r="U41" s="1835"/>
      <c r="V41" s="1445">
        <v>1280000</v>
      </c>
      <c r="W41" s="1660">
        <v>882000</v>
      </c>
      <c r="X41" s="1836"/>
      <c r="Y41" s="1836"/>
      <c r="Z41" s="1719">
        <v>500000</v>
      </c>
      <c r="AA41" s="1836"/>
      <c r="AB41" s="1661">
        <f t="shared" ref="AB41:AB59" si="4">+U41+V41+W41+X41+Y41+Z41+AA41</f>
        <v>2662000</v>
      </c>
      <c r="AC41" s="1650"/>
      <c r="AD41" s="1662"/>
      <c r="AE41" s="1268">
        <f t="shared" ref="AE41:AE55" si="5">(AC41*1.08)+((AH41*$AH$4)+(G41*3450000+H41*3550000+I41*AI41)+(AJ41*$AJ$4)+(AK41*$AK$4)+(AL41*$AL$4)+(AM41*$AM$4*(G41+H41))+(AN41*$AN$4)+(AO41*$AO$4)+(AP41*$AP$4)+(AQ41*$AQ$4)+(AR41*$AR$4))*1.08</f>
        <v>5367600</v>
      </c>
      <c r="AF41" s="1837">
        <f t="shared" si="3"/>
        <v>8029600</v>
      </c>
      <c r="AG41" s="2669"/>
      <c r="AH41" s="1426" t="s">
        <v>973</v>
      </c>
      <c r="AI41" s="1427"/>
      <c r="AJ41" s="1426"/>
      <c r="AK41" s="1426"/>
      <c r="AL41" s="1426"/>
      <c r="AM41" s="1426"/>
      <c r="AN41" s="1426"/>
      <c r="AO41" s="1426"/>
      <c r="AP41" s="1426"/>
      <c r="AQ41" s="1427">
        <v>1</v>
      </c>
      <c r="AR41" s="1426"/>
      <c r="AS41" s="1427"/>
      <c r="AT41" s="1426"/>
      <c r="AU41" s="1426"/>
      <c r="AV41" s="1426"/>
      <c r="AW41" s="1426"/>
      <c r="AX41" s="1426"/>
    </row>
    <row r="42" spans="1:50" s="5" customFormat="1" ht="40.200000000000003" thickBot="1">
      <c r="A42" s="1702">
        <v>2</v>
      </c>
      <c r="B42" s="1703" t="s">
        <v>5041</v>
      </c>
      <c r="C42" s="1892" t="s">
        <v>5076</v>
      </c>
      <c r="D42" s="1704" t="s">
        <v>5041</v>
      </c>
      <c r="E42" s="1705" t="s">
        <v>5086</v>
      </c>
      <c r="F42" s="1706" t="s">
        <v>210</v>
      </c>
      <c r="G42" s="1905">
        <v>1</v>
      </c>
      <c r="H42" s="1906"/>
      <c r="I42" s="1708"/>
      <c r="J42" s="1709">
        <v>11353.1310847493</v>
      </c>
      <c r="K42" s="1710" t="s">
        <v>5038</v>
      </c>
      <c r="L42" s="1708" t="s">
        <v>5081</v>
      </c>
      <c r="M42" s="1838"/>
      <c r="N42" s="1742" t="s">
        <v>5077</v>
      </c>
      <c r="O42" s="1727" t="s">
        <v>5078</v>
      </c>
      <c r="P42" s="740" t="s">
        <v>5039</v>
      </c>
      <c r="Q42" s="740"/>
      <c r="R42" s="740" t="s">
        <v>2966</v>
      </c>
      <c r="S42" s="1516"/>
      <c r="T42" s="1834"/>
      <c r="U42" s="1835"/>
      <c r="V42" s="1445">
        <v>900000</v>
      </c>
      <c r="W42" s="1660">
        <v>497000</v>
      </c>
      <c r="X42" s="1839"/>
      <c r="Y42" s="1839"/>
      <c r="Z42" s="1719">
        <v>250000</v>
      </c>
      <c r="AA42" s="1839"/>
      <c r="AB42" s="1661">
        <f t="shared" si="4"/>
        <v>1647000</v>
      </c>
      <c r="AC42" s="1267"/>
      <c r="AD42" s="1839"/>
      <c r="AE42" s="1268">
        <f t="shared" si="5"/>
        <v>5259600</v>
      </c>
      <c r="AF42" s="1824">
        <f t="shared" si="3"/>
        <v>6906600</v>
      </c>
      <c r="AG42" s="2668"/>
      <c r="AH42" s="1426" t="s">
        <v>973</v>
      </c>
      <c r="AI42" s="1427"/>
      <c r="AJ42" s="1426"/>
      <c r="AK42" s="1426"/>
      <c r="AL42" s="1426"/>
      <c r="AM42" s="1426"/>
      <c r="AN42" s="1426"/>
      <c r="AO42" s="1426"/>
      <c r="AP42" s="1426"/>
      <c r="AQ42" s="1427">
        <v>1</v>
      </c>
      <c r="AR42" s="1426"/>
      <c r="AS42" s="1427"/>
      <c r="AT42" s="1426"/>
      <c r="AU42" s="1426"/>
      <c r="AV42" s="1426"/>
      <c r="AW42" s="1426"/>
      <c r="AX42" s="1426"/>
    </row>
    <row r="43" spans="1:50" s="1303" customFormat="1" ht="16.5" customHeight="1">
      <c r="A43" s="1699">
        <v>3</v>
      </c>
      <c r="B43" s="3613" t="s">
        <v>5094</v>
      </c>
      <c r="C43" s="1893">
        <v>307226118200</v>
      </c>
      <c r="D43" s="448" t="s">
        <v>5094</v>
      </c>
      <c r="E43" s="3472" t="s">
        <v>5123</v>
      </c>
      <c r="F43" s="3516" t="s">
        <v>210</v>
      </c>
      <c r="G43" s="451">
        <v>1</v>
      </c>
      <c r="H43" s="1904"/>
      <c r="I43" s="3574"/>
      <c r="J43" s="1688">
        <f>17026.8019373344</f>
        <v>17026.8019373344</v>
      </c>
      <c r="K43" s="3574" t="s">
        <v>5065</v>
      </c>
      <c r="L43" s="1541" t="s">
        <v>5108</v>
      </c>
      <c r="M43" s="1389">
        <v>2</v>
      </c>
      <c r="N43" s="1743" t="s">
        <v>5106</v>
      </c>
      <c r="O43" s="1651" t="s">
        <v>5107</v>
      </c>
      <c r="P43" s="3527" t="s">
        <v>5066</v>
      </c>
      <c r="Q43" s="2288"/>
      <c r="R43" s="3527" t="s">
        <v>2966</v>
      </c>
      <c r="S43" s="2315"/>
      <c r="T43" s="3601"/>
      <c r="U43" s="1116"/>
      <c r="V43" s="1445">
        <v>870000</v>
      </c>
      <c r="W43" s="1660">
        <v>994000</v>
      </c>
      <c r="X43" s="1116"/>
      <c r="Y43" s="1117"/>
      <c r="Z43" s="1719">
        <v>250000</v>
      </c>
      <c r="AA43" s="1116"/>
      <c r="AB43" s="1661">
        <f t="shared" si="4"/>
        <v>2114000</v>
      </c>
      <c r="AC43" s="1653"/>
      <c r="AD43" s="1119"/>
      <c r="AE43" s="1268">
        <f t="shared" si="5"/>
        <v>5259600</v>
      </c>
      <c r="AF43" s="1824">
        <f t="shared" si="3"/>
        <v>7373600</v>
      </c>
      <c r="AG43" s="2669"/>
      <c r="AH43" s="1426">
        <v>1</v>
      </c>
      <c r="AI43" s="1427"/>
      <c r="AJ43" s="1426"/>
      <c r="AK43" s="1426"/>
      <c r="AL43" s="1426"/>
      <c r="AM43" s="1426"/>
      <c r="AN43" s="1426"/>
      <c r="AO43" s="1426"/>
      <c r="AP43" s="1426"/>
      <c r="AQ43" s="1427">
        <v>1</v>
      </c>
      <c r="AR43" s="1426"/>
      <c r="AS43" s="1427"/>
      <c r="AT43" s="1426"/>
      <c r="AU43" s="1426"/>
      <c r="AV43" s="1426"/>
      <c r="AW43" s="1426"/>
      <c r="AX43" s="1426"/>
    </row>
    <row r="44" spans="1:50" s="1303" customFormat="1" ht="13.8" thickBot="1">
      <c r="A44" s="1691">
        <v>4</v>
      </c>
      <c r="B44" s="3614"/>
      <c r="C44" s="1894">
        <v>307226126930</v>
      </c>
      <c r="D44" s="1694" t="s">
        <v>5094</v>
      </c>
      <c r="E44" s="3515"/>
      <c r="F44" s="3517"/>
      <c r="G44" s="1875">
        <v>1</v>
      </c>
      <c r="H44" s="1714"/>
      <c r="I44" s="3575"/>
      <c r="J44" s="1695">
        <f>17606.1034431969</f>
        <v>17606.103443196898</v>
      </c>
      <c r="K44" s="3575"/>
      <c r="L44" s="1696" t="s">
        <v>5105</v>
      </c>
      <c r="M44" s="1697">
        <v>3</v>
      </c>
      <c r="N44" s="1744" t="s">
        <v>5103</v>
      </c>
      <c r="O44" s="1698" t="s">
        <v>5104</v>
      </c>
      <c r="P44" s="3511"/>
      <c r="Q44" s="1872"/>
      <c r="R44" s="3511"/>
      <c r="S44" s="2315"/>
      <c r="T44" s="3602"/>
      <c r="U44" s="1116"/>
      <c r="V44" s="1445">
        <v>870000</v>
      </c>
      <c r="W44" s="1664"/>
      <c r="X44" s="1116"/>
      <c r="Y44" s="1117"/>
      <c r="Z44" s="1719">
        <v>250000</v>
      </c>
      <c r="AA44" s="1116"/>
      <c r="AB44" s="1661">
        <f t="shared" si="4"/>
        <v>1120000</v>
      </c>
      <c r="AC44" s="1653"/>
      <c r="AD44" s="1119"/>
      <c r="AE44" s="1268">
        <f t="shared" si="5"/>
        <v>5259600</v>
      </c>
      <c r="AF44" s="1824">
        <f t="shared" si="3"/>
        <v>6379600</v>
      </c>
      <c r="AG44" s="2669"/>
      <c r="AH44" s="1426">
        <v>1</v>
      </c>
      <c r="AI44" s="1427"/>
      <c r="AJ44" s="1426"/>
      <c r="AK44" s="1426"/>
      <c r="AL44" s="1426"/>
      <c r="AM44" s="1426"/>
      <c r="AN44" s="1426"/>
      <c r="AO44" s="1426"/>
      <c r="AP44" s="1426"/>
      <c r="AQ44" s="1427">
        <v>1</v>
      </c>
      <c r="AR44" s="1426"/>
      <c r="AS44" s="1427"/>
      <c r="AT44" s="1426"/>
      <c r="AU44" s="1426"/>
      <c r="AV44" s="1426"/>
      <c r="AW44" s="1426"/>
      <c r="AX44" s="1426"/>
    </row>
    <row r="45" spans="1:50" s="1303" customFormat="1">
      <c r="A45" s="1057">
        <v>5</v>
      </c>
      <c r="B45" s="3613" t="s">
        <v>5114</v>
      </c>
      <c r="C45" s="1893">
        <v>307233292720</v>
      </c>
      <c r="D45" s="1652" t="s">
        <v>5114</v>
      </c>
      <c r="E45" s="3514" t="s">
        <v>5155</v>
      </c>
      <c r="F45" s="3540" t="s">
        <v>210</v>
      </c>
      <c r="G45" s="451"/>
      <c r="H45" s="1904">
        <v>1</v>
      </c>
      <c r="I45" s="3574"/>
      <c r="J45" s="1688">
        <v>22549.999055235101</v>
      </c>
      <c r="K45" s="3574" t="s">
        <v>5087</v>
      </c>
      <c r="L45" s="1541" t="s">
        <v>5146</v>
      </c>
      <c r="M45" s="1389">
        <v>1</v>
      </c>
      <c r="N45" s="1745" t="s">
        <v>5144</v>
      </c>
      <c r="O45" s="1720" t="s">
        <v>5145</v>
      </c>
      <c r="P45" s="3550" t="s">
        <v>5088</v>
      </c>
      <c r="Q45" s="3188"/>
      <c r="R45" s="3550" t="s">
        <v>2966</v>
      </c>
      <c r="S45" s="2315"/>
      <c r="T45" s="3605"/>
      <c r="U45" s="1116"/>
      <c r="V45" s="1445">
        <v>1450000</v>
      </c>
      <c r="W45" s="1660">
        <v>2646000</v>
      </c>
      <c r="X45" s="1116"/>
      <c r="Y45" s="1117"/>
      <c r="Z45" s="1719">
        <v>500000</v>
      </c>
      <c r="AA45" s="1116"/>
      <c r="AB45" s="1661">
        <f t="shared" si="4"/>
        <v>4596000</v>
      </c>
      <c r="AC45" s="1653"/>
      <c r="AD45" s="1119"/>
      <c r="AE45" s="1268">
        <f t="shared" si="5"/>
        <v>5367600</v>
      </c>
      <c r="AF45" s="1824">
        <f t="shared" si="3"/>
        <v>9963600</v>
      </c>
      <c r="AG45" s="2669"/>
      <c r="AH45" s="1426">
        <v>1</v>
      </c>
      <c r="AI45" s="1427"/>
      <c r="AJ45" s="1426"/>
      <c r="AK45" s="1426"/>
      <c r="AL45" s="1426"/>
      <c r="AM45" s="1426"/>
      <c r="AN45" s="1426"/>
      <c r="AO45" s="1426"/>
      <c r="AP45" s="1426"/>
      <c r="AQ45" s="1427">
        <v>1</v>
      </c>
      <c r="AR45" s="1426"/>
      <c r="AS45" s="1427"/>
      <c r="AT45" s="1426"/>
      <c r="AU45" s="1426"/>
      <c r="AV45" s="1426"/>
      <c r="AW45" s="1426"/>
      <c r="AX45" s="1426"/>
    </row>
    <row r="46" spans="1:50" s="1303" customFormat="1">
      <c r="A46" s="1639">
        <v>6</v>
      </c>
      <c r="B46" s="3613"/>
      <c r="C46" s="1895">
        <v>307233308820</v>
      </c>
      <c r="D46" s="1652" t="s">
        <v>5114</v>
      </c>
      <c r="E46" s="3472"/>
      <c r="F46" s="3540"/>
      <c r="G46" s="431"/>
      <c r="H46" s="1365">
        <v>1</v>
      </c>
      <c r="I46" s="3574"/>
      <c r="J46" s="1688">
        <v>22852.399153586201</v>
      </c>
      <c r="K46" s="3574"/>
      <c r="L46" s="1541" t="s">
        <v>5149</v>
      </c>
      <c r="M46" s="1389">
        <v>2</v>
      </c>
      <c r="N46" s="1743" t="s">
        <v>5147</v>
      </c>
      <c r="O46" s="1651" t="s">
        <v>5148</v>
      </c>
      <c r="P46" s="3510"/>
      <c r="Q46" s="3185"/>
      <c r="R46" s="3510"/>
      <c r="S46" s="2315"/>
      <c r="T46" s="3601"/>
      <c r="U46" s="1116"/>
      <c r="V46" s="1445">
        <v>1450000</v>
      </c>
      <c r="W46" s="1652"/>
      <c r="X46" s="1116"/>
      <c r="Y46" s="1117"/>
      <c r="Z46" s="1719">
        <v>500000</v>
      </c>
      <c r="AA46" s="1116"/>
      <c r="AB46" s="1661">
        <f t="shared" si="4"/>
        <v>1950000</v>
      </c>
      <c r="AC46" s="1653"/>
      <c r="AD46" s="1119"/>
      <c r="AE46" s="1268">
        <f t="shared" si="5"/>
        <v>5367600</v>
      </c>
      <c r="AF46" s="1824">
        <f t="shared" si="3"/>
        <v>7317600</v>
      </c>
      <c r="AG46" s="2669"/>
      <c r="AH46" s="1426">
        <v>1</v>
      </c>
      <c r="AI46" s="1427"/>
      <c r="AJ46" s="1426"/>
      <c r="AK46" s="1426"/>
      <c r="AL46" s="1426"/>
      <c r="AM46" s="1426"/>
      <c r="AN46" s="1426"/>
      <c r="AO46" s="1426"/>
      <c r="AP46" s="1426"/>
      <c r="AQ46" s="1427">
        <v>1</v>
      </c>
      <c r="AR46" s="1426"/>
      <c r="AS46" s="1427"/>
      <c r="AT46" s="1426"/>
      <c r="AU46" s="1426"/>
      <c r="AV46" s="1426"/>
      <c r="AW46" s="1426"/>
      <c r="AX46" s="1426"/>
    </row>
    <row r="47" spans="1:50" s="1303" customFormat="1" ht="13.8" thickBot="1">
      <c r="A47" s="1691">
        <v>7</v>
      </c>
      <c r="B47" s="3614"/>
      <c r="C47" s="1894">
        <v>307235102700</v>
      </c>
      <c r="D47" s="1690" t="s">
        <v>5114</v>
      </c>
      <c r="E47" s="3515"/>
      <c r="F47" s="3541"/>
      <c r="G47" s="1875"/>
      <c r="H47" s="1714">
        <v>1</v>
      </c>
      <c r="I47" s="3575"/>
      <c r="J47" s="1692">
        <v>22819.903915716</v>
      </c>
      <c r="K47" s="3575"/>
      <c r="L47" s="1850" t="s">
        <v>5154</v>
      </c>
      <c r="M47" s="1693">
        <v>3</v>
      </c>
      <c r="N47" s="1746" t="s">
        <v>5152</v>
      </c>
      <c r="O47" s="1746" t="s">
        <v>5153</v>
      </c>
      <c r="P47" s="3511"/>
      <c r="Q47" s="1872"/>
      <c r="R47" s="3511"/>
      <c r="S47" s="2315"/>
      <c r="T47" s="3602"/>
      <c r="U47" s="1116"/>
      <c r="V47" s="1445">
        <v>1450000</v>
      </c>
      <c r="W47" s="1652"/>
      <c r="X47" s="1116"/>
      <c r="Y47" s="1117"/>
      <c r="Z47" s="1719">
        <v>500000</v>
      </c>
      <c r="AA47" s="1116"/>
      <c r="AB47" s="1661">
        <f t="shared" si="4"/>
        <v>1950000</v>
      </c>
      <c r="AC47" s="1653"/>
      <c r="AD47" s="1119"/>
      <c r="AE47" s="1268">
        <f t="shared" si="5"/>
        <v>5367600</v>
      </c>
      <c r="AF47" s="1824">
        <f t="shared" si="3"/>
        <v>7317600</v>
      </c>
      <c r="AG47" s="2669"/>
      <c r="AH47" s="1426">
        <v>1</v>
      </c>
      <c r="AI47" s="1427"/>
      <c r="AJ47" s="1426"/>
      <c r="AK47" s="1426"/>
      <c r="AL47" s="1426"/>
      <c r="AM47" s="1426"/>
      <c r="AN47" s="1426"/>
      <c r="AO47" s="1426"/>
      <c r="AP47" s="1426"/>
      <c r="AQ47" s="1427">
        <v>1</v>
      </c>
      <c r="AR47" s="1426"/>
      <c r="AS47" s="1427"/>
      <c r="AT47" s="1426"/>
      <c r="AU47" s="1426"/>
      <c r="AV47" s="1426"/>
      <c r="AW47" s="1426"/>
      <c r="AX47" s="1426"/>
    </row>
    <row r="48" spans="1:50" s="5" customFormat="1" ht="15" customHeight="1">
      <c r="A48" s="1057">
        <v>8</v>
      </c>
      <c r="B48" s="3612" t="s">
        <v>5157</v>
      </c>
      <c r="C48" s="1260">
        <v>307243317420</v>
      </c>
      <c r="D48" s="684" t="s">
        <v>5157</v>
      </c>
      <c r="E48" s="3514" t="s">
        <v>5170</v>
      </c>
      <c r="F48" s="3615" t="s">
        <v>210</v>
      </c>
      <c r="G48" s="451">
        <v>1</v>
      </c>
      <c r="H48" s="1904"/>
      <c r="I48" s="3585"/>
      <c r="J48" s="1610">
        <f>17726.5969200781+2280</f>
        <v>20006.5969200781</v>
      </c>
      <c r="K48" s="3574" t="s">
        <v>5067</v>
      </c>
      <c r="L48" s="1357" t="s">
        <v>5163</v>
      </c>
      <c r="M48" s="1389">
        <v>4</v>
      </c>
      <c r="N48" s="1738" t="s">
        <v>5161</v>
      </c>
      <c r="O48" s="692" t="s">
        <v>5162</v>
      </c>
      <c r="P48" s="3510" t="s">
        <v>5068</v>
      </c>
      <c r="Q48" s="3202"/>
      <c r="R48" s="3610" t="s">
        <v>2966</v>
      </c>
      <c r="S48" s="1938"/>
      <c r="T48" s="3603"/>
      <c r="U48" s="733"/>
      <c r="V48" s="1445">
        <v>870000</v>
      </c>
      <c r="W48" s="1660">
        <v>1491000</v>
      </c>
      <c r="X48" s="733"/>
      <c r="Y48" s="734"/>
      <c r="Z48" s="1719">
        <v>250000</v>
      </c>
      <c r="AA48" s="733"/>
      <c r="AB48" s="1661">
        <f t="shared" si="4"/>
        <v>2611000</v>
      </c>
      <c r="AC48" s="1267"/>
      <c r="AD48" s="736"/>
      <c r="AE48" s="1268">
        <f t="shared" si="5"/>
        <v>5259600</v>
      </c>
      <c r="AF48" s="1824">
        <f t="shared" si="3"/>
        <v>7870600</v>
      </c>
      <c r="AG48" s="2669"/>
      <c r="AH48" s="1426">
        <v>1</v>
      </c>
      <c r="AI48" s="1427"/>
      <c r="AJ48" s="1426"/>
      <c r="AK48" s="1426"/>
      <c r="AL48" s="1426"/>
      <c r="AM48" s="1426"/>
      <c r="AN48" s="1426"/>
      <c r="AO48" s="1426"/>
      <c r="AP48" s="1426"/>
      <c r="AQ48" s="1427">
        <v>1</v>
      </c>
      <c r="AR48" s="1426"/>
      <c r="AS48" s="1427"/>
      <c r="AT48" s="1426"/>
      <c r="AU48" s="1426"/>
      <c r="AV48" s="1426"/>
      <c r="AW48" s="1426"/>
      <c r="AX48" s="1426"/>
    </row>
    <row r="49" spans="1:50" s="5" customFormat="1">
      <c r="A49" s="1639">
        <v>9</v>
      </c>
      <c r="B49" s="3613"/>
      <c r="C49" s="1896">
        <v>307243338160</v>
      </c>
      <c r="D49" s="684" t="s">
        <v>5157</v>
      </c>
      <c r="E49" s="3472"/>
      <c r="F49" s="3540"/>
      <c r="G49" s="431">
        <v>1</v>
      </c>
      <c r="H49" s="1365"/>
      <c r="I49" s="3586"/>
      <c r="J49" s="1610">
        <f>17690.11+2280</f>
        <v>19970.11</v>
      </c>
      <c r="K49" s="3574"/>
      <c r="L49" s="1357" t="s">
        <v>5166</v>
      </c>
      <c r="M49" s="1389">
        <v>5</v>
      </c>
      <c r="N49" s="1738" t="s">
        <v>5164</v>
      </c>
      <c r="O49" s="692" t="s">
        <v>5165</v>
      </c>
      <c r="P49" s="3510"/>
      <c r="Q49" s="3202"/>
      <c r="R49" s="3610"/>
      <c r="S49" s="1938"/>
      <c r="T49" s="3603"/>
      <c r="U49" s="733"/>
      <c r="V49" s="1445">
        <v>870000</v>
      </c>
      <c r="W49" s="1354"/>
      <c r="X49" s="733"/>
      <c r="Y49" s="734"/>
      <c r="Z49" s="1719">
        <v>250000</v>
      </c>
      <c r="AA49" s="733"/>
      <c r="AB49" s="1661">
        <f t="shared" si="4"/>
        <v>1120000</v>
      </c>
      <c r="AC49" s="1267"/>
      <c r="AD49" s="736"/>
      <c r="AE49" s="1268">
        <f t="shared" si="5"/>
        <v>5259600</v>
      </c>
      <c r="AF49" s="1824">
        <f t="shared" si="3"/>
        <v>6379600</v>
      </c>
      <c r="AG49" s="2669"/>
      <c r="AH49" s="1426">
        <v>1</v>
      </c>
      <c r="AI49" s="1427"/>
      <c r="AJ49" s="1426"/>
      <c r="AK49" s="1426"/>
      <c r="AL49" s="1426"/>
      <c r="AM49" s="1426"/>
      <c r="AN49" s="1426"/>
      <c r="AO49" s="1426"/>
      <c r="AP49" s="1426"/>
      <c r="AQ49" s="1427">
        <v>1</v>
      </c>
      <c r="AR49" s="1426"/>
      <c r="AS49" s="1427"/>
      <c r="AT49" s="1426"/>
      <c r="AU49" s="1426"/>
      <c r="AV49" s="1426"/>
      <c r="AW49" s="1426"/>
      <c r="AX49" s="1426"/>
    </row>
    <row r="50" spans="1:50" s="5" customFormat="1" ht="12.75" customHeight="1" thickBot="1">
      <c r="A50" s="1691">
        <v>10</v>
      </c>
      <c r="B50" s="3614"/>
      <c r="C50" s="1891">
        <v>307243353930</v>
      </c>
      <c r="D50" s="1700" t="s">
        <v>5157</v>
      </c>
      <c r="E50" s="3515"/>
      <c r="F50" s="3541"/>
      <c r="G50" s="1875">
        <v>1</v>
      </c>
      <c r="H50" s="1714"/>
      <c r="I50" s="3587"/>
      <c r="J50" s="1709">
        <f>17032.0034711574+2280</f>
        <v>19312.003471157401</v>
      </c>
      <c r="K50" s="3575"/>
      <c r="L50" s="1708" t="s">
        <v>5169</v>
      </c>
      <c r="M50" s="1864">
        <v>6</v>
      </c>
      <c r="N50" s="1865" t="s">
        <v>5167</v>
      </c>
      <c r="O50" s="1862" t="s">
        <v>5168</v>
      </c>
      <c r="P50" s="3511"/>
      <c r="Q50" s="3203"/>
      <c r="R50" s="3611"/>
      <c r="S50" s="1938"/>
      <c r="T50" s="3604"/>
      <c r="U50" s="733"/>
      <c r="V50" s="1445">
        <v>870000</v>
      </c>
      <c r="W50" s="733"/>
      <c r="X50" s="733"/>
      <c r="Y50" s="734"/>
      <c r="Z50" s="1719">
        <v>250000</v>
      </c>
      <c r="AA50" s="733"/>
      <c r="AB50" s="1261">
        <f t="shared" si="4"/>
        <v>1120000</v>
      </c>
      <c r="AC50" s="1267"/>
      <c r="AD50" s="736"/>
      <c r="AE50" s="1268">
        <f t="shared" si="5"/>
        <v>5259600</v>
      </c>
      <c r="AF50" s="1824">
        <f t="shared" si="3"/>
        <v>6379600</v>
      </c>
      <c r="AG50" s="2669"/>
      <c r="AH50" s="1426">
        <v>1</v>
      </c>
      <c r="AI50" s="1427"/>
      <c r="AJ50" s="1426"/>
      <c r="AK50" s="1426"/>
      <c r="AL50" s="1426"/>
      <c r="AM50" s="1426"/>
      <c r="AN50" s="1426"/>
      <c r="AO50" s="1426"/>
      <c r="AP50" s="1426"/>
      <c r="AQ50" s="1427">
        <v>1</v>
      </c>
      <c r="AR50" s="1426"/>
      <c r="AS50" s="1427"/>
      <c r="AT50" s="1426"/>
      <c r="AU50" s="1426"/>
      <c r="AV50" s="1426"/>
      <c r="AW50" s="1426"/>
      <c r="AX50" s="1426"/>
    </row>
    <row r="51" spans="1:50" s="5" customFormat="1" ht="12.75" customHeight="1">
      <c r="A51" s="1057">
        <v>11</v>
      </c>
      <c r="B51" s="3619" t="s">
        <v>5181</v>
      </c>
      <c r="C51" s="1896">
        <v>307251498430</v>
      </c>
      <c r="D51" s="684" t="s">
        <v>5181</v>
      </c>
      <c r="E51" s="3567" t="s">
        <v>5214</v>
      </c>
      <c r="F51" s="3558" t="s">
        <v>210</v>
      </c>
      <c r="G51" s="451">
        <v>1</v>
      </c>
      <c r="H51" s="1904"/>
      <c r="I51" s="3570"/>
      <c r="J51" s="1610">
        <v>17349.002949260499</v>
      </c>
      <c r="K51" s="3573" t="s">
        <v>5126</v>
      </c>
      <c r="L51" s="1357" t="s">
        <v>5189</v>
      </c>
      <c r="M51" s="1389">
        <v>1</v>
      </c>
      <c r="N51" s="1897" t="s">
        <v>5187</v>
      </c>
      <c r="O51" s="1898" t="s">
        <v>5188</v>
      </c>
      <c r="P51" s="3616" t="s">
        <v>5127</v>
      </c>
      <c r="Q51" s="3189"/>
      <c r="R51" s="3607" t="s">
        <v>3152</v>
      </c>
      <c r="S51" s="2388"/>
      <c r="T51" s="3606"/>
      <c r="U51" s="733"/>
      <c r="V51" s="1445">
        <v>900000</v>
      </c>
      <c r="W51" s="1445">
        <v>700000</v>
      </c>
      <c r="X51" s="733"/>
      <c r="Y51" s="734"/>
      <c r="Z51" s="1719">
        <v>250000</v>
      </c>
      <c r="AA51" s="733"/>
      <c r="AB51" s="1261">
        <f t="shared" si="4"/>
        <v>1850000</v>
      </c>
      <c r="AC51" s="1267"/>
      <c r="AD51" s="736"/>
      <c r="AE51" s="1268">
        <f t="shared" si="5"/>
        <v>5259600</v>
      </c>
      <c r="AF51" s="1824">
        <f t="shared" si="3"/>
        <v>7109600</v>
      </c>
      <c r="AG51" s="2669"/>
      <c r="AH51" s="1426">
        <v>1</v>
      </c>
      <c r="AI51" s="1427"/>
      <c r="AJ51" s="1426"/>
      <c r="AK51" s="1426"/>
      <c r="AL51" s="1426"/>
      <c r="AM51" s="1426"/>
      <c r="AN51" s="1426"/>
      <c r="AO51" s="1426"/>
      <c r="AP51" s="1426"/>
      <c r="AQ51" s="1427">
        <v>1</v>
      </c>
      <c r="AR51" s="1426"/>
      <c r="AS51" s="1427"/>
      <c r="AT51" s="1426"/>
      <c r="AU51" s="1426"/>
      <c r="AV51" s="1426"/>
      <c r="AW51" s="1426"/>
      <c r="AX51" s="1426"/>
    </row>
    <row r="52" spans="1:50" s="5" customFormat="1" ht="15.75" customHeight="1">
      <c r="A52" s="1639">
        <v>12</v>
      </c>
      <c r="B52" s="3620"/>
      <c r="C52" s="1896">
        <v>307251465050</v>
      </c>
      <c r="D52" s="684" t="s">
        <v>5181</v>
      </c>
      <c r="E52" s="3568"/>
      <c r="F52" s="3483"/>
      <c r="G52" s="431">
        <v>1</v>
      </c>
      <c r="H52" s="1365"/>
      <c r="I52" s="3571"/>
      <c r="J52" s="1610">
        <v>17143.9981205677</v>
      </c>
      <c r="K52" s="3574"/>
      <c r="L52" s="1357" t="s">
        <v>5190</v>
      </c>
      <c r="M52" s="1389">
        <v>2</v>
      </c>
      <c r="N52" s="1738" t="s">
        <v>5191</v>
      </c>
      <c r="O52" s="692" t="s">
        <v>5192</v>
      </c>
      <c r="P52" s="3617"/>
      <c r="Q52" s="3204"/>
      <c r="R52" s="3608"/>
      <c r="S52" s="2388"/>
      <c r="T52" s="3603"/>
      <c r="U52" s="733"/>
      <c r="V52" s="1445">
        <v>850000</v>
      </c>
      <c r="W52" s="1445">
        <v>700000</v>
      </c>
      <c r="X52" s="733"/>
      <c r="Y52" s="734"/>
      <c r="Z52" s="1719">
        <v>250000</v>
      </c>
      <c r="AA52" s="733"/>
      <c r="AB52" s="1261">
        <f t="shared" si="4"/>
        <v>1800000</v>
      </c>
      <c r="AC52" s="1267"/>
      <c r="AD52" s="736"/>
      <c r="AE52" s="1268">
        <f t="shared" si="5"/>
        <v>5259600</v>
      </c>
      <c r="AF52" s="1824">
        <f t="shared" si="3"/>
        <v>7059600</v>
      </c>
      <c r="AG52" s="2669"/>
      <c r="AH52" s="1426">
        <v>1</v>
      </c>
      <c r="AI52" s="1427"/>
      <c r="AJ52" s="1426"/>
      <c r="AK52" s="1426"/>
      <c r="AL52" s="1426"/>
      <c r="AM52" s="1426"/>
      <c r="AN52" s="1426"/>
      <c r="AO52" s="1426"/>
      <c r="AP52" s="1426"/>
      <c r="AQ52" s="1427">
        <v>1</v>
      </c>
      <c r="AR52" s="1426"/>
      <c r="AS52" s="1427"/>
      <c r="AT52" s="1426"/>
      <c r="AU52" s="1426"/>
      <c r="AV52" s="1426"/>
      <c r="AW52" s="1426"/>
      <c r="AX52" s="1426"/>
    </row>
    <row r="53" spans="1:50" s="5" customFormat="1" ht="15.75" customHeight="1">
      <c r="A53" s="1639">
        <v>13</v>
      </c>
      <c r="B53" s="3565" t="s">
        <v>5193</v>
      </c>
      <c r="C53" s="1896">
        <v>307254945710</v>
      </c>
      <c r="D53" s="1520" t="s">
        <v>5193</v>
      </c>
      <c r="E53" s="3568"/>
      <c r="F53" s="3483"/>
      <c r="G53" s="431">
        <v>1</v>
      </c>
      <c r="H53" s="1365"/>
      <c r="I53" s="3571"/>
      <c r="J53" s="1840">
        <v>16491.401575520202</v>
      </c>
      <c r="K53" s="3574"/>
      <c r="L53" s="1304" t="s">
        <v>5196</v>
      </c>
      <c r="M53" s="1389">
        <v>3</v>
      </c>
      <c r="N53" s="1738" t="s">
        <v>5199</v>
      </c>
      <c r="O53" s="692" t="s">
        <v>5200</v>
      </c>
      <c r="P53" s="3617"/>
      <c r="Q53" s="3204"/>
      <c r="R53" s="3608"/>
      <c r="S53" s="2388"/>
      <c r="T53" s="3603"/>
      <c r="U53" s="733"/>
      <c r="V53" s="1445">
        <v>850000</v>
      </c>
      <c r="W53" s="1445">
        <v>27934000</v>
      </c>
      <c r="X53" s="733"/>
      <c r="Y53" s="734"/>
      <c r="Z53" s="1719">
        <v>250000</v>
      </c>
      <c r="AA53" s="733"/>
      <c r="AB53" s="1261">
        <f t="shared" si="4"/>
        <v>29034000</v>
      </c>
      <c r="AC53" s="1267"/>
      <c r="AD53" s="736"/>
      <c r="AE53" s="1268">
        <f t="shared" si="5"/>
        <v>5259600</v>
      </c>
      <c r="AF53" s="1824">
        <f t="shared" si="3"/>
        <v>34293600</v>
      </c>
      <c r="AG53" s="2669"/>
      <c r="AH53" s="1426">
        <v>1</v>
      </c>
      <c r="AI53" s="1427"/>
      <c r="AJ53" s="1426"/>
      <c r="AK53" s="1426"/>
      <c r="AL53" s="1426"/>
      <c r="AM53" s="1426"/>
      <c r="AN53" s="1426"/>
      <c r="AO53" s="1426"/>
      <c r="AP53" s="1426"/>
      <c r="AQ53" s="1427">
        <v>1</v>
      </c>
      <c r="AR53" s="1426"/>
      <c r="AS53" s="1427"/>
      <c r="AT53" s="1426"/>
      <c r="AU53" s="1426"/>
      <c r="AV53" s="1426"/>
      <c r="AW53" s="1426"/>
      <c r="AX53" s="1426"/>
    </row>
    <row r="54" spans="1:50" s="5" customFormat="1" ht="15.75" customHeight="1">
      <c r="A54" s="1503">
        <v>14</v>
      </c>
      <c r="B54" s="3565"/>
      <c r="C54" s="1896">
        <v>307254991430</v>
      </c>
      <c r="D54" s="1520" t="s">
        <v>5193</v>
      </c>
      <c r="E54" s="3568"/>
      <c r="F54" s="3483"/>
      <c r="G54" s="431">
        <v>1</v>
      </c>
      <c r="H54" s="1365"/>
      <c r="I54" s="3571"/>
      <c r="J54" s="1840">
        <v>17380.2</v>
      </c>
      <c r="K54" s="3574"/>
      <c r="L54" s="1304" t="s">
        <v>5197</v>
      </c>
      <c r="M54" s="1389">
        <v>4</v>
      </c>
      <c r="N54" s="1738" t="s">
        <v>5201</v>
      </c>
      <c r="O54" s="692" t="s">
        <v>5202</v>
      </c>
      <c r="P54" s="3617"/>
      <c r="Q54" s="3204"/>
      <c r="R54" s="3608"/>
      <c r="S54" s="2388"/>
      <c r="T54" s="3603"/>
      <c r="U54" s="733"/>
      <c r="V54" s="1445">
        <v>850000</v>
      </c>
      <c r="W54" s="1445">
        <v>700000</v>
      </c>
      <c r="X54" s="733"/>
      <c r="Y54" s="734"/>
      <c r="Z54" s="1719">
        <v>250000</v>
      </c>
      <c r="AA54" s="733"/>
      <c r="AB54" s="1261">
        <f t="shared" si="4"/>
        <v>1800000</v>
      </c>
      <c r="AC54" s="1267"/>
      <c r="AD54" s="736"/>
      <c r="AE54" s="1268">
        <f t="shared" si="5"/>
        <v>5259600</v>
      </c>
      <c r="AF54" s="1824">
        <f t="shared" si="3"/>
        <v>7059600</v>
      </c>
      <c r="AG54" s="2669"/>
      <c r="AH54" s="1426">
        <v>1</v>
      </c>
      <c r="AI54" s="1427"/>
      <c r="AJ54" s="1426"/>
      <c r="AK54" s="1426"/>
      <c r="AL54" s="1426"/>
      <c r="AM54" s="1426"/>
      <c r="AN54" s="1426"/>
      <c r="AO54" s="1426"/>
      <c r="AP54" s="1426"/>
      <c r="AQ54" s="1427">
        <v>1</v>
      </c>
      <c r="AR54" s="1426"/>
      <c r="AS54" s="1427"/>
      <c r="AT54" s="1426"/>
      <c r="AU54" s="1426"/>
      <c r="AV54" s="1426"/>
      <c r="AW54" s="1426"/>
      <c r="AX54" s="1426"/>
    </row>
    <row r="55" spans="1:50" s="5" customFormat="1" ht="15" customHeight="1" thickBot="1">
      <c r="A55" s="1691">
        <v>15</v>
      </c>
      <c r="B55" s="3566"/>
      <c r="C55" s="1891">
        <v>307255031110</v>
      </c>
      <c r="D55" s="1700" t="s">
        <v>5193</v>
      </c>
      <c r="E55" s="3569"/>
      <c r="F55" s="3484"/>
      <c r="G55" s="431">
        <v>1</v>
      </c>
      <c r="H55" s="1365"/>
      <c r="I55" s="3572"/>
      <c r="J55" s="1841">
        <v>17493.701080720501</v>
      </c>
      <c r="K55" s="3575"/>
      <c r="L55" s="1304" t="s">
        <v>5198</v>
      </c>
      <c r="M55" s="1697">
        <v>5</v>
      </c>
      <c r="N55" s="1843" t="s">
        <v>5203</v>
      </c>
      <c r="O55" s="1844" t="s">
        <v>5204</v>
      </c>
      <c r="P55" s="3618"/>
      <c r="Q55" s="3190"/>
      <c r="R55" s="3609"/>
      <c r="S55" s="2388"/>
      <c r="T55" s="3604"/>
      <c r="U55" s="733"/>
      <c r="V55" s="1445">
        <v>850000</v>
      </c>
      <c r="W55" s="1445">
        <v>700000</v>
      </c>
      <c r="X55" s="733"/>
      <c r="Y55" s="734"/>
      <c r="Z55" s="1719">
        <v>250000</v>
      </c>
      <c r="AA55" s="733"/>
      <c r="AB55" s="1261">
        <f t="shared" si="4"/>
        <v>1800000</v>
      </c>
      <c r="AC55" s="1267"/>
      <c r="AD55" s="736"/>
      <c r="AE55" s="1268">
        <f t="shared" si="5"/>
        <v>5259600</v>
      </c>
      <c r="AF55" s="1824">
        <f t="shared" si="3"/>
        <v>7059600</v>
      </c>
      <c r="AG55" s="2669"/>
      <c r="AH55" s="1426">
        <v>1</v>
      </c>
      <c r="AI55" s="1427"/>
      <c r="AJ55" s="1426"/>
      <c r="AK55" s="1426"/>
      <c r="AL55" s="1426"/>
      <c r="AM55" s="1426"/>
      <c r="AN55" s="1426"/>
      <c r="AO55" s="1426"/>
      <c r="AP55" s="1426"/>
      <c r="AQ55" s="1427">
        <v>1</v>
      </c>
      <c r="AR55" s="1426"/>
      <c r="AS55" s="1427"/>
      <c r="AT55" s="1426"/>
      <c r="AU55" s="1426"/>
      <c r="AV55" s="1426"/>
      <c r="AW55" s="1426"/>
      <c r="AX55" s="1426"/>
    </row>
    <row r="56" spans="1:50" s="1303" customFormat="1" ht="13.8" thickBot="1">
      <c r="A56" s="1881">
        <v>16</v>
      </c>
      <c r="B56" s="1907" t="s">
        <v>5205</v>
      </c>
      <c r="C56" s="1899">
        <v>307254810350</v>
      </c>
      <c r="D56" s="1900" t="s">
        <v>5193</v>
      </c>
      <c r="E56" s="1901" t="s">
        <v>5215</v>
      </c>
      <c r="F56" s="1882" t="s">
        <v>210</v>
      </c>
      <c r="G56" s="1883"/>
      <c r="H56" s="1883"/>
      <c r="I56" s="1883">
        <v>1</v>
      </c>
      <c r="J56" s="1884">
        <v>2917.2</v>
      </c>
      <c r="K56" s="1885" t="s">
        <v>5177</v>
      </c>
      <c r="L56" s="1886" t="s">
        <v>5207</v>
      </c>
      <c r="M56" s="1887"/>
      <c r="N56" s="3576" t="s">
        <v>5178</v>
      </c>
      <c r="O56" s="3577"/>
      <c r="P56" s="1888" t="s">
        <v>5179</v>
      </c>
      <c r="Q56" s="1888"/>
      <c r="R56" s="1889" t="s">
        <v>3167</v>
      </c>
      <c r="S56" s="1938"/>
      <c r="T56" s="1890"/>
      <c r="U56" s="733"/>
      <c r="V56" s="733"/>
      <c r="W56" s="733"/>
      <c r="X56" s="733"/>
      <c r="Y56" s="734"/>
      <c r="Z56" s="1719">
        <v>43758</v>
      </c>
      <c r="AA56" s="733"/>
      <c r="AB56" s="1261">
        <f t="shared" si="4"/>
        <v>43758</v>
      </c>
      <c r="AC56" s="1653"/>
      <c r="AD56" s="736" t="s">
        <v>5206</v>
      </c>
      <c r="AE56" s="1903">
        <f>(770000+(2300000+(280000*(18.72-10))))*1.08</f>
        <v>5952528</v>
      </c>
      <c r="AF56" s="1824">
        <f t="shared" si="3"/>
        <v>5996286</v>
      </c>
      <c r="AG56" s="2669"/>
      <c r="AH56" s="1873">
        <v>1</v>
      </c>
      <c r="AI56" s="1874"/>
      <c r="AJ56" s="1873"/>
      <c r="AK56" s="1873"/>
      <c r="AL56" s="1873"/>
      <c r="AM56" s="1873"/>
      <c r="AN56" s="1873"/>
      <c r="AO56" s="1873"/>
      <c r="AP56" s="1873"/>
      <c r="AQ56" s="1874"/>
      <c r="AR56" s="1873"/>
      <c r="AS56" s="1874"/>
      <c r="AT56" s="1873"/>
      <c r="AU56" s="1873"/>
      <c r="AV56" s="1873"/>
      <c r="AW56" s="1873"/>
      <c r="AX56" s="1873"/>
    </row>
    <row r="57" spans="1:50" s="5" customFormat="1" ht="27" thickBot="1">
      <c r="A57" s="1702">
        <v>17</v>
      </c>
      <c r="B57" s="1908" t="s">
        <v>5205</v>
      </c>
      <c r="C57" s="1891">
        <v>307258942600</v>
      </c>
      <c r="D57" s="1704" t="s">
        <v>5205</v>
      </c>
      <c r="E57" s="1909" t="s">
        <v>5232</v>
      </c>
      <c r="F57" s="1877" t="s">
        <v>210</v>
      </c>
      <c r="G57" s="1878">
        <v>1</v>
      </c>
      <c r="H57" s="1707"/>
      <c r="I57" s="1707"/>
      <c r="J57" s="1879">
        <v>16376.5994177905</v>
      </c>
      <c r="K57" s="1696" t="s">
        <v>5180</v>
      </c>
      <c r="L57" s="1871" t="s">
        <v>5208</v>
      </c>
      <c r="M57" s="1697">
        <v>1</v>
      </c>
      <c r="N57" s="1843" t="s">
        <v>5225</v>
      </c>
      <c r="O57" s="1844" t="s">
        <v>5226</v>
      </c>
      <c r="P57" s="1872" t="s">
        <v>5184</v>
      </c>
      <c r="Q57" s="3203"/>
      <c r="R57" s="1871" t="s">
        <v>2966</v>
      </c>
      <c r="S57" s="1938"/>
      <c r="T57" s="1880"/>
      <c r="U57" s="733"/>
      <c r="V57" s="1445">
        <v>1371600</v>
      </c>
      <c r="W57" s="1660">
        <v>497000</v>
      </c>
      <c r="X57" s="733"/>
      <c r="Y57" s="734"/>
      <c r="Z57" s="1719">
        <v>250000</v>
      </c>
      <c r="AA57" s="733"/>
      <c r="AB57" s="1261">
        <f t="shared" si="4"/>
        <v>2118600</v>
      </c>
      <c r="AC57" s="1267"/>
      <c r="AD57" s="736" t="s">
        <v>5195</v>
      </c>
      <c r="AE57" s="1268">
        <f>(AC57*1.08)+((AH57*$AH$4)+(G57*3450000+H57*3550000+I57*AI57)+(AJ57*$AJ$4)+(AK57*$AK$4)+(AL57*$AL$4)+(AM57*$AM$4*(G57+H57))+(AN57*$AN$4)+(AO57*$AO$4)+(AP57*$AP$4)+(AQ57*$AQ$4)+(AR57*$AR$4))*1.08</f>
        <v>5259600</v>
      </c>
      <c r="AF57" s="1824">
        <f t="shared" si="3"/>
        <v>7378200</v>
      </c>
      <c r="AG57" s="2669"/>
      <c r="AH57" s="1426">
        <v>1</v>
      </c>
      <c r="AI57" s="1427"/>
      <c r="AJ57" s="1426"/>
      <c r="AK57" s="1426"/>
      <c r="AL57" s="1426"/>
      <c r="AM57" s="1426"/>
      <c r="AN57" s="1426"/>
      <c r="AO57" s="1426"/>
      <c r="AP57" s="1426"/>
      <c r="AQ57" s="1427">
        <v>1</v>
      </c>
      <c r="AR57" s="1426"/>
      <c r="AS57" s="1427"/>
      <c r="AT57" s="1426"/>
      <c r="AU57" s="1426"/>
      <c r="AV57" s="1426"/>
      <c r="AW57" s="1426"/>
      <c r="AX57" s="1426"/>
    </row>
    <row r="58" spans="1:50" s="5" customFormat="1" ht="15" customHeight="1">
      <c r="A58" s="1699">
        <v>18</v>
      </c>
      <c r="B58" s="3635" t="s">
        <v>5241</v>
      </c>
      <c r="C58" s="1260">
        <v>307255703000</v>
      </c>
      <c r="D58" s="684" t="s">
        <v>5241</v>
      </c>
      <c r="E58" s="3567" t="s">
        <v>5242</v>
      </c>
      <c r="F58" s="3530" t="s">
        <v>210</v>
      </c>
      <c r="G58" s="451">
        <v>1</v>
      </c>
      <c r="H58" s="445"/>
      <c r="I58" s="445"/>
      <c r="J58" s="1680">
        <v>17463.0970590736</v>
      </c>
      <c r="K58" s="3574" t="s">
        <v>5185</v>
      </c>
      <c r="L58" s="1379" t="s">
        <v>5209</v>
      </c>
      <c r="M58" s="1389">
        <v>6</v>
      </c>
      <c r="N58" s="1738" t="s">
        <v>5235</v>
      </c>
      <c r="O58" s="692" t="s">
        <v>5236</v>
      </c>
      <c r="P58" s="3550" t="s">
        <v>5186</v>
      </c>
      <c r="Q58" s="3188"/>
      <c r="R58" s="3621" t="s">
        <v>2966</v>
      </c>
      <c r="S58" s="1938"/>
      <c r="T58" s="781"/>
      <c r="U58" s="733"/>
      <c r="V58" s="1445">
        <v>870000</v>
      </c>
      <c r="W58" s="1660">
        <v>1876000</v>
      </c>
      <c r="X58" s="733"/>
      <c r="Y58" s="734"/>
      <c r="Z58" s="1660">
        <v>250000</v>
      </c>
      <c r="AA58" s="733"/>
      <c r="AB58" s="1261">
        <f t="shared" si="4"/>
        <v>2996000</v>
      </c>
      <c r="AC58" s="1267"/>
      <c r="AD58" s="736"/>
      <c r="AE58" s="1268">
        <f>(AC58*1.08)+((AH58*$AH$4)+(G58*3450000+H58*3550000+I58*AI58)+(AJ58*$AJ$4)+(AK58*$AK$4)+(AL58*$AL$4)+(AM58*$AM$4*(G58+H58))+(AN58*$AN$4)+(AO58*$AO$4)+(AP58*$AP$4)+(AQ58*$AQ$4)+(AR58*$AR$4))*1.08</f>
        <v>5259600</v>
      </c>
      <c r="AF58" s="1824">
        <f t="shared" si="3"/>
        <v>8255600</v>
      </c>
      <c r="AG58" s="2669"/>
      <c r="AH58" s="1426">
        <v>1</v>
      </c>
      <c r="AI58" s="1427"/>
      <c r="AJ58" s="1426"/>
      <c r="AK58" s="1426"/>
      <c r="AL58" s="1426"/>
      <c r="AM58" s="1426"/>
      <c r="AN58" s="1426"/>
      <c r="AO58" s="1426"/>
      <c r="AP58" s="1426"/>
      <c r="AQ58" s="1427">
        <v>1</v>
      </c>
      <c r="AR58" s="1426"/>
      <c r="AS58" s="1427"/>
      <c r="AT58" s="1426"/>
      <c r="AU58" s="1426"/>
      <c r="AV58" s="1426"/>
      <c r="AW58" s="1426"/>
      <c r="AX58" s="1426"/>
    </row>
    <row r="59" spans="1:50" s="5" customFormat="1" ht="15" customHeight="1">
      <c r="A59" s="1639">
        <v>19</v>
      </c>
      <c r="B59" s="3635"/>
      <c r="C59" s="1896">
        <v>307265939760</v>
      </c>
      <c r="D59" s="684" t="s">
        <v>5241</v>
      </c>
      <c r="E59" s="3568"/>
      <c r="F59" s="3516"/>
      <c r="G59" s="431">
        <v>1</v>
      </c>
      <c r="H59" s="167"/>
      <c r="I59" s="167"/>
      <c r="J59" s="1840">
        <v>18429.4983402629</v>
      </c>
      <c r="K59" s="3574"/>
      <c r="L59" s="1304" t="s">
        <v>5210</v>
      </c>
      <c r="M59" s="1389">
        <v>7</v>
      </c>
      <c r="N59" s="1738" t="s">
        <v>5237</v>
      </c>
      <c r="O59" s="692" t="s">
        <v>5238</v>
      </c>
      <c r="P59" s="3510"/>
      <c r="Q59" s="3185"/>
      <c r="R59" s="3355"/>
      <c r="S59" s="1938"/>
      <c r="T59" s="1517"/>
      <c r="U59" s="733"/>
      <c r="V59" s="1445">
        <v>870000</v>
      </c>
      <c r="W59" s="733"/>
      <c r="X59" s="733"/>
      <c r="Y59" s="734"/>
      <c r="Z59" s="1660">
        <v>250000</v>
      </c>
      <c r="AA59" s="733"/>
      <c r="AB59" s="1261">
        <f t="shared" si="4"/>
        <v>1120000</v>
      </c>
      <c r="AC59" s="1267"/>
      <c r="AD59" s="736"/>
      <c r="AE59" s="1268">
        <f>(AC59*1.08)+((AH59*$AH$4)+(G59*3450000+H59*3550000+I59*AI59)+(AJ59*$AJ$4)+(AK59*$AK$4)+(AL59*$AL$4)+(AM59*$AM$4*(G59+H59))+(AN59*$AN$4)+(AO59*$AO$4)+(AP59*$AP$4)+(AQ59*$AQ$4)+(AR59*$AR$4))*1.08</f>
        <v>5259600</v>
      </c>
      <c r="AF59" s="1824">
        <f t="shared" si="3"/>
        <v>6379600</v>
      </c>
      <c r="AG59" s="2669"/>
      <c r="AH59" s="1426">
        <v>1</v>
      </c>
      <c r="AI59" s="1427"/>
      <c r="AJ59" s="1426"/>
      <c r="AK59" s="1426"/>
      <c r="AL59" s="1426"/>
      <c r="AM59" s="1426"/>
      <c r="AN59" s="1426"/>
      <c r="AO59" s="1426"/>
      <c r="AP59" s="1426"/>
      <c r="AQ59" s="1427">
        <v>1</v>
      </c>
      <c r="AR59" s="1426"/>
      <c r="AS59" s="1427"/>
      <c r="AT59" s="1426"/>
      <c r="AU59" s="1426"/>
      <c r="AV59" s="1426"/>
      <c r="AW59" s="1426"/>
      <c r="AX59" s="1426"/>
    </row>
    <row r="60" spans="1:50" s="5" customFormat="1" ht="15.75" customHeight="1" thickBot="1">
      <c r="A60" s="1854">
        <v>20</v>
      </c>
      <c r="B60" s="3636"/>
      <c r="C60" s="1891">
        <v>307265955050</v>
      </c>
      <c r="D60" s="1700" t="s">
        <v>5241</v>
      </c>
      <c r="E60" s="3569"/>
      <c r="F60" s="3517"/>
      <c r="G60" s="1875"/>
      <c r="H60" s="1857">
        <v>1</v>
      </c>
      <c r="I60" s="1857"/>
      <c r="J60" s="1841">
        <v>20161.4036356014</v>
      </c>
      <c r="K60" s="3575"/>
      <c r="L60" s="1842" t="s">
        <v>5211</v>
      </c>
      <c r="M60" s="1697">
        <v>8</v>
      </c>
      <c r="N60" s="1843" t="s">
        <v>5239</v>
      </c>
      <c r="O60" s="1844" t="s">
        <v>5240</v>
      </c>
      <c r="P60" s="3511"/>
      <c r="Q60" s="1872"/>
      <c r="R60" s="3544"/>
      <c r="S60" s="1938"/>
      <c r="T60" s="1876"/>
      <c r="U60" s="733"/>
      <c r="V60" s="1445">
        <v>1270000</v>
      </c>
      <c r="W60" s="733"/>
      <c r="X60" s="733"/>
      <c r="Z60" s="1660">
        <v>500000</v>
      </c>
      <c r="AA60" s="733"/>
      <c r="AB60" s="1261">
        <f>+U60+V60+W60+X60+'NOVA NHẬP'!X23+Z60+AA60</f>
        <v>3270000</v>
      </c>
      <c r="AC60" s="1267"/>
      <c r="AD60" s="736"/>
      <c r="AE60" s="1268">
        <f>(AC60*1.08)+((AH60*$AH$4)+(G60*3450000+H60*3550000+I60*AI60)+(AJ60*$AJ$4)+(AK60*$AK$4)+(AL60*$AL$4)+(AM60*$AM$4*(G60+H60))+(AN60*$AN$4)+(AO60*$AO$4)+(AP60*$AP$4)+(AQ60*$AQ$4)+(AR60*$AR$4))*1.08</f>
        <v>5367600</v>
      </c>
      <c r="AF60" s="1824">
        <f t="shared" si="3"/>
        <v>8637600</v>
      </c>
      <c r="AG60" s="2669"/>
      <c r="AH60" s="1426">
        <v>1</v>
      </c>
      <c r="AI60" s="1427"/>
      <c r="AJ60" s="1426"/>
      <c r="AK60" s="1426"/>
      <c r="AL60" s="1426"/>
      <c r="AM60" s="1426"/>
      <c r="AN60" s="1426"/>
      <c r="AO60" s="1426"/>
      <c r="AP60" s="1426"/>
      <c r="AQ60" s="1427">
        <v>1</v>
      </c>
      <c r="AR60" s="1426"/>
      <c r="AS60" s="1427"/>
      <c r="AT60" s="1426"/>
      <c r="AU60" s="1426"/>
      <c r="AV60" s="1426"/>
      <c r="AW60" s="1426"/>
      <c r="AX60" s="1426"/>
    </row>
    <row r="61" spans="1:50">
      <c r="A61" s="3582" t="s">
        <v>5220</v>
      </c>
      <c r="B61" s="3583"/>
      <c r="C61" s="3583"/>
      <c r="D61" s="3583"/>
      <c r="E61" s="3583"/>
      <c r="F61" s="3583"/>
      <c r="G61" s="3583"/>
      <c r="H61" s="3583"/>
      <c r="I61" s="3583"/>
      <c r="J61" s="3583"/>
      <c r="K61" s="3583"/>
      <c r="L61" s="3583"/>
      <c r="M61" s="3583"/>
      <c r="N61" s="3583"/>
      <c r="O61" s="3584"/>
      <c r="P61" s="1300"/>
      <c r="Q61" s="3201"/>
      <c r="R61" s="1278"/>
      <c r="S61" s="1607"/>
      <c r="T61" s="1815"/>
      <c r="U61" s="1816"/>
      <c r="V61" s="1815"/>
      <c r="W61" s="1815"/>
      <c r="X61" s="1815"/>
      <c r="Y61" s="1817"/>
      <c r="Z61" s="1817"/>
      <c r="AA61" s="1815"/>
      <c r="AB61" s="1817">
        <f>SUM(AB36:AB60)</f>
        <v>148585704</v>
      </c>
      <c r="AC61" s="1817">
        <f>SUM(AC36:AC60)</f>
        <v>600000</v>
      </c>
      <c r="AD61" s="1819"/>
      <c r="AE61" s="1817">
        <f>SUM(AE36:AE60)</f>
        <v>344787840</v>
      </c>
      <c r="AF61" s="1817">
        <f>SUM(AF36:AF60)</f>
        <v>493373544</v>
      </c>
      <c r="AG61" s="2667"/>
      <c r="AH61" s="6"/>
      <c r="AI61" s="6"/>
      <c r="AJ61" s="5"/>
    </row>
    <row r="62" spans="1:50" s="5" customFormat="1">
      <c r="A62" s="1639">
        <v>1</v>
      </c>
      <c r="B62" s="1936" t="s">
        <v>5274</v>
      </c>
      <c r="C62" s="1312">
        <v>307280537120</v>
      </c>
      <c r="D62" s="46">
        <v>45751</v>
      </c>
      <c r="E62" s="1361" t="s">
        <v>5340</v>
      </c>
      <c r="F62" s="693" t="s">
        <v>210</v>
      </c>
      <c r="G62" s="431"/>
      <c r="H62" s="167">
        <v>1</v>
      </c>
      <c r="I62" s="167"/>
      <c r="J62" s="1681">
        <v>18311.003931686198</v>
      </c>
      <c r="K62" s="1541" t="s">
        <v>5244</v>
      </c>
      <c r="L62" s="1304" t="s">
        <v>5280</v>
      </c>
      <c r="M62" s="1389">
        <v>2</v>
      </c>
      <c r="N62" s="692" t="s">
        <v>5278</v>
      </c>
      <c r="O62" s="692" t="s">
        <v>5279</v>
      </c>
      <c r="P62" s="1301" t="s">
        <v>5246</v>
      </c>
      <c r="Q62" s="2641"/>
      <c r="R62" s="577" t="s">
        <v>3152</v>
      </c>
      <c r="S62" s="1492"/>
      <c r="T62" s="2000"/>
      <c r="U62" s="733"/>
      <c r="V62" s="1445">
        <v>1500000</v>
      </c>
      <c r="W62" s="1445">
        <v>1140000</v>
      </c>
      <c r="X62" s="733"/>
      <c r="Y62" s="734"/>
      <c r="Z62" s="1719">
        <v>500000</v>
      </c>
      <c r="AA62" s="733"/>
      <c r="AB62" s="1261">
        <f t="shared" ref="AB62:AB67" si="6">+U62+V62+W62+X62+Y62+Z62+AA62</f>
        <v>3140000</v>
      </c>
      <c r="AC62" s="1267"/>
      <c r="AD62" s="736"/>
      <c r="AE62" s="1268">
        <f>(AC62*1.08)+((AH62*$AH$4)+(G62*3450000+H62*3550000+I62*AI62)+(AJ62*$AJ$4)+(AK62*$AK$4)+(AL62*$AL$4)+(AM62*$AM$4*(G62+H62))+(AN62*$AN$4)+(AO62*$AO$4)+(AP62*$AP$4)+(AQ62*$AQ$4))*1.08</f>
        <v>5367600</v>
      </c>
      <c r="AF62" s="1824">
        <f t="shared" ref="AF62:AF67" si="7">+AB62+AE62</f>
        <v>8507600</v>
      </c>
      <c r="AG62" s="2669"/>
      <c r="AH62" s="1426">
        <v>1</v>
      </c>
      <c r="AI62" s="1427"/>
      <c r="AJ62" s="1426"/>
      <c r="AK62" s="1426"/>
      <c r="AL62" s="1426"/>
      <c r="AM62" s="1426"/>
      <c r="AN62" s="1426"/>
      <c r="AO62" s="1426"/>
      <c r="AP62" s="1426"/>
      <c r="AQ62" s="1427">
        <v>1</v>
      </c>
      <c r="AR62" s="1426"/>
      <c r="AS62" s="1427"/>
      <c r="AT62" s="1426"/>
      <c r="AU62" s="1426"/>
      <c r="AV62" s="1426"/>
      <c r="AW62" s="1426"/>
      <c r="AX62" s="1426"/>
    </row>
    <row r="63" spans="1:50" s="5" customFormat="1">
      <c r="A63" s="658">
        <v>2</v>
      </c>
      <c r="B63" s="1936" t="s">
        <v>5274</v>
      </c>
      <c r="C63" s="1312">
        <v>307280504330</v>
      </c>
      <c r="D63" s="46" t="s">
        <v>5274</v>
      </c>
      <c r="E63" s="1361" t="s">
        <v>5341</v>
      </c>
      <c r="F63" s="693" t="s">
        <v>210</v>
      </c>
      <c r="G63" s="431">
        <v>1</v>
      </c>
      <c r="H63" s="167"/>
      <c r="I63" s="167"/>
      <c r="J63" s="1681">
        <v>17279.146238900499</v>
      </c>
      <c r="K63" s="1541" t="s">
        <v>5245</v>
      </c>
      <c r="L63" s="1304" t="s">
        <v>5283</v>
      </c>
      <c r="M63" s="1389">
        <v>1</v>
      </c>
      <c r="N63" s="692" t="s">
        <v>5281</v>
      </c>
      <c r="O63" s="692" t="s">
        <v>5282</v>
      </c>
      <c r="P63" s="1301" t="s">
        <v>5246</v>
      </c>
      <c r="Q63" s="2641"/>
      <c r="R63" s="577" t="s">
        <v>3152</v>
      </c>
      <c r="S63" s="1492"/>
      <c r="T63" s="2000"/>
      <c r="U63" s="733"/>
      <c r="V63" s="1445">
        <v>999000</v>
      </c>
      <c r="W63" s="1445">
        <v>700000</v>
      </c>
      <c r="X63" s="733"/>
      <c r="Y63" s="734"/>
      <c r="Z63" s="1719">
        <v>250000</v>
      </c>
      <c r="AA63" s="733"/>
      <c r="AB63" s="1261">
        <f t="shared" si="6"/>
        <v>1949000</v>
      </c>
      <c r="AC63" s="1267"/>
      <c r="AD63" s="736"/>
      <c r="AE63" s="1268">
        <f>(AC63*1.08)+((AH63*$AH$4)+(G63*3450000+H63*3550000+I63*AI63)+(AJ63*$AJ$4)+(AK63*$AK$4)+(AL63*$AL$4)+(AM63*$AM$4*(G63+H63))+(AN63*$AN$4)+(AO63*$AO$4)+(AP63*$AP$4)+(AQ63*$AQ$4))*1.08</f>
        <v>5259600</v>
      </c>
      <c r="AF63" s="1824">
        <f t="shared" si="7"/>
        <v>7208600</v>
      </c>
      <c r="AG63" s="2669"/>
      <c r="AH63" s="1426">
        <v>1</v>
      </c>
      <c r="AI63" s="1427"/>
      <c r="AJ63" s="1426"/>
      <c r="AK63" s="1426"/>
      <c r="AL63" s="1426"/>
      <c r="AM63" s="1426"/>
      <c r="AN63" s="1426"/>
      <c r="AO63" s="1426"/>
      <c r="AP63" s="1426"/>
      <c r="AQ63" s="1427">
        <v>1</v>
      </c>
      <c r="AR63" s="1426"/>
      <c r="AS63" s="1427"/>
      <c r="AT63" s="1426"/>
      <c r="AU63" s="1426"/>
      <c r="AV63" s="1426"/>
      <c r="AW63" s="1426"/>
      <c r="AX63" s="1426"/>
    </row>
    <row r="64" spans="1:50" s="5" customFormat="1">
      <c r="A64" s="1403">
        <v>3</v>
      </c>
      <c r="B64" s="1936" t="s">
        <v>5284</v>
      </c>
      <c r="C64" s="1312">
        <v>307286963560</v>
      </c>
      <c r="D64" s="46" t="s">
        <v>5284</v>
      </c>
      <c r="E64" s="179" t="s">
        <v>5342</v>
      </c>
      <c r="F64" s="693" t="s">
        <v>210</v>
      </c>
      <c r="G64" s="431"/>
      <c r="H64" s="167">
        <v>1</v>
      </c>
      <c r="I64" s="167"/>
      <c r="J64" s="1681">
        <v>22278.699656724599</v>
      </c>
      <c r="K64" s="1541" t="s">
        <v>5293</v>
      </c>
      <c r="L64" s="1304" t="s">
        <v>5297</v>
      </c>
      <c r="M64" s="1389">
        <v>1</v>
      </c>
      <c r="N64" s="692" t="s">
        <v>5295</v>
      </c>
      <c r="O64" s="692" t="s">
        <v>5296</v>
      </c>
      <c r="P64" s="1301"/>
      <c r="Q64" s="2315"/>
      <c r="R64" s="1938" t="s">
        <v>2966</v>
      </c>
      <c r="S64" s="1938"/>
      <c r="T64" s="2000"/>
      <c r="U64" s="733"/>
      <c r="V64" s="1445">
        <v>1500000</v>
      </c>
      <c r="W64" s="1660">
        <v>882000</v>
      </c>
      <c r="X64" s="733"/>
      <c r="Y64" s="734"/>
      <c r="Z64" s="1719">
        <v>500000</v>
      </c>
      <c r="AA64" s="733"/>
      <c r="AB64" s="1261">
        <f t="shared" si="6"/>
        <v>2882000</v>
      </c>
      <c r="AC64" s="1267"/>
      <c r="AD64" s="736"/>
      <c r="AE64" s="1268">
        <f>(AC64*1.08)+((AH64*$AH$4)+(G64*3450000+H64*3550000+I64*AI64)+(AJ64*$AJ$4)+(AK64*$AK$4)+(AL64*$AL$4)+(AM64*$AM$4*(G64+H64))+(AN64*$AN$4)+(AO64*$AO$4)+(AP64*$AP$4)+(AQ64*$AQ$4))*1.08</f>
        <v>5367600</v>
      </c>
      <c r="AF64" s="1824">
        <f t="shared" si="7"/>
        <v>8249600</v>
      </c>
      <c r="AG64" s="2669"/>
      <c r="AH64" s="1426">
        <v>1</v>
      </c>
      <c r="AI64" s="1427"/>
      <c r="AJ64" s="1426"/>
      <c r="AK64" s="1426"/>
      <c r="AL64" s="1426"/>
      <c r="AM64" s="1426"/>
      <c r="AN64" s="1426"/>
      <c r="AO64" s="1426"/>
      <c r="AP64" s="1426"/>
      <c r="AQ64" s="1427">
        <v>1</v>
      </c>
      <c r="AR64" s="1426"/>
      <c r="AS64" s="1427"/>
      <c r="AT64" s="1426"/>
      <c r="AU64" s="1426"/>
      <c r="AV64" s="1426"/>
      <c r="AW64" s="1426"/>
      <c r="AX64" s="1426"/>
    </row>
    <row r="65" spans="1:50" s="5" customFormat="1">
      <c r="A65" s="1639">
        <v>4</v>
      </c>
      <c r="B65" s="1936" t="s">
        <v>5284</v>
      </c>
      <c r="C65" s="1312">
        <v>307286882950</v>
      </c>
      <c r="D65" s="46">
        <v>45873</v>
      </c>
      <c r="E65" s="179" t="s">
        <v>5343</v>
      </c>
      <c r="F65" s="693" t="s">
        <v>210</v>
      </c>
      <c r="G65" s="431">
        <v>1</v>
      </c>
      <c r="H65" s="167"/>
      <c r="I65" s="167"/>
      <c r="J65" s="1939">
        <v>17974.431129122098</v>
      </c>
      <c r="K65" s="1541" t="s">
        <v>5294</v>
      </c>
      <c r="L65" s="1304" t="s">
        <v>5300</v>
      </c>
      <c r="M65" s="1389">
        <v>1</v>
      </c>
      <c r="N65" s="692" t="s">
        <v>5298</v>
      </c>
      <c r="O65" s="692" t="s">
        <v>5299</v>
      </c>
      <c r="P65" s="1301"/>
      <c r="Q65" s="2315"/>
      <c r="R65" s="1938" t="s">
        <v>2966</v>
      </c>
      <c r="S65" s="1938"/>
      <c r="T65" s="2000"/>
      <c r="U65" s="733"/>
      <c r="V65" s="1445">
        <v>870000</v>
      </c>
      <c r="W65" s="1660">
        <v>497000</v>
      </c>
      <c r="X65" s="733"/>
      <c r="Y65" s="734"/>
      <c r="Z65" s="1719">
        <v>250000</v>
      </c>
      <c r="AA65" s="733"/>
      <c r="AB65" s="1261">
        <f t="shared" si="6"/>
        <v>1617000</v>
      </c>
      <c r="AC65" s="1267"/>
      <c r="AD65" s="736" t="s">
        <v>5495</v>
      </c>
      <c r="AE65" s="1268">
        <f>(AC65*1.08)+((AH65*$AH$4)+(G65*3450000+H65*3550000+I65*AI65)+(AJ65*$AJ$4)+(AK65*$AK$4)+(AL65*$AL$4)+(AM65*$AM$4*(G65+H65))+(AN65*$AN$4)+(AO65*$AO$4)+(AP65*$AP$4)+(AQ65*$AQ$4))*1.08</f>
        <v>5259600</v>
      </c>
      <c r="AF65" s="1824">
        <f t="shared" si="7"/>
        <v>6876600</v>
      </c>
      <c r="AG65" s="2669"/>
      <c r="AH65" s="1426">
        <v>1</v>
      </c>
      <c r="AI65" s="1427"/>
      <c r="AJ65" s="1426"/>
      <c r="AK65" s="1426"/>
      <c r="AL65" s="1426"/>
      <c r="AM65" s="1426"/>
      <c r="AN65" s="1426"/>
      <c r="AO65" s="1426"/>
      <c r="AP65" s="1426"/>
      <c r="AQ65" s="1427">
        <v>1</v>
      </c>
      <c r="AR65" s="1426"/>
      <c r="AS65" s="1427"/>
      <c r="AT65" s="1426"/>
      <c r="AU65" s="1426"/>
      <c r="AV65" s="1426"/>
      <c r="AW65" s="1426"/>
      <c r="AX65" s="1426"/>
    </row>
    <row r="66" spans="1:50" s="5" customFormat="1">
      <c r="A66" s="658">
        <v>5</v>
      </c>
      <c r="B66" s="713" t="s">
        <v>5337</v>
      </c>
      <c r="C66" s="2292">
        <v>307295925920</v>
      </c>
      <c r="D66" s="2293" t="s">
        <v>5310</v>
      </c>
      <c r="E66" s="1623" t="s">
        <v>5344</v>
      </c>
      <c r="F66" s="2294" t="s">
        <v>210</v>
      </c>
      <c r="G66" s="431"/>
      <c r="H66" s="167"/>
      <c r="I66" s="167">
        <v>1</v>
      </c>
      <c r="J66" s="2142"/>
      <c r="K66" s="1562" t="s">
        <v>5328</v>
      </c>
      <c r="L66" s="2295" t="s">
        <v>5373</v>
      </c>
      <c r="M66" s="2296"/>
      <c r="N66" s="3633" t="s">
        <v>5338</v>
      </c>
      <c r="O66" s="3634"/>
      <c r="P66" s="2288" t="s">
        <v>5329</v>
      </c>
      <c r="Q66" s="3202"/>
      <c r="R66" s="522" t="s">
        <v>5339</v>
      </c>
      <c r="S66" s="1492"/>
      <c r="T66" s="1496"/>
      <c r="U66" s="2297"/>
      <c r="V66" s="2297"/>
      <c r="W66" s="2297"/>
      <c r="X66" s="2297"/>
      <c r="Y66" s="2298"/>
      <c r="Z66" s="2299">
        <v>21461</v>
      </c>
      <c r="AA66" s="2297"/>
      <c r="AB66" s="2300">
        <f t="shared" si="6"/>
        <v>21461</v>
      </c>
      <c r="AC66" s="1659"/>
      <c r="AD66" s="2301"/>
      <c r="AE66" s="2302">
        <f>(770000+1800000)*1.08</f>
        <v>2775600</v>
      </c>
      <c r="AF66" s="1832">
        <f t="shared" si="7"/>
        <v>2797061</v>
      </c>
      <c r="AG66" s="2670"/>
      <c r="AH66" s="1426">
        <v>1</v>
      </c>
      <c r="AI66" s="1427">
        <v>1</v>
      </c>
      <c r="AJ66" s="1426"/>
      <c r="AK66" s="1426"/>
      <c r="AL66" s="1426"/>
      <c r="AM66" s="1426"/>
      <c r="AN66" s="1426"/>
      <c r="AO66" s="1426"/>
      <c r="AP66" s="1426"/>
      <c r="AQ66" s="1427"/>
      <c r="AR66" s="1426"/>
      <c r="AS66" s="1427"/>
      <c r="AT66" s="1426"/>
      <c r="AU66" s="1426"/>
      <c r="AV66" s="1426"/>
      <c r="AW66" s="1426"/>
      <c r="AX66" s="1426"/>
    </row>
    <row r="67" spans="1:50" s="5" customFormat="1" ht="39.6">
      <c r="A67" s="1639">
        <v>6</v>
      </c>
      <c r="B67" s="2309" t="s">
        <v>5449</v>
      </c>
      <c r="C67" s="1895">
        <v>307346738810</v>
      </c>
      <c r="D67" s="2309" t="s">
        <v>5449</v>
      </c>
      <c r="E67" s="2310" t="s">
        <v>5498</v>
      </c>
      <c r="F67" s="2239" t="s">
        <v>210</v>
      </c>
      <c r="G67" s="2311"/>
      <c r="H67" s="1369">
        <v>1</v>
      </c>
      <c r="I67" s="1369"/>
      <c r="J67" s="2312">
        <f>22224.4589245447</f>
        <v>22224.458924544699</v>
      </c>
      <c r="K67" s="2313" t="s">
        <v>5450</v>
      </c>
      <c r="L67" s="2131" t="s">
        <v>5494</v>
      </c>
      <c r="M67" s="2132">
        <v>1</v>
      </c>
      <c r="N67" s="2314" t="s">
        <v>5492</v>
      </c>
      <c r="O67" s="2314" t="s">
        <v>5493</v>
      </c>
      <c r="P67" s="2315" t="s">
        <v>5451</v>
      </c>
      <c r="Q67" s="2315"/>
      <c r="R67" s="1938" t="s">
        <v>2966</v>
      </c>
      <c r="S67" s="1938"/>
      <c r="T67" s="1517"/>
      <c r="U67" s="1461"/>
      <c r="V67" s="1460">
        <v>1280000</v>
      </c>
      <c r="W67" s="1660">
        <v>882000</v>
      </c>
      <c r="X67" s="1461"/>
      <c r="Y67" s="2240"/>
      <c r="Z67" s="1660">
        <v>500000</v>
      </c>
      <c r="AA67" s="1461"/>
      <c r="AB67" s="1661">
        <f t="shared" si="6"/>
        <v>2662000</v>
      </c>
      <c r="AC67" s="1650"/>
      <c r="AD67" s="1662"/>
      <c r="AE67" s="1650">
        <f>(AC67*1.08)+((AH67*$AH$4)+(G67*3450000+H67*3550000+I67*AI67)+(AJ67*$AJ$4)+(AK67*$AK$4)+(AL67*$AL$4)+(AM67*$AM$4*(G67+H67))+(AN67*$AN$4)+(AO67*$AO$4)+(AP67*$AP$4)+(AQ67*$AQ$4))*1.08</f>
        <v>5367600</v>
      </c>
      <c r="AF67" s="1837">
        <f t="shared" si="7"/>
        <v>8029600</v>
      </c>
      <c r="AG67" s="2669"/>
      <c r="AH67" s="1426">
        <v>1</v>
      </c>
      <c r="AI67" s="1427"/>
      <c r="AJ67" s="1426"/>
      <c r="AK67" s="1426"/>
      <c r="AL67" s="1426"/>
      <c r="AM67" s="1426"/>
      <c r="AN67" s="1426"/>
      <c r="AO67" s="1426"/>
      <c r="AP67" s="1426"/>
      <c r="AQ67" s="1427">
        <v>1</v>
      </c>
      <c r="AR67" s="1426"/>
      <c r="AS67" s="1427"/>
      <c r="AT67" s="1426"/>
      <c r="AU67" s="1426"/>
      <c r="AV67" s="1426"/>
      <c r="AW67" s="1426"/>
      <c r="AX67" s="1426"/>
    </row>
    <row r="68" spans="1:50" s="939" customFormat="1">
      <c r="A68" s="3622" t="s">
        <v>5485</v>
      </c>
      <c r="B68" s="3623"/>
      <c r="C68" s="3623"/>
      <c r="D68" s="3623"/>
      <c r="E68" s="3623"/>
      <c r="F68" s="3623"/>
      <c r="G68" s="3623"/>
      <c r="H68" s="3623"/>
      <c r="I68" s="3623"/>
      <c r="J68" s="3623"/>
      <c r="K68" s="3623"/>
      <c r="L68" s="3623"/>
      <c r="M68" s="3623"/>
      <c r="N68" s="3623"/>
      <c r="O68" s="3624"/>
      <c r="P68" s="2303"/>
      <c r="Q68" s="2303"/>
      <c r="R68" s="2304"/>
      <c r="S68" s="1607"/>
      <c r="T68" s="2305"/>
      <c r="U68" s="2306"/>
      <c r="V68" s="2305"/>
      <c r="W68" s="2305"/>
      <c r="X68" s="2305"/>
      <c r="Y68" s="2307"/>
      <c r="Z68" s="2307"/>
      <c r="AA68" s="2305"/>
      <c r="AB68" s="2307">
        <f>SUM(AB62:AB67)</f>
        <v>12271461</v>
      </c>
      <c r="AC68" s="2307">
        <f>SUM(AC43:AC67)</f>
        <v>600000</v>
      </c>
      <c r="AD68" s="2308"/>
      <c r="AE68" s="2307">
        <f>SUM(AE62:AE67)</f>
        <v>29397600</v>
      </c>
      <c r="AF68" s="2307">
        <f>SUM(AF43:AF67)</f>
        <v>693253691</v>
      </c>
      <c r="AG68" s="2671"/>
      <c r="AH68" s="2244"/>
      <c r="AI68" s="2245"/>
      <c r="AJ68" s="2244"/>
      <c r="AK68" s="2244"/>
      <c r="AL68" s="2244"/>
      <c r="AM68" s="2244"/>
      <c r="AN68" s="2244"/>
      <c r="AO68" s="2244"/>
      <c r="AP68" s="2244"/>
      <c r="AQ68" s="2245"/>
      <c r="AR68" s="2244"/>
      <c r="AS68" s="2245"/>
      <c r="AT68" s="2244"/>
      <c r="AU68" s="2244"/>
      <c r="AV68" s="2244"/>
      <c r="AW68" s="2244"/>
      <c r="AX68" s="2244"/>
    </row>
    <row r="69" spans="1:50" s="5" customFormat="1">
      <c r="A69" s="1503">
        <v>1</v>
      </c>
      <c r="B69" s="3524" t="s">
        <v>5575</v>
      </c>
      <c r="C69" s="1896">
        <v>307376554720</v>
      </c>
      <c r="D69" s="1520" t="s">
        <v>5575</v>
      </c>
      <c r="E69" s="2029" t="s">
        <v>5615</v>
      </c>
      <c r="F69" s="3625" t="s">
        <v>210</v>
      </c>
      <c r="G69" s="2129">
        <v>1</v>
      </c>
      <c r="H69" s="2130"/>
      <c r="I69" s="2130"/>
      <c r="J69" s="1840">
        <f>19210.400278007</f>
        <v>19210.400278007</v>
      </c>
      <c r="K69" s="3503" t="s">
        <v>5554</v>
      </c>
      <c r="L69" s="2131" t="s">
        <v>5580</v>
      </c>
      <c r="M69" s="2132">
        <v>1</v>
      </c>
      <c r="N69" s="2120" t="s">
        <v>5578</v>
      </c>
      <c r="O69" s="2120" t="s">
        <v>5579</v>
      </c>
      <c r="P69" s="3527" t="s">
        <v>5576</v>
      </c>
      <c r="Q69" s="2288"/>
      <c r="R69" s="3488" t="s">
        <v>2966</v>
      </c>
      <c r="S69" s="1938"/>
      <c r="T69" s="150"/>
      <c r="U69" s="733"/>
      <c r="V69" s="1445">
        <v>870000</v>
      </c>
      <c r="W69" s="1660">
        <v>2982000</v>
      </c>
      <c r="X69" s="733"/>
      <c r="Y69" s="734"/>
      <c r="Z69" s="1719">
        <v>250000</v>
      </c>
      <c r="AA69" s="733"/>
      <c r="AB69" s="1261">
        <f t="shared" ref="AB69:AB89" si="8">+U69+V69+W69+X69+Y69+Z69+AA69</f>
        <v>4102000</v>
      </c>
      <c r="AC69" s="1267"/>
      <c r="AD69" s="2185"/>
      <c r="AE69" s="1268">
        <f t="shared" ref="AE69:AE77" si="9">(AC69*1.08)+((AH69*$AH$4)+(G69*3450000+H69*3550000+I69*AI69)+(AJ69*$AJ$4)+(AK69*$AK$4)+(AL69*$AL$4)+(AM69*$AM$4*(G69+H69))+(AN69*$AN$4)+(AO69*$AO$4)+(AP69*$AP$4)+(AQ69*$AQ$4))*1.08</f>
        <v>5259600</v>
      </c>
      <c r="AF69" s="1824">
        <f t="shared" ref="AF69:AF89" si="10">+AB69+AE69</f>
        <v>9361600</v>
      </c>
      <c r="AG69" s="2669"/>
      <c r="AH69" s="1426">
        <v>1</v>
      </c>
      <c r="AI69" s="1427"/>
      <c r="AJ69" s="1426"/>
      <c r="AK69" s="1426"/>
      <c r="AL69" s="1426"/>
      <c r="AM69" s="1426"/>
      <c r="AN69" s="1426"/>
      <c r="AO69" s="1426"/>
      <c r="AP69" s="1426"/>
      <c r="AQ69" s="1427">
        <v>1</v>
      </c>
      <c r="AR69" s="1426"/>
      <c r="AS69" s="1427"/>
      <c r="AT69" s="1426"/>
      <c r="AU69" s="1426"/>
      <c r="AV69" s="1426"/>
      <c r="AW69" s="1426"/>
      <c r="AX69" s="1426"/>
    </row>
    <row r="70" spans="1:50" s="5" customFormat="1" ht="15" customHeight="1">
      <c r="A70" s="1639">
        <f>+A69+1</f>
        <v>2</v>
      </c>
      <c r="B70" s="3525"/>
      <c r="C70" s="1896">
        <v>307376591560</v>
      </c>
      <c r="D70" s="1520" t="s">
        <v>5575</v>
      </c>
      <c r="E70" s="2029" t="s">
        <v>5615</v>
      </c>
      <c r="F70" s="3516"/>
      <c r="G70" s="431">
        <v>1</v>
      </c>
      <c r="H70" s="167"/>
      <c r="I70" s="167"/>
      <c r="J70" s="1840">
        <v>18809.2988530855</v>
      </c>
      <c r="K70" s="3574"/>
      <c r="L70" s="5" t="s">
        <v>5583</v>
      </c>
      <c r="M70" s="1389">
        <v>2</v>
      </c>
      <c r="N70" s="1304" t="s">
        <v>5581</v>
      </c>
      <c r="O70" s="692" t="s">
        <v>5582</v>
      </c>
      <c r="P70" s="3510"/>
      <c r="Q70" s="3185"/>
      <c r="R70" s="3355"/>
      <c r="S70" s="1938"/>
      <c r="T70" s="150"/>
      <c r="U70" s="733"/>
      <c r="V70" s="1445">
        <v>870000</v>
      </c>
      <c r="W70" s="733"/>
      <c r="X70" s="733"/>
      <c r="Y70" s="734"/>
      <c r="Z70" s="1719">
        <v>250000</v>
      </c>
      <c r="AA70" s="733"/>
      <c r="AB70" s="1261">
        <f t="shared" si="8"/>
        <v>1120000</v>
      </c>
      <c r="AC70" s="1267"/>
      <c r="AD70" s="2185"/>
      <c r="AE70" s="1268">
        <f t="shared" si="9"/>
        <v>5259600</v>
      </c>
      <c r="AF70" s="1824">
        <f t="shared" si="10"/>
        <v>6379600</v>
      </c>
      <c r="AG70" s="2669"/>
      <c r="AH70" s="1426">
        <v>1</v>
      </c>
      <c r="AI70" s="1427"/>
      <c r="AJ70" s="1426"/>
      <c r="AK70" s="1426"/>
      <c r="AL70" s="1426"/>
      <c r="AM70" s="1426"/>
      <c r="AN70" s="1426"/>
      <c r="AO70" s="1426"/>
      <c r="AP70" s="1426"/>
      <c r="AQ70" s="1427">
        <v>1</v>
      </c>
      <c r="AR70" s="1426"/>
      <c r="AS70" s="1427"/>
      <c r="AT70" s="1426"/>
      <c r="AU70" s="1426"/>
      <c r="AV70" s="1426"/>
      <c r="AW70" s="1426"/>
      <c r="AX70" s="1426"/>
    </row>
    <row r="71" spans="1:50" s="5" customFormat="1" ht="27" customHeight="1">
      <c r="A71" s="1639">
        <f>+A70+1</f>
        <v>3</v>
      </c>
      <c r="B71" s="3525"/>
      <c r="C71" s="1457">
        <v>307376632750</v>
      </c>
      <c r="D71" s="1520" t="s">
        <v>5575</v>
      </c>
      <c r="E71" s="2029" t="s">
        <v>5615</v>
      </c>
      <c r="F71" s="3516"/>
      <c r="G71" s="431">
        <v>1</v>
      </c>
      <c r="H71" s="167"/>
      <c r="I71" s="167"/>
      <c r="J71" s="1840">
        <v>19076.273744927901</v>
      </c>
      <c r="K71" s="3574"/>
      <c r="L71" s="1304" t="s">
        <v>5586</v>
      </c>
      <c r="M71" s="1389">
        <v>3</v>
      </c>
      <c r="N71" s="692" t="s">
        <v>5584</v>
      </c>
      <c r="O71" s="692" t="s">
        <v>5585</v>
      </c>
      <c r="P71" s="3510"/>
      <c r="Q71" s="3185"/>
      <c r="R71" s="3355"/>
      <c r="S71" s="1938"/>
      <c r="T71" s="150"/>
      <c r="U71" s="733"/>
      <c r="V71" s="1445">
        <v>870000</v>
      </c>
      <c r="W71" s="733"/>
      <c r="X71" s="733"/>
      <c r="Y71" s="734"/>
      <c r="Z71" s="1719">
        <v>250000</v>
      </c>
      <c r="AA71" s="733"/>
      <c r="AB71" s="1261">
        <f t="shared" si="8"/>
        <v>1120000</v>
      </c>
      <c r="AC71" s="1267"/>
      <c r="AD71" s="2185"/>
      <c r="AE71" s="1268">
        <f t="shared" si="9"/>
        <v>5259600</v>
      </c>
      <c r="AF71" s="1824">
        <f t="shared" si="10"/>
        <v>6379600</v>
      </c>
      <c r="AG71" s="2669"/>
      <c r="AH71" s="1426">
        <v>1</v>
      </c>
      <c r="AI71" s="1427"/>
      <c r="AJ71" s="1426"/>
      <c r="AK71" s="1426"/>
      <c r="AL71" s="1426"/>
      <c r="AM71" s="1426"/>
      <c r="AN71" s="1426"/>
      <c r="AO71" s="1426"/>
      <c r="AP71" s="1426"/>
      <c r="AQ71" s="1427">
        <v>1</v>
      </c>
      <c r="AR71" s="1426"/>
      <c r="AS71" s="1427"/>
      <c r="AT71" s="1426"/>
      <c r="AU71" s="1426"/>
      <c r="AV71" s="1426"/>
      <c r="AW71" s="1426"/>
      <c r="AX71" s="1426"/>
    </row>
    <row r="72" spans="1:50" s="5" customFormat="1" ht="15" customHeight="1">
      <c r="A72" s="1639">
        <f>+A71+1</f>
        <v>4</v>
      </c>
      <c r="B72" s="3525"/>
      <c r="C72" s="1896">
        <v>307376668230</v>
      </c>
      <c r="D72" s="1520" t="s">
        <v>5575</v>
      </c>
      <c r="E72" s="2029" t="s">
        <v>5615</v>
      </c>
      <c r="F72" s="3516"/>
      <c r="G72" s="431">
        <v>1</v>
      </c>
      <c r="H72" s="167"/>
      <c r="I72" s="167"/>
      <c r="J72" s="1840">
        <v>19325.6964229267</v>
      </c>
      <c r="K72" s="3574"/>
      <c r="L72" s="1304" t="s">
        <v>5589</v>
      </c>
      <c r="M72" s="1389">
        <v>4</v>
      </c>
      <c r="N72" s="692" t="s">
        <v>5587</v>
      </c>
      <c r="O72" s="692" t="s">
        <v>5588</v>
      </c>
      <c r="P72" s="3510"/>
      <c r="Q72" s="3185"/>
      <c r="R72" s="3355"/>
      <c r="S72" s="1938"/>
      <c r="T72" s="150"/>
      <c r="U72" s="733"/>
      <c r="V72" s="1445">
        <v>870000</v>
      </c>
      <c r="W72" s="733"/>
      <c r="X72" s="733"/>
      <c r="Y72" s="734"/>
      <c r="Z72" s="1719">
        <v>250000</v>
      </c>
      <c r="AA72" s="733"/>
      <c r="AB72" s="1261">
        <f t="shared" si="8"/>
        <v>1120000</v>
      </c>
      <c r="AC72" s="1267"/>
      <c r="AD72" s="2185"/>
      <c r="AE72" s="1268">
        <f t="shared" si="9"/>
        <v>5259600</v>
      </c>
      <c r="AF72" s="1824">
        <f t="shared" si="10"/>
        <v>6379600</v>
      </c>
      <c r="AG72" s="2669"/>
      <c r="AH72" s="1426">
        <v>1</v>
      </c>
      <c r="AI72" s="1427"/>
      <c r="AJ72" s="1426"/>
      <c r="AK72" s="1426"/>
      <c r="AL72" s="1426"/>
      <c r="AM72" s="1426"/>
      <c r="AN72" s="1426"/>
      <c r="AO72" s="1426"/>
      <c r="AP72" s="1426"/>
      <c r="AQ72" s="1427">
        <v>1</v>
      </c>
      <c r="AR72" s="1426"/>
      <c r="AS72" s="1427"/>
      <c r="AT72" s="1426"/>
      <c r="AU72" s="1426"/>
      <c r="AV72" s="1426"/>
      <c r="AW72" s="1426"/>
      <c r="AX72" s="1426"/>
    </row>
    <row r="73" spans="1:50" s="5" customFormat="1" ht="15" customHeight="1">
      <c r="A73" s="1639">
        <f>+A72+1</f>
        <v>5</v>
      </c>
      <c r="B73" s="3525"/>
      <c r="C73" s="1896">
        <v>307376703450</v>
      </c>
      <c r="D73" s="1520" t="s">
        <v>5575</v>
      </c>
      <c r="E73" s="2029" t="s">
        <v>5615</v>
      </c>
      <c r="F73" s="3516"/>
      <c r="G73" s="431">
        <v>1</v>
      </c>
      <c r="H73" s="167"/>
      <c r="I73" s="167"/>
      <c r="J73" s="1840">
        <v>17870.296306730499</v>
      </c>
      <c r="K73" s="3574"/>
      <c r="L73" s="1304" t="s">
        <v>5592</v>
      </c>
      <c r="M73" s="1389">
        <v>5</v>
      </c>
      <c r="N73" s="692" t="s">
        <v>5590</v>
      </c>
      <c r="O73" s="692" t="s">
        <v>5591</v>
      </c>
      <c r="P73" s="3510"/>
      <c r="Q73" s="3185"/>
      <c r="R73" s="3355"/>
      <c r="S73" s="1938"/>
      <c r="T73" s="150"/>
      <c r="U73" s="733"/>
      <c r="V73" s="1445">
        <v>870000</v>
      </c>
      <c r="W73" s="733"/>
      <c r="X73" s="733"/>
      <c r="Y73" s="734"/>
      <c r="Z73" s="1719">
        <v>250000</v>
      </c>
      <c r="AA73" s="733"/>
      <c r="AB73" s="1261">
        <f t="shared" si="8"/>
        <v>1120000</v>
      </c>
      <c r="AC73" s="1267"/>
      <c r="AD73" s="2185"/>
      <c r="AE73" s="1268">
        <f t="shared" si="9"/>
        <v>5259600</v>
      </c>
      <c r="AF73" s="1824">
        <f t="shared" si="10"/>
        <v>6379600</v>
      </c>
      <c r="AG73" s="2669"/>
      <c r="AH73" s="1426">
        <v>1</v>
      </c>
      <c r="AI73" s="1427"/>
      <c r="AJ73" s="1426"/>
      <c r="AK73" s="1426"/>
      <c r="AL73" s="1426"/>
      <c r="AM73" s="1426"/>
      <c r="AN73" s="1426"/>
      <c r="AO73" s="1426"/>
      <c r="AP73" s="1426"/>
      <c r="AQ73" s="1427">
        <v>1</v>
      </c>
      <c r="AR73" s="1426"/>
      <c r="AS73" s="1427"/>
      <c r="AT73" s="1426"/>
      <c r="AU73" s="1426"/>
      <c r="AV73" s="1426"/>
      <c r="AW73" s="1426"/>
      <c r="AX73" s="1426"/>
    </row>
    <row r="74" spans="1:50" s="5" customFormat="1" ht="15.75" customHeight="1" thickBot="1">
      <c r="A74" s="1691">
        <f>+A73+1</f>
        <v>6</v>
      </c>
      <c r="B74" s="3526"/>
      <c r="C74" s="1891">
        <v>307378558010</v>
      </c>
      <c r="D74" s="1700" t="s">
        <v>5575</v>
      </c>
      <c r="E74" s="1712" t="s">
        <v>5615</v>
      </c>
      <c r="F74" s="3517"/>
      <c r="G74" s="2145">
        <v>1</v>
      </c>
      <c r="H74" s="1857"/>
      <c r="I74" s="1857"/>
      <c r="J74" s="1841">
        <v>18318.900000000001</v>
      </c>
      <c r="K74" s="3575"/>
      <c r="L74" s="1842" t="s">
        <v>5599</v>
      </c>
      <c r="M74" s="1697">
        <v>6</v>
      </c>
      <c r="N74" s="1844" t="s">
        <v>5597</v>
      </c>
      <c r="O74" s="1844" t="s">
        <v>5598</v>
      </c>
      <c r="P74" s="3511"/>
      <c r="Q74" s="1872"/>
      <c r="R74" s="3544"/>
      <c r="S74" s="1938"/>
      <c r="T74" s="150"/>
      <c r="U74" s="733"/>
      <c r="V74" s="1445">
        <v>870000</v>
      </c>
      <c r="W74" s="733"/>
      <c r="X74" s="733"/>
      <c r="Y74" s="734"/>
      <c r="Z74" s="1719">
        <v>250000</v>
      </c>
      <c r="AA74" s="733"/>
      <c r="AB74" s="1261">
        <f t="shared" si="8"/>
        <v>1120000</v>
      </c>
      <c r="AC74" s="1267"/>
      <c r="AD74" s="2185"/>
      <c r="AE74" s="1268">
        <f t="shared" si="9"/>
        <v>5259600</v>
      </c>
      <c r="AF74" s="1824">
        <f t="shared" si="10"/>
        <v>6379600</v>
      </c>
      <c r="AG74" s="2669"/>
      <c r="AH74" s="1426">
        <v>1</v>
      </c>
      <c r="AI74" s="1427"/>
      <c r="AJ74" s="1426"/>
      <c r="AK74" s="1426"/>
      <c r="AL74" s="1426"/>
      <c r="AM74" s="1426"/>
      <c r="AN74" s="1426"/>
      <c r="AO74" s="1426"/>
      <c r="AP74" s="1426"/>
      <c r="AQ74" s="1427">
        <v>1</v>
      </c>
      <c r="AR74" s="1426"/>
      <c r="AS74" s="1427"/>
      <c r="AT74" s="1426"/>
      <c r="AU74" s="1426"/>
      <c r="AV74" s="1426"/>
      <c r="AW74" s="1426"/>
      <c r="AX74" s="1426"/>
    </row>
    <row r="75" spans="1:50" s="5" customFormat="1">
      <c r="A75" s="2146">
        <v>8</v>
      </c>
      <c r="B75" s="3580" t="s">
        <v>5633</v>
      </c>
      <c r="C75" s="2147">
        <v>307393934060</v>
      </c>
      <c r="D75" s="795" t="s">
        <v>5633</v>
      </c>
      <c r="E75" s="779" t="s">
        <v>5672</v>
      </c>
      <c r="F75" s="3547" t="s">
        <v>210</v>
      </c>
      <c r="G75" s="2148">
        <v>1</v>
      </c>
      <c r="H75" s="2149"/>
      <c r="I75" s="2150"/>
      <c r="J75" s="1840">
        <v>14615.345323813201</v>
      </c>
      <c r="K75" s="3573" t="s">
        <v>5625</v>
      </c>
      <c r="L75" s="1379" t="s">
        <v>5651</v>
      </c>
      <c r="M75" s="1389">
        <v>1</v>
      </c>
      <c r="N75" s="692" t="s">
        <v>5645</v>
      </c>
      <c r="O75" s="692" t="s">
        <v>5646</v>
      </c>
      <c r="P75" s="3550" t="s">
        <v>5626</v>
      </c>
      <c r="Q75" s="3188"/>
      <c r="R75" s="3545" t="s">
        <v>2966</v>
      </c>
      <c r="S75" s="1492"/>
      <c r="T75" s="150"/>
      <c r="U75" s="733"/>
      <c r="V75" s="1445">
        <v>1000000</v>
      </c>
      <c r="W75" s="1660">
        <v>1491000</v>
      </c>
      <c r="X75" s="733"/>
      <c r="Y75" s="734"/>
      <c r="Z75" s="1719">
        <v>250000</v>
      </c>
      <c r="AA75" s="733"/>
      <c r="AB75" s="1261">
        <f t="shared" si="8"/>
        <v>2741000</v>
      </c>
      <c r="AC75" s="1267"/>
      <c r="AD75" s="2185"/>
      <c r="AE75" s="1268">
        <f t="shared" si="9"/>
        <v>5259600</v>
      </c>
      <c r="AF75" s="1824">
        <f t="shared" si="10"/>
        <v>8000600</v>
      </c>
      <c r="AG75" s="2669"/>
      <c r="AH75" s="1426">
        <v>1</v>
      </c>
      <c r="AI75" s="1427"/>
      <c r="AJ75" s="1426"/>
      <c r="AK75" s="1426"/>
      <c r="AL75" s="1426"/>
      <c r="AM75" s="1426"/>
      <c r="AN75" s="1426"/>
      <c r="AO75" s="1426"/>
      <c r="AP75" s="1426"/>
      <c r="AQ75" s="1427">
        <v>1</v>
      </c>
      <c r="AR75" s="1426"/>
      <c r="AS75" s="1427"/>
      <c r="AT75" s="1426"/>
      <c r="AU75" s="1426"/>
      <c r="AV75" s="1426"/>
      <c r="AW75" s="1426"/>
      <c r="AX75" s="1426"/>
    </row>
    <row r="76" spans="1:50" s="5" customFormat="1" ht="15" customHeight="1">
      <c r="A76" s="1639">
        <v>9</v>
      </c>
      <c r="B76" s="3365"/>
      <c r="C76" s="1896">
        <v>307393984610</v>
      </c>
      <c r="D76" s="1504" t="s">
        <v>5633</v>
      </c>
      <c r="E76" s="2029" t="s">
        <v>5672</v>
      </c>
      <c r="F76" s="3548"/>
      <c r="G76" s="2144">
        <v>1</v>
      </c>
      <c r="H76" s="710"/>
      <c r="I76" s="167"/>
      <c r="J76" s="1840">
        <v>15705.599080308</v>
      </c>
      <c r="K76" s="3574"/>
      <c r="L76" s="1304" t="s">
        <v>5652</v>
      </c>
      <c r="M76" s="1389">
        <v>2</v>
      </c>
      <c r="N76" s="692" t="s">
        <v>5647</v>
      </c>
      <c r="O76" s="692" t="s">
        <v>5648</v>
      </c>
      <c r="P76" s="3510"/>
      <c r="Q76" s="3185"/>
      <c r="R76" s="3641"/>
      <c r="S76" s="1492"/>
      <c r="T76" s="150"/>
      <c r="U76" s="733"/>
      <c r="V76" s="1445">
        <v>1000000</v>
      </c>
      <c r="W76" s="733"/>
      <c r="X76" s="733"/>
      <c r="Y76" s="734"/>
      <c r="Z76" s="1719">
        <v>250000</v>
      </c>
      <c r="AA76" s="733"/>
      <c r="AB76" s="1261">
        <f t="shared" si="8"/>
        <v>1250000</v>
      </c>
      <c r="AC76" s="1267"/>
      <c r="AD76" s="2185"/>
      <c r="AE76" s="1268">
        <f t="shared" si="9"/>
        <v>5259600</v>
      </c>
      <c r="AF76" s="1824">
        <f t="shared" si="10"/>
        <v>6509600</v>
      </c>
      <c r="AG76" s="2669"/>
      <c r="AH76" s="1426">
        <v>1</v>
      </c>
      <c r="AI76" s="1427"/>
      <c r="AJ76" s="1426"/>
      <c r="AK76" s="1426"/>
      <c r="AL76" s="1426"/>
      <c r="AM76" s="1426"/>
      <c r="AN76" s="1426"/>
      <c r="AO76" s="1426"/>
      <c r="AP76" s="1426"/>
      <c r="AQ76" s="1427">
        <v>1</v>
      </c>
      <c r="AR76" s="1426"/>
      <c r="AS76" s="1427"/>
      <c r="AT76" s="1426"/>
      <c r="AU76" s="1426"/>
      <c r="AV76" s="1426"/>
      <c r="AW76" s="1426"/>
      <c r="AX76" s="1426"/>
    </row>
    <row r="77" spans="1:50" s="5" customFormat="1" ht="15.75" customHeight="1" thickBot="1">
      <c r="A77" s="1691">
        <f>+A76+1</f>
        <v>10</v>
      </c>
      <c r="B77" s="3581"/>
      <c r="C77" s="1891">
        <v>307394017140</v>
      </c>
      <c r="D77" s="1718" t="s">
        <v>5633</v>
      </c>
      <c r="E77" s="1712" t="s">
        <v>5672</v>
      </c>
      <c r="F77" s="3549"/>
      <c r="G77" s="1713">
        <v>1</v>
      </c>
      <c r="H77" s="2151"/>
      <c r="I77" s="1857"/>
      <c r="J77" s="1841">
        <v>16381.1032519495</v>
      </c>
      <c r="K77" s="3575"/>
      <c r="L77" s="1842" t="s">
        <v>5653</v>
      </c>
      <c r="M77" s="1697">
        <v>3</v>
      </c>
      <c r="N77" s="1844" t="s">
        <v>5649</v>
      </c>
      <c r="O77" s="1844" t="s">
        <v>5650</v>
      </c>
      <c r="P77" s="3511"/>
      <c r="Q77" s="1872"/>
      <c r="R77" s="3546"/>
      <c r="S77" s="1492"/>
      <c r="T77" s="150"/>
      <c r="U77" s="733"/>
      <c r="V77" s="1445">
        <v>1000000</v>
      </c>
      <c r="W77" s="733"/>
      <c r="X77" s="733"/>
      <c r="Y77" s="734"/>
      <c r="Z77" s="1719">
        <v>250000</v>
      </c>
      <c r="AA77" s="733"/>
      <c r="AB77" s="1261">
        <f t="shared" si="8"/>
        <v>1250000</v>
      </c>
      <c r="AC77" s="1267"/>
      <c r="AD77" s="2185"/>
      <c r="AE77" s="1268">
        <f t="shared" si="9"/>
        <v>5259600</v>
      </c>
      <c r="AF77" s="1824">
        <f t="shared" si="10"/>
        <v>6509600</v>
      </c>
      <c r="AG77" s="2669"/>
      <c r="AH77" s="1426">
        <v>1</v>
      </c>
      <c r="AI77" s="1427"/>
      <c r="AJ77" s="1426"/>
      <c r="AK77" s="1426"/>
      <c r="AL77" s="1426"/>
      <c r="AM77" s="1426"/>
      <c r="AN77" s="1426"/>
      <c r="AO77" s="1426"/>
      <c r="AP77" s="1426"/>
      <c r="AQ77" s="1427">
        <v>1</v>
      </c>
      <c r="AR77" s="1426"/>
      <c r="AS77" s="1427"/>
      <c r="AT77" s="1426"/>
      <c r="AU77" s="1426"/>
      <c r="AV77" s="1426"/>
      <c r="AW77" s="1426"/>
      <c r="AX77" s="1426"/>
    </row>
    <row r="78" spans="1:50" s="5" customFormat="1" ht="13.8" thickBot="1">
      <c r="A78" s="1881">
        <f>+A77+1</f>
        <v>11</v>
      </c>
      <c r="B78" s="2176" t="s">
        <v>5655</v>
      </c>
      <c r="C78" s="1899">
        <v>307404889060</v>
      </c>
      <c r="D78" s="2176" t="s">
        <v>5655</v>
      </c>
      <c r="E78" s="2182" t="s">
        <v>5696</v>
      </c>
      <c r="F78" s="2177" t="s">
        <v>210</v>
      </c>
      <c r="G78" s="1883"/>
      <c r="H78" s="2178">
        <v>1</v>
      </c>
      <c r="I78" s="2178"/>
      <c r="J78" s="2179">
        <f>10753.5</f>
        <v>10753.5</v>
      </c>
      <c r="K78" s="1885" t="s">
        <v>5683</v>
      </c>
      <c r="L78" s="1886" t="s">
        <v>5693</v>
      </c>
      <c r="M78" s="1887">
        <v>1</v>
      </c>
      <c r="N78" s="2180" t="s">
        <v>5687</v>
      </c>
      <c r="O78" s="2181" t="s">
        <v>5688</v>
      </c>
      <c r="P78" s="1872"/>
      <c r="Q78" s="1872"/>
      <c r="R78" s="2202" t="s">
        <v>2966</v>
      </c>
      <c r="S78" s="1492"/>
      <c r="T78" s="1291">
        <v>600000</v>
      </c>
      <c r="U78" s="733"/>
      <c r="V78" s="1445">
        <v>1450000</v>
      </c>
      <c r="W78" s="2015">
        <v>882000</v>
      </c>
      <c r="X78" s="1504"/>
      <c r="Y78" s="734"/>
      <c r="Z78" s="1719">
        <v>500000</v>
      </c>
      <c r="AA78" s="733"/>
      <c r="AB78" s="1261">
        <f t="shared" si="8"/>
        <v>2832000</v>
      </c>
      <c r="AC78" s="1267"/>
      <c r="AD78" s="2185"/>
      <c r="AE78" s="1268">
        <f>(AC78*1.08)+((AH78*$AH$4)+(G78*3450000+H78*3550000+I78*AI78)+(AJ78*$AJ$4)+(AK78*$AK$4)+(AL78*$AL$4)+(AM78*$AM$4*(G78+H78))+(AN78*$AN$4)+(AO78*$AO$4)+(AP78*$AP$4)+(AQ78*$AQ$4))*1.08+(600000*1.08)</f>
        <v>5313600</v>
      </c>
      <c r="AF78" s="1824">
        <f t="shared" si="10"/>
        <v>8145600</v>
      </c>
      <c r="AG78" s="2669"/>
      <c r="AH78" s="1426">
        <v>1</v>
      </c>
      <c r="AI78" s="1427"/>
      <c r="AJ78" s="1426"/>
      <c r="AK78" s="1426"/>
      <c r="AL78" s="1426"/>
      <c r="AM78" s="1426"/>
      <c r="AN78" s="1426"/>
      <c r="AO78" s="1426"/>
      <c r="AP78" s="1426"/>
      <c r="AQ78" s="1427"/>
      <c r="AR78" s="1426"/>
      <c r="AS78" s="1427"/>
      <c r="AT78" s="1426"/>
      <c r="AU78" s="1426"/>
      <c r="AV78" s="1426"/>
      <c r="AW78" s="1426"/>
      <c r="AX78" s="1426"/>
    </row>
    <row r="79" spans="1:50" s="5" customFormat="1" ht="13.8" thickBot="1">
      <c r="A79" s="2250">
        <v>12</v>
      </c>
      <c r="B79" s="993" t="s">
        <v>5717</v>
      </c>
      <c r="C79" s="1899">
        <v>307419346200</v>
      </c>
      <c r="D79" s="684" t="s">
        <v>5717</v>
      </c>
      <c r="E79" s="779" t="s">
        <v>5768</v>
      </c>
      <c r="F79" s="2177" t="s">
        <v>210</v>
      </c>
      <c r="G79" s="1883"/>
      <c r="H79" s="2178">
        <v>1</v>
      </c>
      <c r="I79" s="2178"/>
      <c r="J79" s="2179">
        <v>11940.36</v>
      </c>
      <c r="K79" s="1541" t="s">
        <v>5735</v>
      </c>
      <c r="L79" s="1379" t="s">
        <v>5754</v>
      </c>
      <c r="M79" s="2215">
        <v>1</v>
      </c>
      <c r="N79" s="2180" t="s">
        <v>5755</v>
      </c>
      <c r="O79" s="2181" t="s">
        <v>5756</v>
      </c>
      <c r="P79" s="2209" t="s">
        <v>5767</v>
      </c>
      <c r="Q79" s="1872"/>
      <c r="R79" s="2210" t="s">
        <v>2966</v>
      </c>
      <c r="S79" s="1492"/>
      <c r="T79" s="1291">
        <v>600000</v>
      </c>
      <c r="U79" s="733"/>
      <c r="V79" s="1445">
        <v>1500000</v>
      </c>
      <c r="W79" s="2015">
        <v>882000</v>
      </c>
      <c r="X79" s="1504"/>
      <c r="Y79" s="734"/>
      <c r="Z79" s="1719">
        <v>500000</v>
      </c>
      <c r="AA79" s="733"/>
      <c r="AB79" s="1261">
        <f t="shared" si="8"/>
        <v>2882000</v>
      </c>
      <c r="AC79" s="1267"/>
      <c r="AD79" s="2185"/>
      <c r="AE79" s="1268">
        <f>(AC79*1.08)+((AH79*$AH$4)+(G79*3450000+H79*3550000+I79*AI79)+(AJ79*$AJ$4)+(AK79*$AK$4)+(AL79*$AL$4)+(AM79*$AM$4*(G79+H79))+(AN79*$AN$4)+(AO79*$AO$4)+(AP79*$AP$4)+(AQ79*$AQ$4))*1.08+(600000*1.08)</f>
        <v>5313600</v>
      </c>
      <c r="AF79" s="1824">
        <f t="shared" si="10"/>
        <v>8195600</v>
      </c>
      <c r="AG79" s="2669"/>
      <c r="AH79" s="1426">
        <v>1</v>
      </c>
      <c r="AI79" s="1427"/>
      <c r="AJ79" s="1426"/>
      <c r="AK79" s="1426"/>
      <c r="AL79" s="1426"/>
      <c r="AM79" s="1426"/>
      <c r="AN79" s="1426"/>
      <c r="AO79" s="1426"/>
      <c r="AP79" s="1426"/>
      <c r="AQ79" s="1427"/>
      <c r="AR79" s="1426"/>
      <c r="AS79" s="1427"/>
      <c r="AT79" s="1426"/>
      <c r="AU79" s="1426"/>
      <c r="AV79" s="1426"/>
      <c r="AW79" s="1426"/>
      <c r="AX79" s="1426"/>
    </row>
    <row r="80" spans="1:50" s="5" customFormat="1" ht="45" customHeight="1" thickBot="1">
      <c r="A80" s="2249">
        <v>13</v>
      </c>
      <c r="B80" s="2247" t="s">
        <v>5717</v>
      </c>
      <c r="C80" s="1892" t="s">
        <v>5799</v>
      </c>
      <c r="D80" s="2248" t="s">
        <v>5717</v>
      </c>
      <c r="E80" s="2325" t="s">
        <v>5769</v>
      </c>
      <c r="F80" s="2242" t="s">
        <v>210</v>
      </c>
      <c r="G80" s="1878">
        <v>1</v>
      </c>
      <c r="H80" s="1878">
        <v>1</v>
      </c>
      <c r="I80" s="1707"/>
      <c r="J80" s="2259">
        <f>17891.4732850157+15308.9010984452</f>
        <v>33200.374383460905</v>
      </c>
      <c r="K80" s="2287" t="s">
        <v>5703</v>
      </c>
      <c r="L80" s="1842" t="s">
        <v>5828</v>
      </c>
      <c r="M80" s="1697">
        <v>2</v>
      </c>
      <c r="N80" s="2272" t="s">
        <v>5827</v>
      </c>
      <c r="O80" s="2189" t="s">
        <v>5760</v>
      </c>
      <c r="P80" s="2209" t="s">
        <v>5766</v>
      </c>
      <c r="Q80" s="1872"/>
      <c r="R80" s="2246" t="s">
        <v>5822</v>
      </c>
      <c r="S80" s="2351"/>
      <c r="T80" s="1291">
        <v>600000</v>
      </c>
      <c r="U80" s="2252"/>
      <c r="V80" s="1445">
        <f>1500000+850000</f>
        <v>2350000</v>
      </c>
      <c r="W80" s="2252">
        <f>1140000+700000</f>
        <v>1840000</v>
      </c>
      <c r="X80" s="2252"/>
      <c r="Y80" s="2253"/>
      <c r="Z80" s="2254">
        <v>750000</v>
      </c>
      <c r="AA80" s="2252"/>
      <c r="AB80" s="2255">
        <f t="shared" si="8"/>
        <v>4940000</v>
      </c>
      <c r="AC80" s="2256"/>
      <c r="AD80" s="2185"/>
      <c r="AE80" s="2257">
        <f>(AC80*1.08)+((AH80*$AH$4)+(G80*3450000+H80*3550000+I80*AI80)+(AJ80*$AJ$4)+(AK80*$AK$4)+(AL80*$AL$4)+(AM80*$AM$4*(G80+H80))+(AN80*$AN$4)+(AO80*$AO$4)+(AP80*$AP$4)+(AQ80*$AQ$4))*1.08+(600000*1.08)</f>
        <v>9741600</v>
      </c>
      <c r="AF80" s="2258">
        <f t="shared" si="10"/>
        <v>14681600</v>
      </c>
      <c r="AG80" s="2669"/>
      <c r="AH80" s="1426">
        <v>1</v>
      </c>
      <c r="AI80" s="1426"/>
      <c r="AJ80" s="1426"/>
      <c r="AK80" s="1426"/>
      <c r="AL80" s="1426"/>
      <c r="AM80" s="1426"/>
      <c r="AN80" s="1426"/>
      <c r="AO80" s="1426"/>
      <c r="AP80" s="1426"/>
      <c r="AQ80" s="1426">
        <v>1</v>
      </c>
      <c r="AR80" s="1426">
        <v>1</v>
      </c>
      <c r="AS80" s="1426"/>
      <c r="AT80" s="1426"/>
      <c r="AU80" s="1426"/>
      <c r="AV80" s="1426"/>
      <c r="AW80" s="1426"/>
      <c r="AX80" s="1426"/>
    </row>
    <row r="81" spans="1:50" s="5" customFormat="1">
      <c r="A81" s="1699">
        <f t="shared" ref="A81:A87" si="11">+A80+1</f>
        <v>14</v>
      </c>
      <c r="B81" s="3556" t="s">
        <v>5758</v>
      </c>
      <c r="C81" s="2147">
        <v>307425581910</v>
      </c>
      <c r="D81" s="2231" t="s">
        <v>5758</v>
      </c>
      <c r="E81" s="3578" t="s">
        <v>5800</v>
      </c>
      <c r="F81" s="3530" t="s">
        <v>210</v>
      </c>
      <c r="G81" s="2187">
        <v>1</v>
      </c>
      <c r="H81" s="2150"/>
      <c r="I81" s="2150"/>
      <c r="J81" s="2213">
        <v>17253.8445285952</v>
      </c>
      <c r="K81" s="3573" t="s">
        <v>5741</v>
      </c>
      <c r="L81" s="2230" t="s">
        <v>5779</v>
      </c>
      <c r="M81" s="2188">
        <v>1</v>
      </c>
      <c r="N81" s="2265" t="s">
        <v>5804</v>
      </c>
      <c r="O81" s="2232">
        <v>30739802</v>
      </c>
      <c r="P81" s="3551" t="s">
        <v>5742</v>
      </c>
      <c r="Q81" s="3191"/>
      <c r="R81" s="3533" t="s">
        <v>4181</v>
      </c>
      <c r="S81" s="2351"/>
      <c r="T81" s="150"/>
      <c r="U81" s="733"/>
      <c r="V81" s="1445">
        <f>1000000+1000000</f>
        <v>2000000</v>
      </c>
      <c r="W81" s="1445">
        <v>1000000</v>
      </c>
      <c r="X81" s="733"/>
      <c r="Y81" s="734"/>
      <c r="Z81" s="1719">
        <v>250000</v>
      </c>
      <c r="AA81" s="733"/>
      <c r="AB81" s="1261">
        <f t="shared" si="8"/>
        <v>3250000</v>
      </c>
      <c r="AC81" s="1267"/>
      <c r="AD81" s="2268" t="s">
        <v>5821</v>
      </c>
      <c r="AE81" s="2269">
        <f>5259600+(3450000*1.08)</f>
        <v>8985600</v>
      </c>
      <c r="AF81" s="1824">
        <f t="shared" si="10"/>
        <v>12235600</v>
      </c>
      <c r="AG81" s="2669"/>
      <c r="AH81" s="1426">
        <v>1</v>
      </c>
      <c r="AI81" s="1427"/>
      <c r="AJ81" s="1426"/>
      <c r="AK81" s="1426"/>
      <c r="AL81" s="1426"/>
      <c r="AM81" s="1426"/>
      <c r="AN81" s="1426"/>
      <c r="AO81" s="1426"/>
      <c r="AP81" s="1426"/>
      <c r="AQ81" s="1427">
        <v>1</v>
      </c>
      <c r="AR81" s="1426"/>
      <c r="AS81" s="1427"/>
      <c r="AT81" s="1426"/>
      <c r="AU81" s="1426"/>
      <c r="AV81" s="1426"/>
      <c r="AW81" s="1426"/>
      <c r="AX81" s="1426"/>
    </row>
    <row r="82" spans="1:50" s="5" customFormat="1" ht="15" customHeight="1">
      <c r="A82" s="1639">
        <f t="shared" si="11"/>
        <v>15</v>
      </c>
      <c r="B82" s="3557"/>
      <c r="C82" s="1896">
        <v>307425620040</v>
      </c>
      <c r="D82" s="1438" t="s">
        <v>5758</v>
      </c>
      <c r="E82" s="3632"/>
      <c r="F82" s="3516"/>
      <c r="G82" s="431">
        <v>1</v>
      </c>
      <c r="H82" s="167"/>
      <c r="I82" s="167"/>
      <c r="J82" s="1840">
        <v>17691.099582342998</v>
      </c>
      <c r="K82" s="3574"/>
      <c r="L82" s="1400" t="s">
        <v>5781</v>
      </c>
      <c r="M82" s="1389">
        <v>2</v>
      </c>
      <c r="N82" s="2266" t="s">
        <v>5780</v>
      </c>
      <c r="O82" s="1387">
        <v>29204466</v>
      </c>
      <c r="P82" s="3552"/>
      <c r="Q82" s="3192"/>
      <c r="R82" s="3534"/>
      <c r="S82" s="2351"/>
      <c r="T82" s="150"/>
      <c r="U82" s="733"/>
      <c r="V82" s="1445">
        <v>1000000</v>
      </c>
      <c r="W82" s="2015">
        <v>4260000</v>
      </c>
      <c r="X82" s="733"/>
      <c r="Y82" s="734"/>
      <c r="Z82" s="1719">
        <v>250000</v>
      </c>
      <c r="AA82" s="733"/>
      <c r="AB82" s="1261">
        <f t="shared" si="8"/>
        <v>5510000</v>
      </c>
      <c r="AC82" s="1267"/>
      <c r="AD82" s="736"/>
      <c r="AE82" s="1268">
        <f>(AC82*1.08)+((AH82*$AH$4)+(G82*3450000+H82*3550000+I82*AI82)+(AJ82*$AJ$4)+(AK82*$AK$4)+(AL82*$AL$4)+(AM82*$AM$4*(G82+H82))+(AN82*$AN$4)+(AO82*$AO$4)+(AP82*$AP$4)+(AQ82*$AQ$4))*1.08</f>
        <v>5259600</v>
      </c>
      <c r="AF82" s="1824">
        <f t="shared" si="10"/>
        <v>10769600</v>
      </c>
      <c r="AG82" s="2669"/>
      <c r="AH82" s="1426">
        <v>1</v>
      </c>
      <c r="AI82" s="1427"/>
      <c r="AJ82" s="1426"/>
      <c r="AK82" s="1426"/>
      <c r="AL82" s="1426"/>
      <c r="AM82" s="1426"/>
      <c r="AN82" s="1426"/>
      <c r="AO82" s="1426"/>
      <c r="AP82" s="1426"/>
      <c r="AQ82" s="1427">
        <v>1</v>
      </c>
      <c r="AR82" s="1426"/>
      <c r="AS82" s="1427"/>
      <c r="AT82" s="1426"/>
      <c r="AU82" s="1426"/>
      <c r="AV82" s="1426"/>
      <c r="AW82" s="1426"/>
      <c r="AX82" s="1426"/>
    </row>
    <row r="83" spans="1:50" s="5" customFormat="1" ht="15" customHeight="1">
      <c r="A83" s="1639">
        <f t="shared" si="11"/>
        <v>16</v>
      </c>
      <c r="B83" s="3557"/>
      <c r="C83" s="1896">
        <v>307425644430</v>
      </c>
      <c r="D83" s="1438" t="s">
        <v>5758</v>
      </c>
      <c r="E83" s="3632"/>
      <c r="F83" s="3516"/>
      <c r="G83" s="431">
        <v>1</v>
      </c>
      <c r="H83" s="167"/>
      <c r="I83" s="167"/>
      <c r="J83" s="1840">
        <v>17628.947748577899</v>
      </c>
      <c r="K83" s="3574"/>
      <c r="L83" s="1400" t="s">
        <v>5783</v>
      </c>
      <c r="M83" s="1389">
        <v>3</v>
      </c>
      <c r="N83" s="2266" t="s">
        <v>5782</v>
      </c>
      <c r="O83" s="1387">
        <v>29204481</v>
      </c>
      <c r="P83" s="3553"/>
      <c r="Q83" s="3192"/>
      <c r="R83" s="3534"/>
      <c r="S83" s="2351"/>
      <c r="T83" s="150"/>
      <c r="U83" s="733"/>
      <c r="V83" s="1445">
        <v>1000000</v>
      </c>
      <c r="W83" s="733"/>
      <c r="X83" s="733"/>
      <c r="Y83" s="734"/>
      <c r="Z83" s="1719">
        <v>250000</v>
      </c>
      <c r="AA83" s="733"/>
      <c r="AB83" s="1261">
        <f t="shared" si="8"/>
        <v>1250000</v>
      </c>
      <c r="AC83" s="1267"/>
      <c r="AD83" s="736"/>
      <c r="AE83" s="1268">
        <f>(AC83*1.08)+((AH83*$AH$4)+(G83*3450000+H83*3550000+I83*AI83)+(AJ83*$AJ$4)+(AK83*$AK$4)+(AL83*$AL$4)+(AM83*$AM$4*(G83+H83))+(AN83*$AN$4)+(AO83*$AO$4)+(AP83*$AP$4)+(AQ83*$AQ$4))*1.08</f>
        <v>5259600</v>
      </c>
      <c r="AF83" s="1824">
        <f t="shared" si="10"/>
        <v>6509600</v>
      </c>
      <c r="AG83" s="2669"/>
      <c r="AH83" s="1426">
        <v>1</v>
      </c>
      <c r="AI83" s="1427"/>
      <c r="AJ83" s="1426"/>
      <c r="AK83" s="1426"/>
      <c r="AL83" s="1426"/>
      <c r="AM83" s="1426"/>
      <c r="AN83" s="1426"/>
      <c r="AO83" s="1426"/>
      <c r="AP83" s="1426"/>
      <c r="AQ83" s="1427">
        <v>1</v>
      </c>
      <c r="AR83" s="1426"/>
      <c r="AS83" s="1427"/>
      <c r="AT83" s="1426"/>
      <c r="AU83" s="1426"/>
      <c r="AV83" s="1426"/>
      <c r="AW83" s="1426"/>
      <c r="AX83" s="1426"/>
    </row>
    <row r="84" spans="1:50" s="5" customFormat="1" ht="15" customHeight="1">
      <c r="A84" s="1639">
        <f t="shared" si="11"/>
        <v>17</v>
      </c>
      <c r="B84" s="3557"/>
      <c r="C84" s="1896">
        <v>307425685510</v>
      </c>
      <c r="D84" s="1438" t="s">
        <v>5758</v>
      </c>
      <c r="E84" s="3632"/>
      <c r="F84" s="3516"/>
      <c r="G84" s="431">
        <v>1</v>
      </c>
      <c r="H84" s="167"/>
      <c r="I84" s="167"/>
      <c r="J84" s="1840">
        <v>17850.798906519802</v>
      </c>
      <c r="K84" s="3574"/>
      <c r="L84" s="1400" t="s">
        <v>5784</v>
      </c>
      <c r="M84" s="1389">
        <v>4</v>
      </c>
      <c r="N84" s="2266" t="s">
        <v>5805</v>
      </c>
      <c r="O84" s="1387">
        <v>30739701</v>
      </c>
      <c r="P84" s="3527" t="s">
        <v>5791</v>
      </c>
      <c r="Q84" s="3185"/>
      <c r="R84" s="3534"/>
      <c r="S84" s="2351"/>
      <c r="T84" s="150"/>
      <c r="U84" s="733"/>
      <c r="V84" s="1445">
        <f>1000000+1000000</f>
        <v>2000000</v>
      </c>
      <c r="W84" s="1445">
        <v>1000000</v>
      </c>
      <c r="X84" s="733"/>
      <c r="Y84" s="734"/>
      <c r="Z84" s="1719">
        <v>250000</v>
      </c>
      <c r="AA84" s="733"/>
      <c r="AB84" s="1261">
        <f t="shared" si="8"/>
        <v>3250000</v>
      </c>
      <c r="AC84" s="1267"/>
      <c r="AD84" s="2268" t="s">
        <v>5821</v>
      </c>
      <c r="AE84" s="2269">
        <f>5259600+(3450000*1.08)</f>
        <v>8985600</v>
      </c>
      <c r="AF84" s="1824">
        <f t="shared" si="10"/>
        <v>12235600</v>
      </c>
      <c r="AG84" s="2669"/>
      <c r="AH84" s="1426">
        <v>1</v>
      </c>
      <c r="AI84" s="1427"/>
      <c r="AJ84" s="1426"/>
      <c r="AK84" s="1426"/>
      <c r="AL84" s="1426"/>
      <c r="AM84" s="1426"/>
      <c r="AN84" s="1426"/>
      <c r="AO84" s="1426"/>
      <c r="AP84" s="1426"/>
      <c r="AQ84" s="1427">
        <v>1</v>
      </c>
      <c r="AR84" s="1426"/>
      <c r="AS84" s="1427"/>
      <c r="AT84" s="1426"/>
      <c r="AU84" s="1426"/>
      <c r="AV84" s="1426"/>
      <c r="AW84" s="1426"/>
      <c r="AX84" s="1426"/>
    </row>
    <row r="85" spans="1:50" s="5" customFormat="1" ht="15" customHeight="1">
      <c r="A85" s="1639">
        <f t="shared" si="11"/>
        <v>18</v>
      </c>
      <c r="B85" s="3557"/>
      <c r="C85" s="1896">
        <v>307425740550</v>
      </c>
      <c r="D85" s="1438" t="s">
        <v>5758</v>
      </c>
      <c r="E85" s="3632"/>
      <c r="F85" s="3516"/>
      <c r="G85" s="431">
        <v>1</v>
      </c>
      <c r="H85" s="167"/>
      <c r="I85" s="167"/>
      <c r="J85" s="1840">
        <v>17062.943962961701</v>
      </c>
      <c r="K85" s="3574"/>
      <c r="L85" s="1400" t="s">
        <v>5786</v>
      </c>
      <c r="M85" s="1389">
        <v>5</v>
      </c>
      <c r="N85" s="2266" t="s">
        <v>5785</v>
      </c>
      <c r="O85" s="1387">
        <v>29204495</v>
      </c>
      <c r="P85" s="3510"/>
      <c r="Q85" s="3185"/>
      <c r="R85" s="3534"/>
      <c r="S85" s="2351"/>
      <c r="T85" s="150"/>
      <c r="U85" s="733"/>
      <c r="V85" s="1445">
        <v>1000000</v>
      </c>
      <c r="W85" s="733"/>
      <c r="X85" s="733"/>
      <c r="Y85" s="734"/>
      <c r="Z85" s="1719">
        <v>250000</v>
      </c>
      <c r="AA85" s="733"/>
      <c r="AB85" s="1261">
        <f t="shared" si="8"/>
        <v>1250000</v>
      </c>
      <c r="AC85" s="1267"/>
      <c r="AD85" s="736"/>
      <c r="AE85" s="1268">
        <f>(AC85*1.08)+((AH85*$AH$4)+(G85*3450000+H85*3550000+I85*AI85)+(AJ85*$AJ$4)+(AK85*$AK$4)+(AL85*$AL$4)+(AM85*$AM$4*(G85+H85))+(AN85*$AN$4)+(AO85*$AO$4)+(AP85*$AP$4)+(AQ85*$AQ$4))*1.08</f>
        <v>5259600</v>
      </c>
      <c r="AF85" s="1824">
        <f t="shared" si="10"/>
        <v>6509600</v>
      </c>
      <c r="AG85" s="2669"/>
      <c r="AH85" s="1426">
        <v>1</v>
      </c>
      <c r="AI85" s="1427"/>
      <c r="AJ85" s="1426"/>
      <c r="AK85" s="1426"/>
      <c r="AL85" s="1426"/>
      <c r="AM85" s="1426"/>
      <c r="AN85" s="1426"/>
      <c r="AO85" s="1426"/>
      <c r="AP85" s="1426"/>
      <c r="AQ85" s="1427">
        <v>1</v>
      </c>
      <c r="AR85" s="1426"/>
      <c r="AS85" s="1427"/>
      <c r="AT85" s="1426"/>
      <c r="AU85" s="1426"/>
      <c r="AV85" s="1426"/>
      <c r="AW85" s="1426"/>
      <c r="AX85" s="1426"/>
    </row>
    <row r="86" spans="1:50" s="5" customFormat="1" ht="15.75" customHeight="1" thickBot="1">
      <c r="A86" s="1691">
        <f t="shared" si="11"/>
        <v>19</v>
      </c>
      <c r="B86" s="3513"/>
      <c r="C86" s="1891">
        <v>307425759710</v>
      </c>
      <c r="D86" s="1438" t="s">
        <v>5758</v>
      </c>
      <c r="E86" s="3579"/>
      <c r="F86" s="3517"/>
      <c r="G86" s="1875">
        <v>1</v>
      </c>
      <c r="H86" s="1857"/>
      <c r="I86" s="1857"/>
      <c r="J86" s="1841">
        <v>17084.9997786022</v>
      </c>
      <c r="K86" s="3575"/>
      <c r="L86" s="1842" t="s">
        <v>5788</v>
      </c>
      <c r="M86" s="1697">
        <v>6</v>
      </c>
      <c r="N86" s="2281" t="s">
        <v>5787</v>
      </c>
      <c r="O86" s="2233">
        <v>29204434</v>
      </c>
      <c r="P86" s="3511"/>
      <c r="Q86" s="1872"/>
      <c r="R86" s="3535"/>
      <c r="S86" s="2351"/>
      <c r="T86" s="150"/>
      <c r="U86" s="733"/>
      <c r="V86" s="1445">
        <v>1000000</v>
      </c>
      <c r="W86" s="733"/>
      <c r="X86" s="733"/>
      <c r="Y86" s="734"/>
      <c r="Z86" s="1719">
        <v>250000</v>
      </c>
      <c r="AA86" s="733"/>
      <c r="AB86" s="1261">
        <f t="shared" si="8"/>
        <v>1250000</v>
      </c>
      <c r="AC86" s="1267"/>
      <c r="AD86" s="736"/>
      <c r="AE86" s="1268">
        <f>(AC86*1.08)+((AH86*$AH$4)+(G86*3450000+H86*3550000+I86*AI86)+(AJ86*$AJ$4)+(AK86*$AK$4)+(AL86*$AL$4)+(AM86*$AM$4*(G86+H86))+(AN86*$AN$4)+(AO86*$AO$4)+(AP86*$AP$4)+(AQ86*$AQ$4))*1.08</f>
        <v>5259600</v>
      </c>
      <c r="AF86" s="1824">
        <f t="shared" si="10"/>
        <v>6509600</v>
      </c>
      <c r="AG86" s="2672"/>
      <c r="AH86" s="1426">
        <v>1</v>
      </c>
      <c r="AI86" s="1427"/>
      <c r="AJ86" s="1426"/>
      <c r="AK86" s="1426"/>
      <c r="AL86" s="1426"/>
      <c r="AM86" s="1426"/>
      <c r="AN86" s="1426"/>
      <c r="AO86" s="1426"/>
      <c r="AP86" s="1426"/>
      <c r="AQ86" s="1427">
        <v>1</v>
      </c>
      <c r="AR86" s="1426"/>
      <c r="AS86" s="1427"/>
      <c r="AT86" s="1426"/>
      <c r="AU86" s="1426"/>
      <c r="AV86" s="1426"/>
      <c r="AW86" s="1426"/>
      <c r="AX86" s="1426"/>
    </row>
    <row r="87" spans="1:50" s="5" customFormat="1" ht="13.8" thickBot="1">
      <c r="A87" s="1699">
        <f t="shared" si="11"/>
        <v>20</v>
      </c>
      <c r="B87" s="2270" t="s">
        <v>5657</v>
      </c>
      <c r="C87" s="1899">
        <v>307426352940</v>
      </c>
      <c r="D87" s="1900" t="s">
        <v>5758</v>
      </c>
      <c r="E87" s="2238" t="s">
        <v>5801</v>
      </c>
      <c r="F87" s="2177" t="s">
        <v>210</v>
      </c>
      <c r="G87" s="1883"/>
      <c r="H87" s="2178"/>
      <c r="I87" s="2178">
        <v>1</v>
      </c>
      <c r="J87" s="2179">
        <v>5374.90597465673</v>
      </c>
      <c r="K87" s="1885" t="s">
        <v>5763</v>
      </c>
      <c r="L87" s="1886" t="s">
        <v>5789</v>
      </c>
      <c r="M87" s="3629" t="s">
        <v>5790</v>
      </c>
      <c r="N87" s="3630"/>
      <c r="O87" s="3631"/>
      <c r="P87" s="1888" t="s">
        <v>5764</v>
      </c>
      <c r="Q87" s="1888"/>
      <c r="R87" s="2210" t="s">
        <v>5765</v>
      </c>
      <c r="S87" s="1492"/>
      <c r="T87" s="150"/>
      <c r="U87" s="733"/>
      <c r="V87" s="733"/>
      <c r="W87" s="733"/>
      <c r="X87" s="733"/>
      <c r="Y87" s="734"/>
      <c r="Z87" s="1719">
        <v>80624</v>
      </c>
      <c r="AA87" s="733"/>
      <c r="AB87" s="1261">
        <f t="shared" si="8"/>
        <v>80624</v>
      </c>
      <c r="AC87" s="1267"/>
      <c r="AD87" s="736" t="s">
        <v>5811</v>
      </c>
      <c r="AE87" s="1268">
        <f>(770000+(2300000+(280000*(8-3.4)))*1.08)</f>
        <v>4645040</v>
      </c>
      <c r="AF87" s="1824">
        <f t="shared" si="10"/>
        <v>4725664</v>
      </c>
      <c r="AG87" s="2669"/>
      <c r="AH87" s="1426">
        <v>1</v>
      </c>
      <c r="AI87" s="1427"/>
      <c r="AJ87" s="1426"/>
      <c r="AK87" s="1426"/>
      <c r="AL87" s="1426"/>
      <c r="AM87" s="1426"/>
      <c r="AN87" s="1426"/>
      <c r="AO87" s="1426"/>
      <c r="AP87" s="1426"/>
      <c r="AQ87" s="1427">
        <v>1</v>
      </c>
      <c r="AR87" s="1426"/>
      <c r="AS87" s="1427"/>
      <c r="AT87" s="1426"/>
      <c r="AU87" s="1426"/>
      <c r="AV87" s="1426"/>
      <c r="AW87" s="1426"/>
      <c r="AX87" s="1426"/>
    </row>
    <row r="88" spans="1:50" s="5" customFormat="1">
      <c r="A88" s="2251">
        <v>21</v>
      </c>
      <c r="B88" s="3556" t="s">
        <v>5826</v>
      </c>
      <c r="C88" s="1896">
        <v>307441278230</v>
      </c>
      <c r="D88" s="2277" t="s">
        <v>5826</v>
      </c>
      <c r="E88" s="3578" t="s">
        <v>5838</v>
      </c>
      <c r="F88" s="3530" t="s">
        <v>210</v>
      </c>
      <c r="G88" s="451">
        <v>1</v>
      </c>
      <c r="H88" s="445"/>
      <c r="I88" s="445"/>
      <c r="J88" s="1680">
        <v>23414.241975000001</v>
      </c>
      <c r="K88" s="3573" t="s">
        <v>5819</v>
      </c>
      <c r="L88" s="1379" t="s">
        <v>5831</v>
      </c>
      <c r="M88" s="1389">
        <v>1</v>
      </c>
      <c r="N88" s="692" t="s">
        <v>5829</v>
      </c>
      <c r="O88" s="692" t="s">
        <v>5830</v>
      </c>
      <c r="P88" s="3550" t="s">
        <v>5820</v>
      </c>
      <c r="Q88" s="3188"/>
      <c r="R88" s="3545" t="s">
        <v>2966</v>
      </c>
      <c r="S88" s="1492"/>
      <c r="T88" s="150"/>
      <c r="U88" s="733"/>
      <c r="V88" s="1445">
        <v>1740000</v>
      </c>
      <c r="W88" s="2015">
        <v>994000</v>
      </c>
      <c r="X88" s="733"/>
      <c r="Y88" s="734"/>
      <c r="Z88" s="2278">
        <v>250000</v>
      </c>
      <c r="AA88" s="733"/>
      <c r="AB88" s="1261">
        <f t="shared" si="8"/>
        <v>2984000</v>
      </c>
      <c r="AC88" s="1267"/>
      <c r="AD88" s="2350">
        <f>770000+(2800000+(280000*(8-3.4)))</f>
        <v>4858000</v>
      </c>
      <c r="AE88" s="1268">
        <f>(AC88*1.08)+((AH88*$AH$4)+(G88*3450000+H88*3550000+I88*AI88)+(AJ88*$AJ$4)+(AK88*$AK$4)+(AL88*$AL$4)+(AM88*$AM$4*(G88+H88))+(AN88*$AN$4)+(AO88*$AO$4)+(AP88*$AP$4)+(AQ88*$AQ$4))*1.08</f>
        <v>6231600</v>
      </c>
      <c r="AF88" s="1824">
        <f t="shared" si="10"/>
        <v>9215600</v>
      </c>
      <c r="AG88" s="2669"/>
      <c r="AH88" s="1426">
        <v>1</v>
      </c>
      <c r="AI88" s="1427"/>
      <c r="AJ88" s="1426">
        <v>1</v>
      </c>
      <c r="AK88" s="1426"/>
      <c r="AL88" s="1426"/>
      <c r="AM88" s="1426"/>
      <c r="AN88" s="1426"/>
      <c r="AO88" s="1426"/>
      <c r="AP88" s="1426"/>
      <c r="AQ88" s="1427">
        <v>1</v>
      </c>
      <c r="AR88" s="1426"/>
      <c r="AS88" s="1427"/>
      <c r="AT88" s="1426"/>
      <c r="AU88" s="1426"/>
      <c r="AV88" s="1426"/>
      <c r="AW88" s="1426"/>
      <c r="AX88" s="1426"/>
    </row>
    <row r="89" spans="1:50" s="5" customFormat="1" ht="15.75" customHeight="1" thickBot="1">
      <c r="A89" s="1691">
        <f>+A88+1</f>
        <v>22</v>
      </c>
      <c r="B89" s="3542"/>
      <c r="C89" s="1891">
        <v>307441299560</v>
      </c>
      <c r="D89" s="1704" t="s">
        <v>5826</v>
      </c>
      <c r="E89" s="3579"/>
      <c r="F89" s="3517"/>
      <c r="G89" s="1875">
        <v>1</v>
      </c>
      <c r="H89" s="1857"/>
      <c r="I89" s="1857"/>
      <c r="J89" s="1841">
        <v>23400.47035</v>
      </c>
      <c r="K89" s="3575"/>
      <c r="L89" s="1842" t="s">
        <v>5834</v>
      </c>
      <c r="M89" s="1697">
        <v>2</v>
      </c>
      <c r="N89" s="1844" t="s">
        <v>5832</v>
      </c>
      <c r="O89" s="1844" t="s">
        <v>5833</v>
      </c>
      <c r="P89" s="3511"/>
      <c r="Q89" s="1872"/>
      <c r="R89" s="3546"/>
      <c r="S89" s="1492"/>
      <c r="T89" s="150"/>
      <c r="U89" s="733"/>
      <c r="V89" s="733"/>
      <c r="W89" s="733"/>
      <c r="X89" s="733"/>
      <c r="Y89" s="734"/>
      <c r="Z89" s="2278">
        <v>250000</v>
      </c>
      <c r="AA89" s="733"/>
      <c r="AB89" s="1261">
        <f t="shared" si="8"/>
        <v>250000</v>
      </c>
      <c r="AC89" s="1267"/>
      <c r="AD89" s="736"/>
      <c r="AE89" s="1268">
        <f>(AC89*1.08)+((AH89*$AH$4)+(G89*3450000+H89*3550000+I89*AI89)+(AJ89*$AJ$4)+(AK89*$AK$4)+(AL89*$AL$4)+(AM89*$AM$4*(G89+H89))+(AN89*$AN$4)+(AO89*$AO$4)+(AP89*$AP$4)+(AQ89*$AQ$4))*1.08</f>
        <v>6231600</v>
      </c>
      <c r="AF89" s="1824">
        <f t="shared" si="10"/>
        <v>6481600</v>
      </c>
      <c r="AG89" s="2672"/>
      <c r="AH89" s="1426">
        <v>1</v>
      </c>
      <c r="AI89" s="1427"/>
      <c r="AJ89" s="1426">
        <v>1</v>
      </c>
      <c r="AK89" s="1426"/>
      <c r="AL89" s="1426"/>
      <c r="AM89" s="1426"/>
      <c r="AN89" s="1426"/>
      <c r="AO89" s="1426"/>
      <c r="AP89" s="1426"/>
      <c r="AQ89" s="1427">
        <v>1</v>
      </c>
      <c r="AR89" s="1426"/>
      <c r="AS89" s="1427"/>
      <c r="AT89" s="1426"/>
      <c r="AU89" s="1426"/>
      <c r="AV89" s="1426"/>
      <c r="AW89" s="1426"/>
      <c r="AX89" s="1426"/>
    </row>
    <row r="90" spans="1:50" s="5" customFormat="1">
      <c r="A90" s="3554" t="s">
        <v>5776</v>
      </c>
      <c r="B90" s="3389"/>
      <c r="C90" s="3389"/>
      <c r="D90" s="3389"/>
      <c r="E90" s="3389"/>
      <c r="F90" s="3389"/>
      <c r="G90" s="3389"/>
      <c r="H90" s="3389"/>
      <c r="I90" s="3389"/>
      <c r="J90" s="3389"/>
      <c r="K90" s="3389"/>
      <c r="L90" s="3389"/>
      <c r="M90" s="3389"/>
      <c r="N90" s="3389"/>
      <c r="O90" s="3390"/>
      <c r="P90" s="2283"/>
      <c r="Q90" s="2614"/>
      <c r="R90" s="2284"/>
      <c r="S90" s="1607"/>
      <c r="T90" s="2285"/>
      <c r="U90" s="2389"/>
      <c r="V90" s="2390"/>
      <c r="W90" s="2390"/>
      <c r="X90" s="2390"/>
      <c r="Y90" s="2391"/>
      <c r="Z90" s="2391"/>
      <c r="AA90" s="2390"/>
      <c r="AB90" s="2391">
        <f>SUM(AB84:AB89)</f>
        <v>9064624</v>
      </c>
      <c r="AC90" s="2391">
        <f>SUM(AC65:AC89)</f>
        <v>600000</v>
      </c>
      <c r="AD90" s="2392"/>
      <c r="AE90" s="2391">
        <f>SUM(AE69:AE89)</f>
        <v>123823040</v>
      </c>
      <c r="AF90" s="2391">
        <f>SUM(AF69:AF89)</f>
        <v>168494664</v>
      </c>
      <c r="AG90" s="2673"/>
      <c r="AH90" s="1426"/>
      <c r="AI90" s="1427"/>
      <c r="AJ90" s="1426"/>
      <c r="AK90" s="1426"/>
      <c r="AL90" s="1426"/>
      <c r="AM90" s="1426"/>
      <c r="AN90" s="1426"/>
      <c r="AO90" s="1426"/>
      <c r="AP90" s="1426"/>
      <c r="AQ90" s="1427"/>
      <c r="AR90" s="1426"/>
      <c r="AS90" s="1427"/>
      <c r="AT90" s="1426"/>
      <c r="AU90" s="1426"/>
      <c r="AV90" s="1426"/>
      <c r="AW90" s="1426"/>
      <c r="AX90" s="1426"/>
    </row>
    <row r="91" spans="1:50" s="5" customFormat="1" ht="26.4">
      <c r="A91" s="1641"/>
      <c r="B91" s="1641"/>
      <c r="C91" s="1896">
        <v>307404889060</v>
      </c>
      <c r="D91" s="2286" t="s">
        <v>5655</v>
      </c>
      <c r="E91" s="2029" t="s">
        <v>6038</v>
      </c>
      <c r="F91" s="1641" t="s">
        <v>210</v>
      </c>
      <c r="G91" s="1639"/>
      <c r="H91" s="1639"/>
      <c r="I91" s="1639"/>
      <c r="J91" s="1639"/>
      <c r="K91" s="1639" t="s">
        <v>5683</v>
      </c>
      <c r="L91" s="1639" t="s">
        <v>5693</v>
      </c>
      <c r="M91" s="1639">
        <v>1</v>
      </c>
      <c r="N91" s="1639" t="s">
        <v>5687</v>
      </c>
      <c r="O91" s="1639" t="s">
        <v>5688</v>
      </c>
      <c r="P91" s="1639"/>
      <c r="Q91" s="1639"/>
      <c r="R91" s="1639" t="s">
        <v>2966</v>
      </c>
      <c r="S91" s="2383"/>
      <c r="T91" s="2015">
        <v>60000</v>
      </c>
      <c r="U91" s="1827"/>
      <c r="V91" s="1664"/>
      <c r="W91" s="1664"/>
      <c r="X91" s="1664"/>
      <c r="Y91" s="1828"/>
      <c r="Z91" s="1828"/>
      <c r="AA91" s="1664"/>
      <c r="AB91" s="1661">
        <f>+U91+V91+W91+X91+Y91+Z91+AA91+T91</f>
        <v>60000</v>
      </c>
      <c r="AC91" s="1650"/>
      <c r="AD91" s="2479" t="s">
        <v>6055</v>
      </c>
      <c r="AE91" s="1650">
        <f>(AC91*1.08)+((AH91*$AH$4)+(G91*3450000+H91*3550000+I91*AI91)+(AJ91*$AJ$4)+(AK91*$AK$4)+(AL91*$AL$4)+(AM91*$AM$4*(G91+H91))+(AN91*$AN$4)+(AO91*$AO$4)+(AP91*$AP$4)+(AQ91*$AQ$4))*1.08</f>
        <v>0</v>
      </c>
      <c r="AF91" s="1837">
        <f t="shared" ref="AF91:AF101" si="12">+AB91+AE91</f>
        <v>60000</v>
      </c>
      <c r="AG91" s="2669"/>
      <c r="AH91" s="1426"/>
      <c r="AI91" s="1427"/>
      <c r="AJ91" s="1426"/>
      <c r="AK91" s="1426"/>
      <c r="AL91" s="1426"/>
      <c r="AM91" s="1426"/>
      <c r="AN91" s="1426"/>
      <c r="AO91" s="1426"/>
      <c r="AP91" s="1426"/>
      <c r="AQ91" s="1427"/>
      <c r="AR91" s="1426"/>
      <c r="AS91" s="1427"/>
      <c r="AT91" s="1426"/>
      <c r="AU91" s="1426"/>
      <c r="AV91" s="1426"/>
      <c r="AW91" s="1426"/>
      <c r="AX91" s="1426"/>
    </row>
    <row r="92" spans="1:50" s="5" customFormat="1" ht="26.4">
      <c r="A92" s="1641"/>
      <c r="B92" s="1641"/>
      <c r="C92" s="1896">
        <v>307419346200</v>
      </c>
      <c r="D92" s="1520" t="s">
        <v>5717</v>
      </c>
      <c r="E92" s="2029" t="s">
        <v>6039</v>
      </c>
      <c r="F92" s="1641" t="s">
        <v>210</v>
      </c>
      <c r="G92" s="1639"/>
      <c r="H92" s="1639"/>
      <c r="I92" s="1639"/>
      <c r="J92" s="1639"/>
      <c r="K92" s="1639" t="s">
        <v>5735</v>
      </c>
      <c r="L92" s="1639" t="s">
        <v>5754</v>
      </c>
      <c r="M92" s="1639">
        <v>1</v>
      </c>
      <c r="N92" s="1639" t="s">
        <v>5755</v>
      </c>
      <c r="O92" s="1639" t="s">
        <v>5756</v>
      </c>
      <c r="P92" s="1639"/>
      <c r="Q92" s="1639"/>
      <c r="R92" s="1639" t="s">
        <v>2966</v>
      </c>
      <c r="S92" s="2383"/>
      <c r="T92" s="2015">
        <v>60000</v>
      </c>
      <c r="U92" s="1827"/>
      <c r="V92" s="1664"/>
      <c r="W92" s="1664"/>
      <c r="X92" s="1664"/>
      <c r="Y92" s="1828"/>
      <c r="Z92" s="1828"/>
      <c r="AA92" s="1664"/>
      <c r="AB92" s="1661">
        <f t="shared" ref="AB92:AB112" si="13">+U92+V92+W92+X92+Y92+Z92+AA92+T92</f>
        <v>60000</v>
      </c>
      <c r="AC92" s="1650"/>
      <c r="AD92" s="2479" t="s">
        <v>6055</v>
      </c>
      <c r="AE92" s="1650">
        <f>(AC92*1.08)+((AH92*$AH$4)+(G92*3450000+H92*3550000+I92*AI92)+(AJ92*$AJ$4)+(AK92*$AK$4)+(AL92*$AL$4)+(AM92*$AM$4*(G92+H92))+(AN92*$AN$4)+(AO92*$AO$4)+(AP92*$AP$4)+(AQ92*$AQ$4))*1.08</f>
        <v>0</v>
      </c>
      <c r="AF92" s="1837">
        <f t="shared" si="12"/>
        <v>60000</v>
      </c>
      <c r="AG92" s="2669"/>
      <c r="AH92" s="1426"/>
      <c r="AI92" s="1427"/>
      <c r="AJ92" s="1426"/>
      <c r="AK92" s="1426"/>
      <c r="AL92" s="1426"/>
      <c r="AM92" s="1426"/>
      <c r="AN92" s="1426"/>
      <c r="AO92" s="1426"/>
      <c r="AP92" s="1426"/>
      <c r="AQ92" s="1427"/>
      <c r="AR92" s="1426"/>
      <c r="AS92" s="1427"/>
      <c r="AT92" s="1426"/>
      <c r="AU92" s="1426"/>
      <c r="AV92" s="1426"/>
      <c r="AW92" s="1426"/>
      <c r="AX92" s="1426"/>
    </row>
    <row r="93" spans="1:50" s="5" customFormat="1" ht="40.200000000000003" thickBot="1">
      <c r="A93" s="2316"/>
      <c r="B93" s="2316"/>
      <c r="C93" s="1457" t="s">
        <v>5799</v>
      </c>
      <c r="D93" s="1690" t="s">
        <v>5717</v>
      </c>
      <c r="E93" s="2317" t="s">
        <v>6040</v>
      </c>
      <c r="F93" s="2316" t="s">
        <v>210</v>
      </c>
      <c r="G93" s="1691"/>
      <c r="H93" s="1691"/>
      <c r="I93" s="1691"/>
      <c r="J93" s="2463"/>
      <c r="K93" s="1691" t="s">
        <v>5703</v>
      </c>
      <c r="L93" s="1691" t="s">
        <v>5828</v>
      </c>
      <c r="M93" s="1691">
        <v>2</v>
      </c>
      <c r="N93" s="2318" t="s">
        <v>5827</v>
      </c>
      <c r="O93" s="2318" t="s">
        <v>5760</v>
      </c>
      <c r="P93" s="1691"/>
      <c r="Q93" s="1691"/>
      <c r="R93" s="2318" t="s">
        <v>5822</v>
      </c>
      <c r="S93" s="2318"/>
      <c r="T93" s="1660">
        <v>60000</v>
      </c>
      <c r="U93" s="1827"/>
      <c r="V93" s="1664"/>
      <c r="W93" s="1664"/>
      <c r="X93" s="1664"/>
      <c r="Y93" s="1828"/>
      <c r="Z93" s="1828"/>
      <c r="AA93" s="1664"/>
      <c r="AB93" s="1661">
        <f t="shared" si="13"/>
        <v>60000</v>
      </c>
      <c r="AC93" s="1650"/>
      <c r="AD93" s="2479" t="s">
        <v>6055</v>
      </c>
      <c r="AE93" s="1650">
        <f>(AC93*1.08)+((AH93*$AH$4)+(G93*3450000+H93*3550000+I93*AI93)+(AJ93*$AJ$4)+(AK93*$AK$4)+(AL93*$AL$4)+(AM93*$AM$4*(G93+H93))+(AN93*$AN$4)+(AO93*$AO$4)+(AP93*$AP$4)+(AQ93*$AQ$4))*1.08</f>
        <v>0</v>
      </c>
      <c r="AF93" s="1837">
        <f t="shared" si="12"/>
        <v>60000</v>
      </c>
      <c r="AG93" s="2669"/>
      <c r="AH93" s="1426"/>
      <c r="AI93" s="1427"/>
      <c r="AJ93" s="1426"/>
      <c r="AK93" s="1426"/>
      <c r="AL93" s="1426"/>
      <c r="AM93" s="1426"/>
      <c r="AN93" s="1426"/>
      <c r="AO93" s="1426"/>
      <c r="AP93" s="1426"/>
      <c r="AQ93" s="1427"/>
      <c r="AR93" s="1426"/>
      <c r="AS93" s="1427"/>
      <c r="AT93" s="1426"/>
      <c r="AU93" s="1426"/>
      <c r="AV93" s="1426"/>
      <c r="AW93" s="1426"/>
      <c r="AX93" s="1426"/>
    </row>
    <row r="94" spans="1:50" s="1303" customFormat="1" ht="25.5" customHeight="1" thickBot="1">
      <c r="A94" s="1881">
        <v>1</v>
      </c>
      <c r="B94" s="3555" t="s">
        <v>5876</v>
      </c>
      <c r="C94" s="2521">
        <v>307467093900</v>
      </c>
      <c r="D94" s="2522" t="s">
        <v>5876</v>
      </c>
      <c r="E94" s="1901" t="s">
        <v>5928</v>
      </c>
      <c r="F94" s="2316" t="s">
        <v>210</v>
      </c>
      <c r="G94" s="2321">
        <v>1</v>
      </c>
      <c r="H94" s="2321"/>
      <c r="I94" s="2321"/>
      <c r="J94" s="2464">
        <v>18138.096219937201</v>
      </c>
      <c r="K94" s="2322">
        <v>254603253</v>
      </c>
      <c r="L94" s="1889" t="s">
        <v>5917</v>
      </c>
      <c r="M94" s="2215">
        <v>1</v>
      </c>
      <c r="N94" s="2318" t="s">
        <v>5918</v>
      </c>
      <c r="O94" s="2318" t="s">
        <v>5919</v>
      </c>
      <c r="P94" s="2331">
        <v>45967.041666666664</v>
      </c>
      <c r="Q94" s="3205"/>
      <c r="R94" s="2523" t="s">
        <v>3152</v>
      </c>
      <c r="S94" s="2246" t="s">
        <v>5944</v>
      </c>
      <c r="T94" s="2533"/>
      <c r="U94" s="1461"/>
      <c r="V94" s="2466">
        <v>1000000</v>
      </c>
      <c r="W94" s="2466">
        <v>700000</v>
      </c>
      <c r="X94" s="1461"/>
      <c r="Y94" s="2240"/>
      <c r="Z94" s="1719">
        <v>250000</v>
      </c>
      <c r="AA94" s="1461"/>
      <c r="AB94" s="1661">
        <f t="shared" si="13"/>
        <v>1950000</v>
      </c>
      <c r="AC94" s="2519"/>
      <c r="AD94" s="2478" t="s">
        <v>6105</v>
      </c>
      <c r="AE94" s="2519">
        <f>(AC94*1.08)+((AH94*$AH$4)+(G94*3450000+H94*3550000+I94*AI94)+(AJ94*$AJ$4)+(AK94*$AK$4)+(AL94*$AL$4)+(AM94*$AM$4*(G94+H94))+(AN94*$AN$4)+(AO94*$AO$4)+(AP94*$AP$4)+(AQ94*$AQ$4))*1.08</f>
        <v>5259600</v>
      </c>
      <c r="AF94" s="1837">
        <f t="shared" si="12"/>
        <v>7209600</v>
      </c>
      <c r="AG94" s="2669"/>
      <c r="AH94" s="1873">
        <v>1</v>
      </c>
      <c r="AI94" s="1874"/>
      <c r="AJ94" s="1873"/>
      <c r="AK94" s="1873"/>
      <c r="AL94" s="1873"/>
      <c r="AM94" s="1873"/>
      <c r="AN94" s="1873"/>
      <c r="AO94" s="1873"/>
      <c r="AP94" s="1873"/>
      <c r="AQ94" s="1874">
        <v>1</v>
      </c>
      <c r="AR94" s="1873"/>
      <c r="AS94" s="1874"/>
      <c r="AT94" s="1873"/>
      <c r="AU94" s="1873"/>
      <c r="AV94" s="1873"/>
      <c r="AW94" s="1873"/>
      <c r="AX94" s="1873"/>
    </row>
    <row r="95" spans="1:50" s="1303" customFormat="1" ht="15.75" customHeight="1" thickBot="1">
      <c r="A95" s="2249">
        <f>+A94+1</f>
        <v>2</v>
      </c>
      <c r="B95" s="3542"/>
      <c r="C95" s="2524">
        <v>307467119650</v>
      </c>
      <c r="D95" s="2517" t="s">
        <v>5876</v>
      </c>
      <c r="E95" s="2509" t="s">
        <v>5929</v>
      </c>
      <c r="F95" s="2316" t="s">
        <v>210</v>
      </c>
      <c r="G95" s="2319"/>
      <c r="H95" s="2319">
        <v>1</v>
      </c>
      <c r="I95" s="2319"/>
      <c r="J95" s="2525">
        <v>20704.300990912801</v>
      </c>
      <c r="K95" s="2507">
        <v>254450594</v>
      </c>
      <c r="L95" s="2510" t="s">
        <v>5920</v>
      </c>
      <c r="M95" s="2320">
        <v>2</v>
      </c>
      <c r="N95" s="2318" t="s">
        <v>5921</v>
      </c>
      <c r="O95" s="2526" t="s">
        <v>5922</v>
      </c>
      <c r="P95" s="1691" t="s">
        <v>5879</v>
      </c>
      <c r="Q95" s="2249"/>
      <c r="R95" s="2527" t="s">
        <v>3152</v>
      </c>
      <c r="S95" s="2246" t="s">
        <v>5958</v>
      </c>
      <c r="T95" s="2533"/>
      <c r="U95" s="1461"/>
      <c r="V95" s="2466">
        <v>1140000</v>
      </c>
      <c r="W95" s="2466">
        <v>1500000</v>
      </c>
      <c r="X95" s="1461"/>
      <c r="Y95" s="2240"/>
      <c r="Z95" s="1719">
        <v>500000</v>
      </c>
      <c r="AA95" s="1461"/>
      <c r="AB95" s="1661">
        <f t="shared" si="13"/>
        <v>3140000</v>
      </c>
      <c r="AC95" s="2519"/>
      <c r="AD95" s="2478" t="s">
        <v>6105</v>
      </c>
      <c r="AE95" s="2519">
        <f>(AC95*1.08)+((AH95*$AH$4)+(G95*3450000+H95*3550000+I95*AI95)+(AJ95*$AJ$4)+(AK95*$AK$4)+(AL95*$AL$4)+(AM95*$AM$4*(G95+H95))+(AN95*$AN$4)+(AO95*$AO$4)+(AP95*$AP$4)+(AQ95*$AQ$4))*1.08</f>
        <v>5853600</v>
      </c>
      <c r="AF95" s="1837">
        <f t="shared" si="12"/>
        <v>8993600</v>
      </c>
      <c r="AG95" s="2669"/>
      <c r="AH95" s="1873">
        <v>1</v>
      </c>
      <c r="AI95" s="1874"/>
      <c r="AJ95" s="1873"/>
      <c r="AK95" s="1873">
        <v>1</v>
      </c>
      <c r="AL95" s="1873"/>
      <c r="AM95" s="1873"/>
      <c r="AN95" s="1873"/>
      <c r="AO95" s="1873"/>
      <c r="AP95" s="1873"/>
      <c r="AQ95" s="1874">
        <v>1</v>
      </c>
      <c r="AR95" s="1873"/>
      <c r="AS95" s="1874"/>
      <c r="AT95" s="1873"/>
      <c r="AU95" s="1873"/>
      <c r="AV95" s="1873"/>
      <c r="AW95" s="1873"/>
      <c r="AX95" s="1873"/>
    </row>
    <row r="96" spans="1:50" s="1303" customFormat="1" ht="42" customHeight="1" thickBot="1">
      <c r="A96" s="1657">
        <v>3</v>
      </c>
      <c r="B96" s="2422" t="s">
        <v>5930</v>
      </c>
      <c r="C96" s="2516">
        <v>307471375430</v>
      </c>
      <c r="D96" s="2517" t="s">
        <v>5887</v>
      </c>
      <c r="E96" s="2508" t="s">
        <v>5950</v>
      </c>
      <c r="F96" s="2316" t="s">
        <v>210</v>
      </c>
      <c r="G96" s="2332"/>
      <c r="H96" s="2332"/>
      <c r="I96" s="2332">
        <v>1</v>
      </c>
      <c r="J96" s="2518">
        <v>1790.63644824989</v>
      </c>
      <c r="K96" s="2506" t="s">
        <v>5933</v>
      </c>
      <c r="L96" s="495" t="s">
        <v>5936</v>
      </c>
      <c r="M96" s="2296"/>
      <c r="N96" s="3528" t="s">
        <v>5945</v>
      </c>
      <c r="O96" s="3529"/>
      <c r="P96" s="1657" t="s">
        <v>5935</v>
      </c>
      <c r="Q96" s="1657"/>
      <c r="R96" s="2505" t="s">
        <v>5934</v>
      </c>
      <c r="S96" s="2246" t="s">
        <v>5955</v>
      </c>
      <c r="T96" s="2533"/>
      <c r="U96" s="1461"/>
      <c r="V96" s="1461"/>
      <c r="W96" s="1461"/>
      <c r="X96" s="1461"/>
      <c r="Y96" s="2240"/>
      <c r="Z96" s="1719">
        <v>26859</v>
      </c>
      <c r="AA96" s="1461"/>
      <c r="AB96" s="1661">
        <f t="shared" si="13"/>
        <v>26859</v>
      </c>
      <c r="AC96" s="2519"/>
      <c r="AD96" s="2393" t="s">
        <v>6106</v>
      </c>
      <c r="AE96" s="2519">
        <f>+((770000+2300000)*1.08)+(700000*1.08)+(2000000*1.08)</f>
        <v>6231600</v>
      </c>
      <c r="AF96" s="1837">
        <f t="shared" si="12"/>
        <v>6258459</v>
      </c>
      <c r="AG96" s="2669"/>
      <c r="AH96" s="1873">
        <v>1</v>
      </c>
      <c r="AI96" s="1874"/>
      <c r="AJ96" s="1873"/>
      <c r="AK96" s="1873"/>
      <c r="AL96" s="1873"/>
      <c r="AM96" s="1873"/>
      <c r="AN96" s="1873"/>
      <c r="AO96" s="1873"/>
      <c r="AP96" s="1873"/>
      <c r="AQ96" s="1874"/>
      <c r="AR96" s="1873"/>
      <c r="AS96" s="1874"/>
      <c r="AT96" s="1873"/>
      <c r="AU96" s="1873"/>
      <c r="AV96" s="1873"/>
      <c r="AW96" s="1873"/>
      <c r="AX96" s="1873"/>
    </row>
    <row r="97" spans="1:50" s="1303" customFormat="1" ht="13.5" customHeight="1">
      <c r="A97" s="2146">
        <v>4</v>
      </c>
      <c r="B97" s="3556" t="s">
        <v>5966</v>
      </c>
      <c r="C97" s="2528">
        <v>307477680550</v>
      </c>
      <c r="D97" s="448" t="s">
        <v>5966</v>
      </c>
      <c r="E97" s="3514" t="s">
        <v>5990</v>
      </c>
      <c r="F97" s="3559" t="s">
        <v>210</v>
      </c>
      <c r="G97" s="2148">
        <v>1</v>
      </c>
      <c r="H97" s="2274"/>
      <c r="I97" s="2148"/>
      <c r="J97" s="2529">
        <f>16510.3590727607+2010</f>
        <v>18520.359072760701</v>
      </c>
      <c r="K97" s="3562">
        <v>2761232380</v>
      </c>
      <c r="L97" s="2275" t="s">
        <v>5986</v>
      </c>
      <c r="M97" s="2188">
        <v>1</v>
      </c>
      <c r="N97" s="1720" t="s">
        <v>5970</v>
      </c>
      <c r="O97" s="1720" t="s">
        <v>5961</v>
      </c>
      <c r="P97" s="3550" t="s">
        <v>5895</v>
      </c>
      <c r="Q97" s="3188"/>
      <c r="R97" s="3533" t="s">
        <v>5938</v>
      </c>
      <c r="S97" s="2353" t="s">
        <v>5942</v>
      </c>
      <c r="T97" s="2533"/>
      <c r="U97" s="733"/>
      <c r="V97" s="2465">
        <v>1000000</v>
      </c>
      <c r="W97" s="2015">
        <v>2840000</v>
      </c>
      <c r="X97" s="733"/>
      <c r="Y97" s="734"/>
      <c r="Z97" s="1719">
        <v>250000</v>
      </c>
      <c r="AA97" s="733"/>
      <c r="AB97" s="1261">
        <f t="shared" si="13"/>
        <v>4090000</v>
      </c>
      <c r="AC97" s="1653"/>
      <c r="AD97" s="3531" t="s">
        <v>6107</v>
      </c>
      <c r="AE97" s="2520">
        <f>(AC97*1.08)+((AH97*$AH$4)+(G97*3450000+H97*3550000+I97*AI97)+(AJ97*$AJ$4)+(AK97*$AK$4)+(AL97*$AL$4)+(AM97*$AM$4*(G97+H97))+(AN97*$AN$4)+(AO97*$AO$4)+(AP97*$AP$4)+(AQ97*$AQ$4))*1.08</f>
        <v>5259600</v>
      </c>
      <c r="AF97" s="1837">
        <f t="shared" si="12"/>
        <v>9349600</v>
      </c>
      <c r="AG97" s="2669"/>
      <c r="AH97" s="1873">
        <v>1</v>
      </c>
      <c r="AI97" s="1874"/>
      <c r="AJ97" s="1873"/>
      <c r="AK97" s="1873"/>
      <c r="AL97" s="1873"/>
      <c r="AM97" s="1873"/>
      <c r="AN97" s="1873"/>
      <c r="AO97" s="1873"/>
      <c r="AP97" s="1873"/>
      <c r="AQ97" s="1874">
        <v>1</v>
      </c>
      <c r="AR97" s="1873"/>
      <c r="AS97" s="1874"/>
      <c r="AT97" s="1873"/>
      <c r="AU97" s="1873"/>
      <c r="AV97" s="1873"/>
      <c r="AW97" s="1873"/>
      <c r="AX97" s="1873"/>
    </row>
    <row r="98" spans="1:50" s="1303" customFormat="1" ht="15" customHeight="1">
      <c r="A98" s="1639">
        <f>+A97+1</f>
        <v>5</v>
      </c>
      <c r="B98" s="3557"/>
      <c r="C98" s="1895">
        <v>307477684050</v>
      </c>
      <c r="D98" s="2530" t="s">
        <v>5966</v>
      </c>
      <c r="E98" s="3472"/>
      <c r="F98" s="3560"/>
      <c r="G98" s="2144">
        <v>1</v>
      </c>
      <c r="H98" s="2241"/>
      <c r="I98" s="2531"/>
      <c r="J98" s="2532">
        <f>14789.2438941316+2040</f>
        <v>16829.2438941316</v>
      </c>
      <c r="K98" s="3563"/>
      <c r="L98" s="1304" t="s">
        <v>5987</v>
      </c>
      <c r="M98" s="1389">
        <v>2</v>
      </c>
      <c r="N98" s="1651" t="s">
        <v>5960</v>
      </c>
      <c r="O98" s="1651" t="s">
        <v>5962</v>
      </c>
      <c r="P98" s="3510"/>
      <c r="Q98" s="3185"/>
      <c r="R98" s="3534"/>
      <c r="S98" s="2353" t="s">
        <v>5942</v>
      </c>
      <c r="T98" s="2533"/>
      <c r="U98" s="1461"/>
      <c r="V98" s="2465">
        <v>1000000</v>
      </c>
      <c r="W98" s="1461"/>
      <c r="X98" s="1461"/>
      <c r="Y98" s="2240"/>
      <c r="Z98" s="1719">
        <v>250000</v>
      </c>
      <c r="AA98" s="1461"/>
      <c r="AB98" s="1261">
        <f t="shared" si="13"/>
        <v>1250000</v>
      </c>
      <c r="AC98" s="1653"/>
      <c r="AD98" s="3532"/>
      <c r="AE98" s="2519">
        <f>(AC98*1.08)+((AH98*$AH$4)+(G98*3450000+H98*3550000+I98*AI98)+(AJ98*$AJ$4)+(AK98*$AK$4)+(AL98*$AL$4)+(AM98*$AM$4*(G98+H98))+(AN98*$AN$4)+(AO98*$AO$4)+(AP98*$AP$4)+(AQ98*$AQ$4))*1.08</f>
        <v>5259600</v>
      </c>
      <c r="AF98" s="1837">
        <f t="shared" si="12"/>
        <v>6509600</v>
      </c>
      <c r="AG98" s="2669"/>
      <c r="AH98" s="1873">
        <v>1</v>
      </c>
      <c r="AI98" s="1874"/>
      <c r="AJ98" s="1873"/>
      <c r="AK98" s="1873"/>
      <c r="AL98" s="1873"/>
      <c r="AM98" s="1873"/>
      <c r="AN98" s="1873"/>
      <c r="AO98" s="1873"/>
      <c r="AP98" s="1873"/>
      <c r="AQ98" s="1874">
        <v>1</v>
      </c>
      <c r="AR98" s="1873"/>
      <c r="AS98" s="1874"/>
      <c r="AT98" s="1873"/>
      <c r="AU98" s="1873"/>
      <c r="AV98" s="1873"/>
      <c r="AW98" s="1873"/>
      <c r="AX98" s="1873"/>
    </row>
    <row r="99" spans="1:50" s="1303" customFormat="1" ht="15" customHeight="1">
      <c r="A99" s="1639">
        <f>+A98+1</f>
        <v>6</v>
      </c>
      <c r="B99" s="3557"/>
      <c r="C99" s="1895">
        <v>307477688360</v>
      </c>
      <c r="D99" s="2530" t="s">
        <v>5966</v>
      </c>
      <c r="E99" s="3472"/>
      <c r="F99" s="3560"/>
      <c r="G99" s="2144">
        <v>1</v>
      </c>
      <c r="H99" s="2241"/>
      <c r="I99" s="2144"/>
      <c r="J99" s="2532">
        <f>17072.5539268965+2040</f>
        <v>19112.5539268965</v>
      </c>
      <c r="K99" s="3563"/>
      <c r="L99" s="1304" t="s">
        <v>5988</v>
      </c>
      <c r="M99" s="1389">
        <v>3</v>
      </c>
      <c r="N99" s="1651" t="s">
        <v>5971</v>
      </c>
      <c r="O99" s="1651" t="s">
        <v>5963</v>
      </c>
      <c r="P99" s="3510"/>
      <c r="Q99" s="3185"/>
      <c r="R99" s="3534"/>
      <c r="S99" s="2351" t="s">
        <v>5972</v>
      </c>
      <c r="T99" s="2533"/>
      <c r="U99" s="733"/>
      <c r="V99" s="2465">
        <v>1000000</v>
      </c>
      <c r="W99" s="733"/>
      <c r="X99" s="733"/>
      <c r="Y99" s="734"/>
      <c r="Z99" s="1719">
        <v>250000</v>
      </c>
      <c r="AA99" s="733"/>
      <c r="AB99" s="1261">
        <f t="shared" si="13"/>
        <v>1250000</v>
      </c>
      <c r="AC99" s="1653"/>
      <c r="AD99" s="3532"/>
      <c r="AE99" s="2520">
        <f>(AC99*1.08)+((AH99*$AH$4)+(G99*3450000+H99*3550000+I99*AI99)+(AJ99*$AJ$4)+(AK99*$AK$4)+(AL99*$AL$4)+(AM99*$AM$4*(G99+H99))+(AN99*$AN$4)+(AO99*$AO$4)+(AP99*$AP$4)+(AQ99*$AQ$4))*1.08</f>
        <v>5259600</v>
      </c>
      <c r="AF99" s="1837">
        <f t="shared" si="12"/>
        <v>6509600</v>
      </c>
      <c r="AG99" s="2669"/>
      <c r="AH99" s="1873">
        <v>1</v>
      </c>
      <c r="AI99" s="1874"/>
      <c r="AJ99" s="1873"/>
      <c r="AK99" s="1873"/>
      <c r="AL99" s="1873"/>
      <c r="AM99" s="1873"/>
      <c r="AN99" s="1873"/>
      <c r="AO99" s="1873"/>
      <c r="AP99" s="1873"/>
      <c r="AQ99" s="1874">
        <v>1</v>
      </c>
      <c r="AR99" s="1873"/>
      <c r="AS99" s="1874"/>
      <c r="AT99" s="1873"/>
      <c r="AU99" s="1873"/>
      <c r="AV99" s="1873"/>
      <c r="AW99" s="1873"/>
      <c r="AX99" s="1873"/>
    </row>
    <row r="100" spans="1:50" s="1303" customFormat="1" ht="15" customHeight="1" thickBot="1">
      <c r="A100" s="1691">
        <f>+A99+1</f>
        <v>7</v>
      </c>
      <c r="B100" s="3513"/>
      <c r="C100" s="1894">
        <v>307477694700</v>
      </c>
      <c r="D100" s="1694" t="s">
        <v>5966</v>
      </c>
      <c r="E100" s="3515"/>
      <c r="F100" s="3561"/>
      <c r="G100" s="1713">
        <v>1</v>
      </c>
      <c r="H100" s="2273"/>
      <c r="I100" s="1713"/>
      <c r="J100" s="2534">
        <f>16033.6922938394+2040</f>
        <v>18073.692293839398</v>
      </c>
      <c r="K100" s="3564"/>
      <c r="L100" s="1842" t="s">
        <v>5989</v>
      </c>
      <c r="M100" s="1697">
        <v>4</v>
      </c>
      <c r="N100" s="1698" t="s">
        <v>5965</v>
      </c>
      <c r="O100" s="1698" t="s">
        <v>5964</v>
      </c>
      <c r="P100" s="3511"/>
      <c r="Q100" s="1872"/>
      <c r="R100" s="3535"/>
      <c r="S100" s="2352" t="s">
        <v>5972</v>
      </c>
      <c r="T100" s="2533"/>
      <c r="U100" s="2297"/>
      <c r="V100" s="2538">
        <v>1000000</v>
      </c>
      <c r="W100" s="2297"/>
      <c r="X100" s="2297"/>
      <c r="Y100" s="2298"/>
      <c r="Z100" s="2299">
        <v>250000</v>
      </c>
      <c r="AA100" s="2297"/>
      <c r="AB100" s="2300">
        <f t="shared" si="13"/>
        <v>1250000</v>
      </c>
      <c r="AC100" s="2539"/>
      <c r="AD100" s="3532"/>
      <c r="AE100" s="2540">
        <f>(AC100*1.08)+((AH100*$AH$4)+(G100*3450000+H100*3550000+I100*AI100)+(AJ100*$AJ$4)+(AK100*$AK$4)+(AL100*$AL$4)+(AM100*$AM$4*(G100+H100))+(AN100*$AN$4)+(AO100*$AO$4)+(AP100*$AP$4)+(AQ100*$AQ$4))*1.08</f>
        <v>5259600</v>
      </c>
      <c r="AF100" s="2541">
        <f t="shared" si="12"/>
        <v>6509600</v>
      </c>
      <c r="AG100" s="2670"/>
      <c r="AH100" s="1873">
        <v>1</v>
      </c>
      <c r="AI100" s="1874"/>
      <c r="AJ100" s="1873"/>
      <c r="AK100" s="1873"/>
      <c r="AL100" s="1873"/>
      <c r="AM100" s="1873"/>
      <c r="AN100" s="1873"/>
      <c r="AO100" s="1873"/>
      <c r="AP100" s="1873"/>
      <c r="AQ100" s="1874">
        <v>1</v>
      </c>
      <c r="AR100" s="1873"/>
      <c r="AS100" s="1874"/>
      <c r="AT100" s="1873"/>
      <c r="AU100" s="1873"/>
      <c r="AV100" s="1873"/>
      <c r="AW100" s="1873"/>
      <c r="AX100" s="1873"/>
    </row>
    <row r="101" spans="1:50" s="1303" customFormat="1" ht="27" thickBot="1">
      <c r="A101" s="2249">
        <f>+A100+1</f>
        <v>8</v>
      </c>
      <c r="B101" s="2517" t="s">
        <v>6090</v>
      </c>
      <c r="C101" s="2524">
        <v>307513945450</v>
      </c>
      <c r="D101" s="2517" t="s">
        <v>6090</v>
      </c>
      <c r="E101" s="2509" t="s">
        <v>6120</v>
      </c>
      <c r="F101" s="1877" t="s">
        <v>210</v>
      </c>
      <c r="G101" s="2319">
        <v>1</v>
      </c>
      <c r="H101" s="2535"/>
      <c r="I101" s="2319"/>
      <c r="J101" s="2536">
        <v>17498.265648231099</v>
      </c>
      <c r="K101" s="2537" t="s">
        <v>6096</v>
      </c>
      <c r="L101" s="1871" t="s">
        <v>6112</v>
      </c>
      <c r="M101" s="1697">
        <v>1</v>
      </c>
      <c r="N101" s="1698" t="s">
        <v>6110</v>
      </c>
      <c r="O101" s="1698" t="s">
        <v>6111</v>
      </c>
      <c r="P101" s="1872" t="s">
        <v>6113</v>
      </c>
      <c r="Q101" s="1872"/>
      <c r="R101" s="2639" t="s">
        <v>4181</v>
      </c>
      <c r="S101" s="2510" t="s">
        <v>5958</v>
      </c>
      <c r="T101" s="2533"/>
      <c r="U101" s="1461"/>
      <c r="V101" s="2538">
        <v>1000000</v>
      </c>
      <c r="W101" s="1660">
        <v>710000</v>
      </c>
      <c r="X101" s="1461"/>
      <c r="Y101" s="2240"/>
      <c r="Z101" s="1660">
        <v>250000</v>
      </c>
      <c r="AA101" s="1461"/>
      <c r="AB101" s="1661">
        <f t="shared" si="13"/>
        <v>1960000</v>
      </c>
      <c r="AC101" s="2519"/>
      <c r="AD101" s="1662"/>
      <c r="AE101" s="2519">
        <f>(AC101*1.08)+((AH101*$AH$4)+(G101*3450000+H101*3550000+I101*AI101)+(AJ101*$AJ$4)+(AK101*$AK$4)+(AL101*$AL$4)+(AM101*$AM$4*(G101+H101))+(AN101*$AN$4)+(AO101*$AO$4)+(AP101*$AP$4)+(AQ101*$AQ$4))*1.08</f>
        <v>5259600</v>
      </c>
      <c r="AF101" s="1837">
        <f t="shared" si="12"/>
        <v>7219600</v>
      </c>
      <c r="AG101" s="2669"/>
      <c r="AH101" s="1873">
        <v>1</v>
      </c>
      <c r="AI101" s="1874"/>
      <c r="AJ101" s="1873"/>
      <c r="AK101" s="1873"/>
      <c r="AL101" s="1873"/>
      <c r="AM101" s="1873"/>
      <c r="AN101" s="1873"/>
      <c r="AO101" s="1873"/>
      <c r="AP101" s="1873"/>
      <c r="AQ101" s="1874">
        <v>1</v>
      </c>
      <c r="AR101" s="1873"/>
      <c r="AS101" s="1874"/>
      <c r="AT101" s="1873"/>
      <c r="AU101" s="1873"/>
      <c r="AV101" s="1873"/>
      <c r="AW101" s="1873"/>
      <c r="AX101" s="1873"/>
    </row>
    <row r="102" spans="1:50" s="5" customFormat="1">
      <c r="A102" s="3520" t="s">
        <v>6100</v>
      </c>
      <c r="B102" s="3521"/>
      <c r="C102" s="3521"/>
      <c r="D102" s="3521"/>
      <c r="E102" s="3521"/>
      <c r="F102" s="3521"/>
      <c r="G102" s="3521"/>
      <c r="H102" s="3521"/>
      <c r="I102" s="3521"/>
      <c r="J102" s="3521"/>
      <c r="K102" s="3521"/>
      <c r="L102" s="3522"/>
      <c r="M102" s="3522"/>
      <c r="N102" s="3522"/>
      <c r="O102" s="3523"/>
      <c r="P102" s="2614"/>
      <c r="Q102" s="2962"/>
      <c r="R102" s="2304"/>
      <c r="S102" s="1607"/>
      <c r="T102" s="2285"/>
      <c r="U102" s="2389"/>
      <c r="V102" s="2390"/>
      <c r="W102" s="2390"/>
      <c r="X102" s="2390"/>
      <c r="Y102" s="2391"/>
      <c r="Z102" s="2391"/>
      <c r="AA102" s="2390"/>
      <c r="AB102" s="2391">
        <f>SUM(AB91:AB101)</f>
        <v>15096859</v>
      </c>
      <c r="AC102" s="2391">
        <f>SUM(AC91:AC101)</f>
        <v>0</v>
      </c>
      <c r="AD102" s="2392"/>
      <c r="AE102" s="2391">
        <f>SUM(AE91:AE101)</f>
        <v>43642800</v>
      </c>
      <c r="AF102" s="2391">
        <f>SUM(AF91:AF101)</f>
        <v>58739659</v>
      </c>
      <c r="AG102" s="2673"/>
      <c r="AH102" s="1426"/>
      <c r="AI102" s="1427"/>
      <c r="AJ102" s="1426"/>
      <c r="AK102" s="1426"/>
      <c r="AL102" s="1426"/>
      <c r="AM102" s="1426"/>
      <c r="AN102" s="1426"/>
      <c r="AO102" s="1426"/>
      <c r="AP102" s="1426"/>
      <c r="AQ102" s="1427"/>
      <c r="AR102" s="1426"/>
      <c r="AS102" s="1427"/>
      <c r="AT102" s="1426"/>
      <c r="AU102" s="1426"/>
      <c r="AV102" s="1426"/>
      <c r="AW102" s="1426"/>
      <c r="AX102" s="1426"/>
    </row>
    <row r="103" spans="1:50" s="5" customFormat="1" ht="26.25" customHeight="1">
      <c r="A103" s="1639">
        <v>1</v>
      </c>
      <c r="B103" s="3499" t="s">
        <v>6053</v>
      </c>
      <c r="C103" s="1896">
        <v>307541238820</v>
      </c>
      <c r="D103" s="1520" t="s">
        <v>6053</v>
      </c>
      <c r="E103" s="3463" t="s">
        <v>6239</v>
      </c>
      <c r="F103" s="3539" t="s">
        <v>210</v>
      </c>
      <c r="G103" s="2144">
        <v>1</v>
      </c>
      <c r="H103" s="1642"/>
      <c r="I103" s="1642"/>
      <c r="J103" s="1840">
        <v>19254.089801055099</v>
      </c>
      <c r="K103" s="3543" t="s">
        <v>6190</v>
      </c>
      <c r="L103" s="1492" t="s">
        <v>6216</v>
      </c>
      <c r="M103" s="2615">
        <v>1</v>
      </c>
      <c r="N103" s="2059" t="s">
        <v>6191</v>
      </c>
      <c r="O103" s="1913" t="s">
        <v>6215</v>
      </c>
      <c r="P103" s="3536" t="s">
        <v>6214</v>
      </c>
      <c r="Q103" s="3186"/>
      <c r="R103" s="3355" t="s">
        <v>2966</v>
      </c>
      <c r="S103" s="1492" t="s">
        <v>5944</v>
      </c>
      <c r="T103" s="150"/>
      <c r="U103" s="733"/>
      <c r="V103" s="2466">
        <v>900000</v>
      </c>
      <c r="W103" s="1660">
        <f>1988000*2</f>
        <v>3976000</v>
      </c>
      <c r="X103" s="733"/>
      <c r="Y103" s="734"/>
      <c r="Z103" s="2299">
        <v>250000</v>
      </c>
      <c r="AA103" s="733"/>
      <c r="AB103" s="1661">
        <f t="shared" si="13"/>
        <v>5126000</v>
      </c>
      <c r="AC103" s="1267"/>
      <c r="AD103" s="736"/>
      <c r="AE103" s="1268">
        <f>(AC103*1.08)+((AH103*$AH$4)+(G103*3450000+H103*3550000+I103*AI103)+(AJ103*$AJ$4)+(AK103*$AK$4)+(AL103*$AL$4)+(AM103*$AM$4*(G103+H103))+(AN103*$AN$4)+(AO103*$AO$4)+(AP103*$AP$4)+(AQ103*$AQ$4))*1.08</f>
        <v>5259600</v>
      </c>
      <c r="AF103" s="1837">
        <f>+AB103+AE103</f>
        <v>10385600</v>
      </c>
      <c r="AG103" s="2669"/>
      <c r="AH103" s="1426">
        <v>1</v>
      </c>
      <c r="AI103" s="1427"/>
      <c r="AJ103" s="1426"/>
      <c r="AK103" s="1426"/>
      <c r="AL103" s="1426"/>
      <c r="AM103" s="1426"/>
      <c r="AN103" s="1426"/>
      <c r="AO103" s="1426"/>
      <c r="AP103" s="1426"/>
      <c r="AQ103" s="1427">
        <v>1</v>
      </c>
      <c r="AR103" s="1426"/>
      <c r="AS103" s="1427"/>
      <c r="AT103" s="1426"/>
      <c r="AU103" s="1426"/>
      <c r="AV103" s="1426"/>
      <c r="AW103" s="1426"/>
      <c r="AX103" s="1426"/>
    </row>
    <row r="104" spans="1:50" s="5" customFormat="1" ht="15" customHeight="1">
      <c r="A104" s="1639">
        <f t="shared" ref="A104:A115" si="14">+A103+1</f>
        <v>2</v>
      </c>
      <c r="B104" s="3499"/>
      <c r="C104" s="1896">
        <v>307541296920</v>
      </c>
      <c r="D104" s="1520" t="s">
        <v>6053</v>
      </c>
      <c r="E104" s="3472"/>
      <c r="F104" s="3540"/>
      <c r="G104" s="2144">
        <v>1</v>
      </c>
      <c r="H104" s="1642"/>
      <c r="I104" s="1642"/>
      <c r="J104" s="1840">
        <v>19183.576530623599</v>
      </c>
      <c r="K104" s="3518"/>
      <c r="L104" s="1492" t="s">
        <v>6218</v>
      </c>
      <c r="M104" s="2615">
        <v>2</v>
      </c>
      <c r="N104" s="2059" t="s">
        <v>6211</v>
      </c>
      <c r="O104" s="1913" t="s">
        <v>6217</v>
      </c>
      <c r="P104" s="3537"/>
      <c r="Q104" s="3186"/>
      <c r="R104" s="3355"/>
      <c r="S104" s="1492" t="s">
        <v>5944</v>
      </c>
      <c r="T104" s="150"/>
      <c r="U104" s="733"/>
      <c r="V104" s="2466">
        <v>900000</v>
      </c>
      <c r="W104" s="733"/>
      <c r="X104" s="733"/>
      <c r="Y104" s="734"/>
      <c r="Z104" s="2299">
        <v>250000</v>
      </c>
      <c r="AA104" s="733"/>
      <c r="AB104" s="1661">
        <f t="shared" si="13"/>
        <v>1150000</v>
      </c>
      <c r="AC104" s="1267"/>
      <c r="AD104" s="736"/>
      <c r="AE104" s="1268">
        <f>(AC104*1.08)+((AH104*$AH$4)+(G104*3450000+H104*3550000+I104*AI104)+(AJ104*$AJ$4)+(AK104*$AK$4)+(AL104*$AL$4)+(AM104*$AM$4*(G104+H104))+(AN104*$AN$4)+(AO104*$AO$4)+(AP104*$AP$4)+(AQ104*$AQ$4))*1.08</f>
        <v>5259600</v>
      </c>
      <c r="AF104" s="1824">
        <f>+AB104+AE104</f>
        <v>6409600</v>
      </c>
      <c r="AG104" s="2669"/>
      <c r="AH104" s="1426">
        <v>1</v>
      </c>
      <c r="AI104" s="1427"/>
      <c r="AJ104" s="1426"/>
      <c r="AK104" s="1426"/>
      <c r="AL104" s="1426"/>
      <c r="AM104" s="1426"/>
      <c r="AN104" s="1426"/>
      <c r="AO104" s="1426"/>
      <c r="AP104" s="1426"/>
      <c r="AQ104" s="1427">
        <v>1</v>
      </c>
      <c r="AR104" s="1426"/>
      <c r="AS104" s="1427"/>
      <c r="AT104" s="1426"/>
      <c r="AU104" s="1426"/>
      <c r="AV104" s="1426"/>
      <c r="AW104" s="1426"/>
      <c r="AX104" s="1426"/>
    </row>
    <row r="105" spans="1:50" s="5" customFormat="1" ht="15" customHeight="1">
      <c r="A105" s="2620">
        <f t="shared" si="14"/>
        <v>3</v>
      </c>
      <c r="B105" s="3499"/>
      <c r="C105" s="2292">
        <v>307541339030</v>
      </c>
      <c r="D105" s="2293" t="s">
        <v>6053</v>
      </c>
      <c r="E105" s="3472"/>
      <c r="F105" s="3540"/>
      <c r="G105" s="2621">
        <v>1</v>
      </c>
      <c r="H105" s="2205"/>
      <c r="I105" s="2205"/>
      <c r="J105" s="2142">
        <v>19358</v>
      </c>
      <c r="K105" s="3518"/>
      <c r="L105" s="2009" t="s">
        <v>6220</v>
      </c>
      <c r="M105" s="2622">
        <v>3</v>
      </c>
      <c r="N105" s="2737" t="s">
        <v>6213</v>
      </c>
      <c r="O105" s="2623" t="s">
        <v>6219</v>
      </c>
      <c r="P105" s="3537"/>
      <c r="Q105" s="3186"/>
      <c r="R105" s="3355"/>
      <c r="S105" s="2009" t="s">
        <v>5958</v>
      </c>
      <c r="T105" s="1496"/>
      <c r="U105" s="2297"/>
      <c r="V105" s="2466">
        <v>850000</v>
      </c>
      <c r="W105" s="2297"/>
      <c r="X105" s="2297"/>
      <c r="Y105" s="2298"/>
      <c r="Z105" s="2299">
        <v>250000</v>
      </c>
      <c r="AA105" s="2297"/>
      <c r="AB105" s="1661">
        <f t="shared" si="13"/>
        <v>1100000</v>
      </c>
      <c r="AC105" s="1659"/>
      <c r="AD105" s="2301"/>
      <c r="AE105" s="2302">
        <f>(AC105*1.08)+((AH105*$AH$4)+(G105*3450000+H105*3550000+I105*AI105)+(AJ105*$AJ$4)+(AK105*$AK$4)+(AL105*$AL$4)+(AM105*$AM$4*(G105+H105))+(AN105*$AN$4)+(AO105*$AO$4)+(AP105*$AP$4)+(AQ105*$AQ$4))*1.08</f>
        <v>5259600</v>
      </c>
      <c r="AF105" s="1832">
        <f>+AB105+AE105</f>
        <v>6359600</v>
      </c>
      <c r="AG105" s="2670"/>
      <c r="AH105" s="1426">
        <v>1</v>
      </c>
      <c r="AI105" s="1427"/>
      <c r="AJ105" s="1426"/>
      <c r="AK105" s="1426"/>
      <c r="AL105" s="1426"/>
      <c r="AM105" s="1426"/>
      <c r="AN105" s="1426"/>
      <c r="AO105" s="1426"/>
      <c r="AP105" s="1426"/>
      <c r="AQ105" s="1427">
        <v>1</v>
      </c>
      <c r="AR105" s="1426"/>
      <c r="AS105" s="1427"/>
      <c r="AT105" s="1426"/>
      <c r="AU105" s="1426"/>
      <c r="AV105" s="1426"/>
      <c r="AW105" s="1426"/>
      <c r="AX105" s="1426"/>
    </row>
    <row r="106" spans="1:50" s="5" customFormat="1" ht="15" customHeight="1">
      <c r="A106" s="1639">
        <f t="shared" si="14"/>
        <v>4</v>
      </c>
      <c r="B106" s="3499"/>
      <c r="C106" s="1896">
        <v>307541371560</v>
      </c>
      <c r="D106" s="1520" t="s">
        <v>6053</v>
      </c>
      <c r="E106" s="3472"/>
      <c r="F106" s="3540"/>
      <c r="G106" s="2144">
        <v>1</v>
      </c>
      <c r="H106" s="1642"/>
      <c r="I106" s="1642"/>
      <c r="J106" s="1840">
        <v>19107.548604987802</v>
      </c>
      <c r="K106" s="3518"/>
      <c r="L106" s="1492" t="s">
        <v>6222</v>
      </c>
      <c r="M106" s="2615">
        <v>4</v>
      </c>
      <c r="N106" s="2059" t="s">
        <v>6212</v>
      </c>
      <c r="O106" s="1913" t="s">
        <v>6221</v>
      </c>
      <c r="P106" s="3537"/>
      <c r="Q106" s="3186"/>
      <c r="R106" s="3355"/>
      <c r="S106" s="1492" t="s">
        <v>6223</v>
      </c>
      <c r="T106" s="1517"/>
      <c r="U106" s="1461"/>
      <c r="V106" s="2466">
        <v>850000</v>
      </c>
      <c r="W106" s="1461"/>
      <c r="X106" s="1461"/>
      <c r="Y106" s="2240"/>
      <c r="Z106" s="2299">
        <v>250000</v>
      </c>
      <c r="AA106" s="1461"/>
      <c r="AB106" s="1661">
        <f t="shared" si="13"/>
        <v>1100000</v>
      </c>
      <c r="AC106" s="1650"/>
      <c r="AD106" s="1662"/>
      <c r="AE106" s="1650">
        <f>(AC106*1.08)+((AH106*$AH$4)+(G106*3450000+H106*3550000+I106*AI106)+(AJ106*$AJ$4)+(AK106*$AK$4)+(AL106*$AL$4)+(AM106*$AM$4*(G106+H106))+(AN106*$AN$4)+(AO106*$AO$4)+(AP106*$AP$4)+(AQ106*$AQ$4))*1.08</f>
        <v>5259600</v>
      </c>
      <c r="AF106" s="1837">
        <f>+AB106+AE106</f>
        <v>6359600</v>
      </c>
      <c r="AG106" s="2669"/>
      <c r="AH106" s="1426">
        <v>1</v>
      </c>
      <c r="AI106" s="1427"/>
      <c r="AJ106" s="1426"/>
      <c r="AK106" s="1426"/>
      <c r="AL106" s="1426"/>
      <c r="AM106" s="1426"/>
      <c r="AN106" s="1426"/>
      <c r="AO106" s="1426"/>
      <c r="AP106" s="1426"/>
      <c r="AQ106" s="1427">
        <v>1</v>
      </c>
      <c r="AR106" s="1426"/>
      <c r="AS106" s="1427"/>
      <c r="AT106" s="1426"/>
      <c r="AU106" s="1426"/>
      <c r="AV106" s="1426"/>
      <c r="AW106" s="1426"/>
      <c r="AX106" s="1426"/>
    </row>
    <row r="107" spans="1:50" s="5" customFormat="1" ht="21" customHeight="1">
      <c r="A107" s="1699">
        <f t="shared" si="14"/>
        <v>5</v>
      </c>
      <c r="B107" s="3512" t="s">
        <v>6192</v>
      </c>
      <c r="C107" s="1260">
        <v>307542481800</v>
      </c>
      <c r="D107" s="684" t="s">
        <v>6192</v>
      </c>
      <c r="E107" s="3472"/>
      <c r="F107" s="3540"/>
      <c r="G107" s="451">
        <v>1</v>
      </c>
      <c r="H107" s="445"/>
      <c r="I107" s="445"/>
      <c r="J107" s="1680">
        <f>16880.1934169982+2190</f>
        <v>19070.193416998201</v>
      </c>
      <c r="K107" s="3518"/>
      <c r="L107" s="2599" t="s">
        <v>6200</v>
      </c>
      <c r="M107" s="2624">
        <v>5</v>
      </c>
      <c r="N107" s="2738" t="s">
        <v>6198</v>
      </c>
      <c r="O107" s="2625" t="s">
        <v>6199</v>
      </c>
      <c r="P107" s="3537"/>
      <c r="Q107" s="3186"/>
      <c r="R107" s="3355"/>
      <c r="S107" s="2599" t="s">
        <v>5942</v>
      </c>
      <c r="T107" s="781"/>
      <c r="U107" s="1116"/>
      <c r="V107" s="2466">
        <v>900000</v>
      </c>
      <c r="W107" s="1116"/>
      <c r="X107" s="1116"/>
      <c r="Y107" s="1117"/>
      <c r="Z107" s="2299">
        <v>250000</v>
      </c>
      <c r="AA107" s="1116"/>
      <c r="AB107" s="1661">
        <f t="shared" si="13"/>
        <v>1150000</v>
      </c>
      <c r="AC107" s="1267"/>
      <c r="AD107" s="1119"/>
      <c r="AE107" s="1267">
        <f>(AC107*1.08)+((AH107*$AH$4)+(G107*3450000+H107*3550000+I107*AI107)+(AJ107*$AJ$4)+(AK107*$AK$4)+(AL107*$AL$4)+(AM107*$AM$4*(G107+H107))+(AN107*$AN$4)+(AO107*$AO$4)+(AP107*$AP$4)+(AQ107*$AQ$4))*1.08</f>
        <v>5259600</v>
      </c>
      <c r="AF107" s="1824">
        <f>+AB107+AE107</f>
        <v>6409600</v>
      </c>
      <c r="AG107" s="2668"/>
      <c r="AH107" s="1426">
        <v>1</v>
      </c>
      <c r="AI107" s="1427"/>
      <c r="AJ107" s="1426"/>
      <c r="AK107" s="1426"/>
      <c r="AL107" s="1426"/>
      <c r="AM107" s="1426"/>
      <c r="AN107" s="1426"/>
      <c r="AO107" s="1426"/>
      <c r="AP107" s="1426"/>
      <c r="AQ107" s="1427">
        <v>1</v>
      </c>
      <c r="AR107" s="1426"/>
      <c r="AS107" s="1427"/>
      <c r="AT107" s="1426"/>
      <c r="AU107" s="1426"/>
      <c r="AV107" s="1426"/>
      <c r="AW107" s="1426"/>
      <c r="AX107" s="1426"/>
    </row>
    <row r="108" spans="1:50" s="5" customFormat="1" ht="15" customHeight="1">
      <c r="A108" s="1639">
        <f t="shared" si="14"/>
        <v>6</v>
      </c>
      <c r="B108" s="3512"/>
      <c r="C108" s="1312">
        <v>307542525900</v>
      </c>
      <c r="D108" s="1520" t="s">
        <v>6192</v>
      </c>
      <c r="E108" s="3472"/>
      <c r="F108" s="3540"/>
      <c r="G108" s="431">
        <v>1</v>
      </c>
      <c r="H108" s="167"/>
      <c r="I108" s="167"/>
      <c r="J108" s="1681">
        <f>17174.9965166934+2190</f>
        <v>19364.996516693402</v>
      </c>
      <c r="K108" s="3518"/>
      <c r="L108" s="1492" t="s">
        <v>6203</v>
      </c>
      <c r="M108" s="2615">
        <v>6</v>
      </c>
      <c r="N108" s="2059" t="s">
        <v>6201</v>
      </c>
      <c r="O108" s="1913" t="s">
        <v>6202</v>
      </c>
      <c r="P108" s="3537"/>
      <c r="Q108" s="3186"/>
      <c r="R108" s="3355"/>
      <c r="S108" s="1516" t="s">
        <v>5944</v>
      </c>
      <c r="T108" s="2604"/>
      <c r="U108" s="733"/>
      <c r="V108" s="2466">
        <v>900000</v>
      </c>
      <c r="W108" s="733"/>
      <c r="X108" s="733"/>
      <c r="Y108" s="734"/>
      <c r="Z108" s="2299">
        <v>250000</v>
      </c>
      <c r="AA108" s="733"/>
      <c r="AB108" s="1661">
        <f t="shared" si="13"/>
        <v>1150000</v>
      </c>
      <c r="AC108" s="1267"/>
      <c r="AD108" s="736"/>
      <c r="AE108" s="1267">
        <f t="shared" ref="AE108:AE110" si="15">(AC108*1.08)+((AH108*$AH$4)+(G108*3450000+H108*3550000+I108*AI108)+(AJ108*$AJ$4)+(AK108*$AK$4)+(AL108*$AL$4)+(AM108*$AM$4*(G108+H108))+(AN108*$AN$4)+(AO108*$AO$4)+(AP108*$AP$4)+(AQ108*$AQ$4))*1.08</f>
        <v>5259600</v>
      </c>
      <c r="AF108" s="1824">
        <f t="shared" ref="AF108:AF112" si="16">+AB108+AE108</f>
        <v>6409600</v>
      </c>
      <c r="AG108" s="2668"/>
      <c r="AH108" s="1426">
        <v>1</v>
      </c>
      <c r="AI108" s="1427"/>
      <c r="AJ108" s="1426"/>
      <c r="AK108" s="1426"/>
      <c r="AL108" s="1426"/>
      <c r="AM108" s="1426"/>
      <c r="AN108" s="1426"/>
      <c r="AO108" s="1426"/>
      <c r="AP108" s="1426"/>
      <c r="AQ108" s="1427">
        <v>1</v>
      </c>
      <c r="AR108" s="1426"/>
      <c r="AS108" s="1427"/>
      <c r="AT108" s="1426"/>
      <c r="AU108" s="1426"/>
      <c r="AV108" s="1426"/>
      <c r="AW108" s="1426"/>
      <c r="AX108" s="1426"/>
    </row>
    <row r="109" spans="1:50" s="5" customFormat="1" ht="15" customHeight="1">
      <c r="A109" s="1639">
        <f t="shared" si="14"/>
        <v>7</v>
      </c>
      <c r="B109" s="3512"/>
      <c r="C109" s="1312">
        <v>307542569850</v>
      </c>
      <c r="D109" s="1520" t="s">
        <v>6192</v>
      </c>
      <c r="E109" s="3472"/>
      <c r="F109" s="3540"/>
      <c r="G109" s="431">
        <v>1</v>
      </c>
      <c r="H109" s="167"/>
      <c r="I109" s="167"/>
      <c r="J109" s="1681">
        <v>19161.427929865498</v>
      </c>
      <c r="K109" s="3518"/>
      <c r="L109" s="1492" t="s">
        <v>6206</v>
      </c>
      <c r="M109" s="2615">
        <v>7</v>
      </c>
      <c r="N109" s="2059" t="s">
        <v>6204</v>
      </c>
      <c r="O109" s="1913" t="s">
        <v>6205</v>
      </c>
      <c r="P109" s="3537"/>
      <c r="Q109" s="3186"/>
      <c r="R109" s="3355"/>
      <c r="S109" s="1492" t="s">
        <v>5972</v>
      </c>
      <c r="T109" s="150"/>
      <c r="U109" s="733"/>
      <c r="V109" s="2466">
        <v>900000</v>
      </c>
      <c r="W109" s="733"/>
      <c r="X109" s="733"/>
      <c r="Y109" s="734"/>
      <c r="Z109" s="2299">
        <v>250000</v>
      </c>
      <c r="AA109" s="733"/>
      <c r="AB109" s="1661">
        <f t="shared" si="13"/>
        <v>1150000</v>
      </c>
      <c r="AC109" s="1650"/>
      <c r="AD109" s="736"/>
      <c r="AE109" s="1267">
        <f t="shared" si="15"/>
        <v>5259600</v>
      </c>
      <c r="AF109" s="1824">
        <f t="shared" si="16"/>
        <v>6409600</v>
      </c>
      <c r="AG109" s="2668"/>
      <c r="AH109" s="1426">
        <v>1</v>
      </c>
      <c r="AI109" s="1427"/>
      <c r="AJ109" s="1426"/>
      <c r="AK109" s="1426"/>
      <c r="AL109" s="1426"/>
      <c r="AM109" s="1426"/>
      <c r="AN109" s="1426"/>
      <c r="AO109" s="1426"/>
      <c r="AP109" s="1426"/>
      <c r="AQ109" s="1427">
        <v>1</v>
      </c>
      <c r="AR109" s="1426"/>
      <c r="AS109" s="1427"/>
      <c r="AT109" s="1426"/>
      <c r="AU109" s="1426"/>
      <c r="AV109" s="1426"/>
      <c r="AW109" s="1426"/>
      <c r="AX109" s="1426"/>
    </row>
    <row r="110" spans="1:50" s="5" customFormat="1" ht="15.75" customHeight="1" thickBot="1">
      <c r="A110" s="1691">
        <f t="shared" si="14"/>
        <v>8</v>
      </c>
      <c r="B110" s="3542"/>
      <c r="C110" s="1891">
        <v>307542604040</v>
      </c>
      <c r="D110" s="2619" t="s">
        <v>6192</v>
      </c>
      <c r="E110" s="3515"/>
      <c r="F110" s="3541"/>
      <c r="G110" s="1875">
        <v>1</v>
      </c>
      <c r="H110" s="1857"/>
      <c r="I110" s="1857"/>
      <c r="J110" s="1841">
        <v>18918.762580385901</v>
      </c>
      <c r="K110" s="3519"/>
      <c r="L110" s="2618" t="s">
        <v>6210</v>
      </c>
      <c r="M110" s="1697">
        <v>8</v>
      </c>
      <c r="N110" s="2739" t="s">
        <v>6207</v>
      </c>
      <c r="O110" s="1697" t="s">
        <v>6209</v>
      </c>
      <c r="P110" s="3538"/>
      <c r="Q110" s="3187"/>
      <c r="R110" s="3544"/>
      <c r="S110" s="1716" t="s">
        <v>6255</v>
      </c>
      <c r="T110" s="1876"/>
      <c r="U110" s="2600"/>
      <c r="V110" s="2694">
        <v>900000</v>
      </c>
      <c r="W110" s="2600"/>
      <c r="X110" s="2600"/>
      <c r="Y110" s="2601"/>
      <c r="Z110" s="2299">
        <v>250000</v>
      </c>
      <c r="AA110" s="2600"/>
      <c r="AB110" s="2688">
        <f t="shared" si="13"/>
        <v>1150000</v>
      </c>
      <c r="AC110" s="2676"/>
      <c r="AD110" s="2602"/>
      <c r="AE110" s="2662">
        <f t="shared" si="15"/>
        <v>5259600</v>
      </c>
      <c r="AF110" s="2663">
        <f t="shared" si="16"/>
        <v>6409600</v>
      </c>
      <c r="AG110" s="2677"/>
      <c r="AH110" s="1426">
        <v>1</v>
      </c>
      <c r="AI110" s="1427"/>
      <c r="AJ110" s="1426"/>
      <c r="AK110" s="1426"/>
      <c r="AL110" s="1426"/>
      <c r="AM110" s="1426"/>
      <c r="AN110" s="1426"/>
      <c r="AO110" s="1426"/>
      <c r="AP110" s="1426"/>
      <c r="AQ110" s="1427">
        <v>1</v>
      </c>
      <c r="AR110" s="1426"/>
      <c r="AS110" s="1427"/>
      <c r="AT110" s="1426"/>
      <c r="AU110" s="1426"/>
      <c r="AV110" s="1426"/>
      <c r="AW110" s="1426"/>
      <c r="AX110" s="1426"/>
    </row>
    <row r="111" spans="1:50" s="5" customFormat="1" ht="13.8" thickBot="1">
      <c r="A111" s="2249">
        <f t="shared" si="14"/>
        <v>9</v>
      </c>
      <c r="B111" s="2660" t="s">
        <v>6301</v>
      </c>
      <c r="C111" s="2654">
        <v>307563647660</v>
      </c>
      <c r="D111" s="1704" t="s">
        <v>6301</v>
      </c>
      <c r="E111" s="2681" t="s">
        <v>6323</v>
      </c>
      <c r="F111" s="1877" t="s">
        <v>210</v>
      </c>
      <c r="G111" s="2655">
        <v>1</v>
      </c>
      <c r="H111" s="1707"/>
      <c r="I111" s="1707"/>
      <c r="J111" s="1879">
        <v>11838.746945106301</v>
      </c>
      <c r="K111" s="2656" t="s">
        <v>6290</v>
      </c>
      <c r="L111" s="1844" t="s">
        <v>6312</v>
      </c>
      <c r="M111" s="1697">
        <v>1</v>
      </c>
      <c r="N111" s="2739" t="s">
        <v>6310</v>
      </c>
      <c r="O111" s="1844" t="s">
        <v>6311</v>
      </c>
      <c r="P111" s="1872" t="s">
        <v>6313</v>
      </c>
      <c r="Q111" s="3203"/>
      <c r="R111" s="2618" t="s">
        <v>2966</v>
      </c>
      <c r="S111" s="2202" t="s">
        <v>5972</v>
      </c>
      <c r="T111" s="1880"/>
      <c r="U111" s="2657"/>
      <c r="V111" s="2694">
        <v>1000000</v>
      </c>
      <c r="W111" s="2680">
        <v>497000</v>
      </c>
      <c r="X111" s="2657"/>
      <c r="Y111" s="2658"/>
      <c r="Z111" s="2299">
        <v>250000</v>
      </c>
      <c r="AA111" s="2657"/>
      <c r="AB111" s="2675">
        <f t="shared" si="13"/>
        <v>1747000</v>
      </c>
      <c r="AC111" s="2676"/>
      <c r="AD111" s="2659" t="s">
        <v>6361</v>
      </c>
      <c r="AE111" s="2662">
        <f>(AC111*1.08)+((AH111*$AH$4)+(G111*3450000+H111*3550000+I111*AI111)+(AJ111*$AJ$4)+(AK111*$AK$4)+(AL111*$AL$4)+(AM111*$AM$4*(G111+H111))+(AN111*$AN$4)+(AO111*$AO$4)+(AP111*$AP$4)+(AQ111*$AQ$4))*1.08-500000*1.08</f>
        <v>4719600</v>
      </c>
      <c r="AF111" s="2663">
        <f t="shared" si="16"/>
        <v>6466600</v>
      </c>
      <c r="AG111" s="2677"/>
      <c r="AH111" s="1426">
        <v>1</v>
      </c>
      <c r="AI111" s="1427"/>
      <c r="AJ111" s="1426"/>
      <c r="AK111" s="1426"/>
      <c r="AL111" s="1426"/>
      <c r="AM111" s="1426"/>
      <c r="AN111" s="1426"/>
      <c r="AO111" s="1426"/>
      <c r="AP111" s="1426"/>
      <c r="AQ111" s="1427">
        <v>1</v>
      </c>
      <c r="AR111" s="1426"/>
      <c r="AS111" s="1427"/>
      <c r="AT111" s="1426"/>
      <c r="AU111" s="1426"/>
      <c r="AV111" s="1426"/>
      <c r="AW111" s="1426"/>
      <c r="AX111" s="1426"/>
    </row>
    <row r="112" spans="1:50" s="5" customFormat="1" ht="13.8" thickBot="1">
      <c r="A112" s="2249">
        <f t="shared" si="14"/>
        <v>10</v>
      </c>
      <c r="B112" s="2683" t="s">
        <v>6264</v>
      </c>
      <c r="C112" s="2654">
        <v>307568336410</v>
      </c>
      <c r="D112" s="1704" t="s">
        <v>6264</v>
      </c>
      <c r="E112" s="2681" t="s">
        <v>6343</v>
      </c>
      <c r="F112" s="1882" t="s">
        <v>210</v>
      </c>
      <c r="G112" s="2678"/>
      <c r="H112" s="2679">
        <v>1</v>
      </c>
      <c r="I112" s="1707"/>
      <c r="J112" s="1879">
        <f>12689.5+4100</f>
        <v>16789.5</v>
      </c>
      <c r="K112" s="2656" t="s">
        <v>6309</v>
      </c>
      <c r="L112" s="1871" t="s">
        <v>6338</v>
      </c>
      <c r="M112" s="1697">
        <v>1</v>
      </c>
      <c r="N112" s="2739" t="s">
        <v>6326</v>
      </c>
      <c r="O112" s="1844" t="s">
        <v>6327</v>
      </c>
      <c r="P112" s="1872" t="s">
        <v>6333</v>
      </c>
      <c r="Q112" s="3203"/>
      <c r="R112" s="2618" t="s">
        <v>2966</v>
      </c>
      <c r="S112" s="2202" t="s">
        <v>6325</v>
      </c>
      <c r="T112" s="1880"/>
      <c r="U112" s="2657"/>
      <c r="V112" s="2694">
        <v>1500000</v>
      </c>
      <c r="W112" s="2680">
        <v>882000</v>
      </c>
      <c r="X112" s="2657"/>
      <c r="Y112" s="2658"/>
      <c r="Z112" s="2713">
        <v>500000</v>
      </c>
      <c r="AA112" s="2657"/>
      <c r="AB112" s="2675">
        <f t="shared" si="13"/>
        <v>2882000</v>
      </c>
      <c r="AC112" s="2676"/>
      <c r="AD112" s="2659" t="s">
        <v>6362</v>
      </c>
      <c r="AE112" s="2664">
        <f>(AC112*1.08)+((AH112*$AH$4)+(G112*3450000+H112*3550000+I112*AI112)+(AJ112*$AJ$4)+(AK112*$AK$4)+(AL112*$AL$4)+(AM112*$AM$4*(G112+H112))+(AN112*$AN$4)+(AO112*$AO$4)+(AP112*$AP$4)+(AQ112*$AQ$4))*1.08-(433230*1.08)</f>
        <v>4899711.5999999996</v>
      </c>
      <c r="AF112" s="2663">
        <f t="shared" si="16"/>
        <v>7781711.5999999996</v>
      </c>
      <c r="AG112" s="2677"/>
      <c r="AH112" s="1426">
        <v>1</v>
      </c>
      <c r="AI112" s="1427"/>
      <c r="AJ112" s="1426"/>
      <c r="AK112" s="1426"/>
      <c r="AL112" s="1426"/>
      <c r="AM112" s="1426"/>
      <c r="AN112" s="1426"/>
      <c r="AO112" s="1426"/>
      <c r="AP112" s="1426"/>
      <c r="AQ112" s="1427">
        <v>1</v>
      </c>
      <c r="AR112" s="1426"/>
      <c r="AS112" s="1427"/>
      <c r="AT112" s="1426"/>
      <c r="AU112" s="1426"/>
      <c r="AV112" s="1426"/>
      <c r="AW112" s="1426"/>
      <c r="AX112" s="1426"/>
    </row>
    <row r="113" spans="1:50" s="5" customFormat="1" ht="12.75" customHeight="1">
      <c r="A113" s="1699">
        <f t="shared" si="14"/>
        <v>11</v>
      </c>
      <c r="B113" s="3499" t="s">
        <v>6400</v>
      </c>
      <c r="C113" s="1260">
        <v>307587716350</v>
      </c>
      <c r="D113" s="795" t="s">
        <v>6400</v>
      </c>
      <c r="E113" s="3495" t="s">
        <v>6425</v>
      </c>
      <c r="F113" s="3483" t="s">
        <v>210</v>
      </c>
      <c r="G113" s="2735">
        <v>1</v>
      </c>
      <c r="H113" s="1904"/>
      <c r="I113" s="1904"/>
      <c r="J113" s="1680">
        <f>17658.5711287168+2180</f>
        <v>19838.571128716801</v>
      </c>
      <c r="K113" s="3497" t="s">
        <v>6390</v>
      </c>
      <c r="L113" s="2726" t="s">
        <v>6409</v>
      </c>
      <c r="M113" s="2624">
        <v>1</v>
      </c>
      <c r="N113" s="2738" t="s">
        <v>6407</v>
      </c>
      <c r="O113" s="2625" t="s">
        <v>6408</v>
      </c>
      <c r="P113" s="3501" t="s">
        <v>6417</v>
      </c>
      <c r="Q113" s="2315"/>
      <c r="R113" s="3493" t="s">
        <v>2966</v>
      </c>
      <c r="S113" s="2599" t="s">
        <v>6255</v>
      </c>
      <c r="T113" s="781"/>
      <c r="U113" s="1116"/>
      <c r="V113" s="2710">
        <v>1000000</v>
      </c>
      <c r="W113" s="2695">
        <v>1491000</v>
      </c>
      <c r="X113" s="1116"/>
      <c r="Y113" s="1117"/>
      <c r="Z113" s="2736">
        <v>250000</v>
      </c>
      <c r="AA113" s="1116"/>
      <c r="AB113" s="1261">
        <f t="shared" ref="AB113:AB125" si="17">+U113+V113+W113+X113+Y113+Z113+AA113+T113</f>
        <v>2741000</v>
      </c>
      <c r="AC113" s="1267"/>
      <c r="AD113" s="3481"/>
      <c r="AE113" s="1267">
        <f t="shared" ref="AE113" si="18">(AC113*1.08)+((AH113*$AH$4)+(G113*3450000+H113*3550000+I113*AI113)+(AJ113*$AJ$4)+(AK113*$AK$4)+(AL113*$AL$4)+(AM113*$AM$4*(G113+H113))+(AN113*$AN$4)+(AO113*$AO$4)+(AP113*$AP$4)+(AQ113*$AQ$4))*1.08</f>
        <v>5259600</v>
      </c>
      <c r="AF113" s="1824">
        <f t="shared" ref="AF113" si="19">+AB113+AE113</f>
        <v>8000600</v>
      </c>
      <c r="AG113" s="2668"/>
      <c r="AH113" s="1426">
        <v>1</v>
      </c>
      <c r="AI113" s="1427"/>
      <c r="AJ113" s="1426"/>
      <c r="AK113" s="1426"/>
      <c r="AL113" s="1426"/>
      <c r="AM113" s="1426"/>
      <c r="AN113" s="1426"/>
      <c r="AO113" s="1426"/>
      <c r="AP113" s="1426"/>
      <c r="AQ113" s="1427">
        <v>1</v>
      </c>
      <c r="AR113" s="1426"/>
      <c r="AS113" s="1427"/>
      <c r="AT113" s="1426"/>
      <c r="AU113" s="1426"/>
      <c r="AV113" s="1426"/>
      <c r="AW113" s="1426"/>
      <c r="AX113" s="1426"/>
    </row>
    <row r="114" spans="1:50" s="5" customFormat="1" ht="15" customHeight="1">
      <c r="A114" s="1639">
        <f t="shared" si="14"/>
        <v>12</v>
      </c>
      <c r="B114" s="3499"/>
      <c r="C114" s="1896">
        <v>307587734440</v>
      </c>
      <c r="D114" s="1504" t="s">
        <v>6400</v>
      </c>
      <c r="E114" s="3495"/>
      <c r="F114" s="3483"/>
      <c r="G114" s="2144">
        <v>1</v>
      </c>
      <c r="H114" s="1642"/>
      <c r="I114" s="1642"/>
      <c r="J114" s="1840">
        <f>18356.2763431635+2200</f>
        <v>20556.276343163499</v>
      </c>
      <c r="K114" s="3497"/>
      <c r="L114" s="1938" t="s">
        <v>6410</v>
      </c>
      <c r="M114" s="2615">
        <v>2</v>
      </c>
      <c r="N114" s="2059" t="s">
        <v>6411</v>
      </c>
      <c r="O114" s="1913" t="s">
        <v>6412</v>
      </c>
      <c r="P114" s="3501"/>
      <c r="Q114" s="2315"/>
      <c r="R114" s="3493"/>
      <c r="S114" s="1492" t="s">
        <v>5942</v>
      </c>
      <c r="T114" s="1517"/>
      <c r="U114" s="1461"/>
      <c r="V114" s="2466">
        <v>1000000</v>
      </c>
      <c r="W114" s="1461"/>
      <c r="X114" s="1461"/>
      <c r="Y114" s="2240"/>
      <c r="Z114" s="1719">
        <v>250000</v>
      </c>
      <c r="AA114" s="1461"/>
      <c r="AB114" s="1661">
        <f t="shared" si="17"/>
        <v>1250000</v>
      </c>
      <c r="AC114" s="1650"/>
      <c r="AD114" s="3481"/>
      <c r="AE114" s="1650">
        <f t="shared" ref="AE114:AE115" si="20">(AC114*1.08)+((AH114*$AH$4)+(G114*3450000+H114*3550000+I114*AI114)+(AJ114*$AJ$4)+(AK114*$AK$4)+(AL114*$AL$4)+(AM114*$AM$4*(G114+H114))+(AN114*$AN$4)+(AO114*$AO$4)+(AP114*$AP$4)+(AQ114*$AQ$4))*1.08</f>
        <v>5259600</v>
      </c>
      <c r="AF114" s="1837">
        <f t="shared" ref="AF114:AF115" si="21">+AB114+AE114</f>
        <v>6509600</v>
      </c>
      <c r="AG114" s="2669"/>
      <c r="AH114" s="1426">
        <v>1</v>
      </c>
      <c r="AI114" s="1427"/>
      <c r="AJ114" s="1426"/>
      <c r="AK114" s="1426"/>
      <c r="AL114" s="1426"/>
      <c r="AM114" s="1426"/>
      <c r="AN114" s="1426"/>
      <c r="AO114" s="1426"/>
      <c r="AP114" s="1426"/>
      <c r="AQ114" s="1427">
        <v>1</v>
      </c>
      <c r="AR114" s="1426"/>
      <c r="AS114" s="1427"/>
      <c r="AT114" s="1426"/>
      <c r="AU114" s="1426"/>
      <c r="AV114" s="1426"/>
      <c r="AW114" s="1426"/>
      <c r="AX114" s="1426"/>
    </row>
    <row r="115" spans="1:50" s="5" customFormat="1" ht="15.75" customHeight="1" thickBot="1">
      <c r="A115" s="2620">
        <f t="shared" si="14"/>
        <v>13</v>
      </c>
      <c r="B115" s="3500"/>
      <c r="C115" s="1891">
        <v>307587742730</v>
      </c>
      <c r="D115" s="1718" t="s">
        <v>6400</v>
      </c>
      <c r="E115" s="3496"/>
      <c r="F115" s="3484"/>
      <c r="G115" s="1713">
        <v>1</v>
      </c>
      <c r="H115" s="1714"/>
      <c r="I115" s="1714"/>
      <c r="J115" s="1841">
        <f>17788.7833201118+2330</f>
        <v>20118.783320111801</v>
      </c>
      <c r="K115" s="3498"/>
      <c r="L115" s="2733" t="s">
        <v>6415</v>
      </c>
      <c r="M115" s="1864">
        <v>3</v>
      </c>
      <c r="N115" s="2740" t="s">
        <v>6413</v>
      </c>
      <c r="O115" s="2718" t="s">
        <v>6414</v>
      </c>
      <c r="P115" s="3502"/>
      <c r="Q115" s="2209"/>
      <c r="R115" s="3494"/>
      <c r="S115" s="1716" t="s">
        <v>6416</v>
      </c>
      <c r="T115" s="1876"/>
      <c r="U115" s="2600"/>
      <c r="V115" s="2734">
        <v>1000000</v>
      </c>
      <c r="W115" s="2600"/>
      <c r="X115" s="2600"/>
      <c r="Y115" s="2601"/>
      <c r="Z115" s="2713">
        <v>250000</v>
      </c>
      <c r="AA115" s="2600"/>
      <c r="AB115" s="2688">
        <f t="shared" si="17"/>
        <v>1250000</v>
      </c>
      <c r="AC115" s="2662"/>
      <c r="AD115" s="3482"/>
      <c r="AE115" s="2662">
        <f t="shared" si="20"/>
        <v>5259600</v>
      </c>
      <c r="AF115" s="2663">
        <f t="shared" si="21"/>
        <v>6509600</v>
      </c>
      <c r="AG115" s="2677"/>
      <c r="AH115" s="1426">
        <v>1</v>
      </c>
      <c r="AI115" s="1427"/>
      <c r="AJ115" s="1426"/>
      <c r="AK115" s="1426"/>
      <c r="AL115" s="1426"/>
      <c r="AM115" s="1426"/>
      <c r="AN115" s="1426"/>
      <c r="AO115" s="1426"/>
      <c r="AP115" s="1426"/>
      <c r="AQ115" s="1427">
        <v>1</v>
      </c>
      <c r="AR115" s="1426"/>
      <c r="AS115" s="1427"/>
      <c r="AT115" s="1426"/>
      <c r="AU115" s="1426"/>
      <c r="AV115" s="1426"/>
      <c r="AW115" s="1426"/>
      <c r="AX115" s="1426"/>
    </row>
    <row r="116" spans="1:50" s="5" customFormat="1">
      <c r="A116" s="1641"/>
      <c r="B116" s="1641"/>
      <c r="C116" s="2772" t="s">
        <v>6652</v>
      </c>
      <c r="D116" s="1641"/>
      <c r="E116" s="2771" t="s">
        <v>6651</v>
      </c>
      <c r="F116" s="1641"/>
      <c r="G116" s="1641"/>
      <c r="H116" s="1641"/>
      <c r="I116" s="1641"/>
      <c r="J116" s="1641"/>
      <c r="K116" s="1641"/>
      <c r="L116" s="1641"/>
      <c r="M116" s="1641"/>
      <c r="N116" s="1641"/>
      <c r="O116" s="1641"/>
      <c r="P116" s="1639"/>
      <c r="Q116" s="1639"/>
      <c r="R116" s="1640"/>
      <c r="S116" s="1640"/>
      <c r="T116" s="1664"/>
      <c r="U116" s="1827"/>
      <c r="V116" s="1664"/>
      <c r="W116" s="1664"/>
      <c r="X116" s="1664"/>
      <c r="Y116" s="1828"/>
      <c r="Z116" s="1828"/>
      <c r="AA116" s="1664"/>
      <c r="AB116" s="1828"/>
      <c r="AC116" s="1828"/>
      <c r="AD116" s="1641"/>
      <c r="AE116" s="1828"/>
      <c r="AF116" s="1828"/>
      <c r="AG116" s="2907"/>
      <c r="AH116" s="1426"/>
      <c r="AI116" s="1427"/>
      <c r="AJ116" s="1426"/>
      <c r="AK116" s="1426"/>
      <c r="AL116" s="1426"/>
      <c r="AM116" s="1426"/>
      <c r="AN116" s="1426"/>
      <c r="AO116" s="1426"/>
      <c r="AP116" s="1426"/>
      <c r="AQ116" s="1427"/>
      <c r="AR116" s="1426"/>
      <c r="AS116" s="1427"/>
      <c r="AT116" s="1426"/>
      <c r="AU116" s="1426"/>
      <c r="AV116" s="1426"/>
      <c r="AW116" s="1426"/>
      <c r="AX116" s="1426"/>
    </row>
    <row r="117" spans="1:50" s="5" customFormat="1">
      <c r="A117" s="3310" t="s">
        <v>6485</v>
      </c>
      <c r="B117" s="3476"/>
      <c r="C117" s="3476"/>
      <c r="D117" s="3476"/>
      <c r="E117" s="3476"/>
      <c r="F117" s="3476"/>
      <c r="G117" s="3476"/>
      <c r="H117" s="3476"/>
      <c r="I117" s="3476"/>
      <c r="J117" s="3476"/>
      <c r="K117" s="3476"/>
      <c r="L117" s="3476"/>
      <c r="M117" s="3476"/>
      <c r="N117" s="3476"/>
      <c r="O117" s="3476"/>
      <c r="P117" s="2303"/>
      <c r="Q117" s="2303"/>
      <c r="R117" s="2304"/>
      <c r="S117" s="2304"/>
      <c r="T117" s="2305"/>
      <c r="U117" s="2306"/>
      <c r="V117" s="2305"/>
      <c r="W117" s="2305"/>
      <c r="X117" s="2305"/>
      <c r="Y117" s="2307"/>
      <c r="Z117" s="2307"/>
      <c r="AA117" s="2305"/>
      <c r="AB117" s="2307">
        <f>SUM(AB103:AB115)</f>
        <v>22946000</v>
      </c>
      <c r="AC117" s="2307">
        <f>SUM(AC91:AC115)</f>
        <v>0</v>
      </c>
      <c r="AD117" s="2308"/>
      <c r="AE117" s="2307">
        <f>SUM(AE103:AE115)</f>
        <v>67474911.599999994</v>
      </c>
      <c r="AF117" s="2307">
        <f>SUM(AF103:AF115)</f>
        <v>90420911.599999994</v>
      </c>
      <c r="AG117" s="2671"/>
      <c r="AH117" s="1426"/>
      <c r="AI117" s="1427"/>
      <c r="AJ117" s="1426"/>
      <c r="AK117" s="1426"/>
      <c r="AL117" s="1426"/>
      <c r="AM117" s="1426"/>
      <c r="AN117" s="1426"/>
      <c r="AO117" s="1426"/>
      <c r="AP117" s="1426"/>
      <c r="AQ117" s="1427"/>
      <c r="AR117" s="1426"/>
      <c r="AS117" s="1427"/>
      <c r="AT117" s="1426"/>
      <c r="AU117" s="1426"/>
      <c r="AV117" s="1426"/>
      <c r="AW117" s="1426"/>
      <c r="AX117" s="1426"/>
    </row>
    <row r="118" spans="1:50" s="5" customFormat="1" ht="13.8" thickBot="1">
      <c r="A118" s="2249"/>
      <c r="B118" s="2660"/>
      <c r="C118" s="2654">
        <v>307568336410</v>
      </c>
      <c r="D118" s="1704" t="s">
        <v>6264</v>
      </c>
      <c r="E118" s="2681" t="s">
        <v>6685</v>
      </c>
      <c r="F118" s="1877" t="s">
        <v>210</v>
      </c>
      <c r="G118" s="2678"/>
      <c r="H118" s="2679">
        <v>1</v>
      </c>
      <c r="I118" s="1707"/>
      <c r="J118" s="1879">
        <f>12689.5+4100</f>
        <v>16789.5</v>
      </c>
      <c r="K118" s="2656" t="s">
        <v>6309</v>
      </c>
      <c r="L118" s="1871" t="s">
        <v>6338</v>
      </c>
      <c r="M118" s="1697">
        <v>1</v>
      </c>
      <c r="N118" s="2739" t="s">
        <v>6326</v>
      </c>
      <c r="O118" s="1844" t="s">
        <v>6327</v>
      </c>
      <c r="P118" s="1872" t="s">
        <v>6333</v>
      </c>
      <c r="Q118" s="3203"/>
      <c r="R118" s="2618" t="s">
        <v>2966</v>
      </c>
      <c r="S118" s="2202"/>
      <c r="T118" s="2202">
        <v>30000</v>
      </c>
      <c r="U118" s="2657"/>
      <c r="V118" s="2731"/>
      <c r="W118" s="2731"/>
      <c r="X118" s="2731"/>
      <c r="Y118" s="2731"/>
      <c r="Z118" s="2731"/>
      <c r="AA118" s="2731"/>
      <c r="AB118" s="2675">
        <f t="shared" si="17"/>
        <v>30000</v>
      </c>
      <c r="AC118" s="2676"/>
      <c r="AD118" s="2659" t="s">
        <v>6608</v>
      </c>
      <c r="AE118" s="2676">
        <f>600000*1.08</f>
        <v>648000</v>
      </c>
      <c r="AF118" s="2717">
        <f>+AB118+AE118</f>
        <v>678000</v>
      </c>
      <c r="AG118" s="2732"/>
      <c r="AH118" s="1426">
        <v>1</v>
      </c>
      <c r="AI118" s="1427"/>
      <c r="AJ118" s="1426"/>
      <c r="AK118" s="1426"/>
      <c r="AL118" s="1426"/>
      <c r="AM118" s="1426"/>
      <c r="AN118" s="1426"/>
      <c r="AO118" s="1426"/>
      <c r="AP118" s="1426"/>
      <c r="AQ118" s="1427">
        <v>1</v>
      </c>
      <c r="AR118" s="1426"/>
      <c r="AS118" s="1427"/>
      <c r="AT118" s="1426"/>
      <c r="AU118" s="1426"/>
      <c r="AV118" s="1426"/>
      <c r="AW118" s="1426"/>
      <c r="AX118" s="1426"/>
    </row>
    <row r="119" spans="1:50" s="5" customFormat="1">
      <c r="A119" s="1657">
        <v>1</v>
      </c>
      <c r="B119" s="3512" t="s">
        <v>6565</v>
      </c>
      <c r="C119" s="2715">
        <v>307637838120</v>
      </c>
      <c r="D119" s="2746" t="s">
        <v>6565</v>
      </c>
      <c r="E119" s="3514" t="s">
        <v>6569</v>
      </c>
      <c r="F119" s="3516" t="s">
        <v>210</v>
      </c>
      <c r="G119" s="451">
        <v>1</v>
      </c>
      <c r="H119" s="445"/>
      <c r="I119" s="445"/>
      <c r="J119" s="2716">
        <f>17051.6732636716+2170</f>
        <v>19221.673263671601</v>
      </c>
      <c r="K119" s="3518" t="s">
        <v>6519</v>
      </c>
      <c r="L119" s="495" t="s">
        <v>6560</v>
      </c>
      <c r="M119" s="2296">
        <v>4</v>
      </c>
      <c r="N119" s="651" t="s">
        <v>6556</v>
      </c>
      <c r="O119" s="651" t="s">
        <v>6561</v>
      </c>
      <c r="P119" s="3510" t="s">
        <v>6520</v>
      </c>
      <c r="Q119" s="3185"/>
      <c r="R119" s="3508" t="s">
        <v>3152</v>
      </c>
      <c r="S119" s="2727" t="s">
        <v>5944</v>
      </c>
      <c r="T119" s="2729"/>
      <c r="U119" s="1143"/>
      <c r="V119" s="2788">
        <v>1400000</v>
      </c>
      <c r="W119" s="2788">
        <v>1800000</v>
      </c>
      <c r="X119" s="1143"/>
      <c r="Y119" s="1144"/>
      <c r="Z119" s="2779">
        <v>250000</v>
      </c>
      <c r="AA119" s="1143"/>
      <c r="AB119" s="2300">
        <f t="shared" si="17"/>
        <v>3450000</v>
      </c>
      <c r="AC119" s="1659"/>
      <c r="AD119" s="2793" t="s">
        <v>6712</v>
      </c>
      <c r="AE119" s="1659">
        <f>(AC119*1.08)+((AH119*$AH$4)+(G119*3450000+H119*3550000+I119*AI119)+(AJ119*$AJ$4)+(AK119*$AK$4)+(AL119*$AL$4)+(AM119*$AM$4*(G119+H119))+(AN119*$AN$4)+(AO119*$AO$4)+(AP119*$AP$4)+(AQ119*$AQ$4))*1.08-(350000*1.08)</f>
        <v>4881600</v>
      </c>
      <c r="AF119" s="1832">
        <f>+AB119+AE119</f>
        <v>8331600</v>
      </c>
      <c r="AG119" s="2730"/>
      <c r="AH119" s="1426">
        <v>1</v>
      </c>
      <c r="AI119" s="1427"/>
      <c r="AJ119" s="1426"/>
      <c r="AK119" s="1426"/>
      <c r="AL119" s="1426"/>
      <c r="AM119" s="1426"/>
      <c r="AN119" s="1426"/>
      <c r="AO119" s="1426"/>
      <c r="AP119" s="1426"/>
      <c r="AQ119" s="1427">
        <v>1</v>
      </c>
      <c r="AR119" s="1426"/>
      <c r="AS119" s="1427"/>
      <c r="AT119" s="1426"/>
      <c r="AU119" s="1426"/>
      <c r="AV119" s="1426"/>
      <c r="AW119" s="1426"/>
      <c r="AX119" s="1426"/>
    </row>
    <row r="120" spans="1:50" s="5" customFormat="1" ht="15.75" customHeight="1" thickBot="1">
      <c r="A120" s="1691">
        <f t="shared" ref="A120:A125" si="22">+A119+1</f>
        <v>2</v>
      </c>
      <c r="B120" s="3513"/>
      <c r="C120" s="1891">
        <v>307637834620</v>
      </c>
      <c r="D120" s="1704" t="s">
        <v>6565</v>
      </c>
      <c r="E120" s="3515"/>
      <c r="F120" s="3517"/>
      <c r="G120" s="2719">
        <v>1</v>
      </c>
      <c r="H120" s="2720"/>
      <c r="I120" s="2720"/>
      <c r="J120" s="1841">
        <f>15127.7806494727+2170</f>
        <v>17297.780649472697</v>
      </c>
      <c r="K120" s="3519"/>
      <c r="L120" s="2721" t="s">
        <v>6559</v>
      </c>
      <c r="M120" s="1693">
        <v>5</v>
      </c>
      <c r="N120" s="2722" t="s">
        <v>6557</v>
      </c>
      <c r="O120" s="2722" t="s">
        <v>6558</v>
      </c>
      <c r="P120" s="3511"/>
      <c r="Q120" s="1872"/>
      <c r="R120" s="3509"/>
      <c r="S120" s="1716" t="s">
        <v>5944</v>
      </c>
      <c r="T120" s="2723"/>
      <c r="U120" s="2600"/>
      <c r="V120" s="2600"/>
      <c r="W120" s="2600"/>
      <c r="X120" s="2600"/>
      <c r="Y120" s="2601"/>
      <c r="Z120" s="2780">
        <v>250000</v>
      </c>
      <c r="AA120" s="2600"/>
      <c r="AB120" s="2688">
        <f t="shared" si="17"/>
        <v>250000</v>
      </c>
      <c r="AC120" s="2662"/>
      <c r="AD120" s="2659" t="s">
        <v>6713</v>
      </c>
      <c r="AE120" s="2662">
        <f>(AC120*1.08)+((AH120*$AH$4)+(G120*3450000+H120*3550000+I120*AI120)+(AJ120*$AJ$4)+(AK120*$AK$4)+(AL120*$AL$4)+(AM120*$AM$4*(G120+H120))+(AN120*$AN$4)+(AO120*$AO$4)+(AP120*$AP$4)+(AQ120*$AQ$4))*1.08-(300000*1.08)</f>
        <v>4935600</v>
      </c>
      <c r="AF120" s="2663">
        <f t="shared" ref="AF120:AF123" si="23">+AB120+AE120</f>
        <v>5185600</v>
      </c>
      <c r="AG120" s="2724"/>
      <c r="AH120" s="1426">
        <v>1</v>
      </c>
      <c r="AI120" s="1427"/>
      <c r="AJ120" s="1426"/>
      <c r="AK120" s="1426"/>
      <c r="AL120" s="1426"/>
      <c r="AM120" s="1426"/>
      <c r="AN120" s="1426"/>
      <c r="AO120" s="1426"/>
      <c r="AP120" s="1426"/>
      <c r="AQ120" s="1427">
        <v>1</v>
      </c>
      <c r="AR120" s="1426"/>
      <c r="AS120" s="1427"/>
      <c r="AT120" s="1426"/>
      <c r="AU120" s="1426"/>
      <c r="AV120" s="1426"/>
      <c r="AW120" s="1426"/>
      <c r="AX120" s="1426"/>
    </row>
    <row r="121" spans="1:50" ht="13.8" thickBot="1">
      <c r="A121" s="2249">
        <f t="shared" si="22"/>
        <v>3</v>
      </c>
      <c r="B121" s="2683" t="s">
        <v>6654</v>
      </c>
      <c r="C121" s="2654">
        <v>307663247420</v>
      </c>
      <c r="D121" s="2773" t="s">
        <v>6654</v>
      </c>
      <c r="E121" s="2681" t="s">
        <v>6669</v>
      </c>
      <c r="F121" s="2753" t="s">
        <v>210</v>
      </c>
      <c r="G121" s="2249">
        <v>1</v>
      </c>
      <c r="H121" s="2754"/>
      <c r="I121" s="2754"/>
      <c r="J121" s="1841">
        <f>9258.34945+2100</f>
        <v>11358.34945</v>
      </c>
      <c r="K121" s="2755" t="s">
        <v>6610</v>
      </c>
      <c r="L121" s="2721" t="s">
        <v>6658</v>
      </c>
      <c r="M121" s="2756">
        <v>1</v>
      </c>
      <c r="N121" s="2722" t="s">
        <v>6659</v>
      </c>
      <c r="O121" s="2757" t="s">
        <v>6660</v>
      </c>
      <c r="P121" s="2758" t="s">
        <v>6644</v>
      </c>
      <c r="Q121" s="3206"/>
      <c r="R121" s="2618" t="s">
        <v>2966</v>
      </c>
      <c r="S121" s="2757" t="s">
        <v>6661</v>
      </c>
      <c r="T121" s="2202"/>
      <c r="U121" s="2657"/>
      <c r="V121" s="2789">
        <v>1000000</v>
      </c>
      <c r="W121" s="2680">
        <v>497000</v>
      </c>
      <c r="X121" s="2657"/>
      <c r="Y121" s="2658"/>
      <c r="Z121" s="2781">
        <v>250000</v>
      </c>
      <c r="AA121" s="2657"/>
      <c r="AB121" s="2688">
        <f>+U121+V121+W121+X121+Y121+Z121+AA121+T121</f>
        <v>1747000</v>
      </c>
      <c r="AC121" s="2662"/>
      <c r="AD121" s="2659"/>
      <c r="AE121" s="2662">
        <f>(AC121*1.08)+((AH121*$AH$4)+(G121*3450000+H121*3550000+I121*AI121)+(AJ121*$AJ$4)+(AK121*$AK$4)+(AL121*$AL$4)+(AM121*$AM$4*(G121+H121))+(AN121*$AN$4)+(AO121*$AO$4)+(AP121*$AP$4)+(AQ121*$AQ$4))*1.08</f>
        <v>5259600</v>
      </c>
      <c r="AF121" s="2663">
        <f t="shared" si="23"/>
        <v>7006600</v>
      </c>
      <c r="AG121" s="2769"/>
      <c r="AH121" s="1426">
        <v>1</v>
      </c>
      <c r="AQ121" s="1427">
        <v>1</v>
      </c>
    </row>
    <row r="122" spans="1:50" s="5" customFormat="1" ht="23.25" customHeight="1" thickBot="1">
      <c r="A122" s="1881">
        <f t="shared" si="22"/>
        <v>4</v>
      </c>
      <c r="B122" s="2786" t="s">
        <v>6678</v>
      </c>
      <c r="C122" s="1899">
        <v>307670497430</v>
      </c>
      <c r="D122" s="2786" t="s">
        <v>6678</v>
      </c>
      <c r="E122" s="2182" t="s">
        <v>6697</v>
      </c>
      <c r="F122" s="2753" t="s">
        <v>210</v>
      </c>
      <c r="G122" s="2178"/>
      <c r="H122" s="2178">
        <v>1</v>
      </c>
      <c r="I122" s="2178"/>
      <c r="J122" s="2179">
        <f>12900.7+3750</f>
        <v>16650.7</v>
      </c>
      <c r="K122" s="2760" t="s">
        <v>6609</v>
      </c>
      <c r="L122" s="1886" t="s">
        <v>6692</v>
      </c>
      <c r="M122" s="1887">
        <v>2</v>
      </c>
      <c r="N122" s="2782" t="s">
        <v>6690</v>
      </c>
      <c r="O122" s="2782" t="s">
        <v>6691</v>
      </c>
      <c r="P122" s="1888" t="s">
        <v>6662</v>
      </c>
      <c r="Q122" s="3203"/>
      <c r="R122" s="2618" t="s">
        <v>2966</v>
      </c>
      <c r="S122" s="2757" t="s">
        <v>6687</v>
      </c>
      <c r="T122" s="2761"/>
      <c r="U122" s="2762"/>
      <c r="V122" s="2790">
        <v>1450000</v>
      </c>
      <c r="W122" s="2680">
        <v>882000</v>
      </c>
      <c r="X122" s="2762"/>
      <c r="Y122" s="2763"/>
      <c r="Z122" s="2823">
        <v>500000</v>
      </c>
      <c r="AA122" s="2762"/>
      <c r="AB122" s="2764">
        <f>+U122+V122+W122+X122+Y122+Z122+AA122+T122</f>
        <v>2832000</v>
      </c>
      <c r="AC122" s="2664"/>
      <c r="AD122" s="2765"/>
      <c r="AE122" s="2676">
        <f>(AC122*1.08)+((AH122*$AH$4)+(G122*3450000+H122*3550000+I122*AI122)+(AJ122*$AJ$4)+(AK122*$AK$4)+(AL122*$AL$4)+(AM122*$AM$4*(G122+H122))+(AN122*$AN$4)+(AO122*$AO$4)+(AP122*$AP$4)+(AQ122*$AQ$4))*1.08</f>
        <v>5367600</v>
      </c>
      <c r="AF122" s="2663">
        <f t="shared" si="23"/>
        <v>8199600</v>
      </c>
      <c r="AG122" s="2766"/>
      <c r="AH122" s="1426">
        <v>1</v>
      </c>
      <c r="AI122" s="1427"/>
      <c r="AJ122" s="1426"/>
      <c r="AK122" s="1426"/>
      <c r="AL122" s="1426"/>
      <c r="AM122" s="1426"/>
      <c r="AN122" s="1426"/>
      <c r="AO122" s="1426"/>
      <c r="AP122" s="1426"/>
      <c r="AQ122" s="1427">
        <v>1</v>
      </c>
      <c r="AR122" s="1426"/>
      <c r="AS122" s="1427"/>
      <c r="AT122" s="1426"/>
      <c r="AU122" s="1426"/>
      <c r="AV122" s="1426"/>
      <c r="AW122" s="1426"/>
      <c r="AX122" s="1426"/>
    </row>
    <row r="123" spans="1:50" s="5" customFormat="1" ht="27" thickBot="1">
      <c r="A123" s="1881">
        <f t="shared" si="22"/>
        <v>5</v>
      </c>
      <c r="B123" s="2786" t="s">
        <v>6653</v>
      </c>
      <c r="C123" s="2787" t="s">
        <v>6708</v>
      </c>
      <c r="D123" s="2786" t="s">
        <v>6653</v>
      </c>
      <c r="E123" s="2792" t="s">
        <v>6710</v>
      </c>
      <c r="F123" s="2753" t="s">
        <v>210</v>
      </c>
      <c r="G123" s="2778"/>
      <c r="H123" s="2178">
        <v>1</v>
      </c>
      <c r="I123" s="1881"/>
      <c r="J123" s="1881">
        <f>23191.4406102326+26.7</f>
        <v>23218.1406102326</v>
      </c>
      <c r="K123" s="2770" t="s">
        <v>6646</v>
      </c>
      <c r="L123" s="2784" t="s">
        <v>6707</v>
      </c>
      <c r="M123" s="1881">
        <v>1</v>
      </c>
      <c r="N123" s="1881" t="s">
        <v>6704</v>
      </c>
      <c r="O123" s="1881" t="s">
        <v>6706</v>
      </c>
      <c r="P123" s="1881" t="s">
        <v>6647</v>
      </c>
      <c r="Q123" s="3207"/>
      <c r="R123" s="2618" t="s">
        <v>2966</v>
      </c>
      <c r="S123" s="1881" t="s">
        <v>6709</v>
      </c>
      <c r="T123" s="1881"/>
      <c r="U123" s="1881"/>
      <c r="V123" s="2790">
        <v>1500000</v>
      </c>
      <c r="W123" s="2680">
        <v>882000</v>
      </c>
      <c r="X123" s="1881"/>
      <c r="Y123" s="1881"/>
      <c r="Z123" s="2823">
        <v>500000</v>
      </c>
      <c r="AA123" s="1881"/>
      <c r="AB123" s="2764">
        <f>+U123+V123+W123+X123+Y123+Z123+AA123+T123</f>
        <v>2882000</v>
      </c>
      <c r="AC123" s="2664"/>
      <c r="AD123" s="2784" t="s">
        <v>6693</v>
      </c>
      <c r="AE123" s="2676">
        <f>(AC123*1.08)+((AH123*$AH$4)+(G123*3450000+H123*3550000+I123*AI123)+(AJ123*$AJ$4)+(AK123*$AK$4)+(AL123*$AL$4)+(AM123*$AM$4*(G123+H123))+(AN123*$AN$4)+(AO123*$AO$4)+(AP123*$AP$4)+(AQ123*$AQ$4))*1.08+300000*1.08</f>
        <v>7743600.0000000009</v>
      </c>
      <c r="AF123" s="2663">
        <f t="shared" si="23"/>
        <v>10625600</v>
      </c>
      <c r="AG123" s="2795"/>
      <c r="AH123" s="1426">
        <v>1</v>
      </c>
      <c r="AI123" s="1427"/>
      <c r="AJ123" s="1426">
        <v>1</v>
      </c>
      <c r="AK123" s="1426"/>
      <c r="AL123" s="1426"/>
      <c r="AM123" s="1426">
        <v>1</v>
      </c>
      <c r="AN123" s="1426"/>
      <c r="AO123" s="1426"/>
      <c r="AP123" s="1426"/>
      <c r="AQ123" s="1427">
        <v>1</v>
      </c>
      <c r="AR123" s="1426">
        <v>1</v>
      </c>
      <c r="AS123" s="1427"/>
      <c r="AT123" s="1426"/>
      <c r="AU123" s="1426"/>
      <c r="AV123" s="1426"/>
      <c r="AW123" s="1426"/>
      <c r="AX123" s="1426"/>
    </row>
    <row r="124" spans="1:50" s="5" customFormat="1" ht="27" thickBot="1">
      <c r="A124" s="1881">
        <f t="shared" si="22"/>
        <v>6</v>
      </c>
      <c r="B124" s="2786" t="s">
        <v>6715</v>
      </c>
      <c r="C124" s="1899">
        <v>307679253250</v>
      </c>
      <c r="D124" s="2759" t="s">
        <v>6715</v>
      </c>
      <c r="E124" s="2182" t="s">
        <v>6741</v>
      </c>
      <c r="F124" s="2775" t="s">
        <v>210</v>
      </c>
      <c r="G124" s="2178">
        <v>1</v>
      </c>
      <c r="H124" s="2178"/>
      <c r="I124" s="2178"/>
      <c r="J124" s="2179">
        <v>16439.099999999999</v>
      </c>
      <c r="K124" s="2770" t="s">
        <v>6676</v>
      </c>
      <c r="L124" s="1886" t="s">
        <v>6728</v>
      </c>
      <c r="M124" s="1881">
        <v>1</v>
      </c>
      <c r="N124" s="1886" t="s">
        <v>6727</v>
      </c>
      <c r="O124" s="1886" t="s">
        <v>6729</v>
      </c>
      <c r="P124" s="1888" t="s">
        <v>6698</v>
      </c>
      <c r="Q124" s="3208"/>
      <c r="R124" s="2783" t="s">
        <v>6677</v>
      </c>
      <c r="S124" s="2210" t="s">
        <v>6730</v>
      </c>
      <c r="T124" s="2776"/>
      <c r="U124" s="2762"/>
      <c r="V124" s="2789">
        <v>1000000</v>
      </c>
      <c r="W124" s="2680">
        <v>781000</v>
      </c>
      <c r="X124" s="2762"/>
      <c r="Y124" s="2763"/>
      <c r="Z124" s="2823">
        <v>250000</v>
      </c>
      <c r="AA124" s="2762"/>
      <c r="AB124" s="2764">
        <f t="shared" si="17"/>
        <v>2031000</v>
      </c>
      <c r="AC124" s="2664"/>
      <c r="AD124" s="2765"/>
      <c r="AE124" s="2664">
        <f>(AC124*1.08)+((AH124*$AH$4)+(G124*3450000+H124*3550000+I124*AI124)+(AJ124*$AJ$4)+(AK124*$AK$4)+(AL124*$AL$4)+(AM124*$AM$4*(G124+H124))+(AN124*$AN$4)+(AO124*$AO$4)+(AP124*$AP$4)+(AQ124*$AQ$4))*1.08</f>
        <v>5259600</v>
      </c>
      <c r="AF124" s="2777">
        <f t="shared" ref="AF124:AF125" si="24">+AB124+AE124</f>
        <v>7290600</v>
      </c>
      <c r="AG124" s="2766"/>
      <c r="AH124" s="1426">
        <v>1</v>
      </c>
      <c r="AI124" s="1427"/>
      <c r="AJ124" s="1426"/>
      <c r="AK124" s="1426"/>
      <c r="AL124" s="1426"/>
      <c r="AM124" s="1426"/>
      <c r="AN124" s="1426"/>
      <c r="AO124" s="1426"/>
      <c r="AP124" s="1426"/>
      <c r="AQ124" s="1427">
        <v>1</v>
      </c>
      <c r="AR124" s="1426"/>
      <c r="AS124" s="1427"/>
      <c r="AT124" s="1426"/>
      <c r="AU124" s="1426"/>
      <c r="AV124" s="1426"/>
      <c r="AW124" s="1426"/>
      <c r="AX124" s="1426"/>
    </row>
    <row r="125" spans="1:50" s="5" customFormat="1" ht="27" customHeight="1" thickBot="1">
      <c r="A125" s="2249">
        <f t="shared" si="22"/>
        <v>7</v>
      </c>
      <c r="B125" s="2803" t="s">
        <v>6721</v>
      </c>
      <c r="C125" s="2654">
        <v>307684161430</v>
      </c>
      <c r="D125" s="2757" t="s">
        <v>6761</v>
      </c>
      <c r="E125" s="2681" t="s">
        <v>6766</v>
      </c>
      <c r="F125" s="1706" t="s">
        <v>210</v>
      </c>
      <c r="G125" s="1878"/>
      <c r="H125" s="1707"/>
      <c r="I125" s="1707">
        <v>1</v>
      </c>
      <c r="J125" s="1879" t="s">
        <v>6762</v>
      </c>
      <c r="K125" s="2802" t="s">
        <v>6742</v>
      </c>
      <c r="L125" s="1871" t="s">
        <v>6767</v>
      </c>
      <c r="M125" s="1697"/>
      <c r="N125" s="3491" t="s">
        <v>6763</v>
      </c>
      <c r="O125" s="3492"/>
      <c r="P125" s="1859" t="s">
        <v>6764</v>
      </c>
      <c r="Q125" s="3209"/>
      <c r="R125" s="1858" t="s">
        <v>3167</v>
      </c>
      <c r="S125" s="2811" t="s">
        <v>6760</v>
      </c>
      <c r="T125" s="1880"/>
      <c r="U125" s="2657"/>
      <c r="V125" s="2657"/>
      <c r="W125" s="2657"/>
      <c r="X125" s="2657"/>
      <c r="Y125" s="2658"/>
      <c r="Z125" s="2823">
        <v>50619</v>
      </c>
      <c r="AA125" s="2657"/>
      <c r="AB125" s="2764">
        <f t="shared" si="17"/>
        <v>50619</v>
      </c>
      <c r="AC125" s="2676"/>
      <c r="AD125" s="2659" t="s">
        <v>6747</v>
      </c>
      <c r="AE125" s="2676">
        <f>(2300000+(280000*11.16)+770000)*1.08</f>
        <v>6690384</v>
      </c>
      <c r="AF125" s="2717">
        <f t="shared" si="24"/>
        <v>6741003</v>
      </c>
      <c r="AG125" s="2769"/>
      <c r="AH125" s="1426">
        <v>1</v>
      </c>
      <c r="AI125" s="1427"/>
      <c r="AJ125" s="1426"/>
      <c r="AK125" s="1426"/>
      <c r="AL125" s="1426"/>
      <c r="AM125" s="1426"/>
      <c r="AN125" s="1426"/>
      <c r="AO125" s="1426"/>
      <c r="AP125" s="1426"/>
      <c r="AQ125" s="1427"/>
      <c r="AR125" s="1426"/>
      <c r="AS125" s="1427"/>
      <c r="AT125" s="1426"/>
      <c r="AU125" s="1426"/>
      <c r="AV125" s="1426"/>
      <c r="AW125" s="1426"/>
      <c r="AX125" s="1426"/>
    </row>
    <row r="126" spans="1:50" s="5" customFormat="1">
      <c r="A126" s="3505" t="s">
        <v>6848</v>
      </c>
      <c r="B126" s="3505"/>
      <c r="C126" s="3505"/>
      <c r="D126" s="3505"/>
      <c r="E126" s="3505"/>
      <c r="F126" s="3505"/>
      <c r="G126" s="3505"/>
      <c r="H126" s="3505"/>
      <c r="I126" s="3505"/>
      <c r="J126" s="3505"/>
      <c r="K126" s="3505"/>
      <c r="L126" s="3505"/>
      <c r="M126" s="3505"/>
      <c r="N126" s="3505"/>
      <c r="O126" s="3505"/>
      <c r="P126" s="2883"/>
      <c r="Q126" s="2883"/>
      <c r="R126" s="2884"/>
      <c r="S126" s="2884"/>
      <c r="T126" s="2885"/>
      <c r="U126" s="2886"/>
      <c r="V126" s="2887"/>
      <c r="W126" s="2887"/>
      <c r="X126" s="2887"/>
      <c r="Y126" s="2875"/>
      <c r="Z126" s="2876"/>
      <c r="AA126" s="2874"/>
      <c r="AB126" s="2875">
        <f>SUM(AB118:AB125)</f>
        <v>13272619</v>
      </c>
      <c r="AC126" s="2875">
        <f>SUM(AC100:AC124)</f>
        <v>0</v>
      </c>
      <c r="AD126" s="878"/>
      <c r="AE126" s="2875">
        <f>SUM(AE118:AE125)</f>
        <v>40785984</v>
      </c>
      <c r="AF126" s="2875">
        <f>SUM(AF118:AF125)</f>
        <v>54058603</v>
      </c>
      <c r="AG126" s="2877"/>
      <c r="AH126" s="1426"/>
      <c r="AI126" s="1427"/>
      <c r="AJ126" s="1426"/>
      <c r="AK126" s="1426"/>
      <c r="AL126" s="1426"/>
      <c r="AM126" s="1426"/>
      <c r="AN126" s="1426"/>
      <c r="AO126" s="1426"/>
      <c r="AP126" s="1426"/>
      <c r="AQ126" s="1427"/>
      <c r="AR126" s="1426"/>
      <c r="AS126" s="1427"/>
      <c r="AT126" s="1426"/>
      <c r="AU126" s="1426"/>
      <c r="AV126" s="1426"/>
      <c r="AW126" s="1426"/>
      <c r="AX126" s="1426"/>
    </row>
    <row r="127" spans="1:50" s="5" customFormat="1">
      <c r="A127" s="1639"/>
      <c r="B127" s="2042" t="s">
        <v>6654</v>
      </c>
      <c r="C127" s="1896">
        <v>307663247420</v>
      </c>
      <c r="D127" s="2016" t="s">
        <v>6654</v>
      </c>
      <c r="E127" s="2029" t="s">
        <v>6931</v>
      </c>
      <c r="F127" s="1915" t="s">
        <v>210</v>
      </c>
      <c r="G127" s="1639">
        <v>1</v>
      </c>
      <c r="H127" s="1549"/>
      <c r="I127" s="1549"/>
      <c r="J127" s="1840">
        <f>9258.34945+2100</f>
        <v>11358.34945</v>
      </c>
      <c r="K127" s="1641" t="s">
        <v>6610</v>
      </c>
      <c r="L127" s="1938" t="s">
        <v>6658</v>
      </c>
      <c r="M127" s="2896">
        <v>1</v>
      </c>
      <c r="N127" s="1913" t="s">
        <v>6659</v>
      </c>
      <c r="O127" s="1504" t="s">
        <v>6660</v>
      </c>
      <c r="P127" s="2897" t="s">
        <v>6644</v>
      </c>
      <c r="Q127" s="2897"/>
      <c r="R127" s="1492" t="s">
        <v>2966</v>
      </c>
      <c r="S127" s="1504" t="s">
        <v>6661</v>
      </c>
      <c r="T127" s="1492"/>
      <c r="U127" s="1461"/>
      <c r="V127" s="2882"/>
      <c r="W127" s="2882"/>
      <c r="X127" s="1699"/>
      <c r="Y127" s="1639"/>
      <c r="Z127" s="1828"/>
      <c r="AA127" s="1461"/>
      <c r="AB127" s="1661">
        <f>+U127+V127+W127+X127+Y127+Z127+AA127+T127</f>
        <v>0</v>
      </c>
      <c r="AC127" s="1650"/>
      <c r="AD127" s="1662" t="s">
        <v>6608</v>
      </c>
      <c r="AE127" s="1650">
        <f>600000*1.08</f>
        <v>648000</v>
      </c>
      <c r="AF127" s="1837">
        <f t="shared" ref="AF127:AF130" si="25">+AB127+AE127</f>
        <v>648000</v>
      </c>
      <c r="AG127" s="2674"/>
      <c r="AH127" s="1426"/>
      <c r="AI127" s="1427"/>
      <c r="AJ127" s="1426"/>
      <c r="AK127" s="1426"/>
      <c r="AL127" s="1426"/>
      <c r="AM127" s="1426"/>
      <c r="AN127" s="1426"/>
      <c r="AO127" s="1426"/>
      <c r="AP127" s="1426"/>
      <c r="AQ127" s="1427"/>
      <c r="AR127" s="1426"/>
      <c r="AS127" s="1427"/>
      <c r="AT127" s="1426"/>
      <c r="AU127" s="1426"/>
      <c r="AV127" s="1426"/>
      <c r="AW127" s="1426"/>
      <c r="AX127" s="1426"/>
    </row>
    <row r="128" spans="1:50" s="5" customFormat="1" ht="26.4">
      <c r="A128" s="1699"/>
      <c r="B128" s="2892" t="s">
        <v>6653</v>
      </c>
      <c r="C128" s="2893" t="s">
        <v>6708</v>
      </c>
      <c r="D128" s="2892" t="s">
        <v>6653</v>
      </c>
      <c r="E128" s="2894" t="s">
        <v>6929</v>
      </c>
      <c r="F128" s="1242" t="s">
        <v>210</v>
      </c>
      <c r="G128" s="1057"/>
      <c r="H128" s="1904">
        <v>1</v>
      </c>
      <c r="I128" s="1699"/>
      <c r="J128" s="1699">
        <f>23191.4406102326+26.7+3840</f>
        <v>27058.1406102326</v>
      </c>
      <c r="K128" s="2889" t="s">
        <v>6646</v>
      </c>
      <c r="L128" s="2895" t="s">
        <v>6707</v>
      </c>
      <c r="M128" s="1699">
        <v>1</v>
      </c>
      <c r="N128" s="1699" t="s">
        <v>6704</v>
      </c>
      <c r="O128" s="1699" t="s">
        <v>6706</v>
      </c>
      <c r="P128" s="1699" t="s">
        <v>6647</v>
      </c>
      <c r="Q128" s="1699"/>
      <c r="R128" s="2599" t="s">
        <v>2966</v>
      </c>
      <c r="S128" s="1699" t="s">
        <v>6709</v>
      </c>
      <c r="T128" s="2599">
        <v>30000</v>
      </c>
      <c r="U128" s="1699"/>
      <c r="V128" s="2878"/>
      <c r="W128" s="2878"/>
      <c r="X128" s="1639"/>
      <c r="Y128" s="1639"/>
      <c r="Z128" s="1828"/>
      <c r="AA128" s="1639"/>
      <c r="AB128" s="1661">
        <f>+U128+V128+W128+X128+Y128+Z128+AA128+T128</f>
        <v>30000</v>
      </c>
      <c r="AC128" s="1650"/>
      <c r="AD128" s="2879" t="s">
        <v>7055</v>
      </c>
      <c r="AE128" s="1650">
        <f>600000*1.08</f>
        <v>648000</v>
      </c>
      <c r="AF128" s="1837">
        <f t="shared" si="25"/>
        <v>678000</v>
      </c>
      <c r="AG128" s="2908"/>
      <c r="AH128" s="1426">
        <v>1</v>
      </c>
      <c r="AI128" s="1427"/>
      <c r="AJ128" s="1426">
        <v>1</v>
      </c>
      <c r="AK128" s="1426"/>
      <c r="AL128" s="1426"/>
      <c r="AM128" s="1426">
        <v>1</v>
      </c>
      <c r="AN128" s="1426"/>
      <c r="AO128" s="1426"/>
      <c r="AP128" s="1426"/>
      <c r="AQ128" s="1427">
        <v>1</v>
      </c>
      <c r="AR128" s="1426">
        <v>1</v>
      </c>
      <c r="AS128" s="1427"/>
      <c r="AT128" s="1426"/>
      <c r="AU128" s="1426"/>
      <c r="AV128" s="1426"/>
      <c r="AW128" s="1426"/>
      <c r="AX128" s="1426"/>
    </row>
    <row r="129" spans="1:50" s="5" customFormat="1" ht="27" customHeight="1">
      <c r="A129" s="1699"/>
      <c r="B129" s="2899" t="s">
        <v>6721</v>
      </c>
      <c r="C129" s="1260">
        <v>307684161430</v>
      </c>
      <c r="D129" s="795" t="s">
        <v>6761</v>
      </c>
      <c r="E129" s="779" t="s">
        <v>6930</v>
      </c>
      <c r="F129" s="1245" t="s">
        <v>210</v>
      </c>
      <c r="G129" s="2900"/>
      <c r="H129" s="2901"/>
      <c r="I129" s="2901">
        <v>1</v>
      </c>
      <c r="J129" s="1680" t="s">
        <v>6762</v>
      </c>
      <c r="K129" s="2902" t="s">
        <v>6742</v>
      </c>
      <c r="L129" s="1379" t="s">
        <v>6767</v>
      </c>
      <c r="M129" s="1389"/>
      <c r="N129" s="3506" t="s">
        <v>6763</v>
      </c>
      <c r="O129" s="3507"/>
      <c r="P129" s="740" t="s">
        <v>6764</v>
      </c>
      <c r="Q129" s="2394"/>
      <c r="R129" s="928" t="s">
        <v>3167</v>
      </c>
      <c r="S129" s="2903" t="s">
        <v>6760</v>
      </c>
      <c r="T129" s="1492">
        <v>30000</v>
      </c>
      <c r="U129" s="1116"/>
      <c r="V129" s="1116"/>
      <c r="W129" s="1116"/>
      <c r="X129" s="1116"/>
      <c r="Y129" s="1117"/>
      <c r="Z129" s="1263"/>
      <c r="AA129" s="1116"/>
      <c r="AB129" s="1261">
        <f t="shared" ref="AB129:AB131" si="26">+U129+V129+W129+X129+Y129+Z129+AA129+T129</f>
        <v>30000</v>
      </c>
      <c r="AC129" s="1267"/>
      <c r="AD129" s="1662" t="s">
        <v>6608</v>
      </c>
      <c r="AE129" s="1650">
        <f>600000*1.08</f>
        <v>648000</v>
      </c>
      <c r="AF129" s="2891">
        <f t="shared" si="25"/>
        <v>678000</v>
      </c>
      <c r="AG129" s="2674"/>
      <c r="AH129" s="1426">
        <v>1</v>
      </c>
      <c r="AI129" s="1427"/>
      <c r="AJ129" s="1426"/>
      <c r="AK129" s="1426"/>
      <c r="AL129" s="1426"/>
      <c r="AM129" s="1426"/>
      <c r="AN129" s="1426"/>
      <c r="AO129" s="1426"/>
      <c r="AP129" s="1426"/>
      <c r="AQ129" s="1427"/>
      <c r="AR129" s="1426"/>
      <c r="AS129" s="1427"/>
      <c r="AT129" s="1426"/>
      <c r="AU129" s="1426"/>
      <c r="AV129" s="1426"/>
      <c r="AW129" s="1426"/>
      <c r="AX129" s="1426"/>
    </row>
    <row r="130" spans="1:50" s="5" customFormat="1" ht="23.25" customHeight="1" thickBot="1">
      <c r="A130" s="2249"/>
      <c r="B130" s="2683" t="s">
        <v>6678</v>
      </c>
      <c r="C130" s="2654">
        <v>307670497430</v>
      </c>
      <c r="D130" s="2683" t="s">
        <v>6678</v>
      </c>
      <c r="E130" s="2681" t="s">
        <v>7026</v>
      </c>
      <c r="F130" s="2753" t="s">
        <v>210</v>
      </c>
      <c r="G130" s="1707"/>
      <c r="H130" s="1707">
        <v>1</v>
      </c>
      <c r="I130" s="1707"/>
      <c r="J130" s="1879">
        <f>12900.7+3750</f>
        <v>16650.7</v>
      </c>
      <c r="K130" s="2656" t="s">
        <v>6609</v>
      </c>
      <c r="L130" s="1871" t="s">
        <v>6692</v>
      </c>
      <c r="M130" s="1697">
        <v>2</v>
      </c>
      <c r="N130" s="1698" t="s">
        <v>6690</v>
      </c>
      <c r="O130" s="1698" t="s">
        <v>6691</v>
      </c>
      <c r="P130" s="1872" t="s">
        <v>6662</v>
      </c>
      <c r="Q130" s="3203"/>
      <c r="R130" s="2618" t="s">
        <v>2966</v>
      </c>
      <c r="S130" s="2757" t="s">
        <v>6687</v>
      </c>
      <c r="T130" s="1716">
        <v>30000</v>
      </c>
      <c r="U130" s="2657"/>
      <c r="V130" s="2731"/>
      <c r="W130" s="2731"/>
      <c r="X130" s="2731"/>
      <c r="Y130" s="2839"/>
      <c r="Z130" s="2839"/>
      <c r="AA130" s="2657"/>
      <c r="AB130" s="2675">
        <f>+U130+V130+W130+X130+Y130+Z130+AA130+T130</f>
        <v>30000</v>
      </c>
      <c r="AC130" s="2676"/>
      <c r="AD130" s="2602" t="s">
        <v>6608</v>
      </c>
      <c r="AE130" s="2302">
        <f>600000*1.08</f>
        <v>648000</v>
      </c>
      <c r="AF130" s="1832">
        <f t="shared" si="25"/>
        <v>678000</v>
      </c>
      <c r="AG130" s="2769"/>
      <c r="AH130" s="1426">
        <v>1</v>
      </c>
      <c r="AI130" s="1427"/>
      <c r="AJ130" s="1426"/>
      <c r="AK130" s="1426"/>
      <c r="AL130" s="1426"/>
      <c r="AM130" s="1426"/>
      <c r="AN130" s="1426"/>
      <c r="AO130" s="1426"/>
      <c r="AP130" s="1426"/>
      <c r="AQ130" s="1427">
        <v>1</v>
      </c>
      <c r="AR130" s="1426"/>
      <c r="AS130" s="1427"/>
      <c r="AT130" s="1426"/>
      <c r="AU130" s="1426"/>
      <c r="AV130" s="1426"/>
      <c r="AW130" s="1426"/>
      <c r="AX130" s="1426"/>
    </row>
    <row r="131" spans="1:50" s="5" customFormat="1" ht="52.8">
      <c r="A131" s="1503">
        <f>+A127+1</f>
        <v>1</v>
      </c>
      <c r="B131" s="2913" t="s">
        <v>6857</v>
      </c>
      <c r="C131" s="1312">
        <v>307744932520</v>
      </c>
      <c r="D131" s="386" t="s">
        <v>6937</v>
      </c>
      <c r="E131" s="179" t="s">
        <v>6968</v>
      </c>
      <c r="F131" s="693" t="s">
        <v>210</v>
      </c>
      <c r="G131" s="167"/>
      <c r="H131" s="167"/>
      <c r="I131" s="167">
        <v>1</v>
      </c>
      <c r="J131" s="1681">
        <v>8063.76</v>
      </c>
      <c r="K131" s="1357" t="s">
        <v>6940</v>
      </c>
      <c r="L131" s="154" t="s">
        <v>6969</v>
      </c>
      <c r="M131" s="1524" t="s">
        <v>102</v>
      </c>
      <c r="N131" s="3486" t="s">
        <v>6941</v>
      </c>
      <c r="O131" s="3487"/>
      <c r="P131" s="170" t="s">
        <v>6942</v>
      </c>
      <c r="Q131" s="740"/>
      <c r="R131" s="2880" t="s">
        <v>3167</v>
      </c>
      <c r="S131" s="2890" t="s">
        <v>6966</v>
      </c>
      <c r="T131" s="781"/>
      <c r="U131" s="1526"/>
      <c r="V131" s="2011"/>
      <c r="W131" s="2011"/>
      <c r="X131" s="1526"/>
      <c r="Y131" s="1749"/>
      <c r="Z131" s="2685">
        <v>120957</v>
      </c>
      <c r="AA131" s="1526"/>
      <c r="AB131" s="2932">
        <f t="shared" si="26"/>
        <v>120957</v>
      </c>
      <c r="AC131" s="2931"/>
      <c r="AD131" s="2934"/>
      <c r="AE131" s="2930">
        <f>(770000+(2300000+(35.04*280000)))*1.08</f>
        <v>13911696</v>
      </c>
      <c r="AF131" s="2929">
        <f>+AB131+AE131</f>
        <v>14032653</v>
      </c>
      <c r="AG131" s="2909"/>
      <c r="AH131" s="1426">
        <v>1</v>
      </c>
      <c r="AI131" s="1427"/>
      <c r="AJ131" s="1426"/>
      <c r="AK131" s="1426"/>
      <c r="AL131" s="1426"/>
      <c r="AM131" s="1426"/>
      <c r="AN131" s="1426"/>
      <c r="AO131" s="1426"/>
      <c r="AP131" s="1426"/>
      <c r="AQ131" s="1427"/>
      <c r="AR131" s="1426"/>
      <c r="AS131" s="1427"/>
      <c r="AT131" s="1426"/>
      <c r="AU131" s="1426"/>
      <c r="AV131" s="1426"/>
      <c r="AW131" s="1426"/>
      <c r="AX131" s="1426"/>
    </row>
    <row r="132" spans="1:50" s="5" customFormat="1">
      <c r="A132" s="2620">
        <f>+A131+1</f>
        <v>2</v>
      </c>
      <c r="B132" s="2936" t="s">
        <v>7000</v>
      </c>
      <c r="C132" s="2292">
        <v>307795140130</v>
      </c>
      <c r="D132" s="2293" t="s">
        <v>7000</v>
      </c>
      <c r="E132" s="1623" t="s">
        <v>7117</v>
      </c>
      <c r="F132" s="2294" t="s">
        <v>210</v>
      </c>
      <c r="G132" s="2621">
        <v>1</v>
      </c>
      <c r="H132" s="2205"/>
      <c r="I132" s="2205"/>
      <c r="J132" s="2142">
        <v>5084.9811709074702</v>
      </c>
      <c r="K132" s="1562" t="s">
        <v>7094</v>
      </c>
      <c r="L132" s="2295" t="s">
        <v>7116</v>
      </c>
      <c r="M132" s="2296">
        <v>1</v>
      </c>
      <c r="N132" s="651" t="s">
        <v>7114</v>
      </c>
      <c r="O132" s="651" t="s">
        <v>7115</v>
      </c>
      <c r="P132" s="2288" t="s">
        <v>7095</v>
      </c>
      <c r="Q132" s="3202"/>
      <c r="R132" s="522" t="s">
        <v>2966</v>
      </c>
      <c r="S132" s="2009" t="s">
        <v>6730</v>
      </c>
      <c r="T132" s="1496"/>
      <c r="U132" s="2297"/>
      <c r="V132" s="2538">
        <v>1000000</v>
      </c>
      <c r="W132" s="2937">
        <v>497000</v>
      </c>
      <c r="X132" s="2297"/>
      <c r="Y132" s="2298"/>
      <c r="Z132" s="2937">
        <v>250000</v>
      </c>
      <c r="AA132" s="2297"/>
      <c r="AB132" s="2938">
        <f t="shared" ref="AB132" si="27">+U132+V132+W132+X132+Y132+Z132+AA132+T132</f>
        <v>1747000</v>
      </c>
      <c r="AC132" s="2939"/>
      <c r="AD132" s="2940"/>
      <c r="AE132" s="2302">
        <f>(AC132*1.08)+((AH132*$AH$4)+(G132*3450000+H132*3550000+I132*AI132)+(AJ132*$AJ$4)+(AK132*$AK$4)+(AL132*$AL$4)+(AM132*$AM$4*(G132+H132))+(AN132*$AN$4)+(AO132*$AO$4)+(AP132*$AP$4)+(AQ132*$AQ$4))*1.08</f>
        <v>5259600</v>
      </c>
      <c r="AF132" s="2941">
        <f>+AB132+AE132</f>
        <v>7006600</v>
      </c>
      <c r="AG132" s="2942"/>
      <c r="AH132" s="1426">
        <v>1</v>
      </c>
      <c r="AI132" s="1427"/>
      <c r="AJ132" s="1426"/>
      <c r="AK132" s="1426"/>
      <c r="AL132" s="1426"/>
      <c r="AM132" s="1426"/>
      <c r="AN132" s="1426"/>
      <c r="AO132" s="1426"/>
      <c r="AP132" s="1426"/>
      <c r="AQ132" s="1427">
        <v>1</v>
      </c>
      <c r="AR132" s="1426"/>
      <c r="AS132" s="1427"/>
      <c r="AT132" s="1426"/>
      <c r="AU132" s="1426"/>
      <c r="AV132" s="1426"/>
      <c r="AW132" s="1426"/>
      <c r="AX132" s="1426"/>
    </row>
    <row r="133" spans="1:50" s="5" customFormat="1">
      <c r="A133" s="1639">
        <f>+A132+1</f>
        <v>3</v>
      </c>
      <c r="B133" s="2935" t="s">
        <v>7088</v>
      </c>
      <c r="C133" s="1896">
        <v>307804270930</v>
      </c>
      <c r="D133" s="1520" t="s">
        <v>7088</v>
      </c>
      <c r="E133" s="2029" t="s">
        <v>7151</v>
      </c>
      <c r="F133" s="1398" t="s">
        <v>210</v>
      </c>
      <c r="G133" s="2144"/>
      <c r="H133" s="1642"/>
      <c r="I133" s="1642" t="s">
        <v>128</v>
      </c>
      <c r="J133" s="1840">
        <v>100.9</v>
      </c>
      <c r="K133" s="2141" t="s">
        <v>7148</v>
      </c>
      <c r="L133" s="1938" t="s">
        <v>7149</v>
      </c>
      <c r="M133" s="2615"/>
      <c r="N133" s="1913"/>
      <c r="O133" s="1913"/>
      <c r="P133" s="2315"/>
      <c r="Q133" s="2315"/>
      <c r="R133" s="1492" t="s">
        <v>3144</v>
      </c>
      <c r="S133" s="1492" t="s">
        <v>7150</v>
      </c>
      <c r="T133" s="1517"/>
      <c r="U133" s="1461"/>
      <c r="V133" s="1664"/>
      <c r="W133" s="1664"/>
      <c r="X133" s="1461"/>
      <c r="Y133" s="2240"/>
      <c r="Z133" s="1664"/>
      <c r="AA133" s="1461"/>
      <c r="AB133" s="2647"/>
      <c r="AC133" s="2186"/>
      <c r="AD133" s="2928"/>
      <c r="AE133" s="1650">
        <f>+(770000+1800000)*1.08</f>
        <v>2775600</v>
      </c>
      <c r="AF133" s="2929">
        <f>+AB133+AE133</f>
        <v>2775600</v>
      </c>
      <c r="AG133" s="2674"/>
      <c r="AH133" s="1426">
        <v>1</v>
      </c>
      <c r="AI133" s="1427"/>
      <c r="AJ133" s="1426"/>
      <c r="AK133" s="1426"/>
      <c r="AL133" s="1426"/>
      <c r="AM133" s="1426"/>
      <c r="AN133" s="1426"/>
      <c r="AO133" s="1426"/>
      <c r="AP133" s="1426"/>
      <c r="AQ133" s="1427"/>
      <c r="AR133" s="1426"/>
      <c r="AS133" s="1427"/>
      <c r="AT133" s="1426"/>
      <c r="AU133" s="1426"/>
      <c r="AV133" s="1426"/>
      <c r="AW133" s="1426"/>
      <c r="AX133" s="1426"/>
    </row>
    <row r="134" spans="1:50" s="5" customFormat="1">
      <c r="A134" s="1699"/>
      <c r="B134" s="1648"/>
      <c r="C134" s="2772" t="s">
        <v>7191</v>
      </c>
      <c r="D134" s="684"/>
      <c r="E134" s="779" t="s">
        <v>7192</v>
      </c>
      <c r="F134" s="1245"/>
      <c r="G134" s="2735"/>
      <c r="H134" s="1904"/>
      <c r="I134" s="1904"/>
      <c r="J134" s="1680"/>
      <c r="K134" s="949"/>
      <c r="L134" s="2726"/>
      <c r="M134" s="2624"/>
      <c r="N134" s="2625"/>
      <c r="O134" s="2625"/>
      <c r="P134" s="2954"/>
      <c r="Q134" s="2954"/>
      <c r="R134" s="2599"/>
      <c r="S134" s="2599"/>
      <c r="T134" s="781"/>
      <c r="U134" s="1116"/>
      <c r="V134" s="1291"/>
      <c r="W134" s="1291"/>
      <c r="X134" s="1116"/>
      <c r="Y134" s="1144"/>
      <c r="Z134" s="1829"/>
      <c r="AA134" s="1143"/>
      <c r="AB134" s="2445">
        <f>320000+260000+40000</f>
        <v>620000</v>
      </c>
      <c r="AC134" s="2958"/>
      <c r="AD134" s="2959"/>
      <c r="AE134" s="1659"/>
      <c r="AF134" s="2960"/>
      <c r="AG134" s="2730"/>
      <c r="AH134" s="1426"/>
      <c r="AI134" s="1427"/>
      <c r="AJ134" s="1426"/>
      <c r="AK134" s="1426"/>
      <c r="AL134" s="1426"/>
      <c r="AM134" s="1426"/>
      <c r="AN134" s="1426"/>
      <c r="AO134" s="1426"/>
      <c r="AP134" s="1426"/>
      <c r="AQ134" s="1427"/>
      <c r="AR134" s="1426"/>
      <c r="AS134" s="1427"/>
      <c r="AT134" s="1426"/>
      <c r="AU134" s="1426"/>
      <c r="AV134" s="1426"/>
      <c r="AW134" s="1426"/>
      <c r="AX134" s="1426"/>
    </row>
    <row r="135" spans="1:50" s="5" customFormat="1">
      <c r="A135" s="3476" t="s">
        <v>7096</v>
      </c>
      <c r="B135" s="3476"/>
      <c r="C135" s="3476"/>
      <c r="D135" s="3476"/>
      <c r="E135" s="3476"/>
      <c r="F135" s="3476"/>
      <c r="G135" s="3476"/>
      <c r="H135" s="3476"/>
      <c r="I135" s="3476"/>
      <c r="J135" s="3476"/>
      <c r="K135" s="3476"/>
      <c r="L135" s="3476"/>
      <c r="M135" s="3476"/>
      <c r="N135" s="3477"/>
      <c r="O135" s="3477"/>
      <c r="P135" s="2962"/>
      <c r="Q135" s="2962"/>
      <c r="R135" s="2963"/>
      <c r="S135" s="2963"/>
      <c r="T135" s="1040"/>
      <c r="U135" s="2306"/>
      <c r="V135" s="2305"/>
      <c r="W135" s="2305"/>
      <c r="X135" s="2305"/>
      <c r="Y135" s="2976"/>
      <c r="Z135" s="2976"/>
      <c r="AA135" s="2977"/>
      <c r="AB135" s="2976">
        <f>SUM(AB125:AB132)</f>
        <v>15281195</v>
      </c>
      <c r="AC135" s="2875">
        <f>SUM(AC107:AC131)</f>
        <v>0</v>
      </c>
      <c r="AD135" s="878"/>
      <c r="AE135" s="2875">
        <f>SUM(AE125:AE132)</f>
        <v>69239664</v>
      </c>
      <c r="AF135" s="2875">
        <f>SUM(AF125:AF132)</f>
        <v>84520859</v>
      </c>
      <c r="AG135" s="2877"/>
      <c r="AH135" s="1426"/>
      <c r="AI135" s="1427"/>
      <c r="AJ135" s="1426"/>
      <c r="AK135" s="1426"/>
      <c r="AL135" s="1426"/>
      <c r="AM135" s="1426"/>
      <c r="AN135" s="1426"/>
      <c r="AO135" s="1426"/>
      <c r="AP135" s="1426"/>
      <c r="AQ135" s="1427"/>
      <c r="AR135" s="1426"/>
      <c r="AS135" s="1427"/>
      <c r="AT135" s="1426"/>
      <c r="AU135" s="1426"/>
      <c r="AV135" s="1426"/>
      <c r="AW135" s="1426"/>
      <c r="AX135" s="1426"/>
    </row>
    <row r="136" spans="1:50" s="5" customFormat="1" ht="52.8">
      <c r="A136" s="1503"/>
      <c r="B136" s="2913" t="s">
        <v>6857</v>
      </c>
      <c r="C136" s="1312">
        <v>307744932520</v>
      </c>
      <c r="D136" s="386" t="s">
        <v>6937</v>
      </c>
      <c r="E136" s="179" t="s">
        <v>7530</v>
      </c>
      <c r="F136" s="693" t="s">
        <v>210</v>
      </c>
      <c r="G136" s="167"/>
      <c r="H136" s="167"/>
      <c r="I136" s="167">
        <v>1</v>
      </c>
      <c r="J136" s="1681">
        <v>8063.76</v>
      </c>
      <c r="K136" s="1357" t="s">
        <v>6940</v>
      </c>
      <c r="L136" s="154" t="s">
        <v>6969</v>
      </c>
      <c r="M136" s="1524" t="s">
        <v>102</v>
      </c>
      <c r="N136" s="3485" t="s">
        <v>6941</v>
      </c>
      <c r="O136" s="3485"/>
      <c r="P136" s="1516" t="s">
        <v>6942</v>
      </c>
      <c r="Q136" s="1516"/>
      <c r="R136" s="2890" t="s">
        <v>3167</v>
      </c>
      <c r="S136" s="2890" t="s">
        <v>6966</v>
      </c>
      <c r="T136" s="1492"/>
      <c r="U136" s="1526"/>
      <c r="V136" s="2011"/>
      <c r="W136" s="2011"/>
      <c r="X136" s="1526"/>
      <c r="Y136" s="1749"/>
      <c r="Z136" s="1609"/>
      <c r="AA136" s="1526"/>
      <c r="AB136" s="2647">
        <f t="shared" ref="AB136" si="28">+U136+V136+W136+X136+Y136+Z136+AA136+T136</f>
        <v>0</v>
      </c>
      <c r="AC136" s="2186"/>
      <c r="AD136" s="2557" t="s">
        <v>7200</v>
      </c>
      <c r="AE136" s="2961">
        <f>600000*1.08</f>
        <v>648000</v>
      </c>
      <c r="AF136" s="2929">
        <f>+AB136+AE136</f>
        <v>648000</v>
      </c>
      <c r="AG136" s="2909"/>
      <c r="AH136" s="1426"/>
      <c r="AI136" s="1427"/>
      <c r="AJ136" s="1426"/>
      <c r="AK136" s="1426"/>
      <c r="AL136" s="1426"/>
      <c r="AM136" s="1426"/>
      <c r="AN136" s="1426"/>
      <c r="AO136" s="1426"/>
      <c r="AP136" s="1426"/>
      <c r="AQ136" s="1427"/>
      <c r="AR136" s="1426"/>
      <c r="AS136" s="1427"/>
      <c r="AT136" s="1426"/>
      <c r="AU136" s="1426"/>
      <c r="AV136" s="1426"/>
      <c r="AW136" s="1426"/>
      <c r="AX136" s="1426"/>
    </row>
    <row r="137" spans="1:50" s="5" customFormat="1" ht="26.4">
      <c r="A137" s="1503">
        <v>1</v>
      </c>
      <c r="B137" s="2913" t="s">
        <v>7224</v>
      </c>
      <c r="C137" s="1896">
        <v>307826604540</v>
      </c>
      <c r="D137" s="1520" t="s">
        <v>7224</v>
      </c>
      <c r="E137" s="2029" t="s">
        <v>7255</v>
      </c>
      <c r="F137" s="693" t="s">
        <v>210</v>
      </c>
      <c r="G137" s="167">
        <v>1</v>
      </c>
      <c r="H137" s="167"/>
      <c r="I137" s="167"/>
      <c r="J137" s="1840">
        <v>17180.900000000001</v>
      </c>
      <c r="K137" s="1357" t="s">
        <v>7222</v>
      </c>
      <c r="L137" s="154"/>
      <c r="M137" s="1524">
        <v>1</v>
      </c>
      <c r="N137" s="692" t="s">
        <v>7242</v>
      </c>
      <c r="O137" s="692" t="s">
        <v>7243</v>
      </c>
      <c r="P137" s="1516" t="s">
        <v>7244</v>
      </c>
      <c r="Q137" s="2394"/>
      <c r="R137" s="928" t="s">
        <v>7223</v>
      </c>
      <c r="S137" s="2890" t="s">
        <v>7245</v>
      </c>
      <c r="T137" s="1492"/>
      <c r="U137" s="2556"/>
      <c r="V137" s="2979">
        <v>999000</v>
      </c>
      <c r="W137" s="2979">
        <v>497000</v>
      </c>
      <c r="X137" s="2556"/>
      <c r="Y137" s="2555"/>
      <c r="Z137" s="2686">
        <v>250000</v>
      </c>
      <c r="AA137" s="2556"/>
      <c r="AB137" s="2647">
        <f t="shared" ref="AB137:AB138" si="29">+U137+V137+W137+X137+Y137+Z137+AA137+T137</f>
        <v>1746000</v>
      </c>
      <c r="AC137" s="2186"/>
      <c r="AD137" s="2557" t="s">
        <v>97</v>
      </c>
      <c r="AE137" s="2302">
        <f>(AC137*1.08)+((AH137*$AH$4)+(G137*3450000+H137*3550000+I137*AI137)+(AJ137*$AJ$4)+(AK137*$AK$4)+(AL137*$AL$4)+(AM137*$AM$4*(G137+H137))+(AN137*$AN$4)+(AO137*$AO$4)+(AP137*$AP$4)+(AQ137*$AQ$4))*1.08+600000*1.08</f>
        <v>5907600</v>
      </c>
      <c r="AF137" s="2929">
        <f t="shared" ref="AF137:AF150" si="30">+AB137+AE137</f>
        <v>7653600</v>
      </c>
      <c r="AG137" s="2909"/>
      <c r="AH137" s="1426">
        <v>1</v>
      </c>
      <c r="AI137" s="1427"/>
      <c r="AJ137" s="1426"/>
      <c r="AK137" s="1426"/>
      <c r="AL137" s="1426"/>
      <c r="AM137" s="1426"/>
      <c r="AN137" s="1426"/>
      <c r="AO137" s="1426"/>
      <c r="AP137" s="1426"/>
      <c r="AQ137" s="1427">
        <v>1</v>
      </c>
      <c r="AR137" s="1426"/>
      <c r="AS137" s="1427"/>
      <c r="AT137" s="1426"/>
      <c r="AU137" s="1426"/>
      <c r="AV137" s="1426"/>
      <c r="AW137" s="1426"/>
      <c r="AX137" s="1426"/>
    </row>
    <row r="138" spans="1:50" s="5" customFormat="1" ht="29.25" customHeight="1">
      <c r="A138" s="1639">
        <v>2</v>
      </c>
      <c r="B138" s="2913" t="s">
        <v>7257</v>
      </c>
      <c r="C138" s="1312">
        <v>307835447050</v>
      </c>
      <c r="D138" s="2913" t="s">
        <v>7257</v>
      </c>
      <c r="E138" s="179" t="s">
        <v>7287</v>
      </c>
      <c r="F138" s="693" t="s">
        <v>210</v>
      </c>
      <c r="G138" s="431"/>
      <c r="H138" s="3020">
        <v>1</v>
      </c>
      <c r="I138" s="167"/>
      <c r="J138" s="1681">
        <v>11064.66</v>
      </c>
      <c r="K138" s="1357" t="s">
        <v>7206</v>
      </c>
      <c r="L138" s="154" t="s">
        <v>7277</v>
      </c>
      <c r="M138" s="1524">
        <v>1</v>
      </c>
      <c r="N138" s="692" t="s">
        <v>7278</v>
      </c>
      <c r="O138" s="692" t="s">
        <v>7687</v>
      </c>
      <c r="P138" s="170" t="s">
        <v>7207</v>
      </c>
      <c r="Q138" s="2394"/>
      <c r="R138" s="928" t="s">
        <v>4181</v>
      </c>
      <c r="S138" s="1492" t="s">
        <v>7276</v>
      </c>
      <c r="T138" s="150"/>
      <c r="U138" s="733"/>
      <c r="V138" s="2979">
        <v>1500000</v>
      </c>
      <c r="W138" s="2979">
        <v>1276000</v>
      </c>
      <c r="X138" s="733"/>
      <c r="Y138" s="734"/>
      <c r="Z138" s="1416">
        <v>500000</v>
      </c>
      <c r="AA138" s="733"/>
      <c r="AB138" s="2647">
        <f t="shared" si="29"/>
        <v>3276000</v>
      </c>
      <c r="AC138" s="2186"/>
      <c r="AD138" s="736"/>
      <c r="AE138" s="2302">
        <f>(AC138*1.08)+((AH138*$AH$4)+(G138*3450000+H138*3550000+I138*AI138)+(AJ138*$AJ$4)+(AK138*$AK$4)+(AL138*$AL$4)+(AM138*$AM$4*(G138+H138))+(AN138*$AN$4)+(AO138*$AO$4)+(AP138*$AP$4)+(AQ138*$AQ$4))*1.08</f>
        <v>5367600</v>
      </c>
      <c r="AF138" s="2929">
        <f t="shared" si="30"/>
        <v>8643600</v>
      </c>
      <c r="AG138" s="2674"/>
      <c r="AH138" s="1426">
        <v>1</v>
      </c>
      <c r="AI138" s="1427"/>
      <c r="AJ138" s="1426"/>
      <c r="AK138" s="1426"/>
      <c r="AL138" s="1426"/>
      <c r="AM138" s="1426"/>
      <c r="AN138" s="1426"/>
      <c r="AO138" s="1426"/>
      <c r="AP138" s="1426"/>
      <c r="AQ138" s="1427">
        <v>1</v>
      </c>
      <c r="AR138" s="1426"/>
      <c r="AS138" s="1427"/>
      <c r="AT138" s="1426"/>
      <c r="AU138" s="1426"/>
      <c r="AV138" s="1426"/>
      <c r="AW138" s="1426"/>
      <c r="AX138" s="1426"/>
    </row>
    <row r="139" spans="1:50" s="1303" customFormat="1" ht="23.25" customHeight="1">
      <c r="A139" s="1639">
        <f t="shared" ref="A139:A144" si="31">+A138+1</f>
        <v>3</v>
      </c>
      <c r="B139" s="3627" t="s">
        <v>7263</v>
      </c>
      <c r="C139" s="2984">
        <v>307857088360</v>
      </c>
      <c r="D139" s="2989" t="s">
        <v>7263</v>
      </c>
      <c r="E139" s="3463" t="s">
        <v>7354</v>
      </c>
      <c r="F139" s="3625" t="s">
        <v>210</v>
      </c>
      <c r="G139" s="431">
        <v>1</v>
      </c>
      <c r="H139" s="431"/>
      <c r="I139" s="431"/>
      <c r="J139" s="2985">
        <v>14672.7714889074</v>
      </c>
      <c r="K139" s="3503" t="s">
        <v>7311</v>
      </c>
      <c r="L139" s="1304" t="s">
        <v>7339</v>
      </c>
      <c r="M139" s="1389">
        <v>2</v>
      </c>
      <c r="N139" s="1651" t="s">
        <v>7337</v>
      </c>
      <c r="O139" s="1651" t="s">
        <v>7338</v>
      </c>
      <c r="P139" s="3527" t="s">
        <v>7312</v>
      </c>
      <c r="Q139" s="2288"/>
      <c r="R139" s="3488" t="s">
        <v>4458</v>
      </c>
      <c r="S139" s="1938" t="s">
        <v>5944</v>
      </c>
      <c r="T139" s="2596"/>
      <c r="U139" s="733"/>
      <c r="V139" s="2979">
        <v>980000</v>
      </c>
      <c r="W139" s="2979">
        <v>770000</v>
      </c>
      <c r="X139" s="733"/>
      <c r="Y139" s="734"/>
      <c r="Z139" s="1416">
        <v>250000</v>
      </c>
      <c r="AA139" s="733"/>
      <c r="AB139" s="2647">
        <f t="shared" ref="AB139:AB141" si="32">+U139+V139+W139+X139+Y139+Z139+AA139+T139</f>
        <v>2000000</v>
      </c>
      <c r="AC139" s="2186"/>
      <c r="AD139" s="736" t="s">
        <v>97</v>
      </c>
      <c r="AE139" s="2302">
        <f>(AC139*1.08)+((AH139*$AH$4)+(G139*3450000+H139*3550000+I139*AI139)+(AJ139*$AJ$4)+(AK139*$AK$4)+(AL139*$AL$4)+(AM139*$AM$4*(G139+H139))+(AN139*$AN$4)+(AO139*$AO$4)+(AP139*$AP$4)+(AQ139*$AQ$4))*1.08+600000*1.08</f>
        <v>5907600</v>
      </c>
      <c r="AF139" s="2929">
        <f t="shared" si="30"/>
        <v>7907600</v>
      </c>
      <c r="AG139" s="2674"/>
      <c r="AH139" s="1426">
        <v>1</v>
      </c>
      <c r="AI139" s="1874"/>
      <c r="AJ139" s="1873"/>
      <c r="AK139" s="1873"/>
      <c r="AL139" s="1873"/>
      <c r="AM139" s="1873"/>
      <c r="AN139" s="1873"/>
      <c r="AO139" s="1873"/>
      <c r="AP139" s="1873"/>
      <c r="AQ139" s="1427">
        <v>1</v>
      </c>
      <c r="AR139" s="1873"/>
      <c r="AS139" s="1874"/>
      <c r="AT139" s="1873"/>
      <c r="AU139" s="1873"/>
      <c r="AV139" s="1873"/>
      <c r="AW139" s="1873"/>
      <c r="AX139" s="1873"/>
    </row>
    <row r="140" spans="1:50" s="1303" customFormat="1" ht="25.5" customHeight="1">
      <c r="A140" s="1403">
        <f t="shared" si="31"/>
        <v>4</v>
      </c>
      <c r="B140" s="3628"/>
      <c r="C140" s="2984">
        <v>307857115550</v>
      </c>
      <c r="D140" s="2989" t="s">
        <v>7263</v>
      </c>
      <c r="E140" s="3464"/>
      <c r="F140" s="3592"/>
      <c r="G140" s="431">
        <v>1</v>
      </c>
      <c r="H140" s="431"/>
      <c r="I140" s="431"/>
      <c r="J140" s="2985">
        <v>12097.8385689973</v>
      </c>
      <c r="K140" s="3504"/>
      <c r="L140" s="1304" t="s">
        <v>7342</v>
      </c>
      <c r="M140" s="1389">
        <v>3</v>
      </c>
      <c r="N140" s="1651" t="s">
        <v>7340</v>
      </c>
      <c r="O140" s="2986" t="s">
        <v>7341</v>
      </c>
      <c r="P140" s="3626"/>
      <c r="Q140" s="2954"/>
      <c r="R140" s="3363"/>
      <c r="S140" s="1938" t="s">
        <v>5944</v>
      </c>
      <c r="T140" s="2596"/>
      <c r="U140" s="733"/>
      <c r="V140" s="2979">
        <v>980000</v>
      </c>
      <c r="W140" s="2979">
        <v>770000</v>
      </c>
      <c r="X140" s="733"/>
      <c r="Y140" s="734"/>
      <c r="Z140" s="1416">
        <v>250000</v>
      </c>
      <c r="AA140" s="733"/>
      <c r="AB140" s="2647">
        <f t="shared" si="32"/>
        <v>2000000</v>
      </c>
      <c r="AC140" s="2186"/>
      <c r="AD140" s="736" t="s">
        <v>97</v>
      </c>
      <c r="AE140" s="2302">
        <f>(AC140*1.08)+((AH140*$AH$4)+(G140*3450000+H140*3550000+I140*AI140)+(AJ140*$AJ$4)+(AK140*$AK$4)+(AL140*$AL$4)+(AM140*$AM$4*(G140+H140))+(AN140*$AN$4)+(AO140*$AO$4)+(AP140*$AP$4)+(AQ140*$AQ$4))*1.08+600000*1.08</f>
        <v>5907600</v>
      </c>
      <c r="AF140" s="2929">
        <f t="shared" si="30"/>
        <v>7907600</v>
      </c>
      <c r="AG140" s="2674"/>
      <c r="AH140" s="1426">
        <v>1</v>
      </c>
      <c r="AI140" s="1874"/>
      <c r="AJ140" s="1873"/>
      <c r="AK140" s="1873"/>
      <c r="AL140" s="1873"/>
      <c r="AM140" s="1873"/>
      <c r="AN140" s="1873"/>
      <c r="AO140" s="1873"/>
      <c r="AP140" s="1873"/>
      <c r="AQ140" s="1427">
        <v>1</v>
      </c>
      <c r="AR140" s="1873"/>
      <c r="AS140" s="1874"/>
      <c r="AT140" s="1873"/>
      <c r="AU140" s="1873"/>
      <c r="AV140" s="1873"/>
      <c r="AW140" s="1873"/>
      <c r="AX140" s="1873"/>
    </row>
    <row r="141" spans="1:50" s="5" customFormat="1" ht="21.75" customHeight="1">
      <c r="A141" s="1403">
        <f t="shared" si="31"/>
        <v>5</v>
      </c>
      <c r="B141" s="3627" t="s">
        <v>7331</v>
      </c>
      <c r="C141" s="1312">
        <v>307860936850</v>
      </c>
      <c r="D141" s="2989" t="s">
        <v>7331</v>
      </c>
      <c r="E141" s="3463" t="s">
        <v>7377</v>
      </c>
      <c r="F141" s="3625" t="s">
        <v>210</v>
      </c>
      <c r="G141" s="167">
        <v>1</v>
      </c>
      <c r="H141" s="167"/>
      <c r="I141" s="167"/>
      <c r="J141" s="1681">
        <v>13999.369198664301</v>
      </c>
      <c r="K141" s="3503" t="s">
        <v>7332</v>
      </c>
      <c r="L141" s="1304" t="s">
        <v>7367</v>
      </c>
      <c r="M141" s="1389">
        <v>1</v>
      </c>
      <c r="N141" s="1651" t="s">
        <v>7363</v>
      </c>
      <c r="O141" s="1651" t="s">
        <v>7364</v>
      </c>
      <c r="P141" s="3527" t="s">
        <v>7333</v>
      </c>
      <c r="Q141" s="2288"/>
      <c r="R141" s="3489" t="s">
        <v>7362</v>
      </c>
      <c r="S141" s="1938" t="s">
        <v>5944</v>
      </c>
      <c r="T141" s="150"/>
      <c r="U141" s="733"/>
      <c r="V141" s="2981">
        <v>1000000</v>
      </c>
      <c r="W141" s="2981">
        <v>1520000</v>
      </c>
      <c r="X141" s="733"/>
      <c r="Y141" s="734"/>
      <c r="Z141" s="2053"/>
      <c r="AA141" s="733"/>
      <c r="AB141" s="2647">
        <f t="shared" si="32"/>
        <v>2520000</v>
      </c>
      <c r="AC141" s="2186"/>
      <c r="AD141" s="736"/>
      <c r="AE141" s="2540">
        <f>(AC141*1.08)+((AH141*$AH$4)+(G141*3450000+H141*3550000+I141*AI141)+(AJ141*$AJ$4)+(AK141*$AK$4)+(AL141*$AL$4)+(AM141*$AM$4*(G141+H141))+(AN141*$AN$4)+(AO141*$AO$4)+(AP141*$AP$4)+(AQ141*$AQ$4))*1.08+(500000*1.08)</f>
        <v>5799600</v>
      </c>
      <c r="AF141" s="2929">
        <f t="shared" si="30"/>
        <v>8319600</v>
      </c>
      <c r="AG141" s="2674"/>
      <c r="AH141" s="1426">
        <v>1</v>
      </c>
      <c r="AI141" s="1427"/>
      <c r="AJ141" s="1426"/>
      <c r="AK141" s="1426"/>
      <c r="AL141" s="1426"/>
      <c r="AM141" s="1426"/>
      <c r="AN141" s="1426"/>
      <c r="AO141" s="1426"/>
      <c r="AP141" s="1426"/>
      <c r="AQ141" s="1427">
        <v>1</v>
      </c>
      <c r="AR141" s="1426"/>
      <c r="AS141" s="1427"/>
      <c r="AT141" s="1426"/>
      <c r="AU141" s="1426"/>
      <c r="AV141" s="1426"/>
      <c r="AW141" s="1426"/>
      <c r="AX141" s="1426"/>
    </row>
    <row r="142" spans="1:50" s="5" customFormat="1" ht="22.5" customHeight="1">
      <c r="A142" s="1403">
        <f t="shared" si="31"/>
        <v>6</v>
      </c>
      <c r="B142" s="3628"/>
      <c r="C142" s="1312">
        <v>307860972110</v>
      </c>
      <c r="D142" s="2989" t="s">
        <v>7331</v>
      </c>
      <c r="E142" s="3464"/>
      <c r="F142" s="3592"/>
      <c r="G142" s="167">
        <v>1</v>
      </c>
      <c r="H142" s="167"/>
      <c r="I142" s="167"/>
      <c r="J142" s="1681">
        <v>13510.830520802299</v>
      </c>
      <c r="K142" s="3504"/>
      <c r="L142" s="1304" t="s">
        <v>7368</v>
      </c>
      <c r="M142" s="1389">
        <v>2</v>
      </c>
      <c r="N142" s="1651" t="s">
        <v>7365</v>
      </c>
      <c r="O142" s="1651" t="s">
        <v>7366</v>
      </c>
      <c r="P142" s="3626"/>
      <c r="Q142" s="2954"/>
      <c r="R142" s="3490"/>
      <c r="S142" s="1938" t="s">
        <v>5944</v>
      </c>
      <c r="T142" s="150"/>
      <c r="U142" s="733"/>
      <c r="V142" s="2981">
        <v>1000000</v>
      </c>
      <c r="X142" s="733"/>
      <c r="Y142" s="734"/>
      <c r="Z142" s="2053"/>
      <c r="AA142" s="733"/>
      <c r="AB142" s="2647">
        <f t="shared" ref="AB142:AB150" si="33">+U142+V142+W142+X142+Y142+Z142+AA142+T142</f>
        <v>1000000</v>
      </c>
      <c r="AC142" s="2186"/>
      <c r="AD142" s="736"/>
      <c r="AE142" s="2540">
        <f>(AC142*1.08)+((AH142*$AH$4)+(G142*3450000+H142*3550000+I142*AI142)+(AJ142*$AJ$4)+(AK142*$AK$4)+(AL142*$AL$4)+(AM142*$AM$4*(G142+H142))+(AN142*$AN$4)+(AO142*$AO$4)+(AP142*$AP$4)+(AQ142*$AQ$4))*1.08+(500000*1.08)</f>
        <v>5799600</v>
      </c>
      <c r="AF142" s="2929">
        <f t="shared" si="30"/>
        <v>6799600</v>
      </c>
      <c r="AG142" s="2674"/>
      <c r="AH142" s="1426">
        <v>1</v>
      </c>
      <c r="AI142" s="1427"/>
      <c r="AJ142" s="1426"/>
      <c r="AK142" s="1426"/>
      <c r="AL142" s="1426"/>
      <c r="AM142" s="1426"/>
      <c r="AN142" s="1426"/>
      <c r="AO142" s="1426"/>
      <c r="AP142" s="1426"/>
      <c r="AQ142" s="1427">
        <v>1</v>
      </c>
      <c r="AR142" s="1426"/>
      <c r="AS142" s="1427"/>
      <c r="AT142" s="1426"/>
      <c r="AU142" s="1426"/>
      <c r="AV142" s="1426"/>
      <c r="AW142" s="1426"/>
      <c r="AX142" s="1426"/>
    </row>
    <row r="143" spans="1:50" s="5" customFormat="1" ht="12.75" customHeight="1">
      <c r="A143" s="1403">
        <f t="shared" si="31"/>
        <v>7</v>
      </c>
      <c r="B143" s="3627" t="s">
        <v>7387</v>
      </c>
      <c r="C143" s="1312">
        <v>307875320930</v>
      </c>
      <c r="D143" s="2996" t="s">
        <v>7387</v>
      </c>
      <c r="E143" s="3463" t="s">
        <v>7436</v>
      </c>
      <c r="F143" s="3625" t="s">
        <v>210</v>
      </c>
      <c r="G143" s="167">
        <v>1</v>
      </c>
      <c r="H143" s="167"/>
      <c r="I143" s="167"/>
      <c r="J143" s="1681">
        <v>15464.36</v>
      </c>
      <c r="K143" s="3503" t="s">
        <v>7357</v>
      </c>
      <c r="L143" s="1304" t="s">
        <v>7425</v>
      </c>
      <c r="M143" s="1389">
        <v>1</v>
      </c>
      <c r="N143" s="692" t="s">
        <v>7422</v>
      </c>
      <c r="O143" s="692" t="s">
        <v>7542</v>
      </c>
      <c r="P143" s="3527" t="s">
        <v>7358</v>
      </c>
      <c r="Q143" s="2288"/>
      <c r="R143" s="3488" t="s">
        <v>7223</v>
      </c>
      <c r="S143" s="577" t="s">
        <v>6255</v>
      </c>
      <c r="T143" s="150"/>
      <c r="U143" s="733"/>
      <c r="V143" s="2981">
        <v>1000000</v>
      </c>
      <c r="W143" s="2981">
        <v>1491000</v>
      </c>
      <c r="X143" s="733"/>
      <c r="Y143" s="734"/>
      <c r="Z143" s="2686">
        <v>250000</v>
      </c>
      <c r="AA143" s="733"/>
      <c r="AB143" s="2647">
        <f t="shared" si="33"/>
        <v>2741000</v>
      </c>
      <c r="AC143" s="2186"/>
      <c r="AD143" s="736"/>
      <c r="AE143" s="2540">
        <f>(AC143*1.08)+((AH143*$AH$4)+(G143*3450000+H143*3550000+I143*AI143)+(AJ143*$AJ$4)+(AK143*$AK$4)+(AL143*$AL$4)+(AM143*$AM$4*(G143+H143))+(AN143*$AN$4)+(AO143*$AO$4)+(AP143*$AP$4)+(AQ143*$AQ$4))*1.08</f>
        <v>5259600</v>
      </c>
      <c r="AF143" s="2929">
        <f t="shared" si="30"/>
        <v>8000600</v>
      </c>
      <c r="AG143" s="2674"/>
      <c r="AH143" s="1426">
        <v>1</v>
      </c>
      <c r="AI143" s="1427"/>
      <c r="AJ143" s="1426"/>
      <c r="AK143" s="1426"/>
      <c r="AL143" s="1426"/>
      <c r="AM143" s="1426"/>
      <c r="AN143" s="1426"/>
      <c r="AO143" s="1426"/>
      <c r="AP143" s="1426"/>
      <c r="AQ143" s="1427">
        <v>1</v>
      </c>
      <c r="AR143" s="1426"/>
      <c r="AS143" s="1427"/>
      <c r="AT143" s="1426"/>
      <c r="AU143" s="1426"/>
      <c r="AV143" s="1426"/>
      <c r="AW143" s="1426"/>
      <c r="AX143" s="1426"/>
    </row>
    <row r="144" spans="1:50" s="5" customFormat="1">
      <c r="A144" s="1403">
        <f t="shared" si="31"/>
        <v>8</v>
      </c>
      <c r="B144" s="3512"/>
      <c r="C144" s="1312">
        <v>307875390010</v>
      </c>
      <c r="D144" s="2996" t="s">
        <v>7387</v>
      </c>
      <c r="E144" s="3472"/>
      <c r="F144" s="3516"/>
      <c r="G144" s="167">
        <v>1</v>
      </c>
      <c r="H144" s="167"/>
      <c r="I144" s="167"/>
      <c r="J144" s="1681">
        <v>14818.06</v>
      </c>
      <c r="K144" s="3574"/>
      <c r="L144" s="1304" t="s">
        <v>7424</v>
      </c>
      <c r="M144" s="1389">
        <v>2</v>
      </c>
      <c r="N144" s="692" t="s">
        <v>7423</v>
      </c>
      <c r="O144" s="692" t="s">
        <v>7543</v>
      </c>
      <c r="P144" s="3510"/>
      <c r="Q144" s="3185"/>
      <c r="R144" s="3355"/>
      <c r="S144" s="577" t="s">
        <v>7176</v>
      </c>
      <c r="T144" s="150"/>
      <c r="U144" s="733"/>
      <c r="V144" s="2981">
        <v>1000000</v>
      </c>
      <c r="W144" s="733"/>
      <c r="X144" s="733"/>
      <c r="Y144" s="734"/>
      <c r="Z144" s="2686">
        <v>250000</v>
      </c>
      <c r="AA144" s="733"/>
      <c r="AB144" s="2647">
        <f t="shared" si="33"/>
        <v>1250000</v>
      </c>
      <c r="AC144" s="2186"/>
      <c r="AD144" s="736"/>
      <c r="AE144" s="2540">
        <f t="shared" ref="AE144:AE150" si="34">(AC144*1.08)+((AH144*$AH$4)+(G144*3450000+H144*3550000+I144*AI144)+(AJ144*$AJ$4)+(AK144*$AK$4)+(AL144*$AL$4)+(AM144*$AM$4*(G144+H144))+(AN144*$AN$4)+(AO144*$AO$4)+(AP144*$AP$4)+(AQ144*$AQ$4))*1.08</f>
        <v>5259600</v>
      </c>
      <c r="AF144" s="2929">
        <f t="shared" si="30"/>
        <v>6509600</v>
      </c>
      <c r="AG144" s="2674"/>
      <c r="AH144" s="1426">
        <v>1</v>
      </c>
      <c r="AI144" s="1427"/>
      <c r="AJ144" s="1426"/>
      <c r="AK144" s="1426"/>
      <c r="AL144" s="1426"/>
      <c r="AM144" s="1426"/>
      <c r="AN144" s="1426"/>
      <c r="AO144" s="1426"/>
      <c r="AP144" s="1426"/>
      <c r="AQ144" s="1427">
        <v>1</v>
      </c>
      <c r="AR144" s="1426"/>
      <c r="AS144" s="1427"/>
      <c r="AT144" s="1426"/>
      <c r="AU144" s="1426"/>
      <c r="AV144" s="1426"/>
      <c r="AW144" s="1426"/>
      <c r="AX144" s="1426"/>
    </row>
    <row r="145" spans="1:50" s="5" customFormat="1">
      <c r="A145" s="1403">
        <f t="shared" ref="A145:A178" si="35">+A144+1</f>
        <v>9</v>
      </c>
      <c r="B145" s="3628"/>
      <c r="C145" s="1312">
        <v>307875449360</v>
      </c>
      <c r="D145" s="2996" t="s">
        <v>7387</v>
      </c>
      <c r="E145" s="3464"/>
      <c r="F145" s="3592"/>
      <c r="G145" s="167">
        <v>1</v>
      </c>
      <c r="H145" s="167"/>
      <c r="I145" s="167"/>
      <c r="J145" s="1681">
        <v>15395.4</v>
      </c>
      <c r="K145" s="3504"/>
      <c r="L145" s="1304" t="s">
        <v>7426</v>
      </c>
      <c r="M145" s="1389">
        <v>3</v>
      </c>
      <c r="N145" s="692" t="s">
        <v>7427</v>
      </c>
      <c r="O145" s="692" t="s">
        <v>7544</v>
      </c>
      <c r="P145" s="3626"/>
      <c r="Q145" s="2954"/>
      <c r="R145" s="3363"/>
      <c r="S145" s="577" t="s">
        <v>5944</v>
      </c>
      <c r="T145" s="150"/>
      <c r="U145" s="733"/>
      <c r="V145" s="2981">
        <v>1000000</v>
      </c>
      <c r="W145" s="733"/>
      <c r="X145" s="733"/>
      <c r="Y145" s="734"/>
      <c r="Z145" s="2686">
        <v>250000</v>
      </c>
      <c r="AA145" s="733"/>
      <c r="AB145" s="2647">
        <f t="shared" si="33"/>
        <v>1250000</v>
      </c>
      <c r="AC145" s="2186"/>
      <c r="AD145" s="736"/>
      <c r="AE145" s="2540">
        <f t="shared" si="34"/>
        <v>5259600</v>
      </c>
      <c r="AF145" s="2929">
        <f t="shared" si="30"/>
        <v>6509600</v>
      </c>
      <c r="AG145" s="2674"/>
      <c r="AH145" s="1426">
        <v>1</v>
      </c>
      <c r="AI145" s="1427"/>
      <c r="AJ145" s="1426"/>
      <c r="AK145" s="1426"/>
      <c r="AL145" s="1426"/>
      <c r="AM145" s="1426"/>
      <c r="AN145" s="1426"/>
      <c r="AO145" s="1426"/>
      <c r="AP145" s="1426"/>
      <c r="AQ145" s="1427">
        <v>1</v>
      </c>
      <c r="AR145" s="1426"/>
      <c r="AS145" s="1427"/>
      <c r="AT145" s="1426"/>
      <c r="AU145" s="1426"/>
      <c r="AV145" s="1426"/>
      <c r="AW145" s="1426"/>
      <c r="AX145" s="1426"/>
    </row>
    <row r="146" spans="1:50" s="5" customFormat="1" ht="12.75" customHeight="1">
      <c r="A146" s="1403">
        <f t="shared" si="35"/>
        <v>10</v>
      </c>
      <c r="B146" s="3627" t="s">
        <v>7550</v>
      </c>
      <c r="C146" s="2292">
        <v>307907347110</v>
      </c>
      <c r="D146" s="2293" t="s">
        <v>7550</v>
      </c>
      <c r="E146" s="3463" t="s">
        <v>7597</v>
      </c>
      <c r="F146" s="3539" t="s">
        <v>210</v>
      </c>
      <c r="G146" s="167">
        <v>1</v>
      </c>
      <c r="H146" s="167"/>
      <c r="I146" s="167"/>
      <c r="J146" s="3018">
        <v>161761.60000000001</v>
      </c>
      <c r="K146" s="3503" t="s">
        <v>7428</v>
      </c>
      <c r="L146" s="1304" t="s">
        <v>7583</v>
      </c>
      <c r="M146" s="1389">
        <v>1</v>
      </c>
      <c r="N146" s="692" t="s">
        <v>7575</v>
      </c>
      <c r="O146" s="692" t="s">
        <v>7576</v>
      </c>
      <c r="P146" s="3527" t="s">
        <v>7507</v>
      </c>
      <c r="Q146" s="2288"/>
      <c r="R146" s="3489" t="s">
        <v>7223</v>
      </c>
      <c r="S146" s="577" t="s">
        <v>7176</v>
      </c>
      <c r="T146" s="150"/>
      <c r="U146" s="733"/>
      <c r="V146" s="2981">
        <v>850000</v>
      </c>
      <c r="W146" s="2981">
        <v>1988000</v>
      </c>
      <c r="X146" s="733"/>
      <c r="Y146" s="734"/>
      <c r="Z146" s="2981">
        <v>250000</v>
      </c>
      <c r="AA146" s="733"/>
      <c r="AB146" s="2647">
        <f t="shared" si="33"/>
        <v>3088000</v>
      </c>
      <c r="AC146" s="2186"/>
      <c r="AD146" s="3658" t="s">
        <v>7572</v>
      </c>
      <c r="AE146" s="2540">
        <f t="shared" si="34"/>
        <v>5259600</v>
      </c>
      <c r="AF146" s="2929">
        <f t="shared" si="30"/>
        <v>8347600</v>
      </c>
      <c r="AG146" s="2674"/>
      <c r="AH146" s="1426">
        <v>1</v>
      </c>
      <c r="AI146" s="1427"/>
      <c r="AJ146" s="1426"/>
      <c r="AK146" s="1426"/>
      <c r="AL146" s="1426"/>
      <c r="AM146" s="1426"/>
      <c r="AN146" s="1426"/>
      <c r="AO146" s="1426"/>
      <c r="AP146" s="1426"/>
      <c r="AQ146" s="1427">
        <v>1</v>
      </c>
      <c r="AR146" s="1426"/>
      <c r="AS146" s="1427"/>
      <c r="AT146" s="1426"/>
      <c r="AU146" s="1426"/>
      <c r="AV146" s="1426"/>
      <c r="AW146" s="1426"/>
      <c r="AX146" s="1426"/>
    </row>
    <row r="147" spans="1:50" s="5" customFormat="1" ht="16.5" customHeight="1">
      <c r="A147" s="1403">
        <f t="shared" si="35"/>
        <v>11</v>
      </c>
      <c r="B147" s="3557"/>
      <c r="C147" s="1896">
        <v>307907450340</v>
      </c>
      <c r="D147" s="2293" t="s">
        <v>7550</v>
      </c>
      <c r="E147" s="3472"/>
      <c r="F147" s="3540"/>
      <c r="G147" s="167">
        <v>1</v>
      </c>
      <c r="H147" s="1472"/>
      <c r="I147" s="1472"/>
      <c r="J147" s="1681">
        <v>16179.7091172161</v>
      </c>
      <c r="K147" s="3574"/>
      <c r="L147" s="1304" t="s">
        <v>7584</v>
      </c>
      <c r="M147" s="1389" t="s">
        <v>4899</v>
      </c>
      <c r="N147" s="692" t="s">
        <v>7577</v>
      </c>
      <c r="O147" s="692" t="s">
        <v>7578</v>
      </c>
      <c r="P147" s="3510"/>
      <c r="Q147" s="3185"/>
      <c r="R147" s="3534"/>
      <c r="S147" s="577" t="s">
        <v>5942</v>
      </c>
      <c r="T147" s="150"/>
      <c r="U147" s="733"/>
      <c r="V147" s="2981">
        <v>850000</v>
      </c>
      <c r="W147" s="733"/>
      <c r="X147" s="733"/>
      <c r="Y147" s="734"/>
      <c r="Z147" s="2981">
        <v>250000</v>
      </c>
      <c r="AA147" s="733"/>
      <c r="AB147" s="2647">
        <f t="shared" si="33"/>
        <v>1100000</v>
      </c>
      <c r="AC147" s="2186"/>
      <c r="AD147" s="3659"/>
      <c r="AE147" s="2540">
        <f t="shared" si="34"/>
        <v>5259600</v>
      </c>
      <c r="AF147" s="2929">
        <f t="shared" si="30"/>
        <v>6359600</v>
      </c>
      <c r="AG147" s="2674"/>
      <c r="AH147" s="1426">
        <v>1</v>
      </c>
      <c r="AI147" s="1427"/>
      <c r="AJ147" s="1426"/>
      <c r="AK147" s="1426"/>
      <c r="AL147" s="1426"/>
      <c r="AM147" s="1426"/>
      <c r="AN147" s="1426"/>
      <c r="AO147" s="1426"/>
      <c r="AP147" s="1426"/>
      <c r="AQ147" s="1427">
        <v>1</v>
      </c>
      <c r="AR147" s="1426"/>
      <c r="AS147" s="1427"/>
      <c r="AT147" s="1426"/>
      <c r="AU147" s="1426"/>
      <c r="AV147" s="1426"/>
      <c r="AW147" s="1426"/>
      <c r="AX147" s="1426"/>
    </row>
    <row r="148" spans="1:50" s="5" customFormat="1">
      <c r="A148" s="1403">
        <f t="shared" si="35"/>
        <v>12</v>
      </c>
      <c r="B148" s="3557"/>
      <c r="C148" s="1260">
        <v>307908662040</v>
      </c>
      <c r="D148" s="2293" t="s">
        <v>7550</v>
      </c>
      <c r="E148" s="3472"/>
      <c r="F148" s="3540"/>
      <c r="G148" s="167">
        <v>1</v>
      </c>
      <c r="H148" s="445"/>
      <c r="I148" s="445"/>
      <c r="J148" s="1681">
        <v>16188.6</v>
      </c>
      <c r="K148" s="3574"/>
      <c r="L148" s="1304" t="s">
        <v>7585</v>
      </c>
      <c r="M148" s="1389">
        <v>3</v>
      </c>
      <c r="N148" s="692" t="s">
        <v>7579</v>
      </c>
      <c r="O148" s="692" t="s">
        <v>7580</v>
      </c>
      <c r="P148" s="3510"/>
      <c r="Q148" s="3185"/>
      <c r="R148" s="3534"/>
      <c r="S148" s="577" t="s">
        <v>5942</v>
      </c>
      <c r="T148" s="150"/>
      <c r="U148" s="733"/>
      <c r="V148" s="2981">
        <v>850000</v>
      </c>
      <c r="W148" s="733"/>
      <c r="X148" s="733"/>
      <c r="Y148" s="734"/>
      <c r="Z148" s="2981">
        <v>250000</v>
      </c>
      <c r="AA148" s="733"/>
      <c r="AB148" s="2647">
        <f t="shared" si="33"/>
        <v>1100000</v>
      </c>
      <c r="AC148" s="2186"/>
      <c r="AD148" s="3659"/>
      <c r="AE148" s="2540">
        <f t="shared" si="34"/>
        <v>5259600</v>
      </c>
      <c r="AF148" s="2929">
        <f t="shared" si="30"/>
        <v>6359600</v>
      </c>
      <c r="AG148" s="2674"/>
      <c r="AH148" s="1426">
        <v>1</v>
      </c>
      <c r="AI148" s="1427"/>
      <c r="AJ148" s="1426"/>
      <c r="AK148" s="1426"/>
      <c r="AL148" s="1426"/>
      <c r="AM148" s="1426"/>
      <c r="AN148" s="1426"/>
      <c r="AO148" s="1426"/>
      <c r="AP148" s="1426"/>
      <c r="AQ148" s="1427">
        <v>1</v>
      </c>
      <c r="AR148" s="1426"/>
      <c r="AS148" s="1427"/>
      <c r="AT148" s="1426"/>
      <c r="AU148" s="1426"/>
      <c r="AV148" s="1426"/>
      <c r="AW148" s="1426"/>
      <c r="AX148" s="1426"/>
    </row>
    <row r="149" spans="1:50" s="5" customFormat="1">
      <c r="A149" s="1403">
        <f t="shared" si="35"/>
        <v>13</v>
      </c>
      <c r="B149" s="3661"/>
      <c r="C149" s="1312">
        <v>307908704630</v>
      </c>
      <c r="D149" s="2293" t="s">
        <v>7550</v>
      </c>
      <c r="E149" s="3464"/>
      <c r="F149" s="3596"/>
      <c r="G149" s="167">
        <v>1</v>
      </c>
      <c r="H149" s="167"/>
      <c r="I149" s="167"/>
      <c r="J149" s="1681">
        <v>16284.6</v>
      </c>
      <c r="K149" s="3504"/>
      <c r="L149" s="1304" t="s">
        <v>7586</v>
      </c>
      <c r="M149" s="1389" t="s">
        <v>7574</v>
      </c>
      <c r="N149" s="692" t="s">
        <v>7581</v>
      </c>
      <c r="O149" s="692" t="s">
        <v>7582</v>
      </c>
      <c r="P149" s="3626"/>
      <c r="Q149" s="2954"/>
      <c r="R149" s="3490"/>
      <c r="S149" s="577" t="s">
        <v>7176</v>
      </c>
      <c r="T149" s="1472"/>
      <c r="U149" s="1472"/>
      <c r="V149" s="2981">
        <v>850000</v>
      </c>
      <c r="W149" s="733"/>
      <c r="X149" s="733"/>
      <c r="Y149" s="734"/>
      <c r="Z149" s="2981">
        <v>250000</v>
      </c>
      <c r="AA149" s="733"/>
      <c r="AB149" s="2647">
        <f t="shared" si="33"/>
        <v>1100000</v>
      </c>
      <c r="AC149" s="2186"/>
      <c r="AD149" s="3660"/>
      <c r="AE149" s="2540">
        <f>(AC149*1.08)+((AH149*$AH$4)+(G149*3450000+H149*3550000+I149*AI149)+(AJ149*$AJ$4)+(AK149*$AK$4)+(AL149*$AL$4)+(AM149*$AM$4*(G149+H149))+(AN149*$AN$4)+(AO149*$AO$4)+(AP149*$AP$4)+(AQ149*$AQ$4))*1.08</f>
        <v>5259600</v>
      </c>
      <c r="AF149" s="2929">
        <f t="shared" si="30"/>
        <v>6359600</v>
      </c>
      <c r="AG149" s="2674"/>
      <c r="AH149" s="1426">
        <v>1</v>
      </c>
      <c r="AI149" s="1427"/>
      <c r="AJ149" s="1426"/>
      <c r="AK149" s="1426"/>
      <c r="AL149" s="1426"/>
      <c r="AM149" s="1426"/>
      <c r="AN149" s="1426"/>
      <c r="AO149" s="1426"/>
      <c r="AP149" s="1426"/>
      <c r="AQ149" s="1427">
        <v>1</v>
      </c>
      <c r="AR149" s="1426"/>
      <c r="AS149" s="1427"/>
      <c r="AT149" s="1426"/>
      <c r="AU149" s="1426"/>
      <c r="AV149" s="1426"/>
      <c r="AW149" s="1426"/>
      <c r="AX149" s="1426"/>
    </row>
    <row r="150" spans="1:50" s="5" customFormat="1" ht="26.4">
      <c r="A150" s="1403">
        <f t="shared" si="35"/>
        <v>14</v>
      </c>
      <c r="B150" s="3036" t="s">
        <v>7558</v>
      </c>
      <c r="C150" s="1312">
        <v>307916915850</v>
      </c>
      <c r="D150" s="46" t="s">
        <v>7558</v>
      </c>
      <c r="E150" s="179" t="s">
        <v>7621</v>
      </c>
      <c r="F150" s="693" t="s">
        <v>210</v>
      </c>
      <c r="G150" s="3031"/>
      <c r="H150" s="3034">
        <v>1</v>
      </c>
      <c r="I150" s="3035"/>
      <c r="J150" s="1681">
        <v>11128.2049732943</v>
      </c>
      <c r="K150" s="2141" t="s">
        <v>7593</v>
      </c>
      <c r="L150" s="1304" t="s">
        <v>7618</v>
      </c>
      <c r="M150" s="2615">
        <v>1</v>
      </c>
      <c r="N150" s="692" t="s">
        <v>7619</v>
      </c>
      <c r="O150" s="1913" t="s">
        <v>7620</v>
      </c>
      <c r="P150" s="2315" t="s">
        <v>7594</v>
      </c>
      <c r="Q150" s="2315"/>
      <c r="R150" s="2890" t="s">
        <v>7223</v>
      </c>
      <c r="S150" s="1938" t="s">
        <v>7617</v>
      </c>
      <c r="T150" s="1517"/>
      <c r="U150" s="1461"/>
      <c r="V150" s="2981">
        <v>1500000</v>
      </c>
      <c r="W150" s="2981">
        <v>882000</v>
      </c>
      <c r="X150" s="1251"/>
      <c r="Y150" s="1252"/>
      <c r="Z150" s="2981">
        <v>500000</v>
      </c>
      <c r="AA150" s="1251"/>
      <c r="AB150" s="2647">
        <f t="shared" si="33"/>
        <v>2882000</v>
      </c>
      <c r="AC150" s="2186"/>
      <c r="AD150" s="1253"/>
      <c r="AE150" s="2540">
        <f t="shared" si="34"/>
        <v>5367600</v>
      </c>
      <c r="AF150" s="2929">
        <f t="shared" si="30"/>
        <v>8249600</v>
      </c>
      <c r="AG150" s="2674"/>
      <c r="AH150" s="1426">
        <v>1</v>
      </c>
      <c r="AI150" s="1427"/>
      <c r="AJ150" s="1426"/>
      <c r="AK150" s="1426"/>
      <c r="AL150" s="1426"/>
      <c r="AM150" s="1426"/>
      <c r="AN150" s="1426"/>
      <c r="AO150" s="1426"/>
      <c r="AP150" s="1426"/>
      <c r="AQ150" s="1427">
        <v>1</v>
      </c>
      <c r="AR150" s="1426"/>
      <c r="AS150" s="1427"/>
      <c r="AT150" s="1426"/>
      <c r="AU150" s="1426"/>
      <c r="AV150" s="1426"/>
      <c r="AW150" s="1426"/>
      <c r="AX150" s="1426"/>
    </row>
    <row r="151" spans="1:50" s="5" customFormat="1">
      <c r="A151" s="1699"/>
      <c r="B151" s="2333"/>
      <c r="C151" s="2772" t="s">
        <v>7670</v>
      </c>
      <c r="D151" s="795"/>
      <c r="E151" s="779" t="s">
        <v>7671</v>
      </c>
      <c r="F151" s="1245"/>
      <c r="G151" s="3044"/>
      <c r="H151" s="3064"/>
      <c r="I151" s="3045"/>
      <c r="J151" s="1680"/>
      <c r="K151" s="949"/>
      <c r="L151" s="1379"/>
      <c r="M151" s="2624"/>
      <c r="N151" s="2120"/>
      <c r="O151" s="1913"/>
      <c r="P151" s="2315"/>
      <c r="Q151" s="2315"/>
      <c r="R151" s="2890"/>
      <c r="S151" s="1938"/>
      <c r="T151" s="781"/>
      <c r="U151" s="1116"/>
      <c r="V151" s="3046"/>
      <c r="W151" s="3046"/>
      <c r="X151" s="1116"/>
      <c r="Y151" s="2240"/>
      <c r="Z151" s="3047"/>
      <c r="AA151" s="1461"/>
      <c r="AB151" s="2647"/>
      <c r="AC151" s="2958"/>
      <c r="AD151" s="1146"/>
      <c r="AE151" s="2539"/>
      <c r="AF151" s="2960"/>
      <c r="AG151" s="2730"/>
      <c r="AH151" s="1426"/>
      <c r="AI151" s="1427"/>
      <c r="AJ151" s="1426"/>
      <c r="AK151" s="1426"/>
      <c r="AL151" s="1426"/>
      <c r="AM151" s="1426"/>
      <c r="AN151" s="1426"/>
      <c r="AO151" s="1426"/>
      <c r="AP151" s="1426"/>
      <c r="AQ151" s="1427"/>
      <c r="AR151" s="1426"/>
      <c r="AS151" s="1427"/>
      <c r="AT151" s="1426"/>
      <c r="AU151" s="1426"/>
      <c r="AV151" s="1426"/>
      <c r="AW151" s="1426"/>
      <c r="AX151" s="1426"/>
    </row>
    <row r="152" spans="1:50" s="5" customFormat="1">
      <c r="A152" s="3476" t="s">
        <v>7545</v>
      </c>
      <c r="B152" s="3476"/>
      <c r="C152" s="3476"/>
      <c r="D152" s="3476"/>
      <c r="E152" s="3476"/>
      <c r="F152" s="3476"/>
      <c r="G152" s="3476"/>
      <c r="H152" s="3476"/>
      <c r="I152" s="3476"/>
      <c r="J152" s="3476"/>
      <c r="K152" s="3476"/>
      <c r="L152" s="3476"/>
      <c r="M152" s="3476"/>
      <c r="N152" s="3477"/>
      <c r="O152" s="3477"/>
      <c r="P152" s="2962"/>
      <c r="Q152" s="2962"/>
      <c r="R152" s="2963"/>
      <c r="S152" s="2963"/>
      <c r="T152" s="1040"/>
      <c r="U152" s="2306"/>
      <c r="V152" s="2305"/>
      <c r="W152" s="2305"/>
      <c r="X152" s="2305"/>
      <c r="Y152" s="2976"/>
      <c r="Z152" s="2976"/>
      <c r="AA152" s="2977"/>
      <c r="AB152" s="2976">
        <f>SUM(AB141:AB148)</f>
        <v>14049000</v>
      </c>
      <c r="AC152" s="2875">
        <f>SUM(AC123:AC147)</f>
        <v>0</v>
      </c>
      <c r="AD152" s="878"/>
      <c r="AE152" s="2875">
        <f>SUM(AE136:AE150)</f>
        <v>77522400</v>
      </c>
      <c r="AF152" s="2875">
        <f>SUM(AF136:AF150)</f>
        <v>104575400</v>
      </c>
      <c r="AG152" s="2877"/>
      <c r="AH152" s="1426"/>
      <c r="AI152" s="1427"/>
      <c r="AJ152" s="1426"/>
      <c r="AK152" s="1426"/>
      <c r="AL152" s="1426"/>
      <c r="AM152" s="1426"/>
      <c r="AN152" s="1426"/>
      <c r="AO152" s="1426"/>
      <c r="AP152" s="1426"/>
      <c r="AQ152" s="1427"/>
      <c r="AR152" s="1426"/>
      <c r="AS152" s="1427"/>
      <c r="AT152" s="1426"/>
      <c r="AU152" s="1426"/>
      <c r="AV152" s="1426"/>
      <c r="AW152" s="1426"/>
      <c r="AX152" s="1426"/>
    </row>
    <row r="153" spans="1:50" s="5" customFormat="1" ht="26.4">
      <c r="A153" s="1503">
        <v>1</v>
      </c>
      <c r="B153" s="2042" t="s">
        <v>7726</v>
      </c>
      <c r="C153" s="1896">
        <v>307943995240</v>
      </c>
      <c r="D153" s="2016" t="s">
        <v>7726</v>
      </c>
      <c r="E153" s="2029" t="s">
        <v>7804</v>
      </c>
      <c r="F153" s="2239" t="s">
        <v>210</v>
      </c>
      <c r="G153" s="1642">
        <v>1</v>
      </c>
      <c r="H153" s="1642"/>
      <c r="I153" s="1642"/>
      <c r="J153" s="1840">
        <v>7137.8494333511098</v>
      </c>
      <c r="K153" s="3068" t="s">
        <v>7943</v>
      </c>
      <c r="L153" s="1492" t="s">
        <v>7741</v>
      </c>
      <c r="M153" s="3050">
        <v>1</v>
      </c>
      <c r="N153" s="2190" t="s">
        <v>7739</v>
      </c>
      <c r="O153" s="3057" t="s">
        <v>7740</v>
      </c>
      <c r="P153" s="3058" t="s">
        <v>7685</v>
      </c>
      <c r="Q153" s="3058"/>
      <c r="R153" s="2890" t="s">
        <v>7223</v>
      </c>
      <c r="S153" s="1492" t="s">
        <v>5944</v>
      </c>
      <c r="T153" s="1517"/>
      <c r="U153" s="2556"/>
      <c r="V153" s="2983">
        <v>1000000</v>
      </c>
      <c r="W153" s="3047">
        <v>497000</v>
      </c>
      <c r="X153" s="2556"/>
      <c r="Y153" s="2555"/>
      <c r="Z153" s="2686">
        <v>250000</v>
      </c>
      <c r="AA153" s="2556"/>
      <c r="AB153" s="2647">
        <f t="shared" ref="AB153" si="36">+U153+V153+W153+X153+Y153+Z153+AA153+T153</f>
        <v>1747000</v>
      </c>
      <c r="AC153" s="2186"/>
      <c r="AD153" s="2557"/>
      <c r="AE153" s="2540">
        <f>(AC153*1.08)+((AH153*$AH$4)+(G153*3450000+H153*3550000+I153*AI153)+(AJ153*$AJ$4)+(AK153*$AK$4)+(AL153*$AL$4)+(AM153*$AM$4*(G153+H153))+(AN153*$AN$4)+(AO153*$AO$4)+(AP153*$AP$4)+(AQ153*$AQ$4))*1.08</f>
        <v>5259600</v>
      </c>
      <c r="AF153" s="2929">
        <f t="shared" ref="AF153" si="37">+AB153+AE153</f>
        <v>7006600</v>
      </c>
      <c r="AG153" s="2909"/>
      <c r="AH153" s="1426">
        <v>1</v>
      </c>
      <c r="AI153" s="1427"/>
      <c r="AJ153" s="1426"/>
      <c r="AK153" s="1426"/>
      <c r="AL153" s="1426"/>
      <c r="AM153" s="1426"/>
      <c r="AN153" s="1426"/>
      <c r="AO153" s="1426"/>
      <c r="AP153" s="1426"/>
      <c r="AQ153" s="1427">
        <v>1</v>
      </c>
      <c r="AR153" s="1426"/>
      <c r="AS153" s="1427"/>
      <c r="AT153" s="1426"/>
      <c r="AU153" s="1426"/>
      <c r="AV153" s="1426"/>
      <c r="AW153" s="1426"/>
      <c r="AX153" s="1426"/>
    </row>
    <row r="154" spans="1:50" s="5" customFormat="1" ht="26.4">
      <c r="A154" s="1639">
        <f t="shared" si="35"/>
        <v>2</v>
      </c>
      <c r="B154" s="2042" t="s">
        <v>7742</v>
      </c>
      <c r="C154" s="1896">
        <v>307947384750</v>
      </c>
      <c r="D154" s="2016" t="s">
        <v>7742</v>
      </c>
      <c r="E154" s="2029" t="s">
        <v>7805</v>
      </c>
      <c r="F154" s="2239" t="s">
        <v>210</v>
      </c>
      <c r="G154" s="1503"/>
      <c r="H154" s="3054">
        <v>1</v>
      </c>
      <c r="I154" s="1549"/>
      <c r="J154" s="2592">
        <v>12523.48</v>
      </c>
      <c r="K154" s="3068" t="s">
        <v>7709</v>
      </c>
      <c r="L154" s="1504" t="s">
        <v>7760</v>
      </c>
      <c r="M154" s="2192">
        <v>1</v>
      </c>
      <c r="N154" s="1504" t="s">
        <v>7759</v>
      </c>
      <c r="O154" s="1504" t="s">
        <v>7761</v>
      </c>
      <c r="P154" s="2418" t="s">
        <v>7708</v>
      </c>
      <c r="Q154" s="2418"/>
      <c r="R154" s="2725" t="s">
        <v>4181</v>
      </c>
      <c r="S154" s="1504" t="s">
        <v>7176</v>
      </c>
      <c r="T154" s="1549"/>
      <c r="U154" s="1461"/>
      <c r="V154" s="3047">
        <v>1500000</v>
      </c>
      <c r="W154" s="3047">
        <v>1276000</v>
      </c>
      <c r="X154" s="1461"/>
      <c r="Y154" s="2240"/>
      <c r="Z154" s="3067">
        <v>500000</v>
      </c>
      <c r="AA154" s="1461"/>
      <c r="AB154" s="2647">
        <f t="shared" ref="AB154:AB160" si="38">+U154+V154+W154+X154+Y154+Z154+AA154+T154</f>
        <v>3276000</v>
      </c>
      <c r="AC154" s="2186"/>
      <c r="AD154" s="1662" t="s">
        <v>8018</v>
      </c>
      <c r="AE154" s="2540">
        <f>(AC154*1.08)+((AH154*$AH$4)+(G154*3450000+H154*3550000+I154*AI154)+(AJ154*$AJ$4)+(AK154*$AK$4)+(AL154*$AL$4)+(AM154*$AM$4*(G154+H154))+(AN154*$AN$4)+(AO154*$AO$4)+(AP154*$AP$4)+(AQ154*$AQ$4))*1.08+600000*1.08</f>
        <v>5313600</v>
      </c>
      <c r="AF154" s="2929">
        <f t="shared" ref="AF154:AF164" si="39">+AB154+AE154</f>
        <v>8589600</v>
      </c>
      <c r="AG154" s="2674"/>
      <c r="AH154" s="1426">
        <v>1</v>
      </c>
      <c r="AI154" s="1427"/>
      <c r="AJ154" s="1426"/>
      <c r="AK154" s="1426"/>
      <c r="AL154" s="1426"/>
      <c r="AM154" s="1426"/>
      <c r="AN154" s="1426"/>
      <c r="AO154" s="1426"/>
      <c r="AP154" s="1426"/>
      <c r="AQ154" s="1427"/>
      <c r="AR154" s="1426"/>
      <c r="AS154" s="1427"/>
      <c r="AT154" s="1426"/>
      <c r="AU154" s="1426"/>
      <c r="AV154" s="1426"/>
      <c r="AW154" s="1426"/>
      <c r="AX154" s="1426"/>
    </row>
    <row r="155" spans="1:50" s="5" customFormat="1">
      <c r="A155" s="1639">
        <f t="shared" si="35"/>
        <v>3</v>
      </c>
      <c r="B155" s="2042" t="s">
        <v>7631</v>
      </c>
      <c r="C155" s="1896">
        <v>307957786420</v>
      </c>
      <c r="D155" s="2016" t="s">
        <v>7631</v>
      </c>
      <c r="E155" s="2029" t="s">
        <v>7806</v>
      </c>
      <c r="F155" s="1915" t="s">
        <v>210</v>
      </c>
      <c r="G155" s="1503"/>
      <c r="H155" s="1549"/>
      <c r="I155" s="1642">
        <v>1</v>
      </c>
      <c r="J155" s="2910"/>
      <c r="K155" s="3068" t="s">
        <v>7672</v>
      </c>
      <c r="L155" s="1504" t="s">
        <v>7798</v>
      </c>
      <c r="M155" s="2192"/>
      <c r="N155" s="3656" t="s">
        <v>7673</v>
      </c>
      <c r="O155" s="3657"/>
      <c r="P155" s="1805" t="s">
        <v>7686</v>
      </c>
      <c r="Q155" s="1805"/>
      <c r="R155" s="1504" t="s">
        <v>7628</v>
      </c>
      <c r="S155" s="1504" t="s">
        <v>6288</v>
      </c>
      <c r="T155" s="1549"/>
      <c r="U155" s="2556"/>
      <c r="V155" s="2556"/>
      <c r="W155" s="2556"/>
      <c r="X155" s="2556"/>
      <c r="Y155" s="2555"/>
      <c r="Z155" s="2686">
        <v>26652</v>
      </c>
      <c r="AA155" s="2556"/>
      <c r="AB155" s="2647">
        <f t="shared" si="38"/>
        <v>26652</v>
      </c>
      <c r="AC155" s="2186"/>
      <c r="AD155" s="3039" t="s">
        <v>7738</v>
      </c>
      <c r="AE155" s="2540">
        <f>+(770000+2300000)*1.08+(1500000*1.08)</f>
        <v>4935600</v>
      </c>
      <c r="AF155" s="2929">
        <f t="shared" si="39"/>
        <v>4962252</v>
      </c>
      <c r="AG155" s="2909"/>
      <c r="AH155" s="1426">
        <v>1</v>
      </c>
      <c r="AI155" s="1427">
        <v>1</v>
      </c>
      <c r="AJ155" s="1426"/>
      <c r="AK155" s="1426"/>
      <c r="AL155" s="1426"/>
      <c r="AM155" s="1426"/>
      <c r="AN155" s="1426"/>
      <c r="AO155" s="1426"/>
      <c r="AP155" s="1426"/>
      <c r="AQ155" s="1427">
        <v>1</v>
      </c>
      <c r="AR155" s="1426"/>
      <c r="AS155" s="1427"/>
      <c r="AT155" s="1426"/>
      <c r="AU155" s="1426"/>
      <c r="AV155" s="1426"/>
      <c r="AW155" s="1426"/>
      <c r="AX155" s="1426"/>
    </row>
    <row r="156" spans="1:50" s="5" customFormat="1" ht="15.6">
      <c r="A156" s="1639">
        <f t="shared" si="35"/>
        <v>4</v>
      </c>
      <c r="B156" s="3478" t="s">
        <v>7711</v>
      </c>
      <c r="C156" s="1896">
        <v>307972714140</v>
      </c>
      <c r="D156" s="2016" t="s">
        <v>7711</v>
      </c>
      <c r="E156" s="3463" t="s">
        <v>7939</v>
      </c>
      <c r="F156" s="3480" t="s">
        <v>210</v>
      </c>
      <c r="G156" s="1639">
        <v>1</v>
      </c>
      <c r="H156" s="1639"/>
      <c r="I156" s="1549"/>
      <c r="J156" s="2592">
        <v>17335.528926568499</v>
      </c>
      <c r="K156" s="3447" t="s">
        <v>7815</v>
      </c>
      <c r="L156" s="1504" t="s">
        <v>7864</v>
      </c>
      <c r="M156" s="2896">
        <v>1</v>
      </c>
      <c r="N156" s="1504" t="s">
        <v>7862</v>
      </c>
      <c r="O156" s="1504" t="s">
        <v>7863</v>
      </c>
      <c r="P156" s="3449" t="s">
        <v>7881</v>
      </c>
      <c r="Q156" s="3449"/>
      <c r="R156" s="3451" t="s">
        <v>7223</v>
      </c>
      <c r="S156" s="1504" t="s">
        <v>5944</v>
      </c>
      <c r="T156" s="1549"/>
      <c r="U156" s="1461"/>
      <c r="V156" s="3047">
        <v>1000000</v>
      </c>
      <c r="W156" s="3047">
        <v>994000</v>
      </c>
      <c r="X156" s="1461"/>
      <c r="Y156" s="248"/>
      <c r="Z156" s="2686">
        <v>250000</v>
      </c>
      <c r="AA156" s="1461"/>
      <c r="AB156" s="2647" t="e">
        <f>+U156+V156+W156+X156+#REF!+Z156+AA156+T156</f>
        <v>#REF!</v>
      </c>
      <c r="AC156" s="2186"/>
      <c r="AD156" s="1662"/>
      <c r="AE156" s="2540">
        <f t="shared" ref="AE156:AE164" si="40">(AC156*1.08)+((AH156*$AH$4)+(G156*3450000+H156*3550000+I156*AI156)+(AJ156*$AJ$4)+(AK156*$AK$4)+(AL156*$AL$4)+(AM156*$AM$4*(G156+H156))+(AN156*$AN$4)+(AO156*$AO$4)+(AP156*$AP$4)+(AQ156*$AQ$4))*1.08</f>
        <v>5259600</v>
      </c>
      <c r="AF156" s="2929" t="e">
        <f t="shared" si="39"/>
        <v>#REF!</v>
      </c>
      <c r="AG156" s="2674"/>
      <c r="AH156" s="1426">
        <v>1</v>
      </c>
      <c r="AI156" s="1427"/>
      <c r="AJ156" s="1426"/>
      <c r="AK156" s="1426"/>
      <c r="AL156" s="1426"/>
      <c r="AM156" s="1426"/>
      <c r="AN156" s="1426"/>
      <c r="AO156" s="1426"/>
      <c r="AP156" s="1426"/>
      <c r="AQ156" s="1427">
        <v>1</v>
      </c>
      <c r="AR156" s="1426"/>
      <c r="AS156" s="1427"/>
      <c r="AT156" s="1426"/>
      <c r="AU156" s="1426"/>
      <c r="AV156" s="1426"/>
      <c r="AW156" s="1426"/>
      <c r="AX156" s="1426"/>
    </row>
    <row r="157" spans="1:50" s="5" customFormat="1">
      <c r="A157" s="1639">
        <f t="shared" si="35"/>
        <v>5</v>
      </c>
      <c r="B157" s="3444"/>
      <c r="C157" s="1896">
        <v>307972771430</v>
      </c>
      <c r="D157" s="2016" t="s">
        <v>7711</v>
      </c>
      <c r="E157" s="3472"/>
      <c r="F157" s="3480"/>
      <c r="G157" s="1639">
        <v>1</v>
      </c>
      <c r="H157" s="1639"/>
      <c r="I157" s="1549"/>
      <c r="J157" s="2592">
        <v>15804.5719270216</v>
      </c>
      <c r="K157" s="3467"/>
      <c r="L157" s="1504" t="s">
        <v>7867</v>
      </c>
      <c r="M157" s="2896">
        <v>2</v>
      </c>
      <c r="N157" s="1504" t="s">
        <v>7865</v>
      </c>
      <c r="O157" s="1504" t="s">
        <v>7866</v>
      </c>
      <c r="P157" s="3468"/>
      <c r="Q157" s="3468"/>
      <c r="R157" s="3453"/>
      <c r="S157" s="1504" t="s">
        <v>5972</v>
      </c>
      <c r="T157" s="1549"/>
      <c r="U157" s="1461"/>
      <c r="V157" s="3047">
        <v>1000000</v>
      </c>
      <c r="W157" s="1461"/>
      <c r="X157" s="1461"/>
      <c r="Y157" s="2240"/>
      <c r="Z157" s="2686">
        <v>250000</v>
      </c>
      <c r="AA157" s="1461"/>
      <c r="AB157" s="2647">
        <f t="shared" si="38"/>
        <v>1250000</v>
      </c>
      <c r="AC157" s="2186"/>
      <c r="AD157" s="1662"/>
      <c r="AE157" s="2540">
        <f t="shared" si="40"/>
        <v>5259600</v>
      </c>
      <c r="AF157" s="2929">
        <f t="shared" si="39"/>
        <v>6509600</v>
      </c>
      <c r="AG157" s="2674"/>
      <c r="AH157" s="1426">
        <v>1</v>
      </c>
      <c r="AI157" s="1427"/>
      <c r="AJ157" s="1426"/>
      <c r="AK157" s="1426"/>
      <c r="AL157" s="1426"/>
      <c r="AM157" s="1426"/>
      <c r="AN157" s="1426"/>
      <c r="AO157" s="1426"/>
      <c r="AP157" s="1426"/>
      <c r="AQ157" s="1427">
        <v>1</v>
      </c>
      <c r="AR157" s="1426"/>
      <c r="AS157" s="1427"/>
      <c r="AT157" s="1426"/>
      <c r="AU157" s="1426"/>
      <c r="AV157" s="1426"/>
      <c r="AW157" s="1426"/>
      <c r="AX157" s="1426"/>
    </row>
    <row r="158" spans="1:50" s="5" customFormat="1" ht="16.5" customHeight="1">
      <c r="A158" s="1639">
        <f t="shared" si="35"/>
        <v>6</v>
      </c>
      <c r="B158" s="3443" t="s">
        <v>7839</v>
      </c>
      <c r="C158" s="1896">
        <v>307979190540</v>
      </c>
      <c r="D158" s="2016" t="s">
        <v>7839</v>
      </c>
      <c r="E158" s="3472"/>
      <c r="F158" s="3480"/>
      <c r="G158" s="1639">
        <v>1</v>
      </c>
      <c r="H158" s="1639"/>
      <c r="I158" s="1472"/>
      <c r="J158" s="2592">
        <v>17067.215671755901</v>
      </c>
      <c r="K158" s="3467"/>
      <c r="L158" s="1504" t="s">
        <v>7898</v>
      </c>
      <c r="M158" s="2896">
        <v>3</v>
      </c>
      <c r="N158" s="1504" t="s">
        <v>7884</v>
      </c>
      <c r="O158" s="1504" t="s">
        <v>7886</v>
      </c>
      <c r="P158" s="3468"/>
      <c r="Q158" s="3468"/>
      <c r="R158" s="3453"/>
      <c r="S158" s="1504" t="s">
        <v>6056</v>
      </c>
      <c r="T158" s="1549"/>
      <c r="U158" s="1461"/>
      <c r="V158" s="3047">
        <v>1000000</v>
      </c>
      <c r="W158" s="3047">
        <v>1379000</v>
      </c>
      <c r="X158" s="1461"/>
      <c r="Y158" s="2240"/>
      <c r="Z158" s="2686">
        <v>250000</v>
      </c>
      <c r="AA158" s="1461"/>
      <c r="AB158" s="2647">
        <f t="shared" si="38"/>
        <v>2629000</v>
      </c>
      <c r="AC158" s="2186"/>
      <c r="AD158" s="1662"/>
      <c r="AE158" s="2540">
        <f t="shared" si="40"/>
        <v>5259600</v>
      </c>
      <c r="AF158" s="2929">
        <f t="shared" si="39"/>
        <v>7888600</v>
      </c>
      <c r="AG158" s="2674"/>
      <c r="AH158" s="1426">
        <v>1</v>
      </c>
      <c r="AI158" s="1427"/>
      <c r="AJ158" s="1426"/>
      <c r="AK158" s="1426"/>
      <c r="AL158" s="1426"/>
      <c r="AM158" s="1426"/>
      <c r="AN158" s="1426"/>
      <c r="AO158" s="1426"/>
      <c r="AP158" s="1426"/>
      <c r="AQ158" s="1427">
        <v>1</v>
      </c>
      <c r="AR158" s="1426"/>
      <c r="AS158" s="1427"/>
      <c r="AT158" s="1426"/>
      <c r="AU158" s="1426"/>
      <c r="AV158" s="1426"/>
      <c r="AW158" s="1426"/>
      <c r="AX158" s="1426"/>
    </row>
    <row r="159" spans="1:50" s="5" customFormat="1">
      <c r="A159" s="1639">
        <f t="shared" si="35"/>
        <v>7</v>
      </c>
      <c r="B159" s="3479"/>
      <c r="C159" s="1896">
        <v>307983511860</v>
      </c>
      <c r="D159" s="1805" t="s">
        <v>7844</v>
      </c>
      <c r="E159" s="3472"/>
      <c r="F159" s="3480"/>
      <c r="G159" s="1639">
        <v>1</v>
      </c>
      <c r="H159" s="1639"/>
      <c r="I159" s="1549"/>
      <c r="J159" s="2592">
        <v>16855.5</v>
      </c>
      <c r="K159" s="3467"/>
      <c r="L159" s="1504" t="s">
        <v>7909</v>
      </c>
      <c r="M159" s="2896">
        <v>4</v>
      </c>
      <c r="N159" s="1504" t="s">
        <v>7908</v>
      </c>
      <c r="O159" s="1504"/>
      <c r="P159" s="3468"/>
      <c r="Q159" s="3468"/>
      <c r="R159" s="3453"/>
      <c r="S159" s="1504" t="s">
        <v>6056</v>
      </c>
      <c r="T159" s="1549"/>
      <c r="U159" s="1461"/>
      <c r="V159" s="3047">
        <v>1000000</v>
      </c>
      <c r="W159" s="3047">
        <v>497000</v>
      </c>
      <c r="X159" s="1461"/>
      <c r="Y159" s="2240"/>
      <c r="Z159" s="2686">
        <v>250000</v>
      </c>
      <c r="AA159" s="1461"/>
      <c r="AB159" s="2647">
        <f t="shared" si="38"/>
        <v>1747000</v>
      </c>
      <c r="AC159" s="2186"/>
      <c r="AD159" s="1662"/>
      <c r="AE159" s="2540">
        <f t="shared" si="40"/>
        <v>5259600</v>
      </c>
      <c r="AF159" s="2929">
        <f t="shared" si="39"/>
        <v>7006600</v>
      </c>
      <c r="AG159" s="2674"/>
      <c r="AH159" s="1426">
        <v>1</v>
      </c>
      <c r="AI159" s="1427"/>
      <c r="AJ159" s="1426"/>
      <c r="AK159" s="1426"/>
      <c r="AL159" s="1426"/>
      <c r="AM159" s="1426"/>
      <c r="AN159" s="1426"/>
      <c r="AO159" s="1426"/>
      <c r="AP159" s="1426"/>
      <c r="AQ159" s="1427">
        <v>1</v>
      </c>
      <c r="AR159" s="1426"/>
      <c r="AS159" s="1427"/>
      <c r="AT159" s="1426"/>
      <c r="AU159" s="1426"/>
      <c r="AV159" s="1426"/>
      <c r="AW159" s="1426"/>
      <c r="AX159" s="1426"/>
    </row>
    <row r="160" spans="1:50" s="5" customFormat="1">
      <c r="A160" s="1639">
        <f t="shared" si="35"/>
        <v>8</v>
      </c>
      <c r="B160" s="3444"/>
      <c r="C160" s="1896">
        <v>307979128830</v>
      </c>
      <c r="D160" s="2016" t="s">
        <v>7839</v>
      </c>
      <c r="E160" s="3464"/>
      <c r="F160" s="3480"/>
      <c r="G160" s="1639"/>
      <c r="H160" s="3142">
        <v>1</v>
      </c>
      <c r="I160" s="1549"/>
      <c r="J160" s="2592">
        <v>18170</v>
      </c>
      <c r="K160" s="3448"/>
      <c r="L160" s="1504" t="s">
        <v>7899</v>
      </c>
      <c r="M160" s="2896">
        <v>5</v>
      </c>
      <c r="N160" s="1504" t="s">
        <v>7885</v>
      </c>
      <c r="O160" s="1504" t="s">
        <v>7887</v>
      </c>
      <c r="P160" s="3450"/>
      <c r="Q160" s="3450"/>
      <c r="R160" s="3454"/>
      <c r="S160" s="1504" t="s">
        <v>7447</v>
      </c>
      <c r="T160" s="1549"/>
      <c r="U160" s="1461"/>
      <c r="V160" s="3047">
        <v>1500000</v>
      </c>
      <c r="W160" s="1461"/>
      <c r="X160" s="1461"/>
      <c r="Y160" s="2240"/>
      <c r="Z160" s="2686">
        <v>500000</v>
      </c>
      <c r="AA160" s="1461"/>
      <c r="AB160" s="2647">
        <f t="shared" si="38"/>
        <v>2000000</v>
      </c>
      <c r="AC160" s="2186"/>
      <c r="AD160" s="1662" t="s">
        <v>7856</v>
      </c>
      <c r="AE160" s="2540">
        <f t="shared" si="40"/>
        <v>5367600</v>
      </c>
      <c r="AF160" s="2929">
        <f t="shared" si="39"/>
        <v>7367600</v>
      </c>
      <c r="AG160" s="2674"/>
      <c r="AH160" s="1426">
        <v>1</v>
      </c>
      <c r="AI160" s="1427"/>
      <c r="AJ160" s="1426"/>
      <c r="AK160" s="1426"/>
      <c r="AL160" s="1426"/>
      <c r="AM160" s="1426"/>
      <c r="AN160" s="1426"/>
      <c r="AO160" s="1426"/>
      <c r="AP160" s="1426"/>
      <c r="AQ160" s="1427">
        <v>1</v>
      </c>
      <c r="AR160" s="1426"/>
      <c r="AS160" s="1427"/>
      <c r="AT160" s="1426"/>
      <c r="AU160" s="1426"/>
      <c r="AV160" s="1426"/>
      <c r="AW160" s="1426"/>
      <c r="AX160" s="1426"/>
    </row>
    <row r="161" spans="1:50" s="5" customFormat="1" ht="26.4">
      <c r="A161" s="1639">
        <f t="shared" si="35"/>
        <v>9</v>
      </c>
      <c r="B161" s="2343" t="s">
        <v>7944</v>
      </c>
      <c r="C161" s="1896">
        <v>307995631440</v>
      </c>
      <c r="D161" s="2016" t="s">
        <v>7944</v>
      </c>
      <c r="E161" s="2029" t="s">
        <v>7964</v>
      </c>
      <c r="F161" s="1915" t="s">
        <v>210</v>
      </c>
      <c r="G161" s="1639"/>
      <c r="H161" s="3054">
        <v>1</v>
      </c>
      <c r="I161" s="1549"/>
      <c r="J161" s="2592">
        <v>16196.18</v>
      </c>
      <c r="K161" s="1641" t="s">
        <v>7840</v>
      </c>
      <c r="L161" s="1504" t="s">
        <v>7963</v>
      </c>
      <c r="M161" s="1504" t="s">
        <v>973</v>
      </c>
      <c r="N161" s="1504" t="s">
        <v>7961</v>
      </c>
      <c r="O161" s="1504" t="s">
        <v>7962</v>
      </c>
      <c r="P161" s="2897" t="s">
        <v>7958</v>
      </c>
      <c r="Q161" s="2897"/>
      <c r="R161" s="3074" t="s">
        <v>7223</v>
      </c>
      <c r="S161" s="1504" t="s">
        <v>6056</v>
      </c>
      <c r="T161" s="1549"/>
      <c r="U161" s="1461"/>
      <c r="V161" s="3047">
        <v>1280000</v>
      </c>
      <c r="W161" s="3047">
        <v>882000</v>
      </c>
      <c r="X161" s="1461"/>
      <c r="Y161" s="2240"/>
      <c r="Z161" s="2686">
        <v>500000</v>
      </c>
      <c r="AA161" s="1461"/>
      <c r="AB161" s="2647">
        <f t="shared" ref="AB161:AB164" si="41">+U161+V161+W161+X161+Y161+Z161+AA161+T161</f>
        <v>2662000</v>
      </c>
      <c r="AC161" s="2186"/>
      <c r="AD161" s="1662"/>
      <c r="AE161" s="2540">
        <f t="shared" si="40"/>
        <v>5367600</v>
      </c>
      <c r="AF161" s="2929">
        <f t="shared" si="39"/>
        <v>8029600</v>
      </c>
      <c r="AG161" s="2674"/>
      <c r="AH161" s="1426">
        <v>1</v>
      </c>
      <c r="AI161" s="1427"/>
      <c r="AJ161" s="1426"/>
      <c r="AK161" s="1426"/>
      <c r="AL161" s="1426"/>
      <c r="AM161" s="1426"/>
      <c r="AN161" s="1426"/>
      <c r="AO161" s="1426"/>
      <c r="AP161" s="1426"/>
      <c r="AQ161" s="1427">
        <v>1</v>
      </c>
      <c r="AR161" s="1426"/>
    </row>
    <row r="162" spans="1:50" s="5" customFormat="1" ht="25.5" customHeight="1">
      <c r="A162" s="1639">
        <f t="shared" si="35"/>
        <v>10</v>
      </c>
      <c r="B162" s="3443" t="s">
        <v>7954</v>
      </c>
      <c r="C162" s="1896">
        <v>308000154510</v>
      </c>
      <c r="D162" s="2016" t="s">
        <v>7954</v>
      </c>
      <c r="E162" s="3463" t="s">
        <v>7989</v>
      </c>
      <c r="F162" s="3445" t="s">
        <v>210</v>
      </c>
      <c r="G162" s="1639">
        <v>1</v>
      </c>
      <c r="H162" s="1549"/>
      <c r="I162" s="1549"/>
      <c r="J162" s="2592">
        <v>17265.900000000001</v>
      </c>
      <c r="K162" s="3447" t="s">
        <v>7870</v>
      </c>
      <c r="L162" s="1504" t="s">
        <v>7973</v>
      </c>
      <c r="M162" s="1504" t="s">
        <v>973</v>
      </c>
      <c r="N162" s="1504" t="s">
        <v>7971</v>
      </c>
      <c r="O162" s="1504" t="s">
        <v>7972</v>
      </c>
      <c r="P162" s="3449" t="s">
        <v>7871</v>
      </c>
      <c r="Q162" s="3182"/>
      <c r="R162" s="3473" t="s">
        <v>7223</v>
      </c>
      <c r="S162" s="1504" t="s">
        <v>5972</v>
      </c>
      <c r="T162" s="1549"/>
      <c r="U162" s="1461"/>
      <c r="V162" s="3047">
        <v>900000</v>
      </c>
      <c r="W162" s="3047">
        <v>1491000</v>
      </c>
      <c r="X162" s="1461"/>
      <c r="Y162" s="2240"/>
      <c r="Z162" s="3047">
        <v>250000</v>
      </c>
      <c r="AA162" s="1461"/>
      <c r="AB162" s="2647">
        <f t="shared" si="41"/>
        <v>2641000</v>
      </c>
      <c r="AC162" s="2186"/>
      <c r="AD162" s="1662"/>
      <c r="AE162" s="2540">
        <f t="shared" si="40"/>
        <v>5259600</v>
      </c>
      <c r="AF162" s="2929">
        <f t="shared" si="39"/>
        <v>7900600</v>
      </c>
      <c r="AG162" s="2674"/>
      <c r="AH162" s="1426">
        <v>1</v>
      </c>
      <c r="AI162" s="1427"/>
      <c r="AJ162" s="1426"/>
      <c r="AK162" s="1426"/>
      <c r="AL162" s="1426"/>
      <c r="AM162" s="1426"/>
      <c r="AN162" s="1426"/>
      <c r="AO162" s="1426"/>
      <c r="AP162" s="1426"/>
      <c r="AQ162" s="1427">
        <v>1</v>
      </c>
      <c r="AR162" s="1426"/>
    </row>
    <row r="163" spans="1:50" s="5" customFormat="1">
      <c r="A163" s="1639">
        <f t="shared" si="35"/>
        <v>11</v>
      </c>
      <c r="B163" s="3470"/>
      <c r="C163" s="1896">
        <v>308000205500</v>
      </c>
      <c r="D163" s="2016" t="s">
        <v>7954</v>
      </c>
      <c r="E163" s="3472"/>
      <c r="F163" s="3664"/>
      <c r="G163" s="1639">
        <v>1</v>
      </c>
      <c r="H163" s="1549"/>
      <c r="I163" s="1549"/>
      <c r="J163" s="2592">
        <v>17575.400000000001</v>
      </c>
      <c r="K163" s="3467"/>
      <c r="L163" s="1504" t="s">
        <v>7974</v>
      </c>
      <c r="M163" s="1520" t="s">
        <v>4899</v>
      </c>
      <c r="N163" s="1504" t="s">
        <v>7976</v>
      </c>
      <c r="O163" s="1504" t="s">
        <v>7977</v>
      </c>
      <c r="P163" s="3468"/>
      <c r="Q163" s="3183"/>
      <c r="R163" s="3474"/>
      <c r="S163" s="1504" t="s">
        <v>5944</v>
      </c>
      <c r="T163" s="1549"/>
      <c r="U163" s="1461"/>
      <c r="V163" s="3047">
        <v>900000</v>
      </c>
      <c r="W163" s="1461"/>
      <c r="X163" s="1461"/>
      <c r="Y163" s="2240"/>
      <c r="Z163" s="3047">
        <v>250000</v>
      </c>
      <c r="AA163" s="1461"/>
      <c r="AB163" s="2647">
        <f t="shared" si="41"/>
        <v>1150000</v>
      </c>
      <c r="AC163" s="2186"/>
      <c r="AD163" s="1662"/>
      <c r="AE163" s="2540">
        <f t="shared" si="40"/>
        <v>5259600</v>
      </c>
      <c r="AF163" s="2929">
        <f t="shared" si="39"/>
        <v>6409600</v>
      </c>
      <c r="AG163" s="2674"/>
      <c r="AH163" s="1426">
        <v>1</v>
      </c>
      <c r="AI163" s="1427"/>
      <c r="AJ163" s="1426"/>
      <c r="AK163" s="1426"/>
      <c r="AL163" s="1426"/>
      <c r="AM163" s="1426"/>
      <c r="AN163" s="1426"/>
      <c r="AO163" s="1426"/>
      <c r="AP163" s="1426"/>
      <c r="AQ163" s="1427">
        <v>1</v>
      </c>
      <c r="AR163" s="1426"/>
    </row>
    <row r="164" spans="1:50" s="5" customFormat="1">
      <c r="A164" s="1639">
        <f t="shared" si="35"/>
        <v>12</v>
      </c>
      <c r="B164" s="3471"/>
      <c r="C164" s="1896">
        <v>308000247020</v>
      </c>
      <c r="D164" s="2016" t="s">
        <v>7954</v>
      </c>
      <c r="E164" s="3464"/>
      <c r="F164" s="3446"/>
      <c r="G164" s="1639">
        <v>1</v>
      </c>
      <c r="H164" s="1549"/>
      <c r="I164" s="1549"/>
      <c r="J164" s="2592">
        <v>17648.7</v>
      </c>
      <c r="K164" s="3448"/>
      <c r="L164" s="1504" t="s">
        <v>7975</v>
      </c>
      <c r="M164" s="1504" t="s">
        <v>7980</v>
      </c>
      <c r="N164" s="1504" t="s">
        <v>7978</v>
      </c>
      <c r="O164" s="1504" t="s">
        <v>7979</v>
      </c>
      <c r="P164" s="3450"/>
      <c r="Q164" s="3184"/>
      <c r="R164" s="3475"/>
      <c r="S164" s="1504" t="s">
        <v>7176</v>
      </c>
      <c r="T164" s="1549"/>
      <c r="U164" s="1461"/>
      <c r="V164" s="3047">
        <v>900000</v>
      </c>
      <c r="W164" s="1461"/>
      <c r="X164" s="1461"/>
      <c r="Y164" s="2240"/>
      <c r="Z164" s="3047">
        <v>250000</v>
      </c>
      <c r="AA164" s="1461"/>
      <c r="AB164" s="2647">
        <f t="shared" si="41"/>
        <v>1150000</v>
      </c>
      <c r="AC164" s="2186"/>
      <c r="AD164" s="1662"/>
      <c r="AE164" s="2540">
        <f t="shared" si="40"/>
        <v>5259600</v>
      </c>
      <c r="AF164" s="2929">
        <f t="shared" si="39"/>
        <v>6409600</v>
      </c>
      <c r="AG164" s="2674"/>
      <c r="AH164" s="1426">
        <v>1</v>
      </c>
      <c r="AI164" s="1427"/>
      <c r="AJ164" s="1426"/>
      <c r="AK164" s="1426"/>
      <c r="AL164" s="1426"/>
      <c r="AM164" s="1426"/>
      <c r="AN164" s="1426"/>
      <c r="AO164" s="1426"/>
      <c r="AP164" s="1426"/>
      <c r="AQ164" s="1427">
        <v>1</v>
      </c>
      <c r="AR164" s="1426"/>
    </row>
    <row r="165" spans="1:50" s="5" customFormat="1">
      <c r="A165" s="3476" t="s">
        <v>7970</v>
      </c>
      <c r="B165" s="3476"/>
      <c r="C165" s="3476"/>
      <c r="D165" s="3476"/>
      <c r="E165" s="3476"/>
      <c r="F165" s="3476"/>
      <c r="G165" s="3476"/>
      <c r="H165" s="3476"/>
      <c r="I165" s="3476"/>
      <c r="J165" s="3476"/>
      <c r="K165" s="3476"/>
      <c r="L165" s="3476"/>
      <c r="M165" s="3476"/>
      <c r="N165" s="3477"/>
      <c r="O165" s="3477"/>
      <c r="P165" s="2962"/>
      <c r="Q165" s="2962"/>
      <c r="R165" s="2963"/>
      <c r="S165" s="2963"/>
      <c r="T165" s="1040"/>
      <c r="U165" s="2306"/>
      <c r="V165" s="2305"/>
      <c r="W165" s="2305"/>
      <c r="X165" s="2305"/>
      <c r="Y165" s="2976"/>
      <c r="Z165" s="2976"/>
      <c r="AA165" s="2977"/>
      <c r="AB165" s="2976"/>
      <c r="AC165" s="2875">
        <f>SUM(AC136:AC160)</f>
        <v>0</v>
      </c>
      <c r="AD165" s="878"/>
      <c r="AE165" s="2976"/>
      <c r="AF165" s="2976"/>
      <c r="AG165" s="2877"/>
      <c r="AH165" s="1426"/>
      <c r="AI165" s="1427"/>
      <c r="AJ165" s="1426"/>
      <c r="AK165" s="1426"/>
      <c r="AL165" s="1426"/>
      <c r="AM165" s="1426"/>
      <c r="AN165" s="1426"/>
      <c r="AO165" s="1426"/>
      <c r="AP165" s="1426"/>
      <c r="AQ165" s="1427"/>
      <c r="AR165" s="1426"/>
      <c r="AS165" s="1427"/>
      <c r="AT165" s="1426"/>
      <c r="AU165" s="1426"/>
      <c r="AV165" s="1426"/>
      <c r="AW165" s="1426"/>
      <c r="AX165" s="1426"/>
    </row>
    <row r="166" spans="1:50" s="5" customFormat="1" ht="26.4">
      <c r="A166" s="1503">
        <v>1</v>
      </c>
      <c r="B166" s="2725">
        <v>45669</v>
      </c>
      <c r="C166" s="1896">
        <v>308013672650</v>
      </c>
      <c r="D166" s="2016" t="s">
        <v>7992</v>
      </c>
      <c r="E166" s="2029" t="s">
        <v>8088</v>
      </c>
      <c r="F166" s="2054" t="s">
        <v>210</v>
      </c>
      <c r="G166" s="2054"/>
      <c r="H166" s="2054">
        <v>1</v>
      </c>
      <c r="I166" s="1549"/>
      <c r="J166" s="2592">
        <v>22178.74</v>
      </c>
      <c r="K166" s="2054" t="s">
        <v>8020</v>
      </c>
      <c r="L166" s="1504" t="s">
        <v>8044</v>
      </c>
      <c r="M166" s="2192">
        <v>1</v>
      </c>
      <c r="N166" s="1805" t="s">
        <v>8038</v>
      </c>
      <c r="O166" s="1805" t="s">
        <v>8043</v>
      </c>
      <c r="P166" s="1805" t="s">
        <v>8021</v>
      </c>
      <c r="Q166" s="2064"/>
      <c r="R166" s="3074" t="s">
        <v>7223</v>
      </c>
      <c r="S166" s="1504" t="s">
        <v>5942</v>
      </c>
      <c r="T166" s="1549"/>
      <c r="U166" s="2556"/>
      <c r="V166" s="3259">
        <v>1500000</v>
      </c>
      <c r="W166" s="3259">
        <v>882000</v>
      </c>
      <c r="X166" s="2556"/>
      <c r="Y166" s="2555"/>
      <c r="Z166" s="2686">
        <v>500000</v>
      </c>
      <c r="AA166" s="2556"/>
      <c r="AB166" s="2647">
        <f t="shared" ref="AB166" si="42">+U166+V166+W166+X166+Y166+Z166+AA166+T166</f>
        <v>2882000</v>
      </c>
      <c r="AC166" s="2186"/>
      <c r="AD166" s="2557" t="s">
        <v>8041</v>
      </c>
      <c r="AE166" s="2939">
        <f>(AC166*1.08)+((AH166*$AH$4)+(G166*3450000+H166*3550000+I166*AI166)+(AJ166*$AJ$4)+(AK166*$AK$4)+(AL166*$AL$4)+(AM166*$AM$4*(G166+H166))+(AN166*$AN$4)+(AO166*$AO$4)+(AP166*$AP$4)+(AQ166*$AQ$4))*1.08-798729</f>
        <v>4568871</v>
      </c>
      <c r="AF166" s="2929">
        <f t="shared" ref="AF166" si="43">+AB166+AE166</f>
        <v>7450871</v>
      </c>
      <c r="AG166" s="2909"/>
      <c r="AH166" s="1426">
        <v>1</v>
      </c>
      <c r="AI166" s="1427"/>
      <c r="AJ166" s="1426"/>
      <c r="AK166" s="1426"/>
      <c r="AL166" s="1426"/>
      <c r="AM166" s="1426"/>
      <c r="AN166" s="1426"/>
      <c r="AO166" s="1426"/>
      <c r="AP166" s="1426"/>
      <c r="AQ166" s="1427">
        <v>1</v>
      </c>
      <c r="AR166" s="1426"/>
    </row>
    <row r="167" spans="1:50" s="5" customFormat="1" ht="26.4">
      <c r="A167" s="1503">
        <f t="shared" si="35"/>
        <v>2</v>
      </c>
      <c r="B167" s="2343" t="s">
        <v>8223</v>
      </c>
      <c r="C167" s="3662" t="s">
        <v>8133</v>
      </c>
      <c r="D167" s="3663"/>
      <c r="E167" s="2029" t="s">
        <v>8268</v>
      </c>
      <c r="F167" s="2054" t="s">
        <v>210</v>
      </c>
      <c r="G167" s="3092"/>
      <c r="H167" s="2054">
        <v>1</v>
      </c>
      <c r="I167" s="1549"/>
      <c r="J167" s="2910"/>
      <c r="K167" s="2054"/>
      <c r="L167" s="1472"/>
      <c r="M167" s="1472"/>
      <c r="N167" s="1805" t="s">
        <v>8266</v>
      </c>
      <c r="O167" s="1520" t="s">
        <v>8267</v>
      </c>
      <c r="P167" s="2897"/>
      <c r="Q167" s="2418"/>
      <c r="R167" s="2725" t="s">
        <v>8264</v>
      </c>
      <c r="S167" s="1504" t="s">
        <v>8265</v>
      </c>
      <c r="T167" s="1549"/>
      <c r="U167" s="1461"/>
      <c r="V167" s="1461"/>
      <c r="W167" s="1461"/>
      <c r="X167" s="1461"/>
      <c r="Y167" s="2240"/>
      <c r="Z167" s="2240"/>
      <c r="AA167" s="1461"/>
      <c r="AB167" s="2647">
        <f t="shared" ref="AB167" si="44">+U167+V167+W167+X167+Y167+Z167+AA167+T167</f>
        <v>0</v>
      </c>
      <c r="AC167" s="2186"/>
      <c r="AD167" s="1662"/>
      <c r="AE167" s="2939">
        <f>18600000*1.08</f>
        <v>20088000</v>
      </c>
      <c r="AF167" s="2929">
        <f t="shared" ref="AF167:AF173" si="45">+AB167+AE167</f>
        <v>20088000</v>
      </c>
      <c r="AG167" s="2674"/>
      <c r="AH167" s="1426">
        <v>1</v>
      </c>
      <c r="AI167" s="1427"/>
      <c r="AJ167" s="1426"/>
      <c r="AK167" s="1426"/>
      <c r="AL167" s="1426"/>
      <c r="AM167" s="1426"/>
      <c r="AN167" s="1426"/>
      <c r="AO167" s="1426"/>
      <c r="AP167" s="1426"/>
      <c r="AQ167" s="1427">
        <v>1</v>
      </c>
      <c r="AR167" s="1426"/>
    </row>
    <row r="168" spans="1:50" s="5" customFormat="1" ht="18" customHeight="1">
      <c r="A168" s="3462">
        <f t="shared" si="35"/>
        <v>3</v>
      </c>
      <c r="B168" s="3459">
        <v>45973</v>
      </c>
      <c r="C168" s="1896">
        <v>308046249840</v>
      </c>
      <c r="D168" s="2016" t="s">
        <v>8145</v>
      </c>
      <c r="E168" s="3463" t="s">
        <v>8209</v>
      </c>
      <c r="F168" s="3458" t="s">
        <v>210</v>
      </c>
      <c r="G168" s="1503">
        <v>1</v>
      </c>
      <c r="H168" s="1549"/>
      <c r="I168" s="1549"/>
      <c r="J168" s="2592">
        <v>17112.5456976311</v>
      </c>
      <c r="K168" s="3458" t="s">
        <v>8156</v>
      </c>
      <c r="L168" s="1504" t="s">
        <v>8173</v>
      </c>
      <c r="M168" s="2192">
        <v>4</v>
      </c>
      <c r="N168" s="1805" t="s">
        <v>8171</v>
      </c>
      <c r="O168" s="1805" t="s">
        <v>8172</v>
      </c>
      <c r="P168" s="3455" t="s">
        <v>8181</v>
      </c>
      <c r="Q168" s="3465" t="s">
        <v>8178</v>
      </c>
      <c r="R168" s="3451" t="s">
        <v>7223</v>
      </c>
      <c r="S168" s="1504" t="s">
        <v>6056</v>
      </c>
      <c r="T168" s="1549"/>
      <c r="U168" s="2556"/>
      <c r="V168" s="3259">
        <v>2000000</v>
      </c>
      <c r="W168" s="3047">
        <v>994000</v>
      </c>
      <c r="X168" s="2556"/>
      <c r="Y168" s="2555"/>
      <c r="Z168" s="3067">
        <v>250000</v>
      </c>
      <c r="AA168" s="2556"/>
      <c r="AB168" s="2647">
        <f t="shared" ref="AB168:AB174" si="46">+U168+V168+W168+X168+Y168+Z168+AA168+T168</f>
        <v>3244000</v>
      </c>
      <c r="AC168" s="2186"/>
      <c r="AD168" s="2557"/>
      <c r="AE168" s="2939">
        <f>(AC168*1.08)+((AH168*$AH$4)+(G168*3450000+H168*3550000+I168*AI168)+(AJ168*$AJ$4)+(AK168*$AK$4)+(AL168*$AL$4)+(AM168*$AM$4*(G168+H168))+(AN168*$AN$4)+(AO168*$AO$4)+(AP168*$AP$4)+(AQ168*$AQ$4))*1.08+(500000*1.08)</f>
        <v>5799600</v>
      </c>
      <c r="AF168" s="2929">
        <f t="shared" si="45"/>
        <v>9043600</v>
      </c>
      <c r="AG168" s="2909"/>
      <c r="AH168" s="1426">
        <v>1</v>
      </c>
      <c r="AI168" s="1427"/>
      <c r="AJ168" s="1426"/>
      <c r="AK168" s="1426"/>
      <c r="AL168" s="1426"/>
      <c r="AM168" s="1426"/>
      <c r="AN168" s="1426"/>
      <c r="AO168" s="1426"/>
      <c r="AP168" s="1426"/>
      <c r="AQ168" s="1427">
        <v>1</v>
      </c>
      <c r="AR168" s="1426"/>
    </row>
    <row r="169" spans="1:50" s="5" customFormat="1" ht="14.25" customHeight="1">
      <c r="A169" s="3444"/>
      <c r="B169" s="3459"/>
      <c r="C169" s="1896">
        <v>308046313100</v>
      </c>
      <c r="D169" s="2016" t="s">
        <v>8145</v>
      </c>
      <c r="E169" s="3464"/>
      <c r="F169" s="3458"/>
      <c r="G169" s="1503">
        <v>1</v>
      </c>
      <c r="H169" s="1549"/>
      <c r="I169" s="1549"/>
      <c r="J169" s="2592">
        <v>14382.9083158499</v>
      </c>
      <c r="K169" s="3458"/>
      <c r="L169" s="1504" t="s">
        <v>8176</v>
      </c>
      <c r="M169" s="2192">
        <v>5</v>
      </c>
      <c r="N169" s="1805" t="s">
        <v>8174</v>
      </c>
      <c r="O169" s="1805" t="s">
        <v>8175</v>
      </c>
      <c r="P169" s="3457"/>
      <c r="Q169" s="3466"/>
      <c r="R169" s="3452"/>
      <c r="S169" s="1504" t="s">
        <v>6056</v>
      </c>
      <c r="T169" s="1549"/>
      <c r="U169" s="2556"/>
      <c r="V169" s="2556"/>
      <c r="W169" s="2556"/>
      <c r="X169" s="2556"/>
      <c r="Y169" s="2555"/>
      <c r="Z169" s="3067">
        <v>250000</v>
      </c>
      <c r="AA169" s="2556"/>
      <c r="AB169" s="2647">
        <f t="shared" si="46"/>
        <v>250000</v>
      </c>
      <c r="AC169" s="2186"/>
      <c r="AD169" s="2557"/>
      <c r="AE169" s="2939">
        <f>(AC169*1.08)+((AH169*$AH$4)+(G169*3450000+H169*3550000+I169*AI169)+(AJ169*$AJ$4)+(AK169*$AK$4)+(AL169*$AL$4)+(AM169*$AM$4*(G169+H169))+(AN169*$AN$4)+(AO169*$AO$4)+(AP169*$AP$4)+(AQ169*$AQ$4))*1.08+(500000*1.08)</f>
        <v>5799600</v>
      </c>
      <c r="AF169" s="2929">
        <f t="shared" si="45"/>
        <v>6049600</v>
      </c>
      <c r="AG169" s="2909"/>
      <c r="AH169" s="1426">
        <v>1</v>
      </c>
      <c r="AI169" s="1427"/>
      <c r="AJ169" s="1426"/>
      <c r="AK169" s="1426"/>
      <c r="AL169" s="1426"/>
      <c r="AM169" s="1426"/>
      <c r="AN169" s="1426"/>
      <c r="AO169" s="1426"/>
      <c r="AP169" s="1426"/>
      <c r="AQ169" s="1427">
        <v>1</v>
      </c>
      <c r="AR169" s="1426"/>
    </row>
    <row r="170" spans="1:50" s="5" customFormat="1" ht="12.75" customHeight="1">
      <c r="A170" s="1503">
        <f>+A168+1</f>
        <v>4</v>
      </c>
      <c r="B170" s="3469">
        <v>46003</v>
      </c>
      <c r="C170" s="1896">
        <v>308053928140</v>
      </c>
      <c r="D170" s="1805" t="s">
        <v>8128</v>
      </c>
      <c r="E170" s="3463" t="s">
        <v>8210</v>
      </c>
      <c r="F170" s="3447" t="s">
        <v>210</v>
      </c>
      <c r="G170" s="1639">
        <v>1</v>
      </c>
      <c r="H170" s="1549"/>
      <c r="I170" s="1549"/>
      <c r="J170" s="2592">
        <v>17184.753211805099</v>
      </c>
      <c r="K170" s="3447">
        <v>6436418231</v>
      </c>
      <c r="L170" s="2896" t="s">
        <v>8198</v>
      </c>
      <c r="M170" s="2896" t="s">
        <v>973</v>
      </c>
      <c r="N170" s="1805" t="s">
        <v>8195</v>
      </c>
      <c r="O170" s="2016" t="s">
        <v>8196</v>
      </c>
      <c r="P170" s="3449" t="s">
        <v>8159</v>
      </c>
      <c r="Q170" s="3455" t="s">
        <v>8197</v>
      </c>
      <c r="R170" s="3451" t="s">
        <v>7223</v>
      </c>
      <c r="S170" s="1504" t="s">
        <v>6056</v>
      </c>
      <c r="T170" s="1549"/>
      <c r="U170" s="1461"/>
      <c r="V170" s="3259">
        <v>1000000</v>
      </c>
      <c r="W170" s="3047">
        <v>2870000</v>
      </c>
      <c r="X170" s="1461"/>
      <c r="Y170" s="2240"/>
      <c r="Z170" s="3067">
        <v>250000</v>
      </c>
      <c r="AA170" s="1461"/>
      <c r="AB170" s="2647">
        <f t="shared" si="46"/>
        <v>4120000</v>
      </c>
      <c r="AC170" s="2186"/>
      <c r="AD170" s="1662"/>
      <c r="AE170" s="2939">
        <f t="shared" ref="AE170:AE173" si="47">(AC170*1.08)+((AH170*$AH$4)+(G170*3450000+H170*3550000+I170*AI170)+(AJ170*$AJ$4)+(AK170*$AK$4)+(AL170*$AL$4)+(AM170*$AM$4*(G170+H170))+(AN170*$AN$4)+(AO170*$AO$4)+(AP170*$AP$4)+(AQ170*$AQ$4))*1.08</f>
        <v>5259600</v>
      </c>
      <c r="AF170" s="2929">
        <f t="shared" si="45"/>
        <v>9379600</v>
      </c>
      <c r="AG170" s="2674"/>
      <c r="AH170" s="1426">
        <v>1</v>
      </c>
      <c r="AI170" s="1427"/>
      <c r="AJ170" s="1426"/>
      <c r="AK170" s="1426"/>
      <c r="AL170" s="1426"/>
      <c r="AM170" s="1426"/>
      <c r="AN170" s="1426"/>
      <c r="AO170" s="1426"/>
      <c r="AP170" s="1426"/>
      <c r="AQ170" s="1427">
        <v>1</v>
      </c>
      <c r="AR170" s="1426"/>
    </row>
    <row r="171" spans="1:50" s="5" customFormat="1">
      <c r="A171" s="1639">
        <f t="shared" si="35"/>
        <v>5</v>
      </c>
      <c r="B171" s="3470"/>
      <c r="C171" s="1896">
        <v>308053934660</v>
      </c>
      <c r="D171" s="1805" t="s">
        <v>8128</v>
      </c>
      <c r="E171" s="3472"/>
      <c r="F171" s="3467"/>
      <c r="G171" s="1639">
        <v>1</v>
      </c>
      <c r="H171" s="1549"/>
      <c r="I171" s="1549"/>
      <c r="J171" s="2592">
        <v>16676.5752010039</v>
      </c>
      <c r="K171" s="3467"/>
      <c r="L171" s="2896" t="s">
        <v>8200</v>
      </c>
      <c r="M171" s="2896">
        <v>2</v>
      </c>
      <c r="N171" s="1805" t="s">
        <v>8199</v>
      </c>
      <c r="O171" s="1805">
        <v>31299676</v>
      </c>
      <c r="P171" s="3468"/>
      <c r="Q171" s="3456"/>
      <c r="R171" s="3453"/>
      <c r="S171" s="1504" t="s">
        <v>5944</v>
      </c>
      <c r="T171" s="1549"/>
      <c r="U171" s="1461"/>
      <c r="V171" s="3047">
        <v>1000000</v>
      </c>
      <c r="W171" s="1461"/>
      <c r="X171" s="1461"/>
      <c r="Y171" s="2240"/>
      <c r="Z171" s="3067">
        <v>250000</v>
      </c>
      <c r="AA171" s="1461"/>
      <c r="AB171" s="2647">
        <f t="shared" si="46"/>
        <v>1250000</v>
      </c>
      <c r="AC171" s="2186"/>
      <c r="AD171" s="1662"/>
      <c r="AE171" s="2939">
        <f t="shared" si="47"/>
        <v>5259600</v>
      </c>
      <c r="AF171" s="2929">
        <f t="shared" si="45"/>
        <v>6509600</v>
      </c>
      <c r="AG171" s="2674"/>
      <c r="AH171" s="1426">
        <v>1</v>
      </c>
      <c r="AI171" s="1427"/>
      <c r="AJ171" s="1426"/>
      <c r="AK171" s="1426"/>
      <c r="AL171" s="1426"/>
      <c r="AM171" s="1426"/>
      <c r="AN171" s="1426"/>
      <c r="AO171" s="1426"/>
      <c r="AP171" s="1426"/>
      <c r="AQ171" s="1427">
        <v>1</v>
      </c>
      <c r="AR171" s="1426"/>
    </row>
    <row r="172" spans="1:50" s="5" customFormat="1">
      <c r="A172" s="1639">
        <f t="shared" si="35"/>
        <v>6</v>
      </c>
      <c r="B172" s="3470"/>
      <c r="C172" s="1896">
        <v>308053967710</v>
      </c>
      <c r="D172" s="1805" t="s">
        <v>8128</v>
      </c>
      <c r="E172" s="3472"/>
      <c r="F172" s="3467"/>
      <c r="G172" s="1639">
        <v>1</v>
      </c>
      <c r="H172" s="1549"/>
      <c r="I172" s="1549"/>
      <c r="J172" s="2592">
        <v>15342.7865585459</v>
      </c>
      <c r="K172" s="3467"/>
      <c r="L172" s="2896" t="s">
        <v>8201</v>
      </c>
      <c r="M172" s="2896">
        <v>3</v>
      </c>
      <c r="N172" s="1805" t="s">
        <v>8204</v>
      </c>
      <c r="O172" s="1805">
        <v>31299680</v>
      </c>
      <c r="P172" s="3468"/>
      <c r="Q172" s="3456"/>
      <c r="R172" s="3453"/>
      <c r="S172" s="1504" t="s">
        <v>5944</v>
      </c>
      <c r="T172" s="1549"/>
      <c r="U172" s="1461"/>
      <c r="V172" s="3047">
        <v>1000000</v>
      </c>
      <c r="W172" s="1461"/>
      <c r="X172" s="1461"/>
      <c r="Y172" s="2240"/>
      <c r="Z172" s="3067">
        <v>250000</v>
      </c>
      <c r="AA172" s="1461"/>
      <c r="AB172" s="2647">
        <f t="shared" si="46"/>
        <v>1250000</v>
      </c>
      <c r="AC172" s="2186"/>
      <c r="AD172" s="1662"/>
      <c r="AE172" s="2939">
        <f t="shared" si="47"/>
        <v>5259600</v>
      </c>
      <c r="AF172" s="2929">
        <f t="shared" si="45"/>
        <v>6509600</v>
      </c>
      <c r="AG172" s="2674"/>
      <c r="AH172" s="1426">
        <v>1</v>
      </c>
      <c r="AI172" s="1427"/>
      <c r="AJ172" s="1426"/>
      <c r="AK172" s="1426"/>
      <c r="AL172" s="1426"/>
      <c r="AM172" s="1426"/>
      <c r="AN172" s="1426"/>
      <c r="AO172" s="1426"/>
      <c r="AP172" s="1426"/>
      <c r="AQ172" s="1427">
        <v>1</v>
      </c>
      <c r="AR172" s="1426"/>
    </row>
    <row r="173" spans="1:50" s="5" customFormat="1">
      <c r="A173" s="1639">
        <f t="shared" si="35"/>
        <v>7</v>
      </c>
      <c r="B173" s="3470"/>
      <c r="C173" s="1896">
        <v>308053987900</v>
      </c>
      <c r="D173" s="1805" t="s">
        <v>8128</v>
      </c>
      <c r="E173" s="3472"/>
      <c r="F173" s="3467"/>
      <c r="G173" s="1639">
        <v>1</v>
      </c>
      <c r="H173" s="1549"/>
      <c r="I173" s="1549"/>
      <c r="J173" s="2592">
        <v>16740.198027621798</v>
      </c>
      <c r="K173" s="3467"/>
      <c r="L173" s="2896" t="s">
        <v>8202</v>
      </c>
      <c r="M173" s="2896">
        <v>4</v>
      </c>
      <c r="N173" s="1805" t="s">
        <v>8205</v>
      </c>
      <c r="O173" s="1805">
        <v>31299673</v>
      </c>
      <c r="P173" s="3468"/>
      <c r="Q173" s="3456"/>
      <c r="R173" s="3453"/>
      <c r="S173" s="1504" t="s">
        <v>7176</v>
      </c>
      <c r="T173" s="1549"/>
      <c r="U173" s="1461"/>
      <c r="V173" s="3047">
        <v>1000000</v>
      </c>
      <c r="W173" s="1461"/>
      <c r="X173" s="1461"/>
      <c r="Y173" s="2240"/>
      <c r="Z173" s="3067">
        <v>250000</v>
      </c>
      <c r="AA173" s="1461"/>
      <c r="AB173" s="2647">
        <f t="shared" si="46"/>
        <v>1250000</v>
      </c>
      <c r="AC173" s="2186"/>
      <c r="AD173" s="1662"/>
      <c r="AE173" s="2939">
        <f t="shared" si="47"/>
        <v>5259600</v>
      </c>
      <c r="AF173" s="2929">
        <f t="shared" si="45"/>
        <v>6509600</v>
      </c>
      <c r="AG173" s="2674"/>
      <c r="AH173" s="1426">
        <v>1</v>
      </c>
      <c r="AI173" s="1427"/>
      <c r="AJ173" s="1426"/>
      <c r="AK173" s="1426"/>
      <c r="AL173" s="1426"/>
      <c r="AM173" s="1426"/>
      <c r="AN173" s="1426"/>
      <c r="AO173" s="1426"/>
      <c r="AP173" s="1426"/>
      <c r="AQ173" s="1427">
        <v>1</v>
      </c>
      <c r="AR173" s="1426"/>
    </row>
    <row r="174" spans="1:50" s="5" customFormat="1">
      <c r="A174" s="1639">
        <f t="shared" si="35"/>
        <v>8</v>
      </c>
      <c r="B174" s="3471"/>
      <c r="C174" s="1896">
        <v>308054010740</v>
      </c>
      <c r="D174" s="1805" t="s">
        <v>8128</v>
      </c>
      <c r="E174" s="3464"/>
      <c r="F174" s="3448"/>
      <c r="G174" s="1639"/>
      <c r="H174" s="3223">
        <v>1</v>
      </c>
      <c r="I174" s="1549"/>
      <c r="J174" s="2592">
        <v>20239.669670260701</v>
      </c>
      <c r="K174" s="3448"/>
      <c r="L174" s="2896" t="s">
        <v>8203</v>
      </c>
      <c r="M174" s="2896">
        <v>5</v>
      </c>
      <c r="N174" s="1805" t="s">
        <v>8206</v>
      </c>
      <c r="O174" s="1805">
        <v>31299671</v>
      </c>
      <c r="P174" s="3450"/>
      <c r="Q174" s="3457"/>
      <c r="R174" s="3454"/>
      <c r="S174" s="1504" t="s">
        <v>8243</v>
      </c>
      <c r="T174" s="1549"/>
      <c r="U174" s="1461"/>
      <c r="V174" s="3047">
        <v>1500000</v>
      </c>
      <c r="W174" s="1461"/>
      <c r="X174" s="1461"/>
      <c r="Y174" s="2240"/>
      <c r="Z174" s="3067">
        <v>500000</v>
      </c>
      <c r="AA174" s="1461"/>
      <c r="AB174" s="2647">
        <f t="shared" si="46"/>
        <v>2000000</v>
      </c>
      <c r="AC174" s="2186"/>
      <c r="AD174" s="1662"/>
      <c r="AE174" s="2939">
        <f t="shared" ref="AE174:AE185" si="48">(AC174*1.08)+((AH174*$AH$4)+(G174*3450000+H174*3550000+I174*AI174)+(AJ174*$AJ$4)+(AK174*$AK$4)+(AL174*$AL$4)+(AM174*$AM$4*(G174+H174))+(AN174*$AN$4)+(AO174*$AO$4)+(AP174*$AP$4)+(AQ174*$AQ$4))*1.08</f>
        <v>5367600</v>
      </c>
      <c r="AF174" s="2929">
        <f t="shared" ref="AF174:AF185" si="49">+AB174+AE174</f>
        <v>7367600</v>
      </c>
      <c r="AG174" s="2674"/>
      <c r="AH174" s="1426">
        <v>1</v>
      </c>
      <c r="AI174" s="1427"/>
      <c r="AJ174" s="1426"/>
      <c r="AK174" s="1426"/>
      <c r="AL174" s="1426"/>
      <c r="AM174" s="1426"/>
      <c r="AN174" s="1426"/>
      <c r="AO174" s="1426"/>
      <c r="AP174" s="1426"/>
      <c r="AQ174" s="1427">
        <v>1</v>
      </c>
      <c r="AR174" s="1426"/>
    </row>
    <row r="175" spans="1:50" s="5" customFormat="1">
      <c r="A175" s="1639">
        <f t="shared" si="35"/>
        <v>9</v>
      </c>
      <c r="B175" s="3443" t="s">
        <v>8275</v>
      </c>
      <c r="C175" s="1896">
        <v>308073389320</v>
      </c>
      <c r="D175" s="2016" t="s">
        <v>8275</v>
      </c>
      <c r="E175" s="3460" t="s">
        <v>8355</v>
      </c>
      <c r="F175" s="3445" t="s">
        <v>210</v>
      </c>
      <c r="G175" s="1639">
        <v>1</v>
      </c>
      <c r="H175" s="1549"/>
      <c r="I175" s="1549"/>
      <c r="J175" s="2592">
        <v>16210.6138212973</v>
      </c>
      <c r="K175" s="3447" t="s">
        <v>8246</v>
      </c>
      <c r="L175" s="2911" t="s">
        <v>8306</v>
      </c>
      <c r="M175" s="2896">
        <v>1</v>
      </c>
      <c r="N175" s="1504" t="s">
        <v>8304</v>
      </c>
      <c r="O175" s="1504" t="s">
        <v>8305</v>
      </c>
      <c r="P175" s="3449" t="s">
        <v>8272</v>
      </c>
      <c r="Q175" s="3455" t="s">
        <v>8278</v>
      </c>
      <c r="R175" s="3451" t="s">
        <v>7223</v>
      </c>
      <c r="S175" s="1504" t="s">
        <v>6056</v>
      </c>
      <c r="T175" s="1549"/>
      <c r="U175" s="1461"/>
      <c r="V175" s="1461"/>
      <c r="W175" s="1660">
        <v>994000</v>
      </c>
      <c r="X175" s="1461"/>
      <c r="Y175" s="2240"/>
      <c r="Z175" s="2240"/>
      <c r="AA175" s="1461"/>
      <c r="AB175" s="2647">
        <f t="shared" ref="AB175:AB185" si="50">+U175+V175+W175+X175+Y175+Z175+AA175+T175</f>
        <v>994000</v>
      </c>
      <c r="AC175" s="2186"/>
      <c r="AD175" s="1662"/>
      <c r="AE175" s="2939">
        <f t="shared" si="48"/>
        <v>5259600</v>
      </c>
      <c r="AF175" s="2929">
        <f t="shared" si="49"/>
        <v>6253600</v>
      </c>
      <c r="AG175" s="2674"/>
      <c r="AH175" s="1426">
        <v>1</v>
      </c>
      <c r="AI175" s="1427"/>
      <c r="AJ175" s="1426"/>
      <c r="AK175" s="1426"/>
      <c r="AL175" s="1426"/>
      <c r="AM175" s="1426"/>
      <c r="AN175" s="1426"/>
      <c r="AO175" s="1426"/>
      <c r="AP175" s="1426"/>
      <c r="AQ175" s="1427">
        <v>1</v>
      </c>
      <c r="AR175" s="1426"/>
    </row>
    <row r="176" spans="1:50" s="5" customFormat="1">
      <c r="A176" s="1639">
        <f t="shared" si="35"/>
        <v>10</v>
      </c>
      <c r="B176" s="3444"/>
      <c r="C176" s="1896">
        <v>308073456300</v>
      </c>
      <c r="D176" s="2016" t="s">
        <v>8275</v>
      </c>
      <c r="E176" s="3461"/>
      <c r="F176" s="3446"/>
      <c r="G176" s="1639">
        <v>1</v>
      </c>
      <c r="H176" s="1549"/>
      <c r="I176" s="1549"/>
      <c r="J176" s="2592">
        <v>15997.704158594999</v>
      </c>
      <c r="K176" s="3448"/>
      <c r="L176" s="2911" t="s">
        <v>8307</v>
      </c>
      <c r="M176" s="2896">
        <v>2</v>
      </c>
      <c r="N176" s="1504" t="s">
        <v>8308</v>
      </c>
      <c r="O176" s="1504" t="s">
        <v>8309</v>
      </c>
      <c r="P176" s="3450"/>
      <c r="Q176" s="3457"/>
      <c r="R176" s="3452"/>
      <c r="S176" s="1504" t="s">
        <v>7176</v>
      </c>
      <c r="T176" s="1549"/>
      <c r="U176" s="1461"/>
      <c r="V176" s="1461"/>
      <c r="W176" s="1461"/>
      <c r="X176" s="1461"/>
      <c r="Y176" s="2240"/>
      <c r="Z176" s="2240"/>
      <c r="AA176" s="1461"/>
      <c r="AB176" s="2647">
        <f t="shared" si="50"/>
        <v>0</v>
      </c>
      <c r="AC176" s="2186"/>
      <c r="AD176" s="1662"/>
      <c r="AE176" s="2939">
        <f t="shared" si="48"/>
        <v>5259600</v>
      </c>
      <c r="AF176" s="2929">
        <f t="shared" si="49"/>
        <v>5259600</v>
      </c>
      <c r="AG176" s="2674"/>
      <c r="AH176" s="1426">
        <v>1</v>
      </c>
      <c r="AI176" s="1427"/>
      <c r="AJ176" s="1426"/>
      <c r="AK176" s="1426"/>
      <c r="AL176" s="1426"/>
      <c r="AM176" s="1426"/>
      <c r="AN176" s="1426"/>
      <c r="AO176" s="1426"/>
      <c r="AP176" s="1426"/>
      <c r="AQ176" s="1427">
        <v>1</v>
      </c>
      <c r="AR176" s="1426"/>
    </row>
    <row r="177" spans="1:44" s="5" customFormat="1" ht="26.4">
      <c r="A177" s="1639">
        <f t="shared" si="35"/>
        <v>11</v>
      </c>
      <c r="B177" s="2062" t="s">
        <v>8326</v>
      </c>
      <c r="C177" s="1896">
        <v>308087492920</v>
      </c>
      <c r="D177" s="2016" t="s">
        <v>8326</v>
      </c>
      <c r="E177" s="1915"/>
      <c r="F177" s="1915" t="s">
        <v>210</v>
      </c>
      <c r="G177" s="1639"/>
      <c r="H177" s="3223">
        <v>1</v>
      </c>
      <c r="I177" s="1549"/>
      <c r="J177" s="2592">
        <v>11159.16</v>
      </c>
      <c r="K177" s="1641" t="s">
        <v>8329</v>
      </c>
      <c r="L177" s="2911"/>
      <c r="M177" s="2192">
        <v>1</v>
      </c>
      <c r="N177" s="1504" t="s">
        <v>8368</v>
      </c>
      <c r="O177" s="1504"/>
      <c r="P177" s="2897" t="s">
        <v>8330</v>
      </c>
      <c r="Q177" s="2897"/>
      <c r="R177" s="3074" t="s">
        <v>7223</v>
      </c>
      <c r="S177" s="1504" t="s">
        <v>5942</v>
      </c>
      <c r="T177" s="1549"/>
      <c r="U177" s="1461"/>
      <c r="V177" s="1461"/>
      <c r="W177" s="1461"/>
      <c r="X177" s="1461"/>
      <c r="Y177" s="2240"/>
      <c r="Z177" s="2240"/>
      <c r="AA177" s="1461"/>
      <c r="AB177" s="2647">
        <f t="shared" si="50"/>
        <v>0</v>
      </c>
      <c r="AC177" s="2186"/>
      <c r="AD177" s="2478" t="s">
        <v>8338</v>
      </c>
      <c r="AE177" s="2939">
        <f t="shared" si="48"/>
        <v>3834000.0000000005</v>
      </c>
      <c r="AF177" s="2929">
        <f t="shared" si="49"/>
        <v>3834000.0000000005</v>
      </c>
      <c r="AG177" s="2674"/>
      <c r="AH177" s="1426"/>
      <c r="AI177" s="1427"/>
      <c r="AJ177" s="1426"/>
      <c r="AK177" s="1426"/>
      <c r="AL177" s="1426"/>
      <c r="AM177" s="1426"/>
      <c r="AN177" s="1426"/>
      <c r="AO177" s="1426"/>
      <c r="AP177" s="1426"/>
      <c r="AQ177" s="1426"/>
      <c r="AR177" s="1426"/>
    </row>
    <row r="178" spans="1:44" s="5" customFormat="1" ht="26.4">
      <c r="A178" s="1639">
        <f t="shared" si="35"/>
        <v>12</v>
      </c>
      <c r="B178" s="2923" t="s">
        <v>8377</v>
      </c>
      <c r="C178" s="1896">
        <v>308091866300</v>
      </c>
      <c r="D178" s="2016" t="s">
        <v>8377</v>
      </c>
      <c r="E178" s="1472"/>
      <c r="F178" s="1915" t="s">
        <v>210</v>
      </c>
      <c r="G178" s="1639"/>
      <c r="H178" s="1549"/>
      <c r="I178" s="1503">
        <v>1</v>
      </c>
      <c r="J178" s="2910"/>
      <c r="K178" s="1641" t="s">
        <v>8342</v>
      </c>
      <c r="L178" s="2911" t="s">
        <v>8390</v>
      </c>
      <c r="M178" s="2896"/>
      <c r="N178" s="3654" t="s">
        <v>8389</v>
      </c>
      <c r="O178" s="3655"/>
      <c r="P178" s="1472" t="s">
        <v>8391</v>
      </c>
      <c r="Q178" s="2897"/>
      <c r="R178" s="2725" t="s">
        <v>8392</v>
      </c>
      <c r="S178" s="1504"/>
      <c r="T178" s="1549"/>
      <c r="U178" s="1461"/>
      <c r="V178" s="1461"/>
      <c r="W178" s="1461"/>
      <c r="X178" s="1461"/>
      <c r="Y178" s="2240"/>
      <c r="Z178" s="2240"/>
      <c r="AA178" s="1461"/>
      <c r="AB178" s="2647">
        <f t="shared" si="50"/>
        <v>0</v>
      </c>
      <c r="AC178" s="2186"/>
      <c r="AD178" s="1662"/>
      <c r="AE178" s="2939">
        <f t="shared" si="48"/>
        <v>0</v>
      </c>
      <c r="AF178" s="2929">
        <f t="shared" si="49"/>
        <v>0</v>
      </c>
      <c r="AG178" s="2674"/>
      <c r="AH178" s="1426"/>
      <c r="AI178" s="1427"/>
      <c r="AJ178" s="1426"/>
      <c r="AK178" s="1426"/>
      <c r="AL178" s="1426"/>
      <c r="AM178" s="1426"/>
      <c r="AN178" s="1426"/>
      <c r="AO178" s="1426"/>
      <c r="AP178" s="1426"/>
      <c r="AQ178" s="1426"/>
      <c r="AR178" s="1426"/>
    </row>
    <row r="179" spans="1:44" s="5" customFormat="1">
      <c r="A179" s="1503"/>
      <c r="B179" s="1549"/>
      <c r="C179" s="1896"/>
      <c r="D179" s="1805"/>
      <c r="E179" s="1915"/>
      <c r="F179" s="1915"/>
      <c r="G179" s="1639"/>
      <c r="H179" s="1549"/>
      <c r="I179" s="1549"/>
      <c r="J179" s="2910"/>
      <c r="K179" s="1641"/>
      <c r="L179" s="2911"/>
      <c r="M179" s="2896"/>
      <c r="N179" s="2912"/>
      <c r="O179" s="1504"/>
      <c r="P179" s="2897"/>
      <c r="Q179" s="2897"/>
      <c r="R179" s="1504"/>
      <c r="S179" s="1504"/>
      <c r="T179" s="1549"/>
      <c r="U179" s="1461"/>
      <c r="V179" s="1461"/>
      <c r="W179" s="1461"/>
      <c r="X179" s="1461"/>
      <c r="Y179" s="2240"/>
      <c r="Z179" s="2240"/>
      <c r="AA179" s="1461"/>
      <c r="AB179" s="2647">
        <f t="shared" si="50"/>
        <v>0</v>
      </c>
      <c r="AC179" s="2186"/>
      <c r="AD179" s="1662"/>
      <c r="AE179" s="2939">
        <f t="shared" si="48"/>
        <v>0</v>
      </c>
      <c r="AF179" s="2929">
        <f t="shared" si="49"/>
        <v>0</v>
      </c>
      <c r="AG179" s="2674"/>
      <c r="AH179" s="1426"/>
      <c r="AI179" s="1427"/>
      <c r="AJ179" s="1426"/>
      <c r="AK179" s="1426"/>
      <c r="AL179" s="1426"/>
      <c r="AM179" s="1426"/>
      <c r="AN179" s="1426"/>
      <c r="AO179" s="1426"/>
      <c r="AP179" s="1426"/>
      <c r="AQ179" s="1426"/>
      <c r="AR179" s="1426"/>
    </row>
    <row r="180" spans="1:44" s="5" customFormat="1">
      <c r="A180" s="1503"/>
      <c r="B180" s="1549"/>
      <c r="C180" s="1896"/>
      <c r="D180" s="1805"/>
      <c r="E180" s="1915"/>
      <c r="F180" s="1915"/>
      <c r="G180" s="1639"/>
      <c r="H180" s="1549"/>
      <c r="I180" s="1549"/>
      <c r="J180" s="2910"/>
      <c r="K180" s="1641"/>
      <c r="L180" s="2911"/>
      <c r="M180" s="2896"/>
      <c r="N180" s="2912"/>
      <c r="O180" s="1504"/>
      <c r="P180" s="2897"/>
      <c r="Q180" s="2897"/>
      <c r="R180" s="1504"/>
      <c r="S180" s="1504"/>
      <c r="T180" s="1549"/>
      <c r="U180" s="1461"/>
      <c r="V180" s="1461"/>
      <c r="W180" s="1461"/>
      <c r="X180" s="1461"/>
      <c r="Y180" s="2240"/>
      <c r="Z180" s="2240"/>
      <c r="AA180" s="1461"/>
      <c r="AB180" s="2647">
        <f t="shared" si="50"/>
        <v>0</v>
      </c>
      <c r="AC180" s="2186"/>
      <c r="AD180" s="1662"/>
      <c r="AE180" s="2939">
        <f t="shared" si="48"/>
        <v>0</v>
      </c>
      <c r="AF180" s="2929">
        <f t="shared" si="49"/>
        <v>0</v>
      </c>
      <c r="AG180" s="2674"/>
      <c r="AH180" s="1426"/>
      <c r="AI180" s="1427"/>
      <c r="AJ180" s="1426"/>
      <c r="AK180" s="1426"/>
      <c r="AL180" s="1426"/>
      <c r="AM180" s="1426"/>
      <c r="AN180" s="1426"/>
      <c r="AO180" s="1426"/>
      <c r="AP180" s="1426"/>
      <c r="AQ180" s="1426"/>
      <c r="AR180" s="1426"/>
    </row>
    <row r="181" spans="1:44" s="5" customFormat="1">
      <c r="A181" s="1503"/>
      <c r="B181" s="1549"/>
      <c r="C181" s="1896"/>
      <c r="D181" s="1805"/>
      <c r="E181" s="1915"/>
      <c r="F181" s="1915"/>
      <c r="G181" s="1639"/>
      <c r="H181" s="1549"/>
      <c r="I181" s="1549"/>
      <c r="J181" s="2910"/>
      <c r="K181" s="1641"/>
      <c r="L181" s="2911"/>
      <c r="M181" s="2896"/>
      <c r="N181" s="2912"/>
      <c r="O181" s="1504"/>
      <c r="P181" s="2897"/>
      <c r="Q181" s="2897"/>
      <c r="R181" s="1504"/>
      <c r="S181" s="1504"/>
      <c r="T181" s="1549"/>
      <c r="U181" s="1461"/>
      <c r="V181" s="1461"/>
      <c r="W181" s="1461"/>
      <c r="X181" s="1461"/>
      <c r="Y181" s="2240"/>
      <c r="Z181" s="2240"/>
      <c r="AA181" s="1461"/>
      <c r="AB181" s="2647">
        <f t="shared" si="50"/>
        <v>0</v>
      </c>
      <c r="AC181" s="2186"/>
      <c r="AD181" s="1662"/>
      <c r="AE181" s="2939">
        <f t="shared" si="48"/>
        <v>0</v>
      </c>
      <c r="AF181" s="2929">
        <f t="shared" si="49"/>
        <v>0</v>
      </c>
      <c r="AG181" s="2674"/>
      <c r="AH181" s="1426"/>
      <c r="AI181" s="1427"/>
      <c r="AJ181" s="1426"/>
      <c r="AK181" s="1426"/>
      <c r="AL181" s="1426"/>
      <c r="AM181" s="1426"/>
      <c r="AN181" s="1426"/>
      <c r="AO181" s="1426"/>
      <c r="AP181" s="1426"/>
      <c r="AQ181" s="1426"/>
      <c r="AR181" s="1426"/>
    </row>
    <row r="182" spans="1:44" s="5" customFormat="1">
      <c r="A182" s="1503"/>
      <c r="B182" s="1549"/>
      <c r="C182" s="1896"/>
      <c r="D182" s="1805"/>
      <c r="E182" s="1915"/>
      <c r="F182" s="1915"/>
      <c r="G182" s="1639"/>
      <c r="H182" s="1549"/>
      <c r="I182" s="1549"/>
      <c r="J182" s="2910"/>
      <c r="K182" s="1641"/>
      <c r="L182" s="2911"/>
      <c r="M182" s="2896"/>
      <c r="N182" s="2912"/>
      <c r="O182" s="1504"/>
      <c r="P182" s="2897"/>
      <c r="Q182" s="2897"/>
      <c r="R182" s="1504"/>
      <c r="S182" s="1504"/>
      <c r="T182" s="1549"/>
      <c r="U182" s="1461"/>
      <c r="V182" s="1461"/>
      <c r="W182" s="1461"/>
      <c r="X182" s="1461"/>
      <c r="Y182" s="2240"/>
      <c r="Z182" s="2240"/>
      <c r="AA182" s="1461"/>
      <c r="AB182" s="2647">
        <f t="shared" si="50"/>
        <v>0</v>
      </c>
      <c r="AC182" s="2186"/>
      <c r="AD182" s="1662"/>
      <c r="AE182" s="2939">
        <f t="shared" si="48"/>
        <v>0</v>
      </c>
      <c r="AF182" s="2929">
        <f t="shared" si="49"/>
        <v>0</v>
      </c>
      <c r="AG182" s="2674"/>
      <c r="AH182" s="1426"/>
      <c r="AI182" s="1427"/>
      <c r="AJ182" s="1426"/>
      <c r="AK182" s="1426"/>
      <c r="AL182" s="1426"/>
      <c r="AM182" s="1426"/>
      <c r="AN182" s="1426"/>
      <c r="AO182" s="1426"/>
      <c r="AP182" s="1426"/>
      <c r="AQ182" s="1426"/>
      <c r="AR182" s="1426"/>
    </row>
    <row r="183" spans="1:44" s="5" customFormat="1">
      <c r="A183" s="1503"/>
      <c r="B183" s="1549"/>
      <c r="C183" s="1896"/>
      <c r="D183" s="1805"/>
      <c r="E183" s="1915"/>
      <c r="F183" s="1915"/>
      <c r="G183" s="1639"/>
      <c r="H183" s="1549"/>
      <c r="I183" s="1549"/>
      <c r="J183" s="2910"/>
      <c r="K183" s="1641"/>
      <c r="L183" s="2911"/>
      <c r="M183" s="2896"/>
      <c r="N183" s="2912"/>
      <c r="O183" s="1504"/>
      <c r="P183" s="2897"/>
      <c r="Q183" s="2897"/>
      <c r="R183" s="1504"/>
      <c r="S183" s="1504"/>
      <c r="T183" s="1549"/>
      <c r="U183" s="1461"/>
      <c r="V183" s="1461"/>
      <c r="W183" s="1461"/>
      <c r="X183" s="1461"/>
      <c r="Y183" s="2240"/>
      <c r="Z183" s="2240"/>
      <c r="AA183" s="1461"/>
      <c r="AB183" s="2647">
        <f t="shared" si="50"/>
        <v>0</v>
      </c>
      <c r="AC183" s="2186"/>
      <c r="AD183" s="1662"/>
      <c r="AE183" s="2939">
        <f t="shared" si="48"/>
        <v>0</v>
      </c>
      <c r="AF183" s="2929">
        <f t="shared" si="49"/>
        <v>0</v>
      </c>
      <c r="AG183" s="2674"/>
      <c r="AH183" s="1426"/>
      <c r="AI183" s="1427"/>
      <c r="AJ183" s="1426"/>
      <c r="AK183" s="1426"/>
      <c r="AL183" s="1426"/>
      <c r="AM183" s="1426"/>
      <c r="AN183" s="1426"/>
      <c r="AO183" s="1426"/>
      <c r="AP183" s="1426"/>
      <c r="AQ183" s="1426"/>
      <c r="AR183" s="1426"/>
    </row>
    <row r="184" spans="1:44" s="5" customFormat="1">
      <c r="A184" s="1503"/>
      <c r="B184" s="1549"/>
      <c r="C184" s="1896"/>
      <c r="D184" s="1805"/>
      <c r="E184" s="1915"/>
      <c r="F184" s="1915"/>
      <c r="G184" s="1639"/>
      <c r="H184" s="1549"/>
      <c r="I184" s="1549"/>
      <c r="J184" s="2910"/>
      <c r="K184" s="1641"/>
      <c r="L184" s="2911"/>
      <c r="M184" s="2896"/>
      <c r="N184" s="2912"/>
      <c r="O184" s="1504"/>
      <c r="P184" s="2897"/>
      <c r="Q184" s="2897"/>
      <c r="R184" s="1504"/>
      <c r="S184" s="1504"/>
      <c r="T184" s="1549"/>
      <c r="U184" s="1461"/>
      <c r="V184" s="1461"/>
      <c r="W184" s="1461"/>
      <c r="X184" s="1461"/>
      <c r="Y184" s="2240"/>
      <c r="Z184" s="2240"/>
      <c r="AA184" s="1461"/>
      <c r="AB184" s="2647">
        <f t="shared" si="50"/>
        <v>0</v>
      </c>
      <c r="AC184" s="2186"/>
      <c r="AD184" s="1662"/>
      <c r="AE184" s="2939">
        <f t="shared" si="48"/>
        <v>0</v>
      </c>
      <c r="AF184" s="2929">
        <f t="shared" si="49"/>
        <v>0</v>
      </c>
      <c r="AG184" s="2674"/>
      <c r="AH184" s="1426"/>
      <c r="AI184" s="1427"/>
      <c r="AJ184" s="1426"/>
      <c r="AK184" s="1426"/>
      <c r="AL184" s="1426"/>
      <c r="AM184" s="1426"/>
      <c r="AN184" s="1426"/>
      <c r="AO184" s="1426"/>
      <c r="AP184" s="1426"/>
      <c r="AQ184" s="1426"/>
      <c r="AR184" s="1426"/>
    </row>
    <row r="185" spans="1:44" s="5" customFormat="1">
      <c r="A185" s="1503"/>
      <c r="B185" s="1549"/>
      <c r="C185" s="1896"/>
      <c r="D185" s="1805"/>
      <c r="E185" s="1915"/>
      <c r="F185" s="1915"/>
      <c r="G185" s="1639"/>
      <c r="H185" s="1549"/>
      <c r="I185" s="1549"/>
      <c r="J185" s="2910"/>
      <c r="K185" s="1641"/>
      <c r="L185" s="2911"/>
      <c r="M185" s="2896"/>
      <c r="N185" s="2912"/>
      <c r="O185" s="1504"/>
      <c r="P185" s="2897"/>
      <c r="Q185" s="2897"/>
      <c r="R185" s="1504"/>
      <c r="S185" s="1504"/>
      <c r="T185" s="1549"/>
      <c r="U185" s="1461"/>
      <c r="V185" s="1461"/>
      <c r="W185" s="1461"/>
      <c r="X185" s="1461"/>
      <c r="Y185" s="2240"/>
      <c r="Z185" s="2240"/>
      <c r="AA185" s="1461"/>
      <c r="AB185" s="2647">
        <f t="shared" si="50"/>
        <v>0</v>
      </c>
      <c r="AC185" s="2186"/>
      <c r="AD185" s="1662"/>
      <c r="AE185" s="2939">
        <f t="shared" si="48"/>
        <v>0</v>
      </c>
      <c r="AF185" s="2929">
        <f t="shared" si="49"/>
        <v>0</v>
      </c>
      <c r="AG185" s="2674"/>
      <c r="AH185" s="1426"/>
      <c r="AI185" s="1427"/>
      <c r="AJ185" s="1426"/>
      <c r="AK185" s="1426"/>
      <c r="AL185" s="1426"/>
      <c r="AM185" s="1426"/>
      <c r="AN185" s="1426"/>
      <c r="AO185" s="1426"/>
      <c r="AP185" s="1426"/>
      <c r="AQ185" s="1426"/>
      <c r="AR185" s="1426"/>
    </row>
    <row r="186" spans="1:44" s="5" customFormat="1">
      <c r="A186" s="1503"/>
      <c r="B186" s="1549"/>
      <c r="C186" s="1896"/>
      <c r="D186" s="1805"/>
      <c r="E186" s="1915"/>
      <c r="F186" s="1915"/>
      <c r="G186" s="1639"/>
      <c r="H186" s="1549"/>
      <c r="I186" s="1549"/>
      <c r="J186" s="2910"/>
      <c r="K186" s="1641"/>
      <c r="L186" s="2911"/>
      <c r="M186" s="2896"/>
      <c r="N186" s="2912"/>
      <c r="O186" s="1504"/>
      <c r="P186" s="2897"/>
      <c r="Q186" s="2897"/>
      <c r="R186" s="1504"/>
      <c r="S186" s="1504"/>
      <c r="T186" s="1549"/>
      <c r="U186" s="1461"/>
      <c r="V186" s="1461"/>
      <c r="W186" s="1461"/>
      <c r="X186" s="1461"/>
      <c r="Y186" s="2240"/>
      <c r="Z186" s="2240"/>
      <c r="AA186" s="1461"/>
      <c r="AB186" s="1461"/>
      <c r="AC186" s="1461"/>
      <c r="AD186" s="1662"/>
      <c r="AE186" s="2904"/>
      <c r="AF186" s="2905"/>
      <c r="AG186" s="2674"/>
      <c r="AH186" s="1426"/>
      <c r="AI186" s="1427"/>
      <c r="AJ186" s="1426"/>
      <c r="AK186" s="1426"/>
      <c r="AL186" s="1426"/>
      <c r="AM186" s="1426"/>
      <c r="AN186" s="1426"/>
      <c r="AO186" s="1426"/>
      <c r="AP186" s="1426"/>
      <c r="AQ186" s="1426"/>
      <c r="AR186" s="1426"/>
    </row>
    <row r="187" spans="1:44" s="5" customFormat="1">
      <c r="A187" s="1503"/>
      <c r="B187" s="1549"/>
      <c r="C187" s="1896"/>
      <c r="D187" s="1805"/>
      <c r="E187" s="1915"/>
      <c r="F187" s="1915"/>
      <c r="G187" s="1639"/>
      <c r="H187" s="1549"/>
      <c r="I187" s="1549"/>
      <c r="J187" s="2910"/>
      <c r="K187" s="1641"/>
      <c r="L187" s="2911"/>
      <c r="M187" s="2896"/>
      <c r="N187" s="2912"/>
      <c r="O187" s="1504"/>
      <c r="P187" s="2897"/>
      <c r="Q187" s="2897"/>
      <c r="R187" s="1504"/>
      <c r="S187" s="1504"/>
      <c r="T187" s="1549"/>
      <c r="U187" s="1461"/>
      <c r="V187" s="1461"/>
      <c r="W187" s="1461"/>
      <c r="X187" s="1461"/>
      <c r="Y187" s="2240"/>
      <c r="Z187" s="2240"/>
      <c r="AA187" s="1461"/>
      <c r="AB187" s="1461"/>
      <c r="AC187" s="1461"/>
      <c r="AD187" s="1662"/>
      <c r="AE187" s="2904"/>
      <c r="AF187" s="2905"/>
      <c r="AG187" s="2674"/>
      <c r="AH187" s="1426"/>
      <c r="AI187" s="1427"/>
      <c r="AJ187" s="1426"/>
      <c r="AK187" s="1426"/>
      <c r="AL187" s="1426"/>
      <c r="AM187" s="1426"/>
      <c r="AN187" s="1426"/>
      <c r="AO187" s="1426"/>
      <c r="AP187" s="1426"/>
      <c r="AQ187" s="1426"/>
      <c r="AR187" s="1426"/>
    </row>
    <row r="188" spans="1:44" s="5" customFormat="1">
      <c r="A188" s="1503"/>
      <c r="B188" s="1549"/>
      <c r="C188" s="1896"/>
      <c r="D188" s="1805"/>
      <c r="E188" s="1915"/>
      <c r="F188" s="1915"/>
      <c r="G188" s="1639"/>
      <c r="H188" s="1549"/>
      <c r="I188" s="1549"/>
      <c r="J188" s="2910"/>
      <c r="K188" s="1641"/>
      <c r="L188" s="2911"/>
      <c r="M188" s="2896"/>
      <c r="N188" s="2912"/>
      <c r="O188" s="1504"/>
      <c r="P188" s="2897"/>
      <c r="Q188" s="2897"/>
      <c r="R188" s="1504"/>
      <c r="S188" s="1504"/>
      <c r="T188" s="1549"/>
      <c r="U188" s="1461"/>
      <c r="V188" s="1461"/>
      <c r="W188" s="1461"/>
      <c r="X188" s="1461"/>
      <c r="Y188" s="2240"/>
      <c r="Z188" s="2240"/>
      <c r="AA188" s="1461"/>
      <c r="AB188" s="1461"/>
      <c r="AC188" s="1461"/>
      <c r="AD188" s="1662"/>
      <c r="AE188" s="2904"/>
      <c r="AF188" s="2905"/>
      <c r="AG188" s="2674"/>
      <c r="AH188" s="1426"/>
      <c r="AI188" s="1427"/>
      <c r="AJ188" s="1426"/>
      <c r="AK188" s="1426"/>
      <c r="AL188" s="1426"/>
      <c r="AM188" s="1426"/>
      <c r="AN188" s="1426"/>
      <c r="AO188" s="1426"/>
      <c r="AP188" s="1426"/>
      <c r="AQ188" s="1426"/>
      <c r="AR188" s="1426"/>
    </row>
    <row r="189" spans="1:44" s="5" customFormat="1">
      <c r="A189" s="1503"/>
      <c r="B189" s="1549"/>
      <c r="C189" s="1896"/>
      <c r="D189" s="1805"/>
      <c r="E189" s="1915"/>
      <c r="F189" s="1915"/>
      <c r="G189" s="1639"/>
      <c r="H189" s="1549"/>
      <c r="I189" s="1549"/>
      <c r="J189" s="2910"/>
      <c r="K189" s="1641"/>
      <c r="L189" s="2911"/>
      <c r="M189" s="2896"/>
      <c r="N189" s="2912"/>
      <c r="O189" s="1504"/>
      <c r="P189" s="2897"/>
      <c r="Q189" s="2897"/>
      <c r="R189" s="1504"/>
      <c r="S189" s="1504"/>
      <c r="T189" s="1549"/>
      <c r="U189" s="1461"/>
      <c r="V189" s="1461"/>
      <c r="W189" s="1461"/>
      <c r="X189" s="1461"/>
      <c r="Y189" s="2240"/>
      <c r="Z189" s="2240"/>
      <c r="AA189" s="1461"/>
      <c r="AB189" s="1461"/>
      <c r="AC189" s="1461"/>
      <c r="AD189" s="1662"/>
      <c r="AE189" s="2904"/>
      <c r="AF189" s="2905"/>
      <c r="AG189" s="2674"/>
      <c r="AH189" s="1426"/>
      <c r="AI189" s="1427"/>
      <c r="AJ189" s="1426"/>
      <c r="AK189" s="1426"/>
      <c r="AL189" s="1426"/>
      <c r="AM189" s="1426"/>
      <c r="AN189" s="1426"/>
      <c r="AO189" s="1426"/>
      <c r="AP189" s="1426"/>
      <c r="AQ189" s="1426"/>
      <c r="AR189" s="1426"/>
    </row>
    <row r="190" spans="1:44" s="5" customFormat="1">
      <c r="A190" s="1503"/>
      <c r="B190" s="1549"/>
      <c r="C190" s="1896"/>
      <c r="D190" s="1805"/>
      <c r="E190" s="1915"/>
      <c r="F190" s="1915"/>
      <c r="G190" s="1639"/>
      <c r="H190" s="1549"/>
      <c r="I190" s="1549"/>
      <c r="J190" s="2910"/>
      <c r="K190" s="1641"/>
      <c r="L190" s="2911"/>
      <c r="M190" s="2896"/>
      <c r="N190" s="2912"/>
      <c r="O190" s="1504"/>
      <c r="P190" s="2897"/>
      <c r="Q190" s="2897"/>
      <c r="R190" s="1504"/>
      <c r="S190" s="1504"/>
      <c r="T190" s="1549"/>
      <c r="U190" s="1461"/>
      <c r="V190" s="1461"/>
      <c r="W190" s="1461"/>
      <c r="X190" s="1461"/>
      <c r="Y190" s="2240"/>
      <c r="Z190" s="2240"/>
      <c r="AA190" s="1461"/>
      <c r="AB190" s="1461"/>
      <c r="AC190" s="1461"/>
      <c r="AD190" s="1662"/>
      <c r="AE190" s="2904"/>
      <c r="AF190" s="2905"/>
      <c r="AG190" s="2674"/>
      <c r="AH190" s="1426"/>
      <c r="AI190" s="1427"/>
      <c r="AJ190" s="1426"/>
      <c r="AK190" s="1426"/>
      <c r="AL190" s="1426"/>
      <c r="AM190" s="1426"/>
      <c r="AN190" s="1426"/>
      <c r="AO190" s="1426"/>
      <c r="AP190" s="1426"/>
      <c r="AQ190" s="1426"/>
      <c r="AR190" s="1426"/>
    </row>
    <row r="191" spans="1:44" s="5" customFormat="1">
      <c r="A191" s="1503"/>
      <c r="B191" s="1549"/>
      <c r="C191" s="1896"/>
      <c r="D191" s="1805"/>
      <c r="E191" s="1915"/>
      <c r="F191" s="1915"/>
      <c r="G191" s="1639"/>
      <c r="H191" s="1549"/>
      <c r="I191" s="1549"/>
      <c r="J191" s="2910"/>
      <c r="K191" s="1641"/>
      <c r="L191" s="2911"/>
      <c r="M191" s="2896"/>
      <c r="N191" s="2912"/>
      <c r="O191" s="1504"/>
      <c r="P191" s="2897"/>
      <c r="Q191" s="2897"/>
      <c r="R191" s="1504"/>
      <c r="S191" s="1504"/>
      <c r="T191" s="1549"/>
      <c r="U191" s="1461"/>
      <c r="V191" s="1461"/>
      <c r="W191" s="1461"/>
      <c r="X191" s="1461"/>
      <c r="Y191" s="2240"/>
      <c r="Z191" s="2240"/>
      <c r="AA191" s="1461"/>
      <c r="AB191" s="1461"/>
      <c r="AC191" s="1461"/>
      <c r="AD191" s="1662"/>
      <c r="AE191" s="2904"/>
      <c r="AF191" s="2905"/>
      <c r="AG191" s="2674"/>
      <c r="AH191" s="1426"/>
      <c r="AI191" s="1427"/>
      <c r="AJ191" s="1426"/>
      <c r="AK191" s="1426"/>
      <c r="AL191" s="1426"/>
      <c r="AM191" s="1426"/>
      <c r="AN191" s="1426"/>
      <c r="AO191" s="1426"/>
      <c r="AP191" s="1426"/>
      <c r="AQ191" s="1426"/>
      <c r="AR191" s="1426"/>
    </row>
    <row r="192" spans="1:44" s="5" customFormat="1">
      <c r="A192" s="1503"/>
      <c r="B192" s="1549"/>
      <c r="C192" s="1896"/>
      <c r="D192" s="1805"/>
      <c r="E192" s="1915"/>
      <c r="F192" s="1915"/>
      <c r="G192" s="1639"/>
      <c r="H192" s="1549"/>
      <c r="I192" s="1549"/>
      <c r="J192" s="2910"/>
      <c r="K192" s="1641"/>
      <c r="L192" s="2911"/>
      <c r="M192" s="2896"/>
      <c r="N192" s="2912"/>
      <c r="O192" s="1504"/>
      <c r="P192" s="2897"/>
      <c r="Q192" s="2897"/>
      <c r="R192" s="1504"/>
      <c r="S192" s="1504"/>
      <c r="T192" s="1549"/>
      <c r="U192" s="1461"/>
      <c r="V192" s="1461"/>
      <c r="W192" s="1461"/>
      <c r="X192" s="1461"/>
      <c r="Y192" s="2240"/>
      <c r="Z192" s="2240"/>
      <c r="AA192" s="1461"/>
      <c r="AB192" s="1461"/>
      <c r="AC192" s="1461"/>
      <c r="AD192" s="1662"/>
      <c r="AE192" s="2904"/>
      <c r="AF192" s="2905"/>
      <c r="AG192" s="2674"/>
      <c r="AH192" s="1426"/>
      <c r="AI192" s="1427"/>
      <c r="AJ192" s="1426"/>
      <c r="AK192" s="1426"/>
      <c r="AL192" s="1426"/>
      <c r="AM192" s="1426"/>
      <c r="AN192" s="1426"/>
      <c r="AO192" s="1426"/>
      <c r="AP192" s="1426"/>
      <c r="AQ192" s="1426"/>
      <c r="AR192" s="1426"/>
    </row>
    <row r="193" spans="1:44" s="5" customFormat="1">
      <c r="A193" s="1503"/>
      <c r="B193" s="1549"/>
      <c r="C193" s="1896"/>
      <c r="D193" s="1805"/>
      <c r="E193" s="1915"/>
      <c r="F193" s="1915"/>
      <c r="G193" s="1639"/>
      <c r="H193" s="1549"/>
      <c r="I193" s="1549"/>
      <c r="J193" s="2910"/>
      <c r="K193" s="1641"/>
      <c r="L193" s="2911"/>
      <c r="M193" s="2896"/>
      <c r="N193" s="2912"/>
      <c r="O193" s="1504"/>
      <c r="P193" s="2897"/>
      <c r="Q193" s="2897"/>
      <c r="R193" s="1504"/>
      <c r="S193" s="1504"/>
      <c r="T193" s="1549"/>
      <c r="U193" s="1461"/>
      <c r="V193" s="1461"/>
      <c r="W193" s="1461"/>
      <c r="X193" s="1461"/>
      <c r="Y193" s="2240"/>
      <c r="Z193" s="2240"/>
      <c r="AA193" s="1461"/>
      <c r="AB193" s="1461"/>
      <c r="AC193" s="1461"/>
      <c r="AD193" s="1662"/>
      <c r="AE193" s="2904"/>
      <c r="AF193" s="2905"/>
      <c r="AG193" s="2674"/>
      <c r="AH193" s="1426"/>
      <c r="AI193" s="1427"/>
      <c r="AJ193" s="1426"/>
      <c r="AK193" s="1426"/>
      <c r="AL193" s="1426"/>
      <c r="AM193" s="1426"/>
      <c r="AN193" s="1426"/>
      <c r="AO193" s="1426"/>
      <c r="AP193" s="1426"/>
      <c r="AQ193" s="1426"/>
      <c r="AR193" s="1426"/>
    </row>
    <row r="194" spans="1:44" s="5" customFormat="1">
      <c r="A194" s="1503"/>
      <c r="B194" s="1549"/>
      <c r="C194" s="1896"/>
      <c r="D194" s="1805"/>
      <c r="E194" s="1915"/>
      <c r="F194" s="1915"/>
      <c r="G194" s="1639"/>
      <c r="H194" s="1549"/>
      <c r="I194" s="1549"/>
      <c r="J194" s="2910"/>
      <c r="K194" s="1641"/>
      <c r="L194" s="2911"/>
      <c r="M194" s="2896"/>
      <c r="N194" s="2912"/>
      <c r="O194" s="1504"/>
      <c r="P194" s="2897"/>
      <c r="Q194" s="2897"/>
      <c r="R194" s="1504"/>
      <c r="S194" s="1504"/>
      <c r="T194" s="1549"/>
      <c r="U194" s="1461"/>
      <c r="V194" s="1461"/>
      <c r="W194" s="1461"/>
      <c r="X194" s="1461"/>
      <c r="Y194" s="2240"/>
      <c r="Z194" s="2240"/>
      <c r="AA194" s="1461"/>
      <c r="AB194" s="1461"/>
      <c r="AC194" s="1461"/>
      <c r="AD194" s="1662"/>
      <c r="AE194" s="2904"/>
      <c r="AF194" s="2905"/>
      <c r="AG194" s="2674"/>
      <c r="AH194" s="1426"/>
      <c r="AI194" s="1427"/>
      <c r="AJ194" s="1426"/>
      <c r="AK194" s="1426"/>
      <c r="AL194" s="1426"/>
      <c r="AM194" s="1426"/>
      <c r="AN194" s="1426"/>
      <c r="AO194" s="1426"/>
      <c r="AP194" s="1426"/>
      <c r="AQ194" s="1426"/>
      <c r="AR194" s="1426"/>
    </row>
    <row r="195" spans="1:44" s="5" customFormat="1">
      <c r="A195" s="1503"/>
      <c r="B195" s="1549"/>
      <c r="C195" s="1896"/>
      <c r="D195" s="1805"/>
      <c r="E195" s="1915"/>
      <c r="F195" s="1915"/>
      <c r="G195" s="1639"/>
      <c r="H195" s="1549"/>
      <c r="I195" s="1549"/>
      <c r="J195" s="2910"/>
      <c r="K195" s="1641"/>
      <c r="L195" s="2911"/>
      <c r="M195" s="2896"/>
      <c r="N195" s="2912"/>
      <c r="O195" s="1504"/>
      <c r="P195" s="2897"/>
      <c r="Q195" s="2897"/>
      <c r="R195" s="1504"/>
      <c r="S195" s="1504"/>
      <c r="T195" s="1549"/>
      <c r="U195" s="1461"/>
      <c r="V195" s="1461"/>
      <c r="W195" s="1461"/>
      <c r="X195" s="1461"/>
      <c r="Y195" s="2240"/>
      <c r="Z195" s="2240"/>
      <c r="AA195" s="1461"/>
      <c r="AB195" s="1461"/>
      <c r="AC195" s="1461"/>
      <c r="AD195" s="1662"/>
      <c r="AE195" s="2904"/>
      <c r="AF195" s="2905"/>
      <c r="AG195" s="2674"/>
      <c r="AH195" s="1426"/>
      <c r="AI195" s="1427"/>
      <c r="AJ195" s="1426"/>
      <c r="AK195" s="1426"/>
      <c r="AL195" s="1426"/>
      <c r="AM195" s="1426"/>
      <c r="AN195" s="1426"/>
      <c r="AO195" s="1426"/>
      <c r="AP195" s="1426"/>
      <c r="AQ195" s="1426"/>
      <c r="AR195" s="1426"/>
    </row>
    <row r="196" spans="1:44" s="5" customFormat="1">
      <c r="A196" s="1503"/>
      <c r="B196" s="1549"/>
      <c r="C196" s="1896"/>
      <c r="D196" s="1805"/>
      <c r="E196" s="1915"/>
      <c r="F196" s="1915"/>
      <c r="G196" s="1639"/>
      <c r="H196" s="1549"/>
      <c r="I196" s="1549"/>
      <c r="J196" s="2910"/>
      <c r="K196" s="1641"/>
      <c r="L196" s="2911"/>
      <c r="M196" s="2896"/>
      <c r="N196" s="2912"/>
      <c r="O196" s="1504"/>
      <c r="P196" s="2897"/>
      <c r="Q196" s="2897"/>
      <c r="R196" s="1504"/>
      <c r="S196" s="1504"/>
      <c r="T196" s="1549"/>
      <c r="U196" s="1461"/>
      <c r="V196" s="1461"/>
      <c r="W196" s="1461"/>
      <c r="X196" s="1461"/>
      <c r="Y196" s="2240"/>
      <c r="Z196" s="2240"/>
      <c r="AA196" s="1461"/>
      <c r="AB196" s="1461"/>
      <c r="AC196" s="1461"/>
      <c r="AD196" s="1662"/>
      <c r="AE196" s="2904"/>
      <c r="AF196" s="2905"/>
      <c r="AG196" s="2674"/>
      <c r="AH196" s="1426"/>
      <c r="AI196" s="1427"/>
      <c r="AJ196" s="1426"/>
      <c r="AK196" s="1426"/>
      <c r="AL196" s="1426"/>
      <c r="AM196" s="1426"/>
      <c r="AN196" s="1426"/>
      <c r="AO196" s="1426"/>
      <c r="AP196" s="1426"/>
      <c r="AQ196" s="1426"/>
      <c r="AR196" s="1426"/>
    </row>
    <row r="197" spans="1:44" s="5" customFormat="1">
      <c r="A197" s="1503"/>
      <c r="B197" s="1549"/>
      <c r="C197" s="1896"/>
      <c r="D197" s="1805"/>
      <c r="E197" s="1915"/>
      <c r="F197" s="1915"/>
      <c r="G197" s="1639"/>
      <c r="H197" s="1549"/>
      <c r="I197" s="1549"/>
      <c r="J197" s="2910"/>
      <c r="K197" s="1641"/>
      <c r="L197" s="2911"/>
      <c r="M197" s="2896"/>
      <c r="N197" s="2912"/>
      <c r="O197" s="1504"/>
      <c r="P197" s="2897"/>
      <c r="Q197" s="2897"/>
      <c r="R197" s="1504"/>
      <c r="S197" s="1504"/>
      <c r="T197" s="1549"/>
      <c r="U197" s="1461"/>
      <c r="V197" s="1461"/>
      <c r="W197" s="1461"/>
      <c r="X197" s="1461"/>
      <c r="Y197" s="2240"/>
      <c r="Z197" s="2240"/>
      <c r="AA197" s="1461"/>
      <c r="AB197" s="1461"/>
      <c r="AC197" s="1461"/>
      <c r="AD197" s="1662"/>
      <c r="AE197" s="2904"/>
      <c r="AF197" s="2905"/>
      <c r="AG197" s="2674"/>
      <c r="AH197" s="1426"/>
      <c r="AI197" s="1427"/>
      <c r="AJ197" s="1426"/>
      <c r="AK197" s="1426"/>
      <c r="AL197" s="1426"/>
      <c r="AM197" s="1426"/>
      <c r="AN197" s="1426"/>
      <c r="AO197" s="1426"/>
      <c r="AP197" s="1426"/>
      <c r="AQ197" s="1426"/>
      <c r="AR197" s="1426"/>
    </row>
    <row r="198" spans="1:44" s="5" customFormat="1">
      <c r="A198" s="1503"/>
      <c r="B198" s="1549"/>
      <c r="C198" s="1896"/>
      <c r="D198" s="1805"/>
      <c r="E198" s="1915"/>
      <c r="F198" s="1915"/>
      <c r="G198" s="1639"/>
      <c r="H198" s="1549"/>
      <c r="I198" s="1549"/>
      <c r="J198" s="2910"/>
      <c r="K198" s="1641"/>
      <c r="L198" s="2911"/>
      <c r="M198" s="2896"/>
      <c r="N198" s="2912"/>
      <c r="O198" s="1504"/>
      <c r="P198" s="2897"/>
      <c r="Q198" s="2897"/>
      <c r="R198" s="1504"/>
      <c r="S198" s="1504"/>
      <c r="T198" s="1549"/>
      <c r="U198" s="1461"/>
      <c r="V198" s="1461"/>
      <c r="W198" s="1461"/>
      <c r="X198" s="1461"/>
      <c r="Y198" s="2240"/>
      <c r="Z198" s="2240"/>
      <c r="AA198" s="1461"/>
      <c r="AB198" s="1461"/>
      <c r="AC198" s="1461"/>
      <c r="AD198" s="1662"/>
      <c r="AE198" s="2904"/>
      <c r="AF198" s="2905"/>
      <c r="AG198" s="2674"/>
      <c r="AH198" s="1426"/>
      <c r="AI198" s="1427"/>
      <c r="AJ198" s="1426"/>
      <c r="AK198" s="1426"/>
      <c r="AL198" s="1426"/>
      <c r="AM198" s="1426"/>
      <c r="AN198" s="1426"/>
      <c r="AO198" s="1426"/>
      <c r="AP198" s="1426"/>
      <c r="AQ198" s="1426"/>
      <c r="AR198" s="1426"/>
    </row>
    <row r="199" spans="1:44" s="5" customFormat="1">
      <c r="A199" s="1503"/>
      <c r="B199" s="1549"/>
      <c r="C199" s="1896"/>
      <c r="D199" s="1805"/>
      <c r="E199" s="1915"/>
      <c r="F199" s="1915"/>
      <c r="G199" s="1639"/>
      <c r="H199" s="1549"/>
      <c r="I199" s="1549"/>
      <c r="J199" s="2910"/>
      <c r="K199" s="1641"/>
      <c r="L199" s="2911"/>
      <c r="M199" s="2896"/>
      <c r="N199" s="2912"/>
      <c r="O199" s="1504"/>
      <c r="P199" s="2897"/>
      <c r="Q199" s="2897"/>
      <c r="R199" s="1504"/>
      <c r="S199" s="1504"/>
      <c r="T199" s="1549"/>
      <c r="U199" s="1461"/>
      <c r="V199" s="1461"/>
      <c r="W199" s="1461"/>
      <c r="X199" s="1461"/>
      <c r="Y199" s="2240"/>
      <c r="Z199" s="2240"/>
      <c r="AA199" s="1461"/>
      <c r="AB199" s="1461"/>
      <c r="AC199" s="1461"/>
      <c r="AD199" s="1662"/>
      <c r="AE199" s="2904"/>
      <c r="AF199" s="2905"/>
      <c r="AG199" s="2674"/>
      <c r="AH199" s="1426"/>
      <c r="AI199" s="1427"/>
      <c r="AJ199" s="1426"/>
      <c r="AK199" s="1426"/>
      <c r="AL199" s="1426"/>
      <c r="AM199" s="1426"/>
      <c r="AN199" s="1426"/>
      <c r="AO199" s="1426"/>
      <c r="AP199" s="1426"/>
      <c r="AQ199" s="1426"/>
      <c r="AR199" s="1426"/>
    </row>
    <row r="200" spans="1:44" s="5" customFormat="1">
      <c r="A200" s="1503"/>
      <c r="B200" s="1549"/>
      <c r="C200" s="1896"/>
      <c r="D200" s="1805"/>
      <c r="E200" s="1915"/>
      <c r="F200" s="1915"/>
      <c r="G200" s="1639"/>
      <c r="H200" s="1549"/>
      <c r="I200" s="1549"/>
      <c r="J200" s="2910"/>
      <c r="K200" s="1641"/>
      <c r="L200" s="2911"/>
      <c r="M200" s="2896"/>
      <c r="N200" s="2912"/>
      <c r="O200" s="1504"/>
      <c r="P200" s="2897"/>
      <c r="Q200" s="2897"/>
      <c r="R200" s="1504"/>
      <c r="S200" s="1504"/>
      <c r="T200" s="1549"/>
      <c r="U200" s="1461"/>
      <c r="V200" s="1461"/>
      <c r="W200" s="1461"/>
      <c r="X200" s="1461"/>
      <c r="Y200" s="2240"/>
      <c r="Z200" s="2240"/>
      <c r="AA200" s="1461"/>
      <c r="AB200" s="1461"/>
      <c r="AC200" s="1461"/>
      <c r="AD200" s="1662"/>
      <c r="AE200" s="2904"/>
      <c r="AF200" s="2905"/>
      <c r="AG200" s="2674"/>
      <c r="AH200" s="1426"/>
      <c r="AI200" s="1427"/>
      <c r="AJ200" s="1426"/>
      <c r="AK200" s="1426"/>
      <c r="AL200" s="1426"/>
      <c r="AM200" s="1426"/>
      <c r="AN200" s="1426"/>
      <c r="AO200" s="1426"/>
      <c r="AP200" s="1426"/>
      <c r="AQ200" s="1426"/>
      <c r="AR200" s="1426"/>
    </row>
    <row r="201" spans="1:44" s="5" customFormat="1">
      <c r="A201" s="1503"/>
      <c r="B201" s="1549"/>
      <c r="C201" s="1896"/>
      <c r="D201" s="1805"/>
      <c r="E201" s="1915"/>
      <c r="F201" s="1915"/>
      <c r="G201" s="1639"/>
      <c r="H201" s="1549"/>
      <c r="I201" s="1549"/>
      <c r="J201" s="2910"/>
      <c r="K201" s="1641"/>
      <c r="L201" s="2911"/>
      <c r="M201" s="2896"/>
      <c r="N201" s="2912"/>
      <c r="O201" s="1504"/>
      <c r="P201" s="2897"/>
      <c r="Q201" s="2897"/>
      <c r="R201" s="1504"/>
      <c r="S201" s="1504"/>
      <c r="T201" s="1549"/>
      <c r="U201" s="1461"/>
      <c r="V201" s="1461"/>
      <c r="W201" s="1461"/>
      <c r="X201" s="1461"/>
      <c r="Y201" s="2240"/>
      <c r="Z201" s="2240"/>
      <c r="AA201" s="1461"/>
      <c r="AB201" s="1461"/>
      <c r="AC201" s="1461"/>
      <c r="AD201" s="1662"/>
      <c r="AE201" s="2904"/>
      <c r="AF201" s="2905"/>
      <c r="AG201" s="2674"/>
      <c r="AH201" s="1426"/>
      <c r="AI201" s="1427"/>
      <c r="AJ201" s="1426"/>
      <c r="AK201" s="1426"/>
      <c r="AL201" s="1426"/>
      <c r="AM201" s="1426"/>
      <c r="AN201" s="1426"/>
      <c r="AO201" s="1426"/>
      <c r="AP201" s="1426"/>
      <c r="AQ201" s="1426"/>
      <c r="AR201" s="1426"/>
    </row>
    <row r="202" spans="1:44" s="5" customFormat="1">
      <c r="A202" s="1503"/>
      <c r="B202" s="1549"/>
      <c r="C202" s="1896"/>
      <c r="D202" s="1805"/>
      <c r="E202" s="1915"/>
      <c r="F202" s="1915"/>
      <c r="G202" s="1639"/>
      <c r="H202" s="1549"/>
      <c r="I202" s="1549"/>
      <c r="J202" s="2910"/>
      <c r="K202" s="1641"/>
      <c r="L202" s="2911"/>
      <c r="M202" s="2896"/>
      <c r="N202" s="2912"/>
      <c r="O202" s="1504"/>
      <c r="P202" s="2897"/>
      <c r="Q202" s="2897"/>
      <c r="R202" s="1504"/>
      <c r="S202" s="1504"/>
      <c r="T202" s="1549"/>
      <c r="U202" s="1461"/>
      <c r="V202" s="1461"/>
      <c r="W202" s="1461"/>
      <c r="X202" s="1461"/>
      <c r="Y202" s="2240"/>
      <c r="Z202" s="2240"/>
      <c r="AA202" s="1461"/>
      <c r="AB202" s="1461"/>
      <c r="AC202" s="1461"/>
      <c r="AD202" s="1662"/>
      <c r="AE202" s="2904"/>
      <c r="AF202" s="2905"/>
      <c r="AG202" s="2674"/>
      <c r="AH202" s="1426"/>
      <c r="AI202" s="1427"/>
      <c r="AJ202" s="1426"/>
      <c r="AK202" s="1426"/>
      <c r="AL202" s="1426"/>
      <c r="AM202" s="1426"/>
      <c r="AN202" s="1426"/>
      <c r="AO202" s="1426"/>
      <c r="AP202" s="1426"/>
      <c r="AQ202" s="1426"/>
      <c r="AR202" s="1426"/>
    </row>
    <row r="203" spans="1:44" s="5" customFormat="1">
      <c r="A203" s="1503"/>
      <c r="B203" s="1549"/>
      <c r="C203" s="1896"/>
      <c r="D203" s="1805"/>
      <c r="E203" s="1915"/>
      <c r="F203" s="1915"/>
      <c r="G203" s="1639"/>
      <c r="H203" s="1549"/>
      <c r="I203" s="1549"/>
      <c r="J203" s="2910"/>
      <c r="K203" s="1641"/>
      <c r="L203" s="2911"/>
      <c r="M203" s="2896"/>
      <c r="N203" s="2912"/>
      <c r="O203" s="1504"/>
      <c r="P203" s="2897"/>
      <c r="Q203" s="2897"/>
      <c r="R203" s="1504"/>
      <c r="S203" s="1504"/>
      <c r="T203" s="1549"/>
      <c r="U203" s="1461"/>
      <c r="V203" s="1461"/>
      <c r="W203" s="1461"/>
      <c r="X203" s="1461"/>
      <c r="Y203" s="2240"/>
      <c r="Z203" s="2240"/>
      <c r="AA203" s="1461"/>
      <c r="AB203" s="1461"/>
      <c r="AC203" s="1461"/>
      <c r="AD203" s="1662"/>
      <c r="AE203" s="2904"/>
      <c r="AF203" s="2905"/>
      <c r="AG203" s="2674"/>
      <c r="AH203" s="1426"/>
      <c r="AI203" s="1427"/>
      <c r="AJ203" s="1426"/>
      <c r="AK203" s="1426"/>
      <c r="AL203" s="1426"/>
      <c r="AM203" s="1426"/>
      <c r="AN203" s="1426"/>
      <c r="AO203" s="1426"/>
      <c r="AP203" s="1426"/>
      <c r="AQ203" s="1426"/>
      <c r="AR203" s="1426"/>
    </row>
    <row r="204" spans="1:44" s="5" customFormat="1">
      <c r="A204" s="1503"/>
      <c r="B204" s="1549"/>
      <c r="C204" s="1896"/>
      <c r="D204" s="1805"/>
      <c r="E204" s="1915"/>
      <c r="F204" s="1915"/>
      <c r="G204" s="1639"/>
      <c r="H204" s="1549"/>
      <c r="I204" s="1549"/>
      <c r="J204" s="2910"/>
      <c r="K204" s="1641"/>
      <c r="L204" s="2911"/>
      <c r="M204" s="2896"/>
      <c r="N204" s="2912"/>
      <c r="O204" s="1504"/>
      <c r="P204" s="2897"/>
      <c r="Q204" s="2897"/>
      <c r="R204" s="1504"/>
      <c r="S204" s="1504"/>
      <c r="T204" s="1549"/>
      <c r="U204" s="1461"/>
      <c r="V204" s="1461"/>
      <c r="W204" s="1461"/>
      <c r="X204" s="1461"/>
      <c r="Y204" s="2240"/>
      <c r="Z204" s="2240"/>
      <c r="AA204" s="1461"/>
      <c r="AB204" s="1461"/>
      <c r="AC204" s="1461"/>
      <c r="AD204" s="1662"/>
      <c r="AE204" s="2904"/>
      <c r="AF204" s="2905"/>
      <c r="AG204" s="2674"/>
      <c r="AH204" s="1426"/>
      <c r="AI204" s="1427"/>
      <c r="AJ204" s="1426"/>
      <c r="AK204" s="1426"/>
      <c r="AL204" s="1426"/>
      <c r="AM204" s="1426"/>
      <c r="AN204" s="1426"/>
      <c r="AO204" s="1426"/>
      <c r="AP204" s="1426"/>
      <c r="AQ204" s="1426"/>
      <c r="AR204" s="1426"/>
    </row>
    <row r="205" spans="1:44" s="5" customFormat="1">
      <c r="A205" s="1503"/>
      <c r="B205" s="1549"/>
      <c r="C205" s="1896"/>
      <c r="D205" s="1805"/>
      <c r="E205" s="1915"/>
      <c r="F205" s="1915"/>
      <c r="G205" s="1639"/>
      <c r="H205" s="1549"/>
      <c r="I205" s="1549"/>
      <c r="J205" s="2910"/>
      <c r="K205" s="1641"/>
      <c r="L205" s="2911"/>
      <c r="M205" s="2896"/>
      <c r="N205" s="2912"/>
      <c r="O205" s="1504"/>
      <c r="P205" s="2897"/>
      <c r="Q205" s="2897"/>
      <c r="R205" s="1504"/>
      <c r="S205" s="1504"/>
      <c r="T205" s="1549"/>
      <c r="U205" s="1461"/>
      <c r="V205" s="1461"/>
      <c r="W205" s="1461"/>
      <c r="X205" s="1461"/>
      <c r="Y205" s="2240"/>
      <c r="Z205" s="2240"/>
      <c r="AA205" s="1461"/>
      <c r="AB205" s="1461"/>
      <c r="AC205" s="1461"/>
      <c r="AD205" s="1662"/>
      <c r="AE205" s="2904"/>
      <c r="AF205" s="2905"/>
      <c r="AG205" s="2674"/>
      <c r="AH205" s="1426"/>
      <c r="AI205" s="1427"/>
      <c r="AJ205" s="1426"/>
      <c r="AK205" s="1426"/>
      <c r="AL205" s="1426"/>
      <c r="AM205" s="1426"/>
      <c r="AN205" s="1426"/>
      <c r="AO205" s="1426"/>
      <c r="AP205" s="1426"/>
      <c r="AQ205" s="1426"/>
      <c r="AR205" s="1426"/>
    </row>
    <row r="206" spans="1:44" s="5" customFormat="1">
      <c r="A206" s="1503"/>
      <c r="B206" s="1549"/>
      <c r="C206" s="1896"/>
      <c r="D206" s="1805"/>
      <c r="E206" s="1915"/>
      <c r="F206" s="1915"/>
      <c r="G206" s="1639"/>
      <c r="H206" s="1549"/>
      <c r="I206" s="1549"/>
      <c r="J206" s="2910"/>
      <c r="K206" s="1641"/>
      <c r="L206" s="2911"/>
      <c r="M206" s="2896"/>
      <c r="N206" s="2912"/>
      <c r="O206" s="1504"/>
      <c r="P206" s="2897"/>
      <c r="Q206" s="2897"/>
      <c r="R206" s="1504"/>
      <c r="S206" s="1504"/>
      <c r="T206" s="1549"/>
      <c r="U206" s="1461"/>
      <c r="V206" s="1461"/>
      <c r="W206" s="1461"/>
      <c r="X206" s="1461"/>
      <c r="Y206" s="2240"/>
      <c r="Z206" s="2240"/>
      <c r="AA206" s="1461"/>
      <c r="AB206" s="1461"/>
      <c r="AC206" s="1461"/>
      <c r="AD206" s="1662"/>
      <c r="AE206" s="2904"/>
      <c r="AF206" s="2905"/>
      <c r="AG206" s="2674"/>
      <c r="AH206" s="1426"/>
      <c r="AI206" s="1427"/>
      <c r="AJ206" s="1426"/>
      <c r="AK206" s="1426"/>
      <c r="AL206" s="1426"/>
      <c r="AM206" s="1426"/>
      <c r="AN206" s="1426"/>
      <c r="AO206" s="1426"/>
      <c r="AP206" s="1426"/>
      <c r="AQ206" s="1426"/>
      <c r="AR206" s="1426"/>
    </row>
    <row r="207" spans="1:44" s="5" customFormat="1">
      <c r="A207" s="1503"/>
      <c r="B207" s="1549"/>
      <c r="C207" s="1896"/>
      <c r="D207" s="1805"/>
      <c r="E207" s="1915"/>
      <c r="F207" s="1915"/>
      <c r="G207" s="1639"/>
      <c r="H207" s="1549"/>
      <c r="I207" s="1549"/>
      <c r="J207" s="2910"/>
      <c r="K207" s="1641"/>
      <c r="L207" s="2911"/>
      <c r="M207" s="2896"/>
      <c r="N207" s="2912"/>
      <c r="O207" s="1504"/>
      <c r="P207" s="2897"/>
      <c r="Q207" s="2897"/>
      <c r="R207" s="1504"/>
      <c r="S207" s="1504"/>
      <c r="T207" s="1549"/>
      <c r="U207" s="1461"/>
      <c r="V207" s="1461"/>
      <c r="W207" s="1461"/>
      <c r="X207" s="1461"/>
      <c r="Y207" s="2240"/>
      <c r="Z207" s="2240"/>
      <c r="AA207" s="1461"/>
      <c r="AB207" s="1461"/>
      <c r="AC207" s="1461"/>
      <c r="AD207" s="1662"/>
      <c r="AE207" s="2904"/>
      <c r="AF207" s="2905"/>
      <c r="AG207" s="2674"/>
      <c r="AH207" s="1426"/>
      <c r="AI207" s="1427"/>
      <c r="AJ207" s="1426"/>
      <c r="AK207" s="1426"/>
      <c r="AL207" s="1426"/>
      <c r="AM207" s="1426"/>
      <c r="AN207" s="1426"/>
      <c r="AO207" s="1426"/>
      <c r="AP207" s="1426"/>
      <c r="AQ207" s="1426"/>
      <c r="AR207" s="1426"/>
    </row>
    <row r="208" spans="1:44" s="5" customFormat="1">
      <c r="A208" s="1503"/>
      <c r="B208" s="1549"/>
      <c r="C208" s="1896"/>
      <c r="D208" s="1805"/>
      <c r="E208" s="1915"/>
      <c r="F208" s="1915"/>
      <c r="G208" s="1639"/>
      <c r="H208" s="1549"/>
      <c r="I208" s="1549"/>
      <c r="J208" s="2910"/>
      <c r="K208" s="1641"/>
      <c r="L208" s="2911"/>
      <c r="M208" s="2896"/>
      <c r="N208" s="2912"/>
      <c r="O208" s="1504"/>
      <c r="P208" s="2897"/>
      <c r="Q208" s="2897"/>
      <c r="R208" s="1504"/>
      <c r="S208" s="1504"/>
      <c r="T208" s="1549"/>
      <c r="U208" s="1461"/>
      <c r="V208" s="1461"/>
      <c r="W208" s="1461"/>
      <c r="X208" s="1461"/>
      <c r="Y208" s="2240"/>
      <c r="Z208" s="2240"/>
      <c r="AA208" s="1461"/>
      <c r="AB208" s="1461"/>
      <c r="AC208" s="1461"/>
      <c r="AD208" s="1662"/>
      <c r="AE208" s="2904"/>
      <c r="AF208" s="2905"/>
      <c r="AG208" s="2674"/>
      <c r="AH208" s="1426"/>
      <c r="AI208" s="1427"/>
      <c r="AJ208" s="1426"/>
      <c r="AK208" s="1426"/>
      <c r="AL208" s="1426"/>
      <c r="AM208" s="1426"/>
      <c r="AN208" s="1426"/>
      <c r="AO208" s="1426"/>
      <c r="AP208" s="1426"/>
      <c r="AQ208" s="1426"/>
      <c r="AR208" s="1426"/>
    </row>
    <row r="209" spans="1:44" s="5" customFormat="1">
      <c r="A209" s="1503"/>
      <c r="B209" s="1549"/>
      <c r="C209" s="1896"/>
      <c r="D209" s="1805"/>
      <c r="E209" s="1915"/>
      <c r="F209" s="1915"/>
      <c r="G209" s="1639"/>
      <c r="H209" s="1549"/>
      <c r="I209" s="1549"/>
      <c r="J209" s="2910"/>
      <c r="K209" s="1641"/>
      <c r="L209" s="2911"/>
      <c r="M209" s="2896"/>
      <c r="N209" s="2912"/>
      <c r="O209" s="1504"/>
      <c r="P209" s="2897"/>
      <c r="Q209" s="2897"/>
      <c r="R209" s="1504"/>
      <c r="S209" s="1504"/>
      <c r="T209" s="1549"/>
      <c r="U209" s="1461"/>
      <c r="V209" s="1461"/>
      <c r="W209" s="1461"/>
      <c r="X209" s="1461"/>
      <c r="Y209" s="2240"/>
      <c r="Z209" s="2240"/>
      <c r="AA209" s="1461"/>
      <c r="AB209" s="1461"/>
      <c r="AC209" s="1461"/>
      <c r="AD209" s="1662"/>
      <c r="AE209" s="2904"/>
      <c r="AF209" s="2905"/>
      <c r="AG209" s="2674"/>
      <c r="AH209" s="1426"/>
      <c r="AI209" s="1427"/>
      <c r="AJ209" s="1426"/>
      <c r="AK209" s="1426"/>
      <c r="AL209" s="1426"/>
      <c r="AM209" s="1426"/>
      <c r="AN209" s="1426"/>
      <c r="AO209" s="1426"/>
      <c r="AP209" s="1426"/>
      <c r="AQ209" s="1426"/>
      <c r="AR209" s="1426"/>
    </row>
    <row r="210" spans="1:44" s="5" customFormat="1">
      <c r="A210" s="1503"/>
      <c r="B210" s="1549"/>
      <c r="C210" s="1896"/>
      <c r="D210" s="1805"/>
      <c r="E210" s="1915"/>
      <c r="F210" s="1915"/>
      <c r="G210" s="1639"/>
      <c r="H210" s="1549"/>
      <c r="I210" s="1549"/>
      <c r="J210" s="2910"/>
      <c r="K210" s="1641"/>
      <c r="L210" s="2911"/>
      <c r="M210" s="2896"/>
      <c r="N210" s="2912"/>
      <c r="O210" s="1504"/>
      <c r="P210" s="2897"/>
      <c r="Q210" s="2897"/>
      <c r="R210" s="1504"/>
      <c r="S210" s="1504"/>
      <c r="T210" s="1549"/>
      <c r="U210" s="1461"/>
      <c r="V210" s="1461"/>
      <c r="W210" s="1461"/>
      <c r="X210" s="1461"/>
      <c r="Y210" s="2240"/>
      <c r="Z210" s="2240"/>
      <c r="AA210" s="1461"/>
      <c r="AB210" s="1461"/>
      <c r="AC210" s="1461"/>
      <c r="AD210" s="1662"/>
      <c r="AE210" s="2904"/>
      <c r="AF210" s="2905"/>
      <c r="AG210" s="2674"/>
      <c r="AH210" s="1426"/>
      <c r="AI210" s="1427"/>
      <c r="AJ210" s="1426"/>
      <c r="AK210" s="1426"/>
      <c r="AL210" s="1426"/>
      <c r="AM210" s="1426"/>
      <c r="AN210" s="1426"/>
      <c r="AO210" s="1426"/>
      <c r="AP210" s="1426"/>
      <c r="AQ210" s="1426"/>
      <c r="AR210" s="1426"/>
    </row>
    <row r="211" spans="1:44" s="5" customFormat="1">
      <c r="A211" s="1503"/>
      <c r="B211" s="1549"/>
      <c r="C211" s="1896"/>
      <c r="D211" s="1805"/>
      <c r="E211" s="1915"/>
      <c r="F211" s="1915"/>
      <c r="G211" s="1639"/>
      <c r="H211" s="1549"/>
      <c r="I211" s="1549"/>
      <c r="J211" s="2910"/>
      <c r="K211" s="1641"/>
      <c r="L211" s="2911"/>
      <c r="M211" s="2896"/>
      <c r="N211" s="2912"/>
      <c r="O211" s="1504"/>
      <c r="P211" s="2897"/>
      <c r="Q211" s="2897"/>
      <c r="R211" s="1504"/>
      <c r="S211" s="1504"/>
      <c r="T211" s="1549"/>
      <c r="U211" s="1461"/>
      <c r="V211" s="1461"/>
      <c r="W211" s="1461"/>
      <c r="X211" s="1461"/>
      <c r="Y211" s="2240"/>
      <c r="Z211" s="2240"/>
      <c r="AA211" s="1461"/>
      <c r="AB211" s="1461"/>
      <c r="AC211" s="1461"/>
      <c r="AD211" s="1662"/>
      <c r="AE211" s="2904"/>
      <c r="AF211" s="2905"/>
      <c r="AG211" s="2674"/>
      <c r="AH211" s="1426"/>
      <c r="AI211" s="1427"/>
      <c r="AJ211" s="1426"/>
      <c r="AK211" s="1426"/>
      <c r="AL211" s="1426"/>
      <c r="AM211" s="1426"/>
      <c r="AN211" s="1426"/>
      <c r="AO211" s="1426"/>
      <c r="AP211" s="1426"/>
      <c r="AQ211" s="1426"/>
      <c r="AR211" s="1426"/>
    </row>
    <row r="212" spans="1:44" s="5" customFormat="1">
      <c r="A212" s="1503"/>
      <c r="B212" s="1549"/>
      <c r="C212" s="1896"/>
      <c r="D212" s="1805"/>
      <c r="E212" s="1915"/>
      <c r="F212" s="1915"/>
      <c r="G212" s="1639"/>
      <c r="H212" s="1549"/>
      <c r="I212" s="1549"/>
      <c r="J212" s="2910"/>
      <c r="K212" s="1641"/>
      <c r="L212" s="2911"/>
      <c r="M212" s="2896"/>
      <c r="N212" s="2912"/>
      <c r="O212" s="1504"/>
      <c r="P212" s="2897"/>
      <c r="Q212" s="2897"/>
      <c r="R212" s="1504"/>
      <c r="S212" s="1504"/>
      <c r="T212" s="1549"/>
      <c r="U212" s="1461"/>
      <c r="V212" s="1461"/>
      <c r="W212" s="1461"/>
      <c r="X212" s="1461"/>
      <c r="Y212" s="2240"/>
      <c r="Z212" s="2240"/>
      <c r="AA212" s="1461"/>
      <c r="AB212" s="1461"/>
      <c r="AC212" s="1461"/>
      <c r="AD212" s="1662"/>
      <c r="AE212" s="2904"/>
      <c r="AF212" s="2905"/>
      <c r="AG212" s="2674"/>
      <c r="AH212" s="1426"/>
      <c r="AI212" s="1427"/>
      <c r="AJ212" s="1426"/>
      <c r="AK212" s="1426"/>
      <c r="AL212" s="1426"/>
      <c r="AM212" s="1426"/>
      <c r="AN212" s="1426"/>
      <c r="AO212" s="1426"/>
      <c r="AP212" s="1426"/>
      <c r="AQ212" s="1426"/>
      <c r="AR212" s="1426"/>
    </row>
    <row r="213" spans="1:44" s="5" customFormat="1">
      <c r="A213" s="1503"/>
      <c r="B213" s="1549"/>
      <c r="C213" s="1896"/>
      <c r="D213" s="1805"/>
      <c r="E213" s="1915"/>
      <c r="F213" s="1915"/>
      <c r="G213" s="1639"/>
      <c r="H213" s="1549"/>
      <c r="I213" s="1549"/>
      <c r="J213" s="2910"/>
      <c r="K213" s="1641"/>
      <c r="L213" s="2911"/>
      <c r="M213" s="2896"/>
      <c r="N213" s="2912"/>
      <c r="O213" s="1504"/>
      <c r="P213" s="2897"/>
      <c r="Q213" s="2897"/>
      <c r="R213" s="1504"/>
      <c r="S213" s="1504"/>
      <c r="T213" s="1549"/>
      <c r="U213" s="1461"/>
      <c r="V213" s="1461"/>
      <c r="W213" s="1461"/>
      <c r="X213" s="1461"/>
      <c r="Y213" s="2240"/>
      <c r="Z213" s="2240"/>
      <c r="AA213" s="1461"/>
      <c r="AB213" s="1461"/>
      <c r="AC213" s="1461"/>
      <c r="AD213" s="1662"/>
      <c r="AE213" s="2904"/>
      <c r="AF213" s="2905"/>
      <c r="AG213" s="2674"/>
      <c r="AH213" s="1426"/>
      <c r="AI213" s="1427"/>
      <c r="AJ213" s="1426"/>
      <c r="AK213" s="1426"/>
      <c r="AL213" s="1426"/>
      <c r="AM213" s="1426"/>
      <c r="AN213" s="1426"/>
      <c r="AO213" s="1426"/>
      <c r="AP213" s="1426"/>
      <c r="AQ213" s="1426"/>
      <c r="AR213" s="1426"/>
    </row>
    <row r="214" spans="1:44" s="5" customFormat="1">
      <c r="A214" s="1503"/>
      <c r="B214" s="1549"/>
      <c r="C214" s="1896"/>
      <c r="D214" s="1805"/>
      <c r="E214" s="1915"/>
      <c r="F214" s="1915"/>
      <c r="G214" s="1639"/>
      <c r="H214" s="1549"/>
      <c r="I214" s="1549"/>
      <c r="J214" s="2910"/>
      <c r="K214" s="1641"/>
      <c r="L214" s="2911"/>
      <c r="M214" s="2896"/>
      <c r="N214" s="2912"/>
      <c r="O214" s="1504"/>
      <c r="P214" s="2897"/>
      <c r="Q214" s="2897"/>
      <c r="R214" s="1504"/>
      <c r="S214" s="1504"/>
      <c r="T214" s="1549"/>
      <c r="U214" s="1461"/>
      <c r="V214" s="1461"/>
      <c r="W214" s="1461"/>
      <c r="X214" s="1461"/>
      <c r="Y214" s="2240"/>
      <c r="Z214" s="2240"/>
      <c r="AA214" s="1461"/>
      <c r="AB214" s="1461"/>
      <c r="AC214" s="1461"/>
      <c r="AD214" s="1662"/>
      <c r="AE214" s="2904"/>
      <c r="AF214" s="2905"/>
      <c r="AG214" s="2674"/>
      <c r="AH214" s="1426"/>
      <c r="AI214" s="1427"/>
      <c r="AJ214" s="1426"/>
      <c r="AK214" s="1426"/>
      <c r="AL214" s="1426"/>
      <c r="AM214" s="1426"/>
      <c r="AN214" s="1426"/>
      <c r="AO214" s="1426"/>
      <c r="AP214" s="1426"/>
      <c r="AQ214" s="1426"/>
      <c r="AR214" s="1426"/>
    </row>
    <row r="215" spans="1:44" s="5" customFormat="1">
      <c r="A215" s="1503"/>
      <c r="B215" s="1549"/>
      <c r="C215" s="1896"/>
      <c r="D215" s="1805"/>
      <c r="E215" s="1915"/>
      <c r="F215" s="1915"/>
      <c r="G215" s="1639"/>
      <c r="H215" s="1549"/>
      <c r="I215" s="1549"/>
      <c r="J215" s="2910"/>
      <c r="K215" s="1641"/>
      <c r="L215" s="2911"/>
      <c r="M215" s="2896"/>
      <c r="N215" s="2912"/>
      <c r="O215" s="1504"/>
      <c r="P215" s="2897"/>
      <c r="Q215" s="2897"/>
      <c r="R215" s="1504"/>
      <c r="S215" s="1504"/>
      <c r="T215" s="1549"/>
      <c r="U215" s="1461"/>
      <c r="V215" s="1461"/>
      <c r="W215" s="1461"/>
      <c r="X215" s="1461"/>
      <c r="Y215" s="2240"/>
      <c r="Z215" s="2240"/>
      <c r="AA215" s="1461"/>
      <c r="AB215" s="1461"/>
      <c r="AC215" s="1461"/>
      <c r="AD215" s="1662"/>
      <c r="AE215" s="2904"/>
      <c r="AF215" s="2905"/>
      <c r="AG215" s="2674"/>
      <c r="AH215" s="1426"/>
      <c r="AI215" s="1427"/>
      <c r="AJ215" s="1426"/>
      <c r="AK215" s="1426"/>
      <c r="AL215" s="1426"/>
      <c r="AM215" s="1426"/>
      <c r="AN215" s="1426"/>
      <c r="AO215" s="1426"/>
      <c r="AP215" s="1426"/>
      <c r="AQ215" s="1426"/>
      <c r="AR215" s="1426"/>
    </row>
    <row r="216" spans="1:44" s="5" customFormat="1">
      <c r="A216" s="1503"/>
      <c r="B216" s="1549"/>
      <c r="C216" s="1896"/>
      <c r="D216" s="1805"/>
      <c r="E216" s="1915"/>
      <c r="F216" s="1915"/>
      <c r="G216" s="1639"/>
      <c r="H216" s="1549"/>
      <c r="I216" s="1549"/>
      <c r="J216" s="2910"/>
      <c r="K216" s="1641"/>
      <c r="L216" s="2911"/>
      <c r="M216" s="2896"/>
      <c r="N216" s="2912"/>
      <c r="O216" s="1504"/>
      <c r="P216" s="2897"/>
      <c r="Q216" s="2897"/>
      <c r="R216" s="1504"/>
      <c r="S216" s="1504"/>
      <c r="T216" s="1549"/>
      <c r="U216" s="1461"/>
      <c r="V216" s="1461"/>
      <c r="W216" s="1461"/>
      <c r="X216" s="1461"/>
      <c r="Y216" s="2240"/>
      <c r="Z216" s="2240"/>
      <c r="AA216" s="1461"/>
      <c r="AB216" s="1461"/>
      <c r="AC216" s="1461"/>
      <c r="AD216" s="1662"/>
      <c r="AE216" s="2904"/>
      <c r="AF216" s="2905"/>
      <c r="AG216" s="2674"/>
      <c r="AH216" s="1426"/>
      <c r="AI216" s="1427"/>
      <c r="AJ216" s="1426"/>
      <c r="AK216" s="1426"/>
      <c r="AL216" s="1426"/>
      <c r="AM216" s="1426"/>
      <c r="AN216" s="1426"/>
      <c r="AO216" s="1426"/>
      <c r="AP216" s="1426"/>
      <c r="AQ216" s="1426"/>
      <c r="AR216" s="1426"/>
    </row>
    <row r="217" spans="1:44" s="5" customFormat="1">
      <c r="A217" s="1503"/>
      <c r="B217" s="1549"/>
      <c r="C217" s="1896"/>
      <c r="D217" s="1805"/>
      <c r="E217" s="1915"/>
      <c r="F217" s="1915"/>
      <c r="G217" s="1639"/>
      <c r="H217" s="1549"/>
      <c r="I217" s="1549"/>
      <c r="J217" s="2910"/>
      <c r="K217" s="1641"/>
      <c r="L217" s="2911"/>
      <c r="M217" s="2896"/>
      <c r="N217" s="2912"/>
      <c r="O217" s="1504"/>
      <c r="P217" s="2897"/>
      <c r="Q217" s="2897"/>
      <c r="R217" s="1504"/>
      <c r="S217" s="1504"/>
      <c r="T217" s="1549"/>
      <c r="U217" s="1461"/>
      <c r="V217" s="1461"/>
      <c r="W217" s="1461"/>
      <c r="X217" s="1461"/>
      <c r="Y217" s="2240"/>
      <c r="Z217" s="2240"/>
      <c r="AA217" s="1461"/>
      <c r="AB217" s="1461"/>
      <c r="AC217" s="1461"/>
      <c r="AD217" s="1662"/>
      <c r="AE217" s="2904"/>
      <c r="AF217" s="2905"/>
      <c r="AG217" s="2674"/>
      <c r="AH217" s="1426"/>
      <c r="AI217" s="1427"/>
      <c r="AJ217" s="1426"/>
      <c r="AK217" s="1426"/>
      <c r="AL217" s="1426"/>
      <c r="AM217" s="1426"/>
      <c r="AN217" s="1426"/>
      <c r="AO217" s="1426"/>
      <c r="AP217" s="1426"/>
      <c r="AQ217" s="1426"/>
      <c r="AR217" s="1426"/>
    </row>
    <row r="218" spans="1:44" s="5" customFormat="1">
      <c r="A218" s="1503"/>
      <c r="B218" s="1549"/>
      <c r="C218" s="1896"/>
      <c r="D218" s="1805"/>
      <c r="E218" s="1915"/>
      <c r="F218" s="1915"/>
      <c r="G218" s="1639"/>
      <c r="H218" s="1549"/>
      <c r="I218" s="1549"/>
      <c r="J218" s="2910"/>
      <c r="K218" s="1641"/>
      <c r="L218" s="2911"/>
      <c r="M218" s="2896"/>
      <c r="N218" s="2912"/>
      <c r="O218" s="1504"/>
      <c r="P218" s="2897"/>
      <c r="Q218" s="2897"/>
      <c r="R218" s="1504"/>
      <c r="S218" s="1504"/>
      <c r="T218" s="1549"/>
      <c r="U218" s="1461"/>
      <c r="V218" s="1461"/>
      <c r="W218" s="1461"/>
      <c r="X218" s="1461"/>
      <c r="Y218" s="2240"/>
      <c r="Z218" s="2240"/>
      <c r="AA218" s="1461"/>
      <c r="AB218" s="1461"/>
      <c r="AC218" s="1461"/>
      <c r="AD218" s="1662"/>
      <c r="AE218" s="2904"/>
      <c r="AF218" s="2905"/>
      <c r="AG218" s="2674"/>
      <c r="AH218" s="1426"/>
      <c r="AI218" s="1427"/>
      <c r="AJ218" s="1426"/>
      <c r="AK218" s="1426"/>
      <c r="AL218" s="1426"/>
      <c r="AM218" s="1426"/>
      <c r="AN218" s="1426"/>
      <c r="AO218" s="1426"/>
      <c r="AP218" s="1426"/>
      <c r="AQ218" s="1426"/>
      <c r="AR218" s="1426"/>
    </row>
    <row r="219" spans="1:44" s="5" customFormat="1">
      <c r="A219" s="1503"/>
      <c r="B219" s="1549"/>
      <c r="C219" s="1896"/>
      <c r="D219" s="1805"/>
      <c r="E219" s="1915"/>
      <c r="F219" s="1915"/>
      <c r="G219" s="1639"/>
      <c r="H219" s="1549"/>
      <c r="I219" s="1549"/>
      <c r="J219" s="2910"/>
      <c r="K219" s="1641"/>
      <c r="L219" s="2911"/>
      <c r="M219" s="2896"/>
      <c r="N219" s="2912"/>
      <c r="O219" s="1504"/>
      <c r="P219" s="2897"/>
      <c r="Q219" s="2897"/>
      <c r="R219" s="1504"/>
      <c r="S219" s="1504"/>
      <c r="T219" s="1549"/>
      <c r="U219" s="1461"/>
      <c r="V219" s="1461"/>
      <c r="W219" s="1461"/>
      <c r="X219" s="1461"/>
      <c r="Y219" s="2240"/>
      <c r="Z219" s="2240"/>
      <c r="AA219" s="1461"/>
      <c r="AB219" s="1461"/>
      <c r="AC219" s="1461"/>
      <c r="AD219" s="1662"/>
      <c r="AE219" s="2904"/>
      <c r="AF219" s="2905"/>
      <c r="AG219" s="2674"/>
      <c r="AH219" s="1426"/>
      <c r="AI219" s="1427"/>
      <c r="AJ219" s="1426"/>
      <c r="AK219" s="1426"/>
      <c r="AL219" s="1426"/>
      <c r="AM219" s="1426"/>
      <c r="AN219" s="1426"/>
      <c r="AO219" s="1426"/>
      <c r="AP219" s="1426"/>
      <c r="AQ219" s="1426"/>
      <c r="AR219" s="1426"/>
    </row>
    <row r="220" spans="1:44" s="5" customFormat="1">
      <c r="A220" s="1503"/>
      <c r="B220" s="1549"/>
      <c r="C220" s="1896"/>
      <c r="D220" s="1805"/>
      <c r="E220" s="1915"/>
      <c r="F220" s="1915"/>
      <c r="G220" s="1639"/>
      <c r="H220" s="1549"/>
      <c r="I220" s="1549"/>
      <c r="J220" s="2910"/>
      <c r="K220" s="1641"/>
      <c r="L220" s="2911"/>
      <c r="M220" s="2896"/>
      <c r="N220" s="2912"/>
      <c r="O220" s="1504"/>
      <c r="P220" s="2897"/>
      <c r="Q220" s="2897"/>
      <c r="R220" s="1504"/>
      <c r="S220" s="1504"/>
      <c r="T220" s="1549"/>
      <c r="U220" s="1461"/>
      <c r="V220" s="1461"/>
      <c r="W220" s="1461"/>
      <c r="X220" s="1461"/>
      <c r="Y220" s="2240"/>
      <c r="Z220" s="2240"/>
      <c r="AA220" s="1461"/>
      <c r="AB220" s="1461"/>
      <c r="AC220" s="1461"/>
      <c r="AD220" s="1662"/>
      <c r="AE220" s="2904"/>
      <c r="AF220" s="2905"/>
      <c r="AG220" s="2674"/>
      <c r="AH220" s="1426"/>
      <c r="AI220" s="1427"/>
      <c r="AJ220" s="1426"/>
      <c r="AK220" s="1426"/>
      <c r="AL220" s="1426"/>
      <c r="AM220" s="1426"/>
      <c r="AN220" s="1426"/>
      <c r="AO220" s="1426"/>
      <c r="AP220" s="1426"/>
      <c r="AQ220" s="1426"/>
      <c r="AR220" s="1426"/>
    </row>
    <row r="221" spans="1:44" s="5" customFormat="1">
      <c r="A221" s="1503"/>
      <c r="B221" s="1549"/>
      <c r="C221" s="1896"/>
      <c r="D221" s="1805"/>
      <c r="E221" s="1915"/>
      <c r="F221" s="1915"/>
      <c r="G221" s="1639"/>
      <c r="H221" s="1549"/>
      <c r="I221" s="1549"/>
      <c r="J221" s="2910"/>
      <c r="K221" s="1641"/>
      <c r="L221" s="2911"/>
      <c r="M221" s="2896"/>
      <c r="N221" s="2912"/>
      <c r="O221" s="1504"/>
      <c r="P221" s="2897"/>
      <c r="Q221" s="2897"/>
      <c r="R221" s="1504"/>
      <c r="S221" s="1504"/>
      <c r="T221" s="1549"/>
      <c r="U221" s="1461"/>
      <c r="V221" s="1461"/>
      <c r="W221" s="1461"/>
      <c r="X221" s="1461"/>
      <c r="Y221" s="2240"/>
      <c r="Z221" s="2240"/>
      <c r="AA221" s="1461"/>
      <c r="AB221" s="1461"/>
      <c r="AC221" s="1461"/>
      <c r="AD221" s="1662"/>
      <c r="AE221" s="2904"/>
      <c r="AF221" s="2905"/>
      <c r="AG221" s="2674"/>
      <c r="AH221" s="1426"/>
      <c r="AI221" s="1427"/>
      <c r="AJ221" s="1426"/>
      <c r="AK221" s="1426"/>
      <c r="AL221" s="1426"/>
      <c r="AM221" s="1426"/>
      <c r="AN221" s="1426"/>
      <c r="AO221" s="1426"/>
      <c r="AP221" s="1426"/>
      <c r="AQ221" s="1426"/>
      <c r="AR221" s="1426"/>
    </row>
    <row r="222" spans="1:44" s="5" customFormat="1">
      <c r="A222" s="1503"/>
      <c r="B222" s="1549"/>
      <c r="C222" s="1896"/>
      <c r="D222" s="1805"/>
      <c r="E222" s="1915"/>
      <c r="F222" s="1915"/>
      <c r="G222" s="1639"/>
      <c r="H222" s="1549"/>
      <c r="I222" s="1549"/>
      <c r="J222" s="2910"/>
      <c r="K222" s="1641"/>
      <c r="L222" s="2911"/>
      <c r="M222" s="2896"/>
      <c r="N222" s="2912"/>
      <c r="O222" s="1504"/>
      <c r="P222" s="2897"/>
      <c r="Q222" s="2897"/>
      <c r="R222" s="1504"/>
      <c r="S222" s="1504"/>
      <c r="T222" s="1549"/>
      <c r="U222" s="1461"/>
      <c r="V222" s="1461"/>
      <c r="W222" s="1461"/>
      <c r="X222" s="1461"/>
      <c r="Y222" s="2240"/>
      <c r="Z222" s="2240"/>
      <c r="AA222" s="1461"/>
      <c r="AB222" s="1461"/>
      <c r="AC222" s="1461"/>
      <c r="AD222" s="1662"/>
      <c r="AE222" s="2904"/>
      <c r="AF222" s="2905"/>
      <c r="AG222" s="2674"/>
      <c r="AH222" s="1426"/>
      <c r="AI222" s="1427"/>
      <c r="AJ222" s="1426"/>
      <c r="AK222" s="1426"/>
      <c r="AL222" s="1426"/>
      <c r="AM222" s="1426"/>
      <c r="AN222" s="1426"/>
      <c r="AO222" s="1426"/>
      <c r="AP222" s="1426"/>
      <c r="AQ222" s="1426"/>
      <c r="AR222" s="1426"/>
    </row>
    <row r="223" spans="1:44" s="5" customFormat="1">
      <c r="A223" s="1503"/>
      <c r="B223" s="1549"/>
      <c r="C223" s="1896"/>
      <c r="D223" s="1805"/>
      <c r="E223" s="1915"/>
      <c r="F223" s="1915"/>
      <c r="G223" s="1639"/>
      <c r="H223" s="1549"/>
      <c r="I223" s="1549"/>
      <c r="J223" s="2910"/>
      <c r="K223" s="1641"/>
      <c r="L223" s="2911"/>
      <c r="M223" s="2896"/>
      <c r="N223" s="2912"/>
      <c r="O223" s="1504"/>
      <c r="P223" s="2897"/>
      <c r="Q223" s="2897"/>
      <c r="R223" s="1504"/>
      <c r="S223" s="1504"/>
      <c r="T223" s="1549"/>
      <c r="U223" s="1461"/>
      <c r="V223" s="1461"/>
      <c r="W223" s="1461"/>
      <c r="X223" s="1461"/>
      <c r="Y223" s="2240"/>
      <c r="Z223" s="2240"/>
      <c r="AA223" s="1461"/>
      <c r="AB223" s="1461"/>
      <c r="AC223" s="1461"/>
      <c r="AD223" s="1662"/>
      <c r="AE223" s="2904"/>
      <c r="AF223" s="2905"/>
      <c r="AG223" s="2674"/>
      <c r="AH223" s="1426"/>
      <c r="AI223" s="1427"/>
      <c r="AJ223" s="1426"/>
      <c r="AK223" s="1426"/>
      <c r="AL223" s="1426"/>
      <c r="AM223" s="1426"/>
      <c r="AN223" s="1426"/>
      <c r="AO223" s="1426"/>
      <c r="AP223" s="1426"/>
      <c r="AQ223" s="1426"/>
      <c r="AR223" s="1426"/>
    </row>
    <row r="224" spans="1:44" s="5" customFormat="1">
      <c r="A224" s="1503"/>
      <c r="B224" s="1549"/>
      <c r="C224" s="1896"/>
      <c r="D224" s="1805"/>
      <c r="E224" s="1915"/>
      <c r="F224" s="1915"/>
      <c r="G224" s="1639"/>
      <c r="H224" s="1549"/>
      <c r="I224" s="1549"/>
      <c r="J224" s="2910"/>
      <c r="K224" s="1641"/>
      <c r="L224" s="2911"/>
      <c r="M224" s="2896"/>
      <c r="N224" s="2912"/>
      <c r="O224" s="1504"/>
      <c r="P224" s="2897"/>
      <c r="Q224" s="2897"/>
      <c r="R224" s="1504"/>
      <c r="S224" s="1504"/>
      <c r="T224" s="1549"/>
      <c r="U224" s="1461"/>
      <c r="V224" s="1461"/>
      <c r="W224" s="1461"/>
      <c r="X224" s="1461"/>
      <c r="Y224" s="2240"/>
      <c r="Z224" s="2240"/>
      <c r="AA224" s="1461"/>
      <c r="AB224" s="1461"/>
      <c r="AC224" s="1461"/>
      <c r="AD224" s="1662"/>
      <c r="AE224" s="2904"/>
      <c r="AF224" s="2905"/>
      <c r="AG224" s="2674"/>
      <c r="AH224" s="1426"/>
      <c r="AI224" s="1427"/>
      <c r="AJ224" s="1426"/>
      <c r="AK224" s="1426"/>
      <c r="AL224" s="1426"/>
      <c r="AM224" s="1426"/>
      <c r="AN224" s="1426"/>
      <c r="AO224" s="1426"/>
      <c r="AP224" s="1426"/>
      <c r="AQ224" s="1426"/>
      <c r="AR224" s="1426"/>
    </row>
    <row r="225" spans="1:44" s="5" customFormat="1">
      <c r="A225" s="1503"/>
      <c r="B225" s="1549"/>
      <c r="C225" s="1896"/>
      <c r="D225" s="1805"/>
      <c r="E225" s="1915"/>
      <c r="F225" s="1915"/>
      <c r="G225" s="1639"/>
      <c r="H225" s="1549"/>
      <c r="I225" s="1549"/>
      <c r="J225" s="2910"/>
      <c r="K225" s="1641"/>
      <c r="L225" s="2911"/>
      <c r="M225" s="2896"/>
      <c r="N225" s="2912"/>
      <c r="O225" s="1504"/>
      <c r="P225" s="2897"/>
      <c r="Q225" s="2897"/>
      <c r="R225" s="1504"/>
      <c r="S225" s="1504"/>
      <c r="T225" s="1549"/>
      <c r="U225" s="1461"/>
      <c r="V225" s="1461"/>
      <c r="W225" s="1461"/>
      <c r="X225" s="1461"/>
      <c r="Y225" s="2240"/>
      <c r="Z225" s="2240"/>
      <c r="AA225" s="1461"/>
      <c r="AB225" s="1461"/>
      <c r="AC225" s="1461"/>
      <c r="AD225" s="1662"/>
      <c r="AE225" s="2904"/>
      <c r="AF225" s="2905"/>
      <c r="AG225" s="2674"/>
      <c r="AH225" s="1426"/>
      <c r="AI225" s="1427"/>
      <c r="AJ225" s="1426"/>
      <c r="AK225" s="1426"/>
      <c r="AL225" s="1426"/>
      <c r="AM225" s="1426"/>
      <c r="AN225" s="1426"/>
      <c r="AO225" s="1426"/>
      <c r="AP225" s="1426"/>
      <c r="AQ225" s="1426"/>
      <c r="AR225" s="1426"/>
    </row>
    <row r="226" spans="1:44" s="5" customFormat="1">
      <c r="A226" s="1503"/>
      <c r="B226" s="1549"/>
      <c r="C226" s="1896"/>
      <c r="D226" s="1805"/>
      <c r="E226" s="1915"/>
      <c r="F226" s="1915"/>
      <c r="G226" s="1639"/>
      <c r="H226" s="1549"/>
      <c r="I226" s="1549"/>
      <c r="J226" s="2910"/>
      <c r="K226" s="1641"/>
      <c r="L226" s="2911"/>
      <c r="M226" s="2896"/>
      <c r="N226" s="2912"/>
      <c r="O226" s="1504"/>
      <c r="P226" s="2897"/>
      <c r="Q226" s="2897"/>
      <c r="R226" s="1504"/>
      <c r="S226" s="1504"/>
      <c r="T226" s="1549"/>
      <c r="U226" s="1461"/>
      <c r="V226" s="1461"/>
      <c r="W226" s="1461"/>
      <c r="X226" s="1461"/>
      <c r="Y226" s="2240"/>
      <c r="Z226" s="2240"/>
      <c r="AA226" s="1461"/>
      <c r="AB226" s="1461"/>
      <c r="AC226" s="1461"/>
      <c r="AD226" s="1662"/>
      <c r="AE226" s="2904"/>
      <c r="AF226" s="2905"/>
      <c r="AG226" s="2674"/>
      <c r="AH226" s="1426"/>
      <c r="AI226" s="1427"/>
      <c r="AJ226" s="1426"/>
      <c r="AK226" s="1426"/>
      <c r="AL226" s="1426"/>
      <c r="AM226" s="1426"/>
      <c r="AN226" s="1426"/>
      <c r="AO226" s="1426"/>
      <c r="AP226" s="1426"/>
      <c r="AQ226" s="1426"/>
      <c r="AR226" s="1426"/>
    </row>
    <row r="227" spans="1:44" s="5" customFormat="1">
      <c r="A227" s="1503"/>
      <c r="B227" s="1549"/>
      <c r="C227" s="1896"/>
      <c r="D227" s="1805"/>
      <c r="E227" s="1915"/>
      <c r="F227" s="1915"/>
      <c r="G227" s="1639"/>
      <c r="H227" s="1549"/>
      <c r="I227" s="1549"/>
      <c r="J227" s="2910"/>
      <c r="K227" s="1641"/>
      <c r="L227" s="2911"/>
      <c r="M227" s="2896"/>
      <c r="N227" s="2912"/>
      <c r="O227" s="1504"/>
      <c r="P227" s="2897"/>
      <c r="Q227" s="2897"/>
      <c r="R227" s="1504"/>
      <c r="S227" s="1504"/>
      <c r="T227" s="1549"/>
      <c r="U227" s="1461"/>
      <c r="V227" s="1461"/>
      <c r="W227" s="1461"/>
      <c r="X227" s="1461"/>
      <c r="Y227" s="2240"/>
      <c r="Z227" s="2240"/>
      <c r="AA227" s="1461"/>
      <c r="AB227" s="1461"/>
      <c r="AC227" s="1461"/>
      <c r="AD227" s="1662"/>
      <c r="AE227" s="2904"/>
      <c r="AF227" s="2905"/>
      <c r="AG227" s="2674"/>
      <c r="AH227" s="1426"/>
      <c r="AI227" s="1427"/>
      <c r="AJ227" s="1426"/>
      <c r="AK227" s="1426"/>
      <c r="AL227" s="1426"/>
      <c r="AM227" s="1426"/>
      <c r="AN227" s="1426"/>
      <c r="AO227" s="1426"/>
      <c r="AP227" s="1426"/>
      <c r="AQ227" s="1426"/>
      <c r="AR227" s="1426"/>
    </row>
    <row r="228" spans="1:44" s="5" customFormat="1">
      <c r="A228" s="1503"/>
      <c r="B228" s="1549"/>
      <c r="C228" s="1896"/>
      <c r="D228" s="1805"/>
      <c r="E228" s="1915"/>
      <c r="F228" s="1915"/>
      <c r="G228" s="1639"/>
      <c r="H228" s="1549"/>
      <c r="I228" s="1549"/>
      <c r="J228" s="2910"/>
      <c r="K228" s="1641"/>
      <c r="L228" s="2911"/>
      <c r="M228" s="2896"/>
      <c r="N228" s="2912"/>
      <c r="O228" s="1504"/>
      <c r="P228" s="2897"/>
      <c r="Q228" s="2897"/>
      <c r="R228" s="1504"/>
      <c r="S228" s="1504"/>
      <c r="T228" s="1549"/>
      <c r="U228" s="1461"/>
      <c r="V228" s="1461"/>
      <c r="W228" s="1461"/>
      <c r="X228" s="1461"/>
      <c r="Y228" s="2240"/>
      <c r="Z228" s="2240"/>
      <c r="AA228" s="1461"/>
      <c r="AB228" s="1461"/>
      <c r="AC228" s="1461"/>
      <c r="AD228" s="1662"/>
      <c r="AE228" s="2904"/>
      <c r="AF228" s="2905"/>
      <c r="AG228" s="2674"/>
      <c r="AH228" s="1426"/>
      <c r="AI228" s="1427"/>
      <c r="AJ228" s="1426"/>
      <c r="AK228" s="1426"/>
      <c r="AL228" s="1426"/>
      <c r="AM228" s="1426"/>
      <c r="AN228" s="1426"/>
      <c r="AO228" s="1426"/>
      <c r="AP228" s="1426"/>
      <c r="AQ228" s="1426"/>
      <c r="AR228" s="1426"/>
    </row>
    <row r="229" spans="1:44" s="5" customFormat="1">
      <c r="A229" s="1503"/>
      <c r="B229" s="1549"/>
      <c r="C229" s="1896"/>
      <c r="D229" s="1805"/>
      <c r="E229" s="1915"/>
      <c r="F229" s="1915"/>
      <c r="G229" s="1639"/>
      <c r="H229" s="1549"/>
      <c r="I229" s="1549"/>
      <c r="J229" s="2910"/>
      <c r="K229" s="1641"/>
      <c r="L229" s="2911"/>
      <c r="M229" s="2896"/>
      <c r="N229" s="2912"/>
      <c r="O229" s="1504"/>
      <c r="P229" s="2897"/>
      <c r="Q229" s="2897"/>
      <c r="R229" s="1504"/>
      <c r="S229" s="1504"/>
      <c r="T229" s="1549"/>
      <c r="U229" s="1461"/>
      <c r="V229" s="1461"/>
      <c r="W229" s="1461"/>
      <c r="X229" s="1461"/>
      <c r="Y229" s="2240"/>
      <c r="Z229" s="2240"/>
      <c r="AA229" s="1461"/>
      <c r="AB229" s="1461"/>
      <c r="AC229" s="1461"/>
      <c r="AD229" s="1662"/>
      <c r="AE229" s="2904"/>
      <c r="AF229" s="2905"/>
      <c r="AG229" s="2674"/>
      <c r="AH229" s="1426"/>
      <c r="AI229" s="1427"/>
      <c r="AJ229" s="1426"/>
      <c r="AK229" s="1426"/>
      <c r="AL229" s="1426"/>
      <c r="AM229" s="1426"/>
      <c r="AN229" s="1426"/>
      <c r="AO229" s="1426"/>
      <c r="AP229" s="1426"/>
      <c r="AQ229" s="1426"/>
      <c r="AR229" s="1426"/>
    </row>
    <row r="230" spans="1:44" s="5" customFormat="1">
      <c r="A230" s="1503"/>
      <c r="B230" s="1549"/>
      <c r="C230" s="1896"/>
      <c r="D230" s="1805"/>
      <c r="E230" s="1915"/>
      <c r="F230" s="1915"/>
      <c r="G230" s="1639"/>
      <c r="H230" s="1549"/>
      <c r="I230" s="1549"/>
      <c r="J230" s="2910"/>
      <c r="K230" s="1641"/>
      <c r="L230" s="2911"/>
      <c r="M230" s="2896"/>
      <c r="N230" s="2912"/>
      <c r="O230" s="1504"/>
      <c r="P230" s="2897"/>
      <c r="Q230" s="2897"/>
      <c r="R230" s="1504"/>
      <c r="S230" s="1504"/>
      <c r="T230" s="1549"/>
      <c r="U230" s="1461"/>
      <c r="V230" s="1461"/>
      <c r="W230" s="1461"/>
      <c r="X230" s="1461"/>
      <c r="Y230" s="2240"/>
      <c r="Z230" s="2240"/>
      <c r="AA230" s="1461"/>
      <c r="AB230" s="1461"/>
      <c r="AC230" s="1461"/>
      <c r="AD230" s="1662"/>
      <c r="AE230" s="2904"/>
      <c r="AF230" s="2905"/>
      <c r="AG230" s="2674"/>
      <c r="AH230" s="1426"/>
      <c r="AI230" s="1427"/>
      <c r="AJ230" s="1426"/>
      <c r="AK230" s="1426"/>
      <c r="AL230" s="1426"/>
      <c r="AM230" s="1426"/>
      <c r="AN230" s="1426"/>
      <c r="AO230" s="1426"/>
      <c r="AP230" s="1426"/>
      <c r="AQ230" s="1426"/>
      <c r="AR230" s="1426"/>
    </row>
    <row r="231" spans="1:44" s="5" customFormat="1">
      <c r="A231" s="1503"/>
      <c r="B231" s="1549"/>
      <c r="C231" s="1896"/>
      <c r="D231" s="1805"/>
      <c r="E231" s="1915"/>
      <c r="F231" s="1915"/>
      <c r="G231" s="1639"/>
      <c r="H231" s="1549"/>
      <c r="I231" s="1549"/>
      <c r="J231" s="2910"/>
      <c r="K231" s="1641"/>
      <c r="L231" s="2911"/>
      <c r="M231" s="2896"/>
      <c r="N231" s="2912"/>
      <c r="O231" s="1504"/>
      <c r="P231" s="2897"/>
      <c r="Q231" s="2897"/>
      <c r="R231" s="1504"/>
      <c r="S231" s="1504"/>
      <c r="T231" s="1549"/>
      <c r="U231" s="1461"/>
      <c r="V231" s="1461"/>
      <c r="W231" s="1461"/>
      <c r="X231" s="1461"/>
      <c r="Y231" s="2240"/>
      <c r="Z231" s="2240"/>
      <c r="AA231" s="1461"/>
      <c r="AB231" s="1461"/>
      <c r="AC231" s="1461"/>
      <c r="AD231" s="1662"/>
      <c r="AE231" s="2904"/>
      <c r="AF231" s="2905"/>
      <c r="AG231" s="2674"/>
      <c r="AH231" s="1426"/>
      <c r="AI231" s="1427"/>
      <c r="AJ231" s="1426"/>
      <c r="AK231" s="1426"/>
      <c r="AL231" s="1426"/>
      <c r="AM231" s="1426"/>
      <c r="AN231" s="1426"/>
      <c r="AO231" s="1426"/>
      <c r="AP231" s="1426"/>
      <c r="AQ231" s="1426"/>
      <c r="AR231" s="1426"/>
    </row>
    <row r="232" spans="1:44" s="5" customFormat="1">
      <c r="A232" s="1503"/>
      <c r="B232" s="1549"/>
      <c r="C232" s="1896"/>
      <c r="D232" s="1805"/>
      <c r="E232" s="1915"/>
      <c r="F232" s="1915"/>
      <c r="G232" s="1639"/>
      <c r="H232" s="1549"/>
      <c r="I232" s="1549"/>
      <c r="J232" s="2910"/>
      <c r="K232" s="1641"/>
      <c r="L232" s="2911"/>
      <c r="M232" s="2896"/>
      <c r="N232" s="2912"/>
      <c r="O232" s="1504"/>
      <c r="P232" s="2897"/>
      <c r="Q232" s="2897"/>
      <c r="R232" s="1504"/>
      <c r="S232" s="1504"/>
      <c r="T232" s="1549"/>
      <c r="U232" s="1461"/>
      <c r="V232" s="1461"/>
      <c r="W232" s="1461"/>
      <c r="X232" s="1461"/>
      <c r="Y232" s="2240"/>
      <c r="Z232" s="2240"/>
      <c r="AA232" s="1461"/>
      <c r="AB232" s="1461"/>
      <c r="AC232" s="1461"/>
      <c r="AD232" s="1662"/>
      <c r="AE232" s="2904"/>
      <c r="AF232" s="2905"/>
      <c r="AG232" s="2674"/>
      <c r="AH232" s="1426"/>
      <c r="AI232" s="1427"/>
      <c r="AJ232" s="1426"/>
      <c r="AK232" s="1426"/>
      <c r="AL232" s="1426"/>
      <c r="AM232" s="1426"/>
      <c r="AN232" s="1426"/>
      <c r="AO232" s="1426"/>
      <c r="AP232" s="1426"/>
      <c r="AQ232" s="1426"/>
      <c r="AR232" s="1426"/>
    </row>
    <row r="233" spans="1:44" s="5" customFormat="1">
      <c r="A233" s="1503"/>
      <c r="B233" s="1549"/>
      <c r="C233" s="1896"/>
      <c r="D233" s="1805"/>
      <c r="E233" s="1915"/>
      <c r="F233" s="1915"/>
      <c r="G233" s="1639"/>
      <c r="H233" s="1549"/>
      <c r="I233" s="1549"/>
      <c r="J233" s="2910"/>
      <c r="K233" s="1641"/>
      <c r="L233" s="2911"/>
      <c r="M233" s="2896"/>
      <c r="N233" s="2912"/>
      <c r="O233" s="1504"/>
      <c r="P233" s="2897"/>
      <c r="Q233" s="2897"/>
      <c r="R233" s="1504"/>
      <c r="S233" s="1504"/>
      <c r="T233" s="1549"/>
      <c r="U233" s="1461"/>
      <c r="V233" s="1461"/>
      <c r="W233" s="1461"/>
      <c r="X233" s="1461"/>
      <c r="Y233" s="2240"/>
      <c r="Z233" s="2240"/>
      <c r="AA233" s="1461"/>
      <c r="AB233" s="1461"/>
      <c r="AC233" s="1461"/>
      <c r="AD233" s="1662"/>
      <c r="AE233" s="2904"/>
      <c r="AF233" s="2905"/>
      <c r="AG233" s="2674"/>
      <c r="AH233" s="1426"/>
      <c r="AI233" s="1427"/>
      <c r="AJ233" s="1426"/>
      <c r="AK233" s="1426"/>
      <c r="AL233" s="1426"/>
      <c r="AM233" s="1426"/>
      <c r="AN233" s="1426"/>
      <c r="AO233" s="1426"/>
      <c r="AP233" s="1426"/>
      <c r="AQ233" s="1426"/>
      <c r="AR233" s="1426"/>
    </row>
    <row r="234" spans="1:44" s="5" customFormat="1">
      <c r="A234" s="1503"/>
      <c r="B234" s="1549"/>
      <c r="C234" s="1896"/>
      <c r="D234" s="1805"/>
      <c r="E234" s="1915"/>
      <c r="F234" s="1915"/>
      <c r="G234" s="1639"/>
      <c r="H234" s="1549"/>
      <c r="I234" s="1549"/>
      <c r="J234" s="2910"/>
      <c r="K234" s="1641"/>
      <c r="L234" s="2911"/>
      <c r="M234" s="2896"/>
      <c r="N234" s="2912"/>
      <c r="O234" s="1504"/>
      <c r="P234" s="2897"/>
      <c r="Q234" s="2897"/>
      <c r="R234" s="1504"/>
      <c r="S234" s="1504"/>
      <c r="T234" s="1549"/>
      <c r="U234" s="1461"/>
      <c r="V234" s="1461"/>
      <c r="W234" s="1461"/>
      <c r="X234" s="1461"/>
      <c r="Y234" s="2240"/>
      <c r="Z234" s="2240"/>
      <c r="AA234" s="1461"/>
      <c r="AB234" s="1461"/>
      <c r="AC234" s="1461"/>
      <c r="AD234" s="1662"/>
      <c r="AE234" s="2904"/>
      <c r="AF234" s="2905"/>
      <c r="AG234" s="2674"/>
      <c r="AH234" s="1426"/>
      <c r="AI234" s="1427"/>
      <c r="AJ234" s="1426"/>
      <c r="AK234" s="1426"/>
      <c r="AL234" s="1426"/>
      <c r="AM234" s="1426"/>
      <c r="AN234" s="1426"/>
      <c r="AO234" s="1426"/>
      <c r="AP234" s="1426"/>
      <c r="AQ234" s="1426"/>
      <c r="AR234" s="1426"/>
    </row>
    <row r="235" spans="1:44" s="5" customFormat="1">
      <c r="A235" s="1503"/>
      <c r="B235" s="1549"/>
      <c r="C235" s="1896"/>
      <c r="D235" s="1805"/>
      <c r="E235" s="1915"/>
      <c r="F235" s="1915"/>
      <c r="G235" s="1639"/>
      <c r="H235" s="1549"/>
      <c r="I235" s="1549"/>
      <c r="J235" s="2910"/>
      <c r="K235" s="1641"/>
      <c r="L235" s="2911"/>
      <c r="M235" s="2896"/>
      <c r="N235" s="2912"/>
      <c r="O235" s="1504"/>
      <c r="P235" s="2897"/>
      <c r="Q235" s="2897"/>
      <c r="R235" s="1504"/>
      <c r="S235" s="1504"/>
      <c r="T235" s="1549"/>
      <c r="U235" s="1461"/>
      <c r="V235" s="1461"/>
      <c r="W235" s="1461"/>
      <c r="X235" s="1461"/>
      <c r="Y235" s="2240"/>
      <c r="Z235" s="2240"/>
      <c r="AA235" s="1461"/>
      <c r="AB235" s="1461"/>
      <c r="AC235" s="1461"/>
      <c r="AD235" s="1662"/>
      <c r="AE235" s="2904"/>
      <c r="AF235" s="2905"/>
      <c r="AG235" s="2674"/>
      <c r="AH235" s="1426"/>
      <c r="AI235" s="1427"/>
      <c r="AJ235" s="1426"/>
      <c r="AK235" s="1426"/>
      <c r="AL235" s="1426"/>
      <c r="AM235" s="1426"/>
      <c r="AN235" s="1426"/>
      <c r="AO235" s="1426"/>
      <c r="AP235" s="1426"/>
      <c r="AQ235" s="1426"/>
      <c r="AR235" s="1426"/>
    </row>
    <row r="236" spans="1:44" s="5" customFormat="1">
      <c r="A236" s="1503"/>
      <c r="B236" s="1549"/>
      <c r="C236" s="1896"/>
      <c r="D236" s="1805"/>
      <c r="E236" s="1915"/>
      <c r="F236" s="1915"/>
      <c r="G236" s="1639"/>
      <c r="H236" s="1549"/>
      <c r="I236" s="1549"/>
      <c r="J236" s="2910"/>
      <c r="K236" s="1641"/>
      <c r="L236" s="2911"/>
      <c r="M236" s="2896"/>
      <c r="N236" s="2912"/>
      <c r="O236" s="1504"/>
      <c r="P236" s="2897"/>
      <c r="Q236" s="2897"/>
      <c r="R236" s="1504"/>
      <c r="S236" s="1504"/>
      <c r="T236" s="1549"/>
      <c r="U236" s="1461"/>
      <c r="V236" s="1461"/>
      <c r="W236" s="1461"/>
      <c r="X236" s="1461"/>
      <c r="Y236" s="2240"/>
      <c r="Z236" s="2240"/>
      <c r="AA236" s="1461"/>
      <c r="AB236" s="1461"/>
      <c r="AC236" s="1461"/>
      <c r="AD236" s="1662"/>
      <c r="AE236" s="2904"/>
      <c r="AF236" s="2905"/>
      <c r="AG236" s="2674"/>
      <c r="AH236" s="1426"/>
      <c r="AI236" s="1427"/>
      <c r="AJ236" s="1426"/>
      <c r="AK236" s="1426"/>
      <c r="AL236" s="1426"/>
      <c r="AM236" s="1426"/>
      <c r="AN236" s="1426"/>
      <c r="AO236" s="1426"/>
      <c r="AP236" s="1426"/>
      <c r="AQ236" s="1426"/>
      <c r="AR236" s="1426"/>
    </row>
    <row r="237" spans="1:44" s="5" customFormat="1">
      <c r="A237" s="1503"/>
      <c r="B237" s="1549"/>
      <c r="C237" s="1896"/>
      <c r="D237" s="1805"/>
      <c r="E237" s="1915"/>
      <c r="F237" s="1915"/>
      <c r="G237" s="1639"/>
      <c r="H237" s="1549"/>
      <c r="I237" s="1549"/>
      <c r="J237" s="2910"/>
      <c r="K237" s="1641"/>
      <c r="L237" s="2911"/>
      <c r="M237" s="2896"/>
      <c r="N237" s="2912"/>
      <c r="O237" s="1504"/>
      <c r="P237" s="2897"/>
      <c r="Q237" s="2897"/>
      <c r="R237" s="1504"/>
      <c r="S237" s="1504"/>
      <c r="T237" s="1549"/>
      <c r="U237" s="1461"/>
      <c r="V237" s="1461"/>
      <c r="W237" s="1461"/>
      <c r="X237" s="1461"/>
      <c r="Y237" s="2240"/>
      <c r="Z237" s="2240"/>
      <c r="AA237" s="1461"/>
      <c r="AB237" s="1461"/>
      <c r="AC237" s="1461"/>
      <c r="AD237" s="1662"/>
      <c r="AE237" s="2904"/>
      <c r="AF237" s="2905"/>
      <c r="AG237" s="2674"/>
      <c r="AH237" s="1426"/>
      <c r="AI237" s="1427"/>
      <c r="AJ237" s="1426"/>
      <c r="AK237" s="1426"/>
      <c r="AL237" s="1426"/>
      <c r="AM237" s="1426"/>
      <c r="AN237" s="1426"/>
      <c r="AO237" s="1426"/>
      <c r="AP237" s="1426"/>
      <c r="AQ237" s="1426"/>
      <c r="AR237" s="1426"/>
    </row>
    <row r="238" spans="1:44" s="5" customFormat="1">
      <c r="A238" s="1503"/>
      <c r="B238" s="1549"/>
      <c r="C238" s="1896"/>
      <c r="D238" s="1805"/>
      <c r="E238" s="1915"/>
      <c r="F238" s="1915"/>
      <c r="G238" s="1639"/>
      <c r="H238" s="1549"/>
      <c r="I238" s="1549"/>
      <c r="J238" s="2910"/>
      <c r="K238" s="1641"/>
      <c r="L238" s="2911"/>
      <c r="M238" s="2896"/>
      <c r="N238" s="2912"/>
      <c r="O238" s="1504"/>
      <c r="P238" s="2897"/>
      <c r="Q238" s="2897"/>
      <c r="R238" s="1504"/>
      <c r="S238" s="1504"/>
      <c r="T238" s="1549"/>
      <c r="U238" s="1461"/>
      <c r="V238" s="1461"/>
      <c r="W238" s="1461"/>
      <c r="X238" s="1461"/>
      <c r="Y238" s="2240"/>
      <c r="Z238" s="2240"/>
      <c r="AA238" s="1461"/>
      <c r="AB238" s="1461"/>
      <c r="AC238" s="1461"/>
      <c r="AD238" s="1662"/>
      <c r="AE238" s="2904"/>
      <c r="AF238" s="2905"/>
      <c r="AG238" s="2674"/>
      <c r="AH238" s="1426"/>
      <c r="AI238" s="1427"/>
      <c r="AJ238" s="1426"/>
      <c r="AK238" s="1426"/>
      <c r="AL238" s="1426"/>
      <c r="AM238" s="1426"/>
      <c r="AN238" s="1426"/>
      <c r="AO238" s="1426"/>
      <c r="AP238" s="1426"/>
      <c r="AQ238" s="1426"/>
      <c r="AR238" s="1426"/>
    </row>
    <row r="239" spans="1:44" s="5" customFormat="1">
      <c r="A239" s="1503"/>
      <c r="B239" s="1549"/>
      <c r="C239" s="1896"/>
      <c r="D239" s="1805"/>
      <c r="E239" s="1915"/>
      <c r="F239" s="1915"/>
      <c r="G239" s="1639"/>
      <c r="H239" s="1549"/>
      <c r="I239" s="1549"/>
      <c r="J239" s="2910"/>
      <c r="K239" s="1641"/>
      <c r="L239" s="2911"/>
      <c r="M239" s="2896"/>
      <c r="N239" s="2912"/>
      <c r="O239" s="1504"/>
      <c r="P239" s="2897"/>
      <c r="Q239" s="2897"/>
      <c r="R239" s="1504"/>
      <c r="S239" s="1504"/>
      <c r="T239" s="1549"/>
      <c r="U239" s="1461"/>
      <c r="V239" s="1461"/>
      <c r="W239" s="1461"/>
      <c r="X239" s="1461"/>
      <c r="Y239" s="2240"/>
      <c r="Z239" s="2240"/>
      <c r="AA239" s="1461"/>
      <c r="AB239" s="1461"/>
      <c r="AC239" s="1461"/>
      <c r="AD239" s="1662"/>
      <c r="AE239" s="2904"/>
      <c r="AF239" s="2905"/>
      <c r="AG239" s="2674"/>
      <c r="AI239" s="13"/>
    </row>
    <row r="240" spans="1:44" s="5" customFormat="1">
      <c r="A240" s="1503"/>
      <c r="B240" s="1549"/>
      <c r="C240" s="1896"/>
      <c r="D240" s="1805"/>
      <c r="E240" s="1915"/>
      <c r="F240" s="1915"/>
      <c r="G240" s="1639"/>
      <c r="H240" s="1549"/>
      <c r="I240" s="1549"/>
      <c r="J240" s="2910"/>
      <c r="K240" s="1641"/>
      <c r="L240" s="2911"/>
      <c r="M240" s="2896"/>
      <c r="N240" s="2912"/>
      <c r="O240" s="1504"/>
      <c r="P240" s="2897"/>
      <c r="Q240" s="2897"/>
      <c r="R240" s="1504"/>
      <c r="S240" s="1504"/>
      <c r="T240" s="1549"/>
      <c r="U240" s="1461"/>
      <c r="V240" s="1461"/>
      <c r="W240" s="1461"/>
      <c r="X240" s="1461"/>
      <c r="Y240" s="2240"/>
      <c r="Z240" s="2240"/>
      <c r="AA240" s="1461"/>
      <c r="AB240" s="1461"/>
      <c r="AC240" s="1461"/>
      <c r="AD240" s="1662"/>
      <c r="AE240" s="2904"/>
      <c r="AF240" s="2905"/>
      <c r="AG240" s="2674"/>
      <c r="AI240" s="13"/>
    </row>
    <row r="241" spans="1:35" s="5" customFormat="1">
      <c r="A241" s="1503"/>
      <c r="B241" s="1549"/>
      <c r="C241" s="1896"/>
      <c r="D241" s="1805"/>
      <c r="E241" s="1915"/>
      <c r="F241" s="1915"/>
      <c r="G241" s="1639"/>
      <c r="H241" s="1549"/>
      <c r="I241" s="1549"/>
      <c r="J241" s="2910"/>
      <c r="K241" s="1641"/>
      <c r="L241" s="2911"/>
      <c r="M241" s="2896"/>
      <c r="N241" s="2912"/>
      <c r="O241" s="1504"/>
      <c r="P241" s="2897"/>
      <c r="Q241" s="2897"/>
      <c r="R241" s="1504"/>
      <c r="S241" s="1504"/>
      <c r="T241" s="1549"/>
      <c r="U241" s="1461"/>
      <c r="V241" s="1461"/>
      <c r="W241" s="1461"/>
      <c r="X241" s="1461"/>
      <c r="Y241" s="2240"/>
      <c r="Z241" s="2240"/>
      <c r="AA241" s="1461"/>
      <c r="AB241" s="1461"/>
      <c r="AC241" s="1461"/>
      <c r="AD241" s="1662"/>
      <c r="AE241" s="2904"/>
      <c r="AF241" s="2905"/>
      <c r="AG241" s="2674"/>
      <c r="AI241" s="13"/>
    </row>
    <row r="242" spans="1:35" s="5" customFormat="1">
      <c r="A242" s="1503"/>
      <c r="B242" s="1549"/>
      <c r="C242" s="1896"/>
      <c r="D242" s="1805"/>
      <c r="E242" s="1915"/>
      <c r="F242" s="1915"/>
      <c r="G242" s="1639"/>
      <c r="H242" s="1549"/>
      <c r="I242" s="1549"/>
      <c r="J242" s="2910"/>
      <c r="K242" s="1641"/>
      <c r="L242" s="2911"/>
      <c r="M242" s="2896"/>
      <c r="N242" s="2912"/>
      <c r="O242" s="1504"/>
      <c r="P242" s="2897"/>
      <c r="Q242" s="2897"/>
      <c r="R242" s="1504"/>
      <c r="S242" s="1504"/>
      <c r="T242" s="1549"/>
      <c r="U242" s="1461"/>
      <c r="V242" s="1461"/>
      <c r="W242" s="1461"/>
      <c r="X242" s="1461"/>
      <c r="Y242" s="2240"/>
      <c r="Z242" s="2240"/>
      <c r="AA242" s="1461"/>
      <c r="AB242" s="1461"/>
      <c r="AC242" s="1461"/>
      <c r="AD242" s="1662"/>
      <c r="AE242" s="2904"/>
      <c r="AF242" s="2905"/>
      <c r="AG242" s="2674"/>
      <c r="AI242" s="13"/>
    </row>
    <row r="243" spans="1:35" s="5" customFormat="1">
      <c r="A243" s="1503"/>
      <c r="B243" s="1549"/>
      <c r="C243" s="1896"/>
      <c r="D243" s="1805"/>
      <c r="E243" s="1915"/>
      <c r="F243" s="1915"/>
      <c r="G243" s="1639"/>
      <c r="H243" s="1549"/>
      <c r="I243" s="1549"/>
      <c r="J243" s="2910"/>
      <c r="K243" s="1641"/>
      <c r="L243" s="2911"/>
      <c r="M243" s="2896"/>
      <c r="N243" s="2912"/>
      <c r="O243" s="1504"/>
      <c r="P243" s="2897"/>
      <c r="Q243" s="2897"/>
      <c r="R243" s="1504"/>
      <c r="S243" s="1504"/>
      <c r="T243" s="1549"/>
      <c r="U243" s="1461"/>
      <c r="V243" s="1461"/>
      <c r="W243" s="1461"/>
      <c r="X243" s="1461"/>
      <c r="Y243" s="2240"/>
      <c r="Z243" s="2240"/>
      <c r="AA243" s="1461"/>
      <c r="AB243" s="1461"/>
      <c r="AC243" s="1461"/>
      <c r="AD243" s="1662"/>
      <c r="AE243" s="2904"/>
      <c r="AF243" s="2905"/>
      <c r="AG243" s="2674"/>
      <c r="AI243" s="13"/>
    </row>
    <row r="244" spans="1:35" s="5" customFormat="1">
      <c r="A244" s="1503"/>
      <c r="B244" s="1549"/>
      <c r="C244" s="1896"/>
      <c r="D244" s="1805"/>
      <c r="E244" s="1915"/>
      <c r="F244" s="1915"/>
      <c r="G244" s="1639"/>
      <c r="H244" s="1549"/>
      <c r="I244" s="1549"/>
      <c r="J244" s="2910"/>
      <c r="K244" s="1641"/>
      <c r="L244" s="2911"/>
      <c r="M244" s="2896"/>
      <c r="N244" s="2912"/>
      <c r="O244" s="1504"/>
      <c r="P244" s="2897"/>
      <c r="Q244" s="2897"/>
      <c r="R244" s="1504"/>
      <c r="S244" s="1504"/>
      <c r="T244" s="1549"/>
      <c r="U244" s="1461"/>
      <c r="V244" s="1461"/>
      <c r="W244" s="1461"/>
      <c r="X244" s="1461"/>
      <c r="Y244" s="2240"/>
      <c r="Z244" s="2240"/>
      <c r="AA244" s="1461"/>
      <c r="AB244" s="1461"/>
      <c r="AC244" s="1461"/>
      <c r="AD244" s="1662"/>
      <c r="AE244" s="2904"/>
      <c r="AF244" s="2905"/>
      <c r="AG244" s="2674"/>
      <c r="AI244" s="13"/>
    </row>
    <row r="245" spans="1:35" s="5" customFormat="1">
      <c r="A245" s="1503"/>
      <c r="B245" s="1549"/>
      <c r="C245" s="1896"/>
      <c r="D245" s="1805"/>
      <c r="E245" s="1915"/>
      <c r="F245" s="1915"/>
      <c r="G245" s="1639"/>
      <c r="H245" s="1549"/>
      <c r="I245" s="1549"/>
      <c r="J245" s="2910"/>
      <c r="K245" s="1641"/>
      <c r="L245" s="2911"/>
      <c r="M245" s="2896"/>
      <c r="N245" s="2912"/>
      <c r="O245" s="1504"/>
      <c r="P245" s="2897"/>
      <c r="Q245" s="2897"/>
      <c r="R245" s="1504"/>
      <c r="S245" s="1504"/>
      <c r="T245" s="1549"/>
      <c r="U245" s="1461"/>
      <c r="V245" s="1461"/>
      <c r="W245" s="1461"/>
      <c r="X245" s="1461"/>
      <c r="Y245" s="2240"/>
      <c r="Z245" s="2240"/>
      <c r="AA245" s="1461"/>
      <c r="AB245" s="1461"/>
      <c r="AC245" s="1461"/>
      <c r="AD245" s="1662"/>
      <c r="AE245" s="2904"/>
      <c r="AF245" s="2905"/>
      <c r="AG245" s="2674"/>
      <c r="AI245" s="13"/>
    </row>
    <row r="246" spans="1:35" s="5" customFormat="1">
      <c r="A246" s="1503"/>
      <c r="B246" s="1549"/>
      <c r="C246" s="1896"/>
      <c r="D246" s="1805"/>
      <c r="E246" s="1915"/>
      <c r="F246" s="1915"/>
      <c r="G246" s="1639"/>
      <c r="H246" s="1549"/>
      <c r="I246" s="1549"/>
      <c r="J246" s="2910"/>
      <c r="K246" s="1641"/>
      <c r="L246" s="2911"/>
      <c r="M246" s="2896"/>
      <c r="N246" s="2912"/>
      <c r="O246" s="1504"/>
      <c r="P246" s="2897"/>
      <c r="Q246" s="2897"/>
      <c r="R246" s="1504"/>
      <c r="S246" s="1504"/>
      <c r="T246" s="1549"/>
      <c r="U246" s="1461"/>
      <c r="V246" s="1461"/>
      <c r="W246" s="1461"/>
      <c r="X246" s="1461"/>
      <c r="Y246" s="2240"/>
      <c r="Z246" s="2240"/>
      <c r="AA246" s="1461"/>
      <c r="AB246" s="1461"/>
      <c r="AC246" s="1461"/>
      <c r="AD246" s="1662"/>
      <c r="AE246" s="2904"/>
      <c r="AF246" s="2905"/>
      <c r="AG246" s="2674"/>
      <c r="AI246" s="13"/>
    </row>
    <row r="247" spans="1:35" s="5" customFormat="1">
      <c r="A247" s="1503"/>
      <c r="B247" s="1549"/>
      <c r="C247" s="1896"/>
      <c r="D247" s="1805"/>
      <c r="E247" s="1915"/>
      <c r="F247" s="1915"/>
      <c r="G247" s="1639"/>
      <c r="H247" s="1549"/>
      <c r="I247" s="1549"/>
      <c r="J247" s="2910"/>
      <c r="K247" s="1641"/>
      <c r="L247" s="2911"/>
      <c r="M247" s="2896"/>
      <c r="N247" s="2912"/>
      <c r="O247" s="1504"/>
      <c r="P247" s="2897"/>
      <c r="Q247" s="2897"/>
      <c r="R247" s="1504"/>
      <c r="S247" s="1504"/>
      <c r="T247" s="1549"/>
      <c r="U247" s="1461"/>
      <c r="V247" s="1461"/>
      <c r="W247" s="1461"/>
      <c r="X247" s="1461"/>
      <c r="Y247" s="2240"/>
      <c r="Z247" s="2240"/>
      <c r="AA247" s="1461"/>
      <c r="AB247" s="1461"/>
      <c r="AC247" s="1461"/>
      <c r="AD247" s="1662"/>
      <c r="AE247" s="2904"/>
      <c r="AF247" s="2905"/>
      <c r="AG247" s="2674"/>
      <c r="AI247" s="13"/>
    </row>
    <row r="248" spans="1:35" s="5" customFormat="1">
      <c r="A248" s="1503"/>
      <c r="B248" s="1549"/>
      <c r="C248" s="1896"/>
      <c r="D248" s="1805"/>
      <c r="E248" s="1915"/>
      <c r="F248" s="1915"/>
      <c r="G248" s="1639"/>
      <c r="H248" s="1549"/>
      <c r="I248" s="1549"/>
      <c r="J248" s="2910"/>
      <c r="K248" s="1641"/>
      <c r="L248" s="2911"/>
      <c r="M248" s="2896"/>
      <c r="N248" s="2912"/>
      <c r="O248" s="1504"/>
      <c r="P248" s="2897"/>
      <c r="Q248" s="2897"/>
      <c r="R248" s="1504"/>
      <c r="S248" s="1504"/>
      <c r="T248" s="1549"/>
      <c r="U248" s="1461"/>
      <c r="V248" s="1461"/>
      <c r="W248" s="1461"/>
      <c r="X248" s="1461"/>
      <c r="Y248" s="2240"/>
      <c r="Z248" s="2240"/>
      <c r="AA248" s="1461"/>
      <c r="AB248" s="1461"/>
      <c r="AC248" s="1461"/>
      <c r="AD248" s="1662"/>
      <c r="AE248" s="2904"/>
      <c r="AF248" s="2905"/>
      <c r="AG248" s="2674"/>
      <c r="AI248" s="13"/>
    </row>
    <row r="249" spans="1:35" s="5" customFormat="1">
      <c r="A249" s="1503"/>
      <c r="B249" s="1549"/>
      <c r="C249" s="1896"/>
      <c r="D249" s="1805"/>
      <c r="E249" s="1915"/>
      <c r="F249" s="1915"/>
      <c r="G249" s="1639"/>
      <c r="H249" s="1549"/>
      <c r="I249" s="1549"/>
      <c r="J249" s="2910"/>
      <c r="K249" s="1641"/>
      <c r="L249" s="2911"/>
      <c r="M249" s="2896"/>
      <c r="N249" s="2912"/>
      <c r="O249" s="1504"/>
      <c r="P249" s="2897"/>
      <c r="Q249" s="2897"/>
      <c r="R249" s="1504"/>
      <c r="S249" s="1504"/>
      <c r="T249" s="1549"/>
      <c r="U249" s="1461"/>
      <c r="V249" s="1461"/>
      <c r="W249" s="1461"/>
      <c r="X249" s="1461"/>
      <c r="Y249" s="2240"/>
      <c r="Z249" s="2240"/>
      <c r="AA249" s="1461"/>
      <c r="AB249" s="1461"/>
      <c r="AC249" s="1461"/>
      <c r="AD249" s="1662"/>
      <c r="AE249" s="2904"/>
      <c r="AF249" s="2905"/>
      <c r="AG249" s="2674"/>
      <c r="AI249" s="13"/>
    </row>
    <row r="250" spans="1:35" s="5" customFormat="1">
      <c r="A250" s="1503"/>
      <c r="B250" s="1549"/>
      <c r="C250" s="1896"/>
      <c r="D250" s="1805"/>
      <c r="E250" s="1915"/>
      <c r="F250" s="1915"/>
      <c r="G250" s="1639"/>
      <c r="H250" s="1549"/>
      <c r="I250" s="1549"/>
      <c r="J250" s="2910"/>
      <c r="K250" s="1641"/>
      <c r="L250" s="2911"/>
      <c r="M250" s="2896"/>
      <c r="N250" s="2912"/>
      <c r="O250" s="1504"/>
      <c r="P250" s="2897"/>
      <c r="Q250" s="2897"/>
      <c r="R250" s="1504"/>
      <c r="S250" s="1504"/>
      <c r="T250" s="1549"/>
      <c r="U250" s="1461"/>
      <c r="V250" s="1461"/>
      <c r="W250" s="1461"/>
      <c r="X250" s="1461"/>
      <c r="Y250" s="2240"/>
      <c r="Z250" s="2240"/>
      <c r="AA250" s="1461"/>
      <c r="AB250" s="1461"/>
      <c r="AC250" s="1461"/>
      <c r="AD250" s="1662"/>
      <c r="AE250" s="2904"/>
      <c r="AF250" s="2905"/>
      <c r="AG250" s="2674"/>
      <c r="AI250" s="13"/>
    </row>
    <row r="251" spans="1:35" s="5" customFormat="1">
      <c r="A251" s="1503"/>
      <c r="B251" s="1549"/>
      <c r="C251" s="1896"/>
      <c r="D251" s="1805"/>
      <c r="E251" s="1915"/>
      <c r="F251" s="1915"/>
      <c r="G251" s="1639"/>
      <c r="H251" s="1549"/>
      <c r="I251" s="1549"/>
      <c r="J251" s="2910"/>
      <c r="K251" s="1641"/>
      <c r="L251" s="2911"/>
      <c r="M251" s="2896"/>
      <c r="N251" s="2912"/>
      <c r="O251" s="1504"/>
      <c r="P251" s="2897"/>
      <c r="Q251" s="2897"/>
      <c r="R251" s="1504"/>
      <c r="S251" s="1504"/>
      <c r="T251" s="1549"/>
      <c r="U251" s="1461"/>
      <c r="V251" s="1461"/>
      <c r="W251" s="1461"/>
      <c r="X251" s="1461"/>
      <c r="Y251" s="2240"/>
      <c r="Z251" s="2240"/>
      <c r="AA251" s="1461"/>
      <c r="AB251" s="1461"/>
      <c r="AC251" s="1461"/>
      <c r="AD251" s="1662"/>
      <c r="AE251" s="2904"/>
      <c r="AF251" s="2905"/>
      <c r="AG251" s="2674"/>
      <c r="AI251" s="13"/>
    </row>
    <row r="252" spans="1:35" s="5" customFormat="1">
      <c r="A252" s="1503"/>
      <c r="B252" s="1549"/>
      <c r="C252" s="1896"/>
      <c r="D252" s="1805"/>
      <c r="E252" s="1915"/>
      <c r="F252" s="1915"/>
      <c r="G252" s="1639"/>
      <c r="H252" s="1549"/>
      <c r="I252" s="1549"/>
      <c r="J252" s="2910"/>
      <c r="K252" s="1641"/>
      <c r="L252" s="2911"/>
      <c r="M252" s="2896"/>
      <c r="N252" s="2912"/>
      <c r="O252" s="1504"/>
      <c r="P252" s="2897"/>
      <c r="Q252" s="2897"/>
      <c r="R252" s="1504"/>
      <c r="S252" s="1504"/>
      <c r="T252" s="1549"/>
      <c r="U252" s="1461"/>
      <c r="V252" s="1461"/>
      <c r="W252" s="1461"/>
      <c r="X252" s="1461"/>
      <c r="Y252" s="2240"/>
      <c r="Z252" s="2240"/>
      <c r="AA252" s="1461"/>
      <c r="AB252" s="1461"/>
      <c r="AC252" s="1461"/>
      <c r="AD252" s="1662"/>
      <c r="AE252" s="2904"/>
      <c r="AF252" s="2905"/>
      <c r="AG252" s="2674"/>
      <c r="AI252" s="13"/>
    </row>
    <row r="253" spans="1:35" s="5" customFormat="1">
      <c r="A253" s="1503"/>
      <c r="B253" s="1549"/>
      <c r="C253" s="1896"/>
      <c r="D253" s="1805"/>
      <c r="E253" s="1915"/>
      <c r="F253" s="1915"/>
      <c r="G253" s="1639"/>
      <c r="H253" s="1549"/>
      <c r="I253" s="1549"/>
      <c r="J253" s="2910"/>
      <c r="K253" s="1641"/>
      <c r="L253" s="2911"/>
      <c r="M253" s="2896"/>
      <c r="N253" s="2912"/>
      <c r="O253" s="1504"/>
      <c r="P253" s="2897"/>
      <c r="Q253" s="2897"/>
      <c r="R253" s="1504"/>
      <c r="S253" s="1504"/>
      <c r="T253" s="1549"/>
      <c r="U253" s="1461"/>
      <c r="V253" s="1461"/>
      <c r="W253" s="1461"/>
      <c r="X253" s="1461"/>
      <c r="Y253" s="2240"/>
      <c r="Z253" s="2240"/>
      <c r="AA253" s="1461"/>
      <c r="AB253" s="1461"/>
      <c r="AC253" s="1461"/>
      <c r="AD253" s="1662"/>
      <c r="AE253" s="2904"/>
      <c r="AF253" s="2905"/>
      <c r="AG253" s="2674"/>
      <c r="AI253" s="13"/>
    </row>
    <row r="254" spans="1:35" s="5" customFormat="1">
      <c r="A254" s="1503"/>
      <c r="B254" s="1549"/>
      <c r="C254" s="1896"/>
      <c r="D254" s="1805"/>
      <c r="E254" s="1915"/>
      <c r="F254" s="1915"/>
      <c r="G254" s="1639"/>
      <c r="H254" s="1549"/>
      <c r="I254" s="1549"/>
      <c r="J254" s="2910"/>
      <c r="K254" s="1641"/>
      <c r="L254" s="2911"/>
      <c r="M254" s="2896"/>
      <c r="N254" s="2912"/>
      <c r="O254" s="1504"/>
      <c r="P254" s="2897"/>
      <c r="Q254" s="2897"/>
      <c r="R254" s="1504"/>
      <c r="S254" s="1504"/>
      <c r="T254" s="1549"/>
      <c r="U254" s="1461"/>
      <c r="V254" s="1461"/>
      <c r="W254" s="1461"/>
      <c r="X254" s="1461"/>
      <c r="Y254" s="2240"/>
      <c r="Z254" s="2240"/>
      <c r="AA254" s="1461"/>
      <c r="AB254" s="1461"/>
      <c r="AC254" s="1461"/>
      <c r="AD254" s="1662"/>
      <c r="AE254" s="2904"/>
      <c r="AF254" s="2905"/>
      <c r="AG254" s="2674"/>
      <c r="AI254" s="13"/>
    </row>
    <row r="255" spans="1:35" s="5" customFormat="1">
      <c r="A255" s="1503"/>
      <c r="B255" s="1549"/>
      <c r="C255" s="1896"/>
      <c r="D255" s="1805"/>
      <c r="E255" s="1915"/>
      <c r="F255" s="1915"/>
      <c r="G255" s="1639"/>
      <c r="H255" s="1549"/>
      <c r="I255" s="1549"/>
      <c r="J255" s="2910"/>
      <c r="K255" s="1641"/>
      <c r="L255" s="2911"/>
      <c r="M255" s="2896"/>
      <c r="N255" s="2912"/>
      <c r="O255" s="1504"/>
      <c r="P255" s="2897"/>
      <c r="Q255" s="2897"/>
      <c r="R255" s="1504"/>
      <c r="S255" s="1504"/>
      <c r="T255" s="1549"/>
      <c r="U255" s="1461"/>
      <c r="V255" s="1461"/>
      <c r="W255" s="1461"/>
      <c r="X255" s="1461"/>
      <c r="Y255" s="2240"/>
      <c r="Z255" s="2240"/>
      <c r="AA255" s="1461"/>
      <c r="AB255" s="1461"/>
      <c r="AC255" s="1461"/>
      <c r="AD255" s="1662"/>
      <c r="AE255" s="2904"/>
      <c r="AF255" s="2905"/>
      <c r="AG255" s="2674"/>
      <c r="AI255" s="13"/>
    </row>
    <row r="256" spans="1:35" s="5" customFormat="1">
      <c r="A256" s="1503"/>
      <c r="B256" s="1549"/>
      <c r="C256" s="1896"/>
      <c r="D256" s="1805"/>
      <c r="E256" s="1915"/>
      <c r="F256" s="1915"/>
      <c r="G256" s="1639"/>
      <c r="H256" s="1549"/>
      <c r="I256" s="1549"/>
      <c r="J256" s="2910"/>
      <c r="K256" s="1641"/>
      <c r="L256" s="2911"/>
      <c r="M256" s="2896"/>
      <c r="N256" s="2912"/>
      <c r="O256" s="1504"/>
      <c r="P256" s="2897"/>
      <c r="Q256" s="2897"/>
      <c r="R256" s="1504"/>
      <c r="S256" s="1504"/>
      <c r="T256" s="1549"/>
      <c r="U256" s="1461"/>
      <c r="V256" s="1461"/>
      <c r="W256" s="1461"/>
      <c r="X256" s="1461"/>
      <c r="Y256" s="2240"/>
      <c r="Z256" s="2240"/>
      <c r="AA256" s="1461"/>
      <c r="AB256" s="1461"/>
      <c r="AC256" s="1461"/>
      <c r="AD256" s="1662"/>
      <c r="AE256" s="2904"/>
      <c r="AF256" s="2905"/>
      <c r="AG256" s="2674"/>
      <c r="AI256" s="13"/>
    </row>
    <row r="257" spans="1:35" s="5" customFormat="1">
      <c r="A257" s="1503"/>
      <c r="B257" s="1549"/>
      <c r="C257" s="1896"/>
      <c r="D257" s="1805"/>
      <c r="E257" s="1915"/>
      <c r="F257" s="1915"/>
      <c r="G257" s="1639"/>
      <c r="H257" s="1549"/>
      <c r="I257" s="1549"/>
      <c r="J257" s="2910"/>
      <c r="K257" s="1641"/>
      <c r="L257" s="2911"/>
      <c r="M257" s="2896"/>
      <c r="N257" s="2912"/>
      <c r="O257" s="1504"/>
      <c r="P257" s="2897"/>
      <c r="Q257" s="2897"/>
      <c r="R257" s="1504"/>
      <c r="S257" s="1504"/>
      <c r="T257" s="1549"/>
      <c r="U257" s="1461"/>
      <c r="V257" s="1461"/>
      <c r="W257" s="1461"/>
      <c r="X257" s="1461"/>
      <c r="Y257" s="2240"/>
      <c r="Z257" s="2240"/>
      <c r="AA257" s="1461"/>
      <c r="AB257" s="1461"/>
      <c r="AC257" s="1461"/>
      <c r="AD257" s="1662"/>
      <c r="AE257" s="2904"/>
      <c r="AF257" s="2905"/>
      <c r="AG257" s="2674"/>
      <c r="AI257" s="13"/>
    </row>
    <row r="258" spans="1:35" s="5" customFormat="1">
      <c r="A258" s="1503"/>
      <c r="B258" s="1549"/>
      <c r="C258" s="1896"/>
      <c r="D258" s="1805"/>
      <c r="E258" s="1915"/>
      <c r="F258" s="1915"/>
      <c r="G258" s="1639"/>
      <c r="H258" s="1549"/>
      <c r="I258" s="1549"/>
      <c r="J258" s="2910"/>
      <c r="K258" s="1641"/>
      <c r="L258" s="2911"/>
      <c r="M258" s="2896"/>
      <c r="N258" s="2912"/>
      <c r="O258" s="1504"/>
      <c r="P258" s="2897"/>
      <c r="Q258" s="2897"/>
      <c r="R258" s="1504"/>
      <c r="S258" s="1504"/>
      <c r="T258" s="1549"/>
      <c r="U258" s="1461"/>
      <c r="V258" s="1461"/>
      <c r="W258" s="1461"/>
      <c r="X258" s="1461"/>
      <c r="Y258" s="2240"/>
      <c r="Z258" s="2240"/>
      <c r="AA258" s="1461"/>
      <c r="AB258" s="1461"/>
      <c r="AC258" s="1461"/>
      <c r="AD258" s="1662"/>
      <c r="AE258" s="2904"/>
      <c r="AF258" s="2905"/>
      <c r="AG258" s="2674"/>
      <c r="AI258" s="13"/>
    </row>
    <row r="259" spans="1:35" s="5" customFormat="1">
      <c r="A259" s="1503"/>
      <c r="B259" s="1549"/>
      <c r="C259" s="1896"/>
      <c r="D259" s="1805"/>
      <c r="E259" s="1915"/>
      <c r="F259" s="1915"/>
      <c r="G259" s="1639"/>
      <c r="H259" s="1549"/>
      <c r="I259" s="1549"/>
      <c r="J259" s="2910"/>
      <c r="K259" s="1641"/>
      <c r="L259" s="2911"/>
      <c r="M259" s="2896"/>
      <c r="N259" s="2912"/>
      <c r="O259" s="1504"/>
      <c r="P259" s="2897"/>
      <c r="Q259" s="2897"/>
      <c r="R259" s="1504"/>
      <c r="S259" s="1504"/>
      <c r="T259" s="1549"/>
      <c r="U259" s="1461"/>
      <c r="V259" s="1461"/>
      <c r="W259" s="1461"/>
      <c r="X259" s="1461"/>
      <c r="Y259" s="2240"/>
      <c r="Z259" s="2240"/>
      <c r="AA259" s="1461"/>
      <c r="AB259" s="1461"/>
      <c r="AC259" s="1461"/>
      <c r="AD259" s="1662"/>
      <c r="AE259" s="2904"/>
      <c r="AF259" s="2905"/>
      <c r="AG259" s="2674"/>
      <c r="AI259" s="13"/>
    </row>
    <row r="260" spans="1:35" s="5" customFormat="1">
      <c r="A260" s="1503"/>
      <c r="B260" s="1549"/>
      <c r="C260" s="1896"/>
      <c r="D260" s="1805"/>
      <c r="E260" s="1915"/>
      <c r="F260" s="1915"/>
      <c r="G260" s="1639"/>
      <c r="H260" s="1549"/>
      <c r="I260" s="1549"/>
      <c r="J260" s="2910"/>
      <c r="K260" s="1641"/>
      <c r="L260" s="2911"/>
      <c r="M260" s="2896"/>
      <c r="N260" s="2912"/>
      <c r="O260" s="1504"/>
      <c r="P260" s="2897"/>
      <c r="Q260" s="2897"/>
      <c r="R260" s="1504"/>
      <c r="S260" s="1504"/>
      <c r="T260" s="1549"/>
      <c r="U260" s="1461"/>
      <c r="V260" s="1461"/>
      <c r="W260" s="1461"/>
      <c r="X260" s="1461"/>
      <c r="Y260" s="2240"/>
      <c r="Z260" s="2240"/>
      <c r="AA260" s="1461"/>
      <c r="AB260" s="1461"/>
      <c r="AC260" s="1461"/>
      <c r="AD260" s="1662"/>
      <c r="AE260" s="2904"/>
      <c r="AF260" s="2905"/>
      <c r="AG260" s="2674"/>
      <c r="AI260" s="13"/>
    </row>
    <row r="261" spans="1:35" s="5" customFormat="1">
      <c r="A261" s="1503"/>
      <c r="B261" s="1549"/>
      <c r="C261" s="1896"/>
      <c r="D261" s="1805"/>
      <c r="E261" s="1915"/>
      <c r="F261" s="1915"/>
      <c r="G261" s="1639"/>
      <c r="H261" s="1549"/>
      <c r="I261" s="1549"/>
      <c r="J261" s="2910"/>
      <c r="K261" s="1641"/>
      <c r="L261" s="2911"/>
      <c r="M261" s="2896"/>
      <c r="N261" s="2912"/>
      <c r="O261" s="1504"/>
      <c r="P261" s="2897"/>
      <c r="Q261" s="2897"/>
      <c r="R261" s="1504"/>
      <c r="S261" s="1504"/>
      <c r="T261" s="1549"/>
      <c r="U261" s="1461"/>
      <c r="V261" s="1461"/>
      <c r="W261" s="1461"/>
      <c r="X261" s="1461"/>
      <c r="Y261" s="2240"/>
      <c r="Z261" s="2240"/>
      <c r="AA261" s="1461"/>
      <c r="AB261" s="1461"/>
      <c r="AC261" s="1461"/>
      <c r="AD261" s="1662"/>
      <c r="AE261" s="2904"/>
      <c r="AF261" s="2905"/>
      <c r="AG261" s="2674"/>
      <c r="AI261" s="13"/>
    </row>
    <row r="262" spans="1:35" s="5" customFormat="1">
      <c r="A262" s="1503"/>
      <c r="B262" s="1549"/>
      <c r="C262" s="1896"/>
      <c r="D262" s="1805"/>
      <c r="E262" s="1915"/>
      <c r="F262" s="1915"/>
      <c r="G262" s="1639"/>
      <c r="H262" s="1549"/>
      <c r="I262" s="1549"/>
      <c r="J262" s="2910"/>
      <c r="K262" s="1641"/>
      <c r="L262" s="2911"/>
      <c r="M262" s="2896"/>
      <c r="N262" s="2912"/>
      <c r="O262" s="1504"/>
      <c r="P262" s="2897"/>
      <c r="Q262" s="2897"/>
      <c r="R262" s="1504"/>
      <c r="S262" s="1504"/>
      <c r="T262" s="1549"/>
      <c r="U262" s="1461"/>
      <c r="V262" s="1461"/>
      <c r="W262" s="1461"/>
      <c r="X262" s="1461"/>
      <c r="Y262" s="2240"/>
      <c r="Z262" s="2240"/>
      <c r="AA262" s="1461"/>
      <c r="AB262" s="1461"/>
      <c r="AC262" s="1461"/>
      <c r="AD262" s="1662"/>
      <c r="AE262" s="2904"/>
      <c r="AF262" s="2905"/>
      <c r="AG262" s="2674"/>
      <c r="AI262" s="13"/>
    </row>
    <row r="263" spans="1:35" s="5" customFormat="1">
      <c r="A263" s="1503"/>
      <c r="B263" s="1549"/>
      <c r="C263" s="1896"/>
      <c r="D263" s="1805"/>
      <c r="E263" s="1915"/>
      <c r="F263" s="1915"/>
      <c r="G263" s="1639"/>
      <c r="H263" s="1549"/>
      <c r="I263" s="1549"/>
      <c r="J263" s="2910"/>
      <c r="K263" s="1641"/>
      <c r="L263" s="2911"/>
      <c r="M263" s="2896"/>
      <c r="N263" s="2912"/>
      <c r="O263" s="1504"/>
      <c r="P263" s="2897"/>
      <c r="Q263" s="2897"/>
      <c r="R263" s="1504"/>
      <c r="S263" s="1504"/>
      <c r="T263" s="1549"/>
      <c r="U263" s="1461"/>
      <c r="V263" s="1461"/>
      <c r="W263" s="1461"/>
      <c r="X263" s="1461"/>
      <c r="Y263" s="2240"/>
      <c r="Z263" s="2240"/>
      <c r="AA263" s="1461"/>
      <c r="AB263" s="1461"/>
      <c r="AC263" s="1461"/>
      <c r="AD263" s="1662"/>
      <c r="AE263" s="2904"/>
      <c r="AF263" s="2905"/>
      <c r="AG263" s="2674"/>
      <c r="AI263" s="13"/>
    </row>
    <row r="264" spans="1:35" s="5" customFormat="1">
      <c r="A264" s="1503"/>
      <c r="B264" s="1549"/>
      <c r="C264" s="1896"/>
      <c r="D264" s="1805"/>
      <c r="E264" s="1915"/>
      <c r="F264" s="1915"/>
      <c r="G264" s="1639"/>
      <c r="H264" s="1549"/>
      <c r="I264" s="1549"/>
      <c r="J264" s="2910"/>
      <c r="K264" s="1641"/>
      <c r="L264" s="2911"/>
      <c r="M264" s="2896"/>
      <c r="N264" s="2912"/>
      <c r="O264" s="1504"/>
      <c r="P264" s="2897"/>
      <c r="Q264" s="2897"/>
      <c r="R264" s="1504"/>
      <c r="S264" s="1504"/>
      <c r="T264" s="1549"/>
      <c r="U264" s="1461"/>
      <c r="V264" s="1461"/>
      <c r="W264" s="1461"/>
      <c r="X264" s="1461"/>
      <c r="Y264" s="2240"/>
      <c r="Z264" s="2240"/>
      <c r="AA264" s="1461"/>
      <c r="AB264" s="1461"/>
      <c r="AC264" s="1461"/>
      <c r="AD264" s="1662"/>
      <c r="AE264" s="2904"/>
      <c r="AF264" s="2905"/>
      <c r="AG264" s="2674"/>
      <c r="AI264" s="13"/>
    </row>
    <row r="265" spans="1:35" s="5" customFormat="1">
      <c r="A265" s="1503"/>
      <c r="B265" s="1549"/>
      <c r="C265" s="1896"/>
      <c r="D265" s="1805"/>
      <c r="E265" s="1915"/>
      <c r="F265" s="1915"/>
      <c r="G265" s="1639"/>
      <c r="H265" s="1549"/>
      <c r="I265" s="1549"/>
      <c r="J265" s="2910"/>
      <c r="K265" s="1641"/>
      <c r="L265" s="2911"/>
      <c r="M265" s="2896"/>
      <c r="N265" s="2912"/>
      <c r="O265" s="1504"/>
      <c r="P265" s="2897"/>
      <c r="Q265" s="2897"/>
      <c r="R265" s="1504"/>
      <c r="S265" s="1504"/>
      <c r="T265" s="1549"/>
      <c r="U265" s="1461"/>
      <c r="V265" s="1461"/>
      <c r="W265" s="1461"/>
      <c r="X265" s="1461"/>
      <c r="Y265" s="2240"/>
      <c r="Z265" s="2240"/>
      <c r="AA265" s="1461"/>
      <c r="AB265" s="1461"/>
      <c r="AC265" s="1461"/>
      <c r="AD265" s="1662"/>
      <c r="AE265" s="2904"/>
      <c r="AF265" s="2905"/>
      <c r="AG265" s="2674"/>
      <c r="AI265" s="13"/>
    </row>
    <row r="266" spans="1:35" s="5" customFormat="1">
      <c r="A266" s="1503"/>
      <c r="B266" s="1549"/>
      <c r="C266" s="1896"/>
      <c r="D266" s="1805"/>
      <c r="E266" s="1915"/>
      <c r="F266" s="1915"/>
      <c r="G266" s="1639"/>
      <c r="H266" s="1549"/>
      <c r="I266" s="1549"/>
      <c r="J266" s="2910"/>
      <c r="K266" s="1641"/>
      <c r="L266" s="2911"/>
      <c r="M266" s="2896"/>
      <c r="N266" s="2912"/>
      <c r="O266" s="1504"/>
      <c r="P266" s="2897"/>
      <c r="Q266" s="2897"/>
      <c r="R266" s="1504"/>
      <c r="S266" s="1504"/>
      <c r="T266" s="1549"/>
      <c r="U266" s="1461"/>
      <c r="V266" s="1461"/>
      <c r="W266" s="1461"/>
      <c r="X266" s="1461"/>
      <c r="Y266" s="2240"/>
      <c r="Z266" s="2240"/>
      <c r="AA266" s="1461"/>
      <c r="AB266" s="1461"/>
      <c r="AC266" s="1461"/>
      <c r="AD266" s="1662"/>
      <c r="AE266" s="2904"/>
      <c r="AF266" s="2905"/>
      <c r="AG266" s="2674"/>
      <c r="AI266" s="13"/>
    </row>
    <row r="267" spans="1:35" s="5" customFormat="1">
      <c r="A267" s="1503"/>
      <c r="B267" s="1549"/>
      <c r="C267" s="1896"/>
      <c r="D267" s="1805"/>
      <c r="E267" s="1915"/>
      <c r="F267" s="1915"/>
      <c r="G267" s="1639"/>
      <c r="H267" s="1549"/>
      <c r="I267" s="1549"/>
      <c r="J267" s="2910"/>
      <c r="K267" s="1641"/>
      <c r="L267" s="2911"/>
      <c r="M267" s="2896"/>
      <c r="N267" s="2912"/>
      <c r="O267" s="1504"/>
      <c r="P267" s="2897"/>
      <c r="Q267" s="2897"/>
      <c r="R267" s="1504"/>
      <c r="S267" s="1504"/>
      <c r="T267" s="1549"/>
      <c r="U267" s="1461"/>
      <c r="V267" s="1461"/>
      <c r="W267" s="1461"/>
      <c r="X267" s="1461"/>
      <c r="Y267" s="2240"/>
      <c r="Z267" s="2240"/>
      <c r="AA267" s="1461"/>
      <c r="AB267" s="1461"/>
      <c r="AC267" s="1461"/>
      <c r="AD267" s="1662"/>
      <c r="AE267" s="2904"/>
      <c r="AF267" s="2905"/>
      <c r="AG267" s="2674"/>
      <c r="AI267" s="13"/>
    </row>
    <row r="268" spans="1:35" s="5" customFormat="1">
      <c r="A268" s="1503"/>
      <c r="B268" s="1549"/>
      <c r="C268" s="1896"/>
      <c r="D268" s="1805"/>
      <c r="E268" s="1915"/>
      <c r="F268" s="1915"/>
      <c r="G268" s="1639"/>
      <c r="H268" s="1549"/>
      <c r="I268" s="1549"/>
      <c r="J268" s="2910"/>
      <c r="K268" s="1641"/>
      <c r="L268" s="2911"/>
      <c r="M268" s="2896"/>
      <c r="N268" s="2912"/>
      <c r="O268" s="1504"/>
      <c r="P268" s="2897"/>
      <c r="Q268" s="2897"/>
      <c r="R268" s="1504"/>
      <c r="S268" s="1504"/>
      <c r="T268" s="1549"/>
      <c r="U268" s="1461"/>
      <c r="V268" s="1461"/>
      <c r="W268" s="1461"/>
      <c r="X268" s="1461"/>
      <c r="Y268" s="2240"/>
      <c r="Z268" s="2240"/>
      <c r="AA268" s="1461"/>
      <c r="AB268" s="1461"/>
      <c r="AC268" s="1461"/>
      <c r="AD268" s="1662"/>
      <c r="AE268" s="2904"/>
      <c r="AF268" s="2905"/>
      <c r="AG268" s="2674"/>
      <c r="AI268" s="13"/>
    </row>
    <row r="269" spans="1:35" s="5" customFormat="1">
      <c r="A269" s="1503"/>
      <c r="B269" s="1549"/>
      <c r="C269" s="1896"/>
      <c r="D269" s="1805"/>
      <c r="E269" s="1915"/>
      <c r="F269" s="1915"/>
      <c r="G269" s="1639"/>
      <c r="H269" s="1549"/>
      <c r="I269" s="1549"/>
      <c r="J269" s="2910"/>
      <c r="K269" s="1641"/>
      <c r="L269" s="2911"/>
      <c r="M269" s="2896"/>
      <c r="N269" s="2912"/>
      <c r="O269" s="1504"/>
      <c r="P269" s="2897"/>
      <c r="Q269" s="2897"/>
      <c r="R269" s="1504"/>
      <c r="S269" s="1504"/>
      <c r="T269" s="1549"/>
      <c r="U269" s="1461"/>
      <c r="V269" s="1461"/>
      <c r="W269" s="1461"/>
      <c r="X269" s="1461"/>
      <c r="Y269" s="2240"/>
      <c r="Z269" s="2240"/>
      <c r="AA269" s="1461"/>
      <c r="AB269" s="1461"/>
      <c r="AC269" s="1461"/>
      <c r="AD269" s="1662"/>
      <c r="AE269" s="2904"/>
      <c r="AF269" s="2905"/>
      <c r="AG269" s="2674"/>
      <c r="AI269" s="13"/>
    </row>
    <row r="270" spans="1:35" s="5" customFormat="1">
      <c r="A270" s="1503"/>
      <c r="B270" s="1549"/>
      <c r="C270" s="1896"/>
      <c r="D270" s="1805"/>
      <c r="E270" s="1915"/>
      <c r="F270" s="1915"/>
      <c r="G270" s="1639"/>
      <c r="H270" s="1549"/>
      <c r="I270" s="1549"/>
      <c r="J270" s="2910"/>
      <c r="K270" s="1641"/>
      <c r="L270" s="2911"/>
      <c r="M270" s="2896"/>
      <c r="N270" s="2912"/>
      <c r="O270" s="1504"/>
      <c r="P270" s="2897"/>
      <c r="Q270" s="2897"/>
      <c r="R270" s="1504"/>
      <c r="S270" s="1504"/>
      <c r="T270" s="1549"/>
      <c r="U270" s="1461"/>
      <c r="V270" s="1461"/>
      <c r="W270" s="1461"/>
      <c r="X270" s="1461"/>
      <c r="Y270" s="2240"/>
      <c r="Z270" s="2240"/>
      <c r="AA270" s="1461"/>
      <c r="AB270" s="1461"/>
      <c r="AC270" s="1461"/>
      <c r="AD270" s="1662"/>
      <c r="AE270" s="2904"/>
      <c r="AF270" s="2905"/>
      <c r="AG270" s="2674"/>
      <c r="AI270" s="13"/>
    </row>
    <row r="271" spans="1:35" s="5" customFormat="1">
      <c r="A271" s="1503"/>
      <c r="B271" s="1549"/>
      <c r="C271" s="1896"/>
      <c r="D271" s="1805"/>
      <c r="E271" s="1915"/>
      <c r="F271" s="1915"/>
      <c r="G271" s="1639"/>
      <c r="H271" s="1549"/>
      <c r="I271" s="1549"/>
      <c r="J271" s="2910"/>
      <c r="K271" s="1641"/>
      <c r="L271" s="2911"/>
      <c r="M271" s="2896"/>
      <c r="N271" s="2912"/>
      <c r="O271" s="1504"/>
      <c r="P271" s="2897"/>
      <c r="Q271" s="2897"/>
      <c r="R271" s="1504"/>
      <c r="S271" s="1504"/>
      <c r="T271" s="1549"/>
      <c r="U271" s="1461"/>
      <c r="V271" s="1461"/>
      <c r="W271" s="1461"/>
      <c r="X271" s="1461"/>
      <c r="Y271" s="2240"/>
      <c r="Z271" s="2240"/>
      <c r="AA271" s="1461"/>
      <c r="AB271" s="1461"/>
      <c r="AC271" s="1461"/>
      <c r="AD271" s="1662"/>
      <c r="AE271" s="2904"/>
      <c r="AF271" s="2905"/>
      <c r="AG271" s="2674"/>
      <c r="AI271" s="13"/>
    </row>
    <row r="272" spans="1:35" s="5" customFormat="1">
      <c r="A272" s="1503"/>
      <c r="B272" s="1549"/>
      <c r="C272" s="1896"/>
      <c r="D272" s="1805"/>
      <c r="E272" s="1915"/>
      <c r="F272" s="1915"/>
      <c r="G272" s="1639"/>
      <c r="H272" s="1549"/>
      <c r="I272" s="1549"/>
      <c r="J272" s="2910"/>
      <c r="K272" s="1641"/>
      <c r="L272" s="2911"/>
      <c r="M272" s="2896"/>
      <c r="N272" s="2912"/>
      <c r="O272" s="1504"/>
      <c r="P272" s="2897"/>
      <c r="Q272" s="2897"/>
      <c r="R272" s="1504"/>
      <c r="S272" s="1504"/>
      <c r="T272" s="1549"/>
      <c r="U272" s="1461"/>
      <c r="V272" s="1461"/>
      <c r="W272" s="1461"/>
      <c r="X272" s="1461"/>
      <c r="Y272" s="2240"/>
      <c r="Z272" s="2240"/>
      <c r="AA272" s="1461"/>
      <c r="AB272" s="1461"/>
      <c r="AC272" s="1461"/>
      <c r="AD272" s="1662"/>
      <c r="AE272" s="2904"/>
      <c r="AF272" s="2905"/>
      <c r="AG272" s="2674"/>
      <c r="AI272" s="13"/>
    </row>
    <row r="273" spans="1:35" s="5" customFormat="1">
      <c r="A273" s="1503"/>
      <c r="B273" s="1549"/>
      <c r="C273" s="1896"/>
      <c r="D273" s="1805"/>
      <c r="E273" s="1915"/>
      <c r="F273" s="1915"/>
      <c r="G273" s="1639"/>
      <c r="H273" s="1549"/>
      <c r="I273" s="1549"/>
      <c r="J273" s="2910"/>
      <c r="K273" s="1641"/>
      <c r="L273" s="2911"/>
      <c r="M273" s="2896"/>
      <c r="N273" s="2912"/>
      <c r="O273" s="1504"/>
      <c r="P273" s="2897"/>
      <c r="Q273" s="2897"/>
      <c r="R273" s="1504"/>
      <c r="S273" s="1504"/>
      <c r="T273" s="1549"/>
      <c r="U273" s="1461"/>
      <c r="V273" s="1461"/>
      <c r="W273" s="1461"/>
      <c r="X273" s="1461"/>
      <c r="Y273" s="2240"/>
      <c r="Z273" s="2240"/>
      <c r="AA273" s="1461"/>
      <c r="AB273" s="1461"/>
      <c r="AC273" s="1461"/>
      <c r="AD273" s="1662"/>
      <c r="AE273" s="2904"/>
      <c r="AF273" s="2905"/>
      <c r="AG273" s="2674"/>
      <c r="AI273" s="13"/>
    </row>
    <row r="274" spans="1:35" s="5" customFormat="1">
      <c r="A274" s="1503"/>
      <c r="B274" s="1549"/>
      <c r="C274" s="1896"/>
      <c r="D274" s="1805"/>
      <c r="E274" s="1915"/>
      <c r="F274" s="1915"/>
      <c r="G274" s="1639"/>
      <c r="H274" s="1549"/>
      <c r="I274" s="1549"/>
      <c r="J274" s="2910"/>
      <c r="K274" s="1641"/>
      <c r="L274" s="2911"/>
      <c r="M274" s="2896"/>
      <c r="N274" s="2912"/>
      <c r="O274" s="1504"/>
      <c r="P274" s="2897"/>
      <c r="Q274" s="2897"/>
      <c r="R274" s="1504"/>
      <c r="S274" s="1504"/>
      <c r="T274" s="1549"/>
      <c r="U274" s="1461"/>
      <c r="V274" s="1461"/>
      <c r="W274" s="1461"/>
      <c r="X274" s="1461"/>
      <c r="Y274" s="2240"/>
      <c r="Z274" s="2240"/>
      <c r="AA274" s="1461"/>
      <c r="AB274" s="1461"/>
      <c r="AC274" s="1461"/>
      <c r="AD274" s="1662"/>
      <c r="AE274" s="2904"/>
      <c r="AF274" s="2905"/>
      <c r="AG274" s="2674"/>
      <c r="AI274" s="13"/>
    </row>
    <row r="275" spans="1:35" s="5" customFormat="1">
      <c r="A275" s="1503"/>
      <c r="B275" s="1549"/>
      <c r="C275" s="1896"/>
      <c r="D275" s="1805"/>
      <c r="E275" s="1915"/>
      <c r="F275" s="1915"/>
      <c r="G275" s="1639"/>
      <c r="H275" s="1549"/>
      <c r="I275" s="1549"/>
      <c r="J275" s="2910"/>
      <c r="K275" s="1641"/>
      <c r="L275" s="2911"/>
      <c r="M275" s="2896"/>
      <c r="N275" s="2912"/>
      <c r="O275" s="1504"/>
      <c r="P275" s="2897"/>
      <c r="Q275" s="2897"/>
      <c r="R275" s="1504"/>
      <c r="S275" s="1504"/>
      <c r="T275" s="1549"/>
      <c r="U275" s="1461"/>
      <c r="V275" s="1461"/>
      <c r="W275" s="1461"/>
      <c r="X275" s="1461"/>
      <c r="Y275" s="2240"/>
      <c r="Z275" s="2240"/>
      <c r="AA275" s="1461"/>
      <c r="AB275" s="1461"/>
      <c r="AC275" s="1461"/>
      <c r="AD275" s="1662"/>
      <c r="AE275" s="2904"/>
      <c r="AF275" s="2905"/>
      <c r="AG275" s="2674"/>
      <c r="AI275" s="13"/>
    </row>
    <row r="276" spans="1:35" s="5" customFormat="1">
      <c r="A276" s="1503"/>
      <c r="B276" s="1549"/>
      <c r="C276" s="1896"/>
      <c r="D276" s="1805"/>
      <c r="E276" s="1915"/>
      <c r="F276" s="1915"/>
      <c r="G276" s="1639"/>
      <c r="H276" s="1549"/>
      <c r="I276" s="1549"/>
      <c r="J276" s="2910"/>
      <c r="K276" s="1641"/>
      <c r="L276" s="2911"/>
      <c r="M276" s="2896"/>
      <c r="N276" s="2912"/>
      <c r="O276" s="1504"/>
      <c r="P276" s="2897"/>
      <c r="Q276" s="2897"/>
      <c r="R276" s="1504"/>
      <c r="S276" s="1504"/>
      <c r="T276" s="1549"/>
      <c r="U276" s="1461"/>
      <c r="V276" s="1461"/>
      <c r="W276" s="1461"/>
      <c r="X276" s="1461"/>
      <c r="Y276" s="2240"/>
      <c r="Z276" s="2240"/>
      <c r="AA276" s="1461"/>
      <c r="AB276" s="1461"/>
      <c r="AC276" s="1461"/>
      <c r="AD276" s="1662"/>
      <c r="AE276" s="2904"/>
      <c r="AF276" s="2905"/>
      <c r="AG276" s="2674"/>
      <c r="AI276" s="13"/>
    </row>
    <row r="277" spans="1:35" s="5" customFormat="1">
      <c r="A277" s="1503"/>
      <c r="B277" s="1549"/>
      <c r="C277" s="1896"/>
      <c r="D277" s="1805"/>
      <c r="E277" s="1915"/>
      <c r="F277" s="1915"/>
      <c r="G277" s="1639"/>
      <c r="H277" s="1549"/>
      <c r="I277" s="1549"/>
      <c r="J277" s="2910"/>
      <c r="K277" s="1641"/>
      <c r="L277" s="2911"/>
      <c r="M277" s="2896"/>
      <c r="N277" s="2912"/>
      <c r="O277" s="1504"/>
      <c r="P277" s="2897"/>
      <c r="Q277" s="2897"/>
      <c r="R277" s="1504"/>
      <c r="S277" s="1504"/>
      <c r="T277" s="1549"/>
      <c r="U277" s="1461"/>
      <c r="V277" s="1461"/>
      <c r="W277" s="1461"/>
      <c r="X277" s="1461"/>
      <c r="Y277" s="2240"/>
      <c r="Z277" s="2240"/>
      <c r="AA277" s="1461"/>
      <c r="AB277" s="1461"/>
      <c r="AC277" s="1461"/>
      <c r="AD277" s="1662"/>
      <c r="AE277" s="2904"/>
      <c r="AF277" s="2905"/>
      <c r="AG277" s="2674"/>
      <c r="AI277" s="13"/>
    </row>
    <row r="278" spans="1:35" s="5" customFormat="1">
      <c r="A278" s="1503"/>
      <c r="B278" s="1549"/>
      <c r="C278" s="1896"/>
      <c r="D278" s="1805"/>
      <c r="E278" s="1915"/>
      <c r="F278" s="1915"/>
      <c r="G278" s="1639"/>
      <c r="H278" s="1549"/>
      <c r="I278" s="1549"/>
      <c r="J278" s="2910"/>
      <c r="K278" s="1641"/>
      <c r="L278" s="2911"/>
      <c r="M278" s="2896"/>
      <c r="N278" s="2912"/>
      <c r="O278" s="1504"/>
      <c r="P278" s="2897"/>
      <c r="Q278" s="2897"/>
      <c r="R278" s="1504"/>
      <c r="S278" s="1504"/>
      <c r="T278" s="1549"/>
      <c r="U278" s="1461"/>
      <c r="V278" s="1461"/>
      <c r="W278" s="1461"/>
      <c r="X278" s="1461"/>
      <c r="Y278" s="2240"/>
      <c r="Z278" s="2240"/>
      <c r="AA278" s="1461"/>
      <c r="AB278" s="1461"/>
      <c r="AC278" s="1461"/>
      <c r="AD278" s="1662"/>
      <c r="AE278" s="2904"/>
      <c r="AF278" s="2905"/>
      <c r="AG278" s="2674"/>
      <c r="AI278" s="13"/>
    </row>
    <row r="279" spans="1:35" s="5" customFormat="1">
      <c r="A279" s="1503"/>
      <c r="B279" s="1549"/>
      <c r="C279" s="1896"/>
      <c r="D279" s="1805"/>
      <c r="E279" s="1915"/>
      <c r="F279" s="1915"/>
      <c r="G279" s="1639"/>
      <c r="H279" s="1549"/>
      <c r="I279" s="1549"/>
      <c r="J279" s="2910"/>
      <c r="K279" s="1641"/>
      <c r="L279" s="2911"/>
      <c r="M279" s="2896"/>
      <c r="N279" s="2912"/>
      <c r="O279" s="1504"/>
      <c r="P279" s="2897"/>
      <c r="Q279" s="2897"/>
      <c r="R279" s="1504"/>
      <c r="S279" s="1504"/>
      <c r="T279" s="1549"/>
      <c r="U279" s="1461"/>
      <c r="V279" s="1461"/>
      <c r="W279" s="1461"/>
      <c r="X279" s="1461"/>
      <c r="Y279" s="2240"/>
      <c r="Z279" s="2240"/>
      <c r="AA279" s="1461"/>
      <c r="AB279" s="1461"/>
      <c r="AC279" s="1461"/>
      <c r="AD279" s="1662"/>
      <c r="AE279" s="2904"/>
      <c r="AF279" s="2905"/>
      <c r="AG279" s="2674"/>
      <c r="AI279" s="13"/>
    </row>
    <row r="280" spans="1:35" s="5" customFormat="1">
      <c r="A280" s="1503"/>
      <c r="B280" s="1549"/>
      <c r="C280" s="1896"/>
      <c r="D280" s="1805"/>
      <c r="E280" s="1915"/>
      <c r="F280" s="1915"/>
      <c r="G280" s="1639"/>
      <c r="H280" s="1549"/>
      <c r="I280" s="1549"/>
      <c r="J280" s="2910"/>
      <c r="K280" s="1641"/>
      <c r="L280" s="2911"/>
      <c r="M280" s="2896"/>
      <c r="N280" s="2912"/>
      <c r="O280" s="1504"/>
      <c r="P280" s="2897"/>
      <c r="Q280" s="2897"/>
      <c r="R280" s="1504"/>
      <c r="S280" s="1504"/>
      <c r="T280" s="1549"/>
      <c r="U280" s="1461"/>
      <c r="V280" s="1461"/>
      <c r="W280" s="1461"/>
      <c r="X280" s="1461"/>
      <c r="Y280" s="2240"/>
      <c r="Z280" s="2240"/>
      <c r="AA280" s="1461"/>
      <c r="AB280" s="1461"/>
      <c r="AC280" s="1461"/>
      <c r="AD280" s="1662"/>
      <c r="AE280" s="2904"/>
      <c r="AF280" s="2905"/>
      <c r="AG280" s="2674"/>
      <c r="AI280" s="13"/>
    </row>
    <row r="281" spans="1:35" s="5" customFormat="1">
      <c r="A281" s="1503"/>
      <c r="B281" s="1549"/>
      <c r="C281" s="1896"/>
      <c r="D281" s="1805"/>
      <c r="E281" s="1915"/>
      <c r="F281" s="1915"/>
      <c r="G281" s="1639"/>
      <c r="H281" s="1549"/>
      <c r="I281" s="1549"/>
      <c r="J281" s="2910"/>
      <c r="K281" s="1641"/>
      <c r="L281" s="2911"/>
      <c r="M281" s="2896"/>
      <c r="N281" s="2912"/>
      <c r="O281" s="1504"/>
      <c r="P281" s="2897"/>
      <c r="Q281" s="2897"/>
      <c r="R281" s="1504"/>
      <c r="S281" s="1504"/>
      <c r="T281" s="1549"/>
      <c r="U281" s="1461"/>
      <c r="V281" s="1461"/>
      <c r="W281" s="1461"/>
      <c r="X281" s="1461"/>
      <c r="Y281" s="2240"/>
      <c r="Z281" s="2240"/>
      <c r="AA281" s="1461"/>
      <c r="AB281" s="1461"/>
      <c r="AC281" s="1461"/>
      <c r="AD281" s="1662"/>
      <c r="AE281" s="2904"/>
      <c r="AF281" s="2905"/>
      <c r="AG281" s="2674"/>
      <c r="AI281" s="13"/>
    </row>
    <row r="282" spans="1:35" s="5" customFormat="1">
      <c r="A282" s="1503"/>
      <c r="B282" s="1549"/>
      <c r="C282" s="1896"/>
      <c r="D282" s="1805"/>
      <c r="E282" s="1915"/>
      <c r="F282" s="1915"/>
      <c r="G282" s="1639"/>
      <c r="H282" s="1549"/>
      <c r="I282" s="1549"/>
      <c r="J282" s="2910"/>
      <c r="K282" s="1641"/>
      <c r="L282" s="2911"/>
      <c r="M282" s="2896"/>
      <c r="N282" s="2912"/>
      <c r="O282" s="1504"/>
      <c r="P282" s="2897"/>
      <c r="Q282" s="2897"/>
      <c r="R282" s="1504"/>
      <c r="S282" s="1504"/>
      <c r="T282" s="1549"/>
      <c r="U282" s="1461"/>
      <c r="V282" s="1461"/>
      <c r="W282" s="1461"/>
      <c r="X282" s="1461"/>
      <c r="Y282" s="2240"/>
      <c r="Z282" s="2240"/>
      <c r="AA282" s="1461"/>
      <c r="AB282" s="1461"/>
      <c r="AC282" s="1461"/>
      <c r="AD282" s="1662"/>
      <c r="AE282" s="2904"/>
      <c r="AF282" s="2905"/>
      <c r="AG282" s="2674"/>
      <c r="AI282" s="13"/>
    </row>
    <row r="283" spans="1:35" s="5" customFormat="1">
      <c r="A283" s="1503"/>
      <c r="B283" s="1549"/>
      <c r="C283" s="1896"/>
      <c r="D283" s="1805"/>
      <c r="E283" s="1915"/>
      <c r="F283" s="1915"/>
      <c r="G283" s="1639"/>
      <c r="H283" s="1549"/>
      <c r="I283" s="1549"/>
      <c r="J283" s="2910"/>
      <c r="K283" s="1641"/>
      <c r="L283" s="2911"/>
      <c r="M283" s="2896"/>
      <c r="N283" s="2912"/>
      <c r="O283" s="1504"/>
      <c r="P283" s="2897"/>
      <c r="Q283" s="2897"/>
      <c r="R283" s="1504"/>
      <c r="S283" s="1504"/>
      <c r="T283" s="1549"/>
      <c r="U283" s="1461"/>
      <c r="V283" s="1461"/>
      <c r="W283" s="1461"/>
      <c r="X283" s="1461"/>
      <c r="Y283" s="2240"/>
      <c r="Z283" s="2240"/>
      <c r="AA283" s="1461"/>
      <c r="AB283" s="1461"/>
      <c r="AC283" s="1461"/>
      <c r="AD283" s="1662"/>
      <c r="AE283" s="2904"/>
      <c r="AF283" s="2905"/>
      <c r="AG283" s="2674"/>
      <c r="AI283" s="13"/>
    </row>
    <row r="284" spans="1:35" s="5" customFormat="1">
      <c r="A284" s="1503"/>
      <c r="B284" s="1549"/>
      <c r="C284" s="1896"/>
      <c r="D284" s="1805"/>
      <c r="E284" s="1915"/>
      <c r="F284" s="1915"/>
      <c r="G284" s="1639"/>
      <c r="H284" s="1549"/>
      <c r="I284" s="1549"/>
      <c r="J284" s="2910"/>
      <c r="K284" s="1641"/>
      <c r="L284" s="2911"/>
      <c r="M284" s="2896"/>
      <c r="N284" s="2912"/>
      <c r="O284" s="1504"/>
      <c r="P284" s="2897"/>
      <c r="Q284" s="2897"/>
      <c r="R284" s="1504"/>
      <c r="S284" s="1504"/>
      <c r="T284" s="1549"/>
      <c r="U284" s="1461"/>
      <c r="V284" s="1461"/>
      <c r="W284" s="1461"/>
      <c r="X284" s="1461"/>
      <c r="Y284" s="2240"/>
      <c r="Z284" s="2240"/>
      <c r="AA284" s="1461"/>
      <c r="AB284" s="1461"/>
      <c r="AC284" s="1461"/>
      <c r="AD284" s="1662"/>
      <c r="AE284" s="2904"/>
      <c r="AF284" s="2905"/>
      <c r="AG284" s="2674"/>
      <c r="AI284" s="13"/>
    </row>
    <row r="285" spans="1:35" s="5" customFormat="1">
      <c r="A285" s="1503"/>
      <c r="B285" s="1549"/>
      <c r="C285" s="1896"/>
      <c r="D285" s="1805"/>
      <c r="E285" s="1915"/>
      <c r="F285" s="1915"/>
      <c r="G285" s="1639"/>
      <c r="H285" s="1549"/>
      <c r="I285" s="1549"/>
      <c r="J285" s="2910"/>
      <c r="K285" s="1641"/>
      <c r="L285" s="2911"/>
      <c r="M285" s="2896"/>
      <c r="N285" s="2912"/>
      <c r="O285" s="1504"/>
      <c r="P285" s="2897"/>
      <c r="Q285" s="2897"/>
      <c r="R285" s="1504"/>
      <c r="S285" s="1504"/>
      <c r="T285" s="1549"/>
      <c r="U285" s="1461"/>
      <c r="V285" s="1461"/>
      <c r="W285" s="1461"/>
      <c r="X285" s="1461"/>
      <c r="Y285" s="2240"/>
      <c r="Z285" s="2240"/>
      <c r="AA285" s="1461"/>
      <c r="AB285" s="1461"/>
      <c r="AC285" s="1461"/>
      <c r="AD285" s="1662"/>
      <c r="AE285" s="2904"/>
      <c r="AF285" s="2905"/>
      <c r="AG285" s="2674"/>
      <c r="AI285" s="13"/>
    </row>
    <row r="286" spans="1:35" s="5" customFormat="1">
      <c r="A286" s="1503"/>
      <c r="B286" s="1549"/>
      <c r="C286" s="1896"/>
      <c r="D286" s="1805"/>
      <c r="E286" s="1915"/>
      <c r="F286" s="1915"/>
      <c r="G286" s="1639"/>
      <c r="H286" s="1549"/>
      <c r="I286" s="1549"/>
      <c r="J286" s="2910"/>
      <c r="K286" s="1641"/>
      <c r="L286" s="2911"/>
      <c r="M286" s="2896"/>
      <c r="N286" s="2912"/>
      <c r="O286" s="1504"/>
      <c r="P286" s="2897"/>
      <c r="Q286" s="2897"/>
      <c r="R286" s="1504"/>
      <c r="S286" s="1504"/>
      <c r="T286" s="1549"/>
      <c r="U286" s="1461"/>
      <c r="V286" s="1461"/>
      <c r="W286" s="1461"/>
      <c r="X286" s="1461"/>
      <c r="Y286" s="2240"/>
      <c r="Z286" s="2240"/>
      <c r="AA286" s="1461"/>
      <c r="AB286" s="1461"/>
      <c r="AC286" s="1461"/>
      <c r="AD286" s="1662"/>
      <c r="AE286" s="2904"/>
      <c r="AF286" s="2905"/>
      <c r="AG286" s="2674"/>
      <c r="AI286" s="13"/>
    </row>
    <row r="287" spans="1:35" s="5" customFormat="1">
      <c r="A287" s="1503"/>
      <c r="B287" s="1549"/>
      <c r="C287" s="1896"/>
      <c r="D287" s="1805"/>
      <c r="E287" s="1915"/>
      <c r="F287" s="1915"/>
      <c r="G287" s="1639"/>
      <c r="H287" s="1549"/>
      <c r="I287" s="1549"/>
      <c r="J287" s="2910"/>
      <c r="K287" s="1641"/>
      <c r="L287" s="2911"/>
      <c r="M287" s="2896"/>
      <c r="N287" s="2912"/>
      <c r="O287" s="1504"/>
      <c r="P287" s="2897"/>
      <c r="Q287" s="2897"/>
      <c r="R287" s="1504"/>
      <c r="S287" s="1504"/>
      <c r="T287" s="1549"/>
      <c r="U287" s="1461"/>
      <c r="V287" s="1461"/>
      <c r="W287" s="1461"/>
      <c r="X287" s="1461"/>
      <c r="Y287" s="2240"/>
      <c r="Z287" s="2240"/>
      <c r="AA287" s="1461"/>
      <c r="AB287" s="1461"/>
      <c r="AC287" s="1461"/>
      <c r="AD287" s="1662"/>
      <c r="AE287" s="2904"/>
      <c r="AF287" s="2905"/>
      <c r="AG287" s="2674"/>
      <c r="AI287" s="13"/>
    </row>
    <row r="288" spans="1:35" s="5" customFormat="1">
      <c r="A288" s="1503"/>
      <c r="B288" s="1549"/>
      <c r="C288" s="1896"/>
      <c r="D288" s="1805"/>
      <c r="E288" s="1915"/>
      <c r="F288" s="1915"/>
      <c r="G288" s="1639"/>
      <c r="H288" s="1549"/>
      <c r="I288" s="1549"/>
      <c r="J288" s="2910"/>
      <c r="K288" s="1641"/>
      <c r="L288" s="2911"/>
      <c r="M288" s="2896"/>
      <c r="N288" s="2912"/>
      <c r="O288" s="1504"/>
      <c r="P288" s="2897"/>
      <c r="Q288" s="2897"/>
      <c r="R288" s="1504"/>
      <c r="S288" s="1504"/>
      <c r="T288" s="1549"/>
      <c r="U288" s="1461"/>
      <c r="V288" s="1461"/>
      <c r="W288" s="1461"/>
      <c r="X288" s="1461"/>
      <c r="Y288" s="2240"/>
      <c r="Z288" s="2240"/>
      <c r="AA288" s="1461"/>
      <c r="AB288" s="1461"/>
      <c r="AC288" s="1461"/>
      <c r="AD288" s="1662"/>
      <c r="AE288" s="2904"/>
      <c r="AF288" s="2905"/>
      <c r="AG288" s="2674"/>
      <c r="AI288" s="13"/>
    </row>
    <row r="289" spans="1:35" s="5" customFormat="1">
      <c r="A289" s="1503"/>
      <c r="B289" s="1549"/>
      <c r="C289" s="1896"/>
      <c r="D289" s="1805"/>
      <c r="E289" s="1915"/>
      <c r="F289" s="1915"/>
      <c r="G289" s="1639"/>
      <c r="H289" s="1549"/>
      <c r="I289" s="1549"/>
      <c r="J289" s="2910"/>
      <c r="K289" s="1641"/>
      <c r="L289" s="2911"/>
      <c r="M289" s="2896"/>
      <c r="N289" s="2912"/>
      <c r="O289" s="1504"/>
      <c r="P289" s="2897"/>
      <c r="Q289" s="2897"/>
      <c r="R289" s="1504"/>
      <c r="S289" s="1504"/>
      <c r="T289" s="1549"/>
      <c r="U289" s="1461"/>
      <c r="V289" s="1461"/>
      <c r="W289" s="1461"/>
      <c r="X289" s="1461"/>
      <c r="Y289" s="2240"/>
      <c r="Z289" s="2240"/>
      <c r="AA289" s="1461"/>
      <c r="AB289" s="1461"/>
      <c r="AC289" s="1461"/>
      <c r="AD289" s="1662"/>
      <c r="AE289" s="2904"/>
      <c r="AF289" s="2905"/>
      <c r="AG289" s="2674"/>
      <c r="AI289" s="13"/>
    </row>
    <row r="290" spans="1:35" s="5" customFormat="1">
      <c r="A290" s="1503"/>
      <c r="B290" s="1549"/>
      <c r="C290" s="1896"/>
      <c r="D290" s="1805"/>
      <c r="E290" s="1915"/>
      <c r="F290" s="1915"/>
      <c r="G290" s="1639"/>
      <c r="H290" s="1549"/>
      <c r="I290" s="1549"/>
      <c r="J290" s="2910"/>
      <c r="K290" s="1641"/>
      <c r="L290" s="2911"/>
      <c r="M290" s="2896"/>
      <c r="N290" s="2912"/>
      <c r="O290" s="1504"/>
      <c r="P290" s="2897"/>
      <c r="Q290" s="2897"/>
      <c r="R290" s="1504"/>
      <c r="S290" s="1504"/>
      <c r="T290" s="1549"/>
      <c r="U290" s="1461"/>
      <c r="V290" s="1461"/>
      <c r="W290" s="1461"/>
      <c r="X290" s="1461"/>
      <c r="Y290" s="2240"/>
      <c r="Z290" s="2240"/>
      <c r="AA290" s="1461"/>
      <c r="AB290" s="1461"/>
      <c r="AC290" s="1461"/>
      <c r="AD290" s="1662"/>
      <c r="AE290" s="2904"/>
      <c r="AF290" s="2905"/>
      <c r="AG290" s="2674"/>
      <c r="AI290" s="13"/>
    </row>
    <row r="291" spans="1:35" s="5" customFormat="1">
      <c r="A291" s="1503"/>
      <c r="B291" s="1549"/>
      <c r="C291" s="1896"/>
      <c r="D291" s="1805"/>
      <c r="E291" s="1915"/>
      <c r="F291" s="1915"/>
      <c r="G291" s="1639"/>
      <c r="H291" s="1549"/>
      <c r="I291" s="1549"/>
      <c r="J291" s="2910"/>
      <c r="K291" s="1641"/>
      <c r="L291" s="2911"/>
      <c r="M291" s="2896"/>
      <c r="N291" s="2912"/>
      <c r="O291" s="1504"/>
      <c r="P291" s="2897"/>
      <c r="Q291" s="2897"/>
      <c r="R291" s="1504"/>
      <c r="S291" s="1504"/>
      <c r="T291" s="1549"/>
      <c r="U291" s="1461"/>
      <c r="V291" s="1461"/>
      <c r="W291" s="1461"/>
      <c r="X291" s="1461"/>
      <c r="Y291" s="2240"/>
      <c r="Z291" s="2240"/>
      <c r="AA291" s="1461"/>
      <c r="AB291" s="1461"/>
      <c r="AC291" s="1461"/>
      <c r="AD291" s="1662"/>
      <c r="AE291" s="2904"/>
      <c r="AF291" s="2905"/>
      <c r="AG291" s="2674"/>
      <c r="AI291" s="13"/>
    </row>
    <row r="292" spans="1:35" s="5" customFormat="1">
      <c r="A292" s="1503"/>
      <c r="B292" s="1549"/>
      <c r="C292" s="1896"/>
      <c r="D292" s="1805"/>
      <c r="E292" s="1915"/>
      <c r="F292" s="1915"/>
      <c r="G292" s="1639"/>
      <c r="H292" s="1549"/>
      <c r="I292" s="1549"/>
      <c r="J292" s="2910"/>
      <c r="K292" s="1641"/>
      <c r="L292" s="2911"/>
      <c r="M292" s="2896"/>
      <c r="N292" s="2912"/>
      <c r="O292" s="1504"/>
      <c r="P292" s="2897"/>
      <c r="Q292" s="2897"/>
      <c r="R292" s="1504"/>
      <c r="S292" s="1504"/>
      <c r="T292" s="1549"/>
      <c r="U292" s="1461"/>
      <c r="V292" s="1461"/>
      <c r="W292" s="1461"/>
      <c r="X292" s="1461"/>
      <c r="Y292" s="2240"/>
      <c r="Z292" s="2240"/>
      <c r="AA292" s="1461"/>
      <c r="AB292" s="1461"/>
      <c r="AC292" s="1461"/>
      <c r="AD292" s="1662"/>
      <c r="AE292" s="2904"/>
      <c r="AF292" s="2905"/>
      <c r="AG292" s="2674"/>
      <c r="AI292" s="13"/>
    </row>
    <row r="293" spans="1:35" s="5" customFormat="1">
      <c r="A293" s="1503"/>
      <c r="B293" s="1549"/>
      <c r="C293" s="1896"/>
      <c r="D293" s="1805"/>
      <c r="E293" s="1915"/>
      <c r="F293" s="1915"/>
      <c r="G293" s="1639"/>
      <c r="H293" s="1549"/>
      <c r="I293" s="1549"/>
      <c r="J293" s="2910"/>
      <c r="K293" s="1641"/>
      <c r="L293" s="2911"/>
      <c r="M293" s="2896"/>
      <c r="N293" s="2912"/>
      <c r="O293" s="1504"/>
      <c r="P293" s="2897"/>
      <c r="Q293" s="2897"/>
      <c r="R293" s="1504"/>
      <c r="S293" s="1504"/>
      <c r="T293" s="1549"/>
      <c r="U293" s="1461"/>
      <c r="V293" s="1461"/>
      <c r="W293" s="1461"/>
      <c r="X293" s="1461"/>
      <c r="Y293" s="2240"/>
      <c r="Z293" s="2240"/>
      <c r="AA293" s="1461"/>
      <c r="AB293" s="1461"/>
      <c r="AC293" s="1461"/>
      <c r="AD293" s="1662"/>
      <c r="AE293" s="2904"/>
      <c r="AF293" s="2905"/>
      <c r="AG293" s="2674"/>
      <c r="AI293" s="13"/>
    </row>
    <row r="294" spans="1:35" s="5" customFormat="1">
      <c r="A294" s="1503"/>
      <c r="B294" s="1549"/>
      <c r="C294" s="1896"/>
      <c r="D294" s="1805"/>
      <c r="E294" s="1915"/>
      <c r="F294" s="1915"/>
      <c r="G294" s="1639"/>
      <c r="H294" s="1549"/>
      <c r="I294" s="1549"/>
      <c r="J294" s="2910"/>
      <c r="K294" s="1641"/>
      <c r="L294" s="2911"/>
      <c r="M294" s="2896"/>
      <c r="N294" s="2912"/>
      <c r="O294" s="1504"/>
      <c r="P294" s="2897"/>
      <c r="Q294" s="2897"/>
      <c r="R294" s="1504"/>
      <c r="S294" s="1504"/>
      <c r="T294" s="1549"/>
      <c r="U294" s="1461"/>
      <c r="V294" s="1461"/>
      <c r="W294" s="1461"/>
      <c r="X294" s="1461"/>
      <c r="Y294" s="2240"/>
      <c r="Z294" s="2240"/>
      <c r="AA294" s="1461"/>
      <c r="AB294" s="1461"/>
      <c r="AC294" s="1461"/>
      <c r="AD294" s="1662"/>
      <c r="AE294" s="2904"/>
      <c r="AF294" s="2905"/>
      <c r="AG294" s="2674"/>
      <c r="AI294" s="13"/>
    </row>
    <row r="295" spans="1:35" s="5" customFormat="1">
      <c r="A295" s="1503"/>
      <c r="B295" s="1549"/>
      <c r="C295" s="1896"/>
      <c r="D295" s="1805"/>
      <c r="E295" s="1915"/>
      <c r="F295" s="1915"/>
      <c r="G295" s="1639"/>
      <c r="H295" s="1549"/>
      <c r="I295" s="1549"/>
      <c r="J295" s="2910"/>
      <c r="K295" s="1641"/>
      <c r="L295" s="2911"/>
      <c r="M295" s="2896"/>
      <c r="N295" s="2912"/>
      <c r="O295" s="1504"/>
      <c r="P295" s="2897"/>
      <c r="Q295" s="2897"/>
      <c r="R295" s="1504"/>
      <c r="S295" s="1504"/>
      <c r="T295" s="1549"/>
      <c r="U295" s="1461"/>
      <c r="V295" s="1461"/>
      <c r="W295" s="1461"/>
      <c r="X295" s="1461"/>
      <c r="Y295" s="2240"/>
      <c r="Z295" s="2240"/>
      <c r="AA295" s="1461"/>
      <c r="AB295" s="1461"/>
      <c r="AC295" s="1461"/>
      <c r="AD295" s="1662"/>
      <c r="AE295" s="2904"/>
      <c r="AF295" s="2905"/>
      <c r="AG295" s="2674"/>
      <c r="AI295" s="13"/>
    </row>
    <row r="296" spans="1:35" s="5" customFormat="1">
      <c r="A296" s="1503"/>
      <c r="B296" s="1549"/>
      <c r="C296" s="1896"/>
      <c r="D296" s="1805"/>
      <c r="E296" s="1915"/>
      <c r="F296" s="1915"/>
      <c r="G296" s="1639"/>
      <c r="H296" s="1549"/>
      <c r="I296" s="1549"/>
      <c r="J296" s="2910"/>
      <c r="K296" s="1641"/>
      <c r="L296" s="2911"/>
      <c r="M296" s="2896"/>
      <c r="N296" s="2912"/>
      <c r="O296" s="1504"/>
      <c r="P296" s="2897"/>
      <c r="Q296" s="2897"/>
      <c r="R296" s="1504"/>
      <c r="S296" s="1504"/>
      <c r="T296" s="1549"/>
      <c r="U296" s="1461"/>
      <c r="V296" s="1461"/>
      <c r="W296" s="1461"/>
      <c r="X296" s="1461"/>
      <c r="Y296" s="2240"/>
      <c r="Z296" s="2240"/>
      <c r="AA296" s="1461"/>
      <c r="AB296" s="1461"/>
      <c r="AC296" s="1461"/>
      <c r="AD296" s="1662"/>
      <c r="AE296" s="2904"/>
      <c r="AF296" s="2905"/>
      <c r="AG296" s="2674"/>
      <c r="AI296" s="13"/>
    </row>
    <row r="297" spans="1:35" s="5" customFormat="1">
      <c r="A297" s="1503"/>
      <c r="B297" s="1549"/>
      <c r="C297" s="1896"/>
      <c r="D297" s="1805"/>
      <c r="E297" s="1915"/>
      <c r="F297" s="1915"/>
      <c r="G297" s="1639"/>
      <c r="H297" s="1549"/>
      <c r="I297" s="1549"/>
      <c r="J297" s="2910"/>
      <c r="K297" s="1641"/>
      <c r="L297" s="2911"/>
      <c r="M297" s="2896"/>
      <c r="N297" s="2912"/>
      <c r="O297" s="1504"/>
      <c r="P297" s="2897"/>
      <c r="Q297" s="2897"/>
      <c r="R297" s="1504"/>
      <c r="S297" s="1504"/>
      <c r="T297" s="1549"/>
      <c r="U297" s="1461"/>
      <c r="V297" s="1461"/>
      <c r="W297" s="1461"/>
      <c r="X297" s="1461"/>
      <c r="Y297" s="2240"/>
      <c r="Z297" s="2240"/>
      <c r="AA297" s="1461"/>
      <c r="AB297" s="1461"/>
      <c r="AC297" s="1461"/>
      <c r="AD297" s="1662"/>
      <c r="AE297" s="2904"/>
      <c r="AF297" s="2905"/>
      <c r="AG297" s="2674"/>
      <c r="AI297" s="13"/>
    </row>
    <row r="298" spans="1:35" s="5" customFormat="1">
      <c r="A298" s="1503"/>
      <c r="B298" s="1549"/>
      <c r="C298" s="1896"/>
      <c r="D298" s="1805"/>
      <c r="E298" s="1915"/>
      <c r="F298" s="1915"/>
      <c r="G298" s="1639"/>
      <c r="H298" s="1549"/>
      <c r="I298" s="1549"/>
      <c r="J298" s="2910"/>
      <c r="K298" s="1641"/>
      <c r="L298" s="2911"/>
      <c r="M298" s="2896"/>
      <c r="N298" s="2912"/>
      <c r="O298" s="1504"/>
      <c r="P298" s="2897"/>
      <c r="Q298" s="2897"/>
      <c r="R298" s="1504"/>
      <c r="S298" s="1504"/>
      <c r="T298" s="1549"/>
      <c r="U298" s="1461"/>
      <c r="V298" s="1461"/>
      <c r="W298" s="1461"/>
      <c r="X298" s="1461"/>
      <c r="Y298" s="2240"/>
      <c r="Z298" s="2240"/>
      <c r="AA298" s="1461"/>
      <c r="AB298" s="1461"/>
      <c r="AC298" s="1461"/>
      <c r="AD298" s="1662"/>
      <c r="AE298" s="2904"/>
      <c r="AF298" s="2905"/>
      <c r="AG298" s="2674"/>
      <c r="AI298" s="13"/>
    </row>
    <row r="299" spans="1:35" s="5" customFormat="1">
      <c r="A299" s="1503"/>
      <c r="B299" s="1549"/>
      <c r="C299" s="1896"/>
      <c r="D299" s="1805"/>
      <c r="E299" s="1915"/>
      <c r="F299" s="1915"/>
      <c r="G299" s="1639"/>
      <c r="H299" s="1549"/>
      <c r="I299" s="1549"/>
      <c r="J299" s="2910"/>
      <c r="K299" s="1641"/>
      <c r="L299" s="2911"/>
      <c r="M299" s="2896"/>
      <c r="N299" s="2912"/>
      <c r="O299" s="1504"/>
      <c r="P299" s="2897"/>
      <c r="Q299" s="2897"/>
      <c r="R299" s="1504"/>
      <c r="S299" s="1504"/>
      <c r="T299" s="1549"/>
      <c r="U299" s="1461"/>
      <c r="V299" s="1461"/>
      <c r="W299" s="1461"/>
      <c r="X299" s="1461"/>
      <c r="Y299" s="2240"/>
      <c r="Z299" s="2240"/>
      <c r="AA299" s="1461"/>
      <c r="AB299" s="1461"/>
      <c r="AC299" s="1461"/>
      <c r="AD299" s="1662"/>
      <c r="AE299" s="2904"/>
      <c r="AF299" s="2905"/>
      <c r="AG299" s="2674"/>
      <c r="AI299" s="13"/>
    </row>
    <row r="300" spans="1:35" s="5" customFormat="1">
      <c r="A300" s="1503"/>
      <c r="B300" s="1549"/>
      <c r="C300" s="1896"/>
      <c r="D300" s="1805"/>
      <c r="E300" s="1915"/>
      <c r="F300" s="1915"/>
      <c r="G300" s="1639"/>
      <c r="H300" s="1549"/>
      <c r="I300" s="1549"/>
      <c r="J300" s="2910"/>
      <c r="K300" s="1641"/>
      <c r="L300" s="2911"/>
      <c r="M300" s="2896"/>
      <c r="N300" s="2912"/>
      <c r="O300" s="1504"/>
      <c r="P300" s="2897"/>
      <c r="Q300" s="2897"/>
      <c r="R300" s="1504"/>
      <c r="S300" s="1504"/>
      <c r="T300" s="1549"/>
      <c r="U300" s="1461"/>
      <c r="V300" s="1461"/>
      <c r="W300" s="1461"/>
      <c r="X300" s="1461"/>
      <c r="Y300" s="2240"/>
      <c r="Z300" s="2240"/>
      <c r="AA300" s="1461"/>
      <c r="AB300" s="1461"/>
      <c r="AC300" s="1461"/>
      <c r="AD300" s="1662"/>
      <c r="AE300" s="2904"/>
      <c r="AF300" s="2905"/>
      <c r="AG300" s="2674"/>
      <c r="AI300" s="13"/>
    </row>
    <row r="301" spans="1:35" s="5" customFormat="1">
      <c r="A301" s="1503"/>
      <c r="B301" s="1549"/>
      <c r="C301" s="1896"/>
      <c r="D301" s="1805"/>
      <c r="E301" s="1915"/>
      <c r="F301" s="1915"/>
      <c r="G301" s="1639"/>
      <c r="H301" s="1549"/>
      <c r="I301" s="1549"/>
      <c r="J301" s="2910"/>
      <c r="K301" s="1641"/>
      <c r="L301" s="2911"/>
      <c r="M301" s="2896"/>
      <c r="N301" s="2912"/>
      <c r="O301" s="1504"/>
      <c r="P301" s="2897"/>
      <c r="Q301" s="2897"/>
      <c r="R301" s="1504"/>
      <c r="S301" s="1504"/>
      <c r="T301" s="1549"/>
      <c r="U301" s="1461"/>
      <c r="V301" s="1461"/>
      <c r="W301" s="1461"/>
      <c r="X301" s="1461"/>
      <c r="Y301" s="2240"/>
      <c r="Z301" s="2240"/>
      <c r="AA301" s="1461"/>
      <c r="AB301" s="1461"/>
      <c r="AC301" s="1461"/>
      <c r="AD301" s="1662"/>
      <c r="AE301" s="2904"/>
      <c r="AF301" s="2905"/>
      <c r="AG301" s="2674"/>
      <c r="AI301" s="13"/>
    </row>
    <row r="302" spans="1:35" s="5" customFormat="1">
      <c r="A302" s="1503"/>
      <c r="B302" s="1549"/>
      <c r="C302" s="1896"/>
      <c r="D302" s="1805"/>
      <c r="E302" s="1915"/>
      <c r="F302" s="1915"/>
      <c r="G302" s="1639"/>
      <c r="H302" s="1549"/>
      <c r="I302" s="1549"/>
      <c r="J302" s="2910"/>
      <c r="K302" s="1641"/>
      <c r="L302" s="2911"/>
      <c r="M302" s="2896"/>
      <c r="N302" s="2912"/>
      <c r="O302" s="1504"/>
      <c r="P302" s="2897"/>
      <c r="Q302" s="2897"/>
      <c r="R302" s="1504"/>
      <c r="S302" s="1504"/>
      <c r="T302" s="1549"/>
      <c r="U302" s="1461"/>
      <c r="V302" s="1461"/>
      <c r="W302" s="1461"/>
      <c r="X302" s="1461"/>
      <c r="Y302" s="2240"/>
      <c r="Z302" s="2240"/>
      <c r="AA302" s="1461"/>
      <c r="AB302" s="1461"/>
      <c r="AC302" s="1461"/>
      <c r="AD302" s="1662"/>
      <c r="AE302" s="2904"/>
      <c r="AF302" s="2905"/>
      <c r="AG302" s="2674"/>
      <c r="AI302" s="13"/>
    </row>
    <row r="303" spans="1:35" s="5" customFormat="1">
      <c r="A303" s="1503"/>
      <c r="B303" s="1549"/>
      <c r="C303" s="1896"/>
      <c r="D303" s="1805"/>
      <c r="E303" s="1915"/>
      <c r="F303" s="1915"/>
      <c r="G303" s="1639"/>
      <c r="H303" s="1549"/>
      <c r="I303" s="1549"/>
      <c r="J303" s="2910"/>
      <c r="K303" s="1641"/>
      <c r="L303" s="2911"/>
      <c r="M303" s="2896"/>
      <c r="N303" s="2912"/>
      <c r="O303" s="1504"/>
      <c r="P303" s="2897"/>
      <c r="Q303" s="2897"/>
      <c r="R303" s="1504"/>
      <c r="S303" s="1504"/>
      <c r="T303" s="1549"/>
      <c r="U303" s="1461"/>
      <c r="V303" s="1461"/>
      <c r="W303" s="1461"/>
      <c r="X303" s="1461"/>
      <c r="Y303" s="2240"/>
      <c r="Z303" s="2240"/>
      <c r="AA303" s="1461"/>
      <c r="AB303" s="1461"/>
      <c r="AC303" s="1461"/>
      <c r="AD303" s="1662"/>
      <c r="AE303" s="2904"/>
      <c r="AF303" s="2905"/>
      <c r="AG303" s="2674"/>
      <c r="AI303" s="13"/>
    </row>
    <row r="304" spans="1:35" s="5" customFormat="1">
      <c r="A304" s="1503"/>
      <c r="B304" s="1549"/>
      <c r="C304" s="1896"/>
      <c r="D304" s="1805"/>
      <c r="E304" s="1915"/>
      <c r="F304" s="1915"/>
      <c r="G304" s="1639"/>
      <c r="H304" s="1549"/>
      <c r="I304" s="1549"/>
      <c r="J304" s="2910"/>
      <c r="K304" s="1641"/>
      <c r="L304" s="2911"/>
      <c r="M304" s="2896"/>
      <c r="N304" s="2912"/>
      <c r="O304" s="1504"/>
      <c r="P304" s="2897"/>
      <c r="Q304" s="2897"/>
      <c r="R304" s="1504"/>
      <c r="S304" s="1504"/>
      <c r="T304" s="1549"/>
      <c r="U304" s="1461"/>
      <c r="V304" s="1461"/>
      <c r="W304" s="1461"/>
      <c r="X304" s="1461"/>
      <c r="Y304" s="2240"/>
      <c r="Z304" s="2240"/>
      <c r="AA304" s="1461"/>
      <c r="AB304" s="1461"/>
      <c r="AC304" s="1461"/>
      <c r="AD304" s="1662"/>
      <c r="AE304" s="2904"/>
      <c r="AF304" s="2905"/>
      <c r="AG304" s="2674"/>
      <c r="AI304" s="13"/>
    </row>
    <row r="305" spans="1:35" s="5" customFormat="1">
      <c r="A305" s="1503"/>
      <c r="B305" s="1549"/>
      <c r="C305" s="1896"/>
      <c r="D305" s="1805"/>
      <c r="E305" s="1915"/>
      <c r="F305" s="1915"/>
      <c r="G305" s="1639"/>
      <c r="H305" s="1549"/>
      <c r="I305" s="1549"/>
      <c r="J305" s="2910"/>
      <c r="K305" s="1641"/>
      <c r="L305" s="2911"/>
      <c r="M305" s="2896"/>
      <c r="N305" s="2912"/>
      <c r="O305" s="1504"/>
      <c r="P305" s="2897"/>
      <c r="Q305" s="2897"/>
      <c r="R305" s="1504"/>
      <c r="S305" s="1504"/>
      <c r="T305" s="1549"/>
      <c r="U305" s="1461"/>
      <c r="V305" s="1461"/>
      <c r="W305" s="1461"/>
      <c r="X305" s="1461"/>
      <c r="Y305" s="2240"/>
      <c r="Z305" s="2240"/>
      <c r="AA305" s="1461"/>
      <c r="AB305" s="1461"/>
      <c r="AC305" s="1461"/>
      <c r="AD305" s="1662"/>
      <c r="AE305" s="2904"/>
      <c r="AF305" s="2905"/>
      <c r="AG305" s="2674"/>
      <c r="AI305" s="13"/>
    </row>
    <row r="306" spans="1:35" s="5" customFormat="1">
      <c r="A306" s="1503"/>
      <c r="B306" s="1549"/>
      <c r="C306" s="1896"/>
      <c r="D306" s="1805"/>
      <c r="E306" s="1915"/>
      <c r="F306" s="1915"/>
      <c r="G306" s="1639"/>
      <c r="H306" s="1549"/>
      <c r="I306" s="1549"/>
      <c r="J306" s="2910"/>
      <c r="K306" s="1641"/>
      <c r="L306" s="2911"/>
      <c r="M306" s="2896"/>
      <c r="N306" s="2912"/>
      <c r="O306" s="1504"/>
      <c r="P306" s="2897"/>
      <c r="Q306" s="2897"/>
      <c r="R306" s="1504"/>
      <c r="S306" s="1504"/>
      <c r="T306" s="1549"/>
      <c r="U306" s="1461"/>
      <c r="V306" s="1461"/>
      <c r="W306" s="1461"/>
      <c r="X306" s="1461"/>
      <c r="Y306" s="2240"/>
      <c r="Z306" s="2240"/>
      <c r="AA306" s="1461"/>
      <c r="AB306" s="1461"/>
      <c r="AC306" s="1461"/>
      <c r="AD306" s="1662"/>
      <c r="AE306" s="2904"/>
      <c r="AF306" s="2905"/>
      <c r="AG306" s="2674"/>
      <c r="AI306" s="13"/>
    </row>
    <row r="307" spans="1:35" s="5" customFormat="1">
      <c r="A307" s="1503"/>
      <c r="B307" s="1549"/>
      <c r="C307" s="1896"/>
      <c r="D307" s="1805"/>
      <c r="E307" s="1915"/>
      <c r="F307" s="1915"/>
      <c r="G307" s="1639"/>
      <c r="H307" s="1549"/>
      <c r="I307" s="1549"/>
      <c r="J307" s="2910"/>
      <c r="K307" s="1641"/>
      <c r="L307" s="2911"/>
      <c r="M307" s="2896"/>
      <c r="N307" s="2912"/>
      <c r="O307" s="1504"/>
      <c r="P307" s="2897"/>
      <c r="Q307" s="2897"/>
      <c r="R307" s="1504"/>
      <c r="S307" s="1504"/>
      <c r="T307" s="1549"/>
      <c r="U307" s="1461"/>
      <c r="V307" s="1461"/>
      <c r="W307" s="1461"/>
      <c r="X307" s="1461"/>
      <c r="Y307" s="2240"/>
      <c r="Z307" s="2240"/>
      <c r="AA307" s="1461"/>
      <c r="AB307" s="1461"/>
      <c r="AC307" s="1461"/>
      <c r="AD307" s="1662"/>
      <c r="AE307" s="2904"/>
      <c r="AF307" s="2905"/>
      <c r="AG307" s="2674"/>
      <c r="AI307" s="13"/>
    </row>
    <row r="308" spans="1:35" s="5" customFormat="1">
      <c r="A308" s="1503"/>
      <c r="B308" s="1549"/>
      <c r="C308" s="1896"/>
      <c r="D308" s="1805"/>
      <c r="E308" s="1915"/>
      <c r="F308" s="1915"/>
      <c r="G308" s="1639"/>
      <c r="H308" s="1549"/>
      <c r="I308" s="1549"/>
      <c r="J308" s="2910"/>
      <c r="K308" s="1641"/>
      <c r="L308" s="2911"/>
      <c r="M308" s="2896"/>
      <c r="N308" s="2912"/>
      <c r="O308" s="1504"/>
      <c r="P308" s="2897"/>
      <c r="Q308" s="2897"/>
      <c r="R308" s="1504"/>
      <c r="S308" s="1504"/>
      <c r="T308" s="1549"/>
      <c r="U308" s="1461"/>
      <c r="V308" s="1461"/>
      <c r="W308" s="1461"/>
      <c r="X308" s="1461"/>
      <c r="Y308" s="2240"/>
      <c r="Z308" s="2240"/>
      <c r="AA308" s="1461"/>
      <c r="AB308" s="1461"/>
      <c r="AC308" s="1461"/>
      <c r="AD308" s="1662"/>
      <c r="AE308" s="2904"/>
      <c r="AF308" s="2905"/>
      <c r="AG308" s="2674"/>
      <c r="AI308" s="13"/>
    </row>
    <row r="309" spans="1:35" s="5" customFormat="1">
      <c r="A309" s="1503"/>
      <c r="B309" s="1549"/>
      <c r="C309" s="1896"/>
      <c r="D309" s="1805"/>
      <c r="E309" s="1915"/>
      <c r="F309" s="1915"/>
      <c r="G309" s="1639"/>
      <c r="H309" s="1549"/>
      <c r="I309" s="1549"/>
      <c r="J309" s="2910"/>
      <c r="K309" s="1641"/>
      <c r="L309" s="2911"/>
      <c r="M309" s="2896"/>
      <c r="N309" s="2912"/>
      <c r="O309" s="1504"/>
      <c r="P309" s="2897"/>
      <c r="Q309" s="2897"/>
      <c r="R309" s="1504"/>
      <c r="S309" s="1504"/>
      <c r="T309" s="1549"/>
      <c r="U309" s="1461"/>
      <c r="V309" s="1461"/>
      <c r="W309" s="1461"/>
      <c r="X309" s="1461"/>
      <c r="Y309" s="2240"/>
      <c r="Z309" s="2240"/>
      <c r="AA309" s="1461"/>
      <c r="AB309" s="1461"/>
      <c r="AC309" s="1461"/>
      <c r="AD309" s="1662"/>
      <c r="AE309" s="2904"/>
      <c r="AF309" s="2905"/>
      <c r="AG309" s="2674"/>
      <c r="AI309" s="13"/>
    </row>
    <row r="310" spans="1:35" s="5" customFormat="1">
      <c r="A310" s="1503"/>
      <c r="B310" s="1549"/>
      <c r="C310" s="1896"/>
      <c r="D310" s="1805"/>
      <c r="E310" s="1915"/>
      <c r="F310" s="1915"/>
      <c r="G310" s="1639"/>
      <c r="H310" s="1549"/>
      <c r="I310" s="1549"/>
      <c r="J310" s="2910"/>
      <c r="K310" s="1641"/>
      <c r="L310" s="2911"/>
      <c r="M310" s="2896"/>
      <c r="N310" s="2912"/>
      <c r="O310" s="1504"/>
      <c r="P310" s="2897"/>
      <c r="Q310" s="2897"/>
      <c r="R310" s="1504"/>
      <c r="S310" s="1504"/>
      <c r="T310" s="1549"/>
      <c r="U310" s="1461"/>
      <c r="V310" s="1461"/>
      <c r="W310" s="1461"/>
      <c r="X310" s="1461"/>
      <c r="Y310" s="2240"/>
      <c r="Z310" s="2240"/>
      <c r="AA310" s="1461"/>
      <c r="AB310" s="1461"/>
      <c r="AC310" s="1461"/>
      <c r="AD310" s="1662"/>
      <c r="AE310" s="2904"/>
      <c r="AF310" s="2905"/>
      <c r="AG310" s="2674"/>
      <c r="AI310" s="13"/>
    </row>
    <row r="311" spans="1:35" s="5" customFormat="1">
      <c r="A311" s="1503"/>
      <c r="B311" s="1549"/>
      <c r="C311" s="1896"/>
      <c r="D311" s="1805"/>
      <c r="E311" s="1915"/>
      <c r="F311" s="1915"/>
      <c r="G311" s="1639"/>
      <c r="H311" s="1549"/>
      <c r="I311" s="1549"/>
      <c r="J311" s="2910"/>
      <c r="K311" s="1641"/>
      <c r="L311" s="2911"/>
      <c r="M311" s="2896"/>
      <c r="N311" s="2912"/>
      <c r="O311" s="1504"/>
      <c r="P311" s="2897"/>
      <c r="Q311" s="2897"/>
      <c r="R311" s="1504"/>
      <c r="S311" s="1504"/>
      <c r="T311" s="1549"/>
      <c r="U311" s="1461"/>
      <c r="V311" s="1461"/>
      <c r="W311" s="1461"/>
      <c r="X311" s="1461"/>
      <c r="Y311" s="2240"/>
      <c r="Z311" s="2240"/>
      <c r="AA311" s="1461"/>
      <c r="AB311" s="1461"/>
      <c r="AC311" s="1461"/>
      <c r="AD311" s="1662"/>
      <c r="AE311" s="2904"/>
      <c r="AF311" s="2905"/>
      <c r="AG311" s="2674"/>
      <c r="AI311" s="13"/>
    </row>
    <row r="312" spans="1:35" s="5" customFormat="1">
      <c r="A312" s="1503"/>
      <c r="B312" s="1549"/>
      <c r="C312" s="1896"/>
      <c r="D312" s="1805"/>
      <c r="E312" s="1915"/>
      <c r="F312" s="1915"/>
      <c r="G312" s="1639"/>
      <c r="H312" s="1549"/>
      <c r="I312" s="1549"/>
      <c r="J312" s="2910"/>
      <c r="K312" s="1641"/>
      <c r="L312" s="2911"/>
      <c r="M312" s="2896"/>
      <c r="N312" s="2912"/>
      <c r="O312" s="1504"/>
      <c r="P312" s="2897"/>
      <c r="Q312" s="2897"/>
      <c r="R312" s="1504"/>
      <c r="S312" s="1504"/>
      <c r="T312" s="1549"/>
      <c r="U312" s="1461"/>
      <c r="V312" s="1461"/>
      <c r="W312" s="1461"/>
      <c r="X312" s="1461"/>
      <c r="Y312" s="2240"/>
      <c r="Z312" s="2240"/>
      <c r="AA312" s="1461"/>
      <c r="AB312" s="1461"/>
      <c r="AC312" s="1461"/>
      <c r="AD312" s="1662"/>
      <c r="AE312" s="2904"/>
      <c r="AF312" s="2905"/>
      <c r="AG312" s="2674"/>
      <c r="AI312" s="13"/>
    </row>
    <row r="313" spans="1:35" s="5" customFormat="1">
      <c r="A313" s="1503"/>
      <c r="B313" s="1549"/>
      <c r="C313" s="1896"/>
      <c r="D313" s="1805"/>
      <c r="E313" s="1915"/>
      <c r="F313" s="1915"/>
      <c r="G313" s="1639"/>
      <c r="H313" s="1549"/>
      <c r="I313" s="1549"/>
      <c r="J313" s="2910"/>
      <c r="K313" s="1641"/>
      <c r="L313" s="2911"/>
      <c r="M313" s="2896"/>
      <c r="N313" s="2912"/>
      <c r="O313" s="1504"/>
      <c r="P313" s="2897"/>
      <c r="Q313" s="2897"/>
      <c r="R313" s="1504"/>
      <c r="S313" s="1504"/>
      <c r="T313" s="1549"/>
      <c r="U313" s="1461"/>
      <c r="V313" s="1461"/>
      <c r="W313" s="1461"/>
      <c r="X313" s="1461"/>
      <c r="Y313" s="2240"/>
      <c r="Z313" s="2240"/>
      <c r="AA313" s="1461"/>
      <c r="AB313" s="1461"/>
      <c r="AC313" s="1461"/>
      <c r="AD313" s="1662"/>
      <c r="AE313" s="2904"/>
      <c r="AF313" s="2905"/>
      <c r="AG313" s="2674"/>
      <c r="AI313" s="13"/>
    </row>
    <row r="314" spans="1:35" s="5" customFormat="1">
      <c r="A314" s="1503"/>
      <c r="B314" s="1549"/>
      <c r="C314" s="1896"/>
      <c r="D314" s="1805"/>
      <c r="E314" s="1915"/>
      <c r="F314" s="1915"/>
      <c r="G314" s="1639"/>
      <c r="H314" s="1549"/>
      <c r="I314" s="1549"/>
      <c r="J314" s="2910"/>
      <c r="K314" s="1641"/>
      <c r="L314" s="2911"/>
      <c r="M314" s="2896"/>
      <c r="N314" s="2912"/>
      <c r="O314" s="1504"/>
      <c r="P314" s="2897"/>
      <c r="Q314" s="2897"/>
      <c r="R314" s="1504"/>
      <c r="S314" s="1504"/>
      <c r="T314" s="1549"/>
      <c r="U314" s="1461"/>
      <c r="V314" s="1461"/>
      <c r="W314" s="1461"/>
      <c r="X314" s="1461"/>
      <c r="Y314" s="2240"/>
      <c r="Z314" s="2240"/>
      <c r="AA314" s="1461"/>
      <c r="AB314" s="1461"/>
      <c r="AC314" s="1461"/>
      <c r="AD314" s="1662"/>
      <c r="AE314" s="2904"/>
      <c r="AF314" s="2905"/>
      <c r="AG314" s="2674"/>
      <c r="AI314" s="13"/>
    </row>
    <row r="315" spans="1:35" s="5" customFormat="1">
      <c r="A315" s="1503"/>
      <c r="B315" s="1549"/>
      <c r="C315" s="1896"/>
      <c r="D315" s="1805"/>
      <c r="E315" s="1915"/>
      <c r="F315" s="1915"/>
      <c r="G315" s="1639"/>
      <c r="H315" s="1549"/>
      <c r="I315" s="1549"/>
      <c r="J315" s="2910"/>
      <c r="K315" s="1641"/>
      <c r="L315" s="2911"/>
      <c r="M315" s="2896"/>
      <c r="N315" s="2912"/>
      <c r="O315" s="1504"/>
      <c r="P315" s="2897"/>
      <c r="Q315" s="2897"/>
      <c r="R315" s="1504"/>
      <c r="S315" s="1504"/>
      <c r="T315" s="1549"/>
      <c r="U315" s="1461"/>
      <c r="V315" s="1461"/>
      <c r="W315" s="1461"/>
      <c r="X315" s="1461"/>
      <c r="Y315" s="2240"/>
      <c r="Z315" s="2240"/>
      <c r="AA315" s="1461"/>
      <c r="AB315" s="1461"/>
      <c r="AC315" s="1461"/>
      <c r="AD315" s="1662"/>
      <c r="AE315" s="2904"/>
      <c r="AF315" s="2905"/>
      <c r="AG315" s="2674"/>
      <c r="AI315" s="13"/>
    </row>
    <row r="316" spans="1:35" s="5" customFormat="1">
      <c r="A316" s="1503"/>
      <c r="B316" s="1549"/>
      <c r="C316" s="1896"/>
      <c r="D316" s="1805"/>
      <c r="E316" s="1915"/>
      <c r="F316" s="1915"/>
      <c r="G316" s="1639"/>
      <c r="H316" s="1549"/>
      <c r="I316" s="1549"/>
      <c r="J316" s="2910"/>
      <c r="K316" s="1641"/>
      <c r="L316" s="2911"/>
      <c r="M316" s="2896"/>
      <c r="N316" s="2912"/>
      <c r="O316" s="1504"/>
      <c r="P316" s="2897"/>
      <c r="Q316" s="2897"/>
      <c r="R316" s="1504"/>
      <c r="S316" s="1504"/>
      <c r="T316" s="1549"/>
      <c r="U316" s="1461"/>
      <c r="V316" s="1461"/>
      <c r="W316" s="1461"/>
      <c r="X316" s="1461"/>
      <c r="Y316" s="2240"/>
      <c r="Z316" s="2240"/>
      <c r="AA316" s="1461"/>
      <c r="AB316" s="1461"/>
      <c r="AC316" s="1461"/>
      <c r="AD316" s="1662"/>
      <c r="AE316" s="2904"/>
      <c r="AF316" s="2905"/>
      <c r="AG316" s="2674"/>
      <c r="AI316" s="13"/>
    </row>
    <row r="317" spans="1:35" s="5" customFormat="1">
      <c r="A317" s="1503"/>
      <c r="B317" s="1549"/>
      <c r="C317" s="1896"/>
      <c r="D317" s="1805"/>
      <c r="E317" s="1915"/>
      <c r="F317" s="1915"/>
      <c r="G317" s="1639"/>
      <c r="H317" s="1549"/>
      <c r="I317" s="1549"/>
      <c r="J317" s="2910"/>
      <c r="K317" s="1641"/>
      <c r="L317" s="2911"/>
      <c r="M317" s="2896"/>
      <c r="N317" s="2912"/>
      <c r="O317" s="1504"/>
      <c r="P317" s="2897"/>
      <c r="Q317" s="2897"/>
      <c r="R317" s="1504"/>
      <c r="S317" s="1504"/>
      <c r="T317" s="1549"/>
      <c r="U317" s="1461"/>
      <c r="V317" s="1461"/>
      <c r="W317" s="1461"/>
      <c r="X317" s="1461"/>
      <c r="Y317" s="2240"/>
      <c r="Z317" s="2240"/>
      <c r="AA317" s="1461"/>
      <c r="AB317" s="1461"/>
      <c r="AC317" s="1461"/>
      <c r="AD317" s="1662"/>
      <c r="AE317" s="2904"/>
      <c r="AF317" s="2905"/>
      <c r="AG317" s="2674"/>
      <c r="AI317" s="13"/>
    </row>
    <row r="318" spans="1:35" s="5" customFormat="1">
      <c r="A318" s="1503"/>
      <c r="B318" s="1549"/>
      <c r="C318" s="1896"/>
      <c r="D318" s="1805"/>
      <c r="E318" s="1915"/>
      <c r="F318" s="1915"/>
      <c r="G318" s="1639"/>
      <c r="H318" s="1549"/>
      <c r="I318" s="1549"/>
      <c r="J318" s="2910"/>
      <c r="K318" s="1641"/>
      <c r="L318" s="2911"/>
      <c r="M318" s="2896"/>
      <c r="N318" s="2912"/>
      <c r="O318" s="1504"/>
      <c r="P318" s="2897"/>
      <c r="Q318" s="2897"/>
      <c r="R318" s="1504"/>
      <c r="S318" s="1504"/>
      <c r="T318" s="1549"/>
      <c r="U318" s="1461"/>
      <c r="V318" s="1461"/>
      <c r="W318" s="1461"/>
      <c r="X318" s="1461"/>
      <c r="Y318" s="2240"/>
      <c r="Z318" s="2240"/>
      <c r="AA318" s="1461"/>
      <c r="AB318" s="1461"/>
      <c r="AC318" s="1461"/>
      <c r="AD318" s="1662"/>
      <c r="AE318" s="2904"/>
      <c r="AF318" s="2905"/>
      <c r="AG318" s="2674"/>
      <c r="AI318" s="13"/>
    </row>
    <row r="319" spans="1:35" s="5" customFormat="1">
      <c r="A319" s="1503"/>
      <c r="B319" s="1549"/>
      <c r="C319" s="1896"/>
      <c r="D319" s="1805"/>
      <c r="E319" s="1915"/>
      <c r="F319" s="1915"/>
      <c r="G319" s="1639"/>
      <c r="H319" s="1549"/>
      <c r="I319" s="1549"/>
      <c r="J319" s="2910"/>
      <c r="K319" s="1641"/>
      <c r="L319" s="2911"/>
      <c r="M319" s="2896"/>
      <c r="N319" s="2912"/>
      <c r="O319" s="1504"/>
      <c r="P319" s="2897"/>
      <c r="Q319" s="2897"/>
      <c r="R319" s="1504"/>
      <c r="S319" s="1504"/>
      <c r="T319" s="1549"/>
      <c r="U319" s="1461"/>
      <c r="V319" s="1461"/>
      <c r="W319" s="1461"/>
      <c r="X319" s="1461"/>
      <c r="Y319" s="2240"/>
      <c r="Z319" s="2240"/>
      <c r="AA319" s="1461"/>
      <c r="AB319" s="1461"/>
      <c r="AC319" s="1461"/>
      <c r="AD319" s="1662"/>
      <c r="AE319" s="2904"/>
      <c r="AF319" s="2905"/>
      <c r="AG319" s="2674"/>
      <c r="AI319" s="13"/>
    </row>
    <row r="320" spans="1:35" s="5" customFormat="1">
      <c r="A320" s="1503"/>
      <c r="B320" s="1549"/>
      <c r="C320" s="1896"/>
      <c r="D320" s="1805"/>
      <c r="E320" s="1915"/>
      <c r="F320" s="1915"/>
      <c r="G320" s="1639"/>
      <c r="H320" s="1549"/>
      <c r="I320" s="1549"/>
      <c r="J320" s="2910"/>
      <c r="K320" s="1641"/>
      <c r="L320" s="2911"/>
      <c r="M320" s="2896"/>
      <c r="N320" s="2912"/>
      <c r="O320" s="1504"/>
      <c r="P320" s="2897"/>
      <c r="Q320" s="2897"/>
      <c r="R320" s="1504"/>
      <c r="S320" s="1504"/>
      <c r="T320" s="1549"/>
      <c r="U320" s="1461"/>
      <c r="V320" s="1461"/>
      <c r="W320" s="1461"/>
      <c r="X320" s="1461"/>
      <c r="Y320" s="2240"/>
      <c r="Z320" s="2240"/>
      <c r="AA320" s="1461"/>
      <c r="AB320" s="1461"/>
      <c r="AC320" s="1461"/>
      <c r="AD320" s="1662"/>
      <c r="AE320" s="2904"/>
      <c r="AF320" s="2905"/>
      <c r="AG320" s="2674"/>
      <c r="AI320" s="13"/>
    </row>
    <row r="321" spans="1:35" s="5" customFormat="1">
      <c r="A321" s="1503"/>
      <c r="B321" s="1549"/>
      <c r="C321" s="1896"/>
      <c r="D321" s="1805"/>
      <c r="E321" s="1915"/>
      <c r="F321" s="1915"/>
      <c r="G321" s="1639"/>
      <c r="H321" s="1549"/>
      <c r="I321" s="1549"/>
      <c r="J321" s="2910"/>
      <c r="K321" s="1641"/>
      <c r="L321" s="2911"/>
      <c r="M321" s="2896"/>
      <c r="N321" s="2912"/>
      <c r="O321" s="1504"/>
      <c r="P321" s="2897"/>
      <c r="Q321" s="2897"/>
      <c r="R321" s="1504"/>
      <c r="S321" s="1504"/>
      <c r="T321" s="1549"/>
      <c r="U321" s="1461"/>
      <c r="V321" s="1461"/>
      <c r="W321" s="1461"/>
      <c r="X321" s="1461"/>
      <c r="Y321" s="2240"/>
      <c r="Z321" s="2240"/>
      <c r="AA321" s="1461"/>
      <c r="AB321" s="1461"/>
      <c r="AC321" s="1461"/>
      <c r="AD321" s="1662"/>
      <c r="AE321" s="2904"/>
      <c r="AF321" s="2905"/>
      <c r="AG321" s="2674"/>
      <c r="AI321" s="13"/>
    </row>
    <row r="322" spans="1:35" s="5" customFormat="1">
      <c r="A322" s="1503"/>
      <c r="B322" s="1549"/>
      <c r="C322" s="1896"/>
      <c r="D322" s="1805"/>
      <c r="E322" s="1915"/>
      <c r="F322" s="1915"/>
      <c r="G322" s="1639"/>
      <c r="H322" s="1549"/>
      <c r="I322" s="1549"/>
      <c r="J322" s="2910"/>
      <c r="K322" s="1641"/>
      <c r="L322" s="2911"/>
      <c r="M322" s="2896"/>
      <c r="N322" s="2912"/>
      <c r="O322" s="1504"/>
      <c r="P322" s="2897"/>
      <c r="Q322" s="2897"/>
      <c r="R322" s="1504"/>
      <c r="S322" s="1504"/>
      <c r="T322" s="1549"/>
      <c r="U322" s="1461"/>
      <c r="V322" s="1461"/>
      <c r="W322" s="1461"/>
      <c r="X322" s="1461"/>
      <c r="Y322" s="2240"/>
      <c r="Z322" s="2240"/>
      <c r="AA322" s="1461"/>
      <c r="AB322" s="1461"/>
      <c r="AC322" s="1461"/>
      <c r="AD322" s="1662"/>
      <c r="AE322" s="2904"/>
      <c r="AF322" s="2905"/>
      <c r="AG322" s="2674"/>
      <c r="AI322" s="13"/>
    </row>
    <row r="323" spans="1:35" s="5" customFormat="1">
      <c r="A323" s="1503"/>
      <c r="B323" s="1549"/>
      <c r="C323" s="1896"/>
      <c r="D323" s="1805"/>
      <c r="E323" s="1915"/>
      <c r="F323" s="1915"/>
      <c r="G323" s="1639"/>
      <c r="H323" s="1549"/>
      <c r="I323" s="1549"/>
      <c r="J323" s="2910"/>
      <c r="K323" s="1641"/>
      <c r="L323" s="2911"/>
      <c r="M323" s="2896"/>
      <c r="N323" s="2912"/>
      <c r="O323" s="1504"/>
      <c r="P323" s="2897"/>
      <c r="Q323" s="2897"/>
      <c r="R323" s="1504"/>
      <c r="S323" s="1504"/>
      <c r="T323" s="1549"/>
      <c r="U323" s="1461"/>
      <c r="V323" s="1461"/>
      <c r="W323" s="1461"/>
      <c r="X323" s="1461"/>
      <c r="Y323" s="2240"/>
      <c r="Z323" s="2240"/>
      <c r="AA323" s="1461"/>
      <c r="AB323" s="1461"/>
      <c r="AC323" s="1461"/>
      <c r="AD323" s="1662"/>
      <c r="AE323" s="2904"/>
      <c r="AF323" s="2905"/>
      <c r="AG323" s="2674"/>
      <c r="AI323" s="13"/>
    </row>
    <row r="324" spans="1:35" s="5" customFormat="1">
      <c r="A324" s="1503"/>
      <c r="B324" s="1549"/>
      <c r="C324" s="1896"/>
      <c r="D324" s="1805"/>
      <c r="E324" s="1915"/>
      <c r="F324" s="1915"/>
      <c r="G324" s="1639"/>
      <c r="H324" s="1549"/>
      <c r="I324" s="1549"/>
      <c r="J324" s="2910"/>
      <c r="K324" s="1641"/>
      <c r="L324" s="2911"/>
      <c r="M324" s="2896"/>
      <c r="N324" s="2912"/>
      <c r="O324" s="1504"/>
      <c r="P324" s="2897"/>
      <c r="Q324" s="2897"/>
      <c r="R324" s="1504"/>
      <c r="S324" s="1504"/>
      <c r="T324" s="1549"/>
      <c r="U324" s="1461"/>
      <c r="V324" s="1461"/>
      <c r="W324" s="1461"/>
      <c r="X324" s="1461"/>
      <c r="Y324" s="2240"/>
      <c r="Z324" s="2240"/>
      <c r="AA324" s="1461"/>
      <c r="AB324" s="1461"/>
      <c r="AC324" s="1461"/>
      <c r="AD324" s="1662"/>
      <c r="AE324" s="2904"/>
      <c r="AF324" s="2905"/>
      <c r="AG324" s="2674"/>
      <c r="AI324" s="13"/>
    </row>
    <row r="325" spans="1:35" s="5" customFormat="1">
      <c r="A325" s="1503"/>
      <c r="B325" s="1549"/>
      <c r="C325" s="1896"/>
      <c r="D325" s="1805"/>
      <c r="E325" s="1915"/>
      <c r="F325" s="1915"/>
      <c r="G325" s="1639"/>
      <c r="H325" s="1549"/>
      <c r="I325" s="1549"/>
      <c r="J325" s="2910"/>
      <c r="K325" s="1641"/>
      <c r="L325" s="2911"/>
      <c r="M325" s="2896"/>
      <c r="N325" s="2912"/>
      <c r="O325" s="1504"/>
      <c r="P325" s="2897"/>
      <c r="Q325" s="2897"/>
      <c r="R325" s="1504"/>
      <c r="S325" s="1504"/>
      <c r="T325" s="1549"/>
      <c r="U325" s="1461"/>
      <c r="V325" s="1461"/>
      <c r="W325" s="1461"/>
      <c r="X325" s="1461"/>
      <c r="Y325" s="2240"/>
      <c r="Z325" s="2240"/>
      <c r="AA325" s="1461"/>
      <c r="AB325" s="1461"/>
      <c r="AC325" s="1461"/>
      <c r="AD325" s="1662"/>
      <c r="AE325" s="2904"/>
      <c r="AF325" s="2905"/>
      <c r="AG325" s="2674"/>
      <c r="AI325" s="13"/>
    </row>
    <row r="326" spans="1:35" s="5" customFormat="1">
      <c r="A326" s="1503"/>
      <c r="B326" s="1549"/>
      <c r="C326" s="1896"/>
      <c r="D326" s="1805"/>
      <c r="E326" s="1915"/>
      <c r="F326" s="1915"/>
      <c r="G326" s="1639"/>
      <c r="H326" s="1549"/>
      <c r="I326" s="1549"/>
      <c r="J326" s="2910"/>
      <c r="K326" s="1641"/>
      <c r="L326" s="2911"/>
      <c r="M326" s="2896"/>
      <c r="N326" s="2912"/>
      <c r="O326" s="1504"/>
      <c r="P326" s="2897"/>
      <c r="Q326" s="2897"/>
      <c r="R326" s="1504"/>
      <c r="S326" s="1504"/>
      <c r="T326" s="1549"/>
      <c r="U326" s="1461"/>
      <c r="V326" s="1461"/>
      <c r="W326" s="1461"/>
      <c r="X326" s="1461"/>
      <c r="Y326" s="2240"/>
      <c r="Z326" s="2240"/>
      <c r="AA326" s="1461"/>
      <c r="AB326" s="1461"/>
      <c r="AC326" s="1461"/>
      <c r="AD326" s="1662"/>
      <c r="AE326" s="2904"/>
      <c r="AF326" s="2905"/>
      <c r="AG326" s="2674"/>
      <c r="AI326" s="13"/>
    </row>
    <row r="327" spans="1:35" s="5" customFormat="1">
      <c r="A327" s="1503"/>
      <c r="B327" s="1549"/>
      <c r="C327" s="1896"/>
      <c r="D327" s="1805"/>
      <c r="E327" s="1915"/>
      <c r="F327" s="1915"/>
      <c r="G327" s="1639"/>
      <c r="H327" s="1549"/>
      <c r="I327" s="1549"/>
      <c r="J327" s="2910"/>
      <c r="K327" s="1641"/>
      <c r="L327" s="2911"/>
      <c r="M327" s="2896"/>
      <c r="N327" s="2912"/>
      <c r="O327" s="1504"/>
      <c r="P327" s="2897"/>
      <c r="Q327" s="2897"/>
      <c r="R327" s="1504"/>
      <c r="S327" s="1504"/>
      <c r="T327" s="1549"/>
      <c r="U327" s="1461"/>
      <c r="V327" s="1461"/>
      <c r="W327" s="1461"/>
      <c r="X327" s="1461"/>
      <c r="Y327" s="2240"/>
      <c r="Z327" s="2240"/>
      <c r="AA327" s="1461"/>
      <c r="AB327" s="1461"/>
      <c r="AC327" s="1461"/>
      <c r="AD327" s="1662"/>
      <c r="AE327" s="2904"/>
      <c r="AF327" s="2905"/>
      <c r="AG327" s="2674"/>
      <c r="AI327" s="13"/>
    </row>
    <row r="328" spans="1:35" s="5" customFormat="1">
      <c r="A328" s="1503"/>
      <c r="B328" s="1549"/>
      <c r="C328" s="1896"/>
      <c r="D328" s="1805"/>
      <c r="E328" s="1915"/>
      <c r="F328" s="1915"/>
      <c r="G328" s="1639"/>
      <c r="H328" s="1549"/>
      <c r="I328" s="1549"/>
      <c r="J328" s="2910"/>
      <c r="K328" s="1641"/>
      <c r="L328" s="2911"/>
      <c r="M328" s="2896"/>
      <c r="N328" s="2912"/>
      <c r="O328" s="1504"/>
      <c r="P328" s="2897"/>
      <c r="Q328" s="2897"/>
      <c r="R328" s="1504"/>
      <c r="S328" s="1504"/>
      <c r="T328" s="1549"/>
      <c r="U328" s="1461"/>
      <c r="V328" s="1461"/>
      <c r="W328" s="1461"/>
      <c r="X328" s="1461"/>
      <c r="Y328" s="2240"/>
      <c r="Z328" s="2240"/>
      <c r="AA328" s="1461"/>
      <c r="AB328" s="1461"/>
      <c r="AC328" s="1461"/>
      <c r="AD328" s="1662"/>
      <c r="AE328" s="2904"/>
      <c r="AF328" s="2905"/>
      <c r="AG328" s="2674"/>
      <c r="AI328" s="13"/>
    </row>
    <row r="329" spans="1:35" s="5" customFormat="1">
      <c r="A329" s="1503"/>
      <c r="B329" s="1549"/>
      <c r="C329" s="1896"/>
      <c r="D329" s="1805"/>
      <c r="E329" s="1915"/>
      <c r="F329" s="1915"/>
      <c r="G329" s="1639"/>
      <c r="H329" s="1549"/>
      <c r="I329" s="1549"/>
      <c r="J329" s="2910"/>
      <c r="K329" s="1641"/>
      <c r="L329" s="2911"/>
      <c r="M329" s="2896"/>
      <c r="N329" s="2912"/>
      <c r="O329" s="1504"/>
      <c r="P329" s="2897"/>
      <c r="Q329" s="2897"/>
      <c r="R329" s="1504"/>
      <c r="S329" s="1504"/>
      <c r="T329" s="1549"/>
      <c r="U329" s="1461"/>
      <c r="V329" s="1461"/>
      <c r="W329" s="1461"/>
      <c r="X329" s="1461"/>
      <c r="Y329" s="2240"/>
      <c r="Z329" s="2240"/>
      <c r="AA329" s="1461"/>
      <c r="AB329" s="1461"/>
      <c r="AC329" s="1461"/>
      <c r="AD329" s="1662"/>
      <c r="AE329" s="2904"/>
      <c r="AF329" s="2905"/>
      <c r="AG329" s="2674"/>
      <c r="AI329" s="13"/>
    </row>
    <row r="330" spans="1:35" s="5" customFormat="1">
      <c r="A330" s="1503"/>
      <c r="B330" s="1549"/>
      <c r="C330" s="1896"/>
      <c r="D330" s="1805"/>
      <c r="E330" s="1915"/>
      <c r="F330" s="1915"/>
      <c r="G330" s="1639"/>
      <c r="H330" s="1549"/>
      <c r="I330" s="1549"/>
      <c r="J330" s="2910"/>
      <c r="K330" s="1641"/>
      <c r="L330" s="2911"/>
      <c r="M330" s="2896"/>
      <c r="N330" s="2912"/>
      <c r="O330" s="1504"/>
      <c r="P330" s="2897"/>
      <c r="Q330" s="2897"/>
      <c r="R330" s="1504"/>
      <c r="S330" s="1504"/>
      <c r="T330" s="1549"/>
      <c r="U330" s="1461"/>
      <c r="V330" s="1461"/>
      <c r="W330" s="1461"/>
      <c r="X330" s="1461"/>
      <c r="Y330" s="2240"/>
      <c r="Z330" s="2240"/>
      <c r="AA330" s="1461"/>
      <c r="AB330" s="1461"/>
      <c r="AC330" s="1461"/>
      <c r="AD330" s="1662"/>
      <c r="AE330" s="2904"/>
      <c r="AF330" s="2905"/>
      <c r="AG330" s="2674"/>
      <c r="AI330" s="13"/>
    </row>
    <row r="331" spans="1:35" s="5" customFormat="1">
      <c r="A331" s="1503"/>
      <c r="B331" s="1549"/>
      <c r="C331" s="1896"/>
      <c r="D331" s="1805"/>
      <c r="E331" s="1915"/>
      <c r="F331" s="1915"/>
      <c r="G331" s="1639"/>
      <c r="H331" s="1549"/>
      <c r="I331" s="1549"/>
      <c r="J331" s="2910"/>
      <c r="K331" s="1641"/>
      <c r="L331" s="2911"/>
      <c r="M331" s="2896"/>
      <c r="N331" s="2912"/>
      <c r="O331" s="1504"/>
      <c r="P331" s="2897"/>
      <c r="Q331" s="2897"/>
      <c r="R331" s="1504"/>
      <c r="S331" s="1504"/>
      <c r="T331" s="1549"/>
      <c r="U331" s="1461"/>
      <c r="V331" s="1461"/>
      <c r="W331" s="1461"/>
      <c r="X331" s="1461"/>
      <c r="Y331" s="2240"/>
      <c r="Z331" s="2240"/>
      <c r="AA331" s="1461"/>
      <c r="AB331" s="1461"/>
      <c r="AC331" s="1461"/>
      <c r="AD331" s="1662"/>
      <c r="AE331" s="2904"/>
      <c r="AF331" s="2905"/>
      <c r="AG331" s="2674"/>
      <c r="AI331" s="13"/>
    </row>
    <row r="332" spans="1:35" s="5" customFormat="1">
      <c r="A332" s="1503"/>
      <c r="B332" s="1549"/>
      <c r="C332" s="1896"/>
      <c r="D332" s="1805"/>
      <c r="E332" s="1915"/>
      <c r="F332" s="1915"/>
      <c r="G332" s="1639"/>
      <c r="H332" s="1549"/>
      <c r="I332" s="1549"/>
      <c r="J332" s="2910"/>
      <c r="K332" s="1641"/>
      <c r="L332" s="2911"/>
      <c r="M332" s="2896"/>
      <c r="N332" s="2912"/>
      <c r="O332" s="1504"/>
      <c r="P332" s="2897"/>
      <c r="Q332" s="2897"/>
      <c r="R332" s="1504"/>
      <c r="S332" s="1504"/>
      <c r="T332" s="1549"/>
      <c r="U332" s="1461"/>
      <c r="V332" s="1461"/>
      <c r="W332" s="1461"/>
      <c r="X332" s="1461"/>
      <c r="Y332" s="2240"/>
      <c r="Z332" s="2240"/>
      <c r="AA332" s="1461"/>
      <c r="AB332" s="1461"/>
      <c r="AC332" s="1461"/>
      <c r="AD332" s="1662"/>
      <c r="AE332" s="2904"/>
      <c r="AF332" s="2905"/>
      <c r="AG332" s="2674"/>
      <c r="AI332" s="13"/>
    </row>
    <row r="333" spans="1:35" s="5" customFormat="1">
      <c r="A333" s="1503"/>
      <c r="B333" s="1549"/>
      <c r="C333" s="1896"/>
      <c r="D333" s="1805"/>
      <c r="E333" s="1915"/>
      <c r="F333" s="1915"/>
      <c r="G333" s="1639"/>
      <c r="H333" s="1549"/>
      <c r="I333" s="1549"/>
      <c r="J333" s="2910"/>
      <c r="K333" s="1641"/>
      <c r="L333" s="2911"/>
      <c r="M333" s="2896"/>
      <c r="N333" s="2912"/>
      <c r="O333" s="1504"/>
      <c r="P333" s="2897"/>
      <c r="Q333" s="2897"/>
      <c r="R333" s="1504"/>
      <c r="S333" s="1504"/>
      <c r="T333" s="1549"/>
      <c r="U333" s="1461"/>
      <c r="V333" s="1461"/>
      <c r="W333" s="1461"/>
      <c r="X333" s="1461"/>
      <c r="Y333" s="2240"/>
      <c r="Z333" s="2240"/>
      <c r="AA333" s="1461"/>
      <c r="AB333" s="1461"/>
      <c r="AC333" s="1461"/>
      <c r="AD333" s="1662"/>
      <c r="AE333" s="2904"/>
      <c r="AF333" s="2905"/>
      <c r="AG333" s="2674"/>
      <c r="AI333" s="13"/>
    </row>
    <row r="334" spans="1:35" s="5" customFormat="1">
      <c r="A334" s="1503"/>
      <c r="B334" s="1549"/>
      <c r="C334" s="1896"/>
      <c r="D334" s="1805"/>
      <c r="E334" s="1915"/>
      <c r="F334" s="1915"/>
      <c r="G334" s="1639"/>
      <c r="H334" s="1549"/>
      <c r="I334" s="1549"/>
      <c r="J334" s="2910"/>
      <c r="K334" s="1641"/>
      <c r="L334" s="2911"/>
      <c r="M334" s="2896"/>
      <c r="N334" s="2912"/>
      <c r="O334" s="1504"/>
      <c r="P334" s="2897"/>
      <c r="Q334" s="2897"/>
      <c r="R334" s="1504"/>
      <c r="S334" s="1504"/>
      <c r="T334" s="1549"/>
      <c r="U334" s="1461"/>
      <c r="V334" s="1461"/>
      <c r="W334" s="1461"/>
      <c r="X334" s="1461"/>
      <c r="Y334" s="2240"/>
      <c r="Z334" s="2240"/>
      <c r="AA334" s="1461"/>
      <c r="AB334" s="1461"/>
      <c r="AC334" s="1461"/>
      <c r="AD334" s="1662"/>
      <c r="AE334" s="2904"/>
      <c r="AF334" s="2905"/>
      <c r="AG334" s="2674"/>
      <c r="AI334" s="13"/>
    </row>
    <row r="335" spans="1:35" s="5" customFormat="1">
      <c r="A335" s="1503"/>
      <c r="B335" s="1549"/>
      <c r="C335" s="1896"/>
      <c r="D335" s="1805"/>
      <c r="E335" s="1915"/>
      <c r="F335" s="1915"/>
      <c r="G335" s="1639"/>
      <c r="H335" s="1549"/>
      <c r="I335" s="1549"/>
      <c r="J335" s="2910"/>
      <c r="K335" s="1641"/>
      <c r="L335" s="2911"/>
      <c r="M335" s="2896"/>
      <c r="N335" s="2912"/>
      <c r="O335" s="1504"/>
      <c r="P335" s="2897"/>
      <c r="Q335" s="2897"/>
      <c r="R335" s="1504"/>
      <c r="S335" s="1504"/>
      <c r="T335" s="1549"/>
      <c r="U335" s="1461"/>
      <c r="V335" s="1461"/>
      <c r="W335" s="1461"/>
      <c r="X335" s="1461"/>
      <c r="Y335" s="2240"/>
      <c r="Z335" s="2240"/>
      <c r="AA335" s="1461"/>
      <c r="AB335" s="1461"/>
      <c r="AC335" s="1461"/>
      <c r="AD335" s="1662"/>
      <c r="AE335" s="2904"/>
      <c r="AF335" s="2905"/>
      <c r="AG335" s="2674"/>
      <c r="AI335" s="13"/>
    </row>
    <row r="336" spans="1:35" s="5" customFormat="1">
      <c r="A336" s="1503"/>
      <c r="B336" s="1549"/>
      <c r="C336" s="1896"/>
      <c r="D336" s="1805"/>
      <c r="E336" s="1915"/>
      <c r="F336" s="1915"/>
      <c r="G336" s="1639"/>
      <c r="H336" s="1549"/>
      <c r="I336" s="1549"/>
      <c r="J336" s="2910"/>
      <c r="K336" s="1641"/>
      <c r="L336" s="2911"/>
      <c r="M336" s="2896"/>
      <c r="N336" s="2912"/>
      <c r="O336" s="1504"/>
      <c r="P336" s="2897"/>
      <c r="Q336" s="2897"/>
      <c r="R336" s="1504"/>
      <c r="S336" s="1504"/>
      <c r="T336" s="1549"/>
      <c r="U336" s="1461"/>
      <c r="V336" s="1461"/>
      <c r="W336" s="1461"/>
      <c r="X336" s="1461"/>
      <c r="Y336" s="2240"/>
      <c r="Z336" s="2240"/>
      <c r="AA336" s="1461"/>
      <c r="AB336" s="1461"/>
      <c r="AC336" s="1461"/>
      <c r="AD336" s="1662"/>
      <c r="AE336" s="2904"/>
      <c r="AF336" s="2905"/>
      <c r="AG336" s="2674"/>
      <c r="AI336" s="13"/>
    </row>
    <row r="337" spans="1:35" s="5" customFormat="1">
      <c r="A337" s="1503"/>
      <c r="B337" s="1549"/>
      <c r="C337" s="1896"/>
      <c r="D337" s="1805"/>
      <c r="E337" s="1915"/>
      <c r="F337" s="1915"/>
      <c r="G337" s="1639"/>
      <c r="H337" s="1549"/>
      <c r="I337" s="1549"/>
      <c r="J337" s="2910"/>
      <c r="K337" s="1641"/>
      <c r="L337" s="2911"/>
      <c r="M337" s="2896"/>
      <c r="N337" s="2912"/>
      <c r="O337" s="1504"/>
      <c r="P337" s="2897"/>
      <c r="Q337" s="2897"/>
      <c r="R337" s="1504"/>
      <c r="S337" s="1504"/>
      <c r="T337" s="1549"/>
      <c r="U337" s="1461"/>
      <c r="V337" s="1461"/>
      <c r="W337" s="1461"/>
      <c r="X337" s="1461"/>
      <c r="Y337" s="2240"/>
      <c r="Z337" s="2240"/>
      <c r="AA337" s="1461"/>
      <c r="AB337" s="1461"/>
      <c r="AC337" s="1461"/>
      <c r="AD337" s="1662"/>
      <c r="AE337" s="2904"/>
      <c r="AF337" s="2905"/>
      <c r="AG337" s="2674"/>
      <c r="AI337" s="13"/>
    </row>
    <row r="338" spans="1:35" s="5" customFormat="1">
      <c r="A338" s="1503"/>
      <c r="B338" s="1549"/>
      <c r="C338" s="1896"/>
      <c r="D338" s="1805"/>
      <c r="E338" s="1915"/>
      <c r="F338" s="1915"/>
      <c r="G338" s="1639"/>
      <c r="H338" s="1549"/>
      <c r="I338" s="1549"/>
      <c r="J338" s="2910"/>
      <c r="K338" s="1641"/>
      <c r="L338" s="2911"/>
      <c r="M338" s="2896"/>
      <c r="N338" s="2912"/>
      <c r="O338" s="1504"/>
      <c r="P338" s="2897"/>
      <c r="Q338" s="2897"/>
      <c r="R338" s="1504"/>
      <c r="S338" s="1504"/>
      <c r="T338" s="1549"/>
      <c r="U338" s="1461"/>
      <c r="V338" s="1461"/>
      <c r="W338" s="1461"/>
      <c r="X338" s="1461"/>
      <c r="Y338" s="2240"/>
      <c r="Z338" s="2240"/>
      <c r="AA338" s="1461"/>
      <c r="AB338" s="1461"/>
      <c r="AC338" s="1461"/>
      <c r="AD338" s="1662"/>
      <c r="AE338" s="2904"/>
      <c r="AF338" s="2905"/>
      <c r="AG338" s="2674"/>
      <c r="AI338" s="13"/>
    </row>
    <row r="339" spans="1:35" s="5" customFormat="1">
      <c r="A339" s="1503"/>
      <c r="B339" s="1549"/>
      <c r="C339" s="1896"/>
      <c r="D339" s="1805"/>
      <c r="E339" s="1915"/>
      <c r="F339" s="1915"/>
      <c r="G339" s="1639"/>
      <c r="H339" s="1549"/>
      <c r="I339" s="1549"/>
      <c r="J339" s="2910"/>
      <c r="K339" s="1641"/>
      <c r="L339" s="2911"/>
      <c r="M339" s="2896"/>
      <c r="N339" s="2912"/>
      <c r="O339" s="1504"/>
      <c r="P339" s="2897"/>
      <c r="Q339" s="2897"/>
      <c r="R339" s="1504"/>
      <c r="S339" s="1504"/>
      <c r="T339" s="1549"/>
      <c r="U339" s="1461"/>
      <c r="V339" s="1461"/>
      <c r="W339" s="1461"/>
      <c r="X339" s="1461"/>
      <c r="Y339" s="2240"/>
      <c r="Z339" s="2240"/>
      <c r="AA339" s="1461"/>
      <c r="AB339" s="1461"/>
      <c r="AC339" s="1461"/>
      <c r="AD339" s="1662"/>
      <c r="AE339" s="2904"/>
      <c r="AF339" s="2905"/>
      <c r="AG339" s="2674"/>
      <c r="AI339" s="13"/>
    </row>
    <row r="340" spans="1:35" s="5" customFormat="1">
      <c r="A340" s="1503"/>
      <c r="B340" s="1549"/>
      <c r="C340" s="1896"/>
      <c r="D340" s="1805"/>
      <c r="E340" s="1915"/>
      <c r="F340" s="1915"/>
      <c r="G340" s="1639"/>
      <c r="H340" s="1549"/>
      <c r="I340" s="1549"/>
      <c r="J340" s="2910"/>
      <c r="K340" s="1641"/>
      <c r="L340" s="2911"/>
      <c r="M340" s="2896"/>
      <c r="N340" s="2912"/>
      <c r="O340" s="1504"/>
      <c r="P340" s="2897"/>
      <c r="Q340" s="2897"/>
      <c r="R340" s="1504"/>
      <c r="S340" s="1504"/>
      <c r="T340" s="1549"/>
      <c r="U340" s="1461"/>
      <c r="V340" s="1461"/>
      <c r="W340" s="1461"/>
      <c r="X340" s="1461"/>
      <c r="Y340" s="2240"/>
      <c r="Z340" s="2240"/>
      <c r="AA340" s="1461"/>
      <c r="AB340" s="1461"/>
      <c r="AC340" s="1461"/>
      <c r="AD340" s="1662"/>
      <c r="AE340" s="2904"/>
      <c r="AF340" s="2905"/>
      <c r="AG340" s="2674"/>
      <c r="AI340" s="13"/>
    </row>
    <row r="341" spans="1:35" s="5" customFormat="1">
      <c r="A341" s="1503"/>
      <c r="B341" s="1549"/>
      <c r="C341" s="1896"/>
      <c r="D341" s="1805"/>
      <c r="E341" s="1915"/>
      <c r="F341" s="1915"/>
      <c r="G341" s="1639"/>
      <c r="H341" s="1549"/>
      <c r="I341" s="1549"/>
      <c r="J341" s="2910"/>
      <c r="K341" s="1641"/>
      <c r="L341" s="2911"/>
      <c r="M341" s="2896"/>
      <c r="N341" s="2912"/>
      <c r="O341" s="1504"/>
      <c r="P341" s="2897"/>
      <c r="Q341" s="2897"/>
      <c r="R341" s="1504"/>
      <c r="S341" s="1504"/>
      <c r="T341" s="1549"/>
      <c r="U341" s="1461"/>
      <c r="V341" s="1461"/>
      <c r="W341" s="1461"/>
      <c r="X341" s="1461"/>
      <c r="Y341" s="2240"/>
      <c r="Z341" s="2240"/>
      <c r="AA341" s="1461"/>
      <c r="AB341" s="1461"/>
      <c r="AC341" s="1461"/>
      <c r="AD341" s="1662"/>
      <c r="AE341" s="2904"/>
      <c r="AF341" s="2905"/>
      <c r="AG341" s="2674"/>
      <c r="AI341" s="13"/>
    </row>
    <row r="342" spans="1:35" s="5" customFormat="1">
      <c r="A342" s="1503"/>
      <c r="B342" s="1549"/>
      <c r="C342" s="1896"/>
      <c r="D342" s="1805"/>
      <c r="E342" s="1915"/>
      <c r="F342" s="1915"/>
      <c r="G342" s="1639"/>
      <c r="H342" s="1549"/>
      <c r="I342" s="1549"/>
      <c r="J342" s="2910"/>
      <c r="K342" s="1641"/>
      <c r="L342" s="2911"/>
      <c r="M342" s="2896"/>
      <c r="N342" s="2912"/>
      <c r="O342" s="1504"/>
      <c r="P342" s="2897"/>
      <c r="Q342" s="2897"/>
      <c r="R342" s="1504"/>
      <c r="S342" s="1504"/>
      <c r="T342" s="1549"/>
      <c r="U342" s="1461"/>
      <c r="V342" s="1461"/>
      <c r="W342" s="1461"/>
      <c r="X342" s="1461"/>
      <c r="Y342" s="2240"/>
      <c r="Z342" s="2240"/>
      <c r="AA342" s="1461"/>
      <c r="AB342" s="1461"/>
      <c r="AC342" s="1461"/>
      <c r="AD342" s="1662"/>
      <c r="AE342" s="2904"/>
      <c r="AF342" s="2905"/>
      <c r="AG342" s="2674"/>
      <c r="AI342" s="13"/>
    </row>
    <row r="343" spans="1:35" s="5" customFormat="1">
      <c r="A343" s="1503"/>
      <c r="B343" s="1549"/>
      <c r="C343" s="1896"/>
      <c r="D343" s="1805"/>
      <c r="E343" s="1915"/>
      <c r="F343" s="1915"/>
      <c r="G343" s="1639"/>
      <c r="H343" s="1549"/>
      <c r="I343" s="1549"/>
      <c r="J343" s="2910"/>
      <c r="K343" s="1641"/>
      <c r="L343" s="2911"/>
      <c r="M343" s="2896"/>
      <c r="N343" s="2912"/>
      <c r="O343" s="1504"/>
      <c r="P343" s="2897"/>
      <c r="Q343" s="2897"/>
      <c r="R343" s="1504"/>
      <c r="S343" s="1504"/>
      <c r="T343" s="1549"/>
      <c r="U343" s="1461"/>
      <c r="V343" s="1461"/>
      <c r="W343" s="1461"/>
      <c r="X343" s="1461"/>
      <c r="Y343" s="2240"/>
      <c r="Z343" s="2240"/>
      <c r="AA343" s="1461"/>
      <c r="AB343" s="1461"/>
      <c r="AC343" s="1461"/>
      <c r="AD343" s="1662"/>
      <c r="AE343" s="2904"/>
      <c r="AF343" s="2905"/>
      <c r="AG343" s="2674"/>
      <c r="AI343" s="13"/>
    </row>
    <row r="344" spans="1:35" s="5" customFormat="1">
      <c r="A344" s="1503"/>
      <c r="B344" s="1549"/>
      <c r="C344" s="1896"/>
      <c r="D344" s="1805"/>
      <c r="E344" s="1915"/>
      <c r="F344" s="1915"/>
      <c r="G344" s="1639"/>
      <c r="H344" s="1549"/>
      <c r="I344" s="1549"/>
      <c r="J344" s="2910"/>
      <c r="K344" s="1641"/>
      <c r="L344" s="2911"/>
      <c r="M344" s="2896"/>
      <c r="N344" s="2912"/>
      <c r="O344" s="1504"/>
      <c r="P344" s="2897"/>
      <c r="Q344" s="2897"/>
      <c r="R344" s="1504"/>
      <c r="S344" s="1504"/>
      <c r="T344" s="1549"/>
      <c r="U344" s="1461"/>
      <c r="V344" s="1461"/>
      <c r="W344" s="1461"/>
      <c r="X344" s="1461"/>
      <c r="Y344" s="2240"/>
      <c r="Z344" s="2240"/>
      <c r="AA344" s="1461"/>
      <c r="AB344" s="1461"/>
      <c r="AC344" s="1461"/>
      <c r="AD344" s="1662"/>
      <c r="AE344" s="2904"/>
      <c r="AF344" s="2905"/>
      <c r="AG344" s="2674"/>
      <c r="AI344" s="13"/>
    </row>
    <row r="345" spans="1:35" s="5" customFormat="1">
      <c r="A345" s="1503"/>
      <c r="B345" s="1549"/>
      <c r="C345" s="1896"/>
      <c r="D345" s="1805"/>
      <c r="E345" s="1915"/>
      <c r="F345" s="1915"/>
      <c r="G345" s="1639"/>
      <c r="H345" s="1549"/>
      <c r="I345" s="1549"/>
      <c r="J345" s="2910"/>
      <c r="K345" s="1641"/>
      <c r="L345" s="2911"/>
      <c r="M345" s="2896"/>
      <c r="N345" s="2912"/>
      <c r="O345" s="1504"/>
      <c r="P345" s="2897"/>
      <c r="Q345" s="2897"/>
      <c r="R345" s="1504"/>
      <c r="S345" s="1504"/>
      <c r="T345" s="1549"/>
      <c r="U345" s="1461"/>
      <c r="V345" s="1461"/>
      <c r="W345" s="1461"/>
      <c r="X345" s="1461"/>
      <c r="Y345" s="2240"/>
      <c r="Z345" s="2240"/>
      <c r="AA345" s="1461"/>
      <c r="AB345" s="1461"/>
      <c r="AC345" s="1461"/>
      <c r="AD345" s="1662"/>
      <c r="AE345" s="2904"/>
      <c r="AF345" s="2905"/>
      <c r="AG345" s="2674"/>
      <c r="AI345" s="13"/>
    </row>
    <row r="346" spans="1:35" s="5" customFormat="1">
      <c r="A346" s="1503"/>
      <c r="B346" s="1549"/>
      <c r="C346" s="1896"/>
      <c r="D346" s="1805"/>
      <c r="E346" s="1915"/>
      <c r="F346" s="1915"/>
      <c r="G346" s="1639"/>
      <c r="H346" s="1549"/>
      <c r="I346" s="1549"/>
      <c r="J346" s="2910"/>
      <c r="K346" s="1641"/>
      <c r="L346" s="2911"/>
      <c r="M346" s="2896"/>
      <c r="N346" s="2912"/>
      <c r="O346" s="1504"/>
      <c r="P346" s="2897"/>
      <c r="Q346" s="2897"/>
      <c r="R346" s="1504"/>
      <c r="S346" s="1504"/>
      <c r="T346" s="1549"/>
      <c r="U346" s="1461"/>
      <c r="V346" s="1461"/>
      <c r="W346" s="1461"/>
      <c r="X346" s="1461"/>
      <c r="Y346" s="2240"/>
      <c r="Z346" s="2240"/>
      <c r="AA346" s="1461"/>
      <c r="AB346" s="1461"/>
      <c r="AC346" s="1461"/>
      <c r="AD346" s="1662"/>
      <c r="AE346" s="2904"/>
      <c r="AF346" s="2905"/>
      <c r="AG346" s="2674"/>
      <c r="AI346" s="13"/>
    </row>
    <row r="347" spans="1:35" s="5" customFormat="1">
      <c r="A347" s="1503"/>
      <c r="B347" s="1549"/>
      <c r="C347" s="1896"/>
      <c r="D347" s="1805"/>
      <c r="E347" s="1915"/>
      <c r="F347" s="1915"/>
      <c r="G347" s="1639"/>
      <c r="H347" s="1549"/>
      <c r="I347" s="1549"/>
      <c r="J347" s="2910"/>
      <c r="K347" s="1641"/>
      <c r="L347" s="2911"/>
      <c r="M347" s="2896"/>
      <c r="N347" s="2912"/>
      <c r="O347" s="1504"/>
      <c r="P347" s="2897"/>
      <c r="Q347" s="2897"/>
      <c r="R347" s="1504"/>
      <c r="S347" s="1504"/>
      <c r="T347" s="1549"/>
      <c r="U347" s="1461"/>
      <c r="V347" s="1461"/>
      <c r="W347" s="1461"/>
      <c r="X347" s="1461"/>
      <c r="Y347" s="2240"/>
      <c r="Z347" s="2240"/>
      <c r="AA347" s="1461"/>
      <c r="AB347" s="1461"/>
      <c r="AC347" s="1461"/>
      <c r="AD347" s="1662"/>
      <c r="AE347" s="2904"/>
      <c r="AF347" s="2905"/>
      <c r="AG347" s="2674"/>
      <c r="AI347" s="13"/>
    </row>
  </sheetData>
  <mergeCells count="219">
    <mergeCell ref="N178:O178"/>
    <mergeCell ref="N155:O155"/>
    <mergeCell ref="A152:O152"/>
    <mergeCell ref="AD146:AD149"/>
    <mergeCell ref="A135:O135"/>
    <mergeCell ref="P156:P160"/>
    <mergeCell ref="R156:R160"/>
    <mergeCell ref="E146:E149"/>
    <mergeCell ref="R146:R149"/>
    <mergeCell ref="P146:P149"/>
    <mergeCell ref="B146:B149"/>
    <mergeCell ref="K146:K149"/>
    <mergeCell ref="F146:F149"/>
    <mergeCell ref="F139:F140"/>
    <mergeCell ref="B139:B140"/>
    <mergeCell ref="P139:P140"/>
    <mergeCell ref="F141:F142"/>
    <mergeCell ref="B141:B142"/>
    <mergeCell ref="K141:K142"/>
    <mergeCell ref="P141:P142"/>
    <mergeCell ref="E139:E140"/>
    <mergeCell ref="C167:D167"/>
    <mergeCell ref="Q156:Q160"/>
    <mergeCell ref="F162:F164"/>
    <mergeCell ref="A38:O38"/>
    <mergeCell ref="A1:K1"/>
    <mergeCell ref="A3:R3"/>
    <mergeCell ref="D4:L4"/>
    <mergeCell ref="P9:P11"/>
    <mergeCell ref="K9:K11"/>
    <mergeCell ref="B9:B11"/>
    <mergeCell ref="F9:F11"/>
    <mergeCell ref="E9:E11"/>
    <mergeCell ref="R28:R30"/>
    <mergeCell ref="P28:P30"/>
    <mergeCell ref="P25:P27"/>
    <mergeCell ref="K25:K27"/>
    <mergeCell ref="P17:P19"/>
    <mergeCell ref="R25:R27"/>
    <mergeCell ref="K12:K14"/>
    <mergeCell ref="R17:R19"/>
    <mergeCell ref="A7:K7"/>
    <mergeCell ref="P12:P14"/>
    <mergeCell ref="R12:R14"/>
    <mergeCell ref="P15:P16"/>
    <mergeCell ref="R15:R16"/>
    <mergeCell ref="E15:E16"/>
    <mergeCell ref="B25:B27"/>
    <mergeCell ref="P51:P55"/>
    <mergeCell ref="B51:B52"/>
    <mergeCell ref="R58:R60"/>
    <mergeCell ref="K17:K19"/>
    <mergeCell ref="A68:O68"/>
    <mergeCell ref="E141:E142"/>
    <mergeCell ref="F143:F145"/>
    <mergeCell ref="K143:K145"/>
    <mergeCell ref="P143:P145"/>
    <mergeCell ref="B143:B145"/>
    <mergeCell ref="M87:O87"/>
    <mergeCell ref="E81:E86"/>
    <mergeCell ref="N66:O66"/>
    <mergeCell ref="F69:F74"/>
    <mergeCell ref="K81:K86"/>
    <mergeCell ref="K69:K74"/>
    <mergeCell ref="B58:B60"/>
    <mergeCell ref="R20:R23"/>
    <mergeCell ref="P58:P60"/>
    <mergeCell ref="P20:P23"/>
    <mergeCell ref="B20:B23"/>
    <mergeCell ref="B81:B86"/>
    <mergeCell ref="R69:R74"/>
    <mergeCell ref="R75:R77"/>
    <mergeCell ref="A33:O33"/>
    <mergeCell ref="E39:E40"/>
    <mergeCell ref="T43:T44"/>
    <mergeCell ref="T48:T50"/>
    <mergeCell ref="R43:R44"/>
    <mergeCell ref="T45:T47"/>
    <mergeCell ref="T51:T55"/>
    <mergeCell ref="R51:R55"/>
    <mergeCell ref="R45:R47"/>
    <mergeCell ref="R48:R50"/>
    <mergeCell ref="B48:B50"/>
    <mergeCell ref="K48:K50"/>
    <mergeCell ref="B45:B47"/>
    <mergeCell ref="F48:F50"/>
    <mergeCell ref="I45:I47"/>
    <mergeCell ref="E45:E47"/>
    <mergeCell ref="F43:F44"/>
    <mergeCell ref="B43:B44"/>
    <mergeCell ref="F45:F47"/>
    <mergeCell ref="K45:K47"/>
    <mergeCell ref="I43:I44"/>
    <mergeCell ref="P43:P44"/>
    <mergeCell ref="P45:P47"/>
    <mergeCell ref="P48:P50"/>
    <mergeCell ref="B12:B14"/>
    <mergeCell ref="F28:F30"/>
    <mergeCell ref="K28:K30"/>
    <mergeCell ref="E17:E19"/>
    <mergeCell ref="E20:E23"/>
    <mergeCell ref="E25:E27"/>
    <mergeCell ref="E12:E14"/>
    <mergeCell ref="F12:F14"/>
    <mergeCell ref="F20:F23"/>
    <mergeCell ref="K20:K23"/>
    <mergeCell ref="B28:B30"/>
    <mergeCell ref="F25:F27"/>
    <mergeCell ref="B17:B19"/>
    <mergeCell ref="B15:B16"/>
    <mergeCell ref="F15:F16"/>
    <mergeCell ref="K15:K16"/>
    <mergeCell ref="F17:F19"/>
    <mergeCell ref="E28:E30"/>
    <mergeCell ref="F51:F55"/>
    <mergeCell ref="E43:E44"/>
    <mergeCell ref="F97:F100"/>
    <mergeCell ref="K97:K100"/>
    <mergeCell ref="P97:P100"/>
    <mergeCell ref="B53:B55"/>
    <mergeCell ref="E51:E55"/>
    <mergeCell ref="I51:I55"/>
    <mergeCell ref="K51:K55"/>
    <mergeCell ref="E58:E60"/>
    <mergeCell ref="N56:O56"/>
    <mergeCell ref="K58:K60"/>
    <mergeCell ref="F58:F60"/>
    <mergeCell ref="K88:K89"/>
    <mergeCell ref="P88:P89"/>
    <mergeCell ref="B88:B89"/>
    <mergeCell ref="E88:E89"/>
    <mergeCell ref="F81:F86"/>
    <mergeCell ref="B75:B77"/>
    <mergeCell ref="K75:K77"/>
    <mergeCell ref="A61:O61"/>
    <mergeCell ref="K43:K44"/>
    <mergeCell ref="I48:I50"/>
    <mergeCell ref="E48:E50"/>
    <mergeCell ref="A102:O102"/>
    <mergeCell ref="E97:E100"/>
    <mergeCell ref="B69:B74"/>
    <mergeCell ref="P69:P74"/>
    <mergeCell ref="N96:O96"/>
    <mergeCell ref="F88:F89"/>
    <mergeCell ref="AD97:AD100"/>
    <mergeCell ref="R97:R100"/>
    <mergeCell ref="P103:P110"/>
    <mergeCell ref="B103:B106"/>
    <mergeCell ref="E103:E110"/>
    <mergeCell ref="F103:F110"/>
    <mergeCell ref="B107:B110"/>
    <mergeCell ref="K103:K110"/>
    <mergeCell ref="R103:R110"/>
    <mergeCell ref="R88:R89"/>
    <mergeCell ref="F75:F77"/>
    <mergeCell ref="P75:P77"/>
    <mergeCell ref="R81:R86"/>
    <mergeCell ref="P81:P83"/>
    <mergeCell ref="P84:P86"/>
    <mergeCell ref="A90:O90"/>
    <mergeCell ref="B94:B95"/>
    <mergeCell ref="B97:B100"/>
    <mergeCell ref="AD113:AD115"/>
    <mergeCell ref="F113:F115"/>
    <mergeCell ref="N136:O136"/>
    <mergeCell ref="N131:O131"/>
    <mergeCell ref="R143:R145"/>
    <mergeCell ref="R139:R140"/>
    <mergeCell ref="R141:R142"/>
    <mergeCell ref="N125:O125"/>
    <mergeCell ref="R113:R115"/>
    <mergeCell ref="A117:O117"/>
    <mergeCell ref="E113:E115"/>
    <mergeCell ref="K113:K115"/>
    <mergeCell ref="B113:B115"/>
    <mergeCell ref="P113:P115"/>
    <mergeCell ref="E143:E145"/>
    <mergeCell ref="K139:K140"/>
    <mergeCell ref="A126:O126"/>
    <mergeCell ref="N129:O129"/>
    <mergeCell ref="R119:R120"/>
    <mergeCell ref="P119:P120"/>
    <mergeCell ref="B119:B120"/>
    <mergeCell ref="E119:E120"/>
    <mergeCell ref="F119:F120"/>
    <mergeCell ref="K119:K120"/>
    <mergeCell ref="K162:K164"/>
    <mergeCell ref="B162:B164"/>
    <mergeCell ref="P162:P164"/>
    <mergeCell ref="R162:R164"/>
    <mergeCell ref="E162:E164"/>
    <mergeCell ref="A165:O165"/>
    <mergeCell ref="E156:E160"/>
    <mergeCell ref="B156:B157"/>
    <mergeCell ref="B158:B160"/>
    <mergeCell ref="F156:F160"/>
    <mergeCell ref="K156:K160"/>
    <mergeCell ref="A168:A169"/>
    <mergeCell ref="E168:E169"/>
    <mergeCell ref="R168:R169"/>
    <mergeCell ref="Q168:Q169"/>
    <mergeCell ref="F170:F174"/>
    <mergeCell ref="K170:K174"/>
    <mergeCell ref="P170:P174"/>
    <mergeCell ref="B170:B174"/>
    <mergeCell ref="E170:E174"/>
    <mergeCell ref="B175:B176"/>
    <mergeCell ref="F175:F176"/>
    <mergeCell ref="K175:K176"/>
    <mergeCell ref="P175:P176"/>
    <mergeCell ref="R175:R176"/>
    <mergeCell ref="R170:R174"/>
    <mergeCell ref="Q170:Q174"/>
    <mergeCell ref="F168:F169"/>
    <mergeCell ref="B168:B169"/>
    <mergeCell ref="K168:K169"/>
    <mergeCell ref="P168:P169"/>
    <mergeCell ref="Q175:Q176"/>
    <mergeCell ref="E175:E176"/>
  </mergeCells>
  <conditionalFormatting sqref="C1:C164 C166:C1048576">
    <cfRule type="duplicateValues" dxfId="11" priority="2"/>
  </conditionalFormatting>
  <conditionalFormatting sqref="C165">
    <cfRule type="duplicateValues" dxfId="10" priority="1"/>
  </conditionalFormatting>
  <conditionalFormatting sqref="N8 N10:N32">
    <cfRule type="duplicateValues" dxfId="9" priority="9"/>
  </conditionalFormatting>
  <conditionalFormatting sqref="N9">
    <cfRule type="duplicateValues" dxfId="8" priority="6"/>
  </conditionalFormatting>
  <conditionalFormatting sqref="N41">
    <cfRule type="duplicateValues" dxfId="7" priority="5"/>
  </conditionalFormatting>
  <conditionalFormatting sqref="N42:O42">
    <cfRule type="duplicateValues" dxfId="6" priority="3"/>
  </conditionalFormatting>
  <conditionalFormatting sqref="O10">
    <cfRule type="duplicateValues" dxfId="5" priority="8"/>
  </conditionalFormatting>
  <conditionalFormatting sqref="O41"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800C0-8E45-4D2B-89E5-590FC4009D6B}">
  <dimension ref="A1:BE359"/>
  <sheetViews>
    <sheetView tabSelected="1" zoomScale="85" zoomScaleNormal="85" workbookViewId="0">
      <pane xSplit="14" ySplit="5" topLeftCell="O84" activePane="bottomRight" state="frozen"/>
      <selection pane="topRight" activeCell="O1" sqref="O1"/>
      <selection pane="bottomLeft" activeCell="A6" sqref="A6"/>
      <selection pane="bottomRight" activeCell="H87" sqref="H87"/>
    </sheetView>
  </sheetViews>
  <sheetFormatPr defaultColWidth="10.33203125" defaultRowHeight="13.2"/>
  <cols>
    <col min="1" max="1" width="7" style="1" customWidth="1"/>
    <col min="2" max="2" width="12.33203125" style="6" customWidth="1"/>
    <col min="3" max="3" width="16.109375" style="4" customWidth="1"/>
    <col min="4" max="4" width="10.33203125" style="3" customWidth="1"/>
    <col min="5" max="5" width="21.33203125" style="4" customWidth="1"/>
    <col min="6" max="6" width="16.5546875" style="4" customWidth="1"/>
    <col min="7" max="7" width="7.109375" style="1" customWidth="1"/>
    <col min="8" max="8" width="5.109375" style="6" customWidth="1"/>
    <col min="9" max="9" width="6.88671875" style="6" customWidth="1"/>
    <col min="10" max="10" width="9.109375" style="11" customWidth="1"/>
    <col min="11" max="11" width="9" style="510" customWidth="1"/>
    <col min="12" max="12" width="19.109375" style="11" customWidth="1"/>
    <col min="13" max="13" width="19.109375" style="5" customWidth="1"/>
    <col min="14" max="14" width="21.88671875" style="5" customWidth="1"/>
    <col min="15" max="15" width="14.88671875" style="2410" customWidth="1"/>
    <col min="16" max="16" width="14.88671875" style="2411" customWidth="1"/>
    <col min="17" max="17" width="11.33203125" style="5" customWidth="1"/>
    <col min="18" max="18" width="11" style="5" hidden="1" customWidth="1"/>
    <col min="19" max="20" width="11.44140625" style="1" customWidth="1"/>
    <col min="21" max="21" width="13" style="6" customWidth="1"/>
    <col min="22" max="22" width="12.6640625" style="1766" customWidth="1"/>
    <col min="23" max="23" width="13.109375" style="1766" customWidth="1"/>
    <col min="24" max="24" width="13" style="1766" customWidth="1"/>
    <col min="25" max="25" width="11.88671875" style="1766" customWidth="1"/>
    <col min="26" max="27" width="15.33203125" style="1767" customWidth="1"/>
    <col min="28" max="28" width="14.6640625" style="1766" customWidth="1"/>
    <col min="29" max="29" width="16.33203125" style="1766" customWidth="1"/>
    <col min="30" max="30" width="19.44140625" style="1766" customWidth="1"/>
    <col min="31" max="31" width="42.109375" style="1768" customWidth="1"/>
    <col min="32" max="32" width="18.6640625" style="1799" customWidth="1"/>
    <col min="33" max="33" width="16.6640625" style="1770" customWidth="1"/>
    <col min="34" max="34" width="20.44140625" style="1771" customWidth="1"/>
    <col min="35" max="35" width="17" style="5" customWidth="1"/>
    <col min="36" max="36" width="12.44140625" style="13" customWidth="1"/>
    <col min="37" max="37" width="10" style="13" customWidth="1"/>
    <col min="38" max="40" width="10.33203125" style="13" customWidth="1"/>
    <col min="41" max="41" width="11.5546875" style="13" customWidth="1"/>
    <col min="42" max="42" width="14.5546875" style="13" customWidth="1"/>
    <col min="43" max="43" width="10.33203125" style="13" customWidth="1"/>
    <col min="44" max="44" width="11.5546875" style="13" customWidth="1"/>
    <col min="45" max="45" width="10.33203125" style="13" customWidth="1"/>
    <col min="46" max="200" width="10.33203125" style="13"/>
    <col min="201" max="201" width="7" style="13" customWidth="1"/>
    <col min="202" max="202" width="13" style="13" customWidth="1"/>
    <col min="203" max="203" width="14.109375" style="13" customWidth="1"/>
    <col min="204" max="204" width="17.33203125" style="13" customWidth="1"/>
    <col min="205" max="205" width="18.88671875" style="13" customWidth="1"/>
    <col min="206" max="206" width="14.109375" style="13" customWidth="1"/>
    <col min="207" max="207" width="21.5546875" style="13" customWidth="1"/>
    <col min="208" max="209" width="14.109375" style="13" customWidth="1"/>
    <col min="210" max="210" width="15" style="13" customWidth="1"/>
    <col min="211" max="211" width="13.33203125" style="13" customWidth="1"/>
    <col min="212" max="212" width="17" style="13" customWidth="1"/>
    <col min="213" max="213" width="24.88671875" style="13" customWidth="1"/>
    <col min="214" max="214" width="14.44140625" style="13" customWidth="1"/>
    <col min="215" max="215" width="23.109375" style="13" customWidth="1"/>
    <col min="216" max="216" width="13.109375" style="13" customWidth="1"/>
    <col min="217" max="220" width="0" style="13" hidden="1" customWidth="1"/>
    <col min="221" max="456" width="10.33203125" style="13"/>
    <col min="457" max="457" width="7" style="13" customWidth="1"/>
    <col min="458" max="458" width="13" style="13" customWidth="1"/>
    <col min="459" max="459" width="14.109375" style="13" customWidth="1"/>
    <col min="460" max="460" width="17.33203125" style="13" customWidth="1"/>
    <col min="461" max="461" width="18.88671875" style="13" customWidth="1"/>
    <col min="462" max="462" width="14.109375" style="13" customWidth="1"/>
    <col min="463" max="463" width="21.5546875" style="13" customWidth="1"/>
    <col min="464" max="465" width="14.109375" style="13" customWidth="1"/>
    <col min="466" max="466" width="15" style="13" customWidth="1"/>
    <col min="467" max="467" width="13.33203125" style="13" customWidth="1"/>
    <col min="468" max="468" width="17" style="13" customWidth="1"/>
    <col min="469" max="469" width="24.88671875" style="13" customWidth="1"/>
    <col min="470" max="470" width="14.44140625" style="13" customWidth="1"/>
    <col min="471" max="471" width="23.109375" style="13" customWidth="1"/>
    <col min="472" max="472" width="13.109375" style="13" customWidth="1"/>
    <col min="473" max="476" width="0" style="13" hidden="1" customWidth="1"/>
    <col min="477" max="712" width="10.33203125" style="13"/>
    <col min="713" max="713" width="7" style="13" customWidth="1"/>
    <col min="714" max="714" width="13" style="13" customWidth="1"/>
    <col min="715" max="715" width="14.109375" style="13" customWidth="1"/>
    <col min="716" max="716" width="17.33203125" style="13" customWidth="1"/>
    <col min="717" max="717" width="18.88671875" style="13" customWidth="1"/>
    <col min="718" max="718" width="14.109375" style="13" customWidth="1"/>
    <col min="719" max="719" width="21.5546875" style="13" customWidth="1"/>
    <col min="720" max="721" width="14.109375" style="13" customWidth="1"/>
    <col min="722" max="722" width="15" style="13" customWidth="1"/>
    <col min="723" max="723" width="13.33203125" style="13" customWidth="1"/>
    <col min="724" max="724" width="17" style="13" customWidth="1"/>
    <col min="725" max="725" width="24.88671875" style="13" customWidth="1"/>
    <col min="726" max="726" width="14.44140625" style="13" customWidth="1"/>
    <col min="727" max="727" width="23.109375" style="13" customWidth="1"/>
    <col min="728" max="728" width="13.109375" style="13" customWidth="1"/>
    <col min="729" max="732" width="0" style="13" hidden="1" customWidth="1"/>
    <col min="733" max="968" width="10.33203125" style="13"/>
    <col min="969" max="969" width="7" style="13" customWidth="1"/>
    <col min="970" max="970" width="13" style="13" customWidth="1"/>
    <col min="971" max="971" width="14.109375" style="13" customWidth="1"/>
    <col min="972" max="972" width="17.33203125" style="13" customWidth="1"/>
    <col min="973" max="973" width="18.88671875" style="13" customWidth="1"/>
    <col min="974" max="974" width="14.109375" style="13" customWidth="1"/>
    <col min="975" max="975" width="21.5546875" style="13" customWidth="1"/>
    <col min="976" max="977" width="14.109375" style="13" customWidth="1"/>
    <col min="978" max="978" width="15" style="13" customWidth="1"/>
    <col min="979" max="979" width="13.33203125" style="13" customWidth="1"/>
    <col min="980" max="980" width="17" style="13" customWidth="1"/>
    <col min="981" max="981" width="24.88671875" style="13" customWidth="1"/>
    <col min="982" max="982" width="14.44140625" style="13" customWidth="1"/>
    <col min="983" max="983" width="23.109375" style="13" customWidth="1"/>
    <col min="984" max="984" width="13.109375" style="13" customWidth="1"/>
    <col min="985" max="988" width="0" style="13" hidden="1" customWidth="1"/>
    <col min="989" max="1224" width="10.33203125" style="13"/>
    <col min="1225" max="1225" width="7" style="13" customWidth="1"/>
    <col min="1226" max="1226" width="13" style="13" customWidth="1"/>
    <col min="1227" max="1227" width="14.109375" style="13" customWidth="1"/>
    <col min="1228" max="1228" width="17.33203125" style="13" customWidth="1"/>
    <col min="1229" max="1229" width="18.88671875" style="13" customWidth="1"/>
    <col min="1230" max="1230" width="14.109375" style="13" customWidth="1"/>
    <col min="1231" max="1231" width="21.5546875" style="13" customWidth="1"/>
    <col min="1232" max="1233" width="14.109375" style="13" customWidth="1"/>
    <col min="1234" max="1234" width="15" style="13" customWidth="1"/>
    <col min="1235" max="1235" width="13.33203125" style="13" customWidth="1"/>
    <col min="1236" max="1236" width="17" style="13" customWidth="1"/>
    <col min="1237" max="1237" width="24.88671875" style="13" customWidth="1"/>
    <col min="1238" max="1238" width="14.44140625" style="13" customWidth="1"/>
    <col min="1239" max="1239" width="23.109375" style="13" customWidth="1"/>
    <col min="1240" max="1240" width="13.109375" style="13" customWidth="1"/>
    <col min="1241" max="1244" width="0" style="13" hidden="1" customWidth="1"/>
    <col min="1245" max="1480" width="10.33203125" style="13"/>
    <col min="1481" max="1481" width="7" style="13" customWidth="1"/>
    <col min="1482" max="1482" width="13" style="13" customWidth="1"/>
    <col min="1483" max="1483" width="14.109375" style="13" customWidth="1"/>
    <col min="1484" max="1484" width="17.33203125" style="13" customWidth="1"/>
    <col min="1485" max="1485" width="18.88671875" style="13" customWidth="1"/>
    <col min="1486" max="1486" width="14.109375" style="13" customWidth="1"/>
    <col min="1487" max="1487" width="21.5546875" style="13" customWidth="1"/>
    <col min="1488" max="1489" width="14.109375" style="13" customWidth="1"/>
    <col min="1490" max="1490" width="15" style="13" customWidth="1"/>
    <col min="1491" max="1491" width="13.33203125" style="13" customWidth="1"/>
    <col min="1492" max="1492" width="17" style="13" customWidth="1"/>
    <col min="1493" max="1493" width="24.88671875" style="13" customWidth="1"/>
    <col min="1494" max="1494" width="14.44140625" style="13" customWidth="1"/>
    <col min="1495" max="1495" width="23.109375" style="13" customWidth="1"/>
    <col min="1496" max="1496" width="13.109375" style="13" customWidth="1"/>
    <col min="1497" max="1500" width="0" style="13" hidden="1" customWidth="1"/>
    <col min="1501" max="1736" width="10.33203125" style="13"/>
    <col min="1737" max="1737" width="7" style="13" customWidth="1"/>
    <col min="1738" max="1738" width="13" style="13" customWidth="1"/>
    <col min="1739" max="1739" width="14.109375" style="13" customWidth="1"/>
    <col min="1740" max="1740" width="17.33203125" style="13" customWidth="1"/>
    <col min="1741" max="1741" width="18.88671875" style="13" customWidth="1"/>
    <col min="1742" max="1742" width="14.109375" style="13" customWidth="1"/>
    <col min="1743" max="1743" width="21.5546875" style="13" customWidth="1"/>
    <col min="1744" max="1745" width="14.109375" style="13" customWidth="1"/>
    <col min="1746" max="1746" width="15" style="13" customWidth="1"/>
    <col min="1747" max="1747" width="13.33203125" style="13" customWidth="1"/>
    <col min="1748" max="1748" width="17" style="13" customWidth="1"/>
    <col min="1749" max="1749" width="24.88671875" style="13" customWidth="1"/>
    <col min="1750" max="1750" width="14.44140625" style="13" customWidth="1"/>
    <col min="1751" max="1751" width="23.109375" style="13" customWidth="1"/>
    <col min="1752" max="1752" width="13.109375" style="13" customWidth="1"/>
    <col min="1753" max="1756" width="0" style="13" hidden="1" customWidth="1"/>
    <col min="1757" max="1992" width="10.33203125" style="13"/>
    <col min="1993" max="1993" width="7" style="13" customWidth="1"/>
    <col min="1994" max="1994" width="13" style="13" customWidth="1"/>
    <col min="1995" max="1995" width="14.109375" style="13" customWidth="1"/>
    <col min="1996" max="1996" width="17.33203125" style="13" customWidth="1"/>
    <col min="1997" max="1997" width="18.88671875" style="13" customWidth="1"/>
    <col min="1998" max="1998" width="14.109375" style="13" customWidth="1"/>
    <col min="1999" max="1999" width="21.5546875" style="13" customWidth="1"/>
    <col min="2000" max="2001" width="14.109375" style="13" customWidth="1"/>
    <col min="2002" max="2002" width="15" style="13" customWidth="1"/>
    <col min="2003" max="2003" width="13.33203125" style="13" customWidth="1"/>
    <col min="2004" max="2004" width="17" style="13" customWidth="1"/>
    <col min="2005" max="2005" width="24.88671875" style="13" customWidth="1"/>
    <col min="2006" max="2006" width="14.44140625" style="13" customWidth="1"/>
    <col min="2007" max="2007" width="23.109375" style="13" customWidth="1"/>
    <col min="2008" max="2008" width="13.109375" style="13" customWidth="1"/>
    <col min="2009" max="2012" width="0" style="13" hidden="1" customWidth="1"/>
    <col min="2013" max="2248" width="10.33203125" style="13"/>
    <col min="2249" max="2249" width="7" style="13" customWidth="1"/>
    <col min="2250" max="2250" width="13" style="13" customWidth="1"/>
    <col min="2251" max="2251" width="14.109375" style="13" customWidth="1"/>
    <col min="2252" max="2252" width="17.33203125" style="13" customWidth="1"/>
    <col min="2253" max="2253" width="18.88671875" style="13" customWidth="1"/>
    <col min="2254" max="2254" width="14.109375" style="13" customWidth="1"/>
    <col min="2255" max="2255" width="21.5546875" style="13" customWidth="1"/>
    <col min="2256" max="2257" width="14.109375" style="13" customWidth="1"/>
    <col min="2258" max="2258" width="15" style="13" customWidth="1"/>
    <col min="2259" max="2259" width="13.33203125" style="13" customWidth="1"/>
    <col min="2260" max="2260" width="17" style="13" customWidth="1"/>
    <col min="2261" max="2261" width="24.88671875" style="13" customWidth="1"/>
    <col min="2262" max="2262" width="14.44140625" style="13" customWidth="1"/>
    <col min="2263" max="2263" width="23.109375" style="13" customWidth="1"/>
    <col min="2264" max="2264" width="13.109375" style="13" customWidth="1"/>
    <col min="2265" max="2268" width="0" style="13" hidden="1" customWidth="1"/>
    <col min="2269" max="2504" width="10.33203125" style="13"/>
    <col min="2505" max="2505" width="7" style="13" customWidth="1"/>
    <col min="2506" max="2506" width="13" style="13" customWidth="1"/>
    <col min="2507" max="2507" width="14.109375" style="13" customWidth="1"/>
    <col min="2508" max="2508" width="17.33203125" style="13" customWidth="1"/>
    <col min="2509" max="2509" width="18.88671875" style="13" customWidth="1"/>
    <col min="2510" max="2510" width="14.109375" style="13" customWidth="1"/>
    <col min="2511" max="2511" width="21.5546875" style="13" customWidth="1"/>
    <col min="2512" max="2513" width="14.109375" style="13" customWidth="1"/>
    <col min="2514" max="2514" width="15" style="13" customWidth="1"/>
    <col min="2515" max="2515" width="13.33203125" style="13" customWidth="1"/>
    <col min="2516" max="2516" width="17" style="13" customWidth="1"/>
    <col min="2517" max="2517" width="24.88671875" style="13" customWidth="1"/>
    <col min="2518" max="2518" width="14.44140625" style="13" customWidth="1"/>
    <col min="2519" max="2519" width="23.109375" style="13" customWidth="1"/>
    <col min="2520" max="2520" width="13.109375" style="13" customWidth="1"/>
    <col min="2521" max="2524" width="0" style="13" hidden="1" customWidth="1"/>
    <col min="2525" max="2760" width="10.33203125" style="13"/>
    <col min="2761" max="2761" width="7" style="13" customWidth="1"/>
    <col min="2762" max="2762" width="13" style="13" customWidth="1"/>
    <col min="2763" max="2763" width="14.109375" style="13" customWidth="1"/>
    <col min="2764" max="2764" width="17.33203125" style="13" customWidth="1"/>
    <col min="2765" max="2765" width="18.88671875" style="13" customWidth="1"/>
    <col min="2766" max="2766" width="14.109375" style="13" customWidth="1"/>
    <col min="2767" max="2767" width="21.5546875" style="13" customWidth="1"/>
    <col min="2768" max="2769" width="14.109375" style="13" customWidth="1"/>
    <col min="2770" max="2770" width="15" style="13" customWidth="1"/>
    <col min="2771" max="2771" width="13.33203125" style="13" customWidth="1"/>
    <col min="2772" max="2772" width="17" style="13" customWidth="1"/>
    <col min="2773" max="2773" width="24.88671875" style="13" customWidth="1"/>
    <col min="2774" max="2774" width="14.44140625" style="13" customWidth="1"/>
    <col min="2775" max="2775" width="23.109375" style="13" customWidth="1"/>
    <col min="2776" max="2776" width="13.109375" style="13" customWidth="1"/>
    <col min="2777" max="2780" width="0" style="13" hidden="1" customWidth="1"/>
    <col min="2781" max="3016" width="10.33203125" style="13"/>
    <col min="3017" max="3017" width="7" style="13" customWidth="1"/>
    <col min="3018" max="3018" width="13" style="13" customWidth="1"/>
    <col min="3019" max="3019" width="14.109375" style="13" customWidth="1"/>
    <col min="3020" max="3020" width="17.33203125" style="13" customWidth="1"/>
    <col min="3021" max="3021" width="18.88671875" style="13" customWidth="1"/>
    <col min="3022" max="3022" width="14.109375" style="13" customWidth="1"/>
    <col min="3023" max="3023" width="21.5546875" style="13" customWidth="1"/>
    <col min="3024" max="3025" width="14.109375" style="13" customWidth="1"/>
    <col min="3026" max="3026" width="15" style="13" customWidth="1"/>
    <col min="3027" max="3027" width="13.33203125" style="13" customWidth="1"/>
    <col min="3028" max="3028" width="17" style="13" customWidth="1"/>
    <col min="3029" max="3029" width="24.88671875" style="13" customWidth="1"/>
    <col min="3030" max="3030" width="14.44140625" style="13" customWidth="1"/>
    <col min="3031" max="3031" width="23.109375" style="13" customWidth="1"/>
    <col min="3032" max="3032" width="13.109375" style="13" customWidth="1"/>
    <col min="3033" max="3036" width="0" style="13" hidden="1" customWidth="1"/>
    <col min="3037" max="3272" width="10.33203125" style="13"/>
    <col min="3273" max="3273" width="7" style="13" customWidth="1"/>
    <col min="3274" max="3274" width="13" style="13" customWidth="1"/>
    <col min="3275" max="3275" width="14.109375" style="13" customWidth="1"/>
    <col min="3276" max="3276" width="17.33203125" style="13" customWidth="1"/>
    <col min="3277" max="3277" width="18.88671875" style="13" customWidth="1"/>
    <col min="3278" max="3278" width="14.109375" style="13" customWidth="1"/>
    <col min="3279" max="3279" width="21.5546875" style="13" customWidth="1"/>
    <col min="3280" max="3281" width="14.109375" style="13" customWidth="1"/>
    <col min="3282" max="3282" width="15" style="13" customWidth="1"/>
    <col min="3283" max="3283" width="13.33203125" style="13" customWidth="1"/>
    <col min="3284" max="3284" width="17" style="13" customWidth="1"/>
    <col min="3285" max="3285" width="24.88671875" style="13" customWidth="1"/>
    <col min="3286" max="3286" width="14.44140625" style="13" customWidth="1"/>
    <col min="3287" max="3287" width="23.109375" style="13" customWidth="1"/>
    <col min="3288" max="3288" width="13.109375" style="13" customWidth="1"/>
    <col min="3289" max="3292" width="0" style="13" hidden="1" customWidth="1"/>
    <col min="3293" max="3528" width="10.33203125" style="13"/>
    <col min="3529" max="3529" width="7" style="13" customWidth="1"/>
    <col min="3530" max="3530" width="13" style="13" customWidth="1"/>
    <col min="3531" max="3531" width="14.109375" style="13" customWidth="1"/>
    <col min="3532" max="3532" width="17.33203125" style="13" customWidth="1"/>
    <col min="3533" max="3533" width="18.88671875" style="13" customWidth="1"/>
    <col min="3534" max="3534" width="14.109375" style="13" customWidth="1"/>
    <col min="3535" max="3535" width="21.5546875" style="13" customWidth="1"/>
    <col min="3536" max="3537" width="14.109375" style="13" customWidth="1"/>
    <col min="3538" max="3538" width="15" style="13" customWidth="1"/>
    <col min="3539" max="3539" width="13.33203125" style="13" customWidth="1"/>
    <col min="3540" max="3540" width="17" style="13" customWidth="1"/>
    <col min="3541" max="3541" width="24.88671875" style="13" customWidth="1"/>
    <col min="3542" max="3542" width="14.44140625" style="13" customWidth="1"/>
    <col min="3543" max="3543" width="23.109375" style="13" customWidth="1"/>
    <col min="3544" max="3544" width="13.109375" style="13" customWidth="1"/>
    <col min="3545" max="3548" width="0" style="13" hidden="1" customWidth="1"/>
    <col min="3549" max="3784" width="10.33203125" style="13"/>
    <col min="3785" max="3785" width="7" style="13" customWidth="1"/>
    <col min="3786" max="3786" width="13" style="13" customWidth="1"/>
    <col min="3787" max="3787" width="14.109375" style="13" customWidth="1"/>
    <col min="3788" max="3788" width="17.33203125" style="13" customWidth="1"/>
    <col min="3789" max="3789" width="18.88671875" style="13" customWidth="1"/>
    <col min="3790" max="3790" width="14.109375" style="13" customWidth="1"/>
    <col min="3791" max="3791" width="21.5546875" style="13" customWidth="1"/>
    <col min="3792" max="3793" width="14.109375" style="13" customWidth="1"/>
    <col min="3794" max="3794" width="15" style="13" customWidth="1"/>
    <col min="3795" max="3795" width="13.33203125" style="13" customWidth="1"/>
    <col min="3796" max="3796" width="17" style="13" customWidth="1"/>
    <col min="3797" max="3797" width="24.88671875" style="13" customWidth="1"/>
    <col min="3798" max="3798" width="14.44140625" style="13" customWidth="1"/>
    <col min="3799" max="3799" width="23.109375" style="13" customWidth="1"/>
    <col min="3800" max="3800" width="13.109375" style="13" customWidth="1"/>
    <col min="3801" max="3804" width="0" style="13" hidden="1" customWidth="1"/>
    <col min="3805" max="4040" width="10.33203125" style="13"/>
    <col min="4041" max="4041" width="7" style="13" customWidth="1"/>
    <col min="4042" max="4042" width="13" style="13" customWidth="1"/>
    <col min="4043" max="4043" width="14.109375" style="13" customWidth="1"/>
    <col min="4044" max="4044" width="17.33203125" style="13" customWidth="1"/>
    <col min="4045" max="4045" width="18.88671875" style="13" customWidth="1"/>
    <col min="4046" max="4046" width="14.109375" style="13" customWidth="1"/>
    <col min="4047" max="4047" width="21.5546875" style="13" customWidth="1"/>
    <col min="4048" max="4049" width="14.109375" style="13" customWidth="1"/>
    <col min="4050" max="4050" width="15" style="13" customWidth="1"/>
    <col min="4051" max="4051" width="13.33203125" style="13" customWidth="1"/>
    <col min="4052" max="4052" width="17" style="13" customWidth="1"/>
    <col min="4053" max="4053" width="24.88671875" style="13" customWidth="1"/>
    <col min="4054" max="4054" width="14.44140625" style="13" customWidth="1"/>
    <col min="4055" max="4055" width="23.109375" style="13" customWidth="1"/>
    <col min="4056" max="4056" width="13.109375" style="13" customWidth="1"/>
    <col min="4057" max="4060" width="0" style="13" hidden="1" customWidth="1"/>
    <col min="4061" max="4296" width="10.33203125" style="13"/>
    <col min="4297" max="4297" width="7" style="13" customWidth="1"/>
    <col min="4298" max="4298" width="13" style="13" customWidth="1"/>
    <col min="4299" max="4299" width="14.109375" style="13" customWidth="1"/>
    <col min="4300" max="4300" width="17.33203125" style="13" customWidth="1"/>
    <col min="4301" max="4301" width="18.88671875" style="13" customWidth="1"/>
    <col min="4302" max="4302" width="14.109375" style="13" customWidth="1"/>
    <col min="4303" max="4303" width="21.5546875" style="13" customWidth="1"/>
    <col min="4304" max="4305" width="14.109375" style="13" customWidth="1"/>
    <col min="4306" max="4306" width="15" style="13" customWidth="1"/>
    <col min="4307" max="4307" width="13.33203125" style="13" customWidth="1"/>
    <col min="4308" max="4308" width="17" style="13" customWidth="1"/>
    <col min="4309" max="4309" width="24.88671875" style="13" customWidth="1"/>
    <col min="4310" max="4310" width="14.44140625" style="13" customWidth="1"/>
    <col min="4311" max="4311" width="23.109375" style="13" customWidth="1"/>
    <col min="4312" max="4312" width="13.109375" style="13" customWidth="1"/>
    <col min="4313" max="4316" width="0" style="13" hidden="1" customWidth="1"/>
    <col min="4317" max="4552" width="10.33203125" style="13"/>
    <col min="4553" max="4553" width="7" style="13" customWidth="1"/>
    <col min="4554" max="4554" width="13" style="13" customWidth="1"/>
    <col min="4555" max="4555" width="14.109375" style="13" customWidth="1"/>
    <col min="4556" max="4556" width="17.33203125" style="13" customWidth="1"/>
    <col min="4557" max="4557" width="18.88671875" style="13" customWidth="1"/>
    <col min="4558" max="4558" width="14.109375" style="13" customWidth="1"/>
    <col min="4559" max="4559" width="21.5546875" style="13" customWidth="1"/>
    <col min="4560" max="4561" width="14.109375" style="13" customWidth="1"/>
    <col min="4562" max="4562" width="15" style="13" customWidth="1"/>
    <col min="4563" max="4563" width="13.33203125" style="13" customWidth="1"/>
    <col min="4564" max="4564" width="17" style="13" customWidth="1"/>
    <col min="4565" max="4565" width="24.88671875" style="13" customWidth="1"/>
    <col min="4566" max="4566" width="14.44140625" style="13" customWidth="1"/>
    <col min="4567" max="4567" width="23.109375" style="13" customWidth="1"/>
    <col min="4568" max="4568" width="13.109375" style="13" customWidth="1"/>
    <col min="4569" max="4572" width="0" style="13" hidden="1" customWidth="1"/>
    <col min="4573" max="4808" width="10.33203125" style="13"/>
    <col min="4809" max="4809" width="7" style="13" customWidth="1"/>
    <col min="4810" max="4810" width="13" style="13" customWidth="1"/>
    <col min="4811" max="4811" width="14.109375" style="13" customWidth="1"/>
    <col min="4812" max="4812" width="17.33203125" style="13" customWidth="1"/>
    <col min="4813" max="4813" width="18.88671875" style="13" customWidth="1"/>
    <col min="4814" max="4814" width="14.109375" style="13" customWidth="1"/>
    <col min="4815" max="4815" width="21.5546875" style="13" customWidth="1"/>
    <col min="4816" max="4817" width="14.109375" style="13" customWidth="1"/>
    <col min="4818" max="4818" width="15" style="13" customWidth="1"/>
    <col min="4819" max="4819" width="13.33203125" style="13" customWidth="1"/>
    <col min="4820" max="4820" width="17" style="13" customWidth="1"/>
    <col min="4821" max="4821" width="24.88671875" style="13" customWidth="1"/>
    <col min="4822" max="4822" width="14.44140625" style="13" customWidth="1"/>
    <col min="4823" max="4823" width="23.109375" style="13" customWidth="1"/>
    <col min="4824" max="4824" width="13.109375" style="13" customWidth="1"/>
    <col min="4825" max="4828" width="0" style="13" hidden="1" customWidth="1"/>
    <col min="4829" max="5064" width="10.33203125" style="13"/>
    <col min="5065" max="5065" width="7" style="13" customWidth="1"/>
    <col min="5066" max="5066" width="13" style="13" customWidth="1"/>
    <col min="5067" max="5067" width="14.109375" style="13" customWidth="1"/>
    <col min="5068" max="5068" width="17.33203125" style="13" customWidth="1"/>
    <col min="5069" max="5069" width="18.88671875" style="13" customWidth="1"/>
    <col min="5070" max="5070" width="14.109375" style="13" customWidth="1"/>
    <col min="5071" max="5071" width="21.5546875" style="13" customWidth="1"/>
    <col min="5072" max="5073" width="14.109375" style="13" customWidth="1"/>
    <col min="5074" max="5074" width="15" style="13" customWidth="1"/>
    <col min="5075" max="5075" width="13.33203125" style="13" customWidth="1"/>
    <col min="5076" max="5076" width="17" style="13" customWidth="1"/>
    <col min="5077" max="5077" width="24.88671875" style="13" customWidth="1"/>
    <col min="5078" max="5078" width="14.44140625" style="13" customWidth="1"/>
    <col min="5079" max="5079" width="23.109375" style="13" customWidth="1"/>
    <col min="5080" max="5080" width="13.109375" style="13" customWidth="1"/>
    <col min="5081" max="5084" width="0" style="13" hidden="1" customWidth="1"/>
    <col min="5085" max="5320" width="10.33203125" style="13"/>
    <col min="5321" max="5321" width="7" style="13" customWidth="1"/>
    <col min="5322" max="5322" width="13" style="13" customWidth="1"/>
    <col min="5323" max="5323" width="14.109375" style="13" customWidth="1"/>
    <col min="5324" max="5324" width="17.33203125" style="13" customWidth="1"/>
    <col min="5325" max="5325" width="18.88671875" style="13" customWidth="1"/>
    <col min="5326" max="5326" width="14.109375" style="13" customWidth="1"/>
    <col min="5327" max="5327" width="21.5546875" style="13" customWidth="1"/>
    <col min="5328" max="5329" width="14.109375" style="13" customWidth="1"/>
    <col min="5330" max="5330" width="15" style="13" customWidth="1"/>
    <col min="5331" max="5331" width="13.33203125" style="13" customWidth="1"/>
    <col min="5332" max="5332" width="17" style="13" customWidth="1"/>
    <col min="5333" max="5333" width="24.88671875" style="13" customWidth="1"/>
    <col min="5334" max="5334" width="14.44140625" style="13" customWidth="1"/>
    <col min="5335" max="5335" width="23.109375" style="13" customWidth="1"/>
    <col min="5336" max="5336" width="13.109375" style="13" customWidth="1"/>
    <col min="5337" max="5340" width="0" style="13" hidden="1" customWidth="1"/>
    <col min="5341" max="5576" width="10.33203125" style="13"/>
    <col min="5577" max="5577" width="7" style="13" customWidth="1"/>
    <col min="5578" max="5578" width="13" style="13" customWidth="1"/>
    <col min="5579" max="5579" width="14.109375" style="13" customWidth="1"/>
    <col min="5580" max="5580" width="17.33203125" style="13" customWidth="1"/>
    <col min="5581" max="5581" width="18.88671875" style="13" customWidth="1"/>
    <col min="5582" max="5582" width="14.109375" style="13" customWidth="1"/>
    <col min="5583" max="5583" width="21.5546875" style="13" customWidth="1"/>
    <col min="5584" max="5585" width="14.109375" style="13" customWidth="1"/>
    <col min="5586" max="5586" width="15" style="13" customWidth="1"/>
    <col min="5587" max="5587" width="13.33203125" style="13" customWidth="1"/>
    <col min="5588" max="5588" width="17" style="13" customWidth="1"/>
    <col min="5589" max="5589" width="24.88671875" style="13" customWidth="1"/>
    <col min="5590" max="5590" width="14.44140625" style="13" customWidth="1"/>
    <col min="5591" max="5591" width="23.109375" style="13" customWidth="1"/>
    <col min="5592" max="5592" width="13.109375" style="13" customWidth="1"/>
    <col min="5593" max="5596" width="0" style="13" hidden="1" customWidth="1"/>
    <col min="5597" max="5832" width="10.33203125" style="13"/>
    <col min="5833" max="5833" width="7" style="13" customWidth="1"/>
    <col min="5834" max="5834" width="13" style="13" customWidth="1"/>
    <col min="5835" max="5835" width="14.109375" style="13" customWidth="1"/>
    <col min="5836" max="5836" width="17.33203125" style="13" customWidth="1"/>
    <col min="5837" max="5837" width="18.88671875" style="13" customWidth="1"/>
    <col min="5838" max="5838" width="14.109375" style="13" customWidth="1"/>
    <col min="5839" max="5839" width="21.5546875" style="13" customWidth="1"/>
    <col min="5840" max="5841" width="14.109375" style="13" customWidth="1"/>
    <col min="5842" max="5842" width="15" style="13" customWidth="1"/>
    <col min="5843" max="5843" width="13.33203125" style="13" customWidth="1"/>
    <col min="5844" max="5844" width="17" style="13" customWidth="1"/>
    <col min="5845" max="5845" width="24.88671875" style="13" customWidth="1"/>
    <col min="5846" max="5846" width="14.44140625" style="13" customWidth="1"/>
    <col min="5847" max="5847" width="23.109375" style="13" customWidth="1"/>
    <col min="5848" max="5848" width="13.109375" style="13" customWidth="1"/>
    <col min="5849" max="5852" width="0" style="13" hidden="1" customWidth="1"/>
    <col min="5853" max="6088" width="10.33203125" style="13"/>
    <col min="6089" max="6089" width="7" style="13" customWidth="1"/>
    <col min="6090" max="6090" width="13" style="13" customWidth="1"/>
    <col min="6091" max="6091" width="14.109375" style="13" customWidth="1"/>
    <col min="6092" max="6092" width="17.33203125" style="13" customWidth="1"/>
    <col min="6093" max="6093" width="18.88671875" style="13" customWidth="1"/>
    <col min="6094" max="6094" width="14.109375" style="13" customWidth="1"/>
    <col min="6095" max="6095" width="21.5546875" style="13" customWidth="1"/>
    <col min="6096" max="6097" width="14.109375" style="13" customWidth="1"/>
    <col min="6098" max="6098" width="15" style="13" customWidth="1"/>
    <col min="6099" max="6099" width="13.33203125" style="13" customWidth="1"/>
    <col min="6100" max="6100" width="17" style="13" customWidth="1"/>
    <col min="6101" max="6101" width="24.88671875" style="13" customWidth="1"/>
    <col min="6102" max="6102" width="14.44140625" style="13" customWidth="1"/>
    <col min="6103" max="6103" width="23.109375" style="13" customWidth="1"/>
    <col min="6104" max="6104" width="13.109375" style="13" customWidth="1"/>
    <col min="6105" max="6108" width="0" style="13" hidden="1" customWidth="1"/>
    <col min="6109" max="6344" width="10.33203125" style="13"/>
    <col min="6345" max="6345" width="7" style="13" customWidth="1"/>
    <col min="6346" max="6346" width="13" style="13" customWidth="1"/>
    <col min="6347" max="6347" width="14.109375" style="13" customWidth="1"/>
    <col min="6348" max="6348" width="17.33203125" style="13" customWidth="1"/>
    <col min="6349" max="6349" width="18.88671875" style="13" customWidth="1"/>
    <col min="6350" max="6350" width="14.109375" style="13" customWidth="1"/>
    <col min="6351" max="6351" width="21.5546875" style="13" customWidth="1"/>
    <col min="6352" max="6353" width="14.109375" style="13" customWidth="1"/>
    <col min="6354" max="6354" width="15" style="13" customWidth="1"/>
    <col min="6355" max="6355" width="13.33203125" style="13" customWidth="1"/>
    <col min="6356" max="6356" width="17" style="13" customWidth="1"/>
    <col min="6357" max="6357" width="24.88671875" style="13" customWidth="1"/>
    <col min="6358" max="6358" width="14.44140625" style="13" customWidth="1"/>
    <col min="6359" max="6359" width="23.109375" style="13" customWidth="1"/>
    <col min="6360" max="6360" width="13.109375" style="13" customWidth="1"/>
    <col min="6361" max="6364" width="0" style="13" hidden="1" customWidth="1"/>
    <col min="6365" max="6600" width="10.33203125" style="13"/>
    <col min="6601" max="6601" width="7" style="13" customWidth="1"/>
    <col min="6602" max="6602" width="13" style="13" customWidth="1"/>
    <col min="6603" max="6603" width="14.109375" style="13" customWidth="1"/>
    <col min="6604" max="6604" width="17.33203125" style="13" customWidth="1"/>
    <col min="6605" max="6605" width="18.88671875" style="13" customWidth="1"/>
    <col min="6606" max="6606" width="14.109375" style="13" customWidth="1"/>
    <col min="6607" max="6607" width="21.5546875" style="13" customWidth="1"/>
    <col min="6608" max="6609" width="14.109375" style="13" customWidth="1"/>
    <col min="6610" max="6610" width="15" style="13" customWidth="1"/>
    <col min="6611" max="6611" width="13.33203125" style="13" customWidth="1"/>
    <col min="6612" max="6612" width="17" style="13" customWidth="1"/>
    <col min="6613" max="6613" width="24.88671875" style="13" customWidth="1"/>
    <col min="6614" max="6614" width="14.44140625" style="13" customWidth="1"/>
    <col min="6615" max="6615" width="23.109375" style="13" customWidth="1"/>
    <col min="6616" max="6616" width="13.109375" style="13" customWidth="1"/>
    <col min="6617" max="6620" width="0" style="13" hidden="1" customWidth="1"/>
    <col min="6621" max="6856" width="10.33203125" style="13"/>
    <col min="6857" max="6857" width="7" style="13" customWidth="1"/>
    <col min="6858" max="6858" width="13" style="13" customWidth="1"/>
    <col min="6859" max="6859" width="14.109375" style="13" customWidth="1"/>
    <col min="6860" max="6860" width="17.33203125" style="13" customWidth="1"/>
    <col min="6861" max="6861" width="18.88671875" style="13" customWidth="1"/>
    <col min="6862" max="6862" width="14.109375" style="13" customWidth="1"/>
    <col min="6863" max="6863" width="21.5546875" style="13" customWidth="1"/>
    <col min="6864" max="6865" width="14.109375" style="13" customWidth="1"/>
    <col min="6866" max="6866" width="15" style="13" customWidth="1"/>
    <col min="6867" max="6867" width="13.33203125" style="13" customWidth="1"/>
    <col min="6868" max="6868" width="17" style="13" customWidth="1"/>
    <col min="6869" max="6869" width="24.88671875" style="13" customWidth="1"/>
    <col min="6870" max="6870" width="14.44140625" style="13" customWidth="1"/>
    <col min="6871" max="6871" width="23.109375" style="13" customWidth="1"/>
    <col min="6872" max="6872" width="13.109375" style="13" customWidth="1"/>
    <col min="6873" max="6876" width="0" style="13" hidden="1" customWidth="1"/>
    <col min="6877" max="7112" width="10.33203125" style="13"/>
    <col min="7113" max="7113" width="7" style="13" customWidth="1"/>
    <col min="7114" max="7114" width="13" style="13" customWidth="1"/>
    <col min="7115" max="7115" width="14.109375" style="13" customWidth="1"/>
    <col min="7116" max="7116" width="17.33203125" style="13" customWidth="1"/>
    <col min="7117" max="7117" width="18.88671875" style="13" customWidth="1"/>
    <col min="7118" max="7118" width="14.109375" style="13" customWidth="1"/>
    <col min="7119" max="7119" width="21.5546875" style="13" customWidth="1"/>
    <col min="7120" max="7121" width="14.109375" style="13" customWidth="1"/>
    <col min="7122" max="7122" width="15" style="13" customWidth="1"/>
    <col min="7123" max="7123" width="13.33203125" style="13" customWidth="1"/>
    <col min="7124" max="7124" width="17" style="13" customWidth="1"/>
    <col min="7125" max="7125" width="24.88671875" style="13" customWidth="1"/>
    <col min="7126" max="7126" width="14.44140625" style="13" customWidth="1"/>
    <col min="7127" max="7127" width="23.109375" style="13" customWidth="1"/>
    <col min="7128" max="7128" width="13.109375" style="13" customWidth="1"/>
    <col min="7129" max="7132" width="0" style="13" hidden="1" customWidth="1"/>
    <col min="7133" max="7368" width="10.33203125" style="13"/>
    <col min="7369" max="7369" width="7" style="13" customWidth="1"/>
    <col min="7370" max="7370" width="13" style="13" customWidth="1"/>
    <col min="7371" max="7371" width="14.109375" style="13" customWidth="1"/>
    <col min="7372" max="7372" width="17.33203125" style="13" customWidth="1"/>
    <col min="7373" max="7373" width="18.88671875" style="13" customWidth="1"/>
    <col min="7374" max="7374" width="14.109375" style="13" customWidth="1"/>
    <col min="7375" max="7375" width="21.5546875" style="13" customWidth="1"/>
    <col min="7376" max="7377" width="14.109375" style="13" customWidth="1"/>
    <col min="7378" max="7378" width="15" style="13" customWidth="1"/>
    <col min="7379" max="7379" width="13.33203125" style="13" customWidth="1"/>
    <col min="7380" max="7380" width="17" style="13" customWidth="1"/>
    <col min="7381" max="7381" width="24.88671875" style="13" customWidth="1"/>
    <col min="7382" max="7382" width="14.44140625" style="13" customWidth="1"/>
    <col min="7383" max="7383" width="23.109375" style="13" customWidth="1"/>
    <col min="7384" max="7384" width="13.109375" style="13" customWidth="1"/>
    <col min="7385" max="7388" width="0" style="13" hidden="1" customWidth="1"/>
    <col min="7389" max="7624" width="10.33203125" style="13"/>
    <col min="7625" max="7625" width="7" style="13" customWidth="1"/>
    <col min="7626" max="7626" width="13" style="13" customWidth="1"/>
    <col min="7627" max="7627" width="14.109375" style="13" customWidth="1"/>
    <col min="7628" max="7628" width="17.33203125" style="13" customWidth="1"/>
    <col min="7629" max="7629" width="18.88671875" style="13" customWidth="1"/>
    <col min="7630" max="7630" width="14.109375" style="13" customWidth="1"/>
    <col min="7631" max="7631" width="21.5546875" style="13" customWidth="1"/>
    <col min="7632" max="7633" width="14.109375" style="13" customWidth="1"/>
    <col min="7634" max="7634" width="15" style="13" customWidth="1"/>
    <col min="7635" max="7635" width="13.33203125" style="13" customWidth="1"/>
    <col min="7636" max="7636" width="17" style="13" customWidth="1"/>
    <col min="7637" max="7637" width="24.88671875" style="13" customWidth="1"/>
    <col min="7638" max="7638" width="14.44140625" style="13" customWidth="1"/>
    <col min="7639" max="7639" width="23.109375" style="13" customWidth="1"/>
    <col min="7640" max="7640" width="13.109375" style="13" customWidth="1"/>
    <col min="7641" max="7644" width="0" style="13" hidden="1" customWidth="1"/>
    <col min="7645" max="7880" width="10.33203125" style="13"/>
    <col min="7881" max="7881" width="7" style="13" customWidth="1"/>
    <col min="7882" max="7882" width="13" style="13" customWidth="1"/>
    <col min="7883" max="7883" width="14.109375" style="13" customWidth="1"/>
    <col min="7884" max="7884" width="17.33203125" style="13" customWidth="1"/>
    <col min="7885" max="7885" width="18.88671875" style="13" customWidth="1"/>
    <col min="7886" max="7886" width="14.109375" style="13" customWidth="1"/>
    <col min="7887" max="7887" width="21.5546875" style="13" customWidth="1"/>
    <col min="7888" max="7889" width="14.109375" style="13" customWidth="1"/>
    <col min="7890" max="7890" width="15" style="13" customWidth="1"/>
    <col min="7891" max="7891" width="13.33203125" style="13" customWidth="1"/>
    <col min="7892" max="7892" width="17" style="13" customWidth="1"/>
    <col min="7893" max="7893" width="24.88671875" style="13" customWidth="1"/>
    <col min="7894" max="7894" width="14.44140625" style="13" customWidth="1"/>
    <col min="7895" max="7895" width="23.109375" style="13" customWidth="1"/>
    <col min="7896" max="7896" width="13.109375" style="13" customWidth="1"/>
    <col min="7897" max="7900" width="0" style="13" hidden="1" customWidth="1"/>
    <col min="7901" max="8136" width="10.33203125" style="13"/>
    <col min="8137" max="8137" width="7" style="13" customWidth="1"/>
    <col min="8138" max="8138" width="13" style="13" customWidth="1"/>
    <col min="8139" max="8139" width="14.109375" style="13" customWidth="1"/>
    <col min="8140" max="8140" width="17.33203125" style="13" customWidth="1"/>
    <col min="8141" max="8141" width="18.88671875" style="13" customWidth="1"/>
    <col min="8142" max="8142" width="14.109375" style="13" customWidth="1"/>
    <col min="8143" max="8143" width="21.5546875" style="13" customWidth="1"/>
    <col min="8144" max="8145" width="14.109375" style="13" customWidth="1"/>
    <col min="8146" max="8146" width="15" style="13" customWidth="1"/>
    <col min="8147" max="8147" width="13.33203125" style="13" customWidth="1"/>
    <col min="8148" max="8148" width="17" style="13" customWidth="1"/>
    <col min="8149" max="8149" width="24.88671875" style="13" customWidth="1"/>
    <col min="8150" max="8150" width="14.44140625" style="13" customWidth="1"/>
    <col min="8151" max="8151" width="23.109375" style="13" customWidth="1"/>
    <col min="8152" max="8152" width="13.109375" style="13" customWidth="1"/>
    <col min="8153" max="8156" width="0" style="13" hidden="1" customWidth="1"/>
    <col min="8157" max="8392" width="10.33203125" style="13"/>
    <col min="8393" max="8393" width="7" style="13" customWidth="1"/>
    <col min="8394" max="8394" width="13" style="13" customWidth="1"/>
    <col min="8395" max="8395" width="14.109375" style="13" customWidth="1"/>
    <col min="8396" max="8396" width="17.33203125" style="13" customWidth="1"/>
    <col min="8397" max="8397" width="18.88671875" style="13" customWidth="1"/>
    <col min="8398" max="8398" width="14.109375" style="13" customWidth="1"/>
    <col min="8399" max="8399" width="21.5546875" style="13" customWidth="1"/>
    <col min="8400" max="8401" width="14.109375" style="13" customWidth="1"/>
    <col min="8402" max="8402" width="15" style="13" customWidth="1"/>
    <col min="8403" max="8403" width="13.33203125" style="13" customWidth="1"/>
    <col min="8404" max="8404" width="17" style="13" customWidth="1"/>
    <col min="8405" max="8405" width="24.88671875" style="13" customWidth="1"/>
    <col min="8406" max="8406" width="14.44140625" style="13" customWidth="1"/>
    <col min="8407" max="8407" width="23.109375" style="13" customWidth="1"/>
    <col min="8408" max="8408" width="13.109375" style="13" customWidth="1"/>
    <col min="8409" max="8412" width="0" style="13" hidden="1" customWidth="1"/>
    <col min="8413" max="8648" width="10.33203125" style="13"/>
    <col min="8649" max="8649" width="7" style="13" customWidth="1"/>
    <col min="8650" max="8650" width="13" style="13" customWidth="1"/>
    <col min="8651" max="8651" width="14.109375" style="13" customWidth="1"/>
    <col min="8652" max="8652" width="17.33203125" style="13" customWidth="1"/>
    <col min="8653" max="8653" width="18.88671875" style="13" customWidth="1"/>
    <col min="8654" max="8654" width="14.109375" style="13" customWidth="1"/>
    <col min="8655" max="8655" width="21.5546875" style="13" customWidth="1"/>
    <col min="8656" max="8657" width="14.109375" style="13" customWidth="1"/>
    <col min="8658" max="8658" width="15" style="13" customWidth="1"/>
    <col min="8659" max="8659" width="13.33203125" style="13" customWidth="1"/>
    <col min="8660" max="8660" width="17" style="13" customWidth="1"/>
    <col min="8661" max="8661" width="24.88671875" style="13" customWidth="1"/>
    <col min="8662" max="8662" width="14.44140625" style="13" customWidth="1"/>
    <col min="8663" max="8663" width="23.109375" style="13" customWidth="1"/>
    <col min="8664" max="8664" width="13.109375" style="13" customWidth="1"/>
    <col min="8665" max="8668" width="0" style="13" hidden="1" customWidth="1"/>
    <col min="8669" max="8904" width="10.33203125" style="13"/>
    <col min="8905" max="8905" width="7" style="13" customWidth="1"/>
    <col min="8906" max="8906" width="13" style="13" customWidth="1"/>
    <col min="8907" max="8907" width="14.109375" style="13" customWidth="1"/>
    <col min="8908" max="8908" width="17.33203125" style="13" customWidth="1"/>
    <col min="8909" max="8909" width="18.88671875" style="13" customWidth="1"/>
    <col min="8910" max="8910" width="14.109375" style="13" customWidth="1"/>
    <col min="8911" max="8911" width="21.5546875" style="13" customWidth="1"/>
    <col min="8912" max="8913" width="14.109375" style="13" customWidth="1"/>
    <col min="8914" max="8914" width="15" style="13" customWidth="1"/>
    <col min="8915" max="8915" width="13.33203125" style="13" customWidth="1"/>
    <col min="8916" max="8916" width="17" style="13" customWidth="1"/>
    <col min="8917" max="8917" width="24.88671875" style="13" customWidth="1"/>
    <col min="8918" max="8918" width="14.44140625" style="13" customWidth="1"/>
    <col min="8919" max="8919" width="23.109375" style="13" customWidth="1"/>
    <col min="8920" max="8920" width="13.109375" style="13" customWidth="1"/>
    <col min="8921" max="8924" width="0" style="13" hidden="1" customWidth="1"/>
    <col min="8925" max="9160" width="10.33203125" style="13"/>
    <col min="9161" max="9161" width="7" style="13" customWidth="1"/>
    <col min="9162" max="9162" width="13" style="13" customWidth="1"/>
    <col min="9163" max="9163" width="14.109375" style="13" customWidth="1"/>
    <col min="9164" max="9164" width="17.33203125" style="13" customWidth="1"/>
    <col min="9165" max="9165" width="18.88671875" style="13" customWidth="1"/>
    <col min="9166" max="9166" width="14.109375" style="13" customWidth="1"/>
    <col min="9167" max="9167" width="21.5546875" style="13" customWidth="1"/>
    <col min="9168" max="9169" width="14.109375" style="13" customWidth="1"/>
    <col min="9170" max="9170" width="15" style="13" customWidth="1"/>
    <col min="9171" max="9171" width="13.33203125" style="13" customWidth="1"/>
    <col min="9172" max="9172" width="17" style="13" customWidth="1"/>
    <col min="9173" max="9173" width="24.88671875" style="13" customWidth="1"/>
    <col min="9174" max="9174" width="14.44140625" style="13" customWidth="1"/>
    <col min="9175" max="9175" width="23.109375" style="13" customWidth="1"/>
    <col min="9176" max="9176" width="13.109375" style="13" customWidth="1"/>
    <col min="9177" max="9180" width="0" style="13" hidden="1" customWidth="1"/>
    <col min="9181" max="9416" width="10.33203125" style="13"/>
    <col min="9417" max="9417" width="7" style="13" customWidth="1"/>
    <col min="9418" max="9418" width="13" style="13" customWidth="1"/>
    <col min="9419" max="9419" width="14.109375" style="13" customWidth="1"/>
    <col min="9420" max="9420" width="17.33203125" style="13" customWidth="1"/>
    <col min="9421" max="9421" width="18.88671875" style="13" customWidth="1"/>
    <col min="9422" max="9422" width="14.109375" style="13" customWidth="1"/>
    <col min="9423" max="9423" width="21.5546875" style="13" customWidth="1"/>
    <col min="9424" max="9425" width="14.109375" style="13" customWidth="1"/>
    <col min="9426" max="9426" width="15" style="13" customWidth="1"/>
    <col min="9427" max="9427" width="13.33203125" style="13" customWidth="1"/>
    <col min="9428" max="9428" width="17" style="13" customWidth="1"/>
    <col min="9429" max="9429" width="24.88671875" style="13" customWidth="1"/>
    <col min="9430" max="9430" width="14.44140625" style="13" customWidth="1"/>
    <col min="9431" max="9431" width="23.109375" style="13" customWidth="1"/>
    <col min="9432" max="9432" width="13.109375" style="13" customWidth="1"/>
    <col min="9433" max="9436" width="0" style="13" hidden="1" customWidth="1"/>
    <col min="9437" max="9672" width="10.33203125" style="13"/>
    <col min="9673" max="9673" width="7" style="13" customWidth="1"/>
    <col min="9674" max="9674" width="13" style="13" customWidth="1"/>
    <col min="9675" max="9675" width="14.109375" style="13" customWidth="1"/>
    <col min="9676" max="9676" width="17.33203125" style="13" customWidth="1"/>
    <col min="9677" max="9677" width="18.88671875" style="13" customWidth="1"/>
    <col min="9678" max="9678" width="14.109375" style="13" customWidth="1"/>
    <col min="9679" max="9679" width="21.5546875" style="13" customWidth="1"/>
    <col min="9680" max="9681" width="14.109375" style="13" customWidth="1"/>
    <col min="9682" max="9682" width="15" style="13" customWidth="1"/>
    <col min="9683" max="9683" width="13.33203125" style="13" customWidth="1"/>
    <col min="9684" max="9684" width="17" style="13" customWidth="1"/>
    <col min="9685" max="9685" width="24.88671875" style="13" customWidth="1"/>
    <col min="9686" max="9686" width="14.44140625" style="13" customWidth="1"/>
    <col min="9687" max="9687" width="23.109375" style="13" customWidth="1"/>
    <col min="9688" max="9688" width="13.109375" style="13" customWidth="1"/>
    <col min="9689" max="9692" width="0" style="13" hidden="1" customWidth="1"/>
    <col min="9693" max="9928" width="10.33203125" style="13"/>
    <col min="9929" max="9929" width="7" style="13" customWidth="1"/>
    <col min="9930" max="9930" width="13" style="13" customWidth="1"/>
    <col min="9931" max="9931" width="14.109375" style="13" customWidth="1"/>
    <col min="9932" max="9932" width="17.33203125" style="13" customWidth="1"/>
    <col min="9933" max="9933" width="18.88671875" style="13" customWidth="1"/>
    <col min="9934" max="9934" width="14.109375" style="13" customWidth="1"/>
    <col min="9935" max="9935" width="21.5546875" style="13" customWidth="1"/>
    <col min="9936" max="9937" width="14.109375" style="13" customWidth="1"/>
    <col min="9938" max="9938" width="15" style="13" customWidth="1"/>
    <col min="9939" max="9939" width="13.33203125" style="13" customWidth="1"/>
    <col min="9940" max="9940" width="17" style="13" customWidth="1"/>
    <col min="9941" max="9941" width="24.88671875" style="13" customWidth="1"/>
    <col min="9942" max="9942" width="14.44140625" style="13" customWidth="1"/>
    <col min="9943" max="9943" width="23.109375" style="13" customWidth="1"/>
    <col min="9944" max="9944" width="13.109375" style="13" customWidth="1"/>
    <col min="9945" max="9948" width="0" style="13" hidden="1" customWidth="1"/>
    <col min="9949" max="10184" width="10.33203125" style="13"/>
    <col min="10185" max="10185" width="7" style="13" customWidth="1"/>
    <col min="10186" max="10186" width="13" style="13" customWidth="1"/>
    <col min="10187" max="10187" width="14.109375" style="13" customWidth="1"/>
    <col min="10188" max="10188" width="17.33203125" style="13" customWidth="1"/>
    <col min="10189" max="10189" width="18.88671875" style="13" customWidth="1"/>
    <col min="10190" max="10190" width="14.109375" style="13" customWidth="1"/>
    <col min="10191" max="10191" width="21.5546875" style="13" customWidth="1"/>
    <col min="10192" max="10193" width="14.109375" style="13" customWidth="1"/>
    <col min="10194" max="10194" width="15" style="13" customWidth="1"/>
    <col min="10195" max="10195" width="13.33203125" style="13" customWidth="1"/>
    <col min="10196" max="10196" width="17" style="13" customWidth="1"/>
    <col min="10197" max="10197" width="24.88671875" style="13" customWidth="1"/>
    <col min="10198" max="10198" width="14.44140625" style="13" customWidth="1"/>
    <col min="10199" max="10199" width="23.109375" style="13" customWidth="1"/>
    <col min="10200" max="10200" width="13.109375" style="13" customWidth="1"/>
    <col min="10201" max="10204" width="0" style="13" hidden="1" customWidth="1"/>
    <col min="10205" max="10440" width="10.33203125" style="13"/>
    <col min="10441" max="10441" width="7" style="13" customWidth="1"/>
    <col min="10442" max="10442" width="13" style="13" customWidth="1"/>
    <col min="10443" max="10443" width="14.109375" style="13" customWidth="1"/>
    <col min="10444" max="10444" width="17.33203125" style="13" customWidth="1"/>
    <col min="10445" max="10445" width="18.88671875" style="13" customWidth="1"/>
    <col min="10446" max="10446" width="14.109375" style="13" customWidth="1"/>
    <col min="10447" max="10447" width="21.5546875" style="13" customWidth="1"/>
    <col min="10448" max="10449" width="14.109375" style="13" customWidth="1"/>
    <col min="10450" max="10450" width="15" style="13" customWidth="1"/>
    <col min="10451" max="10451" width="13.33203125" style="13" customWidth="1"/>
    <col min="10452" max="10452" width="17" style="13" customWidth="1"/>
    <col min="10453" max="10453" width="24.88671875" style="13" customWidth="1"/>
    <col min="10454" max="10454" width="14.44140625" style="13" customWidth="1"/>
    <col min="10455" max="10455" width="23.109375" style="13" customWidth="1"/>
    <col min="10456" max="10456" width="13.109375" style="13" customWidth="1"/>
    <col min="10457" max="10460" width="0" style="13" hidden="1" customWidth="1"/>
    <col min="10461" max="10696" width="10.33203125" style="13"/>
    <col min="10697" max="10697" width="7" style="13" customWidth="1"/>
    <col min="10698" max="10698" width="13" style="13" customWidth="1"/>
    <col min="10699" max="10699" width="14.109375" style="13" customWidth="1"/>
    <col min="10700" max="10700" width="17.33203125" style="13" customWidth="1"/>
    <col min="10701" max="10701" width="18.88671875" style="13" customWidth="1"/>
    <col min="10702" max="10702" width="14.109375" style="13" customWidth="1"/>
    <col min="10703" max="10703" width="21.5546875" style="13" customWidth="1"/>
    <col min="10704" max="10705" width="14.109375" style="13" customWidth="1"/>
    <col min="10706" max="10706" width="15" style="13" customWidth="1"/>
    <col min="10707" max="10707" width="13.33203125" style="13" customWidth="1"/>
    <col min="10708" max="10708" width="17" style="13" customWidth="1"/>
    <col min="10709" max="10709" width="24.88671875" style="13" customWidth="1"/>
    <col min="10710" max="10710" width="14.44140625" style="13" customWidth="1"/>
    <col min="10711" max="10711" width="23.109375" style="13" customWidth="1"/>
    <col min="10712" max="10712" width="13.109375" style="13" customWidth="1"/>
    <col min="10713" max="10716" width="0" style="13" hidden="1" customWidth="1"/>
    <col min="10717" max="10952" width="10.33203125" style="13"/>
    <col min="10953" max="10953" width="7" style="13" customWidth="1"/>
    <col min="10954" max="10954" width="13" style="13" customWidth="1"/>
    <col min="10955" max="10955" width="14.109375" style="13" customWidth="1"/>
    <col min="10956" max="10956" width="17.33203125" style="13" customWidth="1"/>
    <col min="10957" max="10957" width="18.88671875" style="13" customWidth="1"/>
    <col min="10958" max="10958" width="14.109375" style="13" customWidth="1"/>
    <col min="10959" max="10959" width="21.5546875" style="13" customWidth="1"/>
    <col min="10960" max="10961" width="14.109375" style="13" customWidth="1"/>
    <col min="10962" max="10962" width="15" style="13" customWidth="1"/>
    <col min="10963" max="10963" width="13.33203125" style="13" customWidth="1"/>
    <col min="10964" max="10964" width="17" style="13" customWidth="1"/>
    <col min="10965" max="10965" width="24.88671875" style="13" customWidth="1"/>
    <col min="10966" max="10966" width="14.44140625" style="13" customWidth="1"/>
    <col min="10967" max="10967" width="23.109375" style="13" customWidth="1"/>
    <col min="10968" max="10968" width="13.109375" style="13" customWidth="1"/>
    <col min="10969" max="10972" width="0" style="13" hidden="1" customWidth="1"/>
    <col min="10973" max="11208" width="10.33203125" style="13"/>
    <col min="11209" max="11209" width="7" style="13" customWidth="1"/>
    <col min="11210" max="11210" width="13" style="13" customWidth="1"/>
    <col min="11211" max="11211" width="14.109375" style="13" customWidth="1"/>
    <col min="11212" max="11212" width="17.33203125" style="13" customWidth="1"/>
    <col min="11213" max="11213" width="18.88671875" style="13" customWidth="1"/>
    <col min="11214" max="11214" width="14.109375" style="13" customWidth="1"/>
    <col min="11215" max="11215" width="21.5546875" style="13" customWidth="1"/>
    <col min="11216" max="11217" width="14.109375" style="13" customWidth="1"/>
    <col min="11218" max="11218" width="15" style="13" customWidth="1"/>
    <col min="11219" max="11219" width="13.33203125" style="13" customWidth="1"/>
    <col min="11220" max="11220" width="17" style="13" customWidth="1"/>
    <col min="11221" max="11221" width="24.88671875" style="13" customWidth="1"/>
    <col min="11222" max="11222" width="14.44140625" style="13" customWidth="1"/>
    <col min="11223" max="11223" width="23.109375" style="13" customWidth="1"/>
    <col min="11224" max="11224" width="13.109375" style="13" customWidth="1"/>
    <col min="11225" max="11228" width="0" style="13" hidden="1" customWidth="1"/>
    <col min="11229" max="11464" width="10.33203125" style="13"/>
    <col min="11465" max="11465" width="7" style="13" customWidth="1"/>
    <col min="11466" max="11466" width="13" style="13" customWidth="1"/>
    <col min="11467" max="11467" width="14.109375" style="13" customWidth="1"/>
    <col min="11468" max="11468" width="17.33203125" style="13" customWidth="1"/>
    <col min="11469" max="11469" width="18.88671875" style="13" customWidth="1"/>
    <col min="11470" max="11470" width="14.109375" style="13" customWidth="1"/>
    <col min="11471" max="11471" width="21.5546875" style="13" customWidth="1"/>
    <col min="11472" max="11473" width="14.109375" style="13" customWidth="1"/>
    <col min="11474" max="11474" width="15" style="13" customWidth="1"/>
    <col min="11475" max="11475" width="13.33203125" style="13" customWidth="1"/>
    <col min="11476" max="11476" width="17" style="13" customWidth="1"/>
    <col min="11477" max="11477" width="24.88671875" style="13" customWidth="1"/>
    <col min="11478" max="11478" width="14.44140625" style="13" customWidth="1"/>
    <col min="11479" max="11479" width="23.109375" style="13" customWidth="1"/>
    <col min="11480" max="11480" width="13.109375" style="13" customWidth="1"/>
    <col min="11481" max="11484" width="0" style="13" hidden="1" customWidth="1"/>
    <col min="11485" max="11720" width="10.33203125" style="13"/>
    <col min="11721" max="11721" width="7" style="13" customWidth="1"/>
    <col min="11722" max="11722" width="13" style="13" customWidth="1"/>
    <col min="11723" max="11723" width="14.109375" style="13" customWidth="1"/>
    <col min="11724" max="11724" width="17.33203125" style="13" customWidth="1"/>
    <col min="11725" max="11725" width="18.88671875" style="13" customWidth="1"/>
    <col min="11726" max="11726" width="14.109375" style="13" customWidth="1"/>
    <col min="11727" max="11727" width="21.5546875" style="13" customWidth="1"/>
    <col min="11728" max="11729" width="14.109375" style="13" customWidth="1"/>
    <col min="11730" max="11730" width="15" style="13" customWidth="1"/>
    <col min="11731" max="11731" width="13.33203125" style="13" customWidth="1"/>
    <col min="11732" max="11732" width="17" style="13" customWidth="1"/>
    <col min="11733" max="11733" width="24.88671875" style="13" customWidth="1"/>
    <col min="11734" max="11734" width="14.44140625" style="13" customWidth="1"/>
    <col min="11735" max="11735" width="23.109375" style="13" customWidth="1"/>
    <col min="11736" max="11736" width="13.109375" style="13" customWidth="1"/>
    <col min="11737" max="11740" width="0" style="13" hidden="1" customWidth="1"/>
    <col min="11741" max="11976" width="10.33203125" style="13"/>
    <col min="11977" max="11977" width="7" style="13" customWidth="1"/>
    <col min="11978" max="11978" width="13" style="13" customWidth="1"/>
    <col min="11979" max="11979" width="14.109375" style="13" customWidth="1"/>
    <col min="11980" max="11980" width="17.33203125" style="13" customWidth="1"/>
    <col min="11981" max="11981" width="18.88671875" style="13" customWidth="1"/>
    <col min="11982" max="11982" width="14.109375" style="13" customWidth="1"/>
    <col min="11983" max="11983" width="21.5546875" style="13" customWidth="1"/>
    <col min="11984" max="11985" width="14.109375" style="13" customWidth="1"/>
    <col min="11986" max="11986" width="15" style="13" customWidth="1"/>
    <col min="11987" max="11987" width="13.33203125" style="13" customWidth="1"/>
    <col min="11988" max="11988" width="17" style="13" customWidth="1"/>
    <col min="11989" max="11989" width="24.88671875" style="13" customWidth="1"/>
    <col min="11990" max="11990" width="14.44140625" style="13" customWidth="1"/>
    <col min="11991" max="11991" width="23.109375" style="13" customWidth="1"/>
    <col min="11992" max="11992" width="13.109375" style="13" customWidth="1"/>
    <col min="11993" max="11996" width="0" style="13" hidden="1" customWidth="1"/>
    <col min="11997" max="12232" width="10.33203125" style="13"/>
    <col min="12233" max="12233" width="7" style="13" customWidth="1"/>
    <col min="12234" max="12234" width="13" style="13" customWidth="1"/>
    <col min="12235" max="12235" width="14.109375" style="13" customWidth="1"/>
    <col min="12236" max="12236" width="17.33203125" style="13" customWidth="1"/>
    <col min="12237" max="12237" width="18.88671875" style="13" customWidth="1"/>
    <col min="12238" max="12238" width="14.109375" style="13" customWidth="1"/>
    <col min="12239" max="12239" width="21.5546875" style="13" customWidth="1"/>
    <col min="12240" max="12241" width="14.109375" style="13" customWidth="1"/>
    <col min="12242" max="12242" width="15" style="13" customWidth="1"/>
    <col min="12243" max="12243" width="13.33203125" style="13" customWidth="1"/>
    <col min="12244" max="12244" width="17" style="13" customWidth="1"/>
    <col min="12245" max="12245" width="24.88671875" style="13" customWidth="1"/>
    <col min="12246" max="12246" width="14.44140625" style="13" customWidth="1"/>
    <col min="12247" max="12247" width="23.109375" style="13" customWidth="1"/>
    <col min="12248" max="12248" width="13.109375" style="13" customWidth="1"/>
    <col min="12249" max="12252" width="0" style="13" hidden="1" customWidth="1"/>
    <col min="12253" max="12488" width="10.33203125" style="13"/>
    <col min="12489" max="12489" width="7" style="13" customWidth="1"/>
    <col min="12490" max="12490" width="13" style="13" customWidth="1"/>
    <col min="12491" max="12491" width="14.109375" style="13" customWidth="1"/>
    <col min="12492" max="12492" width="17.33203125" style="13" customWidth="1"/>
    <col min="12493" max="12493" width="18.88671875" style="13" customWidth="1"/>
    <col min="12494" max="12494" width="14.109375" style="13" customWidth="1"/>
    <col min="12495" max="12495" width="21.5546875" style="13" customWidth="1"/>
    <col min="12496" max="12497" width="14.109375" style="13" customWidth="1"/>
    <col min="12498" max="12498" width="15" style="13" customWidth="1"/>
    <col min="12499" max="12499" width="13.33203125" style="13" customWidth="1"/>
    <col min="12500" max="12500" width="17" style="13" customWidth="1"/>
    <col min="12501" max="12501" width="24.88671875" style="13" customWidth="1"/>
    <col min="12502" max="12502" width="14.44140625" style="13" customWidth="1"/>
    <col min="12503" max="12503" width="23.109375" style="13" customWidth="1"/>
    <col min="12504" max="12504" width="13.109375" style="13" customWidth="1"/>
    <col min="12505" max="12508" width="0" style="13" hidden="1" customWidth="1"/>
    <col min="12509" max="12744" width="10.33203125" style="13"/>
    <col min="12745" max="12745" width="7" style="13" customWidth="1"/>
    <col min="12746" max="12746" width="13" style="13" customWidth="1"/>
    <col min="12747" max="12747" width="14.109375" style="13" customWidth="1"/>
    <col min="12748" max="12748" width="17.33203125" style="13" customWidth="1"/>
    <col min="12749" max="12749" width="18.88671875" style="13" customWidth="1"/>
    <col min="12750" max="12750" width="14.109375" style="13" customWidth="1"/>
    <col min="12751" max="12751" width="21.5546875" style="13" customWidth="1"/>
    <col min="12752" max="12753" width="14.109375" style="13" customWidth="1"/>
    <col min="12754" max="12754" width="15" style="13" customWidth="1"/>
    <col min="12755" max="12755" width="13.33203125" style="13" customWidth="1"/>
    <col min="12756" max="12756" width="17" style="13" customWidth="1"/>
    <col min="12757" max="12757" width="24.88671875" style="13" customWidth="1"/>
    <col min="12758" max="12758" width="14.44140625" style="13" customWidth="1"/>
    <col min="12759" max="12759" width="23.109375" style="13" customWidth="1"/>
    <col min="12760" max="12760" width="13.109375" style="13" customWidth="1"/>
    <col min="12761" max="12764" width="0" style="13" hidden="1" customWidth="1"/>
    <col min="12765" max="13000" width="10.33203125" style="13"/>
    <col min="13001" max="13001" width="7" style="13" customWidth="1"/>
    <col min="13002" max="13002" width="13" style="13" customWidth="1"/>
    <col min="13003" max="13003" width="14.109375" style="13" customWidth="1"/>
    <col min="13004" max="13004" width="17.33203125" style="13" customWidth="1"/>
    <col min="13005" max="13005" width="18.88671875" style="13" customWidth="1"/>
    <col min="13006" max="13006" width="14.109375" style="13" customWidth="1"/>
    <col min="13007" max="13007" width="21.5546875" style="13" customWidth="1"/>
    <col min="13008" max="13009" width="14.109375" style="13" customWidth="1"/>
    <col min="13010" max="13010" width="15" style="13" customWidth="1"/>
    <col min="13011" max="13011" width="13.33203125" style="13" customWidth="1"/>
    <col min="13012" max="13012" width="17" style="13" customWidth="1"/>
    <col min="13013" max="13013" width="24.88671875" style="13" customWidth="1"/>
    <col min="13014" max="13014" width="14.44140625" style="13" customWidth="1"/>
    <col min="13015" max="13015" width="23.109375" style="13" customWidth="1"/>
    <col min="13016" max="13016" width="13.109375" style="13" customWidth="1"/>
    <col min="13017" max="13020" width="0" style="13" hidden="1" customWidth="1"/>
    <col min="13021" max="13256" width="10.33203125" style="13"/>
    <col min="13257" max="13257" width="7" style="13" customWidth="1"/>
    <col min="13258" max="13258" width="13" style="13" customWidth="1"/>
    <col min="13259" max="13259" width="14.109375" style="13" customWidth="1"/>
    <col min="13260" max="13260" width="17.33203125" style="13" customWidth="1"/>
    <col min="13261" max="13261" width="18.88671875" style="13" customWidth="1"/>
    <col min="13262" max="13262" width="14.109375" style="13" customWidth="1"/>
    <col min="13263" max="13263" width="21.5546875" style="13" customWidth="1"/>
    <col min="13264" max="13265" width="14.109375" style="13" customWidth="1"/>
    <col min="13266" max="13266" width="15" style="13" customWidth="1"/>
    <col min="13267" max="13267" width="13.33203125" style="13" customWidth="1"/>
    <col min="13268" max="13268" width="17" style="13" customWidth="1"/>
    <col min="13269" max="13269" width="24.88671875" style="13" customWidth="1"/>
    <col min="13270" max="13270" width="14.44140625" style="13" customWidth="1"/>
    <col min="13271" max="13271" width="23.109375" style="13" customWidth="1"/>
    <col min="13272" max="13272" width="13.109375" style="13" customWidth="1"/>
    <col min="13273" max="13276" width="0" style="13" hidden="1" customWidth="1"/>
    <col min="13277" max="13512" width="10.33203125" style="13"/>
    <col min="13513" max="13513" width="7" style="13" customWidth="1"/>
    <col min="13514" max="13514" width="13" style="13" customWidth="1"/>
    <col min="13515" max="13515" width="14.109375" style="13" customWidth="1"/>
    <col min="13516" max="13516" width="17.33203125" style="13" customWidth="1"/>
    <col min="13517" max="13517" width="18.88671875" style="13" customWidth="1"/>
    <col min="13518" max="13518" width="14.109375" style="13" customWidth="1"/>
    <col min="13519" max="13519" width="21.5546875" style="13" customWidth="1"/>
    <col min="13520" max="13521" width="14.109375" style="13" customWidth="1"/>
    <col min="13522" max="13522" width="15" style="13" customWidth="1"/>
    <col min="13523" max="13523" width="13.33203125" style="13" customWidth="1"/>
    <col min="13524" max="13524" width="17" style="13" customWidth="1"/>
    <col min="13525" max="13525" width="24.88671875" style="13" customWidth="1"/>
    <col min="13526" max="13526" width="14.44140625" style="13" customWidth="1"/>
    <col min="13527" max="13527" width="23.109375" style="13" customWidth="1"/>
    <col min="13528" max="13528" width="13.109375" style="13" customWidth="1"/>
    <col min="13529" max="13532" width="0" style="13" hidden="1" customWidth="1"/>
    <col min="13533" max="13768" width="10.33203125" style="13"/>
    <col min="13769" max="13769" width="7" style="13" customWidth="1"/>
    <col min="13770" max="13770" width="13" style="13" customWidth="1"/>
    <col min="13771" max="13771" width="14.109375" style="13" customWidth="1"/>
    <col min="13772" max="13772" width="17.33203125" style="13" customWidth="1"/>
    <col min="13773" max="13773" width="18.88671875" style="13" customWidth="1"/>
    <col min="13774" max="13774" width="14.109375" style="13" customWidth="1"/>
    <col min="13775" max="13775" width="21.5546875" style="13" customWidth="1"/>
    <col min="13776" max="13777" width="14.109375" style="13" customWidth="1"/>
    <col min="13778" max="13778" width="15" style="13" customWidth="1"/>
    <col min="13779" max="13779" width="13.33203125" style="13" customWidth="1"/>
    <col min="13780" max="13780" width="17" style="13" customWidth="1"/>
    <col min="13781" max="13781" width="24.88671875" style="13" customWidth="1"/>
    <col min="13782" max="13782" width="14.44140625" style="13" customWidth="1"/>
    <col min="13783" max="13783" width="23.109375" style="13" customWidth="1"/>
    <col min="13784" max="13784" width="13.109375" style="13" customWidth="1"/>
    <col min="13785" max="13788" width="0" style="13" hidden="1" customWidth="1"/>
    <col min="13789" max="14024" width="10.33203125" style="13"/>
    <col min="14025" max="14025" width="7" style="13" customWidth="1"/>
    <col min="14026" max="14026" width="13" style="13" customWidth="1"/>
    <col min="14027" max="14027" width="14.109375" style="13" customWidth="1"/>
    <col min="14028" max="14028" width="17.33203125" style="13" customWidth="1"/>
    <col min="14029" max="14029" width="18.88671875" style="13" customWidth="1"/>
    <col min="14030" max="14030" width="14.109375" style="13" customWidth="1"/>
    <col min="14031" max="14031" width="21.5546875" style="13" customWidth="1"/>
    <col min="14032" max="14033" width="14.109375" style="13" customWidth="1"/>
    <col min="14034" max="14034" width="15" style="13" customWidth="1"/>
    <col min="14035" max="14035" width="13.33203125" style="13" customWidth="1"/>
    <col min="14036" max="14036" width="17" style="13" customWidth="1"/>
    <col min="14037" max="14037" width="24.88671875" style="13" customWidth="1"/>
    <col min="14038" max="14038" width="14.44140625" style="13" customWidth="1"/>
    <col min="14039" max="14039" width="23.109375" style="13" customWidth="1"/>
    <col min="14040" max="14040" width="13.109375" style="13" customWidth="1"/>
    <col min="14041" max="14044" width="0" style="13" hidden="1" customWidth="1"/>
    <col min="14045" max="14280" width="10.33203125" style="13"/>
    <col min="14281" max="14281" width="7" style="13" customWidth="1"/>
    <col min="14282" max="14282" width="13" style="13" customWidth="1"/>
    <col min="14283" max="14283" width="14.109375" style="13" customWidth="1"/>
    <col min="14284" max="14284" width="17.33203125" style="13" customWidth="1"/>
    <col min="14285" max="14285" width="18.88671875" style="13" customWidth="1"/>
    <col min="14286" max="14286" width="14.109375" style="13" customWidth="1"/>
    <col min="14287" max="14287" width="21.5546875" style="13" customWidth="1"/>
    <col min="14288" max="14289" width="14.109375" style="13" customWidth="1"/>
    <col min="14290" max="14290" width="15" style="13" customWidth="1"/>
    <col min="14291" max="14291" width="13.33203125" style="13" customWidth="1"/>
    <col min="14292" max="14292" width="17" style="13" customWidth="1"/>
    <col min="14293" max="14293" width="24.88671875" style="13" customWidth="1"/>
    <col min="14294" max="14294" width="14.44140625" style="13" customWidth="1"/>
    <col min="14295" max="14295" width="23.109375" style="13" customWidth="1"/>
    <col min="14296" max="14296" width="13.109375" style="13" customWidth="1"/>
    <col min="14297" max="14300" width="0" style="13" hidden="1" customWidth="1"/>
    <col min="14301" max="14536" width="10.33203125" style="13"/>
    <col min="14537" max="14537" width="7" style="13" customWidth="1"/>
    <col min="14538" max="14538" width="13" style="13" customWidth="1"/>
    <col min="14539" max="14539" width="14.109375" style="13" customWidth="1"/>
    <col min="14540" max="14540" width="17.33203125" style="13" customWidth="1"/>
    <col min="14541" max="14541" width="18.88671875" style="13" customWidth="1"/>
    <col min="14542" max="14542" width="14.109375" style="13" customWidth="1"/>
    <col min="14543" max="14543" width="21.5546875" style="13" customWidth="1"/>
    <col min="14544" max="14545" width="14.109375" style="13" customWidth="1"/>
    <col min="14546" max="14546" width="15" style="13" customWidth="1"/>
    <col min="14547" max="14547" width="13.33203125" style="13" customWidth="1"/>
    <col min="14548" max="14548" width="17" style="13" customWidth="1"/>
    <col min="14549" max="14549" width="24.88671875" style="13" customWidth="1"/>
    <col min="14550" max="14550" width="14.44140625" style="13" customWidth="1"/>
    <col min="14551" max="14551" width="23.109375" style="13" customWidth="1"/>
    <col min="14552" max="14552" width="13.109375" style="13" customWidth="1"/>
    <col min="14553" max="14556" width="0" style="13" hidden="1" customWidth="1"/>
    <col min="14557" max="14792" width="10.33203125" style="13"/>
    <col min="14793" max="14793" width="7" style="13" customWidth="1"/>
    <col min="14794" max="14794" width="13" style="13" customWidth="1"/>
    <col min="14795" max="14795" width="14.109375" style="13" customWidth="1"/>
    <col min="14796" max="14796" width="17.33203125" style="13" customWidth="1"/>
    <col min="14797" max="14797" width="18.88671875" style="13" customWidth="1"/>
    <col min="14798" max="14798" width="14.109375" style="13" customWidth="1"/>
    <col min="14799" max="14799" width="21.5546875" style="13" customWidth="1"/>
    <col min="14800" max="14801" width="14.109375" style="13" customWidth="1"/>
    <col min="14802" max="14802" width="15" style="13" customWidth="1"/>
    <col min="14803" max="14803" width="13.33203125" style="13" customWidth="1"/>
    <col min="14804" max="14804" width="17" style="13" customWidth="1"/>
    <col min="14805" max="14805" width="24.88671875" style="13" customWidth="1"/>
    <col min="14806" max="14806" width="14.44140625" style="13" customWidth="1"/>
    <col min="14807" max="14807" width="23.109375" style="13" customWidth="1"/>
    <col min="14808" max="14808" width="13.109375" style="13" customWidth="1"/>
    <col min="14809" max="14812" width="0" style="13" hidden="1" customWidth="1"/>
    <col min="14813" max="15048" width="10.33203125" style="13"/>
    <col min="15049" max="15049" width="7" style="13" customWidth="1"/>
    <col min="15050" max="15050" width="13" style="13" customWidth="1"/>
    <col min="15051" max="15051" width="14.109375" style="13" customWidth="1"/>
    <col min="15052" max="15052" width="17.33203125" style="13" customWidth="1"/>
    <col min="15053" max="15053" width="18.88671875" style="13" customWidth="1"/>
    <col min="15054" max="15054" width="14.109375" style="13" customWidth="1"/>
    <col min="15055" max="15055" width="21.5546875" style="13" customWidth="1"/>
    <col min="15056" max="15057" width="14.109375" style="13" customWidth="1"/>
    <col min="15058" max="15058" width="15" style="13" customWidth="1"/>
    <col min="15059" max="15059" width="13.33203125" style="13" customWidth="1"/>
    <col min="15060" max="15060" width="17" style="13" customWidth="1"/>
    <col min="15061" max="15061" width="24.88671875" style="13" customWidth="1"/>
    <col min="15062" max="15062" width="14.44140625" style="13" customWidth="1"/>
    <col min="15063" max="15063" width="23.109375" style="13" customWidth="1"/>
    <col min="15064" max="15064" width="13.109375" style="13" customWidth="1"/>
    <col min="15065" max="15068" width="0" style="13" hidden="1" customWidth="1"/>
    <col min="15069" max="15304" width="10.33203125" style="13"/>
    <col min="15305" max="15305" width="7" style="13" customWidth="1"/>
    <col min="15306" max="15306" width="13" style="13" customWidth="1"/>
    <col min="15307" max="15307" width="14.109375" style="13" customWidth="1"/>
    <col min="15308" max="15308" width="17.33203125" style="13" customWidth="1"/>
    <col min="15309" max="15309" width="18.88671875" style="13" customWidth="1"/>
    <col min="15310" max="15310" width="14.109375" style="13" customWidth="1"/>
    <col min="15311" max="15311" width="21.5546875" style="13" customWidth="1"/>
    <col min="15312" max="15313" width="14.109375" style="13" customWidth="1"/>
    <col min="15314" max="15314" width="15" style="13" customWidth="1"/>
    <col min="15315" max="15315" width="13.33203125" style="13" customWidth="1"/>
    <col min="15316" max="15316" width="17" style="13" customWidth="1"/>
    <col min="15317" max="15317" width="24.88671875" style="13" customWidth="1"/>
    <col min="15318" max="15318" width="14.44140625" style="13" customWidth="1"/>
    <col min="15319" max="15319" width="23.109375" style="13" customWidth="1"/>
    <col min="15320" max="15320" width="13.109375" style="13" customWidth="1"/>
    <col min="15321" max="15324" width="0" style="13" hidden="1" customWidth="1"/>
    <col min="15325" max="15560" width="10.33203125" style="13"/>
    <col min="15561" max="15561" width="7" style="13" customWidth="1"/>
    <col min="15562" max="15562" width="13" style="13" customWidth="1"/>
    <col min="15563" max="15563" width="14.109375" style="13" customWidth="1"/>
    <col min="15564" max="15564" width="17.33203125" style="13" customWidth="1"/>
    <col min="15565" max="15565" width="18.88671875" style="13" customWidth="1"/>
    <col min="15566" max="15566" width="14.109375" style="13" customWidth="1"/>
    <col min="15567" max="15567" width="21.5546875" style="13" customWidth="1"/>
    <col min="15568" max="15569" width="14.109375" style="13" customWidth="1"/>
    <col min="15570" max="15570" width="15" style="13" customWidth="1"/>
    <col min="15571" max="15571" width="13.33203125" style="13" customWidth="1"/>
    <col min="15572" max="15572" width="17" style="13" customWidth="1"/>
    <col min="15573" max="15573" width="24.88671875" style="13" customWidth="1"/>
    <col min="15574" max="15574" width="14.44140625" style="13" customWidth="1"/>
    <col min="15575" max="15575" width="23.109375" style="13" customWidth="1"/>
    <col min="15576" max="15576" width="13.109375" style="13" customWidth="1"/>
    <col min="15577" max="15580" width="0" style="13" hidden="1" customWidth="1"/>
    <col min="15581" max="15816" width="10.33203125" style="13"/>
    <col min="15817" max="15817" width="7" style="13" customWidth="1"/>
    <col min="15818" max="15818" width="13" style="13" customWidth="1"/>
    <col min="15819" max="15819" width="14.109375" style="13" customWidth="1"/>
    <col min="15820" max="15820" width="17.33203125" style="13" customWidth="1"/>
    <col min="15821" max="15821" width="18.88671875" style="13" customWidth="1"/>
    <col min="15822" max="15822" width="14.109375" style="13" customWidth="1"/>
    <col min="15823" max="15823" width="21.5546875" style="13" customWidth="1"/>
    <col min="15824" max="15825" width="14.109375" style="13" customWidth="1"/>
    <col min="15826" max="15826" width="15" style="13" customWidth="1"/>
    <col min="15827" max="15827" width="13.33203125" style="13" customWidth="1"/>
    <col min="15828" max="15828" width="17" style="13" customWidth="1"/>
    <col min="15829" max="15829" width="24.88671875" style="13" customWidth="1"/>
    <col min="15830" max="15830" width="14.44140625" style="13" customWidth="1"/>
    <col min="15831" max="15831" width="23.109375" style="13" customWidth="1"/>
    <col min="15832" max="15832" width="13.109375" style="13" customWidth="1"/>
    <col min="15833" max="15836" width="0" style="13" hidden="1" customWidth="1"/>
    <col min="15837" max="16072" width="10.33203125" style="13"/>
    <col min="16073" max="16073" width="7" style="13" customWidth="1"/>
    <col min="16074" max="16074" width="13" style="13" customWidth="1"/>
    <col min="16075" max="16075" width="14.109375" style="13" customWidth="1"/>
    <col min="16076" max="16076" width="17.33203125" style="13" customWidth="1"/>
    <col min="16077" max="16077" width="18.88671875" style="13" customWidth="1"/>
    <col min="16078" max="16078" width="14.109375" style="13" customWidth="1"/>
    <col min="16079" max="16079" width="21.5546875" style="13" customWidth="1"/>
    <col min="16080" max="16081" width="14.109375" style="13" customWidth="1"/>
    <col min="16082" max="16082" width="15" style="13" customWidth="1"/>
    <col min="16083" max="16083" width="13.33203125" style="13" customWidth="1"/>
    <col min="16084" max="16084" width="17" style="13" customWidth="1"/>
    <col min="16085" max="16085" width="24.88671875" style="13" customWidth="1"/>
    <col min="16086" max="16086" width="14.44140625" style="13" customWidth="1"/>
    <col min="16087" max="16087" width="23.109375" style="13" customWidth="1"/>
    <col min="16088" max="16088" width="13.109375" style="13" customWidth="1"/>
    <col min="16089" max="16092" width="0" style="13" hidden="1" customWidth="1"/>
    <col min="16093" max="16384" width="10.33203125" style="13"/>
  </cols>
  <sheetData>
    <row r="1" spans="1:57" s="1758" customFormat="1" ht="39.75" customHeight="1">
      <c r="A1" s="3670" t="s">
        <v>5346</v>
      </c>
      <c r="B1" s="3671"/>
      <c r="C1" s="3671"/>
      <c r="D1" s="3671"/>
      <c r="E1" s="3671"/>
      <c r="F1" s="3671"/>
      <c r="G1" s="3671"/>
      <c r="H1" s="3671"/>
      <c r="I1" s="3671"/>
      <c r="J1" s="3671"/>
      <c r="K1" s="3671"/>
      <c r="L1" s="3671"/>
      <c r="M1" s="3671"/>
      <c r="N1" s="1395"/>
      <c r="O1" s="2409"/>
      <c r="P1" s="1805"/>
      <c r="Q1" s="1395"/>
      <c r="R1" s="1395"/>
      <c r="S1" s="1563"/>
      <c r="T1" s="1563"/>
      <c r="U1" s="1394"/>
      <c r="V1" s="1752"/>
      <c r="W1" s="1752"/>
      <c r="X1" s="1752"/>
      <c r="Y1" s="1752"/>
      <c r="Z1" s="1753"/>
      <c r="AA1" s="1753"/>
      <c r="AB1" s="1752"/>
      <c r="AC1" s="1752"/>
      <c r="AD1" s="1752"/>
      <c r="AE1" s="1754"/>
      <c r="AF1" s="1755"/>
      <c r="AG1" s="1756"/>
      <c r="AH1" s="1757"/>
      <c r="AI1" s="1395"/>
    </row>
    <row r="2" spans="1:57" ht="12" customHeight="1">
      <c r="B2" s="125"/>
      <c r="P2" s="1805"/>
      <c r="V2" s="1759"/>
      <c r="W2" s="1759"/>
      <c r="X2" s="1759"/>
      <c r="Y2" s="1759"/>
      <c r="Z2" s="1760"/>
      <c r="AA2" s="1760"/>
      <c r="AB2" s="1760"/>
      <c r="AC2" s="1760"/>
      <c r="AD2" s="1760"/>
      <c r="AE2" s="1761"/>
      <c r="AF2" s="1340">
        <f>(((G2*3450000+H2*3550000+I2*AJ2)+(AI2*$AI$4*(G2+H2))+(AK2*$AK$4*(G2+H2))+(AL2*$AL$4*(G2+H2))+(AM2*$AM$4*(G2+H2))+(AO2*$AO$4*(G2+H2))+(AP2*$AP$4)+(AQ2*$AQ$4*(G2+H2))+(AR2*$AR$4*(G2+H2)))*1.08)</f>
        <v>0</v>
      </c>
      <c r="AG2" s="1760"/>
      <c r="AH2" s="1762"/>
    </row>
    <row r="3" spans="1:57" s="723" customFormat="1" ht="20.25" customHeight="1">
      <c r="A3" s="3304" t="s">
        <v>4373</v>
      </c>
      <c r="B3" s="3305"/>
      <c r="C3" s="3305"/>
      <c r="D3" s="3305"/>
      <c r="E3" s="3305"/>
      <c r="F3" s="3305"/>
      <c r="G3" s="3305"/>
      <c r="H3" s="3305"/>
      <c r="I3" s="3305"/>
      <c r="J3" s="3305"/>
      <c r="K3" s="3305"/>
      <c r="L3" s="3305"/>
      <c r="M3" s="3305"/>
      <c r="N3" s="3305"/>
      <c r="O3" s="3305"/>
      <c r="P3" s="3305"/>
      <c r="Q3" s="3305"/>
      <c r="R3" s="1763"/>
      <c r="S3" s="1763"/>
      <c r="T3" s="1763"/>
      <c r="U3" s="1764"/>
      <c r="V3" s="1764"/>
      <c r="W3" s="1764"/>
      <c r="X3" s="1764"/>
      <c r="Y3" s="1764"/>
      <c r="Z3" s="1764"/>
      <c r="AA3" s="1764"/>
      <c r="AB3" s="1764"/>
      <c r="AC3" s="1764"/>
      <c r="AD3" s="1764"/>
      <c r="AE3" s="1764"/>
      <c r="AF3" s="1764"/>
      <c r="AG3" s="1764"/>
      <c r="AH3" s="1764"/>
    </row>
    <row r="4" spans="1:57">
      <c r="B4" s="478"/>
      <c r="C4" s="648" t="s">
        <v>4370</v>
      </c>
      <c r="D4" s="3645" t="s">
        <v>6195</v>
      </c>
      <c r="E4" s="3645"/>
      <c r="F4" s="3645"/>
      <c r="G4" s="3645"/>
      <c r="H4" s="3645"/>
      <c r="I4" s="3645"/>
      <c r="J4" s="3645"/>
      <c r="K4" s="3645"/>
      <c r="L4" s="3645"/>
      <c r="M4" s="3645"/>
      <c r="N4" s="1243"/>
      <c r="Q4" s="1243"/>
      <c r="R4" s="1765"/>
      <c r="AF4" s="1769"/>
      <c r="AI4" s="1667">
        <v>800000</v>
      </c>
      <c r="AJ4" s="1668"/>
      <c r="AK4" s="1669">
        <v>900000</v>
      </c>
      <c r="AL4" s="1669">
        <v>450000</v>
      </c>
      <c r="AM4" s="1669">
        <v>2500000</v>
      </c>
      <c r="AN4" s="1669">
        <v>1000000</v>
      </c>
      <c r="AO4" s="1669">
        <v>260000</v>
      </c>
      <c r="AP4" s="1669">
        <v>1000000</v>
      </c>
      <c r="AQ4" s="1772">
        <v>400000</v>
      </c>
      <c r="AR4" s="1772">
        <v>650000</v>
      </c>
      <c r="AS4" s="1772">
        <v>1500000</v>
      </c>
      <c r="AT4" s="1772">
        <v>1500000</v>
      </c>
    </row>
    <row r="5" spans="1:57" s="3213" customFormat="1" ht="52.2" customHeight="1">
      <c r="A5" s="1271" t="s">
        <v>2</v>
      </c>
      <c r="B5" s="1271" t="s">
        <v>2773</v>
      </c>
      <c r="C5" s="1271" t="s">
        <v>3</v>
      </c>
      <c r="D5" s="1271" t="s">
        <v>4</v>
      </c>
      <c r="E5" s="1271" t="s">
        <v>4400</v>
      </c>
      <c r="F5" s="1271" t="s">
        <v>4399</v>
      </c>
      <c r="G5" s="1271" t="s">
        <v>8</v>
      </c>
      <c r="H5" s="1271" t="s">
        <v>9</v>
      </c>
      <c r="I5" s="1271" t="s">
        <v>102</v>
      </c>
      <c r="J5" s="1271" t="s">
        <v>404</v>
      </c>
      <c r="K5" s="1271" t="s">
        <v>4497</v>
      </c>
      <c r="L5" s="1271" t="s">
        <v>4409</v>
      </c>
      <c r="M5" s="1271" t="s">
        <v>4612</v>
      </c>
      <c r="N5" s="1271" t="s">
        <v>4368</v>
      </c>
      <c r="O5" s="1271" t="s">
        <v>4402</v>
      </c>
      <c r="P5" s="1271" t="s">
        <v>5939</v>
      </c>
      <c r="Q5" s="1271" t="s">
        <v>4531</v>
      </c>
      <c r="R5" s="1271" t="s">
        <v>4617</v>
      </c>
      <c r="S5" s="1271" t="s">
        <v>4398</v>
      </c>
      <c r="T5" s="1271" t="s">
        <v>8099</v>
      </c>
      <c r="U5" s="1271" t="s">
        <v>1583</v>
      </c>
      <c r="V5" s="1271" t="s">
        <v>1291</v>
      </c>
      <c r="W5" s="1271" t="s">
        <v>190</v>
      </c>
      <c r="X5" s="1271" t="s">
        <v>191</v>
      </c>
      <c r="Y5" s="1276" t="s">
        <v>192</v>
      </c>
      <c r="Z5" s="1276" t="s">
        <v>193</v>
      </c>
      <c r="AA5" s="1276" t="s">
        <v>1313</v>
      </c>
      <c r="AB5" s="1271" t="s">
        <v>194</v>
      </c>
      <c r="AC5" s="1271" t="s">
        <v>4651</v>
      </c>
      <c r="AD5" s="1271" t="s">
        <v>195</v>
      </c>
      <c r="AE5" s="1277" t="s">
        <v>197</v>
      </c>
      <c r="AF5" s="1276" t="s">
        <v>198</v>
      </c>
      <c r="AG5" s="1271" t="s">
        <v>199</v>
      </c>
      <c r="AH5" s="1288" t="s">
        <v>200</v>
      </c>
      <c r="AI5" s="3212" t="s">
        <v>4655</v>
      </c>
      <c r="AJ5" s="1800" t="s">
        <v>4663</v>
      </c>
      <c r="AK5" s="1800" t="s">
        <v>4654</v>
      </c>
      <c r="AL5" s="1800" t="s">
        <v>4656</v>
      </c>
      <c r="AM5" s="1800" t="s">
        <v>4657</v>
      </c>
      <c r="AN5" s="1800" t="s">
        <v>5093</v>
      </c>
      <c r="AO5" s="1800" t="s">
        <v>4658</v>
      </c>
      <c r="AP5" s="1800" t="s">
        <v>4659</v>
      </c>
      <c r="AQ5" s="1800" t="s">
        <v>4660</v>
      </c>
      <c r="AR5" s="1800" t="s">
        <v>4662</v>
      </c>
      <c r="AS5" s="1800" t="s">
        <v>5480</v>
      </c>
      <c r="AT5" s="1800" t="s">
        <v>5679</v>
      </c>
    </row>
    <row r="6" spans="1:57" ht="15.6">
      <c r="A6" s="3347" t="s">
        <v>4302</v>
      </c>
      <c r="B6" s="3347"/>
      <c r="C6" s="3347"/>
      <c r="D6" s="3347"/>
      <c r="E6" s="3347"/>
      <c r="F6" s="3347"/>
      <c r="G6" s="3347"/>
      <c r="H6" s="3347"/>
      <c r="I6" s="3347"/>
      <c r="J6" s="3347"/>
      <c r="K6" s="3347"/>
      <c r="L6" s="3347"/>
      <c r="M6" s="3347"/>
      <c r="N6" s="3347"/>
      <c r="O6" s="2395"/>
      <c r="P6" s="2412"/>
      <c r="Q6" s="2398"/>
      <c r="R6" s="1773"/>
      <c r="S6" s="1774"/>
      <c r="T6" s="3210"/>
      <c r="U6" s="1775"/>
      <c r="V6" s="1776"/>
      <c r="W6" s="1777"/>
      <c r="X6" s="1777"/>
      <c r="Y6" s="1777"/>
      <c r="Z6" s="1778"/>
      <c r="AA6" s="1778"/>
      <c r="AB6" s="1777"/>
      <c r="AC6" s="1779"/>
      <c r="AD6" s="1779"/>
      <c r="AE6" s="1780"/>
      <c r="AF6" s="1781"/>
      <c r="AG6" s="1781"/>
      <c r="AH6" s="1781"/>
      <c r="AI6" s="1429"/>
      <c r="AJ6" s="1430"/>
      <c r="AK6" s="1431"/>
      <c r="AL6" s="1782"/>
      <c r="AM6" s="1782"/>
      <c r="AN6" s="1782"/>
      <c r="AO6" s="1782"/>
      <c r="AP6" s="1782"/>
      <c r="AQ6" s="1782"/>
      <c r="AR6" s="1782"/>
      <c r="AS6" s="1433"/>
      <c r="AT6" s="1433"/>
    </row>
    <row r="7" spans="1:57" ht="44.25" customHeight="1">
      <c r="A7" s="658">
        <v>1</v>
      </c>
      <c r="B7" s="2741" t="s">
        <v>4391</v>
      </c>
      <c r="C7" s="1242">
        <v>106854516531</v>
      </c>
      <c r="D7" s="684" t="s">
        <v>4334</v>
      </c>
      <c r="E7" s="2742" t="s">
        <v>4401</v>
      </c>
      <c r="F7" s="2743" t="s">
        <v>4641</v>
      </c>
      <c r="G7" s="445">
        <v>3</v>
      </c>
      <c r="H7" s="445"/>
      <c r="I7" s="445"/>
      <c r="J7" s="2744" t="s">
        <v>136</v>
      </c>
      <c r="K7" s="1357">
        <v>83084</v>
      </c>
      <c r="L7" s="522" t="s">
        <v>4371</v>
      </c>
      <c r="M7" s="795" t="s">
        <v>4613</v>
      </c>
      <c r="N7" s="928" t="s">
        <v>4383</v>
      </c>
      <c r="O7" s="1320" t="s">
        <v>4390</v>
      </c>
      <c r="P7" s="2413"/>
      <c r="Q7" s="2399" t="s">
        <v>4389</v>
      </c>
      <c r="R7" s="1321"/>
      <c r="S7" s="1323" t="s">
        <v>2760</v>
      </c>
      <c r="T7" s="1492"/>
      <c r="U7" s="1328" t="s">
        <v>4618</v>
      </c>
      <c r="V7" s="1322"/>
      <c r="W7" s="1783">
        <v>1296000</v>
      </c>
      <c r="X7" s="1748">
        <f>850000*3</f>
        <v>2550000</v>
      </c>
      <c r="Y7" s="1322"/>
      <c r="Z7" s="1784"/>
      <c r="AA7" s="1750">
        <v>750000</v>
      </c>
      <c r="AB7" s="1322"/>
      <c r="AC7" s="1323"/>
      <c r="AD7" s="1339">
        <f>SUM(V7:AC7)</f>
        <v>4596000</v>
      </c>
      <c r="AE7" s="1785" t="s">
        <v>1596</v>
      </c>
      <c r="AF7" s="1340">
        <f>(((G7*3450000+H7*3550000+I7*AJ7)+(AI7*$AI$4*(G7+H7))+(AK7*$AK$4*(G7+H7))+(AL7*$AL$4*(G7+H7))+(AM7*$AM$4*(G7+H7))+(AO7*$AO$4*(G7+H7))+(AP7*$AP$4)+(AQ7*$AQ$4*(G7+H7))+(AR7*$AR$4*(G7+H7)))*1.08)</f>
        <v>17982000</v>
      </c>
      <c r="AG7" s="1528">
        <f>+AD7+AF7</f>
        <v>22578000</v>
      </c>
      <c r="AH7" s="1529"/>
      <c r="AI7" s="1432">
        <v>1</v>
      </c>
      <c r="AJ7" s="1530"/>
      <c r="AK7" s="1530">
        <v>1</v>
      </c>
      <c r="AL7" s="1530"/>
      <c r="AM7" s="1530"/>
      <c r="AN7" s="1530"/>
      <c r="AO7" s="1530"/>
      <c r="AP7" s="1530"/>
      <c r="AQ7" s="1530">
        <v>1</v>
      </c>
      <c r="AR7" s="1530"/>
      <c r="AS7" s="1433"/>
      <c r="AT7" s="1433"/>
      <c r="AU7" s="1427"/>
      <c r="AV7" s="1427"/>
      <c r="AW7" s="1427"/>
      <c r="AX7" s="1427"/>
      <c r="AY7" s="1427"/>
      <c r="AZ7" s="1427"/>
      <c r="BA7" s="1427"/>
      <c r="BB7" s="1427"/>
      <c r="BC7" s="1427"/>
      <c r="BD7" s="1427"/>
      <c r="BE7" s="1427"/>
    </row>
    <row r="8" spans="1:57" ht="75.75" customHeight="1">
      <c r="A8" s="326">
        <f t="shared" ref="A8:A71" si="0">+A7+1</f>
        <v>2</v>
      </c>
      <c r="B8" s="1329" t="s">
        <v>4725</v>
      </c>
      <c r="C8" s="1238">
        <v>106861190701</v>
      </c>
      <c r="D8" s="386" t="s">
        <v>4374</v>
      </c>
      <c r="E8" s="1309" t="s">
        <v>4401</v>
      </c>
      <c r="F8" s="1361" t="s">
        <v>4642</v>
      </c>
      <c r="G8" s="167">
        <v>6</v>
      </c>
      <c r="H8" s="167"/>
      <c r="I8" s="167"/>
      <c r="J8" s="86" t="s">
        <v>123</v>
      </c>
      <c r="K8" s="1357">
        <v>168158</v>
      </c>
      <c r="L8" s="792" t="s">
        <v>4392</v>
      </c>
      <c r="M8" s="1201" t="s">
        <v>4614</v>
      </c>
      <c r="N8" s="1423" t="s">
        <v>4650</v>
      </c>
      <c r="O8" s="2396" t="s">
        <v>4386</v>
      </c>
      <c r="P8" s="2414"/>
      <c r="Q8" s="2399" t="s">
        <v>4421</v>
      </c>
      <c r="R8" s="1321"/>
      <c r="S8" s="1305" t="s">
        <v>4387</v>
      </c>
      <c r="T8" s="1305"/>
      <c r="U8" s="1330" t="s">
        <v>4618</v>
      </c>
      <c r="V8" s="1526"/>
      <c r="W8" s="1783">
        <f>343440+343440+343440+343440+343440+343440</f>
        <v>2060640</v>
      </c>
      <c r="X8" s="1748">
        <f>6*1000000</f>
        <v>6000000</v>
      </c>
      <c r="Y8" s="1526"/>
      <c r="Z8" s="1634"/>
      <c r="AA8" s="1750">
        <v>1500000</v>
      </c>
      <c r="AB8" s="1322"/>
      <c r="AC8" s="1608"/>
      <c r="AD8" s="1339">
        <f t="shared" ref="AD8:AD45" si="1">SUM(V8:AC8)</f>
        <v>9560640</v>
      </c>
      <c r="AE8" s="1785" t="s">
        <v>4388</v>
      </c>
      <c r="AF8" s="1340">
        <f>(((G8*3450000+H8*3550000+I8*AJ8)+(AI8*$AI$4*(G8+H8))+(AK8*$AK$4*(G8+H8))+(AL8*$AL$4*(G8+H8))+(AM8*$AM$4*(G8+H8))+(AO8*$AO$4*(G8+H8))+(AP8*$AP$4)+(AQ8*$AQ$4*(G8+H8))+(AR8*$AR$4*(G8+H8)))*1.08)</f>
        <v>35056800</v>
      </c>
      <c r="AG8" s="1528">
        <f t="shared" ref="AG8:AG17" si="2">+AD8+AF8</f>
        <v>44617440</v>
      </c>
      <c r="AH8" s="1529"/>
      <c r="AI8" s="1432">
        <v>1</v>
      </c>
      <c r="AJ8" s="1530"/>
      <c r="AK8" s="1530">
        <v>1</v>
      </c>
      <c r="AL8" s="1530"/>
      <c r="AM8" s="1530"/>
      <c r="AN8" s="1530"/>
      <c r="AO8" s="1530">
        <v>1</v>
      </c>
      <c r="AP8" s="1530"/>
      <c r="AQ8" s="1530"/>
      <c r="AR8" s="1530"/>
      <c r="AS8" s="1433"/>
      <c r="AT8" s="1433"/>
      <c r="AU8" s="1427"/>
      <c r="AV8" s="1427"/>
      <c r="AW8" s="1427"/>
      <c r="AX8" s="1427"/>
      <c r="AY8" s="1427"/>
      <c r="AZ8" s="1427"/>
      <c r="BA8" s="1427"/>
      <c r="BB8" s="1427"/>
      <c r="BC8" s="1427"/>
      <c r="BD8" s="1427"/>
      <c r="BE8" s="1427"/>
    </row>
    <row r="9" spans="1:57" s="5" customFormat="1" ht="24" customHeight="1">
      <c r="A9" s="326">
        <v>3</v>
      </c>
      <c r="B9" s="1447" t="s">
        <v>4515</v>
      </c>
      <c r="C9" s="166">
        <v>106890064520</v>
      </c>
      <c r="D9" s="386" t="s">
        <v>4483</v>
      </c>
      <c r="E9" s="117" t="s">
        <v>4444</v>
      </c>
      <c r="F9" s="179" t="s">
        <v>4643</v>
      </c>
      <c r="G9" s="167">
        <v>1</v>
      </c>
      <c r="H9" s="167"/>
      <c r="I9" s="167"/>
      <c r="J9" s="79"/>
      <c r="K9" s="1210">
        <v>27910</v>
      </c>
      <c r="L9" s="1786"/>
      <c r="M9" s="577" t="s">
        <v>4615</v>
      </c>
      <c r="N9" s="692" t="s">
        <v>4520</v>
      </c>
      <c r="O9" s="2396" t="s">
        <v>4499</v>
      </c>
      <c r="P9" s="2415"/>
      <c r="Q9" s="2400" t="s">
        <v>4672</v>
      </c>
      <c r="R9" s="1787" t="s">
        <v>4673</v>
      </c>
      <c r="S9" s="1564" t="s">
        <v>287</v>
      </c>
      <c r="T9" s="2471"/>
      <c r="U9" s="1327" t="s">
        <v>4619</v>
      </c>
      <c r="V9" s="1526"/>
      <c r="W9" s="1633">
        <v>432000</v>
      </c>
      <c r="X9" s="1748">
        <v>999000</v>
      </c>
      <c r="Y9" s="1526"/>
      <c r="Z9" s="1634"/>
      <c r="AA9" s="1750">
        <v>250000</v>
      </c>
      <c r="AB9" s="1322"/>
      <c r="AC9" s="1527"/>
      <c r="AD9" s="1339">
        <f t="shared" si="1"/>
        <v>1681000</v>
      </c>
      <c r="AE9" s="1591"/>
      <c r="AF9" s="1340">
        <f>(((G9*3450000+H9*3550000+I9*AJ9)+(AI9*$AI$4*(G9+H9))+(AK9*$AK$4*(G9+H9))+(AL9*$AL$4*(G9+H9))+(AM9*$AM$4*(G9+H9))+(AO9*$AO$4*(G9+H9))+(AP9*$AP$4)+(AQ9*$AQ$4*(G9+H9))+(AR9*$AR$4*(G9+H9)))*1.08)</f>
        <v>5562000</v>
      </c>
      <c r="AG9" s="1528">
        <f t="shared" si="2"/>
        <v>7243000</v>
      </c>
      <c r="AH9" s="1529"/>
      <c r="AI9" s="1432">
        <v>1</v>
      </c>
      <c r="AJ9" s="1530"/>
      <c r="AK9" s="1433">
        <v>1</v>
      </c>
      <c r="AL9" s="1433"/>
      <c r="AM9" s="1433"/>
      <c r="AN9" s="1433"/>
      <c r="AO9" s="1433"/>
      <c r="AP9" s="1433"/>
      <c r="AQ9" s="1433"/>
      <c r="AR9" s="1433"/>
      <c r="AS9" s="1433"/>
      <c r="AT9" s="1433"/>
      <c r="AU9" s="1426"/>
      <c r="AV9" s="1426"/>
      <c r="AW9" s="1426"/>
      <c r="AX9" s="1426"/>
      <c r="AY9" s="1426"/>
      <c r="AZ9" s="1426"/>
      <c r="BA9" s="1426"/>
      <c r="BB9" s="1426"/>
      <c r="BC9" s="1426"/>
      <c r="BD9" s="1426"/>
      <c r="BE9" s="1426"/>
    </row>
    <row r="10" spans="1:57" s="5" customFormat="1" ht="15" customHeight="1">
      <c r="A10" s="326">
        <f t="shared" si="0"/>
        <v>4</v>
      </c>
      <c r="B10" s="1751"/>
      <c r="C10" s="166">
        <v>106874862730</v>
      </c>
      <c r="D10" s="386" t="s">
        <v>4421</v>
      </c>
      <c r="E10" s="47"/>
      <c r="F10" s="179" t="s">
        <v>4644</v>
      </c>
      <c r="G10" s="3672" t="s">
        <v>4450</v>
      </c>
      <c r="H10" s="3673"/>
      <c r="I10" s="3674"/>
      <c r="J10" s="79"/>
      <c r="K10" s="1357">
        <v>1912.4</v>
      </c>
      <c r="L10" s="1357" t="s">
        <v>4451</v>
      </c>
      <c r="M10" s="154" t="s">
        <v>4616</v>
      </c>
      <c r="N10" s="692"/>
      <c r="O10" s="2396"/>
      <c r="P10" s="2415"/>
      <c r="Q10" s="2401"/>
      <c r="R10" s="1525"/>
      <c r="S10" s="165"/>
      <c r="T10" s="2472"/>
      <c r="U10" s="1327" t="s">
        <v>4620</v>
      </c>
      <c r="V10" s="1526"/>
      <c r="W10" s="1526"/>
      <c r="X10" s="1526"/>
      <c r="Y10" s="1526"/>
      <c r="Z10" s="1634"/>
      <c r="AA10" s="1609"/>
      <c r="AB10" s="1322"/>
      <c r="AC10" s="1527"/>
      <c r="AD10" s="1339">
        <f t="shared" si="1"/>
        <v>0</v>
      </c>
      <c r="AE10" s="1591"/>
      <c r="AF10" s="1340">
        <f>800000*1.08</f>
        <v>864000</v>
      </c>
      <c r="AG10" s="1528">
        <f t="shared" si="2"/>
        <v>864000</v>
      </c>
      <c r="AH10" s="1529"/>
      <c r="AI10" s="1432"/>
      <c r="AJ10" s="1530"/>
      <c r="AK10" s="1433"/>
      <c r="AL10" s="1433"/>
      <c r="AM10" s="1433"/>
      <c r="AN10" s="1433"/>
      <c r="AO10" s="1433"/>
      <c r="AP10" s="1433"/>
      <c r="AQ10" s="1433"/>
      <c r="AR10" s="1433"/>
      <c r="AS10" s="1433"/>
      <c r="AT10" s="1433"/>
      <c r="AU10" s="1426"/>
      <c r="AV10" s="1426"/>
      <c r="AW10" s="1426"/>
      <c r="AX10" s="1426"/>
      <c r="AY10" s="1426"/>
      <c r="AZ10" s="1426"/>
      <c r="BA10" s="1426"/>
      <c r="BB10" s="1426"/>
      <c r="BC10" s="1426"/>
      <c r="BD10" s="1426"/>
      <c r="BE10" s="1426"/>
    </row>
    <row r="11" spans="1:57" ht="15.6">
      <c r="A11" s="3668" t="s">
        <v>4675</v>
      </c>
      <c r="B11" s="3668"/>
      <c r="C11" s="3668"/>
      <c r="D11" s="3668"/>
      <c r="E11" s="3668"/>
      <c r="F11" s="3668"/>
      <c r="G11" s="3668"/>
      <c r="H11" s="3668"/>
      <c r="I11" s="3668"/>
      <c r="J11" s="3668"/>
      <c r="K11" s="3668"/>
      <c r="L11" s="3668"/>
      <c r="M11" s="3668"/>
      <c r="N11" s="3668"/>
      <c r="O11" s="2395"/>
      <c r="P11" s="2412"/>
      <c r="Q11" s="2398"/>
      <c r="R11" s="1773"/>
      <c r="S11" s="1774"/>
      <c r="T11" s="3210"/>
      <c r="U11" s="1775"/>
      <c r="V11" s="1776"/>
      <c r="W11" s="1777">
        <f>SUM(W7:W10)</f>
        <v>3788640</v>
      </c>
      <c r="X11" s="1777">
        <f>SUM(X7:X10)</f>
        <v>9549000</v>
      </c>
      <c r="Y11" s="1777"/>
      <c r="Z11" s="1778"/>
      <c r="AA11" s="1778">
        <f>SUM(AA7:AA10)</f>
        <v>2500000</v>
      </c>
      <c r="AB11" s="1777"/>
      <c r="AC11" s="1779"/>
      <c r="AD11" s="1779">
        <f>SUM(AD7:AD10)</f>
        <v>15837640</v>
      </c>
      <c r="AE11" s="1780"/>
      <c r="AF11" s="1781">
        <f>SUM(AF7:AF10)</f>
        <v>59464800</v>
      </c>
      <c r="AG11" s="1781">
        <f>SUM(AG7:AG10)</f>
        <v>75302440</v>
      </c>
      <c r="AH11" s="1781"/>
      <c r="AI11" s="1429"/>
      <c r="AJ11" s="1430"/>
      <c r="AK11" s="1431"/>
      <c r="AL11" s="1782"/>
      <c r="AM11" s="1782"/>
      <c r="AN11" s="1782"/>
      <c r="AO11" s="1782"/>
      <c r="AP11" s="1782"/>
      <c r="AQ11" s="1782"/>
      <c r="AR11" s="1782"/>
      <c r="AS11" s="1433"/>
      <c r="AT11" s="1433"/>
    </row>
    <row r="12" spans="1:57" s="5" customFormat="1" ht="106.2">
      <c r="A12" s="326">
        <v>1</v>
      </c>
      <c r="B12" s="656" t="s">
        <v>4840</v>
      </c>
      <c r="C12" s="166">
        <v>106959854631</v>
      </c>
      <c r="D12" s="386" t="s">
        <v>4885</v>
      </c>
      <c r="E12" s="1309" t="s">
        <v>4401</v>
      </c>
      <c r="F12" s="348" t="s">
        <v>4932</v>
      </c>
      <c r="G12" s="167">
        <v>8</v>
      </c>
      <c r="H12" s="167"/>
      <c r="I12" s="167"/>
      <c r="J12" s="1620" t="s">
        <v>4879</v>
      </c>
      <c r="K12" s="1357" t="s">
        <v>4911</v>
      </c>
      <c r="L12" s="1646" t="s">
        <v>4882</v>
      </c>
      <c r="M12" s="154" t="s">
        <v>4816</v>
      </c>
      <c r="N12" s="1522" t="s">
        <v>4883</v>
      </c>
      <c r="O12" s="2396" t="s">
        <v>4880</v>
      </c>
      <c r="P12" s="2415"/>
      <c r="Q12" s="2401"/>
      <c r="R12" s="1525"/>
      <c r="S12" s="165" t="s">
        <v>2760</v>
      </c>
      <c r="T12" s="2472"/>
      <c r="U12" s="1330" t="s">
        <v>4909</v>
      </c>
      <c r="V12" s="1526"/>
      <c r="W12" s="1633">
        <v>3456000</v>
      </c>
      <c r="X12" s="1748">
        <f>999000*8</f>
        <v>7992000</v>
      </c>
      <c r="Y12" s="1526"/>
      <c r="Z12" s="1634"/>
      <c r="AA12" s="1750">
        <v>2000000</v>
      </c>
      <c r="AB12" s="1526"/>
      <c r="AC12" s="1527"/>
      <c r="AD12" s="1339">
        <f>SUM(V12:AC12)</f>
        <v>13448000</v>
      </c>
      <c r="AE12" s="1540" t="s">
        <v>4907</v>
      </c>
      <c r="AF12" s="1340">
        <f>(((G12*3450000+H12*3550000+I12*AJ12)+(AI12*$AI$4*(G12+H12))+(AK12*$AK$4*(G12+H12))+(AL12*$AL$4*(G12+H12))+(AM12*$AM$4*(G12+H12))+(AO12*$AO$4*(G12+H12))+(AP12*$AP$4)+(AQ12*$AQ$4*(G12+H12))+(AR12*$AR$4*(G12+H12)))*1.08)</f>
        <v>29808000.000000004</v>
      </c>
      <c r="AG12" s="1528">
        <f t="shared" si="2"/>
        <v>43256000</v>
      </c>
      <c r="AH12" s="1529"/>
      <c r="AI12" s="1432"/>
      <c r="AJ12" s="1530"/>
      <c r="AK12" s="1433"/>
      <c r="AL12" s="1433"/>
      <c r="AM12" s="1433"/>
      <c r="AN12" s="1433"/>
      <c r="AO12" s="1433"/>
      <c r="AP12" s="1433"/>
      <c r="AQ12" s="1433"/>
      <c r="AR12" s="1433"/>
      <c r="AS12" s="1433"/>
      <c r="AT12" s="1433"/>
      <c r="AU12" s="1426"/>
      <c r="AV12" s="1426"/>
      <c r="AW12" s="1426"/>
      <c r="AX12" s="1426"/>
      <c r="AY12" s="1426"/>
      <c r="AZ12" s="1426"/>
      <c r="BA12" s="1426"/>
      <c r="BB12" s="1426"/>
      <c r="BC12" s="1426"/>
      <c r="BD12" s="1426"/>
      <c r="BE12" s="1426"/>
    </row>
    <row r="13" spans="1:57" ht="15.6">
      <c r="A13" s="3668" t="s">
        <v>4935</v>
      </c>
      <c r="B13" s="3668"/>
      <c r="C13" s="3668"/>
      <c r="D13" s="3668"/>
      <c r="E13" s="3668"/>
      <c r="F13" s="3668"/>
      <c r="G13" s="3668"/>
      <c r="H13" s="3668"/>
      <c r="I13" s="3668"/>
      <c r="J13" s="3668"/>
      <c r="K13" s="3668"/>
      <c r="L13" s="3668"/>
      <c r="M13" s="3668"/>
      <c r="N13" s="3668"/>
      <c r="O13" s="2395"/>
      <c r="P13" s="2412"/>
      <c r="Q13" s="2398"/>
      <c r="R13" s="1773"/>
      <c r="S13" s="1774"/>
      <c r="T13" s="3210"/>
      <c r="U13" s="1775"/>
      <c r="V13" s="1776"/>
      <c r="W13" s="1777"/>
      <c r="X13" s="1777"/>
      <c r="Y13" s="1777"/>
      <c r="Z13" s="1778"/>
      <c r="AA13" s="1778"/>
      <c r="AB13" s="1777"/>
      <c r="AC13" s="1779"/>
      <c r="AD13" s="1779">
        <f ca="1">SUM(AD11:AD15)</f>
        <v>19293640</v>
      </c>
      <c r="AE13" s="1780"/>
      <c r="AF13" s="1781">
        <f ca="1">SUM(AF11:AF15)</f>
        <v>107537995.44000001</v>
      </c>
      <c r="AG13" s="1781">
        <f ca="1">SUM(AG11:AG15)</f>
        <v>126831635.44</v>
      </c>
      <c r="AH13" s="1781"/>
      <c r="AI13" s="1429"/>
      <c r="AJ13" s="1430"/>
      <c r="AK13" s="1431"/>
      <c r="AL13" s="1782"/>
      <c r="AM13" s="1782"/>
      <c r="AN13" s="1782"/>
      <c r="AO13" s="1782"/>
      <c r="AP13" s="1782"/>
      <c r="AQ13" s="1782"/>
      <c r="AR13" s="1782"/>
      <c r="AS13" s="1433"/>
      <c r="AT13" s="1433"/>
    </row>
    <row r="14" spans="1:57" s="5" customFormat="1" ht="27">
      <c r="A14" s="1230">
        <v>1</v>
      </c>
      <c r="B14" s="1619" t="s">
        <v>4936</v>
      </c>
      <c r="C14" s="1238">
        <v>106966811010</v>
      </c>
      <c r="D14" s="1201" t="s">
        <v>4840</v>
      </c>
      <c r="E14" s="1474" t="s">
        <v>4972</v>
      </c>
      <c r="F14" s="1621" t="s">
        <v>4987</v>
      </c>
      <c r="G14" s="1257">
        <v>2</v>
      </c>
      <c r="H14" s="1298"/>
      <c r="I14" s="1249"/>
      <c r="J14" s="1210" t="s">
        <v>123</v>
      </c>
      <c r="K14" s="1357" t="s">
        <v>5089</v>
      </c>
      <c r="L14" s="1357" t="s">
        <v>4842</v>
      </c>
      <c r="M14" s="154" t="s">
        <v>4862</v>
      </c>
      <c r="N14" s="1522" t="s">
        <v>4843</v>
      </c>
      <c r="O14" s="2396" t="s">
        <v>4931</v>
      </c>
      <c r="P14" s="2416"/>
      <c r="Q14" s="2402" t="s">
        <v>4952</v>
      </c>
      <c r="R14" s="1788" t="s">
        <v>4887</v>
      </c>
      <c r="S14" s="1565" t="s">
        <v>4908</v>
      </c>
      <c r="T14" s="2472"/>
      <c r="U14" s="1330" t="s">
        <v>4910</v>
      </c>
      <c r="V14" s="1675" t="s">
        <v>5102</v>
      </c>
      <c r="W14" s="1633">
        <v>1382400</v>
      </c>
      <c r="X14" s="1748">
        <f>1130000+1184000+20000</f>
        <v>2334000</v>
      </c>
      <c r="Y14" s="1608"/>
      <c r="Z14" s="1609"/>
      <c r="AA14" s="1750">
        <v>500000</v>
      </c>
      <c r="AB14" s="1608"/>
      <c r="AC14" s="1527"/>
      <c r="AD14" s="1339">
        <f t="shared" si="1"/>
        <v>4216400</v>
      </c>
      <c r="AE14" s="1612" t="s">
        <v>4955</v>
      </c>
      <c r="AF14" s="1340">
        <f t="shared" ref="AF14:AF19" si="3">(((G14*3450000+H14*3550000+I14*AJ14)+(AI14*$AI$4*(G14+H14))+(AK14*$AK$4*(G14+H14))+(AL14*$AL$4*(G14+H14))+(AM14*$AM$4*(G14+H14))+(AN14*$AN$4*(G14+H14))+(AO14*$AO$4*(G14+H14))+(AP14*$AP$4)+(AQ14*$AQ$4*(G14+H14))+(AR14*$AR$4*(G14+H14)))*1.08)</f>
        <v>13392000</v>
      </c>
      <c r="AG14" s="1528">
        <f>+AD14+AF14</f>
        <v>17608400</v>
      </c>
      <c r="AH14" s="1529"/>
      <c r="AI14" s="1432">
        <v>1</v>
      </c>
      <c r="AJ14" s="1530"/>
      <c r="AK14" s="1433"/>
      <c r="AL14" s="1433">
        <v>1</v>
      </c>
      <c r="AM14" s="1433"/>
      <c r="AN14" s="1433">
        <v>1</v>
      </c>
      <c r="AO14" s="1433"/>
      <c r="AP14" s="1433">
        <v>1</v>
      </c>
      <c r="AQ14" s="1433"/>
      <c r="AR14" s="1433"/>
      <c r="AS14" s="1433"/>
      <c r="AT14" s="1433"/>
      <c r="AU14" s="1426"/>
      <c r="AV14" s="1426"/>
      <c r="AW14" s="1426"/>
      <c r="AX14" s="1426"/>
      <c r="AY14" s="1426"/>
      <c r="AZ14" s="1426"/>
      <c r="BA14" s="1426"/>
      <c r="BB14" s="1426"/>
      <c r="BC14" s="1426"/>
      <c r="BD14" s="1426"/>
      <c r="BE14" s="1426"/>
    </row>
    <row r="15" spans="1:57" s="5" customFormat="1" ht="40.200000000000003">
      <c r="A15" s="658">
        <v>2</v>
      </c>
      <c r="B15" s="1611" t="s">
        <v>4891</v>
      </c>
      <c r="C15" s="1242">
        <v>106970880920</v>
      </c>
      <c r="D15" s="684" t="s">
        <v>4913</v>
      </c>
      <c r="E15" s="1151" t="s">
        <v>4858</v>
      </c>
      <c r="F15" s="1622" t="s">
        <v>4998</v>
      </c>
      <c r="G15" s="1257">
        <v>3</v>
      </c>
      <c r="H15" s="1237"/>
      <c r="I15" s="445"/>
      <c r="J15" s="1210" t="s">
        <v>123</v>
      </c>
      <c r="K15" s="1357" t="s">
        <v>5090</v>
      </c>
      <c r="L15" s="1357" t="s">
        <v>4857</v>
      </c>
      <c r="M15" s="577" t="s">
        <v>4861</v>
      </c>
      <c r="N15" s="1522" t="s">
        <v>4951</v>
      </c>
      <c r="O15" s="2394" t="s">
        <v>4931</v>
      </c>
      <c r="P15" s="2416"/>
      <c r="Q15" s="2402" t="s">
        <v>2877</v>
      </c>
      <c r="R15" s="1788" t="s">
        <v>4887</v>
      </c>
      <c r="S15" s="1672" t="s">
        <v>2760</v>
      </c>
      <c r="T15" s="1672"/>
      <c r="U15" s="1330" t="s">
        <v>4909</v>
      </c>
      <c r="V15" s="1675" t="s">
        <v>5102</v>
      </c>
      <c r="W15" s="1633">
        <v>1296000</v>
      </c>
      <c r="X15" s="1748">
        <f>999000*3</f>
        <v>2997000</v>
      </c>
      <c r="Y15" s="1527"/>
      <c r="Z15" s="1593"/>
      <c r="AA15" s="1750">
        <v>750000</v>
      </c>
      <c r="AB15" s="1527"/>
      <c r="AC15" s="1527"/>
      <c r="AD15" s="1339">
        <f>SUM(V15:AC15)</f>
        <v>5043000</v>
      </c>
      <c r="AE15" s="1789"/>
      <c r="AF15" s="1340">
        <f t="shared" si="3"/>
        <v>16686000.000000002</v>
      </c>
      <c r="AG15" s="1528">
        <f t="shared" si="2"/>
        <v>21729000</v>
      </c>
      <c r="AH15" s="1529"/>
      <c r="AI15" s="1432">
        <v>1</v>
      </c>
      <c r="AJ15" s="1530"/>
      <c r="AK15" s="1433">
        <v>1</v>
      </c>
      <c r="AL15" s="1433"/>
      <c r="AM15" s="1433"/>
      <c r="AN15" s="1433"/>
      <c r="AO15" s="1433"/>
      <c r="AP15" s="1433"/>
      <c r="AQ15" s="1433"/>
      <c r="AR15" s="1433"/>
      <c r="AS15" s="1433"/>
      <c r="AT15" s="1433"/>
      <c r="AU15" s="1426"/>
      <c r="AV15" s="1426"/>
      <c r="AW15" s="1426"/>
      <c r="AX15" s="1426"/>
      <c r="AY15" s="1426"/>
      <c r="AZ15" s="1426"/>
      <c r="BA15" s="1426"/>
      <c r="BB15" s="1426"/>
      <c r="BC15" s="1426"/>
      <c r="BD15" s="1426"/>
      <c r="BE15" s="1426"/>
    </row>
    <row r="16" spans="1:57" s="5" customFormat="1" ht="40.200000000000003">
      <c r="A16" s="326">
        <v>3</v>
      </c>
      <c r="B16" s="1632" t="s">
        <v>4991</v>
      </c>
      <c r="C16" s="166">
        <v>106985788010</v>
      </c>
      <c r="D16" s="386" t="s">
        <v>4936</v>
      </c>
      <c r="E16" s="1151" t="s">
        <v>4858</v>
      </c>
      <c r="F16" s="1622" t="s">
        <v>4999</v>
      </c>
      <c r="G16" s="1257">
        <v>3</v>
      </c>
      <c r="H16" s="710"/>
      <c r="I16" s="167"/>
      <c r="J16" s="1210" t="s">
        <v>123</v>
      </c>
      <c r="K16" s="1357" t="s">
        <v>5091</v>
      </c>
      <c r="L16" s="1357" t="s">
        <v>4953</v>
      </c>
      <c r="M16" s="577" t="s">
        <v>4954</v>
      </c>
      <c r="N16" s="1522" t="s">
        <v>5004</v>
      </c>
      <c r="O16" s="2396" t="s">
        <v>4891</v>
      </c>
      <c r="P16" s="2415"/>
      <c r="Q16" s="2401"/>
      <c r="R16" s="1525"/>
      <c r="S16" s="1672" t="s">
        <v>2760</v>
      </c>
      <c r="T16" s="1672"/>
      <c r="U16" s="1330" t="s">
        <v>4909</v>
      </c>
      <c r="V16" s="1675" t="s">
        <v>5102</v>
      </c>
      <c r="W16" s="1633">
        <v>1296000</v>
      </c>
      <c r="X16" s="1748">
        <f>1700000+850000</f>
        <v>2550000</v>
      </c>
      <c r="Y16" s="1526"/>
      <c r="Z16" s="1634"/>
      <c r="AA16" s="1750">
        <v>750000</v>
      </c>
      <c r="AB16" s="1526"/>
      <c r="AC16" s="1527"/>
      <c r="AD16" s="1339">
        <f>SUM(V16:AC16)</f>
        <v>4596000</v>
      </c>
      <c r="AE16" s="1591"/>
      <c r="AF16" s="1340">
        <f t="shared" si="3"/>
        <v>16686000.000000002</v>
      </c>
      <c r="AG16" s="1528">
        <f>+AD16+AF16</f>
        <v>21282000</v>
      </c>
      <c r="AH16" s="1529"/>
      <c r="AI16" s="1432">
        <v>1</v>
      </c>
      <c r="AJ16" s="1530"/>
      <c r="AK16" s="1433">
        <v>1</v>
      </c>
      <c r="AL16" s="1433"/>
      <c r="AM16" s="1433"/>
      <c r="AN16" s="1433"/>
      <c r="AO16" s="1433"/>
      <c r="AP16" s="1433"/>
      <c r="AQ16" s="1433"/>
      <c r="AR16" s="1433"/>
      <c r="AS16" s="1433"/>
      <c r="AT16" s="1433"/>
      <c r="AU16" s="1426"/>
      <c r="AV16" s="1426"/>
      <c r="AW16" s="1426"/>
      <c r="AX16" s="1426"/>
      <c r="AY16" s="1426"/>
      <c r="AZ16" s="1426"/>
      <c r="BA16" s="1426"/>
      <c r="BB16" s="1426"/>
      <c r="BC16" s="1426"/>
      <c r="BD16" s="1426"/>
      <c r="BE16" s="1426"/>
    </row>
    <row r="17" spans="1:57" s="5" customFormat="1" ht="45.75" customHeight="1">
      <c r="A17" s="326">
        <f>+A16+1</f>
        <v>4</v>
      </c>
      <c r="B17" s="1329" t="s">
        <v>5062</v>
      </c>
      <c r="C17" s="166">
        <v>107004088810</v>
      </c>
      <c r="D17" s="386" t="s">
        <v>5022</v>
      </c>
      <c r="E17" s="1151" t="s">
        <v>4858</v>
      </c>
      <c r="F17" s="348" t="s">
        <v>5044</v>
      </c>
      <c r="G17" s="445">
        <v>3</v>
      </c>
      <c r="H17" s="167"/>
      <c r="I17" s="167"/>
      <c r="J17" s="1210" t="s">
        <v>123</v>
      </c>
      <c r="K17" s="1357" t="s">
        <v>5092</v>
      </c>
      <c r="L17" s="1357" t="s">
        <v>4956</v>
      </c>
      <c r="M17" s="577" t="s">
        <v>4957</v>
      </c>
      <c r="N17" s="1522" t="s">
        <v>5040</v>
      </c>
      <c r="O17" s="2396" t="s">
        <v>5022</v>
      </c>
      <c r="P17" s="2415"/>
      <c r="Q17" s="2403" t="s">
        <v>5052</v>
      </c>
      <c r="R17" s="1790" t="s">
        <v>4887</v>
      </c>
      <c r="S17" s="1672" t="s">
        <v>2760</v>
      </c>
      <c r="T17" s="1672"/>
      <c r="U17" s="1330" t="s">
        <v>4909</v>
      </c>
      <c r="V17" s="1675" t="s">
        <v>5102</v>
      </c>
      <c r="W17" s="1633">
        <v>1491000</v>
      </c>
      <c r="X17" s="1748">
        <f>1000000*3</f>
        <v>3000000</v>
      </c>
      <c r="Y17" s="1526"/>
      <c r="Z17" s="1634"/>
      <c r="AA17" s="1750">
        <v>750000</v>
      </c>
      <c r="AB17" s="1526"/>
      <c r="AC17" s="1608"/>
      <c r="AD17" s="1339">
        <f t="shared" si="1"/>
        <v>5241000</v>
      </c>
      <c r="AE17" s="1591" t="s">
        <v>5130</v>
      </c>
      <c r="AF17" s="1340">
        <f t="shared" si="3"/>
        <v>16686000.000000002</v>
      </c>
      <c r="AG17" s="1528">
        <f t="shared" si="2"/>
        <v>21927000</v>
      </c>
      <c r="AH17" s="1529"/>
      <c r="AI17" s="1432">
        <v>1</v>
      </c>
      <c r="AJ17" s="1530"/>
      <c r="AK17" s="1433">
        <v>1</v>
      </c>
      <c r="AL17" s="1433"/>
      <c r="AM17" s="1433"/>
      <c r="AN17" s="1433"/>
      <c r="AO17" s="1433"/>
      <c r="AP17" s="1433"/>
      <c r="AQ17" s="1433"/>
      <c r="AR17" s="1433"/>
      <c r="AS17" s="1433"/>
      <c r="AT17" s="1433"/>
      <c r="AU17" s="1426"/>
      <c r="AV17" s="1426"/>
      <c r="AW17" s="1426"/>
      <c r="AX17" s="1426"/>
      <c r="AY17" s="1426"/>
      <c r="AZ17" s="1426"/>
      <c r="BA17" s="1426"/>
      <c r="BB17" s="1426"/>
      <c r="BC17" s="1426"/>
      <c r="BD17" s="1426"/>
      <c r="BE17" s="1426"/>
    </row>
    <row r="18" spans="1:57" s="5" customFormat="1" ht="37.5" customHeight="1">
      <c r="A18" s="326">
        <v>5</v>
      </c>
      <c r="B18" s="656" t="s">
        <v>5052</v>
      </c>
      <c r="C18" s="166">
        <v>107013375120</v>
      </c>
      <c r="D18" s="386" t="s">
        <v>5037</v>
      </c>
      <c r="E18" s="117" t="s">
        <v>4858</v>
      </c>
      <c r="F18" s="348" t="s">
        <v>5083</v>
      </c>
      <c r="G18" s="167">
        <v>3</v>
      </c>
      <c r="H18" s="167"/>
      <c r="I18" s="167"/>
      <c r="J18" s="1210" t="s">
        <v>123</v>
      </c>
      <c r="K18" s="1666">
        <v>83916</v>
      </c>
      <c r="L18" s="1357" t="s">
        <v>4973</v>
      </c>
      <c r="M18" s="154" t="s">
        <v>4974</v>
      </c>
      <c r="N18" s="1522" t="s">
        <v>5064</v>
      </c>
      <c r="O18" s="2396" t="s">
        <v>5037</v>
      </c>
      <c r="P18" s="2415"/>
      <c r="Q18" s="2404" t="s">
        <v>5113</v>
      </c>
      <c r="R18" s="1747" t="s">
        <v>5114</v>
      </c>
      <c r="S18" s="1672" t="s">
        <v>2760</v>
      </c>
      <c r="T18" s="1672"/>
      <c r="U18" s="1330" t="s">
        <v>4909</v>
      </c>
      <c r="V18" s="1526"/>
      <c r="W18" s="1633">
        <v>1491000</v>
      </c>
      <c r="X18" s="1748">
        <v>2900000</v>
      </c>
      <c r="Y18" s="1526"/>
      <c r="Z18" s="1749"/>
      <c r="AA18" s="1750">
        <v>750000</v>
      </c>
      <c r="AB18" s="1526"/>
      <c r="AC18" s="1608"/>
      <c r="AD18" s="1339">
        <f t="shared" si="1"/>
        <v>5141000</v>
      </c>
      <c r="AE18" s="1591"/>
      <c r="AF18" s="1340">
        <f t="shared" si="3"/>
        <v>16686000.000000002</v>
      </c>
      <c r="AG18" s="1528">
        <f t="shared" ref="AG18:AG45" si="4">+AD18+AF18</f>
        <v>21827000</v>
      </c>
      <c r="AH18" s="1529"/>
      <c r="AI18" s="1432">
        <v>1</v>
      </c>
      <c r="AJ18" s="1530"/>
      <c r="AK18" s="1433">
        <v>1</v>
      </c>
      <c r="AL18" s="1433"/>
      <c r="AM18" s="1433"/>
      <c r="AN18" s="1433"/>
      <c r="AO18" s="1433"/>
      <c r="AP18" s="1433"/>
      <c r="AQ18" s="1433"/>
      <c r="AR18" s="1433"/>
      <c r="AS18" s="1433"/>
      <c r="AT18" s="1433"/>
      <c r="AU18" s="1426"/>
      <c r="AV18" s="1426"/>
      <c r="AW18" s="1426"/>
      <c r="AX18" s="1426"/>
      <c r="AY18" s="1426"/>
      <c r="AZ18" s="1426"/>
      <c r="BA18" s="1426"/>
      <c r="BB18" s="1426"/>
      <c r="BC18" s="1426"/>
      <c r="BD18" s="1426"/>
      <c r="BE18" s="1426"/>
    </row>
    <row r="19" spans="1:57" s="5" customFormat="1" ht="27">
      <c r="A19" s="326">
        <v>6</v>
      </c>
      <c r="B19" s="1329" t="s">
        <v>5118</v>
      </c>
      <c r="C19" s="166">
        <v>107023977210</v>
      </c>
      <c r="D19" s="386" t="s">
        <v>5094</v>
      </c>
      <c r="E19" s="117" t="s">
        <v>4858</v>
      </c>
      <c r="F19" s="1811" t="s">
        <v>5124</v>
      </c>
      <c r="G19" s="167">
        <v>2</v>
      </c>
      <c r="H19" s="167"/>
      <c r="I19" s="167"/>
      <c r="J19" s="86" t="s">
        <v>123</v>
      </c>
      <c r="K19" s="1666" t="s">
        <v>5109</v>
      </c>
      <c r="L19" s="1357" t="s">
        <v>5143</v>
      </c>
      <c r="M19" s="154" t="s">
        <v>5042</v>
      </c>
      <c r="N19" s="1522" t="s">
        <v>5110</v>
      </c>
      <c r="O19" s="2396" t="s">
        <v>5041</v>
      </c>
      <c r="P19" s="2415"/>
      <c r="Q19" s="2404" t="s">
        <v>5111</v>
      </c>
      <c r="R19" s="1747" t="s">
        <v>5112</v>
      </c>
      <c r="S19" s="1672" t="s">
        <v>2760</v>
      </c>
      <c r="T19" s="1672"/>
      <c r="U19" s="1330" t="s">
        <v>4909</v>
      </c>
      <c r="V19" s="1526"/>
      <c r="W19" s="1633">
        <v>994000</v>
      </c>
      <c r="X19" s="1748">
        <v>1740000</v>
      </c>
      <c r="Y19" s="1526"/>
      <c r="Z19" s="1749"/>
      <c r="AA19" s="1750">
        <v>500000</v>
      </c>
      <c r="AB19" s="1526"/>
      <c r="AC19" s="1608"/>
      <c r="AD19" s="1339">
        <f t="shared" si="1"/>
        <v>3234000</v>
      </c>
      <c r="AE19" s="1591" t="s">
        <v>5251</v>
      </c>
      <c r="AF19" s="1340">
        <f t="shared" si="3"/>
        <v>11124000</v>
      </c>
      <c r="AG19" s="1528">
        <f t="shared" si="4"/>
        <v>14358000</v>
      </c>
      <c r="AH19" s="1529"/>
      <c r="AI19" s="1432">
        <v>1</v>
      </c>
      <c r="AJ19" s="1530"/>
      <c r="AK19" s="1433">
        <v>1</v>
      </c>
      <c r="AL19" s="1433"/>
      <c r="AM19" s="1433"/>
      <c r="AN19" s="1433"/>
      <c r="AO19" s="1433"/>
      <c r="AP19" s="1433"/>
      <c r="AQ19" s="1433"/>
      <c r="AR19" s="1433"/>
      <c r="AS19" s="1433"/>
      <c r="AT19" s="1433"/>
      <c r="AU19" s="1426"/>
      <c r="AV19" s="1426"/>
      <c r="AW19" s="1426"/>
      <c r="AX19" s="1426"/>
      <c r="AY19" s="1426"/>
      <c r="AZ19" s="1426"/>
      <c r="BA19" s="1426"/>
      <c r="BB19" s="1426"/>
      <c r="BC19" s="1426"/>
      <c r="BD19" s="1426"/>
      <c r="BE19" s="1426"/>
    </row>
    <row r="20" spans="1:57" s="5" customFormat="1" ht="15.6">
      <c r="A20" s="326">
        <f t="shared" si="0"/>
        <v>7</v>
      </c>
      <c r="B20" s="1751"/>
      <c r="C20" s="166">
        <v>107011124840</v>
      </c>
      <c r="D20" s="386" t="s">
        <v>4952</v>
      </c>
      <c r="E20" s="47"/>
      <c r="F20" s="348" t="s">
        <v>5234</v>
      </c>
      <c r="G20" s="3672" t="s">
        <v>4450</v>
      </c>
      <c r="H20" s="3673"/>
      <c r="I20" s="3674"/>
      <c r="J20" s="1919"/>
      <c r="K20" s="1357"/>
      <c r="L20" s="1357" t="s">
        <v>5046</v>
      </c>
      <c r="M20" s="154" t="s">
        <v>5047</v>
      </c>
      <c r="N20" s="692"/>
      <c r="O20" s="2396"/>
      <c r="P20" s="2415"/>
      <c r="Q20" s="2401"/>
      <c r="R20" s="1525"/>
      <c r="S20" s="165"/>
      <c r="T20" s="2472"/>
      <c r="U20" s="1327" t="s">
        <v>5048</v>
      </c>
      <c r="V20" s="1526"/>
      <c r="W20" s="1526"/>
      <c r="X20" s="1526"/>
      <c r="Y20" s="1526"/>
      <c r="Z20" s="1749"/>
      <c r="AA20" s="1791"/>
      <c r="AB20" s="1526"/>
      <c r="AC20" s="1608"/>
      <c r="AD20" s="1339">
        <f t="shared" si="1"/>
        <v>0</v>
      </c>
      <c r="AE20" s="1591"/>
      <c r="AF20" s="1340">
        <f>800000*1.08</f>
        <v>864000</v>
      </c>
      <c r="AG20" s="1528">
        <f t="shared" si="4"/>
        <v>864000</v>
      </c>
      <c r="AH20" s="1529"/>
      <c r="AI20" s="1432"/>
      <c r="AJ20" s="1530"/>
      <c r="AK20" s="1433"/>
      <c r="AL20" s="1433"/>
      <c r="AM20" s="1433"/>
      <c r="AN20" s="1433"/>
      <c r="AO20" s="1433"/>
      <c r="AP20" s="1433"/>
      <c r="AQ20" s="1433"/>
      <c r="AR20" s="1433"/>
      <c r="AS20" s="1433"/>
      <c r="AT20" s="1433"/>
      <c r="AU20" s="1426"/>
      <c r="AV20" s="1426"/>
      <c r="AW20" s="1426"/>
      <c r="AX20" s="1426"/>
      <c r="AY20" s="1426"/>
      <c r="AZ20" s="1426"/>
      <c r="BA20" s="1426"/>
      <c r="BB20" s="1426"/>
      <c r="BC20" s="1426"/>
      <c r="BD20" s="1426"/>
      <c r="BE20" s="1426"/>
    </row>
    <row r="21" spans="1:57" ht="15.6">
      <c r="A21" s="3668" t="s">
        <v>5220</v>
      </c>
      <c r="B21" s="3668"/>
      <c r="C21" s="3668"/>
      <c r="D21" s="3668"/>
      <c r="E21" s="3668"/>
      <c r="F21" s="3668"/>
      <c r="G21" s="3668"/>
      <c r="H21" s="3668"/>
      <c r="I21" s="3668"/>
      <c r="J21" s="3668"/>
      <c r="K21" s="3668"/>
      <c r="L21" s="3668"/>
      <c r="M21" s="3668"/>
      <c r="N21" s="3668"/>
      <c r="O21" s="2395"/>
      <c r="P21" s="2412"/>
      <c r="Q21" s="2398"/>
      <c r="R21" s="1773"/>
      <c r="S21" s="1774"/>
      <c r="T21" s="3210"/>
      <c r="U21" s="1775"/>
      <c r="V21" s="1776"/>
      <c r="W21" s="1777"/>
      <c r="X21" s="1777"/>
      <c r="Y21" s="1777"/>
      <c r="Z21" s="1778"/>
      <c r="AA21" s="1778"/>
      <c r="AB21" s="1777"/>
      <c r="AC21" s="1779"/>
      <c r="AD21" s="1779">
        <f ca="1">SUM(AD19:AD23)</f>
        <v>19293640</v>
      </c>
      <c r="AE21" s="1780"/>
      <c r="AF21" s="1781">
        <f ca="1">SUM(AF19:AF23)</f>
        <v>107537995.44000001</v>
      </c>
      <c r="AG21" s="1781">
        <f ca="1">SUM(AG19:AG23)</f>
        <v>126831635.44</v>
      </c>
      <c r="AH21" s="1781"/>
      <c r="AI21" s="1429"/>
      <c r="AJ21" s="1430"/>
      <c r="AK21" s="1431"/>
      <c r="AL21" s="1782"/>
      <c r="AM21" s="1782"/>
      <c r="AN21" s="1782"/>
      <c r="AO21" s="1782"/>
      <c r="AP21" s="1782"/>
      <c r="AQ21" s="1782"/>
      <c r="AR21" s="1782"/>
      <c r="AS21" s="1433"/>
      <c r="AT21" s="1433"/>
    </row>
    <row r="22" spans="1:57" s="5" customFormat="1" ht="27">
      <c r="A22" s="326">
        <v>1</v>
      </c>
      <c r="B22" s="656" t="s">
        <v>5272</v>
      </c>
      <c r="C22" s="166">
        <v>107075197021</v>
      </c>
      <c r="D22" s="386" t="s">
        <v>5284</v>
      </c>
      <c r="E22" s="117" t="s">
        <v>4858</v>
      </c>
      <c r="F22" s="348" t="s">
        <v>5357</v>
      </c>
      <c r="G22" s="167">
        <v>2</v>
      </c>
      <c r="H22" s="167"/>
      <c r="I22" s="167"/>
      <c r="J22" s="699" t="s">
        <v>136</v>
      </c>
      <c r="K22" s="1666">
        <f>28020*2</f>
        <v>56040</v>
      </c>
      <c r="L22" s="1357" t="s">
        <v>5301</v>
      </c>
      <c r="M22" s="154" t="s">
        <v>5302</v>
      </c>
      <c r="N22" s="1522" t="s">
        <v>5303</v>
      </c>
      <c r="O22" s="2396" t="s">
        <v>5287</v>
      </c>
      <c r="P22" s="2415"/>
      <c r="Q22" s="2401"/>
      <c r="R22" s="1525"/>
      <c r="S22" s="1672" t="s">
        <v>2760</v>
      </c>
      <c r="T22" s="1672"/>
      <c r="U22" s="2001"/>
      <c r="V22" s="1526"/>
      <c r="W22" s="1633">
        <v>994000</v>
      </c>
      <c r="X22" s="1748">
        <f>1000000*2</f>
        <v>2000000</v>
      </c>
      <c r="Y22" s="1526"/>
      <c r="Z22" s="1749"/>
      <c r="AA22" s="1750">
        <v>500000</v>
      </c>
      <c r="AB22" s="1526"/>
      <c r="AC22" s="1608"/>
      <c r="AD22" s="1339">
        <f t="shared" si="1"/>
        <v>3494000</v>
      </c>
      <c r="AE22" s="1591" t="s">
        <v>5307</v>
      </c>
      <c r="AF22" s="1340">
        <f>(((G22*3450000+H22*3550000+I22*AJ22)+(AI22*$AI$4*(G22+H22))+(AK22*$AK$4*(G22+H22))+(AL22*$AL$4*(G22+H22))+(AM22*$AM$4*(G22+H22))+(AN22*$AN$4*(G22+H22))+(AO22*$AO$4*(G22+H22))+(AP22*$AP$4)+(AQ22*$AQ$4*(G22+H22))+(AR22*$AR$4*(G22+H22))+(AS22*$AS$4)))*1.08</f>
        <v>11988000</v>
      </c>
      <c r="AG22" s="1528">
        <f t="shared" si="4"/>
        <v>15482000</v>
      </c>
      <c r="AH22" s="1529"/>
      <c r="AI22" s="1432">
        <v>1</v>
      </c>
      <c r="AJ22" s="1530"/>
      <c r="AK22" s="1433">
        <v>1</v>
      </c>
      <c r="AL22" s="1433"/>
      <c r="AM22" s="1433"/>
      <c r="AN22" s="1433"/>
      <c r="AO22" s="1433"/>
      <c r="AP22" s="1433"/>
      <c r="AQ22" s="1433">
        <v>1</v>
      </c>
      <c r="AR22" s="1433"/>
      <c r="AS22" s="1433"/>
      <c r="AT22" s="1433"/>
      <c r="AU22" s="13"/>
      <c r="AV22" s="1426"/>
      <c r="AW22" s="1426"/>
      <c r="AX22" s="1426"/>
      <c r="AY22" s="1426"/>
      <c r="AZ22" s="1426"/>
      <c r="BA22" s="1426"/>
      <c r="BB22" s="1426"/>
      <c r="BC22" s="1426"/>
      <c r="BD22" s="1426"/>
      <c r="BE22" s="1426"/>
    </row>
    <row r="23" spans="1:57" s="5" customFormat="1" ht="15.6">
      <c r="A23" s="326">
        <f t="shared" si="0"/>
        <v>2</v>
      </c>
      <c r="B23" s="656" t="s">
        <v>5468</v>
      </c>
      <c r="C23" s="166">
        <v>107088761401</v>
      </c>
      <c r="D23" s="386" t="s">
        <v>5374</v>
      </c>
      <c r="E23" s="117" t="s">
        <v>4858</v>
      </c>
      <c r="F23" s="179" t="s">
        <v>5378</v>
      </c>
      <c r="G23" s="167"/>
      <c r="H23" s="167">
        <v>1</v>
      </c>
      <c r="I23" s="167"/>
      <c r="J23" s="79"/>
      <c r="K23" s="1666"/>
      <c r="L23" s="1357" t="s">
        <v>5323</v>
      </c>
      <c r="M23" s="154" t="s">
        <v>5334</v>
      </c>
      <c r="N23" s="692" t="s">
        <v>5327</v>
      </c>
      <c r="O23" s="2396" t="s">
        <v>5272</v>
      </c>
      <c r="P23" s="2415"/>
      <c r="Q23" s="2403" t="s">
        <v>5393</v>
      </c>
      <c r="R23" s="1790">
        <v>3</v>
      </c>
      <c r="S23" s="1672" t="s">
        <v>2760</v>
      </c>
      <c r="T23" s="1672"/>
      <c r="U23" s="2001"/>
      <c r="V23" s="1633">
        <v>789000</v>
      </c>
      <c r="W23" s="1633">
        <v>1509000</v>
      </c>
      <c r="X23" s="1748">
        <v>1500000</v>
      </c>
      <c r="Y23" s="1526"/>
      <c r="Z23" s="1749"/>
      <c r="AA23" s="1750">
        <v>500000</v>
      </c>
      <c r="AB23" s="1633">
        <f>3808945+3577096+4644816</f>
        <v>12030857</v>
      </c>
      <c r="AC23" s="1608"/>
      <c r="AD23" s="1339">
        <f>SUM(V23:AC23)</f>
        <v>16328857</v>
      </c>
      <c r="AE23" s="2121" t="s">
        <v>5553</v>
      </c>
      <c r="AF23" s="1340">
        <f>(((G23*3450000+H23*3550000+I23*AJ23)+(AI23*$AI$4*(G23+H23))+(AK23*$AK$4*(G23+H23))+(AL23*$AL$4*(G23+H23))+(AM23*$AM$4*(G23+H23))+(AN23*$AN$4*(G23+H23))+(AO23*$AO$4*(G23+H23))+(AP23*$AP$4)+(AQ23*$AQ$4*(G23+H23))+(AR23*$AR$4*(G23+H23))+(AS23*$AS$4)))*1.08</f>
        <v>6318000</v>
      </c>
      <c r="AG23" s="1528">
        <f>+AD23+AF23</f>
        <v>22646857</v>
      </c>
      <c r="AH23" s="1529"/>
      <c r="AI23" s="1432">
        <v>1</v>
      </c>
      <c r="AJ23" s="1530"/>
      <c r="AK23" s="1433"/>
      <c r="AL23" s="1433"/>
      <c r="AM23" s="1433"/>
      <c r="AN23" s="1433"/>
      <c r="AO23" s="1433"/>
      <c r="AP23" s="1433"/>
      <c r="AQ23" s="1433"/>
      <c r="AR23" s="1433"/>
      <c r="AS23" s="1433">
        <v>1</v>
      </c>
      <c r="AT23" s="1433">
        <v>1</v>
      </c>
      <c r="AU23" s="1426"/>
      <c r="AV23" s="1426"/>
      <c r="AW23" s="1426"/>
      <c r="AX23" s="1426"/>
      <c r="AY23" s="1426"/>
      <c r="AZ23" s="1426"/>
      <c r="BA23" s="1426"/>
      <c r="BB23" s="1426"/>
      <c r="BC23" s="1426"/>
      <c r="BD23" s="1426"/>
      <c r="BE23" s="1426"/>
    </row>
    <row r="24" spans="1:57" s="5" customFormat="1" ht="33.75" customHeight="1">
      <c r="A24" s="326">
        <f t="shared" si="0"/>
        <v>3</v>
      </c>
      <c r="B24" s="656" t="s">
        <v>5517</v>
      </c>
      <c r="C24" s="166">
        <v>107116428050</v>
      </c>
      <c r="D24" s="386" t="s">
        <v>5393</v>
      </c>
      <c r="E24" s="1474" t="s">
        <v>4972</v>
      </c>
      <c r="F24" s="348" t="s">
        <v>5487</v>
      </c>
      <c r="G24" s="167">
        <v>2</v>
      </c>
      <c r="H24" s="167"/>
      <c r="I24" s="167"/>
      <c r="J24" s="2017"/>
      <c r="K24" s="1666">
        <v>46280</v>
      </c>
      <c r="L24" s="1357" t="s">
        <v>5362</v>
      </c>
      <c r="M24" s="154" t="s">
        <v>5364</v>
      </c>
      <c r="N24" s="1522" t="s">
        <v>5363</v>
      </c>
      <c r="O24" s="2396" t="s">
        <v>5431</v>
      </c>
      <c r="P24" s="2416"/>
      <c r="Q24" s="2405" t="s">
        <v>5501</v>
      </c>
      <c r="R24" s="577">
        <v>3</v>
      </c>
      <c r="S24" s="1305" t="s">
        <v>5430</v>
      </c>
      <c r="T24" s="1305"/>
      <c r="U24" s="1327"/>
      <c r="V24" s="1526"/>
      <c r="W24" s="1633">
        <v>3110400</v>
      </c>
      <c r="X24" s="1748">
        <f>950000*2</f>
        <v>1900000</v>
      </c>
      <c r="Y24" s="1526"/>
      <c r="Z24" s="1749"/>
      <c r="AA24" s="1633">
        <v>250000</v>
      </c>
      <c r="AB24" s="1526"/>
      <c r="AC24" s="1608"/>
      <c r="AD24" s="1339">
        <f t="shared" si="1"/>
        <v>5260400</v>
      </c>
      <c r="AE24" s="1591" t="s">
        <v>5379</v>
      </c>
      <c r="AF24" s="1340">
        <f>(((G24*3450000+H24*3550000+I24*AJ24)+(AI24*$AI$4*(G24+H24))+(AK24*$AK$4*(G24+H24))+(AL24*$AL$4*(G24+H24))+(AM24*$AM$4*(G24+H24))+(AN24*$AN$4*(G24+H24))+(AO24*$AO$4*(G24+H24))+(AP24*$AP$4)+(AQ24*$AQ$4*(G24+H24))+(AR24*$AR$4*(G24+H24))+(AS24*$AS$4)))*1.08</f>
        <v>17193600</v>
      </c>
      <c r="AG24" s="1528">
        <f t="shared" si="4"/>
        <v>22454000</v>
      </c>
      <c r="AH24" s="1340"/>
      <c r="AI24" s="1432">
        <v>1</v>
      </c>
      <c r="AJ24" s="1530"/>
      <c r="AK24" s="1433"/>
      <c r="AL24" s="1433">
        <v>1</v>
      </c>
      <c r="AM24" s="1433">
        <v>1</v>
      </c>
      <c r="AN24" s="1433"/>
      <c r="AO24" s="1433">
        <v>1</v>
      </c>
      <c r="AP24" s="1433">
        <v>1</v>
      </c>
      <c r="AQ24" s="1433"/>
      <c r="AR24" s="1433"/>
      <c r="AS24" s="1433"/>
      <c r="AT24" s="1433"/>
      <c r="AU24" s="1426"/>
      <c r="AV24" s="1426"/>
      <c r="AW24" s="1426"/>
      <c r="AX24" s="1426"/>
      <c r="AY24" s="1426"/>
      <c r="AZ24" s="1426"/>
      <c r="BA24" s="1426"/>
      <c r="BB24" s="1426"/>
      <c r="BC24" s="1426"/>
      <c r="BD24" s="1426"/>
      <c r="BE24" s="1426"/>
    </row>
    <row r="25" spans="1:57" s="5" customFormat="1" ht="33.75" customHeight="1">
      <c r="A25" s="326">
        <f t="shared" si="0"/>
        <v>4</v>
      </c>
      <c r="B25" s="656" t="s">
        <v>5449</v>
      </c>
      <c r="C25" s="166">
        <v>107107548441</v>
      </c>
      <c r="D25" s="386" t="s">
        <v>5393</v>
      </c>
      <c r="E25" s="1474" t="s">
        <v>5543</v>
      </c>
      <c r="F25" s="348" t="s">
        <v>5488</v>
      </c>
      <c r="G25" s="167">
        <v>1</v>
      </c>
      <c r="H25" s="2023"/>
      <c r="I25" s="2023"/>
      <c r="J25" s="699" t="s">
        <v>136</v>
      </c>
      <c r="K25" s="1666">
        <v>20920</v>
      </c>
      <c r="L25" s="1357" t="s">
        <v>5352</v>
      </c>
      <c r="M25" s="154" t="s">
        <v>5353</v>
      </c>
      <c r="N25" s="692" t="s">
        <v>5354</v>
      </c>
      <c r="O25" s="2396" t="s">
        <v>5333</v>
      </c>
      <c r="P25" s="2416"/>
      <c r="Q25" s="2214" t="s">
        <v>5449</v>
      </c>
      <c r="R25" s="577">
        <v>7</v>
      </c>
      <c r="S25" s="1672" t="s">
        <v>2760</v>
      </c>
      <c r="T25" s="1672"/>
      <c r="U25" s="1327"/>
      <c r="V25" s="1633">
        <v>265000</v>
      </c>
      <c r="W25" s="1633">
        <v>497000</v>
      </c>
      <c r="X25" s="1748">
        <v>900000</v>
      </c>
      <c r="Y25" s="1526"/>
      <c r="Z25" s="1749"/>
      <c r="AA25" s="1633">
        <v>250000</v>
      </c>
      <c r="AB25" s="1526"/>
      <c r="AC25" s="1608"/>
      <c r="AD25" s="1339">
        <f t="shared" si="1"/>
        <v>1912000</v>
      </c>
      <c r="AE25" s="1591"/>
      <c r="AF25" s="1340">
        <f>(((G25*3450000+H25*3550000+I25*AJ25)+(AI25*$AI$4*(G25+H25))+(AK25*$AK$4*(G25+H25))+(AL25*$AL$4*(G25+H25))+(AM25*$AM$4*(G25+H25))+(AN25*$AN$4*(G25+H25))+(AO25*$AO$4*(G25+H25))+(AP25*$AP$4)+(AQ25*$AQ$4*(G25+H25))+(AR25*$AR$4*(G25+H25))+(AS25*$AS$4)))*1.08</f>
        <v>5022000</v>
      </c>
      <c r="AG25" s="1528">
        <f t="shared" si="4"/>
        <v>6934000</v>
      </c>
      <c r="AH25" s="1529"/>
      <c r="AI25" s="1432">
        <v>1</v>
      </c>
      <c r="AJ25" s="1530"/>
      <c r="AK25" s="1433"/>
      <c r="AL25" s="1433"/>
      <c r="AM25" s="1433"/>
      <c r="AN25" s="1433"/>
      <c r="AO25" s="1433"/>
      <c r="AP25" s="1433"/>
      <c r="AQ25" s="1433">
        <v>1</v>
      </c>
      <c r="AR25" s="1433"/>
      <c r="AS25" s="1433"/>
      <c r="AT25" s="1433"/>
      <c r="AU25" s="1426"/>
      <c r="AV25" s="1426"/>
      <c r="AW25" s="1426"/>
      <c r="AX25" s="1426"/>
      <c r="AY25" s="1426"/>
      <c r="AZ25" s="1426"/>
      <c r="BA25" s="1426"/>
      <c r="BB25" s="1426"/>
      <c r="BC25" s="1426"/>
      <c r="BD25" s="1426"/>
      <c r="BE25" s="1426"/>
    </row>
    <row r="26" spans="1:57" s="5" customFormat="1" ht="15" customHeight="1">
      <c r="A26" s="326">
        <f t="shared" si="0"/>
        <v>5</v>
      </c>
      <c r="B26" s="1751"/>
      <c r="C26" s="166">
        <v>107121491300</v>
      </c>
      <c r="D26" s="386" t="s">
        <v>5431</v>
      </c>
      <c r="E26" s="47"/>
      <c r="F26" s="348" t="s">
        <v>5499</v>
      </c>
      <c r="G26" s="3672" t="s">
        <v>4450</v>
      </c>
      <c r="H26" s="3675"/>
      <c r="I26" s="3676"/>
      <c r="J26" s="79"/>
      <c r="K26" s="1666"/>
      <c r="L26" s="1357" t="s">
        <v>5475</v>
      </c>
      <c r="M26" s="154" t="s">
        <v>5474</v>
      </c>
      <c r="N26" s="692"/>
      <c r="O26" s="2396"/>
      <c r="P26" s="2416"/>
      <c r="Q26" s="2214"/>
      <c r="R26" s="577"/>
      <c r="S26" s="165"/>
      <c r="T26" s="2472"/>
      <c r="U26" s="1327"/>
      <c r="V26" s="1526"/>
      <c r="W26" s="1526"/>
      <c r="X26" s="1526"/>
      <c r="Y26" s="1526"/>
      <c r="Z26" s="1749"/>
      <c r="AA26" s="1791"/>
      <c r="AB26" s="1526"/>
      <c r="AC26" s="1608"/>
      <c r="AD26" s="1339">
        <f t="shared" si="1"/>
        <v>0</v>
      </c>
      <c r="AE26" s="1591"/>
      <c r="AF26" s="1340">
        <f>800000*1.08</f>
        <v>864000</v>
      </c>
      <c r="AG26" s="1528">
        <f t="shared" si="4"/>
        <v>864000</v>
      </c>
      <c r="AH26" s="1529"/>
      <c r="AI26" s="1432"/>
      <c r="AJ26" s="1530"/>
      <c r="AK26" s="1433"/>
      <c r="AL26" s="1433"/>
      <c r="AM26" s="1433"/>
      <c r="AN26" s="1433"/>
      <c r="AO26" s="1433"/>
      <c r="AP26" s="1433"/>
      <c r="AQ26" s="1433"/>
      <c r="AR26" s="1433"/>
      <c r="AS26" s="1433"/>
      <c r="AT26" s="1433"/>
      <c r="AU26" s="1426"/>
      <c r="AV26" s="1426"/>
      <c r="AW26" s="1426"/>
      <c r="AX26" s="1426"/>
      <c r="AY26" s="1426"/>
      <c r="AZ26" s="1426"/>
      <c r="BA26" s="1426"/>
      <c r="BB26" s="1426"/>
      <c r="BC26" s="1426"/>
      <c r="BD26" s="1426"/>
      <c r="BE26" s="1426"/>
    </row>
    <row r="27" spans="1:57" s="5" customFormat="1">
      <c r="A27" s="326">
        <f t="shared" si="0"/>
        <v>6</v>
      </c>
      <c r="B27" s="1751"/>
      <c r="C27" s="2021" t="s">
        <v>5481</v>
      </c>
      <c r="D27" s="386" t="s">
        <v>5460</v>
      </c>
      <c r="E27" s="47"/>
      <c r="F27" s="348" t="s">
        <v>5500</v>
      </c>
      <c r="G27" s="3672" t="s">
        <v>4450</v>
      </c>
      <c r="H27" s="3673"/>
      <c r="I27" s="3674"/>
      <c r="J27" s="79"/>
      <c r="K27" s="2004"/>
      <c r="L27" s="1357" t="s">
        <v>5476</v>
      </c>
      <c r="M27" s="154" t="s">
        <v>5477</v>
      </c>
      <c r="N27" s="692"/>
      <c r="O27" s="2396"/>
      <c r="P27" s="2416"/>
      <c r="Q27" s="2214"/>
      <c r="R27" s="577"/>
      <c r="S27" s="165"/>
      <c r="T27" s="2472"/>
      <c r="U27" s="1327"/>
      <c r="V27" s="1526"/>
      <c r="W27" s="1526"/>
      <c r="X27" s="1526"/>
      <c r="Y27" s="1526"/>
      <c r="Z27" s="1749"/>
      <c r="AA27" s="1791"/>
      <c r="AB27" s="1526"/>
      <c r="AC27" s="1608"/>
      <c r="AD27" s="1339">
        <f t="shared" si="1"/>
        <v>0</v>
      </c>
      <c r="AE27" s="1591"/>
      <c r="AF27" s="1340">
        <f>800000*1.08</f>
        <v>864000</v>
      </c>
      <c r="AG27" s="1528">
        <f t="shared" si="4"/>
        <v>864000</v>
      </c>
      <c r="AH27" s="1529"/>
      <c r="AI27" s="1432"/>
      <c r="AJ27" s="1530"/>
      <c r="AK27" s="1433"/>
      <c r="AL27" s="1433"/>
      <c r="AM27" s="1433"/>
      <c r="AN27" s="1433"/>
      <c r="AO27" s="1433"/>
      <c r="AP27" s="1433"/>
      <c r="AQ27" s="1433"/>
      <c r="AR27" s="1433"/>
      <c r="AS27" s="1433"/>
      <c r="AT27" s="1433"/>
      <c r="AU27" s="1426"/>
      <c r="AV27" s="1426"/>
      <c r="AW27" s="1426"/>
      <c r="AX27" s="1426"/>
      <c r="AY27" s="1426"/>
      <c r="AZ27" s="1426"/>
      <c r="BA27" s="1426"/>
      <c r="BB27" s="1426"/>
      <c r="BC27" s="1426"/>
      <c r="BD27" s="1426"/>
      <c r="BE27" s="1426"/>
    </row>
    <row r="28" spans="1:57" ht="15.6">
      <c r="A28" s="3668" t="s">
        <v>5485</v>
      </c>
      <c r="B28" s="3668"/>
      <c r="C28" s="3668"/>
      <c r="D28" s="3668"/>
      <c r="E28" s="3668"/>
      <c r="F28" s="3668"/>
      <c r="G28" s="3668"/>
      <c r="H28" s="3668"/>
      <c r="I28" s="3668"/>
      <c r="J28" s="3668"/>
      <c r="K28" s="3668"/>
      <c r="L28" s="3668"/>
      <c r="M28" s="3668"/>
      <c r="N28" s="3668"/>
      <c r="O28" s="2395"/>
      <c r="P28" s="2412"/>
      <c r="Q28" s="2398"/>
      <c r="R28" s="1773"/>
      <c r="S28" s="1774"/>
      <c r="T28" s="3210"/>
      <c r="U28" s="1775"/>
      <c r="V28" s="1776"/>
      <c r="W28" s="1777"/>
      <c r="X28" s="1777"/>
      <c r="Y28" s="1777"/>
      <c r="Z28" s="1778"/>
      <c r="AA28" s="1778"/>
      <c r="AB28" s="1777"/>
      <c r="AC28" s="1779"/>
      <c r="AD28" s="1779">
        <f>SUM(AD22:AD27)</f>
        <v>26995257</v>
      </c>
      <c r="AE28" s="2026"/>
      <c r="AF28" s="1781">
        <f>SUM(AF22:AF27)</f>
        <v>42249600</v>
      </c>
      <c r="AG28" s="1781">
        <f>SUM(AG22:AG27)</f>
        <v>69244857</v>
      </c>
      <c r="AH28" s="1781"/>
      <c r="AI28" s="1429"/>
      <c r="AJ28" s="1430"/>
      <c r="AK28" s="2024"/>
      <c r="AL28" s="1782"/>
      <c r="AM28" s="1782"/>
      <c r="AN28" s="1782"/>
      <c r="AO28" s="1782"/>
      <c r="AP28" s="1782"/>
      <c r="AQ28" s="1782"/>
      <c r="AR28" s="1782"/>
      <c r="AS28" s="1433"/>
      <c r="AT28" s="1433"/>
    </row>
    <row r="29" spans="1:57" s="5" customFormat="1" ht="42.75" customHeight="1">
      <c r="A29" s="326">
        <v>1</v>
      </c>
      <c r="B29" s="1329" t="s">
        <v>5638</v>
      </c>
      <c r="C29" s="166">
        <v>107158772820</v>
      </c>
      <c r="D29" s="386" t="s">
        <v>5526</v>
      </c>
      <c r="E29" s="117" t="s">
        <v>4444</v>
      </c>
      <c r="F29" s="179" t="s">
        <v>5639</v>
      </c>
      <c r="G29" s="167">
        <v>1</v>
      </c>
      <c r="H29" s="167"/>
      <c r="I29" s="1642"/>
      <c r="J29" s="2169" t="s">
        <v>123</v>
      </c>
      <c r="K29" s="2005">
        <v>27260</v>
      </c>
      <c r="L29" s="1610" t="s">
        <v>5566</v>
      </c>
      <c r="M29" s="154" t="s">
        <v>5568</v>
      </c>
      <c r="N29" s="692" t="s">
        <v>5567</v>
      </c>
      <c r="O29" s="2396" t="s">
        <v>5526</v>
      </c>
      <c r="P29" s="2416"/>
      <c r="Q29" s="2214"/>
      <c r="R29" s="577"/>
      <c r="S29" s="165" t="s">
        <v>4813</v>
      </c>
      <c r="T29" s="2472"/>
      <c r="U29" s="1327" t="s">
        <v>5698</v>
      </c>
      <c r="V29" s="1337"/>
      <c r="W29" s="1633">
        <v>497000</v>
      </c>
      <c r="X29" s="2174">
        <v>999000</v>
      </c>
      <c r="Y29" s="1526"/>
      <c r="Z29" s="1749"/>
      <c r="AA29" s="2237">
        <v>250000</v>
      </c>
      <c r="AB29" s="1526"/>
      <c r="AC29" s="1608"/>
      <c r="AD29" s="1339">
        <f t="shared" si="1"/>
        <v>1746000</v>
      </c>
      <c r="AE29" s="2172" t="s">
        <v>5808</v>
      </c>
      <c r="AF29" s="1340">
        <f t="shared" ref="AF29:AF35" si="5">(((G29*3450000+H29*3550000+I29*AJ29)+(AI29*$AI$4*(G29+H29))+(AK29*$AK$4*(G29+H29))+(AL29*$AL$4*(G29+H29))+(AM29*$AM$4*(G29+H29))+(AN29*$AN$4*(G29+H29))+(AO29*$AO$4*(G29+H29))+(AP29*$AP$4)+(AQ29*$AQ$4*(G29+H29))+(AR29*$AR$4*(G29+H29))+(AS29*$AS$4)+(AT29*$AT$4)))*1.08</f>
        <v>8802000</v>
      </c>
      <c r="AG29" s="1528">
        <f t="shared" si="4"/>
        <v>10548000</v>
      </c>
      <c r="AH29" s="1529"/>
      <c r="AI29" s="1432">
        <v>1</v>
      </c>
      <c r="AJ29" s="1530"/>
      <c r="AK29" s="1433">
        <v>1</v>
      </c>
      <c r="AL29" s="1433"/>
      <c r="AM29" s="1433"/>
      <c r="AN29" s="1433"/>
      <c r="AO29" s="1433"/>
      <c r="AP29" s="1433"/>
      <c r="AQ29" s="1433"/>
      <c r="AR29" s="1433"/>
      <c r="AS29" s="1433">
        <v>1</v>
      </c>
      <c r="AT29" s="1433">
        <v>1</v>
      </c>
      <c r="AU29" s="1426"/>
      <c r="AV29" s="1426"/>
      <c r="AW29" s="1426"/>
      <c r="AX29" s="1426"/>
      <c r="AY29" s="1426"/>
      <c r="AZ29" s="1426"/>
      <c r="BA29" s="1426"/>
      <c r="BB29" s="1426"/>
      <c r="BC29" s="1426"/>
      <c r="BD29" s="1426"/>
      <c r="BE29" s="1426"/>
    </row>
    <row r="30" spans="1:57" s="5" customFormat="1" ht="93">
      <c r="A30" s="326">
        <f t="shared" si="0"/>
        <v>2</v>
      </c>
      <c r="B30" s="1329" t="s">
        <v>5682</v>
      </c>
      <c r="C30" s="166">
        <v>107170873610</v>
      </c>
      <c r="D30" s="386" t="s">
        <v>5607</v>
      </c>
      <c r="E30" s="117" t="s">
        <v>4858</v>
      </c>
      <c r="F30" s="179" t="s">
        <v>5640</v>
      </c>
      <c r="G30" s="167">
        <v>7</v>
      </c>
      <c r="H30" s="167"/>
      <c r="I30" s="2261"/>
      <c r="J30" s="2169" t="s">
        <v>123</v>
      </c>
      <c r="K30" s="2005">
        <v>195156</v>
      </c>
      <c r="L30" s="1610" t="s">
        <v>5609</v>
      </c>
      <c r="M30" s="154" t="s">
        <v>5611</v>
      </c>
      <c r="N30" s="1522" t="s">
        <v>5610</v>
      </c>
      <c r="O30" s="2396" t="s">
        <v>5638</v>
      </c>
      <c r="P30" s="2416"/>
      <c r="Q30" s="2214" t="s">
        <v>5657</v>
      </c>
      <c r="R30" s="577"/>
      <c r="S30" s="165" t="s">
        <v>4813</v>
      </c>
      <c r="T30" s="2472"/>
      <c r="U30" s="1327" t="s">
        <v>4909</v>
      </c>
      <c r="V30" s="1633">
        <v>460000</v>
      </c>
      <c r="W30" s="1633">
        <v>3479000</v>
      </c>
      <c r="X30" s="2174">
        <f>900000*7</f>
        <v>6300000</v>
      </c>
      <c r="Y30" s="1526"/>
      <c r="Z30" s="1749"/>
      <c r="AA30" s="2237">
        <v>1750000</v>
      </c>
      <c r="AB30" s="1526"/>
      <c r="AC30" s="1608"/>
      <c r="AD30" s="1339">
        <f t="shared" si="1"/>
        <v>11989000</v>
      </c>
      <c r="AE30" s="1591"/>
      <c r="AF30" s="1340">
        <f t="shared" si="5"/>
        <v>38934000</v>
      </c>
      <c r="AG30" s="1528">
        <f t="shared" si="4"/>
        <v>50923000</v>
      </c>
      <c r="AH30" s="1529"/>
      <c r="AI30" s="1432">
        <v>1</v>
      </c>
      <c r="AJ30" s="1530"/>
      <c r="AK30" s="1433">
        <v>1</v>
      </c>
      <c r="AL30" s="1433"/>
      <c r="AM30" s="1433"/>
      <c r="AN30" s="2014"/>
      <c r="AO30" s="2014"/>
      <c r="AP30" s="2014"/>
      <c r="AQ30" s="2014"/>
      <c r="AR30" s="2014"/>
      <c r="AS30" s="1433"/>
      <c r="AT30" s="1433"/>
      <c r="AU30" s="1426"/>
      <c r="AV30" s="1426"/>
      <c r="AW30" s="1426"/>
      <c r="AX30" s="1426"/>
      <c r="AY30" s="1426"/>
      <c r="AZ30" s="1426"/>
      <c r="BA30" s="1426"/>
      <c r="BB30" s="1426"/>
      <c r="BC30" s="1426"/>
      <c r="BD30" s="1426"/>
      <c r="BE30" s="1426"/>
    </row>
    <row r="31" spans="1:57" s="5" customFormat="1" ht="66.599999999999994">
      <c r="A31" s="326">
        <f t="shared" si="0"/>
        <v>3</v>
      </c>
      <c r="B31" s="656" t="s">
        <v>4841</v>
      </c>
      <c r="C31" s="166">
        <v>107179346260</v>
      </c>
      <c r="D31" s="386" t="s">
        <v>5638</v>
      </c>
      <c r="E31" s="117" t="s">
        <v>4444</v>
      </c>
      <c r="F31" s="179" t="s">
        <v>5793</v>
      </c>
      <c r="G31" s="167">
        <v>2</v>
      </c>
      <c r="H31" s="167"/>
      <c r="I31" s="445"/>
      <c r="J31" s="2169" t="s">
        <v>123</v>
      </c>
      <c r="K31" s="2005">
        <v>54130</v>
      </c>
      <c r="L31" s="1666">
        <v>147500544372</v>
      </c>
      <c r="M31" s="154" t="s">
        <v>5611</v>
      </c>
      <c r="N31" s="1522" t="s">
        <v>5658</v>
      </c>
      <c r="O31" s="2396" t="s">
        <v>5654</v>
      </c>
      <c r="P31" s="2416"/>
      <c r="Q31" s="2214" t="s">
        <v>5656</v>
      </c>
      <c r="R31" s="577"/>
      <c r="S31" s="165" t="s">
        <v>4813</v>
      </c>
      <c r="T31" s="2472"/>
      <c r="U31" s="1327" t="s">
        <v>5698</v>
      </c>
      <c r="V31" s="1526"/>
      <c r="W31" s="1633">
        <v>1454000</v>
      </c>
      <c r="X31" s="2174">
        <f>870000*2</f>
        <v>1740000</v>
      </c>
      <c r="Y31" s="1526"/>
      <c r="Z31" s="1749"/>
      <c r="AA31" s="2237">
        <v>500000</v>
      </c>
      <c r="AB31" s="1526"/>
      <c r="AC31" s="1608"/>
      <c r="AD31" s="1339">
        <f t="shared" si="1"/>
        <v>3694000</v>
      </c>
      <c r="AE31" s="2172" t="s">
        <v>5809</v>
      </c>
      <c r="AF31" s="1340">
        <f t="shared" si="5"/>
        <v>14364000.000000002</v>
      </c>
      <c r="AG31" s="2020">
        <f t="shared" si="4"/>
        <v>18058000</v>
      </c>
      <c r="AH31" s="2019"/>
      <c r="AI31" s="2018">
        <v>1</v>
      </c>
      <c r="AJ31" s="2013"/>
      <c r="AK31" s="2014">
        <v>1</v>
      </c>
      <c r="AL31" s="2014"/>
      <c r="AM31" s="2014"/>
      <c r="AN31" s="2014"/>
      <c r="AO31" s="2014"/>
      <c r="AP31" s="2014"/>
      <c r="AQ31" s="2014"/>
      <c r="AR31" s="2014"/>
      <c r="AS31" s="1433">
        <v>1</v>
      </c>
      <c r="AT31" s="1433">
        <v>1</v>
      </c>
      <c r="AU31" s="1426"/>
      <c r="AV31" s="1426"/>
      <c r="AW31" s="1426"/>
      <c r="AX31" s="1426"/>
      <c r="AY31" s="1426"/>
      <c r="AZ31" s="1426"/>
      <c r="BA31" s="1426"/>
      <c r="BB31" s="1426"/>
      <c r="BC31" s="1426"/>
      <c r="BD31" s="1426"/>
      <c r="BE31" s="1426"/>
    </row>
    <row r="32" spans="1:57" s="5" customFormat="1" ht="40.200000000000003">
      <c r="A32" s="326">
        <f t="shared" si="0"/>
        <v>4</v>
      </c>
      <c r="B32" s="1488" t="s">
        <v>5749</v>
      </c>
      <c r="C32" s="166">
        <v>107190508020</v>
      </c>
      <c r="D32" s="386" t="s">
        <v>5655</v>
      </c>
      <c r="E32" s="117" t="s">
        <v>4401</v>
      </c>
      <c r="F32" s="348" t="s">
        <v>5770</v>
      </c>
      <c r="G32" s="167">
        <v>3</v>
      </c>
      <c r="H32" s="167"/>
      <c r="I32" s="167"/>
      <c r="J32" s="2169" t="s">
        <v>123</v>
      </c>
      <c r="K32" s="2005">
        <v>79742</v>
      </c>
      <c r="L32" s="2142" t="s">
        <v>5616</v>
      </c>
      <c r="M32" s="2009" t="s">
        <v>5617</v>
      </c>
      <c r="N32" s="2408" t="s">
        <v>5694</v>
      </c>
      <c r="O32" s="2396" t="s">
        <v>5733</v>
      </c>
      <c r="P32" s="2414"/>
      <c r="Q32" s="2406" t="s">
        <v>5734</v>
      </c>
      <c r="R32" s="2009">
        <v>7</v>
      </c>
      <c r="S32" s="165" t="s">
        <v>4813</v>
      </c>
      <c r="T32" s="3211"/>
      <c r="U32" s="2010" t="s">
        <v>4909</v>
      </c>
      <c r="V32" s="2011"/>
      <c r="W32" s="1633">
        <v>1491000</v>
      </c>
      <c r="X32" s="2174">
        <f>999000*3</f>
        <v>2997000</v>
      </c>
      <c r="Y32" s="2011"/>
      <c r="Z32" s="2012"/>
      <c r="AA32" s="2237">
        <v>750000</v>
      </c>
      <c r="AB32" s="2011"/>
      <c r="AC32" s="2011"/>
      <c r="AD32" s="1339">
        <f t="shared" si="1"/>
        <v>5238000</v>
      </c>
      <c r="AE32" s="2260"/>
      <c r="AF32" s="1340">
        <f t="shared" si="5"/>
        <v>17982000</v>
      </c>
      <c r="AG32" s="2020">
        <f t="shared" si="4"/>
        <v>23220000</v>
      </c>
      <c r="AH32" s="2019"/>
      <c r="AI32" s="2014">
        <v>1</v>
      </c>
      <c r="AJ32" s="2014"/>
      <c r="AK32" s="2014">
        <v>1</v>
      </c>
      <c r="AL32" s="1426"/>
      <c r="AM32" s="1426"/>
      <c r="AN32" s="2014"/>
      <c r="AO32" s="2014"/>
      <c r="AP32" s="2014"/>
      <c r="AQ32" s="2014">
        <v>1</v>
      </c>
      <c r="AR32" s="2014"/>
      <c r="AS32" s="1433"/>
      <c r="AT32" s="1433"/>
      <c r="AU32" s="1426"/>
      <c r="AV32" s="1426"/>
      <c r="AW32" s="1426"/>
      <c r="AX32" s="1426"/>
      <c r="AY32" s="1426"/>
      <c r="AZ32" s="1426"/>
      <c r="BA32" s="1426"/>
      <c r="BB32" s="1426"/>
      <c r="BC32" s="1426"/>
      <c r="BD32" s="1426"/>
      <c r="BE32" s="1426"/>
    </row>
    <row r="33" spans="1:57" s="5" customFormat="1" ht="40.200000000000003">
      <c r="A33" s="326">
        <f t="shared" si="0"/>
        <v>5</v>
      </c>
      <c r="B33" s="2264" t="s">
        <v>5802</v>
      </c>
      <c r="C33" s="1915">
        <v>107194681050</v>
      </c>
      <c r="D33" s="1520" t="s">
        <v>5685</v>
      </c>
      <c r="E33" s="117" t="s">
        <v>4401</v>
      </c>
      <c r="F33" s="2234" t="s">
        <v>5794</v>
      </c>
      <c r="G33" s="167">
        <v>3</v>
      </c>
      <c r="H33" s="167"/>
      <c r="I33" s="167"/>
      <c r="J33" s="2169" t="s">
        <v>123</v>
      </c>
      <c r="K33" s="2005">
        <v>81097</v>
      </c>
      <c r="L33" s="2142" t="s">
        <v>5700</v>
      </c>
      <c r="M33" s="2009" t="s">
        <v>5701</v>
      </c>
      <c r="N33" s="2408" t="s">
        <v>5702</v>
      </c>
      <c r="O33" s="2396" t="s">
        <v>5749</v>
      </c>
      <c r="P33" s="2414"/>
      <c r="Q33" s="2406"/>
      <c r="R33" s="2009"/>
      <c r="S33" s="165" t="s">
        <v>4813</v>
      </c>
      <c r="T33" s="3211"/>
      <c r="U33" s="2010" t="s">
        <v>4909</v>
      </c>
      <c r="V33" s="2011"/>
      <c r="W33" s="1633">
        <v>2181000</v>
      </c>
      <c r="X33" s="2174">
        <f>999000+1998000</f>
        <v>2997000</v>
      </c>
      <c r="Y33" s="2011"/>
      <c r="Z33" s="2012"/>
      <c r="AA33" s="2237">
        <v>750000</v>
      </c>
      <c r="AB33" s="2011"/>
      <c r="AC33" s="2011"/>
      <c r="AD33" s="1339">
        <f t="shared" si="1"/>
        <v>5928000</v>
      </c>
      <c r="AE33" s="2236"/>
      <c r="AF33" s="2186">
        <f t="shared" si="5"/>
        <v>16686000.000000002</v>
      </c>
      <c r="AG33" s="2020">
        <f t="shared" si="4"/>
        <v>22614000</v>
      </c>
      <c r="AH33" s="2019"/>
      <c r="AI33" s="2014">
        <v>1</v>
      </c>
      <c r="AJ33" s="2014"/>
      <c r="AK33" s="2014">
        <v>1</v>
      </c>
      <c r="AL33" s="1426"/>
      <c r="AM33" s="1426"/>
      <c r="AN33" s="2014"/>
      <c r="AO33" s="2014"/>
      <c r="AP33" s="2014"/>
      <c r="AQ33" s="2014"/>
      <c r="AR33" s="2014"/>
      <c r="AS33" s="1433"/>
      <c r="AT33" s="1433"/>
      <c r="AU33" s="1426"/>
      <c r="AV33" s="1426"/>
      <c r="AW33" s="1426"/>
      <c r="AX33" s="1426"/>
      <c r="AY33" s="1426"/>
      <c r="AZ33" s="1426"/>
      <c r="BA33" s="1426"/>
      <c r="BB33" s="1426"/>
      <c r="BC33" s="1426"/>
      <c r="BD33" s="1426"/>
      <c r="BE33" s="1426"/>
    </row>
    <row r="34" spans="1:57" s="5" customFormat="1" ht="72" customHeight="1">
      <c r="A34" s="326">
        <v>6</v>
      </c>
      <c r="B34" s="2264" t="s">
        <v>5802</v>
      </c>
      <c r="C34" s="166">
        <v>107198155300</v>
      </c>
      <c r="D34" s="1520" t="s">
        <v>5656</v>
      </c>
      <c r="E34" s="117" t="s">
        <v>4444</v>
      </c>
      <c r="F34" s="2280" t="s">
        <v>5795</v>
      </c>
      <c r="G34" s="167">
        <v>2</v>
      </c>
      <c r="H34" s="167"/>
      <c r="I34" s="167"/>
      <c r="J34" s="2169" t="s">
        <v>123</v>
      </c>
      <c r="K34" s="2005">
        <v>55010</v>
      </c>
      <c r="L34" s="2142" t="s">
        <v>5711</v>
      </c>
      <c r="M34" s="2009" t="s">
        <v>5713</v>
      </c>
      <c r="N34" s="2408" t="s">
        <v>5712</v>
      </c>
      <c r="O34" s="2396" t="s">
        <v>5749</v>
      </c>
      <c r="P34" s="2415"/>
      <c r="Q34" s="2407"/>
      <c r="R34" s="1485"/>
      <c r="S34" s="165" t="s">
        <v>4813</v>
      </c>
      <c r="T34" s="2472"/>
      <c r="U34" s="1327" t="s">
        <v>5698</v>
      </c>
      <c r="V34" s="1337"/>
      <c r="W34" s="1633">
        <v>1454000</v>
      </c>
      <c r="X34" s="2174">
        <v>1998000</v>
      </c>
      <c r="Y34" s="1485"/>
      <c r="Z34" s="1485"/>
      <c r="AA34" s="2237">
        <v>500000</v>
      </c>
      <c r="AB34" s="2282"/>
      <c r="AC34" s="1485"/>
      <c r="AD34" s="1339">
        <f t="shared" si="1"/>
        <v>3952000</v>
      </c>
      <c r="AE34" s="2260" t="s">
        <v>5810</v>
      </c>
      <c r="AF34" s="2186">
        <f>(((G34*3450000+H34*3550000+I34*AJ34)+(AI34*$AI$4*(G34+H34))+(AK34*$AK$4*(G34+H34))+(AL34*$AL$4*(G34+H34))+(AM34*$AM$4*(G34+H34))+(AN34*$AN$4*(G34+H34))+(AO34*$AO$4*(G34+H34))+(AP34*$AP$4)+(AQ34*$AQ$4*(G34+H34))+(AR34*$AR$4*(G34+H34))+(AS34*$AS$4)+(AT34*$AT$4)))*1.08</f>
        <v>13824000</v>
      </c>
      <c r="AG34" s="2020">
        <f t="shared" si="4"/>
        <v>17776000</v>
      </c>
      <c r="AH34" s="2019"/>
      <c r="AI34" s="2014">
        <v>1</v>
      </c>
      <c r="AJ34" s="2014"/>
      <c r="AK34" s="2014">
        <v>1</v>
      </c>
      <c r="AL34" s="1433"/>
      <c r="AM34" s="1433"/>
      <c r="AN34" s="2014"/>
      <c r="AO34" s="2014"/>
      <c r="AP34" s="2014">
        <v>1</v>
      </c>
      <c r="AQ34" s="2014"/>
      <c r="AR34" s="2014"/>
      <c r="AS34" s="1433">
        <v>1</v>
      </c>
      <c r="AT34" s="1433"/>
      <c r="AU34" s="1426"/>
      <c r="AV34" s="1426"/>
      <c r="AW34" s="1426"/>
      <c r="AX34" s="1426"/>
      <c r="AY34" s="1426"/>
      <c r="AZ34" s="1426"/>
      <c r="BA34" s="1426"/>
      <c r="BB34" s="1426"/>
      <c r="BC34" s="1426"/>
      <c r="BD34" s="1426"/>
      <c r="BE34" s="1426"/>
    </row>
    <row r="35" spans="1:57" s="5" customFormat="1" ht="26.4">
      <c r="A35" s="326">
        <f t="shared" si="0"/>
        <v>7</v>
      </c>
      <c r="B35" s="2264" t="s">
        <v>5657</v>
      </c>
      <c r="C35" s="166">
        <v>107199228730</v>
      </c>
      <c r="D35" s="46" t="s">
        <v>5656</v>
      </c>
      <c r="E35" s="1474" t="s">
        <v>4972</v>
      </c>
      <c r="F35" s="2235" t="s">
        <v>5796</v>
      </c>
      <c r="G35" s="167">
        <v>2</v>
      </c>
      <c r="H35" s="167"/>
      <c r="I35" s="167"/>
      <c r="J35" s="2169" t="s">
        <v>123</v>
      </c>
      <c r="K35" s="2005">
        <v>46280</v>
      </c>
      <c r="L35" s="2068">
        <v>253766449</v>
      </c>
      <c r="M35" s="1492" t="s">
        <v>5750</v>
      </c>
      <c r="N35" s="2408" t="s">
        <v>5751</v>
      </c>
      <c r="O35" s="2396" t="s">
        <v>5656</v>
      </c>
      <c r="P35" s="2415"/>
      <c r="Q35" s="2407"/>
      <c r="R35" s="1485"/>
      <c r="S35" s="1564" t="s">
        <v>5699</v>
      </c>
      <c r="T35" s="2471"/>
      <c r="U35" s="1327" t="s">
        <v>2937</v>
      </c>
      <c r="V35" s="1485"/>
      <c r="W35" s="1633">
        <v>3110400</v>
      </c>
      <c r="X35" s="2174">
        <f>1000000+900000</f>
        <v>1900000</v>
      </c>
      <c r="Y35" s="1337"/>
      <c r="Z35" s="1485"/>
      <c r="AA35" s="1633">
        <v>250000</v>
      </c>
      <c r="AB35" s="1485"/>
      <c r="AC35" s="1485"/>
      <c r="AD35" s="1339">
        <f>SUM(V35:AC35)</f>
        <v>5260400</v>
      </c>
      <c r="AE35" s="1485"/>
      <c r="AF35" s="2186">
        <f t="shared" si="5"/>
        <v>16632000.000000002</v>
      </c>
      <c r="AG35" s="2020">
        <f t="shared" si="4"/>
        <v>21892400</v>
      </c>
      <c r="AH35" s="2019"/>
      <c r="AI35" s="2014">
        <v>1</v>
      </c>
      <c r="AJ35" s="2014"/>
      <c r="AK35" s="2014"/>
      <c r="AL35" s="1433">
        <v>1</v>
      </c>
      <c r="AM35" s="1433">
        <v>1</v>
      </c>
      <c r="AN35" s="1433"/>
      <c r="AO35" s="1433"/>
      <c r="AP35" s="1433">
        <v>1</v>
      </c>
      <c r="AQ35" s="1433"/>
      <c r="AR35" s="1433"/>
      <c r="AS35" s="1433"/>
      <c r="AT35" s="1433"/>
      <c r="AU35" s="1426"/>
      <c r="AV35" s="1426"/>
      <c r="AW35" s="1426"/>
      <c r="AX35" s="1426"/>
      <c r="AY35" s="1426"/>
      <c r="AZ35" s="1426"/>
      <c r="BA35" s="1426"/>
      <c r="BB35" s="1426"/>
      <c r="BC35" s="1426"/>
      <c r="BD35" s="1426"/>
      <c r="BE35" s="1426"/>
    </row>
    <row r="36" spans="1:57" ht="15.6">
      <c r="A36" s="3668" t="s">
        <v>5776</v>
      </c>
      <c r="B36" s="3668"/>
      <c r="C36" s="3668"/>
      <c r="D36" s="3668"/>
      <c r="E36" s="3668"/>
      <c r="F36" s="3668"/>
      <c r="G36" s="3668"/>
      <c r="H36" s="3668"/>
      <c r="I36" s="3668"/>
      <c r="J36" s="3668"/>
      <c r="K36" s="3668"/>
      <c r="L36" s="3668"/>
      <c r="M36" s="3668"/>
      <c r="N36" s="3668"/>
      <c r="O36" s="2395"/>
      <c r="P36" s="2412"/>
      <c r="Q36" s="2398"/>
      <c r="R36" s="1773"/>
      <c r="S36" s="1774"/>
      <c r="T36" s="3210"/>
      <c r="U36" s="1775"/>
      <c r="V36" s="1776"/>
      <c r="W36" s="1777"/>
      <c r="X36" s="1777"/>
      <c r="Y36" s="1777"/>
      <c r="Z36" s="1778"/>
      <c r="AA36" s="1778"/>
      <c r="AB36" s="1777"/>
      <c r="AC36" s="1779"/>
      <c r="AD36" s="1781">
        <f>SUM(AD29:AD35)</f>
        <v>37807400</v>
      </c>
      <c r="AE36" s="2026"/>
      <c r="AF36" s="1781">
        <f>SUM(AF29:AF35)</f>
        <v>127224000</v>
      </c>
      <c r="AG36" s="1781">
        <f>SUM(AG29:AG35)</f>
        <v>165031400</v>
      </c>
      <c r="AH36" s="1781"/>
      <c r="AI36" s="1429"/>
      <c r="AJ36" s="1430"/>
      <c r="AK36" s="2024"/>
      <c r="AL36" s="1782"/>
      <c r="AM36" s="1782"/>
      <c r="AN36" s="1782"/>
      <c r="AO36" s="1782"/>
      <c r="AP36" s="1782"/>
      <c r="AQ36" s="1782"/>
      <c r="AR36" s="1782"/>
      <c r="AS36" s="1433"/>
      <c r="AT36" s="1433"/>
    </row>
    <row r="37" spans="1:57" s="5" customFormat="1" ht="42.75" customHeight="1">
      <c r="A37" s="326">
        <v>1</v>
      </c>
      <c r="B37" s="1329"/>
      <c r="C37" s="166">
        <v>107158772820</v>
      </c>
      <c r="D37" s="386" t="s">
        <v>5526</v>
      </c>
      <c r="E37" s="117" t="s">
        <v>4444</v>
      </c>
      <c r="F37" s="179" t="s">
        <v>6176</v>
      </c>
      <c r="G37" s="167"/>
      <c r="H37" s="167"/>
      <c r="I37" s="1642"/>
      <c r="J37" s="2136"/>
      <c r="K37" s="2005">
        <v>27260</v>
      </c>
      <c r="L37" s="1610" t="s">
        <v>5566</v>
      </c>
      <c r="M37" s="154" t="s">
        <v>5568</v>
      </c>
      <c r="N37" s="692"/>
      <c r="O37" s="2396"/>
      <c r="P37" s="2416"/>
      <c r="Q37" s="2214"/>
      <c r="R37" s="577"/>
      <c r="S37" s="165"/>
      <c r="T37" s="2472"/>
      <c r="U37" s="1330"/>
      <c r="V37" s="1337"/>
      <c r="W37" s="1337"/>
      <c r="X37" s="1337"/>
      <c r="Y37" s="1337"/>
      <c r="Z37" s="1634"/>
      <c r="AA37" s="2282"/>
      <c r="AB37" s="1526"/>
      <c r="AC37" s="1608"/>
      <c r="AD37" s="1339">
        <f>SUM(V37:AC37)</f>
        <v>0</v>
      </c>
      <c r="AE37" s="1591" t="s">
        <v>5880</v>
      </c>
      <c r="AF37" s="1340">
        <f>+(1000000*1.03)*1.08</f>
        <v>1112400</v>
      </c>
      <c r="AG37" s="1528">
        <f>+AD37+AF37</f>
        <v>1112400</v>
      </c>
      <c r="AH37" s="1529"/>
      <c r="AI37" s="1432"/>
      <c r="AJ37" s="1530"/>
      <c r="AK37" s="1433"/>
      <c r="AL37" s="1433"/>
      <c r="AM37" s="1433"/>
      <c r="AN37" s="1433"/>
      <c r="AO37" s="1433"/>
      <c r="AP37" s="1433"/>
      <c r="AQ37" s="1433"/>
      <c r="AR37" s="1433"/>
      <c r="AS37" s="1433"/>
      <c r="AT37" s="1433"/>
      <c r="AU37" s="1426"/>
      <c r="AV37" s="1426"/>
      <c r="AW37" s="1426"/>
      <c r="AX37" s="1426"/>
      <c r="AY37" s="1426"/>
      <c r="AZ37" s="1426"/>
      <c r="BA37" s="1426"/>
      <c r="BB37" s="1426"/>
      <c r="BC37" s="1426"/>
      <c r="BD37" s="1426"/>
      <c r="BE37" s="1426"/>
    </row>
    <row r="38" spans="1:57" s="5" customFormat="1" ht="15.6">
      <c r="A38" s="326">
        <v>2</v>
      </c>
      <c r="B38" s="656"/>
      <c r="C38" s="166">
        <v>107179346260</v>
      </c>
      <c r="D38" s="386" t="s">
        <v>5638</v>
      </c>
      <c r="E38" s="117" t="s">
        <v>4444</v>
      </c>
      <c r="F38" s="179" t="s">
        <v>6177</v>
      </c>
      <c r="G38" s="167"/>
      <c r="H38" s="167"/>
      <c r="I38" s="445"/>
      <c r="J38" s="2136"/>
      <c r="K38" s="2005">
        <v>54130</v>
      </c>
      <c r="L38" s="1666">
        <v>147500544372</v>
      </c>
      <c r="M38" s="154" t="s">
        <v>5611</v>
      </c>
      <c r="N38" s="1522"/>
      <c r="O38" s="2396"/>
      <c r="P38" s="2416"/>
      <c r="Q38" s="2214"/>
      <c r="R38" s="577"/>
      <c r="S38" s="165"/>
      <c r="T38" s="2472"/>
      <c r="U38" s="1330"/>
      <c r="V38" s="1337"/>
      <c r="W38" s="1337"/>
      <c r="X38" s="1337"/>
      <c r="Y38" s="1337"/>
      <c r="Z38" s="1634"/>
      <c r="AA38" s="2282"/>
      <c r="AB38" s="1526"/>
      <c r="AC38" s="1608"/>
      <c r="AD38" s="1339">
        <f>SUM(V38:AC38)</f>
        <v>0</v>
      </c>
      <c r="AE38" s="2430" t="s">
        <v>5893</v>
      </c>
      <c r="AF38" s="1340">
        <f>+(6000000*1.03)*1.08</f>
        <v>6674400</v>
      </c>
      <c r="AG38" s="2020">
        <f>+AD38+AF38</f>
        <v>6674400</v>
      </c>
      <c r="AH38" s="2019"/>
      <c r="AI38" s="2018"/>
      <c r="AJ38" s="2013"/>
      <c r="AK38" s="2014"/>
      <c r="AL38" s="2014"/>
      <c r="AM38" s="2014"/>
      <c r="AN38" s="2014"/>
      <c r="AO38" s="2014"/>
      <c r="AP38" s="2014"/>
      <c r="AQ38" s="2014"/>
      <c r="AR38" s="2014"/>
      <c r="AS38" s="1433"/>
      <c r="AT38" s="1433"/>
      <c r="AU38" s="1426"/>
      <c r="AV38" s="1426"/>
      <c r="AW38" s="1426"/>
      <c r="AX38" s="1426"/>
      <c r="AY38" s="1426"/>
      <c r="AZ38" s="1426"/>
      <c r="BA38" s="1426"/>
      <c r="BB38" s="1426"/>
      <c r="BC38" s="1426"/>
      <c r="BD38" s="1426"/>
      <c r="BE38" s="1426"/>
    </row>
    <row r="39" spans="1:57" s="5" customFormat="1" ht="39.6">
      <c r="A39" s="326">
        <v>3</v>
      </c>
      <c r="B39" s="656" t="s">
        <v>5848</v>
      </c>
      <c r="C39" s="166">
        <v>107218630410</v>
      </c>
      <c r="D39" s="386" t="s">
        <v>5802</v>
      </c>
      <c r="E39" s="117" t="s">
        <v>4401</v>
      </c>
      <c r="F39" s="348" t="s">
        <v>5902</v>
      </c>
      <c r="G39" s="167">
        <v>3</v>
      </c>
      <c r="H39" s="167"/>
      <c r="I39" s="167"/>
      <c r="J39" s="2431" t="s">
        <v>123</v>
      </c>
      <c r="K39" s="1357" t="s">
        <v>6011</v>
      </c>
      <c r="L39" s="2068" t="s">
        <v>5845</v>
      </c>
      <c r="M39" s="577" t="s">
        <v>5844</v>
      </c>
      <c r="N39" s="2408" t="s">
        <v>5846</v>
      </c>
      <c r="O39" s="2394" t="s">
        <v>5798</v>
      </c>
      <c r="P39" s="2416" t="s">
        <v>5983</v>
      </c>
      <c r="Q39" s="2214" t="s">
        <v>5848</v>
      </c>
      <c r="R39" s="577"/>
      <c r="S39" s="165" t="s">
        <v>4813</v>
      </c>
      <c r="T39" s="3211"/>
      <c r="U39" s="2425" t="s">
        <v>4909</v>
      </c>
      <c r="V39" s="1526"/>
      <c r="W39" s="1633">
        <v>2181000</v>
      </c>
      <c r="X39" s="2467">
        <v>3000000</v>
      </c>
      <c r="Y39" s="1526"/>
      <c r="Z39" s="1749"/>
      <c r="AA39" s="1633">
        <v>750000</v>
      </c>
      <c r="AB39" s="1526"/>
      <c r="AC39" s="1608"/>
      <c r="AD39" s="1339">
        <f>SUM(V39:AC39)</f>
        <v>5931000</v>
      </c>
      <c r="AE39" s="2594"/>
      <c r="AF39" s="1340">
        <f>(((G39*3450000+H39*3550000+I39*AJ39)+(AI39*$AI$4*(G39+H39))+(AK39*$AK$4*(G39+H39))+(AL39*$AL$4*(G39+H39))+(AM39*$AM$4*(G39+H39))+(AN39*$AN$4*(G39+H39))+(AO39*$AO$4*(G39+H39))+(AP39*$AP$4)+(AQ39*$AQ$4*(G39+H39))+(AR39*$AR$4*(G39+H39))+(AS39*$AS$4)))*1.08</f>
        <v>16686000.000000002</v>
      </c>
      <c r="AG39" s="1528">
        <f t="shared" si="4"/>
        <v>22617000</v>
      </c>
      <c r="AH39" s="1529"/>
      <c r="AI39" s="2014">
        <v>1</v>
      </c>
      <c r="AJ39" s="2014"/>
      <c r="AK39" s="2014">
        <v>1</v>
      </c>
      <c r="AL39" s="1433"/>
      <c r="AM39" s="1433"/>
      <c r="AN39" s="1433"/>
      <c r="AO39" s="1433"/>
      <c r="AP39" s="1433"/>
      <c r="AQ39" s="1433"/>
      <c r="AR39" s="1433"/>
      <c r="AS39" s="1433"/>
      <c r="AT39" s="1433"/>
      <c r="AU39" s="1426"/>
      <c r="AV39" s="1426"/>
      <c r="AW39" s="1426"/>
      <c r="AX39" s="1426"/>
      <c r="AY39" s="1426"/>
      <c r="AZ39" s="1426"/>
      <c r="BA39" s="1426"/>
      <c r="BB39" s="1426"/>
      <c r="BC39" s="1426"/>
      <c r="BD39" s="1426"/>
      <c r="BE39" s="1426"/>
    </row>
    <row r="40" spans="1:57" s="5" customFormat="1" ht="40.200000000000003">
      <c r="A40" s="326">
        <f t="shared" si="0"/>
        <v>4</v>
      </c>
      <c r="B40" s="2264" t="s">
        <v>5930</v>
      </c>
      <c r="C40" s="166">
        <v>107248527740</v>
      </c>
      <c r="D40" s="386" t="s">
        <v>5913</v>
      </c>
      <c r="E40" s="1234" t="s">
        <v>4401</v>
      </c>
      <c r="F40" s="2435" t="s">
        <v>5932</v>
      </c>
      <c r="G40" s="167">
        <v>3</v>
      </c>
      <c r="H40" s="167"/>
      <c r="I40" s="167"/>
      <c r="J40" s="2436" t="s">
        <v>123</v>
      </c>
      <c r="K40" s="1566" t="s">
        <v>5912</v>
      </c>
      <c r="L40" s="2437" t="s">
        <v>5797</v>
      </c>
      <c r="M40" s="1322" t="s">
        <v>5907</v>
      </c>
      <c r="N40" s="2408" t="s">
        <v>5906</v>
      </c>
      <c r="O40" s="2397" t="s">
        <v>5876</v>
      </c>
      <c r="P40" s="2415" t="s">
        <v>6037</v>
      </c>
      <c r="Q40" s="2438" t="s">
        <v>5931</v>
      </c>
      <c r="R40" s="522"/>
      <c r="S40" s="2439" t="s">
        <v>4813</v>
      </c>
      <c r="T40" s="3211"/>
      <c r="U40" s="2440" t="s">
        <v>4909</v>
      </c>
      <c r="V40" s="2441"/>
      <c r="W40" s="2442">
        <v>1491000</v>
      </c>
      <c r="X40" s="2467">
        <f>1998000+999000</f>
        <v>2997000</v>
      </c>
      <c r="Y40" s="2441"/>
      <c r="Z40" s="2443"/>
      <c r="AA40" s="2444">
        <v>750000</v>
      </c>
      <c r="AB40" s="2441"/>
      <c r="AC40" s="2441"/>
      <c r="AD40" s="2445">
        <f t="shared" si="1"/>
        <v>5238000</v>
      </c>
      <c r="AE40" s="2594"/>
      <c r="AF40" s="2446">
        <f>(((G40*3450000+H40*3550000+I40*AJ40)+(AI40*$AI$4*(G40+H40))+(AK40*$AK$4*(G40+H40))+(AL40*$AL$4*(G40+H40))+(AM40*$AM$4*(G40+H40))+(AN40*$AN$4*(G40+H40))+(AO40*$AO$4*(G40+H40))+(AP40*$AP$4)+(AQ40*$AQ$4*(G40+H40))+(AR40*$AR$4*(G40+H40))+(AS40*$AS$4)))*1.08</f>
        <v>16686000.000000002</v>
      </c>
      <c r="AG40" s="2447">
        <f t="shared" si="4"/>
        <v>21924000</v>
      </c>
      <c r="AH40" s="2448"/>
      <c r="AI40" s="2014">
        <v>1</v>
      </c>
      <c r="AJ40" s="2014"/>
      <c r="AK40" s="2014">
        <v>1</v>
      </c>
      <c r="AL40" s="1433"/>
      <c r="AM40" s="1433"/>
      <c r="AN40" s="1433"/>
      <c r="AO40" s="1433"/>
      <c r="AP40" s="1433"/>
      <c r="AQ40" s="1433"/>
      <c r="AR40" s="1433"/>
      <c r="AS40" s="1433"/>
      <c r="AT40" s="1433"/>
      <c r="AU40" s="1426"/>
      <c r="AV40" s="1426"/>
      <c r="AW40" s="1426"/>
      <c r="AX40" s="1426"/>
      <c r="AY40" s="1426"/>
      <c r="AZ40" s="1426"/>
      <c r="BA40" s="1426"/>
      <c r="BB40" s="1426"/>
      <c r="BC40" s="1426"/>
      <c r="BD40" s="1426"/>
      <c r="BE40" s="1426"/>
    </row>
    <row r="41" spans="1:57" s="5" customFormat="1" ht="53.4">
      <c r="A41" s="326">
        <f t="shared" si="0"/>
        <v>5</v>
      </c>
      <c r="B41" s="1329" t="s">
        <v>5992</v>
      </c>
      <c r="C41" s="166">
        <v>107257725260</v>
      </c>
      <c r="D41" s="386" t="s">
        <v>5930</v>
      </c>
      <c r="E41" s="1484" t="s">
        <v>4401</v>
      </c>
      <c r="F41" s="2452" t="s">
        <v>5991</v>
      </c>
      <c r="G41" s="1365">
        <v>4</v>
      </c>
      <c r="H41" s="1365"/>
      <c r="I41" s="1365"/>
      <c r="J41" s="2453" t="s">
        <v>123</v>
      </c>
      <c r="K41" s="2454" t="s">
        <v>5953</v>
      </c>
      <c r="L41" s="2455" t="s">
        <v>5969</v>
      </c>
      <c r="M41" s="1328" t="s">
        <v>5908</v>
      </c>
      <c r="N41" s="2408" t="s">
        <v>5968</v>
      </c>
      <c r="O41" s="2456" t="s">
        <v>5930</v>
      </c>
      <c r="P41" s="2415" t="s">
        <v>6014</v>
      </c>
      <c r="Q41" s="1328" t="s">
        <v>5957</v>
      </c>
      <c r="R41" s="1328"/>
      <c r="S41" s="2427" t="s">
        <v>4813</v>
      </c>
      <c r="T41" s="2472"/>
      <c r="U41" s="1330" t="s">
        <v>4909</v>
      </c>
      <c r="V41" s="2428"/>
      <c r="W41" s="2457">
        <v>1988000</v>
      </c>
      <c r="X41" s="2467">
        <f>1740000*2</f>
        <v>3480000</v>
      </c>
      <c r="Y41" s="2428"/>
      <c r="Z41" s="2117"/>
      <c r="AA41" s="2458">
        <v>1000000</v>
      </c>
      <c r="AB41" s="2428"/>
      <c r="AC41" s="2428"/>
      <c r="AD41" s="2459">
        <f t="shared" si="1"/>
        <v>6468000</v>
      </c>
      <c r="AE41" s="2594"/>
      <c r="AF41" s="1451">
        <f t="shared" ref="AF41:AF54" si="6">(((G41*3450000+H41*3550000+I41*AJ41)+(AI41*$AI$4*(G41+H41))+(AK41*$AK$4*(G41+H41))+(AL41*$AL$4*(G41+H41))+(AM41*$AM$4*(G41+H41))+(AN41*$AN$4*(G41+H41))+(AO41*$AO$4*(G41+H41))+(AP41*$AP$4)+(AQ41*$AQ$4*(G41+H41))+(AR41*$AR$4*(G41+H41))+(AS41*$AS$4)))*1.08</f>
        <v>22248000</v>
      </c>
      <c r="AG41" s="2460">
        <f t="shared" si="4"/>
        <v>28716000</v>
      </c>
      <c r="AH41" s="2429"/>
      <c r="AI41" s="2018">
        <v>1</v>
      </c>
      <c r="AJ41" s="1530"/>
      <c r="AK41" s="1433">
        <v>1</v>
      </c>
      <c r="AL41" s="1433"/>
      <c r="AM41" s="1433"/>
      <c r="AN41" s="1433"/>
      <c r="AO41" s="1433"/>
      <c r="AP41" s="1433"/>
      <c r="AQ41" s="1433"/>
      <c r="AR41" s="1433"/>
      <c r="AS41" s="1433"/>
      <c r="AT41" s="1433"/>
      <c r="AU41" s="1426"/>
      <c r="AV41" s="1426"/>
      <c r="AW41" s="1426"/>
      <c r="AX41" s="1426"/>
      <c r="AY41" s="1426"/>
      <c r="AZ41" s="1426"/>
      <c r="BA41" s="1426"/>
      <c r="BB41" s="1426"/>
      <c r="BC41" s="1426"/>
      <c r="BD41" s="1426"/>
      <c r="BE41" s="1426"/>
    </row>
    <row r="42" spans="1:57" s="5" customFormat="1" ht="40.200000000000003">
      <c r="A42" s="326">
        <f t="shared" si="0"/>
        <v>6</v>
      </c>
      <c r="B42" s="2485" t="s">
        <v>5994</v>
      </c>
      <c r="C42" s="1536">
        <v>107261139160</v>
      </c>
      <c r="D42" s="1438" t="s">
        <v>5966</v>
      </c>
      <c r="E42" s="2433" t="s">
        <v>5996</v>
      </c>
      <c r="F42" s="2645" t="s">
        <v>6007</v>
      </c>
      <c r="G42" s="1365">
        <v>2</v>
      </c>
      <c r="H42" s="1365"/>
      <c r="I42" s="1365"/>
      <c r="J42" s="2453" t="s">
        <v>123</v>
      </c>
      <c r="K42" s="2454" t="s">
        <v>5089</v>
      </c>
      <c r="L42" s="2454" t="s">
        <v>5904</v>
      </c>
      <c r="M42" s="1328" t="s">
        <v>5967</v>
      </c>
      <c r="N42" s="2423" t="s">
        <v>5905</v>
      </c>
      <c r="O42" s="2456" t="s">
        <v>5931</v>
      </c>
      <c r="P42" s="2415" t="s">
        <v>6057</v>
      </c>
      <c r="Q42" s="1328" t="s">
        <v>5994</v>
      </c>
      <c r="R42" s="1328"/>
      <c r="S42" s="2461" t="s">
        <v>5995</v>
      </c>
      <c r="T42" s="2471"/>
      <c r="U42" s="1330" t="s">
        <v>6012</v>
      </c>
      <c r="V42" s="2428"/>
      <c r="W42" s="2457">
        <v>1588000</v>
      </c>
      <c r="X42" s="2467">
        <f>1235000+980000+185000</f>
        <v>2400000</v>
      </c>
      <c r="Y42" s="2428"/>
      <c r="Z42" s="2117"/>
      <c r="AA42" s="2458">
        <v>500000</v>
      </c>
      <c r="AB42" s="2428"/>
      <c r="AC42" s="2428"/>
      <c r="AD42" s="2459">
        <f t="shared" si="1"/>
        <v>4488000</v>
      </c>
      <c r="AE42" s="2430"/>
      <c r="AF42" s="1451">
        <f>(((G42*3450000+H42*3550000+I42*AJ42)+(AI42*$AI$4*(G42+H42))+(AK42*$AK$4*(G42+H42))+(AL42*$AL$4*(G42+H42))+(AM42*$AM$4*(G42+H42))+(AN42*$AN$4*(G42+H42))+(AO42*$AO$4*(G42+H42))+(AP42*$AP$4)+(AQ42*$AQ$4*(G42+H42))+(AR42*$AR$4*(G42+H42))+(AS42*$AS$4)))*1.08</f>
        <v>13392000</v>
      </c>
      <c r="AG42" s="2460">
        <f t="shared" si="4"/>
        <v>17880000</v>
      </c>
      <c r="AH42" s="2429"/>
      <c r="AI42" s="2018">
        <v>1</v>
      </c>
      <c r="AJ42" s="1530"/>
      <c r="AK42" s="1433"/>
      <c r="AL42" s="1433">
        <v>1</v>
      </c>
      <c r="AM42" s="1433"/>
      <c r="AN42" s="1433">
        <v>1</v>
      </c>
      <c r="AO42" s="1433"/>
      <c r="AP42" s="1433">
        <v>1</v>
      </c>
      <c r="AQ42" s="1433"/>
      <c r="AR42" s="1433"/>
      <c r="AS42" s="1433"/>
      <c r="AT42" s="1433"/>
      <c r="AU42" s="1426"/>
      <c r="AV42" s="1426"/>
      <c r="AW42" s="1426"/>
      <c r="AX42" s="1426"/>
      <c r="AY42" s="1426"/>
      <c r="AZ42" s="1426"/>
      <c r="BA42" s="1426"/>
      <c r="BB42" s="1426"/>
      <c r="BC42" s="1426"/>
      <c r="BD42" s="1426"/>
      <c r="BE42" s="1426"/>
    </row>
    <row r="43" spans="1:57" s="5" customFormat="1" ht="17.25" customHeight="1">
      <c r="A43" s="326">
        <f t="shared" si="0"/>
        <v>7</v>
      </c>
      <c r="B43" s="2432"/>
      <c r="C43" s="1536">
        <v>107266445420</v>
      </c>
      <c r="D43" s="1438" t="s">
        <v>5931</v>
      </c>
      <c r="E43" s="1346"/>
      <c r="F43" s="2452" t="s">
        <v>6013</v>
      </c>
      <c r="G43" s="3669" t="s">
        <v>4450</v>
      </c>
      <c r="H43" s="3669"/>
      <c r="I43" s="3669"/>
      <c r="J43" s="2453" t="s">
        <v>123</v>
      </c>
      <c r="K43" s="2454"/>
      <c r="L43" s="2454" t="s">
        <v>6006</v>
      </c>
      <c r="M43" s="1328" t="s">
        <v>6005</v>
      </c>
      <c r="N43" s="1363"/>
      <c r="O43" s="2456"/>
      <c r="P43" s="2415"/>
      <c r="Q43" s="1328"/>
      <c r="R43" s="1328"/>
      <c r="S43" s="2427"/>
      <c r="T43" s="2472"/>
      <c r="U43" s="1327"/>
      <c r="V43" s="2428"/>
      <c r="W43" s="2428"/>
      <c r="X43" s="2428"/>
      <c r="Y43" s="2428"/>
      <c r="Z43" s="2117"/>
      <c r="AA43" s="2117"/>
      <c r="AB43" s="2428"/>
      <c r="AC43" s="2428"/>
      <c r="AD43" s="2459">
        <f t="shared" si="1"/>
        <v>0</v>
      </c>
      <c r="AE43" s="2430" t="s">
        <v>4950</v>
      </c>
      <c r="AF43" s="1451">
        <f>800000*1.08</f>
        <v>864000</v>
      </c>
      <c r="AG43" s="2460">
        <f t="shared" si="4"/>
        <v>864000</v>
      </c>
      <c r="AH43" s="2429"/>
      <c r="AI43" s="2434">
        <v>1</v>
      </c>
      <c r="AJ43" s="1530"/>
      <c r="AK43" s="1433"/>
      <c r="AL43" s="1433"/>
      <c r="AM43" s="1433"/>
      <c r="AN43" s="1433"/>
      <c r="AO43" s="1433"/>
      <c r="AP43" s="1433"/>
      <c r="AQ43" s="1433"/>
      <c r="AR43" s="1433"/>
      <c r="AS43" s="1433"/>
      <c r="AT43" s="1433"/>
      <c r="AU43" s="1426"/>
      <c r="AV43" s="1426"/>
      <c r="AW43" s="1426"/>
      <c r="AX43" s="1426"/>
      <c r="AY43" s="1426"/>
      <c r="AZ43" s="1426"/>
      <c r="BA43" s="1426"/>
      <c r="BB43" s="1426"/>
      <c r="BC43" s="1426"/>
      <c r="BD43" s="1426"/>
      <c r="BE43" s="1426"/>
    </row>
    <row r="44" spans="1:57" s="5" customFormat="1" ht="39.6">
      <c r="A44" s="326">
        <f t="shared" si="0"/>
        <v>8</v>
      </c>
      <c r="B44" s="2511" t="s">
        <v>6033</v>
      </c>
      <c r="C44" s="1536">
        <v>107274212360</v>
      </c>
      <c r="D44" s="1438" t="s">
        <v>6020</v>
      </c>
      <c r="E44" s="1151" t="s">
        <v>4444</v>
      </c>
      <c r="F44" s="2449" t="s">
        <v>6104</v>
      </c>
      <c r="G44" s="445">
        <v>2</v>
      </c>
      <c r="H44" s="445"/>
      <c r="I44" s="445"/>
      <c r="J44" s="2453" t="s">
        <v>123</v>
      </c>
      <c r="K44" s="1357" t="s">
        <v>6032</v>
      </c>
      <c r="L44" s="2454" t="s">
        <v>6027</v>
      </c>
      <c r="M44" s="1328" t="s">
        <v>6029</v>
      </c>
      <c r="N44" s="2423" t="s">
        <v>6028</v>
      </c>
      <c r="O44" s="2456" t="s">
        <v>6018</v>
      </c>
      <c r="P44" s="2415" t="s">
        <v>6108</v>
      </c>
      <c r="Q44" s="2214" t="s">
        <v>6033</v>
      </c>
      <c r="R44" s="577"/>
      <c r="S44" s="2427" t="s">
        <v>4813</v>
      </c>
      <c r="T44" s="2472"/>
      <c r="U44" s="1330" t="s">
        <v>5698</v>
      </c>
      <c r="V44" s="1527"/>
      <c r="W44" s="2457">
        <v>1454000</v>
      </c>
      <c r="X44" s="2467">
        <f>870000*2</f>
        <v>1740000</v>
      </c>
      <c r="Y44" s="1527"/>
      <c r="Z44" s="2450"/>
      <c r="AA44" s="1633">
        <v>500000</v>
      </c>
      <c r="AB44" s="1527"/>
      <c r="AC44" s="1527"/>
      <c r="AD44" s="1339">
        <f>SUM(V44:AC44)</f>
        <v>3694000</v>
      </c>
      <c r="AE44" s="2477" t="s">
        <v>6034</v>
      </c>
      <c r="AF44" s="1452">
        <f>(((G44*3450000+H44*3550000+I44*AJ44)+(AI44*$AI$4*(G44+H44))+(AK44*$AK$4*(G44+H44))+(AL44*$AL$4*(G44+H44))+(AM44*$AM$4*(G44+H44))+(AN44*$AN$4*(G44+H44))+(AO44*$AO$4*(G44+H44))+(AP44*$AP$4)+(AQ44*$AQ$4*(G44+H44))+(AR44*$AR$4*(G44+H44))+(AS44*$AS$4)))*1.08</f>
        <v>12744000</v>
      </c>
      <c r="AG44" s="1528">
        <f>+AD44+AF44</f>
        <v>16438000</v>
      </c>
      <c r="AH44" s="2451"/>
      <c r="AI44" s="1432">
        <v>1</v>
      </c>
      <c r="AJ44" s="1530"/>
      <c r="AK44" s="1433">
        <v>1</v>
      </c>
      <c r="AL44" s="1433"/>
      <c r="AM44" s="1433"/>
      <c r="AN44" s="1433"/>
      <c r="AO44" s="1433"/>
      <c r="AP44" s="1433"/>
      <c r="AQ44" s="1433"/>
      <c r="AR44" s="1433"/>
      <c r="AS44" s="1433">
        <v>1</v>
      </c>
      <c r="AT44" s="1433"/>
      <c r="AU44" s="1426"/>
      <c r="AV44" s="1426"/>
      <c r="AW44" s="1426"/>
      <c r="AX44" s="1426"/>
      <c r="AY44" s="1426"/>
      <c r="AZ44" s="1426"/>
      <c r="BA44" s="1426"/>
      <c r="BB44" s="1426"/>
      <c r="BC44" s="1426"/>
      <c r="BD44" s="1426"/>
      <c r="BE44" s="1426"/>
    </row>
    <row r="45" spans="1:57" s="5" customFormat="1" ht="39.6">
      <c r="A45" s="326">
        <f t="shared" si="0"/>
        <v>9</v>
      </c>
      <c r="B45" s="656" t="s">
        <v>6122</v>
      </c>
      <c r="C45" s="166">
        <v>107286379540</v>
      </c>
      <c r="D45" s="386" t="s">
        <v>6090</v>
      </c>
      <c r="E45" s="2433" t="s">
        <v>5543</v>
      </c>
      <c r="F45" s="2449" t="s">
        <v>6157</v>
      </c>
      <c r="G45" s="167">
        <v>3</v>
      </c>
      <c r="H45" s="167"/>
      <c r="I45" s="167"/>
      <c r="J45" s="2453" t="s">
        <v>123</v>
      </c>
      <c r="K45" s="1792" t="s">
        <v>6089</v>
      </c>
      <c r="L45" s="1357" t="s">
        <v>6087</v>
      </c>
      <c r="M45" s="928" t="s">
        <v>6109</v>
      </c>
      <c r="N45" s="1522" t="s">
        <v>6088</v>
      </c>
      <c r="O45" s="2396" t="s">
        <v>6090</v>
      </c>
      <c r="P45" s="2416" t="s">
        <v>6159</v>
      </c>
      <c r="Q45" s="2214" t="s">
        <v>6158</v>
      </c>
      <c r="R45" s="577"/>
      <c r="S45" s="2427" t="s">
        <v>4813</v>
      </c>
      <c r="T45" s="2472"/>
      <c r="U45" s="1330" t="s">
        <v>4909</v>
      </c>
      <c r="V45" s="1526"/>
      <c r="W45" s="2457">
        <v>1491000</v>
      </c>
      <c r="X45" s="2467">
        <f>900000*2</f>
        <v>1800000</v>
      </c>
      <c r="Y45" s="1526"/>
      <c r="Z45" s="1749"/>
      <c r="AA45" s="1633">
        <v>750000</v>
      </c>
      <c r="AB45" s="1526"/>
      <c r="AC45" s="1608"/>
      <c r="AD45" s="1339">
        <f t="shared" si="1"/>
        <v>4041000</v>
      </c>
      <c r="AE45" s="1591"/>
      <c r="AF45" s="1340">
        <f t="shared" si="6"/>
        <v>16686000.000000002</v>
      </c>
      <c r="AG45" s="1528">
        <f t="shared" si="4"/>
        <v>20727000</v>
      </c>
      <c r="AH45" s="1529"/>
      <c r="AI45" s="1432">
        <v>1</v>
      </c>
      <c r="AJ45" s="1530"/>
      <c r="AK45" s="1433">
        <v>1</v>
      </c>
      <c r="AL45" s="1433"/>
      <c r="AM45" s="1433"/>
      <c r="AN45" s="1433"/>
      <c r="AO45" s="1433"/>
      <c r="AP45" s="1433"/>
      <c r="AQ45" s="1433"/>
      <c r="AR45" s="1433"/>
      <c r="AS45" s="1433"/>
      <c r="AT45" s="1433"/>
      <c r="AU45" s="1426"/>
      <c r="AV45" s="1426"/>
      <c r="AW45" s="1426"/>
      <c r="AX45" s="1426"/>
      <c r="AY45" s="1426"/>
      <c r="AZ45" s="1426"/>
      <c r="BA45" s="1426"/>
      <c r="BB45" s="1426"/>
      <c r="BC45" s="1426"/>
      <c r="BD45" s="1426"/>
      <c r="BE45" s="1426"/>
    </row>
    <row r="46" spans="1:57" ht="15.6">
      <c r="A46" s="3668" t="s">
        <v>6100</v>
      </c>
      <c r="B46" s="3668"/>
      <c r="C46" s="3668"/>
      <c r="D46" s="3668"/>
      <c r="E46" s="3668"/>
      <c r="F46" s="3668"/>
      <c r="G46" s="3668"/>
      <c r="H46" s="3668"/>
      <c r="I46" s="3668"/>
      <c r="J46" s="3668"/>
      <c r="K46" s="3668"/>
      <c r="L46" s="3668"/>
      <c r="M46" s="3668"/>
      <c r="N46" s="3668"/>
      <c r="O46" s="2395"/>
      <c r="P46" s="2412"/>
      <c r="Q46" s="2398"/>
      <c r="R46" s="1773"/>
      <c r="S46" s="1774"/>
      <c r="T46" s="3210"/>
      <c r="U46" s="1775"/>
      <c r="V46" s="1776"/>
      <c r="W46" s="1777"/>
      <c r="X46" s="1777"/>
      <c r="Y46" s="1777"/>
      <c r="Z46" s="1778"/>
      <c r="AA46" s="1778"/>
      <c r="AB46" s="1777"/>
      <c r="AC46" s="1779"/>
      <c r="AD46" s="1781">
        <f>SUM(AD37:AD45)</f>
        <v>29860000</v>
      </c>
      <c r="AE46" s="2026"/>
      <c r="AF46" s="1781">
        <f>SUM(AF37:AF45)</f>
        <v>107092800</v>
      </c>
      <c r="AG46" s="1781">
        <f>SUM(AG39:AG45)</f>
        <v>129166000</v>
      </c>
      <c r="AH46" s="1781"/>
      <c r="AI46" s="1429"/>
      <c r="AJ46" s="1430"/>
      <c r="AK46" s="2024"/>
      <c r="AL46" s="1782"/>
      <c r="AM46" s="1782"/>
      <c r="AN46" s="1782"/>
      <c r="AO46" s="1782"/>
      <c r="AP46" s="1782"/>
      <c r="AQ46" s="1782"/>
      <c r="AR46" s="1782"/>
      <c r="AS46" s="1433"/>
      <c r="AT46" s="1433"/>
    </row>
    <row r="47" spans="1:57" s="5" customFormat="1" ht="39.6">
      <c r="A47" s="326">
        <v>1</v>
      </c>
      <c r="B47" s="656" t="s">
        <v>6122</v>
      </c>
      <c r="C47" s="166">
        <v>107286379540</v>
      </c>
      <c r="D47" s="386" t="s">
        <v>6090</v>
      </c>
      <c r="E47" s="2433" t="s">
        <v>5543</v>
      </c>
      <c r="F47" s="2711" t="s">
        <v>6321</v>
      </c>
      <c r="G47" s="167">
        <v>3</v>
      </c>
      <c r="H47" s="167"/>
      <c r="I47" s="167"/>
      <c r="J47" s="2453" t="s">
        <v>123</v>
      </c>
      <c r="K47" s="1792" t="s">
        <v>6089</v>
      </c>
      <c r="L47" s="1357" t="s">
        <v>6087</v>
      </c>
      <c r="M47" s="928" t="s">
        <v>6109</v>
      </c>
      <c r="N47" s="1522" t="s">
        <v>6088</v>
      </c>
      <c r="O47" s="2396"/>
      <c r="P47" s="2416" t="s">
        <v>6159</v>
      </c>
      <c r="Q47" s="2214"/>
      <c r="R47" s="577"/>
      <c r="S47" s="2427" t="s">
        <v>4813</v>
      </c>
      <c r="T47" s="2472"/>
      <c r="U47" s="1330"/>
      <c r="V47" s="1526"/>
      <c r="W47" s="2457">
        <v>230000</v>
      </c>
      <c r="X47" s="2467">
        <v>900000</v>
      </c>
      <c r="Y47" s="1526"/>
      <c r="Z47" s="1749"/>
      <c r="AA47" s="1337"/>
      <c r="AB47" s="1526"/>
      <c r="AC47" s="1608"/>
      <c r="AD47" s="1339">
        <f t="shared" ref="AD47" si="7">SUM(V47:AC47)</f>
        <v>1130000</v>
      </c>
      <c r="AE47" s="1540"/>
      <c r="AF47" s="1340"/>
      <c r="AG47" s="1528">
        <f t="shared" ref="AG47" si="8">+AD47+AF47</f>
        <v>1130000</v>
      </c>
      <c r="AH47" s="1529"/>
      <c r="AI47" s="1432">
        <v>1</v>
      </c>
      <c r="AJ47" s="1530"/>
      <c r="AK47" s="1433">
        <v>1</v>
      </c>
      <c r="AL47" s="1433"/>
      <c r="AM47" s="1433"/>
      <c r="AN47" s="1433"/>
      <c r="AO47" s="1433"/>
      <c r="AP47" s="1433"/>
      <c r="AQ47" s="1433"/>
      <c r="AR47" s="1433"/>
      <c r="AS47" s="1433"/>
      <c r="AT47" s="1433"/>
      <c r="AU47" s="1426"/>
      <c r="AV47" s="1426"/>
      <c r="AW47" s="1426"/>
      <c r="AX47" s="1426"/>
      <c r="AY47" s="1426"/>
      <c r="AZ47" s="1426"/>
      <c r="BA47" s="1426"/>
      <c r="BB47" s="1426"/>
      <c r="BC47" s="1426"/>
      <c r="BD47" s="1426"/>
      <c r="BE47" s="1426"/>
    </row>
    <row r="48" spans="1:57" s="5" customFormat="1" ht="39.6">
      <c r="A48" s="326">
        <v>2</v>
      </c>
      <c r="B48" s="2264" t="s">
        <v>6192</v>
      </c>
      <c r="C48" s="166">
        <v>107298121341</v>
      </c>
      <c r="D48" s="386" t="s">
        <v>6124</v>
      </c>
      <c r="E48" s="2433" t="s">
        <v>5543</v>
      </c>
      <c r="F48" s="348" t="s">
        <v>6240</v>
      </c>
      <c r="G48" s="167">
        <v>1</v>
      </c>
      <c r="H48" s="167"/>
      <c r="I48" s="167"/>
      <c r="J48" s="2453" t="s">
        <v>123</v>
      </c>
      <c r="K48" s="1357" t="s">
        <v>6225</v>
      </c>
      <c r="L48" s="1357" t="s">
        <v>6102</v>
      </c>
      <c r="M48" s="154" t="s">
        <v>6183</v>
      </c>
      <c r="N48" s="692" t="s">
        <v>6103</v>
      </c>
      <c r="O48" s="2396" t="s">
        <v>6060</v>
      </c>
      <c r="P48" s="2416" t="s">
        <v>5944</v>
      </c>
      <c r="Q48" s="2214" t="s">
        <v>6184</v>
      </c>
      <c r="R48" s="577"/>
      <c r="S48" s="2427" t="s">
        <v>4813</v>
      </c>
      <c r="T48" s="2472"/>
      <c r="U48" s="1330" t="s">
        <v>4909</v>
      </c>
      <c r="V48" s="1526"/>
      <c r="W48" s="2457">
        <v>845000</v>
      </c>
      <c r="X48" s="2467">
        <v>1000000</v>
      </c>
      <c r="Y48" s="1526"/>
      <c r="Z48" s="1749"/>
      <c r="AA48" s="2685">
        <v>250000</v>
      </c>
      <c r="AB48" s="1526"/>
      <c r="AC48" s="1608"/>
      <c r="AD48" s="1339">
        <f>SUM(V48:AC48)</f>
        <v>2095000</v>
      </c>
      <c r="AE48" s="2172" t="s">
        <v>6521</v>
      </c>
      <c r="AF48" s="1340">
        <f t="shared" si="6"/>
        <v>6210000</v>
      </c>
      <c r="AG48" s="1528">
        <f t="shared" ref="AG48:AG54" si="9">+AD48+AF48</f>
        <v>8305000</v>
      </c>
      <c r="AH48" s="1529"/>
      <c r="AI48" s="1432">
        <v>1</v>
      </c>
      <c r="AJ48" s="1530"/>
      <c r="AK48" s="1433"/>
      <c r="AL48" s="1433"/>
      <c r="AM48" s="1433"/>
      <c r="AN48" s="1433"/>
      <c r="AO48" s="1433"/>
      <c r="AP48" s="1433"/>
      <c r="AQ48" s="1433"/>
      <c r="AR48" s="1433"/>
      <c r="AS48" s="1433">
        <v>1</v>
      </c>
      <c r="AT48" s="1433"/>
      <c r="AU48" s="1426"/>
      <c r="AV48" s="1426"/>
      <c r="AW48" s="1426"/>
      <c r="AX48" s="1426"/>
      <c r="AY48" s="1426"/>
      <c r="AZ48" s="1426"/>
      <c r="BA48" s="1426"/>
      <c r="BB48" s="1426"/>
      <c r="BC48" s="1426"/>
      <c r="BD48" s="1426"/>
      <c r="BE48" s="1426"/>
    </row>
    <row r="49" spans="1:57" s="5" customFormat="1" ht="39.6">
      <c r="A49" s="326">
        <f t="shared" si="0"/>
        <v>3</v>
      </c>
      <c r="B49" s="2264" t="s">
        <v>6383</v>
      </c>
      <c r="C49" s="166">
        <v>107344495860</v>
      </c>
      <c r="D49" s="386">
        <v>45968</v>
      </c>
      <c r="E49" s="117" t="s">
        <v>4401</v>
      </c>
      <c r="F49" s="179" t="s">
        <v>6348</v>
      </c>
      <c r="G49" s="167">
        <v>3</v>
      </c>
      <c r="H49" s="167"/>
      <c r="I49" s="167"/>
      <c r="J49" s="2453" t="s">
        <v>123</v>
      </c>
      <c r="K49" s="1357" t="s">
        <v>6350</v>
      </c>
      <c r="L49" s="1357" t="s">
        <v>6256</v>
      </c>
      <c r="M49" s="154" t="s">
        <v>6320</v>
      </c>
      <c r="N49" s="1522" t="s">
        <v>6339</v>
      </c>
      <c r="O49" s="2396" t="s">
        <v>6342</v>
      </c>
      <c r="P49" s="2416" t="s">
        <v>6391</v>
      </c>
      <c r="Q49" s="2214" t="s">
        <v>6392</v>
      </c>
      <c r="R49" s="577"/>
      <c r="S49" s="2427" t="s">
        <v>4813</v>
      </c>
      <c r="T49" s="2472"/>
      <c r="U49" s="1330" t="s">
        <v>6349</v>
      </c>
      <c r="V49" s="1526"/>
      <c r="W49" s="2457">
        <v>1491000</v>
      </c>
      <c r="X49" s="2467">
        <f>850000*3</f>
        <v>2550000</v>
      </c>
      <c r="Y49" s="1526"/>
      <c r="Z49" s="1749"/>
      <c r="AA49" s="2685">
        <v>750000</v>
      </c>
      <c r="AB49" s="1526"/>
      <c r="AC49" s="1608"/>
      <c r="AD49" s="1339">
        <f>SUM(V49:AC49)</f>
        <v>4791000</v>
      </c>
      <c r="AE49" s="1540"/>
      <c r="AF49" s="1340">
        <f t="shared" si="6"/>
        <v>16686000.000000002</v>
      </c>
      <c r="AG49" s="1528">
        <f t="shared" si="9"/>
        <v>21477000</v>
      </c>
      <c r="AH49" s="1529"/>
      <c r="AI49" s="1432">
        <v>1</v>
      </c>
      <c r="AJ49" s="1530"/>
      <c r="AK49" s="1433">
        <v>1</v>
      </c>
      <c r="AL49" s="1433"/>
      <c r="AM49" s="1433"/>
      <c r="AN49" s="1433"/>
      <c r="AO49" s="1433"/>
      <c r="AP49" s="1433"/>
      <c r="AQ49" s="1433"/>
      <c r="AR49" s="1433"/>
      <c r="AS49" s="1433"/>
      <c r="AT49" s="1433"/>
      <c r="AU49" s="1426"/>
      <c r="AV49" s="1426"/>
      <c r="AW49" s="1426"/>
      <c r="AX49" s="1426"/>
      <c r="AY49" s="1426"/>
      <c r="AZ49" s="1426"/>
      <c r="BA49" s="1426"/>
      <c r="BB49" s="1426"/>
      <c r="BC49" s="1426"/>
      <c r="BD49" s="1426"/>
      <c r="BE49" s="1426"/>
    </row>
    <row r="50" spans="1:57" s="5" customFormat="1" ht="26.4">
      <c r="A50" s="326">
        <f t="shared" si="0"/>
        <v>4</v>
      </c>
      <c r="B50" s="2264" t="s">
        <v>6449</v>
      </c>
      <c r="C50" s="166">
        <v>107360089210</v>
      </c>
      <c r="D50" s="386" t="s">
        <v>6375</v>
      </c>
      <c r="E50" s="2433" t="s">
        <v>5996</v>
      </c>
      <c r="F50" s="348" t="s">
        <v>6402</v>
      </c>
      <c r="G50" s="167">
        <v>2</v>
      </c>
      <c r="H50" s="167"/>
      <c r="I50" s="167"/>
      <c r="J50" s="2453" t="s">
        <v>123</v>
      </c>
      <c r="K50" s="1357" t="s">
        <v>5089</v>
      </c>
      <c r="L50" s="1357" t="s">
        <v>6283</v>
      </c>
      <c r="M50" s="928" t="s">
        <v>6376</v>
      </c>
      <c r="N50" s="1522" t="s">
        <v>6374</v>
      </c>
      <c r="O50" s="2396" t="s">
        <v>6375</v>
      </c>
      <c r="P50" s="2416" t="s">
        <v>6450</v>
      </c>
      <c r="Q50" s="2214"/>
      <c r="R50" s="577"/>
      <c r="S50" s="2461" t="s">
        <v>6418</v>
      </c>
      <c r="T50" s="2471"/>
      <c r="U50" s="1330" t="s">
        <v>6012</v>
      </c>
      <c r="V50" s="1526"/>
      <c r="W50" s="2457">
        <v>3110400</v>
      </c>
      <c r="X50" s="2467">
        <f>950000*2</f>
        <v>1900000</v>
      </c>
      <c r="Y50" s="1526"/>
      <c r="Z50" s="2697">
        <v>10834816</v>
      </c>
      <c r="AA50" s="1633">
        <v>250000</v>
      </c>
      <c r="AB50" s="1526"/>
      <c r="AC50" s="1608"/>
      <c r="AD50" s="1339">
        <f>SUM(V50:AC50)</f>
        <v>16095216</v>
      </c>
      <c r="AE50" s="1540"/>
      <c r="AF50" s="1340">
        <f t="shared" si="6"/>
        <v>16632000.000000002</v>
      </c>
      <c r="AG50" s="1528">
        <f t="shared" si="9"/>
        <v>32727216</v>
      </c>
      <c r="AH50" s="1529"/>
      <c r="AI50" s="1432">
        <v>1</v>
      </c>
      <c r="AJ50" s="1530"/>
      <c r="AK50" s="1433"/>
      <c r="AL50" s="1433">
        <v>1</v>
      </c>
      <c r="AM50" s="1433">
        <v>1</v>
      </c>
      <c r="AN50" s="1433"/>
      <c r="AO50" s="1433"/>
      <c r="AP50" s="1433">
        <v>1</v>
      </c>
      <c r="AQ50" s="1433"/>
      <c r="AR50" s="1433"/>
      <c r="AS50" s="1433"/>
      <c r="AT50" s="1433"/>
      <c r="AU50" s="1426"/>
      <c r="AV50" s="1426"/>
      <c r="AW50" s="1426"/>
      <c r="AX50" s="1426"/>
      <c r="AY50" s="1426"/>
      <c r="AZ50" s="1426"/>
      <c r="BA50" s="1426"/>
      <c r="BB50" s="1426"/>
      <c r="BC50" s="1426"/>
      <c r="BD50" s="1426"/>
      <c r="BE50" s="1426"/>
    </row>
    <row r="51" spans="1:57" s="5" customFormat="1" ht="26.4">
      <c r="A51" s="326">
        <f t="shared" si="0"/>
        <v>5</v>
      </c>
      <c r="B51" s="1419" t="s">
        <v>6499</v>
      </c>
      <c r="C51" s="166">
        <v>107380033240</v>
      </c>
      <c r="D51" s="386" t="s">
        <v>6441</v>
      </c>
      <c r="E51" s="117" t="s">
        <v>4401</v>
      </c>
      <c r="F51" s="348" t="s">
        <v>6515</v>
      </c>
      <c r="G51" s="167">
        <v>2</v>
      </c>
      <c r="H51" s="167"/>
      <c r="I51" s="167"/>
      <c r="J51" s="2453" t="s">
        <v>123</v>
      </c>
      <c r="K51" s="1357" t="s">
        <v>5109</v>
      </c>
      <c r="L51" s="1357" t="s">
        <v>6358</v>
      </c>
      <c r="M51" s="154" t="s">
        <v>6463</v>
      </c>
      <c r="N51" s="1522" t="s">
        <v>6455</v>
      </c>
      <c r="O51" s="2396" t="s">
        <v>6493</v>
      </c>
      <c r="P51" s="2416" t="s">
        <v>6517</v>
      </c>
      <c r="Q51" s="2214" t="s">
        <v>6505</v>
      </c>
      <c r="R51" s="577"/>
      <c r="S51" s="2427" t="s">
        <v>4813</v>
      </c>
      <c r="T51" s="2472"/>
      <c r="U51" s="1330" t="s">
        <v>6349</v>
      </c>
      <c r="V51" s="1526"/>
      <c r="W51" s="2457">
        <v>994000</v>
      </c>
      <c r="X51" s="2467">
        <v>850000</v>
      </c>
      <c r="Y51" s="1526"/>
      <c r="Z51" s="1749"/>
      <c r="AA51" s="2685">
        <v>500000</v>
      </c>
      <c r="AB51" s="1526"/>
      <c r="AC51" s="1608"/>
      <c r="AD51" s="1339">
        <f>SUM(V51:AC51)</f>
        <v>2344000</v>
      </c>
      <c r="AE51" s="1785"/>
      <c r="AF51" s="1340">
        <f t="shared" si="6"/>
        <v>11124000</v>
      </c>
      <c r="AG51" s="1528">
        <f t="shared" si="9"/>
        <v>13468000</v>
      </c>
      <c r="AH51" s="1529"/>
      <c r="AI51" s="1432">
        <v>1</v>
      </c>
      <c r="AJ51" s="1530"/>
      <c r="AK51" s="1433">
        <v>1</v>
      </c>
      <c r="AL51" s="1433"/>
      <c r="AM51" s="1433"/>
      <c r="AN51" s="1433"/>
      <c r="AO51" s="1433"/>
      <c r="AP51" s="1433"/>
      <c r="AQ51" s="1433"/>
      <c r="AR51" s="1433"/>
      <c r="AS51" s="1433"/>
      <c r="AT51" s="1433"/>
      <c r="AU51" s="1426"/>
      <c r="AV51" s="1426"/>
      <c r="AW51" s="1426"/>
      <c r="AX51" s="1426"/>
      <c r="AY51" s="1426"/>
      <c r="AZ51" s="1426"/>
      <c r="BA51" s="1426"/>
      <c r="BB51" s="1426"/>
      <c r="BC51" s="1426"/>
      <c r="BD51" s="1426"/>
      <c r="BE51" s="1426"/>
    </row>
    <row r="52" spans="1:57" ht="15.6">
      <c r="A52" s="3668" t="s">
        <v>6485</v>
      </c>
      <c r="B52" s="3668"/>
      <c r="C52" s="3668"/>
      <c r="D52" s="3668"/>
      <c r="E52" s="3668"/>
      <c r="F52" s="3668"/>
      <c r="G52" s="3668"/>
      <c r="H52" s="3668"/>
      <c r="I52" s="3668"/>
      <c r="J52" s="3668"/>
      <c r="K52" s="3668"/>
      <c r="L52" s="3668"/>
      <c r="M52" s="3668"/>
      <c r="N52" s="3668"/>
      <c r="O52" s="2395"/>
      <c r="P52" s="2412"/>
      <c r="Q52" s="2398"/>
      <c r="R52" s="1773"/>
      <c r="S52" s="1774"/>
      <c r="T52" s="3210"/>
      <c r="U52" s="1775"/>
      <c r="V52" s="1776"/>
      <c r="W52" s="1777"/>
      <c r="X52" s="1777"/>
      <c r="Y52" s="1777"/>
      <c r="Z52" s="1778"/>
      <c r="AA52" s="1778"/>
      <c r="AB52" s="1777"/>
      <c r="AC52" s="2307"/>
      <c r="AD52" s="1781">
        <f>SUM(AD47:AD51)</f>
        <v>26455216</v>
      </c>
      <c r="AE52" s="2026"/>
      <c r="AF52" s="1781">
        <f>SUM(AF47:AF51)</f>
        <v>50652000</v>
      </c>
      <c r="AG52" s="1781">
        <f>SUM(AG45:AG51)</f>
        <v>227000216</v>
      </c>
      <c r="AH52" s="1781"/>
      <c r="AI52" s="1429"/>
      <c r="AJ52" s="1430"/>
      <c r="AK52" s="2024"/>
      <c r="AL52" s="1782"/>
      <c r="AM52" s="1782"/>
      <c r="AN52" s="1782"/>
      <c r="AO52" s="1782"/>
      <c r="AP52" s="1782"/>
      <c r="AQ52" s="1782"/>
      <c r="AR52" s="1782"/>
      <c r="AS52" s="1433"/>
      <c r="AT52" s="1433"/>
    </row>
    <row r="53" spans="1:57" s="5" customFormat="1" ht="26.4">
      <c r="A53" s="326"/>
      <c r="B53" s="1419"/>
      <c r="C53" s="166">
        <v>107380033240</v>
      </c>
      <c r="D53" s="386" t="s">
        <v>6441</v>
      </c>
      <c r="E53" s="117" t="s">
        <v>4401</v>
      </c>
      <c r="F53" s="348" t="s">
        <v>6686</v>
      </c>
      <c r="G53" s="167">
        <v>2</v>
      </c>
      <c r="H53" s="167"/>
      <c r="I53" s="167"/>
      <c r="J53" s="2453" t="s">
        <v>123</v>
      </c>
      <c r="K53" s="1357" t="s">
        <v>5109</v>
      </c>
      <c r="L53" s="1357" t="s">
        <v>6358</v>
      </c>
      <c r="M53" s="154" t="s">
        <v>6463</v>
      </c>
      <c r="N53" s="1522" t="s">
        <v>6455</v>
      </c>
      <c r="O53" s="2396" t="s">
        <v>6493</v>
      </c>
      <c r="P53" s="2416" t="s">
        <v>6517</v>
      </c>
      <c r="Q53" s="2214"/>
      <c r="R53" s="577"/>
      <c r="S53" s="2427"/>
      <c r="T53" s="2472"/>
      <c r="U53" s="1330"/>
      <c r="V53" s="1526"/>
      <c r="X53" s="2467">
        <v>850000</v>
      </c>
      <c r="Y53" s="1526"/>
      <c r="Z53" s="1749"/>
      <c r="AA53" s="1609"/>
      <c r="AB53" s="1526"/>
      <c r="AC53" s="1608"/>
      <c r="AD53" s="1339">
        <f t="shared" ref="AD53" si="10">SUM(V53:AC53)</f>
        <v>850000</v>
      </c>
      <c r="AE53" s="1785" t="s">
        <v>6544</v>
      </c>
      <c r="AF53" s="1340"/>
      <c r="AG53" s="1528">
        <f t="shared" ref="AG53" si="11">+AD53+AF53</f>
        <v>850000</v>
      </c>
      <c r="AH53" s="1529"/>
      <c r="AI53" s="1432"/>
      <c r="AJ53" s="1530"/>
      <c r="AK53" s="1433"/>
      <c r="AL53" s="1433"/>
      <c r="AM53" s="1433"/>
      <c r="AN53" s="1433"/>
      <c r="AO53" s="1433"/>
      <c r="AP53" s="1433"/>
      <c r="AQ53" s="1433"/>
      <c r="AR53" s="1433"/>
      <c r="AS53" s="1433"/>
      <c r="AT53" s="1433"/>
      <c r="AU53" s="1426"/>
      <c r="AV53" s="1426"/>
      <c r="AW53" s="1426"/>
      <c r="AX53" s="1426"/>
      <c r="AY53" s="1426"/>
      <c r="AZ53" s="1426"/>
      <c r="BA53" s="1426"/>
      <c r="BB53" s="1426"/>
      <c r="BC53" s="1426"/>
      <c r="BD53" s="1426"/>
      <c r="BE53" s="1426"/>
    </row>
    <row r="54" spans="1:57" s="5" customFormat="1" ht="41.25" customHeight="1">
      <c r="A54" s="326">
        <f t="shared" si="0"/>
        <v>1</v>
      </c>
      <c r="B54" s="2264" t="s">
        <v>6678</v>
      </c>
      <c r="C54" s="166">
        <v>107420569910</v>
      </c>
      <c r="D54" s="386" t="s">
        <v>6601</v>
      </c>
      <c r="E54" s="1151" t="s">
        <v>4444</v>
      </c>
      <c r="F54" s="348" t="s">
        <v>6670</v>
      </c>
      <c r="G54" s="167">
        <v>2</v>
      </c>
      <c r="H54" s="167"/>
      <c r="I54" s="167"/>
      <c r="J54" s="2774" t="s">
        <v>136</v>
      </c>
      <c r="K54" s="1840">
        <f>54740/2</f>
        <v>27370</v>
      </c>
      <c r="L54" s="2069" t="s">
        <v>6554</v>
      </c>
      <c r="M54" s="1492" t="s">
        <v>6664</v>
      </c>
      <c r="N54" s="2190" t="s">
        <v>6582</v>
      </c>
      <c r="O54" s="1516" t="s">
        <v>6555</v>
      </c>
      <c r="P54" s="2416" t="s">
        <v>6681</v>
      </c>
      <c r="Q54" s="1492" t="s">
        <v>6663</v>
      </c>
      <c r="R54" s="1492"/>
      <c r="S54" s="2427" t="s">
        <v>4813</v>
      </c>
      <c r="T54" s="2472"/>
      <c r="U54" s="1330" t="s">
        <v>4909</v>
      </c>
      <c r="V54" s="2556"/>
      <c r="W54" s="2457">
        <v>1454000</v>
      </c>
      <c r="X54" s="2467">
        <f>910000*2</f>
        <v>1820000</v>
      </c>
      <c r="Y54" s="2556"/>
      <c r="Z54" s="2555"/>
      <c r="AA54" s="2686">
        <v>500000</v>
      </c>
      <c r="AB54" s="2556"/>
      <c r="AC54" s="2556"/>
      <c r="AD54" s="2714">
        <f t="shared" ref="AD54:AD59" si="12">SUM(V54:AC54)</f>
        <v>3774000</v>
      </c>
      <c r="AE54" s="2172" t="s">
        <v>6667</v>
      </c>
      <c r="AF54" s="1340">
        <f t="shared" si="6"/>
        <v>13608000</v>
      </c>
      <c r="AG54" s="1528">
        <f t="shared" si="9"/>
        <v>17382000</v>
      </c>
      <c r="AH54" s="1529"/>
      <c r="AI54" s="1432">
        <v>1</v>
      </c>
      <c r="AJ54" s="1530"/>
      <c r="AK54" s="1433">
        <v>1</v>
      </c>
      <c r="AL54" s="1433"/>
      <c r="AM54" s="1433"/>
      <c r="AN54" s="1433"/>
      <c r="AO54" s="1433"/>
      <c r="AP54" s="1433"/>
      <c r="AQ54" s="1433">
        <v>1</v>
      </c>
      <c r="AR54" s="1433"/>
      <c r="AS54" s="1433">
        <v>1</v>
      </c>
      <c r="AT54" s="1433"/>
      <c r="AU54" s="1426"/>
      <c r="AV54" s="1426"/>
      <c r="AW54" s="1426"/>
      <c r="AX54" s="1426"/>
      <c r="AY54" s="1426"/>
      <c r="AZ54" s="1426"/>
      <c r="BA54" s="1426"/>
      <c r="BB54" s="1426"/>
      <c r="BC54" s="1426"/>
      <c r="BD54" s="1426"/>
      <c r="BE54" s="1426"/>
    </row>
    <row r="55" spans="1:57" s="5" customFormat="1" ht="26.4">
      <c r="A55" s="326">
        <f t="shared" si="0"/>
        <v>2</v>
      </c>
      <c r="B55" s="2264" t="s">
        <v>6714</v>
      </c>
      <c r="C55" s="166">
        <v>107437375250</v>
      </c>
      <c r="D55" s="386" t="s">
        <v>6527</v>
      </c>
      <c r="E55" s="117" t="s">
        <v>4401</v>
      </c>
      <c r="F55" s="348" t="s">
        <v>6679</v>
      </c>
      <c r="G55" s="167">
        <v>1</v>
      </c>
      <c r="H55" s="167"/>
      <c r="I55" s="167"/>
      <c r="J55" s="2453" t="s">
        <v>123</v>
      </c>
      <c r="K55" s="2069" t="s">
        <v>6675</v>
      </c>
      <c r="L55" s="2069" t="s">
        <v>6596</v>
      </c>
      <c r="M55" s="1504" t="s">
        <v>6673</v>
      </c>
      <c r="N55" s="2190" t="s">
        <v>6674</v>
      </c>
      <c r="O55" s="1516" t="s">
        <v>6683</v>
      </c>
      <c r="P55" s="2416" t="s">
        <v>5942</v>
      </c>
      <c r="Q55" s="1492" t="s">
        <v>6694</v>
      </c>
      <c r="R55" s="1472"/>
      <c r="S55" s="2427" t="s">
        <v>4813</v>
      </c>
      <c r="T55" s="2472"/>
      <c r="U55" s="1330" t="s">
        <v>6349</v>
      </c>
      <c r="V55" s="1472"/>
      <c r="W55" s="2457">
        <v>497000</v>
      </c>
      <c r="X55" s="2467">
        <v>999000</v>
      </c>
      <c r="Y55" s="1472"/>
      <c r="Z55" s="1472"/>
      <c r="AA55" s="2686">
        <v>250000</v>
      </c>
      <c r="AB55" s="1472"/>
      <c r="AC55" s="1472"/>
      <c r="AD55" s="2714">
        <f t="shared" si="12"/>
        <v>1746000</v>
      </c>
      <c r="AE55" s="2603"/>
      <c r="AF55" s="1340">
        <f t="shared" ref="AF55:AF72" si="13">(((G55*3450000+H55*3550000+I55*AJ55)+(AI55*$AI$4*(G55+H55))+(AK55*$AK$4*(G55+H55))+(AL55*$AL$4*(G55+H55))+(AM55*$AM$4*(G55+H55))+(AN55*$AN$4*(G55+H55))+(AO55*$AO$4*(G55+H55))+(AP55*$AP$4)+(AQ55*$AQ$4*(G55+H55))+(AR55*$AR$4*(G55+H55))+(AS55*$AS$4)))*1.08</f>
        <v>5562000</v>
      </c>
      <c r="AG55" s="1528">
        <f t="shared" ref="AG55:AG72" si="14">+AD55+AF55</f>
        <v>7308000</v>
      </c>
      <c r="AH55" s="1529"/>
      <c r="AI55" s="1432">
        <v>1</v>
      </c>
      <c r="AJ55" s="2603"/>
      <c r="AK55" s="1433" t="s">
        <v>973</v>
      </c>
      <c r="AL55" s="2603"/>
      <c r="AM55" s="2603"/>
      <c r="AN55" s="1433"/>
      <c r="AO55" s="1433"/>
      <c r="AP55" s="1433"/>
      <c r="AQ55" s="1433"/>
      <c r="AR55" s="1433"/>
      <c r="AS55" s="1433"/>
      <c r="AT55" s="1433"/>
      <c r="AU55" s="1426"/>
      <c r="AV55" s="1426"/>
      <c r="AW55" s="1426"/>
      <c r="AX55" s="1426"/>
      <c r="AY55" s="1426"/>
      <c r="AZ55" s="1426"/>
      <c r="BA55" s="1426"/>
      <c r="BB55" s="1426"/>
      <c r="BC55" s="1426"/>
      <c r="BD55" s="1426"/>
      <c r="BE55" s="1426"/>
    </row>
    <row r="56" spans="1:57" s="5" customFormat="1">
      <c r="A56" s="326">
        <f t="shared" si="0"/>
        <v>3</v>
      </c>
      <c r="B56" s="1751"/>
      <c r="C56" s="166">
        <v>107446040330</v>
      </c>
      <c r="D56" s="46" t="s">
        <v>6653</v>
      </c>
      <c r="E56" s="47"/>
      <c r="F56" s="348" t="s">
        <v>6711</v>
      </c>
      <c r="G56" s="3669" t="s">
        <v>4450</v>
      </c>
      <c r="H56" s="3669"/>
      <c r="I56" s="3669"/>
      <c r="J56" s="2453" t="s">
        <v>123</v>
      </c>
      <c r="K56" s="1357"/>
      <c r="L56" s="1357" t="s">
        <v>6701</v>
      </c>
      <c r="M56" s="577" t="s">
        <v>6702</v>
      </c>
      <c r="N56" s="692"/>
      <c r="O56" s="2394"/>
      <c r="P56" s="2416"/>
      <c r="Q56" s="2214"/>
      <c r="R56" s="577"/>
      <c r="S56" s="1672"/>
      <c r="T56" s="1672"/>
      <c r="U56" s="1327"/>
      <c r="V56" s="1526"/>
      <c r="W56" s="1526"/>
      <c r="X56" s="1526"/>
      <c r="Y56" s="1526"/>
      <c r="Z56" s="1749"/>
      <c r="AA56" s="1791"/>
      <c r="AB56" s="1526"/>
      <c r="AC56" s="1608"/>
      <c r="AD56" s="2714">
        <f t="shared" si="12"/>
        <v>0</v>
      </c>
      <c r="AE56" s="1591"/>
      <c r="AF56" s="1340">
        <f>800000*1.08</f>
        <v>864000</v>
      </c>
      <c r="AG56" s="1528">
        <f t="shared" si="14"/>
        <v>864000</v>
      </c>
      <c r="AH56" s="1529"/>
      <c r="AI56" s="1432">
        <v>1</v>
      </c>
      <c r="AJ56" s="1530"/>
      <c r="AK56" s="1433"/>
      <c r="AL56" s="1433"/>
      <c r="AM56" s="1433"/>
      <c r="AN56" s="1433"/>
      <c r="AO56" s="1433"/>
      <c r="AP56" s="1433"/>
      <c r="AQ56" s="1433"/>
      <c r="AR56" s="1433"/>
      <c r="AS56" s="1433"/>
      <c r="AT56" s="1433"/>
      <c r="AU56" s="1426"/>
      <c r="AV56" s="1426"/>
      <c r="AW56" s="1426"/>
      <c r="AX56" s="1426"/>
      <c r="AY56" s="1426"/>
      <c r="AZ56" s="1426"/>
      <c r="BA56" s="1426"/>
      <c r="BB56" s="1426"/>
      <c r="BC56" s="1426"/>
      <c r="BD56" s="1426"/>
      <c r="BE56" s="1426"/>
    </row>
    <row r="57" spans="1:57" s="5" customFormat="1" ht="26.4">
      <c r="A57" s="326">
        <f t="shared" si="0"/>
        <v>4</v>
      </c>
      <c r="B57" s="656" t="s">
        <v>6642</v>
      </c>
      <c r="C57" s="166">
        <v>107453198641</v>
      </c>
      <c r="D57" s="386" t="s">
        <v>6740</v>
      </c>
      <c r="E57" s="117" t="s">
        <v>4401</v>
      </c>
      <c r="F57" s="348" t="s">
        <v>6806</v>
      </c>
      <c r="G57" s="167">
        <v>2</v>
      </c>
      <c r="H57" s="167"/>
      <c r="I57" s="167"/>
      <c r="J57" s="2453" t="s">
        <v>123</v>
      </c>
      <c r="K57" s="2069" t="s">
        <v>6720</v>
      </c>
      <c r="L57" s="2069" t="s">
        <v>6718</v>
      </c>
      <c r="M57" s="2800" t="s">
        <v>6745</v>
      </c>
      <c r="N57" s="2190" t="s">
        <v>6719</v>
      </c>
      <c r="O57" s="1516" t="s">
        <v>6663</v>
      </c>
      <c r="P57" s="2416" t="s">
        <v>6803</v>
      </c>
      <c r="Q57" s="1492" t="s">
        <v>6807</v>
      </c>
      <c r="R57" s="1492"/>
      <c r="S57" s="2427" t="s">
        <v>4813</v>
      </c>
      <c r="T57" s="2472"/>
      <c r="U57" s="1330" t="s">
        <v>6349</v>
      </c>
      <c r="V57" s="2556"/>
      <c r="W57" s="2457">
        <v>994000</v>
      </c>
      <c r="X57" s="2467">
        <v>1998000</v>
      </c>
      <c r="Y57" s="2556"/>
      <c r="Z57" s="2555"/>
      <c r="AA57" s="2227">
        <v>500000</v>
      </c>
      <c r="AB57" s="2556"/>
      <c r="AC57" s="2556"/>
      <c r="AD57" s="2714">
        <f t="shared" si="12"/>
        <v>3492000</v>
      </c>
      <c r="AE57" s="1591"/>
      <c r="AF57" s="1340">
        <f>(((G57*3450000+H57*3550000+I57*AJ57)+(AI57*$AI$4*(G57+H57))+(AK57*$AK$4*(G57+H57))+(AL57*$AL$4*(G57+H57))+(AM57*$AM$4*(G57+H57))+(AN57*$AN$4*(G57+H57))+(AO57*$AO$4*(G57+H57))+(AP57*$AP$4)+(AQ57*$AQ$4*(G57+H57))+(AR57*$AR$4*(G57+H57))+(AS57*$AS$4)))*1.08</f>
        <v>11124000</v>
      </c>
      <c r="AG57" s="1528">
        <f>+AD57+AF57</f>
        <v>14616000</v>
      </c>
      <c r="AH57" s="1529"/>
      <c r="AI57" s="1432">
        <v>1</v>
      </c>
      <c r="AJ57" s="1530"/>
      <c r="AK57" s="1433">
        <v>1</v>
      </c>
      <c r="AL57" s="1433"/>
      <c r="AM57" s="1433"/>
      <c r="AN57" s="1433"/>
      <c r="AO57" s="1433"/>
      <c r="AP57" s="1433"/>
      <c r="AQ57" s="1433"/>
      <c r="AR57" s="1433"/>
      <c r="AS57" s="1433"/>
      <c r="AT57" s="1433"/>
      <c r="AU57" s="1426"/>
      <c r="AV57" s="1426"/>
      <c r="AW57" s="1426"/>
      <c r="AX57" s="1426"/>
      <c r="AY57" s="1426"/>
      <c r="AZ57" s="1426"/>
      <c r="BA57" s="1426"/>
      <c r="BB57" s="1426"/>
      <c r="BC57" s="1426"/>
      <c r="BD57" s="1426"/>
      <c r="BE57" s="1426"/>
    </row>
    <row r="58" spans="1:57" s="5" customFormat="1">
      <c r="A58" s="326">
        <f t="shared" si="0"/>
        <v>5</v>
      </c>
      <c r="B58" s="1751"/>
      <c r="C58" s="166">
        <v>107465968850</v>
      </c>
      <c r="D58" s="46" t="s">
        <v>6642</v>
      </c>
      <c r="E58" s="47"/>
      <c r="F58" s="348" t="s">
        <v>6850</v>
      </c>
      <c r="G58" s="3669" t="s">
        <v>4450</v>
      </c>
      <c r="H58" s="3669"/>
      <c r="I58" s="3669"/>
      <c r="J58" s="2453" t="s">
        <v>123</v>
      </c>
      <c r="K58" s="1357"/>
      <c r="L58" s="1357" t="s">
        <v>6809</v>
      </c>
      <c r="M58" s="577" t="s">
        <v>6808</v>
      </c>
      <c r="N58" s="692"/>
      <c r="O58" s="2394"/>
      <c r="P58" s="2416"/>
      <c r="Q58" s="2214"/>
      <c r="R58" s="577"/>
      <c r="S58" s="1672"/>
      <c r="T58" s="1672"/>
      <c r="U58" s="1327"/>
      <c r="V58" s="1526"/>
      <c r="W58" s="1526"/>
      <c r="X58" s="1526"/>
      <c r="Y58" s="1526"/>
      <c r="Z58" s="1749"/>
      <c r="AA58" s="1791"/>
      <c r="AB58" s="1526"/>
      <c r="AC58" s="1608"/>
      <c r="AD58" s="2714">
        <f t="shared" si="12"/>
        <v>0</v>
      </c>
      <c r="AE58" s="1591"/>
      <c r="AF58" s="1340">
        <f>800000*1.08</f>
        <v>864000</v>
      </c>
      <c r="AG58" s="1528">
        <f t="shared" ref="AG58" si="15">+AD58+AF58</f>
        <v>864000</v>
      </c>
      <c r="AH58" s="1529"/>
      <c r="AI58" s="1432">
        <v>1</v>
      </c>
      <c r="AJ58" s="1530"/>
      <c r="AK58" s="1433"/>
      <c r="AL58" s="1433"/>
      <c r="AM58" s="1433"/>
      <c r="AN58" s="1433"/>
      <c r="AO58" s="1433"/>
      <c r="AP58" s="1433"/>
      <c r="AQ58" s="1433"/>
      <c r="AR58" s="1433"/>
      <c r="AS58" s="1433"/>
      <c r="AT58" s="1433"/>
      <c r="AU58" s="1426"/>
      <c r="AV58" s="1426"/>
      <c r="AW58" s="1426"/>
      <c r="AX58" s="1426"/>
      <c r="AY58" s="1426"/>
      <c r="AZ58" s="1426"/>
      <c r="BA58" s="1426"/>
      <c r="BB58" s="1426"/>
      <c r="BC58" s="1426"/>
      <c r="BD58" s="1426"/>
      <c r="BE58" s="1426"/>
    </row>
    <row r="59" spans="1:57" s="5" customFormat="1">
      <c r="A59" s="326">
        <f t="shared" si="0"/>
        <v>6</v>
      </c>
      <c r="B59" s="1751"/>
      <c r="C59" s="166">
        <v>107465913660</v>
      </c>
      <c r="D59" s="46" t="s">
        <v>6642</v>
      </c>
      <c r="E59" s="47"/>
      <c r="F59" s="348" t="s">
        <v>6849</v>
      </c>
      <c r="G59" s="3669" t="s">
        <v>4450</v>
      </c>
      <c r="H59" s="3669"/>
      <c r="I59" s="3669"/>
      <c r="J59" s="2453" t="s">
        <v>123</v>
      </c>
      <c r="K59" s="1357"/>
      <c r="L59" s="1357" t="s">
        <v>6810</v>
      </c>
      <c r="M59" s="154" t="s">
        <v>6811</v>
      </c>
      <c r="N59" s="692"/>
      <c r="O59" s="2396"/>
      <c r="P59" s="2416"/>
      <c r="Q59" s="2214"/>
      <c r="R59" s="577"/>
      <c r="S59" s="165"/>
      <c r="T59" s="2472"/>
      <c r="U59" s="1327"/>
      <c r="V59" s="1526"/>
      <c r="W59" s="1526"/>
      <c r="X59" s="1526"/>
      <c r="Y59" s="1526"/>
      <c r="Z59" s="1749"/>
      <c r="AA59" s="1791"/>
      <c r="AB59" s="1526"/>
      <c r="AC59" s="1608"/>
      <c r="AD59" s="2714">
        <f t="shared" si="12"/>
        <v>0</v>
      </c>
      <c r="AE59" s="1591"/>
      <c r="AF59" s="1340">
        <f>800000*1.08</f>
        <v>864000</v>
      </c>
      <c r="AG59" s="1528">
        <f t="shared" si="14"/>
        <v>864000</v>
      </c>
      <c r="AH59" s="1529"/>
      <c r="AI59" s="1432"/>
      <c r="AJ59" s="1530"/>
      <c r="AK59" s="1433"/>
      <c r="AL59" s="1433"/>
      <c r="AM59" s="1433"/>
      <c r="AN59" s="1433"/>
      <c r="AO59" s="1433"/>
      <c r="AP59" s="1433"/>
      <c r="AQ59" s="1433"/>
      <c r="AR59" s="1433"/>
      <c r="AS59" s="1433"/>
      <c r="AT59" s="1433"/>
      <c r="AU59" s="1426"/>
      <c r="AV59" s="1426"/>
      <c r="AW59" s="1426"/>
      <c r="AX59" s="1426"/>
      <c r="AY59" s="1426"/>
      <c r="AZ59" s="1426"/>
      <c r="BA59" s="1426"/>
      <c r="BB59" s="1426"/>
      <c r="BC59" s="1426"/>
      <c r="BD59" s="1426"/>
      <c r="BE59" s="1426"/>
    </row>
    <row r="60" spans="1:57" ht="15.6">
      <c r="A60" s="3668" t="s">
        <v>6848</v>
      </c>
      <c r="B60" s="3668"/>
      <c r="C60" s="3668"/>
      <c r="D60" s="3668"/>
      <c r="E60" s="3668"/>
      <c r="F60" s="3668"/>
      <c r="G60" s="3668"/>
      <c r="H60" s="3668"/>
      <c r="I60" s="3668"/>
      <c r="J60" s="3668"/>
      <c r="K60" s="3668"/>
      <c r="L60" s="3668"/>
      <c r="M60" s="3668"/>
      <c r="N60" s="3668"/>
      <c r="O60" s="2395"/>
      <c r="P60" s="2412"/>
      <c r="Q60" s="2398"/>
      <c r="R60" s="1773"/>
      <c r="S60" s="1774"/>
      <c r="T60" s="3210"/>
      <c r="U60" s="1775"/>
      <c r="V60" s="1776"/>
      <c r="W60" s="1777"/>
      <c r="X60" s="1777"/>
      <c r="Y60" s="1777"/>
      <c r="Z60" s="1778"/>
      <c r="AA60" s="1778"/>
      <c r="AB60" s="1777"/>
      <c r="AC60" s="2307"/>
      <c r="AD60" s="1781">
        <f>SUM(AD53:AD59)</f>
        <v>9862000</v>
      </c>
      <c r="AE60" s="2026"/>
      <c r="AF60" s="1781">
        <f>SUM(AF53:AF59)</f>
        <v>32886000</v>
      </c>
      <c r="AG60" s="1781">
        <f>SUM(AG53:AG59)</f>
        <v>42748000</v>
      </c>
      <c r="AH60" s="1781"/>
      <c r="AI60" s="1429"/>
      <c r="AJ60" s="1430"/>
      <c r="AK60" s="2024"/>
      <c r="AL60" s="1782"/>
      <c r="AM60" s="1782"/>
      <c r="AN60" s="1782"/>
      <c r="AO60" s="1782"/>
      <c r="AP60" s="1782"/>
      <c r="AQ60" s="1782"/>
      <c r="AR60" s="1782"/>
      <c r="AS60" s="1433"/>
      <c r="AT60" s="1433"/>
    </row>
    <row r="61" spans="1:57" s="5" customFormat="1" ht="41.25" customHeight="1">
      <c r="A61" s="326"/>
      <c r="B61" s="2264"/>
      <c r="C61" s="166">
        <v>107420569910</v>
      </c>
      <c r="D61" s="386" t="s">
        <v>6601</v>
      </c>
      <c r="E61" s="1151" t="s">
        <v>4444</v>
      </c>
      <c r="F61" s="348" t="s">
        <v>7118</v>
      </c>
      <c r="G61" s="167">
        <v>2</v>
      </c>
      <c r="H61" s="167"/>
      <c r="I61" s="167"/>
      <c r="J61" s="2774" t="s">
        <v>136</v>
      </c>
      <c r="K61" s="1840">
        <f>54740/2</f>
        <v>27370</v>
      </c>
      <c r="L61" s="2069" t="s">
        <v>6554</v>
      </c>
      <c r="M61" s="1492" t="s">
        <v>6664</v>
      </c>
      <c r="N61" s="2190" t="s">
        <v>6582</v>
      </c>
      <c r="O61" s="1516" t="s">
        <v>6555</v>
      </c>
      <c r="P61" s="2416" t="s">
        <v>6681</v>
      </c>
      <c r="Q61" s="1492" t="s">
        <v>6663</v>
      </c>
      <c r="R61" s="1492"/>
      <c r="S61" s="2427" t="s">
        <v>4813</v>
      </c>
      <c r="T61" s="2472"/>
      <c r="U61" s="1330" t="s">
        <v>4909</v>
      </c>
      <c r="V61" s="2556"/>
      <c r="W61" s="2457">
        <v>1454000</v>
      </c>
      <c r="X61" s="1337"/>
      <c r="Y61" s="2052"/>
      <c r="Z61" s="2053"/>
      <c r="AA61" s="2053"/>
      <c r="AB61" s="2052"/>
      <c r="AC61" s="2556"/>
      <c r="AD61" s="2714">
        <f t="shared" ref="AD61" si="16">SUM(V61:AC61)</f>
        <v>1454000</v>
      </c>
      <c r="AE61" s="2172"/>
      <c r="AF61" s="1340"/>
      <c r="AG61" s="1528">
        <f t="shared" ref="AG61" si="17">+AD61+AF61</f>
        <v>1454000</v>
      </c>
      <c r="AH61" s="1529"/>
      <c r="AI61" s="1432">
        <v>1</v>
      </c>
      <c r="AJ61" s="1530"/>
      <c r="AK61" s="1433">
        <v>1</v>
      </c>
      <c r="AL61" s="1433"/>
      <c r="AM61" s="1433"/>
      <c r="AN61" s="1433"/>
      <c r="AO61" s="1433"/>
      <c r="AP61" s="1433"/>
      <c r="AQ61" s="1433">
        <v>1</v>
      </c>
      <c r="AR61" s="1433"/>
      <c r="AS61" s="1433">
        <v>1</v>
      </c>
      <c r="AT61" s="1433"/>
      <c r="AU61" s="1426"/>
      <c r="AV61" s="1426"/>
      <c r="AW61" s="1426"/>
      <c r="AX61" s="1426"/>
      <c r="AY61" s="1426"/>
      <c r="AZ61" s="1426"/>
      <c r="BA61" s="1426"/>
      <c r="BB61" s="1426"/>
      <c r="BC61" s="1426"/>
      <c r="BD61" s="1426"/>
      <c r="BE61" s="1426"/>
    </row>
    <row r="62" spans="1:57" s="5" customFormat="1" ht="52.8">
      <c r="A62" s="326">
        <v>1</v>
      </c>
      <c r="B62" s="2264" t="s">
        <v>6883</v>
      </c>
      <c r="C62" s="166">
        <v>107474841460</v>
      </c>
      <c r="D62" s="386" t="s">
        <v>6826</v>
      </c>
      <c r="E62" s="3015" t="s">
        <v>4444</v>
      </c>
      <c r="F62" s="348" t="s">
        <v>6887</v>
      </c>
      <c r="G62" s="167">
        <v>2</v>
      </c>
      <c r="H62" s="167"/>
      <c r="I62" s="167"/>
      <c r="J62" s="2453" t="s">
        <v>123</v>
      </c>
      <c r="K62" s="1357" t="s">
        <v>6835</v>
      </c>
      <c r="L62" s="1357" t="s">
        <v>6734</v>
      </c>
      <c r="M62" s="1492" t="s">
        <v>6833</v>
      </c>
      <c r="N62" s="1522" t="s">
        <v>6834</v>
      </c>
      <c r="O62" s="2396" t="s">
        <v>6825</v>
      </c>
      <c r="P62" s="2416" t="s">
        <v>6885</v>
      </c>
      <c r="Q62" s="2214" t="s">
        <v>6857</v>
      </c>
      <c r="R62" s="577"/>
      <c r="S62" s="2427" t="s">
        <v>4813</v>
      </c>
      <c r="T62" s="2472"/>
      <c r="U62" s="1330" t="s">
        <v>7035</v>
      </c>
      <c r="V62" s="1526"/>
      <c r="W62" s="2457">
        <v>994000</v>
      </c>
      <c r="X62" s="2467">
        <f>999000*2</f>
        <v>1998000</v>
      </c>
      <c r="Y62" s="1526"/>
      <c r="Z62" s="1749"/>
      <c r="AA62" s="2227">
        <v>500000</v>
      </c>
      <c r="AB62" s="1526"/>
      <c r="AC62" s="1608"/>
      <c r="AD62" s="1339">
        <f>SUM(V62:AC62)</f>
        <v>3492000</v>
      </c>
      <c r="AE62" s="2172" t="s">
        <v>7052</v>
      </c>
      <c r="AF62" s="1340">
        <f>(((G62*3450000+H62*3550000+I62*AJ62)+(AI62*$AI$4*(G62+H62))+(AK62*$AK$4*(G62+H62))+(AL62*$AL$4*(G62+H62))+(AM62*$AM$4*(G62+H62))+(AN62*$AN$4*(G62+H62))+(AO62*$AO$4*(G62+H62))+(AP62*$AP$4)+(AQ62*$AQ$4*(G62+H62))+(AR62*$AR$4*(G62+H62))+(AS62*$AS$4)))*1.08-972000</f>
        <v>11772000</v>
      </c>
      <c r="AG62" s="1528">
        <f>+AD62+AF62</f>
        <v>15264000</v>
      </c>
      <c r="AH62" s="2116" t="s">
        <v>7024</v>
      </c>
      <c r="AI62" s="1432">
        <v>1</v>
      </c>
      <c r="AJ62" s="1530"/>
      <c r="AK62" s="1433">
        <v>1</v>
      </c>
      <c r="AL62" s="1433"/>
      <c r="AM62" s="1433"/>
      <c r="AN62" s="1433"/>
      <c r="AO62" s="1433"/>
      <c r="AP62" s="1433"/>
      <c r="AQ62" s="1433"/>
      <c r="AR62" s="1433"/>
      <c r="AS62" s="1433">
        <v>1</v>
      </c>
      <c r="AT62" s="1433"/>
      <c r="AU62" s="1426"/>
      <c r="AV62" s="1426"/>
      <c r="AW62" s="1426"/>
      <c r="AX62" s="1426"/>
      <c r="AY62" s="1426"/>
      <c r="AZ62" s="1426"/>
      <c r="BA62" s="1426"/>
      <c r="BB62" s="1426"/>
      <c r="BC62" s="1426"/>
      <c r="BD62" s="1426"/>
      <c r="BE62" s="1426"/>
    </row>
    <row r="63" spans="1:57" s="5" customFormat="1" ht="26.4">
      <c r="A63" s="326">
        <f t="shared" si="0"/>
        <v>2</v>
      </c>
      <c r="B63" s="1419" t="s">
        <v>6926</v>
      </c>
      <c r="C63" s="166">
        <v>107493607430</v>
      </c>
      <c r="D63" s="386" t="s">
        <v>6883</v>
      </c>
      <c r="E63" s="117" t="s">
        <v>4401</v>
      </c>
      <c r="F63" s="348" t="s">
        <v>6927</v>
      </c>
      <c r="G63" s="167">
        <v>1</v>
      </c>
      <c r="H63" s="167"/>
      <c r="I63" s="167"/>
      <c r="J63" s="2453" t="s">
        <v>123</v>
      </c>
      <c r="K63" s="1357" t="s">
        <v>6895</v>
      </c>
      <c r="L63" s="1357" t="s">
        <v>6893</v>
      </c>
      <c r="M63" s="154" t="s">
        <v>6896</v>
      </c>
      <c r="N63" s="692" t="s">
        <v>6894</v>
      </c>
      <c r="O63" s="2396" t="s">
        <v>6807</v>
      </c>
      <c r="P63" s="2416" t="s">
        <v>5942</v>
      </c>
      <c r="Q63" s="2214"/>
      <c r="R63" s="577"/>
      <c r="S63" s="2427" t="s">
        <v>4813</v>
      </c>
      <c r="T63" s="2472"/>
      <c r="U63" s="1330" t="s">
        <v>6349</v>
      </c>
      <c r="V63" s="2467">
        <v>230000</v>
      </c>
      <c r="W63" s="2457">
        <v>497000</v>
      </c>
      <c r="X63" s="2467">
        <v>1000000</v>
      </c>
      <c r="Y63" s="1526"/>
      <c r="Z63" s="1749"/>
      <c r="AA63" s="2685">
        <v>250000</v>
      </c>
      <c r="AB63" s="1526"/>
      <c r="AC63" s="1608"/>
      <c r="AD63" s="1339">
        <f>SUM(V63:AC63)</f>
        <v>1977000</v>
      </c>
      <c r="AE63" s="1591"/>
      <c r="AF63" s="1340">
        <f t="shared" ref="AF63:AF65" si="18">(((G63*3450000+H63*3550000+I63*AJ63)+(AI63*$AI$4*(G63+H63))+(AK63*$AK$4*(G63+H63))+(AL63*$AL$4*(G63+H63))+(AM63*$AM$4*(G63+H63))+(AN63*$AN$4*(G63+H63))+(AO63*$AO$4*(G63+H63))+(AP63*$AP$4)+(AQ63*$AQ$4*(G63+H63))+(AR63*$AR$4*(G63+H63))+(AS63*$AS$4)))*1.08</f>
        <v>5562000</v>
      </c>
      <c r="AG63" s="1528">
        <f t="shared" si="14"/>
        <v>7539000</v>
      </c>
      <c r="AH63" s="2116" t="s">
        <v>6054</v>
      </c>
      <c r="AI63" s="1432">
        <v>1</v>
      </c>
      <c r="AJ63" s="1530"/>
      <c r="AK63" s="1433">
        <v>1</v>
      </c>
      <c r="AL63" s="1433"/>
      <c r="AM63" s="1433"/>
      <c r="AN63" s="1433"/>
      <c r="AO63" s="1433"/>
      <c r="AP63" s="1433"/>
      <c r="AQ63" s="1433"/>
      <c r="AR63" s="1433"/>
      <c r="AS63" s="1433"/>
      <c r="AT63" s="1433"/>
      <c r="AU63" s="1426"/>
      <c r="AV63" s="1426"/>
      <c r="AW63" s="1426"/>
      <c r="AX63" s="1426"/>
      <c r="AY63" s="1426"/>
      <c r="AZ63" s="1426"/>
      <c r="BA63" s="1426"/>
      <c r="BB63" s="1426"/>
      <c r="BC63" s="1426"/>
      <c r="BD63" s="1426"/>
      <c r="BE63" s="1426"/>
    </row>
    <row r="64" spans="1:57" s="5" customFormat="1" ht="52.8">
      <c r="A64" s="326">
        <f t="shared" si="0"/>
        <v>3</v>
      </c>
      <c r="B64" s="2264" t="s">
        <v>6974</v>
      </c>
      <c r="C64" s="166">
        <v>107497437720</v>
      </c>
      <c r="D64" s="386" t="s">
        <v>6889</v>
      </c>
      <c r="E64" s="3015" t="s">
        <v>4444</v>
      </c>
      <c r="F64" s="348" t="s">
        <v>7013</v>
      </c>
      <c r="G64" s="167">
        <v>4</v>
      </c>
      <c r="H64" s="167"/>
      <c r="I64" s="167"/>
      <c r="J64" s="2453" t="s">
        <v>123</v>
      </c>
      <c r="K64" s="1357" t="s">
        <v>6970</v>
      </c>
      <c r="L64" s="1357" t="s">
        <v>6891</v>
      </c>
      <c r="M64" s="154" t="s">
        <v>6902</v>
      </c>
      <c r="N64" s="1522" t="s">
        <v>6892</v>
      </c>
      <c r="O64" s="2396" t="s">
        <v>6847</v>
      </c>
      <c r="P64" s="2416" t="s">
        <v>6987</v>
      </c>
      <c r="Q64" s="2214" t="s">
        <v>6977</v>
      </c>
      <c r="R64" s="577"/>
      <c r="S64" s="2427" t="s">
        <v>4813</v>
      </c>
      <c r="T64" s="2472"/>
      <c r="U64" s="1330" t="s">
        <v>4909</v>
      </c>
      <c r="V64" s="2457">
        <v>460000</v>
      </c>
      <c r="W64" s="2457">
        <v>1988000</v>
      </c>
      <c r="X64" s="2467">
        <v>4000000</v>
      </c>
      <c r="Y64" s="1526"/>
      <c r="Z64" s="1749"/>
      <c r="AA64" s="2685">
        <v>1000000</v>
      </c>
      <c r="AB64" s="1526"/>
      <c r="AC64" s="1608"/>
      <c r="AD64" s="1339">
        <f>SUM(V64:AC64)</f>
        <v>7448000</v>
      </c>
      <c r="AE64" s="2172" t="s">
        <v>6903</v>
      </c>
      <c r="AF64" s="1340">
        <f t="shared" si="18"/>
        <v>23868000</v>
      </c>
      <c r="AG64" s="1528">
        <f t="shared" si="14"/>
        <v>31316000</v>
      </c>
      <c r="AH64" s="2116" t="s">
        <v>7025</v>
      </c>
      <c r="AI64" s="1432">
        <v>1</v>
      </c>
      <c r="AJ64" s="1530"/>
      <c r="AK64" s="1433">
        <v>1</v>
      </c>
      <c r="AL64" s="1433"/>
      <c r="AM64" s="1433"/>
      <c r="AN64" s="1433"/>
      <c r="AO64" s="1433"/>
      <c r="AP64" s="1433"/>
      <c r="AQ64" s="1433"/>
      <c r="AR64" s="1433"/>
      <c r="AS64" s="1433">
        <v>1</v>
      </c>
      <c r="AT64" s="1433"/>
      <c r="AU64" s="1426"/>
      <c r="AV64" s="1426"/>
      <c r="AW64" s="1426"/>
      <c r="AX64" s="1426"/>
      <c r="AY64" s="1426"/>
      <c r="AZ64" s="1426"/>
      <c r="BA64" s="1426"/>
      <c r="BB64" s="1426"/>
      <c r="BC64" s="1426"/>
      <c r="BD64" s="1426"/>
      <c r="BE64" s="1426"/>
    </row>
    <row r="65" spans="1:57" s="5" customFormat="1" ht="26.4">
      <c r="A65" s="326">
        <f t="shared" si="0"/>
        <v>4</v>
      </c>
      <c r="B65" s="1329" t="s">
        <v>7080</v>
      </c>
      <c r="C65" s="166">
        <v>107533806810</v>
      </c>
      <c r="D65" s="386" t="s">
        <v>7031</v>
      </c>
      <c r="E65" s="1151" t="s">
        <v>7034</v>
      </c>
      <c r="F65" s="348" t="s">
        <v>7059</v>
      </c>
      <c r="G65" s="167">
        <v>2</v>
      </c>
      <c r="H65" s="167"/>
      <c r="I65" s="167"/>
      <c r="J65" s="2453" t="s">
        <v>123</v>
      </c>
      <c r="K65" s="1357" t="s">
        <v>7033</v>
      </c>
      <c r="L65" s="1357" t="s">
        <v>6967</v>
      </c>
      <c r="M65" s="154" t="s">
        <v>7043</v>
      </c>
      <c r="N65" s="1522" t="s">
        <v>7032</v>
      </c>
      <c r="O65" s="2396" t="s">
        <v>7044</v>
      </c>
      <c r="P65" s="2416" t="s">
        <v>7104</v>
      </c>
      <c r="Q65" s="2214" t="s">
        <v>7000</v>
      </c>
      <c r="R65" s="577"/>
      <c r="S65" s="1564" t="s">
        <v>7051</v>
      </c>
      <c r="T65" s="2471"/>
      <c r="U65" s="1330" t="s">
        <v>4910</v>
      </c>
      <c r="V65" s="1526"/>
      <c r="W65" s="2457">
        <v>1588000</v>
      </c>
      <c r="X65" s="2467">
        <v>2000000</v>
      </c>
      <c r="Y65" s="1526"/>
      <c r="Z65" s="1749"/>
      <c r="AA65" s="2685">
        <v>500000</v>
      </c>
      <c r="AB65" s="1526"/>
      <c r="AC65" s="2933">
        <f>315000*2</f>
        <v>630000</v>
      </c>
      <c r="AD65" s="1339">
        <f>SUM(V65:AC65)</f>
        <v>4718000</v>
      </c>
      <c r="AE65" s="2172" t="s">
        <v>7082</v>
      </c>
      <c r="AF65" s="1340">
        <f t="shared" si="18"/>
        <v>12420000</v>
      </c>
      <c r="AG65" s="1528">
        <f t="shared" si="14"/>
        <v>17138000</v>
      </c>
      <c r="AH65" s="2116"/>
      <c r="AI65" s="1432">
        <v>1</v>
      </c>
      <c r="AJ65" s="1530"/>
      <c r="AK65" s="1433"/>
      <c r="AL65" s="1433"/>
      <c r="AM65" s="1433"/>
      <c r="AN65" s="1433">
        <v>1</v>
      </c>
      <c r="AO65" s="1433"/>
      <c r="AP65" s="1433">
        <v>1</v>
      </c>
      <c r="AQ65" s="1433"/>
      <c r="AR65" s="1433"/>
      <c r="AS65" s="1433"/>
      <c r="AT65" s="1433"/>
      <c r="AU65" s="1426"/>
      <c r="AV65" s="1426"/>
      <c r="AW65" s="1426"/>
      <c r="AX65" s="1426"/>
      <c r="AY65" s="1426"/>
      <c r="AZ65" s="1426"/>
      <c r="BA65" s="1426"/>
      <c r="BB65" s="1426"/>
      <c r="BC65" s="1426"/>
      <c r="BD65" s="1426"/>
      <c r="BE65" s="1426"/>
    </row>
    <row r="66" spans="1:57" ht="15.6">
      <c r="A66" s="3668" t="s">
        <v>7096</v>
      </c>
      <c r="B66" s="3668"/>
      <c r="C66" s="3668"/>
      <c r="D66" s="3668"/>
      <c r="E66" s="3668"/>
      <c r="F66" s="3668"/>
      <c r="G66" s="3668"/>
      <c r="H66" s="3668"/>
      <c r="I66" s="3668"/>
      <c r="J66" s="3668"/>
      <c r="K66" s="3668"/>
      <c r="L66" s="3668"/>
      <c r="M66" s="3668"/>
      <c r="N66" s="3668"/>
      <c r="O66" s="2395"/>
      <c r="P66" s="2412"/>
      <c r="Q66" s="2398"/>
      <c r="R66" s="1773"/>
      <c r="S66" s="1774"/>
      <c r="T66" s="3210"/>
      <c r="U66" s="1775"/>
      <c r="V66" s="1776"/>
      <c r="W66" s="1777"/>
      <c r="X66" s="1777"/>
      <c r="Y66" s="1777"/>
      <c r="Z66" s="1778"/>
      <c r="AA66" s="1778"/>
      <c r="AB66" s="1777"/>
      <c r="AC66" s="2307"/>
      <c r="AD66" s="1781">
        <f>SUM(AD58:AD65)</f>
        <v>28951000</v>
      </c>
      <c r="AE66" s="2026"/>
      <c r="AF66" s="1781">
        <f>SUM(AF61:AF65)</f>
        <v>53622000</v>
      </c>
      <c r="AG66" s="1781">
        <f>SUM(AG58:AG65)</f>
        <v>117187000</v>
      </c>
      <c r="AH66" s="1781"/>
      <c r="AI66" s="1429"/>
      <c r="AJ66" s="1430"/>
      <c r="AK66" s="2024"/>
      <c r="AL66" s="1782"/>
      <c r="AM66" s="1782"/>
      <c r="AN66" s="1782"/>
      <c r="AO66" s="1782"/>
      <c r="AP66" s="1782"/>
      <c r="AQ66" s="1782"/>
      <c r="AR66" s="1782"/>
      <c r="AS66" s="1433"/>
      <c r="AT66" s="1433"/>
    </row>
    <row r="67" spans="1:57" s="5" customFormat="1" ht="52.8">
      <c r="A67" s="326">
        <v>1</v>
      </c>
      <c r="B67" s="656" t="s">
        <v>7167</v>
      </c>
      <c r="C67" s="166">
        <v>107568858720</v>
      </c>
      <c r="D67" s="386" t="s">
        <v>7174</v>
      </c>
      <c r="E67" s="117" t="s">
        <v>4401</v>
      </c>
      <c r="F67" s="348" t="s">
        <v>7215</v>
      </c>
      <c r="G67" s="167">
        <v>4</v>
      </c>
      <c r="H67" s="167"/>
      <c r="I67" s="167"/>
      <c r="J67" s="2453" t="s">
        <v>123</v>
      </c>
      <c r="K67" s="1357" t="s">
        <v>7171</v>
      </c>
      <c r="L67" s="1357" t="s">
        <v>7169</v>
      </c>
      <c r="M67" s="154" t="s">
        <v>7178</v>
      </c>
      <c r="N67" s="1522" t="s">
        <v>7170</v>
      </c>
      <c r="O67" s="2396" t="s">
        <v>7199</v>
      </c>
      <c r="P67" s="2416" t="s">
        <v>7386</v>
      </c>
      <c r="Q67" s="2214" t="s">
        <v>7109</v>
      </c>
      <c r="R67" s="577"/>
      <c r="S67" s="2427" t="s">
        <v>4813</v>
      </c>
      <c r="T67" s="2472"/>
      <c r="U67" s="1330" t="s">
        <v>4909</v>
      </c>
      <c r="V67" s="2980">
        <v>230000</v>
      </c>
      <c r="W67" s="2980">
        <v>1988000</v>
      </c>
      <c r="X67" s="2980">
        <v>4000000</v>
      </c>
      <c r="Y67" s="1526"/>
      <c r="Z67" s="1749"/>
      <c r="AA67" s="2685">
        <v>1000000</v>
      </c>
      <c r="AB67" s="1526"/>
      <c r="AC67" s="1608"/>
      <c r="AD67" s="1339">
        <f t="shared" ref="AD67:AD74" si="19">SUM(V67:AC67)</f>
        <v>7218000</v>
      </c>
      <c r="AE67" s="1591" t="s">
        <v>7392</v>
      </c>
      <c r="AF67" s="1340">
        <f t="shared" si="13"/>
        <v>22248000</v>
      </c>
      <c r="AG67" s="1528">
        <f t="shared" si="14"/>
        <v>29466000</v>
      </c>
      <c r="AH67" s="2993"/>
      <c r="AI67" s="1432">
        <v>1</v>
      </c>
      <c r="AJ67" s="1530"/>
      <c r="AK67" s="1433">
        <v>1</v>
      </c>
      <c r="AL67" s="1433"/>
      <c r="AM67" s="1433"/>
      <c r="AN67" s="1433"/>
      <c r="AO67" s="1433"/>
      <c r="AP67" s="1433"/>
      <c r="AQ67" s="1433"/>
      <c r="AR67" s="1433"/>
      <c r="AS67" s="1433"/>
      <c r="AT67" s="1433"/>
      <c r="AU67" s="1426"/>
      <c r="AV67" s="1426"/>
      <c r="AW67" s="1426"/>
      <c r="AX67" s="1426"/>
      <c r="AY67" s="1426"/>
      <c r="AZ67" s="1426"/>
      <c r="BA67" s="1426"/>
      <c r="BB67" s="1426"/>
      <c r="BC67" s="1426"/>
      <c r="BD67" s="1426"/>
      <c r="BE67" s="1426"/>
    </row>
    <row r="68" spans="1:57" s="5" customFormat="1" ht="39.6">
      <c r="A68" s="326">
        <f t="shared" si="0"/>
        <v>2</v>
      </c>
      <c r="B68" s="2264" t="s">
        <v>7279</v>
      </c>
      <c r="C68" s="3029">
        <v>107585094851</v>
      </c>
      <c r="D68" s="386" t="s">
        <v>7224</v>
      </c>
      <c r="E68" s="3015" t="s">
        <v>4444</v>
      </c>
      <c r="F68" s="348" t="s">
        <v>7301</v>
      </c>
      <c r="G68" s="167">
        <v>3</v>
      </c>
      <c r="H68" s="167"/>
      <c r="I68" s="167"/>
      <c r="J68" s="2453" t="s">
        <v>123</v>
      </c>
      <c r="K68" s="1666">
        <v>82155</v>
      </c>
      <c r="L68" s="1357" t="s">
        <v>7175</v>
      </c>
      <c r="M68" s="154" t="s">
        <v>7259</v>
      </c>
      <c r="N68" s="1522" t="s">
        <v>7258</v>
      </c>
      <c r="O68" s="2396" t="s">
        <v>7257</v>
      </c>
      <c r="P68" s="2416" t="s">
        <v>7328</v>
      </c>
      <c r="Q68" s="2214" t="s">
        <v>7279</v>
      </c>
      <c r="R68" s="577"/>
      <c r="S68" s="2427" t="s">
        <v>4813</v>
      </c>
      <c r="T68" s="2472"/>
      <c r="U68" s="1330" t="s">
        <v>7035</v>
      </c>
      <c r="W68" s="2980">
        <v>2181000</v>
      </c>
      <c r="X68" s="2980">
        <f>870000*3</f>
        <v>2610000</v>
      </c>
      <c r="Y68" s="1526"/>
      <c r="Z68" s="1749"/>
      <c r="AA68" s="2685">
        <v>750000</v>
      </c>
      <c r="AB68" s="1526"/>
      <c r="AC68" s="1608"/>
      <c r="AD68" s="1339">
        <f t="shared" si="19"/>
        <v>5541000</v>
      </c>
      <c r="AE68" s="2172" t="s">
        <v>7282</v>
      </c>
      <c r="AF68" s="1340">
        <f t="shared" si="13"/>
        <v>18306000</v>
      </c>
      <c r="AG68" s="1528">
        <f t="shared" si="14"/>
        <v>23847000</v>
      </c>
      <c r="AH68" s="2993"/>
      <c r="AI68" s="1432">
        <v>1</v>
      </c>
      <c r="AJ68" s="1530"/>
      <c r="AK68" s="1433">
        <v>1</v>
      </c>
      <c r="AL68" s="1433"/>
      <c r="AM68" s="1433"/>
      <c r="AN68" s="1433"/>
      <c r="AO68" s="1433"/>
      <c r="AP68" s="1433"/>
      <c r="AQ68" s="1433"/>
      <c r="AR68" s="1433"/>
      <c r="AS68" s="1433">
        <v>1</v>
      </c>
      <c r="AT68" s="1433"/>
      <c r="AU68" s="1426"/>
      <c r="AV68" s="1426"/>
      <c r="AW68" s="1426"/>
      <c r="AX68" s="1426"/>
      <c r="AY68" s="1426"/>
      <c r="AZ68" s="1426"/>
      <c r="BA68" s="1426"/>
      <c r="BB68" s="1426"/>
      <c r="BC68" s="1426"/>
      <c r="BD68" s="1426"/>
      <c r="BE68" s="1426"/>
    </row>
    <row r="69" spans="1:57" s="5" customFormat="1" ht="39.6">
      <c r="A69" s="326">
        <f t="shared" si="0"/>
        <v>3</v>
      </c>
      <c r="B69" s="656" t="s">
        <v>7400</v>
      </c>
      <c r="C69" s="166">
        <v>107611750630</v>
      </c>
      <c r="D69" s="386" t="s">
        <v>7263</v>
      </c>
      <c r="E69" s="117" t="s">
        <v>4401</v>
      </c>
      <c r="F69" s="348" t="s">
        <v>7378</v>
      </c>
      <c r="G69" s="167">
        <v>3</v>
      </c>
      <c r="H69" s="1642"/>
      <c r="I69" s="1642"/>
      <c r="J69" s="2453" t="s">
        <v>123</v>
      </c>
      <c r="K69" s="1666" t="s">
        <v>7346</v>
      </c>
      <c r="L69" s="1566" t="s">
        <v>7336</v>
      </c>
      <c r="M69" s="154" t="s">
        <v>7345</v>
      </c>
      <c r="N69" s="1522" t="s">
        <v>7335</v>
      </c>
      <c r="O69" s="2396" t="s">
        <v>7373</v>
      </c>
      <c r="P69" s="2416" t="s">
        <v>7443</v>
      </c>
      <c r="Q69" s="2214" t="s">
        <v>7393</v>
      </c>
      <c r="R69" s="1472"/>
      <c r="S69" s="2427" t="s">
        <v>4813</v>
      </c>
      <c r="T69" s="2472"/>
      <c r="U69" s="1330" t="s">
        <v>4909</v>
      </c>
      <c r="V69" s="1472"/>
      <c r="W69" s="2980">
        <v>1491000</v>
      </c>
      <c r="X69" s="2980">
        <f>870000*3</f>
        <v>2610000</v>
      </c>
      <c r="Y69" s="1526"/>
      <c r="Z69" s="2450"/>
      <c r="AA69" s="2685">
        <v>750000</v>
      </c>
      <c r="AB69" s="1527"/>
      <c r="AC69" s="1527"/>
      <c r="AD69" s="1339">
        <f t="shared" si="19"/>
        <v>4851000</v>
      </c>
      <c r="AE69" s="1789"/>
      <c r="AF69" s="1340">
        <f>(((G69*3450000+H69*3550000+I69*AJ69)+(AI69*$AI$4*(G69+H69))+(AK69*$AK$4*(G69+H69))+(AL69*$AL$4*(G69+H69))+(AM69*$AM$4*(G69+H69))+(AN69*$AN$4*(G69+H69))+(AO69*$AO$4*(G69+H69))+(AP69*$AP$4)+(AQ69*$AQ$4*(G69+H69))+(AR69*$AR$4*(G69+H69))+(AS69*$AS$4)))*1.08</f>
        <v>16686000.000000002</v>
      </c>
      <c r="AG69" s="1528">
        <f>+AD69+AF69</f>
        <v>21537000</v>
      </c>
      <c r="AH69" s="2993"/>
      <c r="AI69" s="1432">
        <v>1</v>
      </c>
      <c r="AJ69" s="2994"/>
      <c r="AK69" s="2014">
        <v>1</v>
      </c>
      <c r="AL69" s="1433"/>
      <c r="AM69" s="1433"/>
      <c r="AN69" s="1433"/>
      <c r="AO69" s="1433"/>
      <c r="AP69" s="1433"/>
      <c r="AQ69" s="1433"/>
      <c r="AR69" s="1433"/>
      <c r="AS69" s="1433"/>
      <c r="AT69" s="1433"/>
      <c r="AU69" s="1426"/>
      <c r="AV69" s="1426"/>
      <c r="AW69" s="1426"/>
      <c r="AX69" s="1426"/>
      <c r="AY69" s="1426"/>
      <c r="AZ69" s="1426"/>
      <c r="BA69" s="1426"/>
      <c r="BB69" s="1426"/>
      <c r="BC69" s="1426"/>
      <c r="BD69" s="1426"/>
      <c r="BE69" s="1426"/>
    </row>
    <row r="70" spans="1:57" s="5" customFormat="1" ht="39.6">
      <c r="A70" s="326">
        <f t="shared" si="0"/>
        <v>4</v>
      </c>
      <c r="B70" s="656" t="s">
        <v>7413</v>
      </c>
      <c r="C70" s="166">
        <v>107614525430</v>
      </c>
      <c r="D70" s="46" t="s">
        <v>7331</v>
      </c>
      <c r="E70" s="117" t="s">
        <v>4401</v>
      </c>
      <c r="F70" s="348" t="s">
        <v>7379</v>
      </c>
      <c r="G70" s="167">
        <v>3</v>
      </c>
      <c r="H70" s="167"/>
      <c r="I70" s="167"/>
      <c r="J70" s="2453" t="s">
        <v>123</v>
      </c>
      <c r="K70" s="1566" t="s">
        <v>7360</v>
      </c>
      <c r="L70" s="2069" t="s">
        <v>7329</v>
      </c>
      <c r="M70" s="154" t="s">
        <v>7359</v>
      </c>
      <c r="N70" s="1423" t="s">
        <v>7469</v>
      </c>
      <c r="O70" s="2396" t="s">
        <v>7373</v>
      </c>
      <c r="P70" s="2416" t="s">
        <v>7442</v>
      </c>
      <c r="Q70" s="2214" t="s">
        <v>7394</v>
      </c>
      <c r="R70" s="2476"/>
      <c r="S70" s="2427" t="s">
        <v>4813</v>
      </c>
      <c r="T70" s="2472"/>
      <c r="U70" s="1330" t="s">
        <v>4909</v>
      </c>
      <c r="V70" s="2476"/>
      <c r="W70" s="2980">
        <v>1491000</v>
      </c>
      <c r="X70" s="2980">
        <f>999000*3</f>
        <v>2997000</v>
      </c>
      <c r="Y70" s="2476"/>
      <c r="Z70" s="2476"/>
      <c r="AA70" s="2685">
        <v>750000</v>
      </c>
      <c r="AB70" s="2476"/>
      <c r="AC70" s="2476"/>
      <c r="AD70" s="1339">
        <f t="shared" si="19"/>
        <v>5238000</v>
      </c>
      <c r="AE70" s="2476"/>
      <c r="AF70" s="1340">
        <f t="shared" si="13"/>
        <v>16686000.000000002</v>
      </c>
      <c r="AG70" s="1528">
        <f t="shared" si="14"/>
        <v>21924000</v>
      </c>
      <c r="AH70" s="2993"/>
      <c r="AI70" s="1433">
        <v>1</v>
      </c>
      <c r="AJ70" s="1433"/>
      <c r="AK70" s="1433">
        <v>1</v>
      </c>
      <c r="AL70" s="1433"/>
      <c r="AM70" s="2434"/>
      <c r="AN70" s="1433"/>
      <c r="AO70" s="1433"/>
      <c r="AP70" s="1433"/>
      <c r="AQ70" s="1433"/>
      <c r="AR70" s="1433"/>
      <c r="AS70" s="1433"/>
      <c r="AT70" s="1433"/>
      <c r="AU70" s="1426"/>
      <c r="AV70" s="1426"/>
      <c r="AW70" s="1426"/>
      <c r="AX70" s="1426"/>
      <c r="AY70" s="1426"/>
      <c r="AZ70" s="1426"/>
      <c r="BA70" s="1426"/>
      <c r="BB70" s="1426"/>
      <c r="BC70" s="1426"/>
      <c r="BD70" s="1426"/>
      <c r="BE70" s="1426"/>
    </row>
    <row r="71" spans="1:57" s="5" customFormat="1" ht="26.4">
      <c r="A71" s="326">
        <f t="shared" si="0"/>
        <v>5</v>
      </c>
      <c r="B71" s="656" t="s">
        <v>7444</v>
      </c>
      <c r="C71" s="166">
        <v>107622350730</v>
      </c>
      <c r="D71" s="386" t="s">
        <v>7373</v>
      </c>
      <c r="E71" s="117" t="s">
        <v>4401</v>
      </c>
      <c r="F71" s="2234" t="s">
        <v>7418</v>
      </c>
      <c r="G71" s="1642">
        <v>2</v>
      </c>
      <c r="H71" s="1642"/>
      <c r="I71" s="1642"/>
      <c r="J71" s="2453" t="s">
        <v>123</v>
      </c>
      <c r="K71" s="2069" t="s">
        <v>7406</v>
      </c>
      <c r="L71" s="2069" t="s">
        <v>7397</v>
      </c>
      <c r="M71" s="1492" t="s">
        <v>7405</v>
      </c>
      <c r="N71" s="2190" t="s">
        <v>7398</v>
      </c>
      <c r="O71" s="2396" t="s">
        <v>7421</v>
      </c>
      <c r="P71" s="2416" t="s">
        <v>7457</v>
      </c>
      <c r="Q71" s="1472"/>
      <c r="R71" s="577"/>
      <c r="S71" s="2427" t="s">
        <v>4813</v>
      </c>
      <c r="T71" s="2472"/>
      <c r="U71" s="1330" t="s">
        <v>7035</v>
      </c>
      <c r="V71" s="1526"/>
      <c r="W71" s="2980">
        <v>994000</v>
      </c>
      <c r="X71" s="2980">
        <v>1900000</v>
      </c>
      <c r="Y71" s="1526"/>
      <c r="Z71" s="1749"/>
      <c r="AA71" s="2685">
        <v>500000</v>
      </c>
      <c r="AB71" s="1526"/>
      <c r="AC71" s="1608"/>
      <c r="AD71" s="1339">
        <f t="shared" si="19"/>
        <v>3394000</v>
      </c>
      <c r="AE71" s="1591"/>
      <c r="AF71" s="1340">
        <f t="shared" ref="AF71" si="20">(((G71*3450000+H71*3550000+I71*AJ71)+(AI71*$AI$4*(G71+H71))+(AK71*$AK$4*(G71+H71))+(AL71*$AL$4*(G71+H71))+(AM71*$AM$4*(G71+H71))+(AN71*$AN$4*(G71+H71))+(AO71*$AO$4*(G71+H71))+(AP71*$AP$4)+(AQ71*$AQ$4*(G71+H71))+(AR71*$AR$4*(G71+H71))+(AS71*$AS$4)))*1.08</f>
        <v>11124000</v>
      </c>
      <c r="AG71" s="1528">
        <f t="shared" ref="AG71" si="21">+AD71+AF71</f>
        <v>14518000</v>
      </c>
      <c r="AH71" s="2993"/>
      <c r="AI71" s="1433">
        <v>1</v>
      </c>
      <c r="AJ71" s="1530"/>
      <c r="AK71" s="1433">
        <v>1</v>
      </c>
      <c r="AL71" s="1433"/>
      <c r="AM71" s="1433"/>
      <c r="AN71" s="1433"/>
      <c r="AO71" s="1433"/>
      <c r="AP71" s="1433"/>
      <c r="AQ71" s="1433"/>
      <c r="AR71" s="1433"/>
      <c r="AS71" s="1433"/>
      <c r="AT71" s="1433"/>
      <c r="AU71" s="1426"/>
      <c r="AV71" s="1426"/>
      <c r="AW71" s="1426"/>
      <c r="AX71" s="1426"/>
      <c r="AY71" s="1426"/>
      <c r="AZ71" s="1426"/>
      <c r="BA71" s="1426"/>
      <c r="BB71" s="1426"/>
      <c r="BC71" s="1426"/>
      <c r="BD71" s="1426"/>
      <c r="BE71" s="1426"/>
    </row>
    <row r="72" spans="1:57" s="5" customFormat="1" ht="26.4">
      <c r="A72" s="326">
        <f t="shared" ref="A72:A73" si="22">+A71+1</f>
        <v>6</v>
      </c>
      <c r="B72" s="2264" t="s">
        <v>7472</v>
      </c>
      <c r="C72" s="166">
        <v>107622876430</v>
      </c>
      <c r="D72" s="386" t="s">
        <v>7373</v>
      </c>
      <c r="E72" s="1151" t="s">
        <v>7034</v>
      </c>
      <c r="F72" s="2234" t="s">
        <v>7419</v>
      </c>
      <c r="G72" s="1642">
        <v>2</v>
      </c>
      <c r="H72" s="1642"/>
      <c r="I72" s="1642"/>
      <c r="J72" s="2453" t="s">
        <v>123</v>
      </c>
      <c r="K72" s="2069" t="s">
        <v>5089</v>
      </c>
      <c r="L72" s="2069" t="s">
        <v>7382</v>
      </c>
      <c r="M72" s="1492" t="s">
        <v>7407</v>
      </c>
      <c r="N72" s="2190" t="s">
        <v>7384</v>
      </c>
      <c r="O72" s="2396" t="s">
        <v>7441</v>
      </c>
      <c r="P72" s="2416" t="s">
        <v>7535</v>
      </c>
      <c r="Q72" s="2214"/>
      <c r="R72" s="577"/>
      <c r="S72" s="1672" t="s">
        <v>7051</v>
      </c>
      <c r="T72" s="1672"/>
      <c r="U72" s="1330" t="s">
        <v>4909</v>
      </c>
      <c r="V72" s="1527"/>
      <c r="W72" s="2980">
        <v>1588000</v>
      </c>
      <c r="X72" s="2980">
        <f>2000000+235000+285000</f>
        <v>2520000</v>
      </c>
      <c r="Y72" s="1526"/>
      <c r="Z72" s="1749"/>
      <c r="AA72" s="2685">
        <v>500000</v>
      </c>
      <c r="AB72" s="1526"/>
      <c r="AC72" s="1608"/>
      <c r="AD72" s="1339">
        <f t="shared" si="19"/>
        <v>4608000</v>
      </c>
      <c r="AE72" s="1591" t="s">
        <v>7417</v>
      </c>
      <c r="AF72" s="1340">
        <f t="shared" si="13"/>
        <v>13392000</v>
      </c>
      <c r="AG72" s="1528">
        <f t="shared" si="14"/>
        <v>18000000</v>
      </c>
      <c r="AH72" s="2993"/>
      <c r="AI72" s="1433">
        <v>1</v>
      </c>
      <c r="AJ72" s="1433"/>
      <c r="AK72" s="1433"/>
      <c r="AL72" s="1433">
        <v>1</v>
      </c>
      <c r="AM72" s="1433"/>
      <c r="AN72" s="1433">
        <v>1</v>
      </c>
      <c r="AO72" s="1433"/>
      <c r="AP72" s="1433">
        <v>1</v>
      </c>
      <c r="AQ72" s="1433"/>
      <c r="AR72" s="1433"/>
      <c r="AS72" s="1433"/>
      <c r="AT72" s="1433"/>
      <c r="AU72" s="1426"/>
      <c r="AV72" s="1426"/>
      <c r="AW72" s="1426"/>
      <c r="AX72" s="1426"/>
      <c r="AY72" s="1426"/>
      <c r="AZ72" s="1426"/>
      <c r="BA72" s="1426"/>
      <c r="BB72" s="1426"/>
      <c r="BC72" s="1426"/>
      <c r="BD72" s="1426"/>
      <c r="BE72" s="1426"/>
    </row>
    <row r="73" spans="1:57" s="5" customFormat="1" ht="52.8">
      <c r="A73" s="326">
        <f t="shared" si="22"/>
        <v>7</v>
      </c>
      <c r="B73" s="2264" t="s">
        <v>7557</v>
      </c>
      <c r="C73" s="3098">
        <v>107628656701</v>
      </c>
      <c r="D73" s="386" t="s">
        <v>7387</v>
      </c>
      <c r="E73" s="3015" t="s">
        <v>4444</v>
      </c>
      <c r="F73" s="2234" t="s">
        <v>7437</v>
      </c>
      <c r="G73" s="1642">
        <v>1</v>
      </c>
      <c r="H73" s="1642"/>
      <c r="I73" s="1642"/>
      <c r="J73" s="2774" t="s">
        <v>136</v>
      </c>
      <c r="K73" s="2069" t="s">
        <v>7509</v>
      </c>
      <c r="L73" s="2069" t="s">
        <v>7395</v>
      </c>
      <c r="M73" s="1492" t="s">
        <v>7435</v>
      </c>
      <c r="N73" s="2190" t="s">
        <v>7396</v>
      </c>
      <c r="O73" s="2396" t="s">
        <v>7444</v>
      </c>
      <c r="P73" s="2416" t="s">
        <v>6255</v>
      </c>
      <c r="Q73" s="1472"/>
      <c r="R73" s="577"/>
      <c r="S73" s="2427" t="s">
        <v>4813</v>
      </c>
      <c r="T73" s="2472"/>
      <c r="U73" s="1330" t="s">
        <v>7035</v>
      </c>
      <c r="V73" s="1526"/>
      <c r="W73" s="2980">
        <v>1594000</v>
      </c>
      <c r="X73" s="2980">
        <v>999000</v>
      </c>
      <c r="Y73" s="1526"/>
      <c r="Z73" s="1749"/>
      <c r="AA73" s="2685">
        <v>250000</v>
      </c>
      <c r="AB73" s="1526"/>
      <c r="AC73" s="1608"/>
      <c r="AD73" s="1339">
        <f t="shared" si="19"/>
        <v>2843000</v>
      </c>
      <c r="AE73" s="2172" t="s">
        <v>7547</v>
      </c>
      <c r="AF73" s="1340">
        <f>(((G73*3450000+H73*3550000+I73*AJ73)+(AI73*$AI$4*(G73+H73))+(AK73*$AK$4*(G73+H73))+(AL73*$AL$4*(G73+H73))+(AM73*$AM$4*(G73+H73))+(AN73*$AN$4*(G73+H73))+(AO73*$AO$4*(G73+H73))+(AP73*$AP$4)+(AQ73*$AQ$4*(G73+H73))+(AR73*$AR$4*(G73+H73))+(AS73*$AS$4)))*1.08+((2500000*1.03)*1.08)</f>
        <v>10395000</v>
      </c>
      <c r="AG73" s="1528">
        <f>+AD73+AF73</f>
        <v>13238000</v>
      </c>
      <c r="AH73" s="3017"/>
      <c r="AI73" s="1432">
        <v>1</v>
      </c>
      <c r="AJ73" s="1530"/>
      <c r="AK73" s="1433">
        <v>1</v>
      </c>
      <c r="AL73" s="1433"/>
      <c r="AM73" s="1433"/>
      <c r="AN73" s="1433"/>
      <c r="AO73" s="1433"/>
      <c r="AP73" s="1433"/>
      <c r="AQ73" s="1433">
        <v>1</v>
      </c>
      <c r="AR73" s="1433"/>
      <c r="AS73" s="1433">
        <v>1</v>
      </c>
      <c r="AT73" s="1433"/>
      <c r="AU73" s="1426"/>
      <c r="AV73" s="1426"/>
      <c r="AW73" s="1426"/>
      <c r="AX73" s="1426"/>
      <c r="AY73" s="1426"/>
      <c r="AZ73" s="1426"/>
      <c r="BA73" s="1426"/>
      <c r="BB73" s="1426"/>
      <c r="BC73" s="1426"/>
      <c r="BD73" s="1426"/>
      <c r="BE73" s="1426"/>
    </row>
    <row r="74" spans="1:57" s="5" customFormat="1" ht="39.6">
      <c r="A74" s="326">
        <f>+A73+1</f>
        <v>8</v>
      </c>
      <c r="B74" s="2264" t="s">
        <v>7558</v>
      </c>
      <c r="C74" s="166">
        <v>107653248510</v>
      </c>
      <c r="D74" s="386" t="s">
        <v>7508</v>
      </c>
      <c r="E74" s="117" t="s">
        <v>4401</v>
      </c>
      <c r="F74" s="348" t="s">
        <v>7595</v>
      </c>
      <c r="G74" s="167">
        <v>3</v>
      </c>
      <c r="H74" s="1642"/>
      <c r="I74" s="1642"/>
      <c r="J74" s="2453" t="s">
        <v>123</v>
      </c>
      <c r="K74" s="2069" t="s">
        <v>7552</v>
      </c>
      <c r="L74" s="2069" t="s">
        <v>7554</v>
      </c>
      <c r="M74" s="1492" t="s">
        <v>7551</v>
      </c>
      <c r="N74" s="2190" t="s">
        <v>7522</v>
      </c>
      <c r="O74" s="1516" t="s">
        <v>7508</v>
      </c>
      <c r="P74" s="2416" t="s">
        <v>7613</v>
      </c>
      <c r="Q74" s="2214" t="s">
        <v>7558</v>
      </c>
      <c r="R74" s="577"/>
      <c r="S74" s="2427" t="s">
        <v>4813</v>
      </c>
      <c r="T74" s="2472"/>
      <c r="U74" s="1330" t="s">
        <v>4909</v>
      </c>
      <c r="V74" s="1526"/>
      <c r="W74" s="2980">
        <v>1491000</v>
      </c>
      <c r="X74" s="2980">
        <f>870000*3</f>
        <v>2610000</v>
      </c>
      <c r="Y74" s="1526"/>
      <c r="Z74" s="1749"/>
      <c r="AA74" s="3048">
        <v>750000</v>
      </c>
      <c r="AB74" s="1526"/>
      <c r="AC74" s="1608"/>
      <c r="AD74" s="1339">
        <f t="shared" si="19"/>
        <v>4851000</v>
      </c>
      <c r="AE74" s="1785" t="s">
        <v>7651</v>
      </c>
      <c r="AF74" s="1340">
        <f>(((G74*3450000+H74*3550000+I74*AJ74)+(AI74*$AI$4*(G74+H74))+(AK74*$AK$4*(G74+H74))+(AL74*$AL$4*(G74+H74))+(AM74*$AM$4*(G74+H74))+(AN74*$AN$4*(G74+H74))+(AO74*$AO$4*(G74+H74))+(AP74*$AP$4)+(AQ74*$AQ$4*(G74+H74))+(AR74*$AR$4*(G74+H74))+(AS74*$AS$4)))*1.08</f>
        <v>16686000.000000002</v>
      </c>
      <c r="AG74" s="1528">
        <f>+AD74+AF74</f>
        <v>21537000</v>
      </c>
      <c r="AH74" s="3017"/>
      <c r="AI74" s="1432">
        <v>1</v>
      </c>
      <c r="AJ74" s="1433"/>
      <c r="AK74" s="1433">
        <v>1</v>
      </c>
      <c r="AL74" s="1433"/>
      <c r="AM74" s="1433"/>
      <c r="AN74" s="1433"/>
      <c r="AO74" s="1433"/>
      <c r="AP74" s="1433"/>
      <c r="AQ74" s="1433"/>
      <c r="AR74" s="1433"/>
      <c r="AS74" s="1433"/>
      <c r="AT74" s="1433"/>
      <c r="AU74" s="1426"/>
      <c r="AV74" s="1426"/>
      <c r="AW74" s="1426"/>
      <c r="AX74" s="1426"/>
      <c r="AY74" s="1426"/>
      <c r="AZ74" s="1426"/>
      <c r="BA74" s="1426"/>
      <c r="BB74" s="1426"/>
      <c r="BC74" s="1426"/>
      <c r="BD74" s="1426"/>
      <c r="BE74" s="1426"/>
    </row>
    <row r="75" spans="1:57" s="5" customFormat="1" ht="39.6">
      <c r="A75" s="326">
        <f>+A74+1</f>
        <v>9</v>
      </c>
      <c r="B75" s="3028" t="s">
        <v>7394</v>
      </c>
      <c r="C75" s="1915">
        <v>107653352220</v>
      </c>
      <c r="D75" s="386" t="s">
        <v>7508</v>
      </c>
      <c r="E75" s="117" t="s">
        <v>4401</v>
      </c>
      <c r="F75" s="348" t="s">
        <v>7596</v>
      </c>
      <c r="G75" s="167">
        <v>3</v>
      </c>
      <c r="H75" s="1642"/>
      <c r="I75" s="1642"/>
      <c r="J75" s="2453" t="s">
        <v>123</v>
      </c>
      <c r="K75" s="2069" t="s">
        <v>7555</v>
      </c>
      <c r="L75" s="2069" t="s">
        <v>7553</v>
      </c>
      <c r="M75" s="1492" t="s">
        <v>7556</v>
      </c>
      <c r="N75" s="2190" t="s">
        <v>7523</v>
      </c>
      <c r="O75" s="1516" t="s">
        <v>7508</v>
      </c>
      <c r="P75" s="2416" t="s">
        <v>7600</v>
      </c>
      <c r="Q75" s="2214" t="s">
        <v>7569</v>
      </c>
      <c r="R75" s="577"/>
      <c r="S75" s="2427" t="s">
        <v>4813</v>
      </c>
      <c r="T75" s="2472"/>
      <c r="U75" s="1330" t="s">
        <v>4909</v>
      </c>
      <c r="V75" s="1526"/>
      <c r="W75" s="2980">
        <v>1491000</v>
      </c>
      <c r="X75" s="2980">
        <v>3000000</v>
      </c>
      <c r="Y75" s="1526"/>
      <c r="Z75" s="1749"/>
      <c r="AA75" s="3048">
        <v>750000</v>
      </c>
      <c r="AB75" s="1526"/>
      <c r="AD75" s="1339">
        <f>SUM(V75:AB75)</f>
        <v>5241000</v>
      </c>
      <c r="AE75" s="1591"/>
      <c r="AF75" s="1340">
        <f>(((G75*3450000+H75*3550000+I75*AJ75)+(AI75*$AI$4*(G75+H75))+(AK75*$AK$4*(G75+H75))+(AL75*$AL$4*(G75+H75))+(AM75*$AM$4*(G75+H75))+(AN75*$AN$4*(G75+H75))+(AO75*$AO$4*(G75+H75))+(AP75*$AP$4)+(AQ75*$AQ$4*(G75+H75))+(AR75*$AR$4*(G75+H75))+(AS75*$AS$4)))*1.08</f>
        <v>16686000.000000002</v>
      </c>
      <c r="AG75" s="1528">
        <f>+AD75+AF75</f>
        <v>21927000</v>
      </c>
      <c r="AH75" s="1794"/>
      <c r="AI75" s="1432">
        <v>1</v>
      </c>
      <c r="AJ75" s="1530"/>
      <c r="AK75" s="1433">
        <v>1</v>
      </c>
      <c r="AL75" s="1433"/>
      <c r="AM75" s="1433"/>
      <c r="AN75" s="1433"/>
      <c r="AO75" s="1433"/>
      <c r="AP75" s="1433"/>
      <c r="AQ75" s="1433"/>
      <c r="AR75" s="1433"/>
      <c r="AS75" s="1433"/>
      <c r="AT75" s="1433"/>
      <c r="AU75" s="1426"/>
      <c r="AV75" s="1426"/>
      <c r="AW75" s="1426"/>
      <c r="AX75" s="1426"/>
      <c r="AY75" s="1426"/>
      <c r="AZ75" s="1426"/>
      <c r="BA75" s="1426"/>
      <c r="BB75" s="1426"/>
      <c r="BC75" s="1426"/>
      <c r="BD75" s="1426"/>
      <c r="BE75" s="1426"/>
    </row>
    <row r="76" spans="1:57" s="5" customFormat="1">
      <c r="A76" s="1515">
        <v>10</v>
      </c>
      <c r="B76" s="3021"/>
      <c r="C76" s="1242">
        <v>107657809010</v>
      </c>
      <c r="D76" s="1520" t="s">
        <v>7550</v>
      </c>
      <c r="E76" s="1805"/>
      <c r="F76" s="2234" t="s">
        <v>7616</v>
      </c>
      <c r="G76" s="3275" t="s">
        <v>4450</v>
      </c>
      <c r="H76" s="3275"/>
      <c r="I76" s="3275"/>
      <c r="J76" s="3022"/>
      <c r="K76" s="2069"/>
      <c r="L76" s="2069" t="s">
        <v>7614</v>
      </c>
      <c r="M76" s="1492" t="s">
        <v>7615</v>
      </c>
      <c r="N76" s="2190"/>
      <c r="O76" s="2396"/>
      <c r="P76" s="2416"/>
      <c r="Q76" s="2214"/>
      <c r="R76" s="577"/>
      <c r="S76" s="2472"/>
      <c r="T76" s="2472"/>
      <c r="U76" s="1950"/>
      <c r="V76" s="2556"/>
      <c r="W76" s="2052"/>
      <c r="X76" s="3023"/>
      <c r="Y76" s="2052"/>
      <c r="Z76" s="2053"/>
      <c r="AA76" s="2053"/>
      <c r="AB76" s="2556"/>
      <c r="AC76" s="1527"/>
      <c r="AD76" s="1339"/>
      <c r="AE76" s="2557"/>
      <c r="AF76" s="1340">
        <f>800000*1.08</f>
        <v>864000</v>
      </c>
      <c r="AG76" s="1528">
        <f>+AD76+AF76</f>
        <v>864000</v>
      </c>
      <c r="AH76" s="2560"/>
      <c r="AI76" s="2473"/>
      <c r="AJ76" s="2474"/>
      <c r="AK76" s="2475"/>
      <c r="AL76" s="2475"/>
      <c r="AM76" s="2475"/>
      <c r="AN76" s="2475"/>
      <c r="AO76" s="2475"/>
      <c r="AP76" s="2475"/>
      <c r="AQ76" s="2475"/>
      <c r="AR76" s="2475"/>
      <c r="AS76" s="1433"/>
      <c r="AT76" s="1433"/>
      <c r="AU76" s="1426"/>
      <c r="AV76" s="1426"/>
      <c r="AW76" s="1426"/>
      <c r="AX76" s="1426"/>
      <c r="AY76" s="1426"/>
      <c r="AZ76" s="1426"/>
      <c r="BA76" s="1426"/>
      <c r="BB76" s="1426"/>
      <c r="BC76" s="1426"/>
      <c r="BD76" s="1426"/>
      <c r="BE76" s="1426"/>
    </row>
    <row r="77" spans="1:57" ht="15.6">
      <c r="A77" s="3668" t="s">
        <v>7545</v>
      </c>
      <c r="B77" s="3668"/>
      <c r="C77" s="3668"/>
      <c r="D77" s="3668"/>
      <c r="E77" s="3668"/>
      <c r="F77" s="3668"/>
      <c r="G77" s="3668"/>
      <c r="H77" s="3668"/>
      <c r="I77" s="3668"/>
      <c r="J77" s="3668"/>
      <c r="K77" s="3668"/>
      <c r="L77" s="3668"/>
      <c r="M77" s="3668"/>
      <c r="N77" s="3668"/>
      <c r="O77" s="2395"/>
      <c r="P77" s="2412"/>
      <c r="Q77" s="2398"/>
      <c r="R77" s="1773"/>
      <c r="S77" s="1774"/>
      <c r="T77" s="3210"/>
      <c r="U77" s="1775"/>
      <c r="V77" s="1776"/>
      <c r="W77" s="1777"/>
      <c r="X77" s="1777"/>
      <c r="Y77" s="1777"/>
      <c r="Z77" s="1778"/>
      <c r="AA77" s="1778"/>
      <c r="AB77" s="1777"/>
      <c r="AC77" s="2307"/>
      <c r="AD77" s="1781">
        <f>SUM(AD68:AD75)</f>
        <v>36567000</v>
      </c>
      <c r="AE77" s="2026"/>
      <c r="AF77" s="1781">
        <f>SUM(AF67:AF76)</f>
        <v>143073000</v>
      </c>
      <c r="AG77" s="1781">
        <f>SUM(AG68:AG75)</f>
        <v>156528000</v>
      </c>
      <c r="AH77" s="1781"/>
      <c r="AI77" s="1429"/>
      <c r="AJ77" s="1430"/>
      <c r="AK77" s="2024"/>
      <c r="AL77" s="1782"/>
      <c r="AM77" s="1782"/>
      <c r="AN77" s="1782"/>
      <c r="AO77" s="1782"/>
      <c r="AP77" s="1782"/>
      <c r="AQ77" s="1782"/>
      <c r="AR77" s="1782"/>
      <c r="AS77" s="1433"/>
      <c r="AT77" s="1433"/>
    </row>
    <row r="78" spans="1:57" s="5" customFormat="1" ht="39.6">
      <c r="A78" s="326">
        <v>1</v>
      </c>
      <c r="B78" s="656" t="s">
        <v>7464</v>
      </c>
      <c r="C78" s="3098">
        <v>107652950420</v>
      </c>
      <c r="D78" s="386" t="s">
        <v>7508</v>
      </c>
      <c r="E78" s="3015" t="s">
        <v>7034</v>
      </c>
      <c r="F78" s="348" t="s">
        <v>7688</v>
      </c>
      <c r="G78" s="167">
        <v>1</v>
      </c>
      <c r="H78" s="1642"/>
      <c r="I78" s="1642"/>
      <c r="J78" s="2453" t="s">
        <v>123</v>
      </c>
      <c r="K78" s="2069" t="s">
        <v>7549</v>
      </c>
      <c r="L78" s="2069" t="s">
        <v>7383</v>
      </c>
      <c r="M78" s="1492" t="s">
        <v>7548</v>
      </c>
      <c r="N78" s="2625" t="s">
        <v>7525</v>
      </c>
      <c r="O78" s="1516" t="s">
        <v>7508</v>
      </c>
      <c r="P78" s="2416" t="s">
        <v>5972</v>
      </c>
      <c r="Q78" s="2214" t="s">
        <v>7558</v>
      </c>
      <c r="R78" s="577"/>
      <c r="S78" s="2427" t="s">
        <v>4813</v>
      </c>
      <c r="T78" s="2472"/>
      <c r="U78" s="1330" t="s">
        <v>7035</v>
      </c>
      <c r="V78" s="1337"/>
      <c r="W78" s="3094">
        <v>1197000</v>
      </c>
      <c r="X78" s="3093">
        <v>870000</v>
      </c>
      <c r="Y78" s="1526"/>
      <c r="Z78" s="1749"/>
      <c r="AA78" s="2685">
        <v>250000</v>
      </c>
      <c r="AB78" s="3094">
        <v>165000</v>
      </c>
      <c r="AC78" s="1608"/>
      <c r="AD78" s="1339">
        <f t="shared" ref="AD78:AD88" si="23">SUM(V78:AC78)</f>
        <v>2482000</v>
      </c>
      <c r="AE78" s="2172" t="s">
        <v>7570</v>
      </c>
      <c r="AF78" s="1340">
        <f>(((G78*3450000+H78*3550000+I78*AJ78)+(AI78*$AI$4*(G78+H78))+(AK78*$AK$4*(G78+H78))+(AL78*$AL$4*(G78+H78))+(AM78*$AM$4*(G78+H78))+(AN78*$AN$4*(G78+H78))+(AO78*$AO$4*(G78+H78))+(AP78*$AP$4)+(AQ78*$AQ$4*(G78+H78))+(AR78*$AR$4*(G78+H78))+(AS78*$AS$4)))*1.08</f>
        <v>7182000.0000000009</v>
      </c>
      <c r="AG78" s="1528">
        <f t="shared" ref="AG78:AG79" si="24">+AD78+AF78</f>
        <v>9664000</v>
      </c>
      <c r="AH78" s="1794"/>
      <c r="AI78" s="1432">
        <v>1</v>
      </c>
      <c r="AJ78" s="1530"/>
      <c r="AK78" s="1433">
        <v>1</v>
      </c>
      <c r="AL78" s="1433"/>
      <c r="AM78" s="1433"/>
      <c r="AN78" s="1433"/>
      <c r="AO78" s="1433"/>
      <c r="AP78" s="1433"/>
      <c r="AQ78" s="1433"/>
      <c r="AR78" s="1433"/>
      <c r="AS78" s="1433">
        <v>1</v>
      </c>
      <c r="AT78" s="1433"/>
      <c r="AU78" s="1426"/>
      <c r="AV78" s="1426"/>
      <c r="AW78" s="1426"/>
      <c r="AX78" s="1426"/>
      <c r="AY78" s="1426"/>
      <c r="AZ78" s="1426"/>
      <c r="BA78" s="1426"/>
      <c r="BB78" s="1426"/>
      <c r="BC78" s="1426"/>
      <c r="BD78" s="1426"/>
      <c r="BE78" s="1426"/>
    </row>
    <row r="79" spans="1:57" s="5" customFormat="1" ht="52.8">
      <c r="A79" s="326">
        <f>+A78+1</f>
        <v>2</v>
      </c>
      <c r="B79" s="2264" t="s">
        <v>7720</v>
      </c>
      <c r="C79" s="3098">
        <v>107654261301</v>
      </c>
      <c r="D79" s="386" t="s">
        <v>7508</v>
      </c>
      <c r="E79" s="3015" t="s">
        <v>4444</v>
      </c>
      <c r="F79" s="348" t="s">
        <v>7689</v>
      </c>
      <c r="G79" s="1642">
        <v>3</v>
      </c>
      <c r="H79" s="1642"/>
      <c r="I79" s="1642"/>
      <c r="J79" s="2774" t="s">
        <v>136</v>
      </c>
      <c r="K79" s="2069" t="s">
        <v>7568</v>
      </c>
      <c r="L79" s="2069" t="s">
        <v>7566</v>
      </c>
      <c r="M79" s="1492" t="s">
        <v>7567</v>
      </c>
      <c r="N79" s="2190" t="s">
        <v>7524</v>
      </c>
      <c r="O79" s="1516" t="s">
        <v>7508</v>
      </c>
      <c r="P79" s="2416" t="s">
        <v>7743</v>
      </c>
      <c r="Q79" s="2214" t="s">
        <v>7702</v>
      </c>
      <c r="R79" s="577"/>
      <c r="S79" s="2427" t="s">
        <v>4813</v>
      </c>
      <c r="T79" s="2472"/>
      <c r="U79" s="1330" t="s">
        <v>7035</v>
      </c>
      <c r="V79" s="3094">
        <f>1620000+429000</f>
        <v>2049000</v>
      </c>
      <c r="W79" s="3094">
        <v>3591000</v>
      </c>
      <c r="X79" s="3093">
        <f>1000000+(870000*2)</f>
        <v>2740000</v>
      </c>
      <c r="Y79" s="1526"/>
      <c r="Z79" s="1749"/>
      <c r="AA79" s="1416">
        <v>750000</v>
      </c>
      <c r="AB79" s="3094">
        <f>495000+852000</f>
        <v>1347000</v>
      </c>
      <c r="AC79" s="1608"/>
      <c r="AD79" s="1339">
        <f t="shared" si="23"/>
        <v>10477000</v>
      </c>
      <c r="AE79" s="2172" t="s">
        <v>7710</v>
      </c>
      <c r="AF79" s="1340">
        <f>(((G79*3450000+H79*3550000+I79*AJ79)+(AI79*$AI$4*(G79+H79))+(AK79*$AK$4*(G79+H79))+(AL79*$AL$4*(G79+H79))+(AM79*$AM$4*(G79+H79))+(AN79*$AN$4*(G79+H79))+(AO79*$AO$4*(G79+H79))+(AP79*$AP$4)+(AQ79*$AQ$4*(G79+H79))+(AR79*$AR$4*(G79+H79))+(AS79*$AS$4)))*1.08+(9000000*1.03*1.08)</f>
        <v>29613600</v>
      </c>
      <c r="AG79" s="1528">
        <f t="shared" si="24"/>
        <v>40090600</v>
      </c>
      <c r="AH79" s="3017"/>
      <c r="AI79" s="1432">
        <v>1</v>
      </c>
      <c r="AJ79" s="1530"/>
      <c r="AK79" s="1433">
        <v>1</v>
      </c>
      <c r="AL79" s="1433"/>
      <c r="AM79" s="1433"/>
      <c r="AN79" s="1433"/>
      <c r="AO79" s="1433"/>
      <c r="AP79" s="1433"/>
      <c r="AQ79" s="1433">
        <v>1</v>
      </c>
      <c r="AR79" s="1433"/>
      <c r="AS79" s="1433">
        <v>1</v>
      </c>
      <c r="AT79" s="1433"/>
      <c r="AU79" s="1426"/>
      <c r="AV79" s="1426"/>
      <c r="AW79" s="1426"/>
      <c r="AX79" s="1426"/>
      <c r="AY79" s="1426"/>
      <c r="AZ79" s="1426"/>
      <c r="BA79" s="1426"/>
      <c r="BB79" s="1426"/>
      <c r="BC79" s="1426"/>
      <c r="BD79" s="1426"/>
      <c r="BE79" s="1426"/>
    </row>
    <row r="80" spans="1:57" s="5" customFormat="1" ht="52.8">
      <c r="A80" s="326">
        <f t="shared" ref="A80:A96" si="25">+A79+1</f>
        <v>3</v>
      </c>
      <c r="B80" s="2264" t="s">
        <v>7716</v>
      </c>
      <c r="C80" s="166">
        <v>107655766960</v>
      </c>
      <c r="D80" s="386" t="s">
        <v>7464</v>
      </c>
      <c r="E80" s="117" t="s">
        <v>4401</v>
      </c>
      <c r="F80" s="2234" t="s">
        <v>7703</v>
      </c>
      <c r="G80" s="1642">
        <v>4</v>
      </c>
      <c r="H80" s="1642"/>
      <c r="I80" s="1642"/>
      <c r="J80" s="2453" t="s">
        <v>123</v>
      </c>
      <c r="K80" s="2069" t="s">
        <v>7668</v>
      </c>
      <c r="L80" s="2069" t="s">
        <v>7515</v>
      </c>
      <c r="M80" s="1492" t="s">
        <v>7669</v>
      </c>
      <c r="N80" s="2190" t="s">
        <v>7516</v>
      </c>
      <c r="O80" s="1516" t="s">
        <v>7690</v>
      </c>
      <c r="P80" s="2416" t="s">
        <v>7853</v>
      </c>
      <c r="Q80" s="2214" t="s">
        <v>7711</v>
      </c>
      <c r="R80" s="577"/>
      <c r="S80" s="2427" t="s">
        <v>4813</v>
      </c>
      <c r="T80" s="2472"/>
      <c r="U80" s="1330" t="s">
        <v>4909</v>
      </c>
      <c r="V80" s="3094">
        <v>350000</v>
      </c>
      <c r="W80" s="3094">
        <v>1988000</v>
      </c>
      <c r="X80" s="3093">
        <f>999000*4</f>
        <v>3996000</v>
      </c>
      <c r="Y80" s="1526"/>
      <c r="Z80" s="1749"/>
      <c r="AA80" s="2685">
        <v>1000000</v>
      </c>
      <c r="AB80" s="1526"/>
      <c r="AC80" s="1608"/>
      <c r="AD80" s="1339">
        <f t="shared" si="23"/>
        <v>7334000</v>
      </c>
      <c r="AE80" s="1591"/>
      <c r="AF80" s="1340">
        <f>(((G80*3450000+H80*3550000+I80*AJ80)+(AI80*$AI$4*(G80+H80))+(AK80*$AK$4*(G80+H80))+(AL80*$AL$4*(G80+H80))+(AM80*$AM$4*(G80+H80))+(AN80*$AN$4*(G80+H80))+(AO80*$AO$4*(G80+H80))+(AP80*$AP$4)+(AQ80*$AQ$4*(G80+H80))+(AR80*$AR$4*(G80+H80))+(AS80*$AS$4)))*1.08</f>
        <v>22248000</v>
      </c>
      <c r="AG80" s="1528">
        <f t="shared" ref="AG80:AG85" si="26">+AD80+AF80</f>
        <v>29582000</v>
      </c>
      <c r="AH80" s="3017"/>
      <c r="AI80" s="1432">
        <v>1</v>
      </c>
      <c r="AJ80" s="1530"/>
      <c r="AK80" s="1433">
        <v>1</v>
      </c>
      <c r="AL80" s="1433"/>
      <c r="AM80" s="1433"/>
      <c r="AN80" s="1433"/>
      <c r="AO80" s="1433"/>
      <c r="AP80" s="1433"/>
      <c r="AQ80" s="1433"/>
      <c r="AR80" s="1433"/>
      <c r="AS80" s="1433"/>
      <c r="AT80" s="1433"/>
      <c r="AU80" s="1426"/>
      <c r="AV80" s="1426"/>
      <c r="AW80" s="1426"/>
      <c r="AX80" s="1426"/>
      <c r="AY80" s="1426"/>
      <c r="AZ80" s="1426"/>
      <c r="BA80" s="1426"/>
      <c r="BB80" s="1426"/>
      <c r="BC80" s="1426"/>
      <c r="BD80" s="1426"/>
      <c r="BE80" s="1426"/>
    </row>
    <row r="81" spans="1:57" s="5" customFormat="1" ht="39" customHeight="1">
      <c r="A81" s="326">
        <f t="shared" si="25"/>
        <v>4</v>
      </c>
      <c r="B81" s="2264" t="s">
        <v>7758</v>
      </c>
      <c r="C81" s="3098">
        <v>107673095720</v>
      </c>
      <c r="D81" s="386" t="s">
        <v>7464</v>
      </c>
      <c r="E81" s="3015" t="s">
        <v>7034</v>
      </c>
      <c r="F81" s="348" t="s">
        <v>7790</v>
      </c>
      <c r="G81" s="1642">
        <v>1</v>
      </c>
      <c r="H81" s="1642"/>
      <c r="I81" s="1642"/>
      <c r="J81" s="2453" t="s">
        <v>123</v>
      </c>
      <c r="K81" s="2069" t="s">
        <v>7549</v>
      </c>
      <c r="L81" s="2069" t="s">
        <v>7513</v>
      </c>
      <c r="M81" s="1492" t="s">
        <v>7667</v>
      </c>
      <c r="N81" s="1913" t="s">
        <v>7517</v>
      </c>
      <c r="O81" s="1516" t="s">
        <v>7690</v>
      </c>
      <c r="P81" s="2416" t="s">
        <v>7780</v>
      </c>
      <c r="Q81" s="2214" t="s">
        <v>7711</v>
      </c>
      <c r="R81" s="577"/>
      <c r="S81" s="2427" t="s">
        <v>4813</v>
      </c>
      <c r="T81" s="2472"/>
      <c r="U81" s="1330" t="s">
        <v>7035</v>
      </c>
      <c r="V81" s="1526"/>
      <c r="W81" s="3094">
        <v>847000</v>
      </c>
      <c r="X81" s="3093">
        <v>999000</v>
      </c>
      <c r="Y81" s="1526"/>
      <c r="Z81" s="1749"/>
      <c r="AA81" s="2685">
        <v>250000</v>
      </c>
      <c r="AB81" s="1526"/>
      <c r="AC81" s="1608"/>
      <c r="AD81" s="1339">
        <f t="shared" si="23"/>
        <v>2096000</v>
      </c>
      <c r="AE81" s="2172" t="s">
        <v>7570</v>
      </c>
      <c r="AF81" s="1340">
        <f t="shared" ref="AF81:AF85" si="27">(((G81*3450000+H81*3550000+I81*AJ81)+(AI81*$AI$4*(G81+H81))+(AK81*$AK$4*(G81+H81))+(AL81*$AL$4*(G81+H81))+(AM81*$AM$4*(G81+H81))+(AN81*$AN$4*(G81+H81))+(AO81*$AO$4*(G81+H81))+(AP81*$AP$4)+(AQ81*$AQ$4*(G81+H81))+(AR81*$AR$4*(G81+H81))+(AS81*$AS$4)))*1.08</f>
        <v>7182000.0000000009</v>
      </c>
      <c r="AG81" s="1528">
        <f t="shared" si="26"/>
        <v>9278000</v>
      </c>
      <c r="AH81" s="3017"/>
      <c r="AI81" s="1432">
        <v>1</v>
      </c>
      <c r="AJ81" s="1530"/>
      <c r="AK81" s="1433">
        <v>1</v>
      </c>
      <c r="AL81" s="1433"/>
      <c r="AM81" s="1433"/>
      <c r="AN81" s="1433"/>
      <c r="AO81" s="1433"/>
      <c r="AP81" s="1433"/>
      <c r="AQ81" s="1433"/>
      <c r="AR81" s="1433"/>
      <c r="AS81" s="1433">
        <v>1</v>
      </c>
      <c r="AT81" s="1433"/>
      <c r="AU81" s="1426"/>
      <c r="AV81" s="1426"/>
      <c r="AW81" s="1426"/>
      <c r="AX81" s="1426"/>
      <c r="AY81" s="1426"/>
      <c r="AZ81" s="1426"/>
      <c r="BA81" s="1426"/>
      <c r="BB81" s="1426"/>
      <c r="BC81" s="1426"/>
      <c r="BD81" s="1426"/>
      <c r="BE81" s="1426"/>
    </row>
    <row r="82" spans="1:57" s="5" customFormat="1" ht="26.4">
      <c r="A82" s="326">
        <f t="shared" si="25"/>
        <v>5</v>
      </c>
      <c r="B82" s="2264" t="s">
        <v>7742</v>
      </c>
      <c r="C82" s="166">
        <v>107685948310</v>
      </c>
      <c r="D82" s="386" t="s">
        <v>7700</v>
      </c>
      <c r="E82" s="117" t="s">
        <v>4401</v>
      </c>
      <c r="F82" s="348" t="s">
        <v>7749</v>
      </c>
      <c r="G82" s="1642">
        <v>1</v>
      </c>
      <c r="H82" s="1642"/>
      <c r="I82" s="1642"/>
      <c r="J82" s="2453" t="s">
        <v>123</v>
      </c>
      <c r="K82" s="2069" t="s">
        <v>6675</v>
      </c>
      <c r="L82" s="795" t="s">
        <v>7520</v>
      </c>
      <c r="M82" s="1492" t="s">
        <v>7715</v>
      </c>
      <c r="N82" s="1913" t="s">
        <v>7521</v>
      </c>
      <c r="O82" s="1516" t="s">
        <v>7690</v>
      </c>
      <c r="P82" s="2416" t="s">
        <v>5972</v>
      </c>
      <c r="Q82" s="2214" t="s">
        <v>7711</v>
      </c>
      <c r="R82" s="577"/>
      <c r="S82" s="2427" t="s">
        <v>4813</v>
      </c>
      <c r="T82" s="2472"/>
      <c r="U82" s="1330" t="s">
        <v>4909</v>
      </c>
      <c r="V82" s="1526"/>
      <c r="W82" s="3094">
        <v>847000</v>
      </c>
      <c r="X82" s="3094">
        <v>1000000</v>
      </c>
      <c r="Y82" s="1526"/>
      <c r="Z82" s="1749"/>
      <c r="AA82" s="2685">
        <v>250000</v>
      </c>
      <c r="AB82" s="1526"/>
      <c r="AC82" s="1608"/>
      <c r="AD82" s="1339">
        <f t="shared" ref="AD82" si="28">SUM(V82:AC82)</f>
        <v>2097000</v>
      </c>
      <c r="AE82" s="1591"/>
      <c r="AF82" s="1340">
        <f t="shared" ref="AF82" si="29">(((G82*3450000+H82*3550000+I82*AJ82)+(AI82*$AI$4*(G82+H82))+(AK82*$AK$4*(G82+H82))+(AL82*$AL$4*(G82+H82))+(AM82*$AM$4*(G82+H82))+(AN82*$AN$4*(G82+H82))+(AO82*$AO$4*(G82+H82))+(AP82*$AP$4)+(AQ82*$AQ$4*(G82+H82))+(AR82*$AR$4*(G82+H82))+(AS82*$AS$4)))*1.08</f>
        <v>5562000</v>
      </c>
      <c r="AG82" s="1528">
        <f t="shared" ref="AG82" si="30">+AD82+AF82</f>
        <v>7659000</v>
      </c>
      <c r="AH82" s="3017"/>
      <c r="AI82" s="1432">
        <v>1</v>
      </c>
      <c r="AJ82" s="1530"/>
      <c r="AK82" s="1433">
        <v>1</v>
      </c>
      <c r="AL82" s="1433"/>
      <c r="AM82" s="1433"/>
      <c r="AN82" s="1433"/>
      <c r="AO82" s="1433"/>
      <c r="AP82" s="1433"/>
      <c r="AQ82" s="1433"/>
      <c r="AR82" s="1433"/>
      <c r="AS82" s="1433"/>
      <c r="AT82" s="1433"/>
      <c r="AU82" s="1426"/>
      <c r="AV82" s="1426"/>
      <c r="AW82" s="1426"/>
      <c r="AX82" s="1426"/>
      <c r="AY82" s="1426"/>
      <c r="AZ82" s="1426"/>
      <c r="BA82" s="1426"/>
      <c r="BB82" s="1426"/>
      <c r="BC82" s="1426"/>
      <c r="BD82" s="1426"/>
      <c r="BE82" s="1426"/>
    </row>
    <row r="83" spans="1:57" s="5" customFormat="1" ht="66">
      <c r="A83" s="326">
        <f t="shared" si="25"/>
        <v>6</v>
      </c>
      <c r="B83" s="2264" t="s">
        <v>7783</v>
      </c>
      <c r="C83" s="166">
        <v>107685962530</v>
      </c>
      <c r="D83" s="386" t="s">
        <v>7700</v>
      </c>
      <c r="E83" s="117" t="s">
        <v>4401</v>
      </c>
      <c r="F83" s="348" t="s">
        <v>7791</v>
      </c>
      <c r="G83" s="1642">
        <v>5</v>
      </c>
      <c r="H83" s="1642"/>
      <c r="I83" s="1642"/>
      <c r="J83" s="2453" t="s">
        <v>123</v>
      </c>
      <c r="K83" s="2069" t="s">
        <v>7719</v>
      </c>
      <c r="L83" s="795" t="s">
        <v>7518</v>
      </c>
      <c r="M83" s="1492" t="s">
        <v>7718</v>
      </c>
      <c r="N83" s="3013" t="s">
        <v>7519</v>
      </c>
      <c r="O83" s="740" t="s">
        <v>7742</v>
      </c>
      <c r="P83" s="2416" t="s">
        <v>7799</v>
      </c>
      <c r="Q83" s="2214" t="s">
        <v>7784</v>
      </c>
      <c r="R83" s="577"/>
      <c r="S83" s="2427" t="s">
        <v>4813</v>
      </c>
      <c r="T83" s="2472"/>
      <c r="U83" s="1330" t="s">
        <v>4909</v>
      </c>
      <c r="V83" s="1527"/>
      <c r="W83" s="3094">
        <v>2485000</v>
      </c>
      <c r="X83" s="3095">
        <f>999000*4+850000</f>
        <v>4846000</v>
      </c>
      <c r="Y83" s="1527"/>
      <c r="Z83" s="2450"/>
      <c r="AA83" s="1415">
        <v>1250000</v>
      </c>
      <c r="AB83" s="1527"/>
      <c r="AC83" s="1527"/>
      <c r="AD83" s="1339">
        <f>SUM(V83:AC83)</f>
        <v>8581000</v>
      </c>
      <c r="AE83" s="1789"/>
      <c r="AF83" s="1340">
        <f>(((G83*3450000+H83*3550000+I83*AJ83)+(AI83*$AI$4*(G83+H83))+(AK83*$AK$4*(G83+H83))+(AL83*$AL$4*(G83+H83))+(AM83*$AM$4*(G83+H83))+(AN83*$AN$4*(G83+H83))+(AO83*$AO$4*(G83+H83))+(AP83*$AP$4)+(AQ83*$AQ$4*(G83+H83))+(AR83*$AR$4*(G83+H83))+(AS83*$AS$4)))*1.08</f>
        <v>27810000</v>
      </c>
      <c r="AG83" s="1528">
        <f>+AD83+AF83</f>
        <v>36391000</v>
      </c>
      <c r="AH83" s="3017"/>
      <c r="AI83" s="1432">
        <v>1</v>
      </c>
      <c r="AJ83" s="1530"/>
      <c r="AK83" s="1433">
        <v>1</v>
      </c>
      <c r="AL83" s="1433"/>
      <c r="AM83" s="1433"/>
      <c r="AN83" s="1433"/>
      <c r="AO83" s="1433"/>
      <c r="AP83" s="1433"/>
      <c r="AQ83" s="1433"/>
      <c r="AR83" s="1433"/>
      <c r="AS83" s="1433"/>
      <c r="AT83" s="1433"/>
      <c r="AU83" s="1426"/>
      <c r="AV83" s="1426"/>
      <c r="AW83" s="1426"/>
      <c r="AX83" s="1426"/>
      <c r="AY83" s="1426"/>
      <c r="AZ83" s="1426"/>
      <c r="BA83" s="1426"/>
      <c r="BB83" s="1426"/>
      <c r="BC83" s="1426"/>
      <c r="BD83" s="1426"/>
      <c r="BE83" s="1426"/>
    </row>
    <row r="84" spans="1:57" s="5" customFormat="1" ht="52.8">
      <c r="A84" s="326">
        <f t="shared" si="25"/>
        <v>7</v>
      </c>
      <c r="B84" s="2264" t="s">
        <v>7773</v>
      </c>
      <c r="C84" s="166">
        <v>107688672120</v>
      </c>
      <c r="D84" s="386" t="s">
        <v>7720</v>
      </c>
      <c r="E84" s="117" t="s">
        <v>4858</v>
      </c>
      <c r="F84" s="348" t="s">
        <v>7768</v>
      </c>
      <c r="G84" s="1642">
        <v>4</v>
      </c>
      <c r="H84" s="1642"/>
      <c r="I84" s="1642"/>
      <c r="J84" s="2453" t="s">
        <v>123</v>
      </c>
      <c r="K84" s="2069" t="s">
        <v>7732</v>
      </c>
      <c r="L84" s="2069" t="s">
        <v>7737</v>
      </c>
      <c r="M84" s="1492" t="s">
        <v>7731</v>
      </c>
      <c r="N84" s="2190" t="s">
        <v>7648</v>
      </c>
      <c r="O84" s="1516" t="s">
        <v>7680</v>
      </c>
      <c r="P84" s="2416" t="s">
        <v>7800</v>
      </c>
      <c r="Q84" s="2214" t="s">
        <v>7631</v>
      </c>
      <c r="R84" s="577"/>
      <c r="S84" s="3070" t="s">
        <v>2947</v>
      </c>
      <c r="T84" s="2050"/>
      <c r="U84" s="1330" t="s">
        <v>4909</v>
      </c>
      <c r="V84" s="1526"/>
      <c r="W84" s="3094">
        <f>401000*4</f>
        <v>1604000</v>
      </c>
      <c r="X84" s="3093">
        <f>1000000*4</f>
        <v>4000000</v>
      </c>
      <c r="Y84" s="1526"/>
      <c r="Z84" s="1749"/>
      <c r="AA84" s="2685">
        <v>1000000</v>
      </c>
      <c r="AB84" s="1526"/>
      <c r="AC84" s="1608"/>
      <c r="AD84" s="1339">
        <f>SUM(V84:AC84)</f>
        <v>6604000</v>
      </c>
      <c r="AE84" s="1591"/>
      <c r="AF84" s="1340">
        <f>(((G84*3450000+H84*3550000+I84*AJ84)+(AI84*$AI$4*(G84+H84))+(AK84*$AK$4*(G84+H84))+(AL84*$AL$4*(G84+H84))+(AM84*$AM$4*(G84+H84))+(AN84*$AN$4*(G84+H84))+(AO84*$AO$4*(G84+H84))+(AP84*$AP$4)+(AQ84*$AQ$4*(G84+H84))+(AR84*$AR$4*(G84+H84))+(AS84*$AS$4)))*1.08</f>
        <v>23371200</v>
      </c>
      <c r="AG84" s="1528">
        <f>+AD84+AF84</f>
        <v>29975200</v>
      </c>
      <c r="AH84" s="3017"/>
      <c r="AI84" s="1432">
        <v>1</v>
      </c>
      <c r="AJ84" s="1530"/>
      <c r="AK84" s="1433">
        <v>1</v>
      </c>
      <c r="AL84" s="1433"/>
      <c r="AM84" s="1433"/>
      <c r="AN84" s="1433"/>
      <c r="AO84" s="1433">
        <v>1</v>
      </c>
      <c r="AP84" s="1433"/>
      <c r="AQ84" s="1433"/>
      <c r="AR84" s="1433"/>
      <c r="AS84" s="1433"/>
      <c r="AT84" s="1433"/>
      <c r="AU84" s="1426"/>
      <c r="AV84" s="1426"/>
      <c r="AW84" s="1426"/>
      <c r="AX84" s="1426"/>
      <c r="AY84" s="1426"/>
      <c r="AZ84" s="1426"/>
      <c r="BA84" s="1426"/>
      <c r="BB84" s="1426"/>
      <c r="BC84" s="1426"/>
      <c r="BD84" s="1426"/>
      <c r="BE84" s="1426"/>
    </row>
    <row r="85" spans="1:57" s="5" customFormat="1" ht="39.6">
      <c r="A85" s="326">
        <f t="shared" si="25"/>
        <v>8</v>
      </c>
      <c r="B85" s="2264" t="s">
        <v>7711</v>
      </c>
      <c r="C85" s="3098">
        <v>107695577361</v>
      </c>
      <c r="D85" s="386" t="s">
        <v>7742</v>
      </c>
      <c r="E85" s="3015" t="s">
        <v>4444</v>
      </c>
      <c r="F85" s="3060" t="s">
        <v>7807</v>
      </c>
      <c r="G85" s="1642">
        <v>2</v>
      </c>
      <c r="H85" s="1642"/>
      <c r="I85" s="1642"/>
      <c r="J85" s="2453" t="s">
        <v>123</v>
      </c>
      <c r="K85" s="2069" t="s">
        <v>7767</v>
      </c>
      <c r="L85" s="2069" t="s">
        <v>7766</v>
      </c>
      <c r="M85" s="2599" t="s">
        <v>8042</v>
      </c>
      <c r="N85" s="2190" t="s">
        <v>7514</v>
      </c>
      <c r="O85" s="1516" t="s">
        <v>7742</v>
      </c>
      <c r="P85" s="2416" t="s">
        <v>7877</v>
      </c>
      <c r="Q85" s="2214" t="s">
        <v>7792</v>
      </c>
      <c r="R85" s="1472"/>
      <c r="S85" s="2427" t="s">
        <v>4813</v>
      </c>
      <c r="T85" s="2050"/>
      <c r="U85" s="1330" t="s">
        <v>7035</v>
      </c>
      <c r="V85" s="1472"/>
      <c r="W85" s="3094">
        <v>2394000</v>
      </c>
      <c r="X85" s="3093">
        <f>870000*2</f>
        <v>1740000</v>
      </c>
      <c r="Y85" s="1472"/>
      <c r="Z85" s="1337"/>
      <c r="AA85" s="2685">
        <v>500000</v>
      </c>
      <c r="AB85" s="3094">
        <f>220000+220000</f>
        <v>440000</v>
      </c>
      <c r="AC85" s="1472"/>
      <c r="AD85" s="1339">
        <f t="shared" si="23"/>
        <v>5074000</v>
      </c>
      <c r="AE85" s="2172" t="s">
        <v>7778</v>
      </c>
      <c r="AF85" s="1340">
        <f t="shared" si="27"/>
        <v>12744000</v>
      </c>
      <c r="AG85" s="1528">
        <f t="shared" si="26"/>
        <v>17818000</v>
      </c>
      <c r="AH85" s="3017"/>
      <c r="AI85" s="1432">
        <v>1</v>
      </c>
      <c r="AJ85" s="1530"/>
      <c r="AK85" s="1433">
        <v>1</v>
      </c>
      <c r="AL85" s="2434"/>
      <c r="AM85" s="1433"/>
      <c r="AN85" s="1433"/>
      <c r="AO85" s="1433"/>
      <c r="AP85" s="1433"/>
      <c r="AQ85" s="1433"/>
      <c r="AR85" s="1433"/>
      <c r="AS85" s="1433">
        <v>1</v>
      </c>
      <c r="AT85" s="1433"/>
      <c r="AU85" s="1426"/>
      <c r="AV85" s="1426"/>
      <c r="AW85" s="1426"/>
      <c r="AX85" s="1426"/>
      <c r="AY85" s="1426"/>
      <c r="AZ85" s="1426"/>
      <c r="BA85" s="1426"/>
      <c r="BB85" s="1426"/>
      <c r="BC85" s="1426"/>
      <c r="BD85" s="1426"/>
      <c r="BE85" s="1426"/>
    </row>
    <row r="86" spans="1:57" s="5" customFormat="1" ht="26.4">
      <c r="A86" s="326">
        <f t="shared" si="25"/>
        <v>9</v>
      </c>
      <c r="B86" s="2264" t="s">
        <v>7696</v>
      </c>
      <c r="C86" s="166">
        <v>107696240300</v>
      </c>
      <c r="D86" s="386" t="s">
        <v>7742</v>
      </c>
      <c r="E86" s="1151" t="s">
        <v>7034</v>
      </c>
      <c r="F86" s="348" t="s">
        <v>7808</v>
      </c>
      <c r="G86" s="1642">
        <v>2</v>
      </c>
      <c r="H86" s="1642"/>
      <c r="I86" s="1642"/>
      <c r="J86" s="2453" t="s">
        <v>123</v>
      </c>
      <c r="K86" s="2069" t="s">
        <v>5089</v>
      </c>
      <c r="L86" s="2069" t="s">
        <v>7751</v>
      </c>
      <c r="M86" s="1492" t="s">
        <v>7753</v>
      </c>
      <c r="N86" s="2190" t="s">
        <v>7752</v>
      </c>
      <c r="O86" s="1516" t="s">
        <v>7776</v>
      </c>
      <c r="P86" s="2416" t="s">
        <v>6885</v>
      </c>
      <c r="Q86" s="2214" t="s">
        <v>7711</v>
      </c>
      <c r="R86" s="577"/>
      <c r="S86" s="3071" t="s">
        <v>7051</v>
      </c>
      <c r="T86" s="659"/>
      <c r="U86" s="1327" t="s">
        <v>2937</v>
      </c>
      <c r="V86" s="1526"/>
      <c r="W86" s="3094">
        <v>2592000</v>
      </c>
      <c r="X86" s="3093">
        <f>365000+1000000+1049000</f>
        <v>2414000</v>
      </c>
      <c r="Y86" s="1526"/>
      <c r="Z86" s="1749"/>
      <c r="AA86" s="2685">
        <v>500000</v>
      </c>
      <c r="AB86" s="1526"/>
      <c r="AC86" s="1608"/>
      <c r="AD86" s="1339">
        <f>SUM(V86:AC86)</f>
        <v>5506000</v>
      </c>
      <c r="AE86" s="1591"/>
      <c r="AF86" s="1340">
        <f>(((G86*3450000+H86*3550000+I86*AJ86)+(AI86*$AI$4*(G86+H86))+(AK86*$AK$4*(G86+H86))+(AL86*$AL$4*(G86+H86))+(AM86*$AM$4*(G86+H86))+(AN86*$AN$4*(G86+H86))+(AO86*$AO$4*(G86+H86))+(AP86*$AP$4)+(AQ86*$AQ$4*(G86+H86))+(AR86*$AR$4*(G86+H86))+(AS86*$AS$4)))*1.08</f>
        <v>13392000</v>
      </c>
      <c r="AG86" s="1528">
        <f>+AD86+AF86</f>
        <v>18898000</v>
      </c>
      <c r="AH86" s="3017"/>
      <c r="AI86" s="1432">
        <v>1</v>
      </c>
      <c r="AJ86" s="1530"/>
      <c r="AK86" s="1433"/>
      <c r="AL86" s="1433">
        <v>1</v>
      </c>
      <c r="AM86" s="1433"/>
      <c r="AN86" s="1433">
        <v>1</v>
      </c>
      <c r="AO86" s="1433"/>
      <c r="AP86" s="1433">
        <v>1</v>
      </c>
      <c r="AQ86" s="1433"/>
      <c r="AR86" s="1433"/>
      <c r="AS86" s="1433"/>
      <c r="AT86" s="1433"/>
      <c r="AU86" s="1426"/>
      <c r="AV86" s="1426"/>
      <c r="AW86" s="1426"/>
      <c r="AX86" s="1426"/>
      <c r="AY86" s="1426"/>
      <c r="AZ86" s="1426"/>
      <c r="BA86" s="1426"/>
      <c r="BB86" s="1426"/>
      <c r="BC86" s="1426"/>
      <c r="BD86" s="1426"/>
      <c r="BE86" s="1426"/>
    </row>
    <row r="87" spans="1:57" s="5" customFormat="1" ht="26.4">
      <c r="A87" s="326">
        <f t="shared" si="25"/>
        <v>10</v>
      </c>
      <c r="B87" s="3099" t="s">
        <v>7844</v>
      </c>
      <c r="C87" s="166">
        <v>107719298150</v>
      </c>
      <c r="D87" s="46" t="s">
        <v>7696</v>
      </c>
      <c r="E87" s="117" t="s">
        <v>4858</v>
      </c>
      <c r="F87" s="348" t="s">
        <v>7891</v>
      </c>
      <c r="G87" s="1642">
        <v>2</v>
      </c>
      <c r="H87" s="1642"/>
      <c r="I87" s="1642"/>
      <c r="J87" s="2453" t="s">
        <v>123</v>
      </c>
      <c r="K87" s="2069" t="s">
        <v>5109</v>
      </c>
      <c r="L87" s="2069" t="s">
        <v>7816</v>
      </c>
      <c r="M87" s="1492" t="s">
        <v>7860</v>
      </c>
      <c r="N87" s="2190" t="s">
        <v>7817</v>
      </c>
      <c r="O87" s="1516" t="s">
        <v>7711</v>
      </c>
      <c r="P87" s="2416" t="s">
        <v>6517</v>
      </c>
      <c r="Q87" s="2214" t="s">
        <v>7879</v>
      </c>
      <c r="R87" s="577"/>
      <c r="S87" s="2427" t="s">
        <v>4813</v>
      </c>
      <c r="T87" s="2050"/>
      <c r="U87" s="1330" t="s">
        <v>4909</v>
      </c>
      <c r="V87" s="1526"/>
      <c r="W87" s="3094">
        <v>994000</v>
      </c>
      <c r="X87" s="3093">
        <f>999000*2</f>
        <v>1998000</v>
      </c>
      <c r="Y87" s="1526"/>
      <c r="Z87" s="1749"/>
      <c r="AA87" s="2685">
        <v>500000</v>
      </c>
      <c r="AB87" s="1526"/>
      <c r="AC87" s="1608"/>
      <c r="AD87" s="1339">
        <f t="shared" si="23"/>
        <v>3492000</v>
      </c>
      <c r="AE87" s="1591"/>
      <c r="AF87" s="1340">
        <f>(((G87*3450000+H87*3550000+I87*AJ87)+(AI87*$AI$4*(G87+H87))+(AK87*$AK$4*(G87+H87))+(AL87*$AL$4*(G87+H87))+(AM87*$AM$4*(G87+H87))+(AN87*$AN$4*(G87+H87))+(AO87*$AO$4*(G87+H87))+(AP87*$AP$4)+(AQ87*$AQ$4*(G87+H87))+(AR87*$AR$4*(G87+H87))+(AS87*$AS$4)))*1.08</f>
        <v>11124000</v>
      </c>
      <c r="AG87" s="1528">
        <f>+AD87+AF87</f>
        <v>14616000</v>
      </c>
      <c r="AH87" s="1794"/>
      <c r="AI87" s="1432">
        <v>1</v>
      </c>
      <c r="AJ87" s="1530"/>
      <c r="AK87" s="1433">
        <v>1</v>
      </c>
      <c r="AL87" s="1433"/>
      <c r="AM87" s="1433"/>
      <c r="AN87" s="1433"/>
      <c r="AO87" s="1433"/>
      <c r="AP87" s="1433"/>
      <c r="AQ87" s="1433"/>
      <c r="AR87" s="1433"/>
      <c r="AS87" s="1433"/>
      <c r="AT87" s="1433"/>
      <c r="AU87" s="1426"/>
      <c r="AV87" s="1426"/>
      <c r="AW87" s="1426"/>
      <c r="AX87" s="1426"/>
      <c r="AY87" s="1426"/>
      <c r="AZ87" s="1426"/>
      <c r="BA87" s="1426"/>
      <c r="BB87" s="1426"/>
      <c r="BC87" s="1426"/>
      <c r="BD87" s="1426"/>
      <c r="BE87" s="1426"/>
    </row>
    <row r="88" spans="1:57" s="5" customFormat="1" ht="26.4">
      <c r="A88" s="326">
        <f t="shared" si="25"/>
        <v>11</v>
      </c>
      <c r="B88" s="3099" t="s">
        <v>7844</v>
      </c>
      <c r="C88" s="166">
        <v>107718170560</v>
      </c>
      <c r="D88" s="46" t="s">
        <v>7696</v>
      </c>
      <c r="E88" s="1151" t="s">
        <v>7034</v>
      </c>
      <c r="F88" s="348" t="s">
        <v>7892</v>
      </c>
      <c r="G88" s="1642">
        <v>1</v>
      </c>
      <c r="H88" s="1642"/>
      <c r="I88" s="1642"/>
      <c r="J88" s="2453" t="s">
        <v>123</v>
      </c>
      <c r="K88" s="2069" t="s">
        <v>7859</v>
      </c>
      <c r="L88" s="2069" t="s">
        <v>7818</v>
      </c>
      <c r="M88" s="1492" t="s">
        <v>7858</v>
      </c>
      <c r="N88" s="1913" t="s">
        <v>7819</v>
      </c>
      <c r="O88" s="1516" t="s">
        <v>7711</v>
      </c>
      <c r="P88" s="2416" t="s">
        <v>6056</v>
      </c>
      <c r="Q88" s="2214" t="s">
        <v>7879</v>
      </c>
      <c r="R88" s="577"/>
      <c r="S88" s="2427" t="s">
        <v>4813</v>
      </c>
      <c r="T88" s="2472"/>
      <c r="U88" s="1330" t="s">
        <v>4909</v>
      </c>
      <c r="V88" s="1526"/>
      <c r="W88" s="3094">
        <v>497000</v>
      </c>
      <c r="X88" s="3093">
        <f>999000+10000</f>
        <v>1009000</v>
      </c>
      <c r="Y88" s="1526"/>
      <c r="Z88" s="1749"/>
      <c r="AA88" s="2685">
        <v>250000</v>
      </c>
      <c r="AB88" s="1526"/>
      <c r="AC88" s="1608"/>
      <c r="AD88" s="1339">
        <f t="shared" si="23"/>
        <v>1756000</v>
      </c>
      <c r="AE88" s="1591"/>
      <c r="AF88" s="1340">
        <f>(((G88*3450000+H88*3550000+I88*AJ88)+(AI88*$AI$4*(G88+H88))+(AK88*$AK$4*(G88+H88))+(AL88*$AL$4*(G88+H88))+(AM88*$AM$4*(G88+H88))+(AN88*$AN$4*(G88+H88))+(AO88*$AO$4*(G88+H88))+(AP88*$AP$4)+(AQ88*$AQ$4*(G88+H88))+(AR88*$AR$4*(G88+H88))+(AS88*$AS$4)))*1.08</f>
        <v>4590000</v>
      </c>
      <c r="AG88" s="1528">
        <f t="shared" ref="AG88:AG89" si="31">+AD88+AF88</f>
        <v>6346000</v>
      </c>
      <c r="AH88" s="1794"/>
      <c r="AI88" s="1432">
        <v>1</v>
      </c>
      <c r="AJ88" s="1530"/>
      <c r="AK88" s="1433"/>
      <c r="AL88" s="1433"/>
      <c r="AM88" s="1433"/>
      <c r="AN88" s="1433"/>
      <c r="AO88" s="1433"/>
      <c r="AP88" s="1433"/>
      <c r="AQ88" s="1433"/>
      <c r="AR88" s="1433"/>
      <c r="AS88" s="1433"/>
      <c r="AT88" s="1433"/>
      <c r="AU88" s="1426"/>
      <c r="AV88" s="1426"/>
      <c r="AW88" s="1426"/>
      <c r="AX88" s="1426"/>
      <c r="AY88" s="1426"/>
      <c r="AZ88" s="1426"/>
      <c r="BA88" s="1426"/>
      <c r="BB88" s="1426"/>
      <c r="BC88" s="1426"/>
      <c r="BD88" s="1426"/>
      <c r="BE88" s="1426"/>
    </row>
    <row r="89" spans="1:57" s="5" customFormat="1">
      <c r="A89" s="1515"/>
      <c r="B89" s="3099"/>
      <c r="C89" s="1915">
        <v>107747247420</v>
      </c>
      <c r="D89" s="1520" t="s">
        <v>7954</v>
      </c>
      <c r="E89" s="1151"/>
      <c r="F89" s="2234" t="s">
        <v>7990</v>
      </c>
      <c r="G89" s="3768" t="s">
        <v>4450</v>
      </c>
      <c r="H89" s="3768"/>
      <c r="I89" s="3768"/>
      <c r="J89" s="3022" t="s">
        <v>108</v>
      </c>
      <c r="K89" s="2069"/>
      <c r="L89" s="2069"/>
      <c r="M89" s="1492" t="s">
        <v>7988</v>
      </c>
      <c r="N89" s="1913"/>
      <c r="O89" s="2396"/>
      <c r="P89" s="2416"/>
      <c r="Q89" s="2214"/>
      <c r="R89" s="577"/>
      <c r="S89" s="2472"/>
      <c r="T89" s="2472"/>
      <c r="U89" s="1950"/>
      <c r="V89" s="2556"/>
      <c r="W89" s="2053"/>
      <c r="X89" s="2556"/>
      <c r="Y89" s="2556"/>
      <c r="Z89" s="2555"/>
      <c r="AA89" s="2053"/>
      <c r="AB89" s="2556"/>
      <c r="AC89" s="1527"/>
      <c r="AD89" s="1339"/>
      <c r="AE89" s="2557"/>
      <c r="AF89" s="1340">
        <f>800000*1.08</f>
        <v>864000</v>
      </c>
      <c r="AG89" s="1528">
        <f t="shared" si="31"/>
        <v>864000</v>
      </c>
      <c r="AH89" s="2560"/>
      <c r="AI89" s="2473"/>
      <c r="AJ89" s="2474"/>
      <c r="AK89" s="2475"/>
      <c r="AL89" s="2475"/>
      <c r="AM89" s="2475"/>
      <c r="AN89" s="2475"/>
      <c r="AO89" s="2475"/>
      <c r="AP89" s="2475"/>
      <c r="AQ89" s="2475"/>
      <c r="AR89" s="2475"/>
      <c r="AS89" s="1433"/>
      <c r="AT89" s="1433"/>
      <c r="AU89" s="1426"/>
      <c r="AV89" s="1426"/>
      <c r="AW89" s="1426"/>
      <c r="AX89" s="1426"/>
      <c r="AY89" s="1426"/>
      <c r="AZ89" s="1426"/>
      <c r="BA89" s="1426"/>
      <c r="BB89" s="1426"/>
      <c r="BC89" s="1426"/>
      <c r="BD89" s="1426"/>
      <c r="BE89" s="1426"/>
    </row>
    <row r="90" spans="1:57" ht="15.6">
      <c r="A90" s="3668" t="s">
        <v>7970</v>
      </c>
      <c r="B90" s="3668"/>
      <c r="C90" s="3668"/>
      <c r="D90" s="3668"/>
      <c r="E90" s="3668"/>
      <c r="F90" s="3668"/>
      <c r="G90" s="3668"/>
      <c r="H90" s="3668"/>
      <c r="I90" s="3668"/>
      <c r="J90" s="3668"/>
      <c r="K90" s="3668"/>
      <c r="L90" s="3668"/>
      <c r="M90" s="3668"/>
      <c r="N90" s="3668"/>
      <c r="O90" s="2395"/>
      <c r="P90" s="2412"/>
      <c r="Q90" s="2398"/>
      <c r="R90" s="1773"/>
      <c r="S90" s="1774"/>
      <c r="T90" s="3210"/>
      <c r="U90" s="1775"/>
      <c r="V90" s="1776"/>
      <c r="W90" s="1777"/>
      <c r="X90" s="1777"/>
      <c r="Y90" s="1777"/>
      <c r="Z90" s="1778"/>
      <c r="AA90" s="1778"/>
      <c r="AB90" s="1777"/>
      <c r="AC90" s="2307"/>
      <c r="AD90" s="1781">
        <f>SUM(AD80:AD87)</f>
        <v>40784000</v>
      </c>
      <c r="AE90" s="2026"/>
      <c r="AF90" s="1781">
        <f>SUM(AF78:AF89)</f>
        <v>165682800</v>
      </c>
      <c r="AG90" s="1781"/>
      <c r="AH90" s="1781"/>
      <c r="AI90" s="1429"/>
      <c r="AJ90" s="1430"/>
      <c r="AK90" s="2024"/>
      <c r="AL90" s="1782"/>
      <c r="AM90" s="1782"/>
      <c r="AN90" s="1782"/>
      <c r="AO90" s="1782"/>
      <c r="AP90" s="1782"/>
      <c r="AQ90" s="1782"/>
      <c r="AR90" s="1782"/>
      <c r="AS90" s="1433"/>
      <c r="AT90" s="1433"/>
    </row>
    <row r="91" spans="1:57" s="5" customFormat="1" ht="66">
      <c r="A91" s="326">
        <v>1</v>
      </c>
      <c r="B91" s="656" t="s">
        <v>8090</v>
      </c>
      <c r="C91" s="166">
        <v>107751369460</v>
      </c>
      <c r="D91" s="386" t="s">
        <v>7955</v>
      </c>
      <c r="E91" s="117" t="s">
        <v>4858</v>
      </c>
      <c r="F91" s="348" t="s">
        <v>8061</v>
      </c>
      <c r="G91" s="1642">
        <v>5</v>
      </c>
      <c r="H91" s="1642"/>
      <c r="I91" s="1642"/>
      <c r="J91" s="2453" t="s">
        <v>123</v>
      </c>
      <c r="K91" s="2069" t="s">
        <v>8063</v>
      </c>
      <c r="L91" s="3234" t="s">
        <v>7956</v>
      </c>
      <c r="M91" s="5" t="s">
        <v>8062</v>
      </c>
      <c r="N91" s="1629" t="s">
        <v>8089</v>
      </c>
      <c r="O91" s="1516" t="s">
        <v>7985</v>
      </c>
      <c r="P91" s="2416" t="s">
        <v>8112</v>
      </c>
      <c r="Q91" s="2214"/>
      <c r="R91" s="577"/>
      <c r="S91" s="2427" t="s">
        <v>4813</v>
      </c>
      <c r="T91" s="2471" t="s">
        <v>8106</v>
      </c>
      <c r="U91" s="1330" t="s">
        <v>4909</v>
      </c>
      <c r="V91" s="1526"/>
      <c r="W91" s="3094">
        <v>2485000</v>
      </c>
      <c r="X91" s="3094">
        <f>972000*5</f>
        <v>4860000</v>
      </c>
      <c r="Y91" s="1526"/>
      <c r="Z91" s="1749"/>
      <c r="AA91" s="3233">
        <v>1250000</v>
      </c>
      <c r="AC91" s="1608"/>
      <c r="AD91" s="1339">
        <f t="shared" ref="AD91:AD105" si="32">SUM(V91:AC91)</f>
        <v>8595000</v>
      </c>
      <c r="AE91" s="1785" t="s">
        <v>8064</v>
      </c>
      <c r="AF91" s="1340">
        <f>(((G91*3450000+H91*3550000+I91*AJ91)+(AI91*$AI$4*(G91+H91))+(AK91*$AK$4*(G91+H91))+(AL91*$AL$4*(G91+H91))+(AM91*$AM$4*(G91+H91))+(AN91*$AN$4*(G91+H91))+(AO91*$AO$4*(G91+H91))+(AP91*$AP$4)+(AQ91*$AQ$4*(G91+H91))+(AR91*$AR$4*(G91+H91))+(AS91*$AS$4)))*1.08</f>
        <v>25380000</v>
      </c>
      <c r="AG91" s="1528">
        <f t="shared" ref="AG91" si="33">+AD91+AF91</f>
        <v>33975000</v>
      </c>
      <c r="AH91" s="1794"/>
      <c r="AI91" s="1432">
        <v>1</v>
      </c>
      <c r="AJ91" s="1530"/>
      <c r="AK91" s="1433"/>
      <c r="AL91" s="1530">
        <v>1</v>
      </c>
      <c r="AM91" s="1433"/>
      <c r="AN91" s="1433"/>
      <c r="AO91" s="1433"/>
      <c r="AP91" s="1433"/>
      <c r="AQ91" s="1433"/>
      <c r="AR91" s="1433"/>
      <c r="AS91" s="1433"/>
      <c r="AT91" s="1433"/>
      <c r="AU91" s="1426"/>
      <c r="AV91" s="1426"/>
      <c r="AW91" s="1426"/>
      <c r="AX91" s="1426"/>
      <c r="AY91" s="1426"/>
      <c r="AZ91" s="1426"/>
      <c r="BA91" s="1426"/>
      <c r="BB91" s="1426"/>
      <c r="BC91" s="1426"/>
      <c r="BD91" s="1426"/>
      <c r="BE91" s="1426"/>
    </row>
    <row r="92" spans="1:57" s="5" customFormat="1" ht="52.8">
      <c r="A92" s="326">
        <f t="shared" si="25"/>
        <v>2</v>
      </c>
      <c r="B92" s="3252"/>
      <c r="C92" s="2992">
        <v>107776554910</v>
      </c>
      <c r="D92" s="386" t="s">
        <v>8125</v>
      </c>
      <c r="E92" s="3221" t="s">
        <v>7034</v>
      </c>
      <c r="F92" s="348" t="s">
        <v>8211</v>
      </c>
      <c r="G92" s="1642">
        <v>1</v>
      </c>
      <c r="H92" s="1642"/>
      <c r="I92" s="1642"/>
      <c r="J92" s="2453" t="s">
        <v>123</v>
      </c>
      <c r="K92" s="2069" t="s">
        <v>8129</v>
      </c>
      <c r="L92" s="3234" t="s">
        <v>8126</v>
      </c>
      <c r="M92" s="1492" t="s">
        <v>8127</v>
      </c>
      <c r="N92" s="1913" t="s">
        <v>8130</v>
      </c>
      <c r="O92" s="1516" t="s">
        <v>8113</v>
      </c>
      <c r="P92" s="2416"/>
      <c r="Q92" s="2214" t="s">
        <v>8326</v>
      </c>
      <c r="R92" s="577"/>
      <c r="S92" s="2427" t="s">
        <v>4813</v>
      </c>
      <c r="T92" s="2471" t="s">
        <v>8141</v>
      </c>
      <c r="U92" s="1330" t="s">
        <v>7035</v>
      </c>
      <c r="V92" s="1633">
        <v>729000</v>
      </c>
      <c r="W92" s="3093">
        <v>1880000</v>
      </c>
      <c r="Y92" s="1526"/>
      <c r="Z92" s="2685">
        <v>17280000</v>
      </c>
      <c r="AA92" s="2685">
        <v>250000</v>
      </c>
      <c r="AB92" s="3232">
        <f>132015+198022+396045+264030</f>
        <v>990112</v>
      </c>
      <c r="AC92" s="1608"/>
      <c r="AD92" s="1339">
        <f t="shared" si="32"/>
        <v>21129112</v>
      </c>
      <c r="AE92" s="2172" t="s">
        <v>8245</v>
      </c>
      <c r="AF92" s="1340">
        <f t="shared" ref="AF92:AF107" si="34">(((G92*3450000+H92*3550000+I92*AJ92)+(AI92*$AI$4*(G92+H92))+(AK92*$AK$4*(G92+H92))+(AL92*$AL$4*(G92+H92))+(AM92*$AM$4*(G92+H92))+(AN92*$AN$4*(G92+H92))+(AO92*$AO$4*(G92+H92))+(AP92*$AP$4)+(AQ92*$AQ$4*(G92+H92))+(AR92*$AR$4*(G92+H92))+(AS92*$AS$4)))*1.08</f>
        <v>6642000</v>
      </c>
      <c r="AG92" s="1528">
        <f t="shared" ref="AG92:AG107" si="35">+AD92+AF92</f>
        <v>27771112</v>
      </c>
      <c r="AH92" s="1794"/>
      <c r="AI92" s="1432">
        <v>1</v>
      </c>
      <c r="AJ92" s="1530"/>
      <c r="AK92" s="1433"/>
      <c r="AL92" s="1530"/>
      <c r="AM92" s="1433"/>
      <c r="AN92" s="1433"/>
      <c r="AO92" s="1433"/>
      <c r="AP92" s="1433"/>
      <c r="AQ92" s="1433">
        <v>1</v>
      </c>
      <c r="AR92" s="1433"/>
      <c r="AS92" s="1433">
        <v>1</v>
      </c>
      <c r="AT92" s="1433"/>
      <c r="AU92" s="1426"/>
      <c r="AV92" s="1426"/>
      <c r="AW92" s="1426"/>
      <c r="AX92" s="1426"/>
      <c r="AY92" s="1426"/>
      <c r="AZ92" s="1426"/>
      <c r="BA92" s="1426"/>
      <c r="BB92" s="1426"/>
      <c r="BC92" s="1426"/>
      <c r="BD92" s="1426"/>
      <c r="BE92" s="1426"/>
    </row>
    <row r="93" spans="1:57" s="5" customFormat="1" ht="21.75" customHeight="1">
      <c r="A93" s="326">
        <f t="shared" si="25"/>
        <v>3</v>
      </c>
      <c r="B93" s="1751"/>
      <c r="C93" s="1915">
        <v>107782855350</v>
      </c>
      <c r="D93" s="1520" t="s">
        <v>8152</v>
      </c>
      <c r="F93" s="2029" t="s">
        <v>8212</v>
      </c>
      <c r="G93" s="3665" t="s">
        <v>4450</v>
      </c>
      <c r="H93" s="3666"/>
      <c r="I93" s="3667"/>
      <c r="J93" s="2453" t="s">
        <v>123</v>
      </c>
      <c r="K93" s="2069"/>
      <c r="L93" s="3234">
        <v>122500041064011</v>
      </c>
      <c r="M93" s="1492" t="s">
        <v>8153</v>
      </c>
      <c r="N93" s="1913"/>
      <c r="O93" s="1516"/>
      <c r="P93" s="2416"/>
      <c r="Q93" s="2214"/>
      <c r="R93" s="577"/>
      <c r="S93" s="2472"/>
      <c r="T93" s="2471"/>
      <c r="U93" s="1950"/>
      <c r="V93" s="2556"/>
      <c r="W93" s="2556"/>
      <c r="X93" s="2556"/>
      <c r="Y93" s="2556"/>
      <c r="Z93" s="2555"/>
      <c r="AA93" s="2555"/>
      <c r="AB93" s="2556"/>
      <c r="AC93" s="2556"/>
      <c r="AD93" s="1339"/>
      <c r="AE93" s="3097"/>
      <c r="AF93" s="2186">
        <f>800000*1.08</f>
        <v>864000</v>
      </c>
      <c r="AG93" s="1528">
        <f t="shared" si="35"/>
        <v>864000</v>
      </c>
      <c r="AH93" s="2560"/>
      <c r="AI93" s="1432">
        <v>1</v>
      </c>
      <c r="AJ93" s="1530"/>
      <c r="AK93" s="1433"/>
      <c r="AL93" s="1433"/>
      <c r="AM93" s="1433"/>
      <c r="AN93" s="1433"/>
      <c r="AO93" s="1433"/>
      <c r="AP93" s="1433"/>
      <c r="AQ93" s="1433"/>
      <c r="AR93" s="1433"/>
      <c r="AS93" s="1433"/>
      <c r="AT93" s="1433"/>
      <c r="AU93" s="1426"/>
      <c r="AV93" s="1426"/>
      <c r="AW93" s="1426"/>
      <c r="AX93" s="1426"/>
      <c r="AY93" s="1426"/>
      <c r="AZ93" s="1426"/>
      <c r="BA93" s="1426"/>
      <c r="BB93" s="1426"/>
      <c r="BC93" s="1426"/>
      <c r="BD93" s="1426"/>
      <c r="BE93" s="1426"/>
    </row>
    <row r="94" spans="1:57" s="5" customFormat="1" ht="79.2">
      <c r="A94" s="326">
        <f t="shared" si="25"/>
        <v>4</v>
      </c>
      <c r="B94" s="1488" t="s">
        <v>8279</v>
      </c>
      <c r="C94" s="166">
        <v>107804507050</v>
      </c>
      <c r="D94" s="46" t="s">
        <v>8223</v>
      </c>
      <c r="E94" s="117" t="s">
        <v>4858</v>
      </c>
      <c r="F94" s="348" t="s">
        <v>8356</v>
      </c>
      <c r="G94" s="1642">
        <v>6</v>
      </c>
      <c r="H94" s="1642"/>
      <c r="I94" s="1642"/>
      <c r="J94" s="2453" t="s">
        <v>123</v>
      </c>
      <c r="K94" s="2069" t="s">
        <v>8232</v>
      </c>
      <c r="L94" s="3068" t="s">
        <v>8229</v>
      </c>
      <c r="M94" s="1492" t="s">
        <v>8231</v>
      </c>
      <c r="N94" s="2190" t="s">
        <v>8230</v>
      </c>
      <c r="O94" s="1516" t="s">
        <v>4793</v>
      </c>
      <c r="P94" s="2416"/>
      <c r="Q94" s="2214"/>
      <c r="R94" s="577"/>
      <c r="S94" s="3236" t="s">
        <v>2947</v>
      </c>
      <c r="T94" s="2472" t="s">
        <v>8294</v>
      </c>
      <c r="U94" s="1330" t="s">
        <v>4909</v>
      </c>
      <c r="V94" s="1526"/>
      <c r="W94" s="3093">
        <v>3785998</v>
      </c>
      <c r="X94" s="1526"/>
      <c r="Y94" s="1526"/>
      <c r="Z94" s="1749"/>
      <c r="AA94" s="1791"/>
      <c r="AB94" s="3232">
        <v>1098900</v>
      </c>
      <c r="AC94" s="1608"/>
      <c r="AD94" s="1339">
        <f t="shared" si="32"/>
        <v>4884898</v>
      </c>
      <c r="AE94" s="1591"/>
      <c r="AF94" s="1340">
        <f>(((G94*3450000+H94*3550000+I94*AJ94)+(AI94*$AI$4*(G94+H94))+(AK94*$AK$4*(G94+H94))+(AL94*$AL$4*(G94+H94))+(AM94*$AM$4*(G94+H94))+(AN94*$AN$4*(G94+H94))+(AO94*$AO$4*(G94+H94))+(AP94*$AP$4)+(AQ94*$AQ$4*(G94+H94))+(AR94*$AR$4*(G94+H94))+(AS94*$AS$4)))*1.08+(260000*6)</f>
        <v>34932000</v>
      </c>
      <c r="AG94" s="1528">
        <f t="shared" si="35"/>
        <v>39816898</v>
      </c>
      <c r="AH94" s="1794"/>
      <c r="AI94" s="1432">
        <v>1</v>
      </c>
      <c r="AJ94" s="2013"/>
      <c r="AK94" s="2014">
        <v>1</v>
      </c>
      <c r="AL94" s="1433"/>
      <c r="AM94" s="1433"/>
      <c r="AN94" s="1433"/>
      <c r="AO94" s="1433"/>
      <c r="AP94" s="1433"/>
      <c r="AQ94" s="1433"/>
      <c r="AR94" s="1433"/>
      <c r="AS94" s="1433"/>
      <c r="AT94" s="1433"/>
      <c r="AU94" s="1426"/>
      <c r="AV94" s="1426"/>
      <c r="AW94" s="1426"/>
      <c r="AX94" s="1426"/>
      <c r="AY94" s="1426"/>
      <c r="AZ94" s="1426"/>
      <c r="BA94" s="1426"/>
      <c r="BB94" s="1426"/>
      <c r="BC94" s="1426"/>
      <c r="BD94" s="1426"/>
      <c r="BE94" s="1426"/>
    </row>
    <row r="95" spans="1:57" s="5" customFormat="1" ht="26.4">
      <c r="A95" s="326">
        <f t="shared" si="25"/>
        <v>5</v>
      </c>
      <c r="B95" s="1410" t="s">
        <v>8275</v>
      </c>
      <c r="C95" s="166">
        <v>107808951610</v>
      </c>
      <c r="D95" s="46" t="s">
        <v>8155</v>
      </c>
      <c r="E95" s="117" t="s">
        <v>7034</v>
      </c>
      <c r="F95" s="348" t="s">
        <v>8357</v>
      </c>
      <c r="G95" s="1642">
        <v>2</v>
      </c>
      <c r="H95" s="1642"/>
      <c r="I95" s="1642"/>
      <c r="J95" s="2453" t="s">
        <v>123</v>
      </c>
      <c r="K95" s="2069" t="s">
        <v>7033</v>
      </c>
      <c r="L95" s="3068" t="s">
        <v>8154</v>
      </c>
      <c r="M95" s="2326" t="s">
        <v>8260</v>
      </c>
      <c r="N95" s="2190" t="s">
        <v>8250</v>
      </c>
      <c r="O95" s="1516" t="s">
        <v>8155</v>
      </c>
      <c r="P95" s="2416" t="s">
        <v>8316</v>
      </c>
      <c r="Q95" s="2214" t="s">
        <v>8252</v>
      </c>
      <c r="R95" s="577"/>
      <c r="S95" s="3238" t="s">
        <v>7051</v>
      </c>
      <c r="T95" s="2471" t="s">
        <v>8251</v>
      </c>
      <c r="U95" s="1327" t="s">
        <v>2937</v>
      </c>
      <c r="V95" s="1526"/>
      <c r="W95" s="3093">
        <v>1588000</v>
      </c>
      <c r="X95" s="1526"/>
      <c r="Y95" s="1526"/>
      <c r="Z95" s="1749"/>
      <c r="AA95" s="1791"/>
      <c r="AB95" s="1526"/>
      <c r="AC95" s="1608"/>
      <c r="AD95" s="1339">
        <f t="shared" si="32"/>
        <v>1588000</v>
      </c>
      <c r="AE95" s="1591"/>
      <c r="AF95" s="1340">
        <f t="shared" si="34"/>
        <v>13392000</v>
      </c>
      <c r="AG95" s="1528">
        <f t="shared" si="35"/>
        <v>14980000</v>
      </c>
      <c r="AH95" s="1794"/>
      <c r="AI95" s="2434">
        <v>1</v>
      </c>
      <c r="AJ95" s="2434"/>
      <c r="AK95" s="2434"/>
      <c r="AL95" s="2434">
        <v>1</v>
      </c>
      <c r="AM95" s="1433"/>
      <c r="AN95" s="1433">
        <v>1</v>
      </c>
      <c r="AO95" s="1433"/>
      <c r="AP95" s="1433">
        <v>1</v>
      </c>
      <c r="AQ95" s="1433"/>
      <c r="AR95" s="1433"/>
      <c r="AS95" s="1433"/>
      <c r="AT95" s="1433"/>
      <c r="AU95" s="1426"/>
      <c r="AV95" s="1426"/>
      <c r="AW95" s="1426"/>
      <c r="AX95" s="1426"/>
      <c r="AY95" s="1426"/>
      <c r="AZ95" s="1426"/>
      <c r="BA95" s="1426"/>
      <c r="BB95" s="1426"/>
      <c r="BC95" s="1426"/>
      <c r="BD95" s="1426"/>
      <c r="BE95" s="1426"/>
    </row>
    <row r="96" spans="1:57" s="5" customFormat="1">
      <c r="A96" s="326">
        <f t="shared" si="25"/>
        <v>6</v>
      </c>
      <c r="B96" s="295"/>
      <c r="C96" s="166"/>
      <c r="D96" s="46"/>
      <c r="E96" s="117" t="s">
        <v>4858</v>
      </c>
      <c r="F96" s="693"/>
      <c r="G96" s="1642">
        <v>2</v>
      </c>
      <c r="H96" s="1642"/>
      <c r="I96" s="1642"/>
      <c r="J96" s="1547"/>
      <c r="K96" s="2069"/>
      <c r="L96" s="3235"/>
      <c r="M96" s="1472"/>
      <c r="N96" s="1472"/>
      <c r="O96" s="1516" t="s">
        <v>8263</v>
      </c>
      <c r="P96" s="2416"/>
      <c r="Q96" s="1472"/>
      <c r="R96" s="1472"/>
      <c r="S96" s="1472"/>
      <c r="T96" s="1472"/>
      <c r="U96" s="1472"/>
      <c r="V96" s="1472"/>
      <c r="W96" s="1472"/>
      <c r="X96" s="1472"/>
      <c r="Y96" s="1472"/>
      <c r="Z96" s="1472"/>
      <c r="AA96" s="1472"/>
      <c r="AB96" s="1472"/>
      <c r="AC96" s="1472"/>
      <c r="AD96" s="1339">
        <f t="shared" si="32"/>
        <v>0</v>
      </c>
      <c r="AE96" s="1472"/>
      <c r="AF96" s="1340">
        <f t="shared" si="34"/>
        <v>7452000.0000000009</v>
      </c>
      <c r="AG96" s="1528">
        <f t="shared" si="35"/>
        <v>7452000.0000000009</v>
      </c>
      <c r="AH96" s="1472"/>
      <c r="AI96" s="2434"/>
      <c r="AJ96" s="2434"/>
      <c r="AK96" s="2434"/>
      <c r="AL96" s="2434"/>
      <c r="AM96" s="1433"/>
      <c r="AN96" s="1433"/>
      <c r="AO96" s="1433"/>
      <c r="AP96" s="1433"/>
      <c r="AQ96" s="1433"/>
      <c r="AR96" s="1433"/>
      <c r="AS96" s="1433"/>
      <c r="AT96" s="1433"/>
      <c r="AU96" s="1426"/>
      <c r="AV96" s="1426"/>
      <c r="AW96" s="1426"/>
      <c r="AX96" s="1426"/>
      <c r="AY96" s="1426"/>
      <c r="AZ96" s="1426"/>
      <c r="BA96" s="1426"/>
      <c r="BB96" s="1426"/>
      <c r="BC96" s="1426"/>
      <c r="BD96" s="1426"/>
      <c r="BE96" s="1426"/>
    </row>
    <row r="97" spans="1:57" s="5" customFormat="1">
      <c r="A97" s="326">
        <f t="shared" ref="A97:A135" si="36">+A96+1</f>
        <v>7</v>
      </c>
      <c r="B97" s="295"/>
      <c r="C97" s="166"/>
      <c r="D97" s="46"/>
      <c r="E97" s="117" t="s">
        <v>4858</v>
      </c>
      <c r="F97" s="693"/>
      <c r="G97" s="1642">
        <v>4</v>
      </c>
      <c r="H97" s="1642"/>
      <c r="I97" s="1642"/>
      <c r="J97" s="1547"/>
      <c r="K97" s="2069"/>
      <c r="L97" s="922"/>
      <c r="M97" s="2599"/>
      <c r="N97" s="2625"/>
      <c r="O97" s="740" t="s">
        <v>8349</v>
      </c>
      <c r="P97" s="2416"/>
      <c r="Q97" s="2214"/>
      <c r="R97" s="577"/>
      <c r="S97" s="1672"/>
      <c r="T97" s="1672"/>
      <c r="U97" s="781"/>
      <c r="V97" s="1527"/>
      <c r="W97" s="1527"/>
      <c r="X97" s="1527"/>
      <c r="Y97" s="3160"/>
      <c r="Z97" s="2450"/>
      <c r="AA97" s="2450"/>
      <c r="AB97" s="1527"/>
      <c r="AC97" s="1527"/>
      <c r="AD97" s="1339">
        <f t="shared" si="32"/>
        <v>0</v>
      </c>
      <c r="AE97" s="1789"/>
      <c r="AF97" s="1340">
        <f t="shared" si="34"/>
        <v>14904000.000000002</v>
      </c>
      <c r="AG97" s="1528">
        <f t="shared" si="35"/>
        <v>14904000.000000002</v>
      </c>
      <c r="AH97" s="2988"/>
      <c r="AI97" s="2434"/>
      <c r="AJ97" s="2434"/>
      <c r="AK97" s="2434"/>
      <c r="AL97" s="2434"/>
      <c r="AM97" s="1433"/>
      <c r="AN97" s="1433"/>
      <c r="AO97" s="1433"/>
      <c r="AP97" s="1433"/>
      <c r="AQ97" s="1433"/>
      <c r="AR97" s="1433"/>
      <c r="AS97" s="1433"/>
      <c r="AT97" s="1433"/>
      <c r="AU97" s="1426"/>
      <c r="AV97" s="1426"/>
      <c r="AW97" s="1426"/>
      <c r="AX97" s="1426"/>
      <c r="AY97" s="1426"/>
      <c r="AZ97" s="1426"/>
      <c r="BA97" s="1426"/>
      <c r="BB97" s="1426"/>
      <c r="BC97" s="1426"/>
      <c r="BD97" s="1426"/>
      <c r="BE97" s="1426"/>
    </row>
    <row r="98" spans="1:57" s="5" customFormat="1">
      <c r="A98" s="326">
        <f t="shared" si="36"/>
        <v>8</v>
      </c>
      <c r="B98" s="295"/>
      <c r="C98" s="166"/>
      <c r="D98" s="46"/>
      <c r="E98" s="117" t="s">
        <v>4858</v>
      </c>
      <c r="F98" s="693"/>
      <c r="G98" s="445">
        <v>2</v>
      </c>
      <c r="H98" s="445"/>
      <c r="I98" s="445"/>
      <c r="J98" s="922"/>
      <c r="K98" s="1357"/>
      <c r="L98" s="3143"/>
      <c r="M98" s="577"/>
      <c r="N98" s="692"/>
      <c r="O98" s="2394" t="s">
        <v>4358</v>
      </c>
      <c r="P98" s="2416"/>
      <c r="Q98" s="2214"/>
      <c r="R98" s="577"/>
      <c r="S98" s="165"/>
      <c r="T98" s="2472"/>
      <c r="U98" s="1327"/>
      <c r="V98" s="1526"/>
      <c r="W98" s="1526"/>
      <c r="X98" s="1526"/>
      <c r="Y98" s="1526"/>
      <c r="Z98" s="1749"/>
      <c r="AA98" s="1791"/>
      <c r="AB98" s="1526"/>
      <c r="AC98" s="1608"/>
      <c r="AD98" s="1339">
        <f t="shared" si="32"/>
        <v>0</v>
      </c>
      <c r="AE98" s="1591"/>
      <c r="AF98" s="1340">
        <f t="shared" si="34"/>
        <v>7452000.0000000009</v>
      </c>
      <c r="AG98" s="1528">
        <f t="shared" si="35"/>
        <v>7452000.0000000009</v>
      </c>
      <c r="AH98" s="1794"/>
      <c r="AI98" s="2434"/>
      <c r="AJ98" s="2434"/>
      <c r="AK98" s="2434"/>
      <c r="AL98" s="1433"/>
      <c r="AM98" s="1433"/>
      <c r="AN98" s="1433"/>
      <c r="AO98" s="1433"/>
      <c r="AP98" s="1433"/>
      <c r="AQ98" s="1433"/>
      <c r="AR98" s="1433"/>
      <c r="AS98" s="1433"/>
      <c r="AT98" s="1433"/>
      <c r="AU98" s="1426"/>
      <c r="AV98" s="1426"/>
      <c r="AW98" s="1426"/>
      <c r="AX98" s="1426"/>
      <c r="AY98" s="1426"/>
      <c r="AZ98" s="1426"/>
      <c r="BA98" s="1426"/>
      <c r="BB98" s="1426"/>
      <c r="BC98" s="1426"/>
      <c r="BD98" s="1426"/>
      <c r="BE98" s="1426"/>
    </row>
    <row r="99" spans="1:57" s="5" customFormat="1">
      <c r="A99" s="326">
        <f t="shared" si="36"/>
        <v>9</v>
      </c>
      <c r="B99" s="295"/>
      <c r="C99" s="166"/>
      <c r="D99" s="46"/>
      <c r="E99" s="3015" t="s">
        <v>4444</v>
      </c>
      <c r="F99" s="693"/>
      <c r="G99" s="167">
        <v>2</v>
      </c>
      <c r="H99" s="167"/>
      <c r="I99" s="167"/>
      <c r="J99" s="79"/>
      <c r="K99" s="1357"/>
      <c r="L99" s="1792"/>
      <c r="M99" s="154"/>
      <c r="N99" s="692"/>
      <c r="O99" s="2396" t="s">
        <v>4334</v>
      </c>
      <c r="P99" s="2416"/>
      <c r="Q99" s="2214"/>
      <c r="R99" s="577"/>
      <c r="S99" s="165"/>
      <c r="T99" s="2472"/>
      <c r="U99" s="1327"/>
      <c r="V99" s="1526"/>
      <c r="W99" s="1526"/>
      <c r="X99" s="1526"/>
      <c r="Y99" s="1526"/>
      <c r="Z99" s="1749"/>
      <c r="AA99" s="1791"/>
      <c r="AB99" s="1526"/>
      <c r="AC99" s="1608"/>
      <c r="AD99" s="1339">
        <f t="shared" si="32"/>
        <v>0</v>
      </c>
      <c r="AE99" s="1591"/>
      <c r="AF99" s="1340">
        <f t="shared" si="34"/>
        <v>7452000.0000000009</v>
      </c>
      <c r="AG99" s="1528">
        <f t="shared" si="35"/>
        <v>7452000.0000000009</v>
      </c>
      <c r="AH99" s="1794"/>
      <c r="AI99" s="1432"/>
      <c r="AJ99" s="1530"/>
      <c r="AK99" s="1433"/>
      <c r="AL99" s="1433"/>
      <c r="AM99" s="1433"/>
      <c r="AN99" s="1433"/>
      <c r="AO99" s="1433"/>
      <c r="AP99" s="1433"/>
      <c r="AQ99" s="1433"/>
      <c r="AR99" s="1433"/>
      <c r="AS99" s="1433"/>
      <c r="AT99" s="1433"/>
      <c r="AU99" s="1426"/>
      <c r="AV99" s="1426"/>
      <c r="AW99" s="1426"/>
      <c r="AX99" s="1426"/>
      <c r="AY99" s="1426"/>
      <c r="AZ99" s="1426"/>
      <c r="BA99" s="1426"/>
      <c r="BB99" s="1426"/>
      <c r="BC99" s="1426"/>
      <c r="BD99" s="1426"/>
      <c r="BE99" s="1426"/>
    </row>
    <row r="100" spans="1:57" s="5" customFormat="1">
      <c r="A100" s="326">
        <f t="shared" si="36"/>
        <v>10</v>
      </c>
      <c r="B100" s="295"/>
      <c r="C100" s="166"/>
      <c r="D100" s="46"/>
      <c r="E100" s="47"/>
      <c r="F100" s="693"/>
      <c r="G100" s="167"/>
      <c r="H100" s="167"/>
      <c r="I100" s="167"/>
      <c r="J100" s="79"/>
      <c r="K100" s="1357"/>
      <c r="L100" s="1792"/>
      <c r="M100" s="154"/>
      <c r="N100" s="692"/>
      <c r="O100" s="2396"/>
      <c r="P100" s="2416"/>
      <c r="Q100" s="2214"/>
      <c r="R100" s="577"/>
      <c r="S100" s="165"/>
      <c r="T100" s="2472"/>
      <c r="U100" s="1327"/>
      <c r="V100" s="1526"/>
      <c r="W100" s="1526"/>
      <c r="X100" s="1526"/>
      <c r="Y100" s="1526"/>
      <c r="Z100" s="1749"/>
      <c r="AA100" s="1791"/>
      <c r="AB100" s="1526"/>
      <c r="AC100" s="1608"/>
      <c r="AD100" s="1339">
        <f t="shared" si="32"/>
        <v>0</v>
      </c>
      <c r="AE100" s="1591"/>
      <c r="AF100" s="1340">
        <f t="shared" si="34"/>
        <v>0</v>
      </c>
      <c r="AG100" s="1528">
        <f t="shared" si="35"/>
        <v>0</v>
      </c>
      <c r="AH100" s="1794"/>
      <c r="AI100" s="1432"/>
      <c r="AJ100" s="1530"/>
      <c r="AK100" s="1433"/>
      <c r="AL100" s="1433"/>
      <c r="AM100" s="1433"/>
      <c r="AN100" s="1433"/>
      <c r="AO100" s="1433"/>
      <c r="AP100" s="1433"/>
      <c r="AQ100" s="1433"/>
      <c r="AR100" s="1433"/>
      <c r="AS100" s="1433"/>
      <c r="AT100" s="1433"/>
      <c r="AU100" s="1426"/>
      <c r="AV100" s="1426"/>
      <c r="AW100" s="1426"/>
      <c r="AX100" s="1426"/>
      <c r="AY100" s="1426"/>
      <c r="AZ100" s="1426"/>
      <c r="BA100" s="1426"/>
      <c r="BB100" s="1426"/>
      <c r="BC100" s="1426"/>
      <c r="BD100" s="1426"/>
      <c r="BE100" s="1426"/>
    </row>
    <row r="101" spans="1:57" s="5" customFormat="1">
      <c r="A101" s="326">
        <f t="shared" si="36"/>
        <v>11</v>
      </c>
      <c r="B101" s="295"/>
      <c r="C101" s="166"/>
      <c r="D101" s="46"/>
      <c r="E101" s="47"/>
      <c r="F101" s="693"/>
      <c r="G101" s="167"/>
      <c r="H101" s="1472"/>
      <c r="I101" s="1472"/>
      <c r="J101" s="1472"/>
      <c r="K101" s="1472"/>
      <c r="L101" s="1472"/>
      <c r="M101" s="1472"/>
      <c r="N101" s="1472"/>
      <c r="O101" s="1472"/>
      <c r="P101" s="2416"/>
      <c r="Q101" s="1472"/>
      <c r="R101" s="1472"/>
      <c r="S101" s="1472"/>
      <c r="T101" s="1472"/>
      <c r="U101" s="1472"/>
      <c r="V101" s="1472"/>
      <c r="W101" s="1472"/>
      <c r="X101" s="1472"/>
      <c r="Y101" s="1472"/>
      <c r="Z101" s="1472"/>
      <c r="AA101" s="1472"/>
      <c r="AB101" s="1472"/>
      <c r="AC101" s="1472"/>
      <c r="AD101" s="1339">
        <f t="shared" si="32"/>
        <v>0</v>
      </c>
      <c r="AE101" s="1472"/>
      <c r="AF101" s="1340">
        <f t="shared" si="34"/>
        <v>0</v>
      </c>
      <c r="AG101" s="1528">
        <f t="shared" si="35"/>
        <v>0</v>
      </c>
      <c r="AH101" s="1794"/>
      <c r="AI101" s="1432"/>
      <c r="AJ101" s="1530"/>
      <c r="AK101" s="1433"/>
      <c r="AL101" s="1433"/>
      <c r="AM101" s="1433"/>
      <c r="AN101" s="1433"/>
      <c r="AO101" s="1433"/>
      <c r="AP101" s="1433"/>
      <c r="AQ101" s="1433"/>
      <c r="AR101" s="1433"/>
      <c r="AS101" s="1433"/>
      <c r="AT101" s="1433"/>
      <c r="AU101" s="1426"/>
      <c r="AV101" s="1426"/>
      <c r="AW101" s="1426"/>
      <c r="AX101" s="1426"/>
      <c r="AY101" s="1426"/>
      <c r="AZ101" s="1426"/>
      <c r="BA101" s="1426"/>
      <c r="BB101" s="1426"/>
      <c r="BC101" s="1426"/>
      <c r="BD101" s="1426"/>
      <c r="BE101" s="1426"/>
    </row>
    <row r="102" spans="1:57" s="5" customFormat="1">
      <c r="A102" s="326">
        <f t="shared" si="36"/>
        <v>12</v>
      </c>
      <c r="B102" s="295"/>
      <c r="C102" s="166"/>
      <c r="D102" s="46"/>
      <c r="E102" s="47"/>
      <c r="F102" s="693"/>
      <c r="G102" s="167"/>
      <c r="H102" s="445"/>
      <c r="I102" s="445"/>
      <c r="J102" s="922"/>
      <c r="K102" s="1357"/>
      <c r="L102" s="1792"/>
      <c r="M102" s="577"/>
      <c r="N102" s="2943"/>
      <c r="O102" s="2394"/>
      <c r="P102" s="2416"/>
      <c r="Q102" s="2214"/>
      <c r="R102" s="577"/>
      <c r="S102" s="1672"/>
      <c r="T102" s="1672"/>
      <c r="U102" s="781"/>
      <c r="V102" s="1527"/>
      <c r="W102" s="1527"/>
      <c r="X102" s="1527"/>
      <c r="Y102" s="1527"/>
      <c r="Z102" s="2450"/>
      <c r="AA102" s="2450"/>
      <c r="AB102" s="1527"/>
      <c r="AC102" s="1527"/>
      <c r="AD102" s="1339">
        <f t="shared" si="32"/>
        <v>0</v>
      </c>
      <c r="AE102" s="1789"/>
      <c r="AF102" s="1340">
        <f t="shared" si="34"/>
        <v>0</v>
      </c>
      <c r="AG102" s="1528">
        <f t="shared" si="35"/>
        <v>0</v>
      </c>
      <c r="AH102" s="1794"/>
      <c r="AI102" s="1432"/>
      <c r="AJ102" s="1530"/>
      <c r="AK102" s="1433"/>
      <c r="AL102" s="1433"/>
      <c r="AM102" s="1433"/>
      <c r="AN102" s="1433"/>
      <c r="AO102" s="1433"/>
      <c r="AP102" s="1433"/>
      <c r="AQ102" s="1433"/>
      <c r="AR102" s="1433"/>
      <c r="AS102" s="1433"/>
      <c r="AT102" s="1433"/>
      <c r="AU102" s="1426"/>
      <c r="AV102" s="1426"/>
      <c r="AW102" s="1426"/>
      <c r="AX102" s="1426"/>
      <c r="AY102" s="1426"/>
      <c r="AZ102" s="1426"/>
      <c r="BA102" s="1426"/>
      <c r="BB102" s="1426"/>
      <c r="BC102" s="1426"/>
      <c r="BD102" s="1426"/>
      <c r="BE102" s="1426"/>
    </row>
    <row r="103" spans="1:57" s="5" customFormat="1">
      <c r="A103" s="326">
        <f t="shared" si="36"/>
        <v>13</v>
      </c>
      <c r="B103" s="295"/>
      <c r="C103" s="166"/>
      <c r="D103" s="46"/>
      <c r="E103" s="47"/>
      <c r="F103" s="693"/>
      <c r="G103" s="167"/>
      <c r="H103" s="167"/>
      <c r="I103" s="167"/>
      <c r="J103" s="79"/>
      <c r="K103" s="1357"/>
      <c r="L103" s="1792"/>
      <c r="M103" s="154"/>
      <c r="N103" s="2943"/>
      <c r="O103" s="2396"/>
      <c r="P103" s="2416"/>
      <c r="Q103" s="2214"/>
      <c r="R103" s="577"/>
      <c r="S103" s="165"/>
      <c r="T103" s="2472"/>
      <c r="U103" s="1327"/>
      <c r="V103" s="1526"/>
      <c r="W103" s="1526"/>
      <c r="X103" s="1526"/>
      <c r="Y103" s="1526"/>
      <c r="Z103" s="1749"/>
      <c r="AA103" s="1791"/>
      <c r="AB103" s="1526"/>
      <c r="AC103" s="1608"/>
      <c r="AD103" s="1339">
        <f t="shared" si="32"/>
        <v>0</v>
      </c>
      <c r="AE103" s="1591"/>
      <c r="AF103" s="1340">
        <f t="shared" si="34"/>
        <v>0</v>
      </c>
      <c r="AG103" s="1528">
        <f t="shared" si="35"/>
        <v>0</v>
      </c>
      <c r="AH103" s="1794"/>
      <c r="AI103" s="1432"/>
      <c r="AJ103" s="1530"/>
      <c r="AK103" s="1433"/>
      <c r="AL103" s="1433"/>
      <c r="AM103" s="1433"/>
      <c r="AN103" s="1433"/>
      <c r="AO103" s="1433"/>
      <c r="AP103" s="1433"/>
      <c r="AQ103" s="1433"/>
      <c r="AR103" s="1433"/>
      <c r="AS103" s="1433"/>
      <c r="AT103" s="1433"/>
      <c r="AU103" s="1426"/>
      <c r="AV103" s="1426"/>
      <c r="AW103" s="1426"/>
      <c r="AX103" s="1426"/>
      <c r="AY103" s="1426"/>
      <c r="AZ103" s="1426"/>
      <c r="BA103" s="1426"/>
      <c r="BB103" s="1426"/>
      <c r="BC103" s="1426"/>
      <c r="BD103" s="1426"/>
      <c r="BE103" s="1426"/>
    </row>
    <row r="104" spans="1:57" s="5" customFormat="1">
      <c r="A104" s="326">
        <f t="shared" si="36"/>
        <v>14</v>
      </c>
      <c r="B104" s="295"/>
      <c r="C104" s="166"/>
      <c r="D104" s="46"/>
      <c r="E104" s="47"/>
      <c r="F104" s="693"/>
      <c r="G104" s="167"/>
      <c r="H104" s="167"/>
      <c r="I104" s="167"/>
      <c r="J104" s="79"/>
      <c r="K104" s="1357"/>
      <c r="L104" s="1792"/>
      <c r="M104" s="154"/>
      <c r="N104" s="2943"/>
      <c r="O104" s="2396"/>
      <c r="P104" s="2416"/>
      <c r="Q104" s="2214"/>
      <c r="R104" s="577"/>
      <c r="S104" s="165"/>
      <c r="T104" s="2472"/>
      <c r="U104" s="1327"/>
      <c r="V104" s="1526"/>
      <c r="W104" s="1526"/>
      <c r="X104" s="1526"/>
      <c r="Y104" s="1526"/>
      <c r="Z104" s="1749"/>
      <c r="AA104" s="1791"/>
      <c r="AB104" s="1526"/>
      <c r="AC104" s="1608"/>
      <c r="AD104" s="1339">
        <f t="shared" si="32"/>
        <v>0</v>
      </c>
      <c r="AE104" s="1591"/>
      <c r="AF104" s="1340">
        <f t="shared" si="34"/>
        <v>0</v>
      </c>
      <c r="AG104" s="1528">
        <f t="shared" si="35"/>
        <v>0</v>
      </c>
      <c r="AH104" s="1794"/>
      <c r="AI104" s="1432"/>
      <c r="AJ104" s="1530"/>
      <c r="AK104" s="1433"/>
      <c r="AL104" s="1433"/>
      <c r="AM104" s="1433"/>
      <c r="AN104" s="1433"/>
      <c r="AO104" s="1433"/>
      <c r="AP104" s="1433"/>
      <c r="AQ104" s="1433"/>
      <c r="AR104" s="1433"/>
      <c r="AS104" s="1433"/>
      <c r="AT104" s="1433"/>
      <c r="AU104" s="1426"/>
      <c r="AV104" s="1426"/>
      <c r="AW104" s="1426"/>
      <c r="AX104" s="1426"/>
      <c r="AY104" s="1426"/>
      <c r="AZ104" s="1426"/>
      <c r="BA104" s="1426"/>
      <c r="BB104" s="1426"/>
      <c r="BC104" s="1426"/>
      <c r="BD104" s="1426"/>
      <c r="BE104" s="1426"/>
    </row>
    <row r="105" spans="1:57" s="5" customFormat="1">
      <c r="A105" s="326">
        <f t="shared" si="36"/>
        <v>15</v>
      </c>
      <c r="B105" s="295"/>
      <c r="C105" s="166"/>
      <c r="D105" s="46"/>
      <c r="E105" s="47"/>
      <c r="F105" s="693"/>
      <c r="G105" s="167"/>
      <c r="H105" s="167"/>
      <c r="I105" s="167"/>
      <c r="J105" s="79"/>
      <c r="K105" s="1357"/>
      <c r="L105" s="1792"/>
      <c r="M105" s="154"/>
      <c r="N105" s="692"/>
      <c r="O105" s="2396"/>
      <c r="P105" s="2416"/>
      <c r="Q105" s="2214"/>
      <c r="R105" s="577"/>
      <c r="S105" s="165"/>
      <c r="T105" s="2472"/>
      <c r="U105" s="1327"/>
      <c r="V105" s="1526"/>
      <c r="W105" s="1526"/>
      <c r="X105" s="1526"/>
      <c r="Y105" s="1526"/>
      <c r="Z105" s="1749"/>
      <c r="AA105" s="1791"/>
      <c r="AB105" s="1526"/>
      <c r="AC105" s="1608"/>
      <c r="AD105" s="1339">
        <f t="shared" si="32"/>
        <v>0</v>
      </c>
      <c r="AE105" s="1591"/>
      <c r="AF105" s="1340">
        <f t="shared" si="34"/>
        <v>0</v>
      </c>
      <c r="AG105" s="1528">
        <f t="shared" si="35"/>
        <v>0</v>
      </c>
      <c r="AH105" s="1794"/>
      <c r="AI105" s="1432"/>
      <c r="AJ105" s="1530"/>
      <c r="AK105" s="1433"/>
      <c r="AL105" s="1433"/>
      <c r="AM105" s="1433"/>
      <c r="AN105" s="1433"/>
      <c r="AO105" s="1433"/>
      <c r="AP105" s="1433"/>
      <c r="AQ105" s="1433"/>
      <c r="AR105" s="1433"/>
      <c r="AS105" s="1433"/>
      <c r="AT105" s="1433"/>
      <c r="AU105" s="1426"/>
      <c r="AV105" s="1426"/>
      <c r="AW105" s="1426"/>
      <c r="AX105" s="1426"/>
      <c r="AY105" s="1426"/>
      <c r="AZ105" s="1426"/>
      <c r="BA105" s="1426"/>
      <c r="BB105" s="1426"/>
      <c r="BC105" s="1426"/>
      <c r="BD105" s="1426"/>
      <c r="BE105" s="1426"/>
    </row>
    <row r="106" spans="1:57" s="5" customFormat="1">
      <c r="A106" s="326">
        <f t="shared" si="36"/>
        <v>16</v>
      </c>
      <c r="B106" s="295"/>
      <c r="C106" s="166"/>
      <c r="D106" s="46"/>
      <c r="E106" s="47"/>
      <c r="F106" s="693"/>
      <c r="G106" s="167"/>
      <c r="H106" s="167"/>
      <c r="I106" s="167"/>
      <c r="J106" s="79"/>
      <c r="K106" s="1357"/>
      <c r="L106" s="1792"/>
      <c r="M106" s="154"/>
      <c r="N106" s="692"/>
      <c r="O106" s="2396"/>
      <c r="P106" s="2416"/>
      <c r="Q106" s="2214"/>
      <c r="R106" s="577"/>
      <c r="S106" s="165"/>
      <c r="T106" s="2472"/>
      <c r="U106" s="1327"/>
      <c r="V106" s="1526"/>
      <c r="W106" s="1526"/>
      <c r="X106" s="1526"/>
      <c r="Y106" s="1526"/>
      <c r="Z106" s="1749"/>
      <c r="AA106" s="1791"/>
      <c r="AB106" s="1526"/>
      <c r="AC106" s="1608"/>
      <c r="AD106" s="1526"/>
      <c r="AE106" s="1591"/>
      <c r="AF106" s="1340">
        <f t="shared" si="34"/>
        <v>0</v>
      </c>
      <c r="AG106" s="1528">
        <f t="shared" si="35"/>
        <v>0</v>
      </c>
      <c r="AH106" s="1794"/>
      <c r="AI106" s="1432"/>
      <c r="AJ106" s="1530"/>
      <c r="AK106" s="1433"/>
      <c r="AL106" s="1433"/>
      <c r="AM106" s="1433"/>
      <c r="AN106" s="1433"/>
      <c r="AO106" s="1433"/>
      <c r="AP106" s="1433"/>
      <c r="AQ106" s="1433"/>
      <c r="AR106" s="1433"/>
      <c r="AS106" s="1433"/>
      <c r="AT106" s="1433"/>
      <c r="AU106" s="1426"/>
      <c r="AV106" s="1426"/>
      <c r="AW106" s="1426"/>
      <c r="AX106" s="1426"/>
      <c r="AY106" s="1426"/>
      <c r="AZ106" s="1426"/>
      <c r="BA106" s="1426"/>
      <c r="BB106" s="1426"/>
      <c r="BC106" s="1426"/>
      <c r="BD106" s="1426"/>
      <c r="BE106" s="1426"/>
    </row>
    <row r="107" spans="1:57" s="5" customFormat="1">
      <c r="A107" s="326">
        <f t="shared" si="36"/>
        <v>17</v>
      </c>
      <c r="B107" s="295"/>
      <c r="C107" s="166"/>
      <c r="D107" s="46"/>
      <c r="E107" s="47"/>
      <c r="F107" s="693"/>
      <c r="G107" s="167"/>
      <c r="H107" s="167"/>
      <c r="I107" s="167"/>
      <c r="J107" s="79"/>
      <c r="K107" s="1357"/>
      <c r="L107" s="1792"/>
      <c r="M107" s="154"/>
      <c r="N107" s="2943"/>
      <c r="O107" s="2396"/>
      <c r="P107" s="2416"/>
      <c r="Q107" s="2214"/>
      <c r="R107" s="577"/>
      <c r="S107" s="165"/>
      <c r="T107" s="2472"/>
      <c r="U107" s="1327"/>
      <c r="V107" s="1526"/>
      <c r="W107" s="1526"/>
      <c r="X107" s="1526"/>
      <c r="Y107" s="1526"/>
      <c r="Z107" s="1749"/>
      <c r="AA107" s="1791"/>
      <c r="AB107" s="1526"/>
      <c r="AC107" s="1608"/>
      <c r="AD107" s="1526"/>
      <c r="AE107" s="1591"/>
      <c r="AF107" s="1340">
        <f t="shared" si="34"/>
        <v>0</v>
      </c>
      <c r="AG107" s="1528">
        <f t="shared" si="35"/>
        <v>0</v>
      </c>
      <c r="AH107" s="1794"/>
      <c r="AI107" s="1432"/>
      <c r="AJ107" s="1530"/>
      <c r="AK107" s="1433"/>
      <c r="AL107" s="1433"/>
      <c r="AM107" s="1433"/>
      <c r="AN107" s="1433"/>
      <c r="AO107" s="1433"/>
      <c r="AP107" s="1433"/>
      <c r="AQ107" s="1433"/>
      <c r="AR107" s="1433"/>
      <c r="AS107" s="1433"/>
      <c r="AT107" s="1433"/>
      <c r="AU107" s="1426"/>
      <c r="AV107" s="1426"/>
      <c r="AW107" s="1426"/>
      <c r="AX107" s="1426"/>
      <c r="AY107" s="1426"/>
      <c r="AZ107" s="1426"/>
      <c r="BA107" s="1426"/>
      <c r="BB107" s="1426"/>
      <c r="BC107" s="1426"/>
      <c r="BD107" s="1426"/>
      <c r="BE107" s="1426"/>
    </row>
    <row r="108" spans="1:57" s="5" customFormat="1">
      <c r="A108" s="326">
        <f t="shared" si="36"/>
        <v>18</v>
      </c>
      <c r="B108" s="295"/>
      <c r="C108" s="166"/>
      <c r="D108" s="46"/>
      <c r="E108" s="47"/>
      <c r="F108" s="693"/>
      <c r="G108" s="167"/>
      <c r="H108" s="167"/>
      <c r="I108" s="167"/>
      <c r="J108" s="79"/>
      <c r="K108" s="1357"/>
      <c r="L108" s="1792"/>
      <c r="M108" s="154"/>
      <c r="N108" s="692"/>
      <c r="O108" s="2396"/>
      <c r="P108" s="2416"/>
      <c r="Q108" s="2214"/>
      <c r="R108" s="577"/>
      <c r="S108" s="165"/>
      <c r="T108" s="2472"/>
      <c r="U108" s="1327"/>
      <c r="V108" s="1526"/>
      <c r="W108" s="1526"/>
      <c r="X108" s="1526"/>
      <c r="Y108" s="1526"/>
      <c r="Z108" s="1749"/>
      <c r="AA108" s="1791"/>
      <c r="AB108" s="1526"/>
      <c r="AC108" s="1608"/>
      <c r="AD108" s="1526"/>
      <c r="AE108" s="1591"/>
      <c r="AF108" s="1769"/>
      <c r="AG108" s="1793"/>
      <c r="AH108" s="1794"/>
      <c r="AI108" s="1432"/>
      <c r="AJ108" s="1530"/>
      <c r="AK108" s="1433"/>
      <c r="AL108" s="1433"/>
      <c r="AM108" s="1433"/>
      <c r="AN108" s="1433"/>
      <c r="AO108" s="1433"/>
      <c r="AP108" s="1433"/>
      <c r="AQ108" s="1433"/>
      <c r="AR108" s="1433"/>
      <c r="AS108" s="1433"/>
      <c r="AT108" s="1433"/>
      <c r="AU108" s="1426"/>
      <c r="AV108" s="1426"/>
      <c r="AW108" s="1426"/>
      <c r="AX108" s="1426"/>
      <c r="AY108" s="1426"/>
      <c r="AZ108" s="1426"/>
      <c r="BA108" s="1426"/>
      <c r="BB108" s="1426"/>
      <c r="BC108" s="1426"/>
      <c r="BD108" s="1426"/>
      <c r="BE108" s="1426"/>
    </row>
    <row r="109" spans="1:57" s="5" customFormat="1">
      <c r="A109" s="326">
        <f t="shared" si="36"/>
        <v>19</v>
      </c>
      <c r="B109" s="295"/>
      <c r="C109" s="166"/>
      <c r="D109" s="46"/>
      <c r="E109" s="47"/>
      <c r="F109" s="693"/>
      <c r="G109" s="167"/>
      <c r="H109" s="167"/>
      <c r="I109" s="167"/>
      <c r="J109" s="79"/>
      <c r="K109" s="1357"/>
      <c r="L109" s="1792"/>
      <c r="M109" s="154"/>
      <c r="N109" s="692"/>
      <c r="O109" s="2396"/>
      <c r="P109" s="2416"/>
      <c r="Q109" s="2214"/>
      <c r="R109" s="577"/>
      <c r="S109" s="165"/>
      <c r="T109" s="2472"/>
      <c r="U109" s="1327"/>
      <c r="V109" s="1526"/>
      <c r="W109" s="1526"/>
      <c r="X109" s="1526"/>
      <c r="Y109" s="1526"/>
      <c r="Z109" s="1749"/>
      <c r="AA109" s="1791"/>
      <c r="AB109" s="1526"/>
      <c r="AC109" s="1608"/>
      <c r="AD109" s="1526"/>
      <c r="AE109" s="1591"/>
      <c r="AF109" s="1769"/>
      <c r="AG109" s="1793"/>
      <c r="AH109" s="1794"/>
      <c r="AI109" s="1432"/>
      <c r="AJ109" s="1530"/>
      <c r="AK109" s="1433"/>
      <c r="AL109" s="1433"/>
      <c r="AM109" s="1433"/>
      <c r="AN109" s="1433"/>
      <c r="AO109" s="1433"/>
      <c r="AP109" s="1433"/>
      <c r="AQ109" s="1433"/>
      <c r="AR109" s="1433"/>
      <c r="AS109" s="1433"/>
      <c r="AT109" s="1433"/>
      <c r="AU109" s="1426"/>
      <c r="AV109" s="1426"/>
      <c r="AW109" s="1426"/>
      <c r="AX109" s="1426"/>
      <c r="AY109" s="1426"/>
      <c r="AZ109" s="1426"/>
      <c r="BA109" s="1426"/>
      <c r="BB109" s="1426"/>
      <c r="BC109" s="1426"/>
      <c r="BD109" s="1426"/>
      <c r="BE109" s="1426"/>
    </row>
    <row r="110" spans="1:57" s="5" customFormat="1">
      <c r="A110" s="326">
        <f t="shared" si="36"/>
        <v>20</v>
      </c>
      <c r="B110" s="295"/>
      <c r="C110" s="166"/>
      <c r="D110" s="46"/>
      <c r="E110" s="47"/>
      <c r="F110" s="693"/>
      <c r="G110" s="167"/>
      <c r="H110" s="167"/>
      <c r="I110" s="167"/>
      <c r="J110" s="79"/>
      <c r="K110" s="1357"/>
      <c r="L110" s="3143"/>
      <c r="M110" s="154"/>
      <c r="N110" s="692"/>
      <c r="O110" s="2396"/>
      <c r="P110" s="2416"/>
      <c r="Q110" s="2214"/>
      <c r="R110" s="577"/>
      <c r="S110" s="165"/>
      <c r="T110" s="2472"/>
      <c r="U110" s="1327"/>
      <c r="V110" s="1526"/>
      <c r="W110" s="1526"/>
      <c r="X110" s="1526"/>
      <c r="Y110" s="1526"/>
      <c r="Z110" s="1749"/>
      <c r="AA110" s="1791"/>
      <c r="AB110" s="1526"/>
      <c r="AC110" s="1608"/>
      <c r="AD110" s="1526"/>
      <c r="AE110" s="1591"/>
      <c r="AF110" s="1769"/>
      <c r="AG110" s="1793"/>
      <c r="AH110" s="1794"/>
      <c r="AI110" s="1432"/>
      <c r="AJ110" s="1530"/>
      <c r="AK110" s="1433"/>
      <c r="AL110" s="1433"/>
      <c r="AM110" s="1433"/>
      <c r="AN110" s="1433"/>
      <c r="AO110" s="1433"/>
      <c r="AP110" s="1433"/>
      <c r="AQ110" s="1433"/>
      <c r="AR110" s="1433"/>
      <c r="AS110" s="1433"/>
      <c r="AT110" s="1433"/>
      <c r="AU110" s="1426"/>
      <c r="AV110" s="1426"/>
      <c r="AW110" s="1426"/>
      <c r="AX110" s="1426"/>
      <c r="AY110" s="1426"/>
      <c r="AZ110" s="1426"/>
      <c r="BA110" s="1426"/>
      <c r="BB110" s="1426"/>
      <c r="BC110" s="1426"/>
      <c r="BD110" s="1426"/>
      <c r="BE110" s="1426"/>
    </row>
    <row r="111" spans="1:57" s="5" customFormat="1">
      <c r="A111" s="326">
        <f t="shared" si="36"/>
        <v>21</v>
      </c>
      <c r="B111" s="295"/>
      <c r="C111" s="166"/>
      <c r="D111" s="46"/>
      <c r="E111" s="47"/>
      <c r="F111" s="693"/>
      <c r="G111" s="167"/>
      <c r="H111" s="167"/>
      <c r="I111" s="167"/>
      <c r="J111" s="79"/>
      <c r="K111" s="1357"/>
      <c r="L111" s="1792"/>
      <c r="M111" s="154"/>
      <c r="N111" s="692"/>
      <c r="O111" s="2396"/>
      <c r="P111" s="2416"/>
      <c r="Q111" s="2214"/>
      <c r="R111" s="577"/>
      <c r="S111" s="165"/>
      <c r="T111" s="2472"/>
      <c r="U111" s="1327"/>
      <c r="V111" s="1526"/>
      <c r="W111" s="1526"/>
      <c r="X111" s="1526"/>
      <c r="Y111" s="1526"/>
      <c r="Z111" s="1749"/>
      <c r="AA111" s="1791"/>
      <c r="AB111" s="1526"/>
      <c r="AC111" s="1608"/>
      <c r="AD111" s="1526"/>
      <c r="AE111" s="1591"/>
      <c r="AF111" s="1769"/>
      <c r="AG111" s="1793"/>
      <c r="AH111" s="1794"/>
      <c r="AI111" s="1432"/>
      <c r="AJ111" s="1530"/>
      <c r="AK111" s="1433"/>
      <c r="AL111" s="1433"/>
      <c r="AM111" s="1433"/>
      <c r="AN111" s="1433"/>
      <c r="AO111" s="1433"/>
      <c r="AP111" s="1433"/>
      <c r="AQ111" s="1433"/>
      <c r="AR111" s="1433"/>
      <c r="AS111" s="1433"/>
      <c r="AT111" s="1433"/>
      <c r="AU111" s="1426"/>
      <c r="AV111" s="1426"/>
      <c r="AW111" s="1426"/>
      <c r="AX111" s="1426"/>
      <c r="AY111" s="1426"/>
      <c r="AZ111" s="1426"/>
      <c r="BA111" s="1426"/>
      <c r="BB111" s="1426"/>
      <c r="BC111" s="1426"/>
      <c r="BD111" s="1426"/>
      <c r="BE111" s="1426"/>
    </row>
    <row r="112" spans="1:57" s="5" customFormat="1">
      <c r="A112" s="326">
        <f t="shared" si="36"/>
        <v>22</v>
      </c>
      <c r="B112" s="295"/>
      <c r="C112" s="166"/>
      <c r="D112" s="46"/>
      <c r="E112" s="47"/>
      <c r="F112" s="693"/>
      <c r="G112" s="167"/>
      <c r="H112" s="167"/>
      <c r="I112" s="167"/>
      <c r="J112" s="79"/>
      <c r="K112" s="1357"/>
      <c r="L112" s="1792"/>
      <c r="M112" s="154"/>
      <c r="N112" s="692"/>
      <c r="O112" s="2396"/>
      <c r="P112" s="2416"/>
      <c r="Q112" s="2214"/>
      <c r="R112" s="577"/>
      <c r="S112" s="165"/>
      <c r="T112" s="2472"/>
      <c r="U112" s="1327"/>
      <c r="V112" s="1526"/>
      <c r="W112" s="1526"/>
      <c r="X112" s="1526"/>
      <c r="Y112" s="1526"/>
      <c r="Z112" s="1749"/>
      <c r="AA112" s="1791"/>
      <c r="AB112" s="1526"/>
      <c r="AC112" s="1608"/>
      <c r="AD112" s="1526"/>
      <c r="AE112" s="1591"/>
      <c r="AF112" s="1769"/>
      <c r="AG112" s="1793"/>
      <c r="AH112" s="1794"/>
      <c r="AI112" s="1432"/>
      <c r="AJ112" s="1530"/>
      <c r="AK112" s="1433"/>
      <c r="AL112" s="1433"/>
      <c r="AM112" s="1433"/>
      <c r="AN112" s="1433"/>
      <c r="AO112" s="1433"/>
      <c r="AP112" s="1433"/>
      <c r="AQ112" s="1433"/>
      <c r="AR112" s="1433"/>
      <c r="AS112" s="1433"/>
      <c r="AT112" s="1433"/>
      <c r="AU112" s="1426"/>
      <c r="AV112" s="1426"/>
      <c r="AW112" s="1426"/>
      <c r="AX112" s="1426"/>
      <c r="AY112" s="1426"/>
      <c r="AZ112" s="1426"/>
      <c r="BA112" s="1426"/>
      <c r="BB112" s="1426"/>
      <c r="BC112" s="1426"/>
      <c r="BD112" s="1426"/>
      <c r="BE112" s="1426"/>
    </row>
    <row r="113" spans="1:57" s="5" customFormat="1">
      <c r="A113" s="326">
        <f t="shared" si="36"/>
        <v>23</v>
      </c>
      <c r="B113" s="295"/>
      <c r="C113" s="166"/>
      <c r="D113" s="46"/>
      <c r="E113" s="47"/>
      <c r="F113" s="693"/>
      <c r="G113" s="167"/>
      <c r="H113" s="167"/>
      <c r="I113" s="167"/>
      <c r="J113" s="79"/>
      <c r="K113" s="1357"/>
      <c r="L113" s="1792"/>
      <c r="M113" s="154"/>
      <c r="N113" s="692"/>
      <c r="O113" s="2396"/>
      <c r="P113" s="2416"/>
      <c r="Q113" s="2214"/>
      <c r="R113" s="577"/>
      <c r="S113" s="165"/>
      <c r="T113" s="2472"/>
      <c r="U113" s="1327"/>
      <c r="V113" s="1526"/>
      <c r="W113" s="1526"/>
      <c r="X113" s="1526"/>
      <c r="Y113" s="1526"/>
      <c r="Z113" s="1749"/>
      <c r="AA113" s="1791"/>
      <c r="AB113" s="1526"/>
      <c r="AC113" s="1608"/>
      <c r="AD113" s="1526"/>
      <c r="AE113" s="1591"/>
      <c r="AF113" s="1769"/>
      <c r="AG113" s="1793"/>
      <c r="AH113" s="1794"/>
      <c r="AI113" s="1432"/>
      <c r="AJ113" s="1530"/>
      <c r="AK113" s="1433"/>
      <c r="AL113" s="1433"/>
      <c r="AM113" s="1433"/>
      <c r="AN113" s="1433"/>
      <c r="AO113" s="1433"/>
      <c r="AP113" s="1433"/>
      <c r="AQ113" s="1433"/>
      <c r="AR113" s="1433"/>
      <c r="AS113" s="1433"/>
      <c r="AT113" s="1433"/>
      <c r="AU113" s="1426"/>
      <c r="AV113" s="1426"/>
      <c r="AW113" s="1426"/>
      <c r="AX113" s="1426"/>
      <c r="AY113" s="1426"/>
      <c r="AZ113" s="1426"/>
      <c r="BA113" s="1426"/>
      <c r="BB113" s="1426"/>
      <c r="BC113" s="1426"/>
      <c r="BD113" s="1426"/>
      <c r="BE113" s="1426"/>
    </row>
    <row r="114" spans="1:57" s="5" customFormat="1">
      <c r="A114" s="326">
        <f t="shared" si="36"/>
        <v>24</v>
      </c>
      <c r="B114" s="295"/>
      <c r="C114" s="166"/>
      <c r="D114" s="46"/>
      <c r="E114" s="47"/>
      <c r="F114" s="693"/>
      <c r="G114" s="167"/>
      <c r="H114" s="167"/>
      <c r="I114" s="167"/>
      <c r="J114" s="79"/>
      <c r="K114" s="1357"/>
      <c r="L114" s="1792"/>
      <c r="M114" s="154"/>
      <c r="N114" s="692"/>
      <c r="O114" s="2396"/>
      <c r="P114" s="2416"/>
      <c r="Q114" s="2214"/>
      <c r="R114" s="577"/>
      <c r="S114" s="165"/>
      <c r="T114" s="2472"/>
      <c r="U114" s="1327"/>
      <c r="V114" s="1526"/>
      <c r="W114" s="1526"/>
      <c r="X114" s="1526"/>
      <c r="Y114" s="1526"/>
      <c r="Z114" s="1749"/>
      <c r="AA114" s="1791"/>
      <c r="AB114" s="1526"/>
      <c r="AC114" s="1608"/>
      <c r="AD114" s="1526"/>
      <c r="AE114" s="1591"/>
      <c r="AF114" s="1769"/>
      <c r="AG114" s="1793"/>
      <c r="AH114" s="1794"/>
      <c r="AI114" s="1432"/>
      <c r="AJ114" s="1530"/>
      <c r="AK114" s="1433"/>
      <c r="AL114" s="1433"/>
      <c r="AM114" s="1433"/>
      <c r="AN114" s="1433"/>
      <c r="AO114" s="1433"/>
      <c r="AP114" s="1433"/>
      <c r="AQ114" s="1433"/>
      <c r="AR114" s="1433"/>
      <c r="AS114" s="1433"/>
      <c r="AT114" s="1433"/>
      <c r="AU114" s="1426"/>
      <c r="AV114" s="1426"/>
      <c r="AW114" s="1426"/>
      <c r="AX114" s="1426"/>
      <c r="AY114" s="1426"/>
      <c r="AZ114" s="1426"/>
      <c r="BA114" s="1426"/>
      <c r="BB114" s="1426"/>
      <c r="BC114" s="1426"/>
      <c r="BD114" s="1426"/>
      <c r="BE114" s="1426"/>
    </row>
    <row r="115" spans="1:57" s="5" customFormat="1">
      <c r="A115" s="326">
        <f t="shared" si="36"/>
        <v>25</v>
      </c>
      <c r="B115" s="295"/>
      <c r="C115" s="166"/>
      <c r="D115" s="46"/>
      <c r="E115" s="47"/>
      <c r="F115" s="693"/>
      <c r="G115" s="167"/>
      <c r="H115" s="167"/>
      <c r="I115" s="167"/>
      <c r="J115" s="79"/>
      <c r="K115" s="1357"/>
      <c r="L115" s="1792"/>
      <c r="M115" s="154"/>
      <c r="N115" s="692"/>
      <c r="O115" s="2396"/>
      <c r="P115" s="2416"/>
      <c r="Q115" s="2214"/>
      <c r="R115" s="577"/>
      <c r="S115" s="165"/>
      <c r="T115" s="2472"/>
      <c r="U115" s="1327"/>
      <c r="V115" s="1526"/>
      <c r="W115" s="1526"/>
      <c r="X115" s="1526"/>
      <c r="Y115" s="1526"/>
      <c r="Z115" s="1749"/>
      <c r="AA115" s="1791"/>
      <c r="AB115" s="1526"/>
      <c r="AC115" s="1608"/>
      <c r="AD115" s="1526"/>
      <c r="AE115" s="1591"/>
      <c r="AF115" s="1769"/>
      <c r="AG115" s="1793"/>
      <c r="AH115" s="1794"/>
      <c r="AI115" s="1432"/>
      <c r="AJ115" s="1530"/>
      <c r="AK115" s="1433"/>
      <c r="AL115" s="1433"/>
      <c r="AM115" s="1433"/>
      <c r="AN115" s="1433"/>
      <c r="AO115" s="1433"/>
      <c r="AP115" s="1433"/>
      <c r="AQ115" s="1433"/>
      <c r="AR115" s="1433"/>
      <c r="AS115" s="1433"/>
      <c r="AT115" s="1433"/>
      <c r="AU115" s="1426"/>
      <c r="AV115" s="1426"/>
      <c r="AW115" s="1426"/>
      <c r="AX115" s="1426"/>
      <c r="AY115" s="1426"/>
      <c r="AZ115" s="1426"/>
      <c r="BA115" s="1426"/>
      <c r="BB115" s="1426"/>
      <c r="BC115" s="1426"/>
      <c r="BD115" s="1426"/>
      <c r="BE115" s="1426"/>
    </row>
    <row r="116" spans="1:57" s="5" customFormat="1">
      <c r="A116" s="326">
        <f t="shared" si="36"/>
        <v>26</v>
      </c>
      <c r="B116" s="295"/>
      <c r="C116" s="166"/>
      <c r="D116" s="46"/>
      <c r="E116" s="47"/>
      <c r="F116" s="693"/>
      <c r="G116" s="167"/>
      <c r="H116" s="167"/>
      <c r="I116" s="167"/>
      <c r="J116" s="79"/>
      <c r="K116" s="1357"/>
      <c r="L116" s="1792"/>
      <c r="M116" s="154"/>
      <c r="N116" s="692"/>
      <c r="O116" s="2396"/>
      <c r="P116" s="2416"/>
      <c r="Q116" s="2214"/>
      <c r="R116" s="577"/>
      <c r="S116" s="165"/>
      <c r="T116" s="2472"/>
      <c r="U116" s="1327"/>
      <c r="V116" s="1526"/>
      <c r="W116" s="1526"/>
      <c r="X116" s="1526"/>
      <c r="Y116" s="1526"/>
      <c r="Z116" s="1749"/>
      <c r="AA116" s="1791"/>
      <c r="AB116" s="1526"/>
      <c r="AC116" s="1608"/>
      <c r="AD116" s="1526"/>
      <c r="AE116" s="1591"/>
      <c r="AF116" s="1769"/>
      <c r="AG116" s="1793"/>
      <c r="AH116" s="1794"/>
      <c r="AI116" s="1432"/>
      <c r="AJ116" s="1530"/>
      <c r="AK116" s="1433"/>
      <c r="AL116" s="1433"/>
      <c r="AM116" s="1433"/>
      <c r="AN116" s="1433"/>
      <c r="AO116" s="1433"/>
      <c r="AP116" s="1433"/>
      <c r="AQ116" s="1433"/>
      <c r="AR116" s="1433"/>
      <c r="AS116" s="1433"/>
      <c r="AT116" s="1433"/>
      <c r="AU116" s="1426"/>
      <c r="AV116" s="1426"/>
      <c r="AW116" s="1426"/>
      <c r="AX116" s="1426"/>
      <c r="AY116" s="1426"/>
      <c r="AZ116" s="1426"/>
      <c r="BA116" s="1426"/>
      <c r="BB116" s="1426"/>
      <c r="BC116" s="1426"/>
      <c r="BD116" s="1426"/>
      <c r="BE116" s="1426"/>
    </row>
    <row r="117" spans="1:57" s="5" customFormat="1">
      <c r="A117" s="326">
        <f t="shared" si="36"/>
        <v>27</v>
      </c>
      <c r="B117" s="295"/>
      <c r="C117" s="166"/>
      <c r="D117" s="46"/>
      <c r="E117" s="47"/>
      <c r="F117" s="693"/>
      <c r="G117" s="167"/>
      <c r="H117" s="167"/>
      <c r="I117" s="167"/>
      <c r="J117" s="79"/>
      <c r="K117" s="1357"/>
      <c r="L117" s="1792"/>
      <c r="M117" s="154"/>
      <c r="N117" s="692"/>
      <c r="O117" s="2396"/>
      <c r="P117" s="2416"/>
      <c r="Q117" s="2214"/>
      <c r="R117" s="577"/>
      <c r="S117" s="165"/>
      <c r="T117" s="2472"/>
      <c r="U117" s="1327"/>
      <c r="V117" s="1526"/>
      <c r="W117" s="1526"/>
      <c r="X117" s="1526"/>
      <c r="Y117" s="1526"/>
      <c r="Z117" s="1749"/>
      <c r="AA117" s="1791"/>
      <c r="AB117" s="1526"/>
      <c r="AC117" s="1608"/>
      <c r="AD117" s="1526"/>
      <c r="AE117" s="1591"/>
      <c r="AF117" s="1769"/>
      <c r="AG117" s="1793"/>
      <c r="AH117" s="1794"/>
      <c r="AI117" s="1432"/>
      <c r="AJ117" s="1530"/>
      <c r="AK117" s="1433"/>
      <c r="AL117" s="1433"/>
      <c r="AM117" s="1433"/>
      <c r="AN117" s="1433"/>
      <c r="AO117" s="1433"/>
      <c r="AP117" s="1433"/>
      <c r="AQ117" s="1433"/>
      <c r="AR117" s="1433"/>
      <c r="AS117" s="1433"/>
      <c r="AT117" s="1433"/>
      <c r="AU117" s="1426"/>
      <c r="AV117" s="1426"/>
      <c r="AW117" s="1426"/>
      <c r="AX117" s="1426"/>
      <c r="AY117" s="1426"/>
      <c r="AZ117" s="1426"/>
      <c r="BA117" s="1426"/>
      <c r="BB117" s="1426"/>
      <c r="BC117" s="1426"/>
      <c r="BD117" s="1426"/>
      <c r="BE117" s="1426"/>
    </row>
    <row r="118" spans="1:57" s="5" customFormat="1">
      <c r="A118" s="326">
        <f t="shared" si="36"/>
        <v>28</v>
      </c>
      <c r="B118" s="295"/>
      <c r="C118" s="166"/>
      <c r="D118" s="46"/>
      <c r="E118" s="47"/>
      <c r="F118" s="693"/>
      <c r="G118" s="167"/>
      <c r="H118" s="167"/>
      <c r="I118" s="167"/>
      <c r="J118" s="79"/>
      <c r="K118" s="1357"/>
      <c r="L118" s="1792"/>
      <c r="M118" s="154"/>
      <c r="N118" s="692"/>
      <c r="O118" s="2396"/>
      <c r="P118" s="2416"/>
      <c r="Q118" s="2214"/>
      <c r="R118" s="577"/>
      <c r="S118" s="165"/>
      <c r="T118" s="2472"/>
      <c r="U118" s="1327"/>
      <c r="V118" s="1526"/>
      <c r="W118" s="1526"/>
      <c r="X118" s="1526"/>
      <c r="Y118" s="1526"/>
      <c r="Z118" s="1749"/>
      <c r="AA118" s="1791"/>
      <c r="AB118" s="1526"/>
      <c r="AC118" s="1608"/>
      <c r="AD118" s="1526"/>
      <c r="AE118" s="1591"/>
      <c r="AF118" s="1769"/>
      <c r="AG118" s="1793"/>
      <c r="AH118" s="1794"/>
      <c r="AI118" s="1432"/>
      <c r="AJ118" s="1530"/>
      <c r="AK118" s="1433"/>
      <c r="AL118" s="1433"/>
      <c r="AM118" s="1433"/>
      <c r="AN118" s="1433"/>
      <c r="AO118" s="1433"/>
      <c r="AP118" s="1433"/>
      <c r="AQ118" s="1433"/>
      <c r="AR118" s="1433"/>
      <c r="AS118" s="1433"/>
      <c r="AT118" s="1433"/>
      <c r="AU118" s="1426"/>
      <c r="AV118" s="1426"/>
      <c r="AW118" s="1426"/>
      <c r="AX118" s="1426"/>
      <c r="AY118" s="1426"/>
      <c r="AZ118" s="1426"/>
      <c r="BA118" s="1426"/>
      <c r="BB118" s="1426"/>
      <c r="BC118" s="1426"/>
      <c r="BD118" s="1426"/>
      <c r="BE118" s="1426"/>
    </row>
    <row r="119" spans="1:57" s="5" customFormat="1">
      <c r="A119" s="326">
        <f t="shared" si="36"/>
        <v>29</v>
      </c>
      <c r="B119" s="295"/>
      <c r="C119" s="166"/>
      <c r="D119" s="46"/>
      <c r="E119" s="47"/>
      <c r="F119" s="693"/>
      <c r="G119" s="167"/>
      <c r="H119" s="167"/>
      <c r="I119" s="167"/>
      <c r="J119" s="79"/>
      <c r="K119" s="1357"/>
      <c r="L119" s="1792"/>
      <c r="M119" s="154"/>
      <c r="N119" s="692"/>
      <c r="O119" s="2396"/>
      <c r="P119" s="2416"/>
      <c r="Q119" s="2214"/>
      <c r="R119" s="577"/>
      <c r="S119" s="165"/>
      <c r="T119" s="2472"/>
      <c r="U119" s="1327"/>
      <c r="V119" s="1526"/>
      <c r="W119" s="1526"/>
      <c r="X119" s="1526"/>
      <c r="Y119" s="1526"/>
      <c r="Z119" s="1749"/>
      <c r="AA119" s="1791"/>
      <c r="AB119" s="1526"/>
      <c r="AC119" s="1608"/>
      <c r="AD119" s="1526"/>
      <c r="AE119" s="1591"/>
      <c r="AF119" s="1769"/>
      <c r="AG119" s="1793"/>
      <c r="AH119" s="1794"/>
      <c r="AI119" s="1432"/>
      <c r="AJ119" s="1530"/>
      <c r="AK119" s="1433"/>
      <c r="AL119" s="1433"/>
      <c r="AM119" s="1433"/>
      <c r="AN119" s="1433"/>
      <c r="AO119" s="1433"/>
      <c r="AP119" s="1433"/>
      <c r="AQ119" s="1433"/>
      <c r="AR119" s="1433"/>
      <c r="AS119" s="1433"/>
      <c r="AT119" s="1433"/>
      <c r="AU119" s="1426"/>
      <c r="AV119" s="1426"/>
      <c r="AW119" s="1426"/>
      <c r="AX119" s="1426"/>
      <c r="AY119" s="1426"/>
      <c r="AZ119" s="1426"/>
      <c r="BA119" s="1426"/>
      <c r="BB119" s="1426"/>
      <c r="BC119" s="1426"/>
      <c r="BD119" s="1426"/>
      <c r="BE119" s="1426"/>
    </row>
    <row r="120" spans="1:57" s="5" customFormat="1">
      <c r="A120" s="326">
        <f t="shared" si="36"/>
        <v>30</v>
      </c>
      <c r="B120" s="295"/>
      <c r="C120" s="166"/>
      <c r="D120" s="46"/>
      <c r="E120" s="47"/>
      <c r="F120" s="693"/>
      <c r="G120" s="167"/>
      <c r="H120" s="167"/>
      <c r="I120" s="167"/>
      <c r="J120" s="79"/>
      <c r="K120" s="1357"/>
      <c r="L120" s="1792"/>
      <c r="M120" s="154"/>
      <c r="N120" s="692"/>
      <c r="O120" s="2396"/>
      <c r="P120" s="2416"/>
      <c r="Q120" s="2214"/>
      <c r="R120" s="577"/>
      <c r="S120" s="165"/>
      <c r="T120" s="2472"/>
      <c r="U120" s="1327"/>
      <c r="V120" s="1526"/>
      <c r="W120" s="1526"/>
      <c r="X120" s="1526"/>
      <c r="Y120" s="1526"/>
      <c r="Z120" s="1749"/>
      <c r="AA120" s="1791"/>
      <c r="AB120" s="1526"/>
      <c r="AC120" s="1608"/>
      <c r="AD120" s="1526"/>
      <c r="AE120" s="1591"/>
      <c r="AF120" s="1769"/>
      <c r="AG120" s="1793"/>
      <c r="AH120" s="1794"/>
      <c r="AI120" s="1432"/>
      <c r="AJ120" s="1530"/>
      <c r="AK120" s="1433"/>
      <c r="AL120" s="1433"/>
      <c r="AM120" s="1433"/>
      <c r="AN120" s="1433"/>
      <c r="AO120" s="1433"/>
      <c r="AP120" s="1433"/>
      <c r="AQ120" s="1433"/>
      <c r="AR120" s="1433"/>
      <c r="AS120" s="1433"/>
      <c r="AT120" s="1433"/>
      <c r="AU120" s="1426"/>
      <c r="AV120" s="1426"/>
      <c r="AW120" s="1426"/>
      <c r="AX120" s="1426"/>
      <c r="AY120" s="1426"/>
      <c r="AZ120" s="1426"/>
      <c r="BA120" s="1426"/>
      <c r="BB120" s="1426"/>
      <c r="BC120" s="1426"/>
      <c r="BD120" s="1426"/>
      <c r="BE120" s="1426"/>
    </row>
    <row r="121" spans="1:57" s="5" customFormat="1">
      <c r="A121" s="326">
        <f t="shared" si="36"/>
        <v>31</v>
      </c>
      <c r="B121" s="295"/>
      <c r="C121" s="166"/>
      <c r="D121" s="46"/>
      <c r="E121" s="47"/>
      <c r="F121" s="693"/>
      <c r="G121" s="167"/>
      <c r="H121" s="167"/>
      <c r="I121" s="167"/>
      <c r="J121" s="79"/>
      <c r="K121" s="1357"/>
      <c r="L121" s="1792"/>
      <c r="M121" s="154"/>
      <c r="N121" s="692"/>
      <c r="O121" s="2396"/>
      <c r="P121" s="2416"/>
      <c r="Q121" s="2214"/>
      <c r="R121" s="577"/>
      <c r="S121" s="165"/>
      <c r="T121" s="2472"/>
      <c r="U121" s="1327"/>
      <c r="V121" s="1526"/>
      <c r="W121" s="1526"/>
      <c r="X121" s="1526"/>
      <c r="Y121" s="1526"/>
      <c r="Z121" s="1749"/>
      <c r="AA121" s="1791"/>
      <c r="AB121" s="1526"/>
      <c r="AC121" s="1608"/>
      <c r="AD121" s="1526"/>
      <c r="AE121" s="1591"/>
      <c r="AF121" s="1769"/>
      <c r="AG121" s="1793"/>
      <c r="AH121" s="1794"/>
      <c r="AI121" s="1432"/>
      <c r="AJ121" s="1530"/>
      <c r="AK121" s="1433"/>
      <c r="AL121" s="1433"/>
      <c r="AM121" s="1433"/>
      <c r="AN121" s="1433"/>
      <c r="AO121" s="1433"/>
      <c r="AP121" s="1433"/>
      <c r="AQ121" s="1433"/>
      <c r="AR121" s="1433"/>
      <c r="AS121" s="1433"/>
      <c r="AT121" s="1433"/>
      <c r="AU121" s="1426"/>
      <c r="AV121" s="1426"/>
      <c r="AW121" s="1426"/>
      <c r="AX121" s="1426"/>
      <c r="AY121" s="1426"/>
      <c r="AZ121" s="1426"/>
      <c r="BA121" s="1426"/>
      <c r="BB121" s="1426"/>
      <c r="BC121" s="1426"/>
      <c r="BD121" s="1426"/>
      <c r="BE121" s="1426"/>
    </row>
    <row r="122" spans="1:57" s="5" customFormat="1">
      <c r="A122" s="326">
        <f t="shared" si="36"/>
        <v>32</v>
      </c>
      <c r="B122" s="295"/>
      <c r="C122" s="166"/>
      <c r="D122" s="46"/>
      <c r="E122" s="47"/>
      <c r="F122" s="693"/>
      <c r="G122" s="167"/>
      <c r="H122" s="167"/>
      <c r="I122" s="167"/>
      <c r="J122" s="79"/>
      <c r="K122" s="1357"/>
      <c r="L122" s="1792"/>
      <c r="M122" s="154"/>
      <c r="N122" s="692"/>
      <c r="O122" s="2396"/>
      <c r="P122" s="2416"/>
      <c r="Q122" s="2214"/>
      <c r="R122" s="577"/>
      <c r="S122" s="165"/>
      <c r="T122" s="2472"/>
      <c r="U122" s="1327"/>
      <c r="V122" s="1526"/>
      <c r="W122" s="1526"/>
      <c r="X122" s="1526"/>
      <c r="Y122" s="1526"/>
      <c r="Z122" s="1749"/>
      <c r="AA122" s="1791"/>
      <c r="AB122" s="1526"/>
      <c r="AC122" s="1608"/>
      <c r="AD122" s="1526"/>
      <c r="AE122" s="1591"/>
      <c r="AF122" s="1769"/>
      <c r="AG122" s="1793"/>
      <c r="AH122" s="1794"/>
      <c r="AI122" s="1432"/>
      <c r="AJ122" s="1530"/>
      <c r="AK122" s="1433"/>
      <c r="AL122" s="1433"/>
      <c r="AM122" s="1433"/>
      <c r="AN122" s="1433"/>
      <c r="AO122" s="1433"/>
      <c r="AP122" s="1433"/>
      <c r="AQ122" s="1433"/>
      <c r="AR122" s="1433"/>
      <c r="AS122" s="1433"/>
      <c r="AT122" s="1433"/>
      <c r="AU122" s="1426"/>
      <c r="AV122" s="1426"/>
      <c r="AW122" s="1426"/>
      <c r="AX122" s="1426"/>
      <c r="AY122" s="1426"/>
      <c r="AZ122" s="1426"/>
      <c r="BA122" s="1426"/>
      <c r="BB122" s="1426"/>
      <c r="BC122" s="1426"/>
      <c r="BD122" s="1426"/>
      <c r="BE122" s="1426"/>
    </row>
    <row r="123" spans="1:57" s="5" customFormat="1">
      <c r="A123" s="326">
        <f t="shared" si="36"/>
        <v>33</v>
      </c>
      <c r="B123" s="295"/>
      <c r="C123" s="166"/>
      <c r="D123" s="46"/>
      <c r="E123" s="47"/>
      <c r="F123" s="693"/>
      <c r="G123" s="167"/>
      <c r="H123" s="167"/>
      <c r="I123" s="167"/>
      <c r="J123" s="79"/>
      <c r="K123" s="1357"/>
      <c r="L123" s="1792"/>
      <c r="M123" s="154"/>
      <c r="N123" s="692"/>
      <c r="O123" s="2396"/>
      <c r="P123" s="2416"/>
      <c r="Q123" s="2214"/>
      <c r="R123" s="577"/>
      <c r="S123" s="165"/>
      <c r="T123" s="2472"/>
      <c r="U123" s="1327"/>
      <c r="V123" s="1526"/>
      <c r="W123" s="1526"/>
      <c r="X123" s="1526"/>
      <c r="Y123" s="1526"/>
      <c r="Z123" s="1749"/>
      <c r="AA123" s="1791"/>
      <c r="AB123" s="1526"/>
      <c r="AC123" s="1608"/>
      <c r="AD123" s="1526"/>
      <c r="AE123" s="1591"/>
      <c r="AF123" s="1769"/>
      <c r="AG123" s="1793"/>
      <c r="AH123" s="1794"/>
      <c r="AI123" s="1432"/>
      <c r="AJ123" s="1530"/>
      <c r="AK123" s="1433"/>
      <c r="AL123" s="1433"/>
      <c r="AM123" s="1433"/>
      <c r="AN123" s="1433"/>
      <c r="AO123" s="1433"/>
      <c r="AP123" s="1433"/>
      <c r="AQ123" s="1433"/>
      <c r="AR123" s="1433"/>
      <c r="AS123" s="1433"/>
      <c r="AT123" s="1433"/>
      <c r="AU123" s="1426"/>
      <c r="AV123" s="1426"/>
      <c r="AW123" s="1426"/>
      <c r="AX123" s="1426"/>
      <c r="AY123" s="1426"/>
      <c r="AZ123" s="1426"/>
      <c r="BA123" s="1426"/>
      <c r="BB123" s="1426"/>
      <c r="BC123" s="1426"/>
      <c r="BD123" s="1426"/>
      <c r="BE123" s="1426"/>
    </row>
    <row r="124" spans="1:57" s="5" customFormat="1">
      <c r="A124" s="326">
        <f t="shared" si="36"/>
        <v>34</v>
      </c>
      <c r="B124" s="295"/>
      <c r="C124" s="166"/>
      <c r="D124" s="46"/>
      <c r="E124" s="47"/>
      <c r="F124" s="693"/>
      <c r="G124" s="167"/>
      <c r="H124" s="167"/>
      <c r="I124" s="167"/>
      <c r="J124" s="79"/>
      <c r="K124" s="1357"/>
      <c r="L124" s="1792"/>
      <c r="M124" s="154"/>
      <c r="N124" s="692"/>
      <c r="O124" s="2396"/>
      <c r="P124" s="2416"/>
      <c r="Q124" s="2214"/>
      <c r="R124" s="577"/>
      <c r="S124" s="165"/>
      <c r="T124" s="2472"/>
      <c r="U124" s="1327"/>
      <c r="V124" s="1526"/>
      <c r="W124" s="1526"/>
      <c r="X124" s="1526"/>
      <c r="Y124" s="1526"/>
      <c r="Z124" s="1749"/>
      <c r="AA124" s="1791"/>
      <c r="AB124" s="1526"/>
      <c r="AC124" s="1608"/>
      <c r="AD124" s="1526"/>
      <c r="AE124" s="1591"/>
      <c r="AF124" s="1769"/>
      <c r="AG124" s="1793"/>
      <c r="AH124" s="1794"/>
      <c r="AI124" s="1432"/>
      <c r="AJ124" s="1530"/>
      <c r="AK124" s="1433"/>
      <c r="AL124" s="1433"/>
      <c r="AM124" s="1433"/>
      <c r="AN124" s="1433"/>
      <c r="AO124" s="1433"/>
      <c r="AP124" s="1433"/>
      <c r="AQ124" s="1433"/>
      <c r="AR124" s="1433"/>
      <c r="AS124" s="1433"/>
      <c r="AT124" s="1433"/>
      <c r="AU124" s="1426"/>
      <c r="AV124" s="1426"/>
      <c r="AW124" s="1426"/>
      <c r="AX124" s="1426"/>
      <c r="AY124" s="1426"/>
      <c r="AZ124" s="1426"/>
      <c r="BA124" s="1426"/>
      <c r="BB124" s="1426"/>
      <c r="BC124" s="1426"/>
      <c r="BD124" s="1426"/>
      <c r="BE124" s="1426"/>
    </row>
    <row r="125" spans="1:57" s="5" customFormat="1">
      <c r="A125" s="326">
        <f t="shared" si="36"/>
        <v>35</v>
      </c>
      <c r="B125" s="295"/>
      <c r="C125" s="166"/>
      <c r="D125" s="46"/>
      <c r="E125" s="47"/>
      <c r="F125" s="693"/>
      <c r="G125" s="167"/>
      <c r="H125" s="167"/>
      <c r="I125" s="167"/>
      <c r="J125" s="79"/>
      <c r="K125" s="1357"/>
      <c r="L125" s="1792"/>
      <c r="M125" s="154"/>
      <c r="N125" s="692"/>
      <c r="O125" s="2396"/>
      <c r="P125" s="2416"/>
      <c r="Q125" s="2214"/>
      <c r="R125" s="577"/>
      <c r="S125" s="165"/>
      <c r="T125" s="2472"/>
      <c r="U125" s="1327"/>
      <c r="V125" s="1526"/>
      <c r="W125" s="1526"/>
      <c r="X125" s="1526"/>
      <c r="Y125" s="1526"/>
      <c r="Z125" s="1749"/>
      <c r="AA125" s="1791"/>
      <c r="AB125" s="1526"/>
      <c r="AC125" s="1608"/>
      <c r="AD125" s="1526"/>
      <c r="AE125" s="1591"/>
      <c r="AF125" s="1769"/>
      <c r="AG125" s="1793"/>
      <c r="AH125" s="1794"/>
      <c r="AI125" s="1432"/>
      <c r="AJ125" s="1530"/>
      <c r="AK125" s="1433"/>
      <c r="AL125" s="1433"/>
      <c r="AM125" s="1433"/>
      <c r="AN125" s="1433"/>
      <c r="AO125" s="1433"/>
      <c r="AP125" s="1433"/>
      <c r="AQ125" s="1433"/>
      <c r="AR125" s="1433"/>
      <c r="AS125" s="1433"/>
      <c r="AT125" s="1433"/>
      <c r="AU125" s="1426"/>
      <c r="AV125" s="1426"/>
      <c r="AW125" s="1426"/>
      <c r="AX125" s="1426"/>
      <c r="AY125" s="1426"/>
      <c r="AZ125" s="1426"/>
      <c r="BA125" s="1426"/>
      <c r="BB125" s="1426"/>
      <c r="BC125" s="1426"/>
      <c r="BD125" s="1426"/>
      <c r="BE125" s="1426"/>
    </row>
    <row r="126" spans="1:57" s="5" customFormat="1">
      <c r="A126" s="326">
        <f t="shared" si="36"/>
        <v>36</v>
      </c>
      <c r="B126" s="295"/>
      <c r="C126" s="166"/>
      <c r="D126" s="46"/>
      <c r="E126" s="47"/>
      <c r="F126" s="693"/>
      <c r="G126" s="167"/>
      <c r="H126" s="167"/>
      <c r="I126" s="167"/>
      <c r="J126" s="79"/>
      <c r="K126" s="1357"/>
      <c r="L126" s="1792"/>
      <c r="M126" s="154"/>
      <c r="N126" s="692"/>
      <c r="O126" s="2396"/>
      <c r="P126" s="2416"/>
      <c r="Q126" s="2214"/>
      <c r="R126" s="577"/>
      <c r="S126" s="165"/>
      <c r="T126" s="2472"/>
      <c r="U126" s="1327"/>
      <c r="V126" s="1526"/>
      <c r="W126" s="1526"/>
      <c r="X126" s="1526"/>
      <c r="Y126" s="1526"/>
      <c r="Z126" s="1749"/>
      <c r="AA126" s="1791"/>
      <c r="AB126" s="1526"/>
      <c r="AC126" s="1608"/>
      <c r="AD126" s="1526"/>
      <c r="AE126" s="1591"/>
      <c r="AF126" s="1769"/>
      <c r="AG126" s="1793"/>
      <c r="AH126" s="1794"/>
      <c r="AI126" s="1432"/>
      <c r="AJ126" s="1530"/>
      <c r="AK126" s="1433"/>
      <c r="AL126" s="1433"/>
      <c r="AM126" s="1433"/>
      <c r="AN126" s="1433"/>
      <c r="AO126" s="1433"/>
      <c r="AP126" s="1433"/>
      <c r="AQ126" s="1433"/>
      <c r="AR126" s="1433"/>
      <c r="AS126" s="1433"/>
      <c r="AT126" s="1433"/>
      <c r="AU126" s="1426"/>
      <c r="AV126" s="1426"/>
      <c r="AW126" s="1426"/>
      <c r="AX126" s="1426"/>
      <c r="AY126" s="1426"/>
      <c r="AZ126" s="1426"/>
      <c r="BA126" s="1426"/>
      <c r="BB126" s="1426"/>
      <c r="BC126" s="1426"/>
      <c r="BD126" s="1426"/>
      <c r="BE126" s="1426"/>
    </row>
    <row r="127" spans="1:57" s="5" customFormat="1">
      <c r="A127" s="326">
        <f t="shared" si="36"/>
        <v>37</v>
      </c>
      <c r="B127" s="295"/>
      <c r="C127" s="166"/>
      <c r="D127" s="46"/>
      <c r="E127" s="47"/>
      <c r="F127" s="693"/>
      <c r="G127" s="167"/>
      <c r="H127" s="167"/>
      <c r="I127" s="167"/>
      <c r="J127" s="79"/>
      <c r="K127" s="1357"/>
      <c r="L127" s="1792"/>
      <c r="M127" s="154"/>
      <c r="N127" s="692"/>
      <c r="O127" s="2396"/>
      <c r="P127" s="2416"/>
      <c r="Q127" s="2214"/>
      <c r="R127" s="577"/>
      <c r="S127" s="165"/>
      <c r="T127" s="2472"/>
      <c r="U127" s="1327"/>
      <c r="V127" s="1526"/>
      <c r="W127" s="1526"/>
      <c r="X127" s="1526"/>
      <c r="Y127" s="1526"/>
      <c r="Z127" s="1749"/>
      <c r="AA127" s="1791"/>
      <c r="AB127" s="1526"/>
      <c r="AC127" s="1608"/>
      <c r="AD127" s="1526"/>
      <c r="AE127" s="1591"/>
      <c r="AF127" s="1769"/>
      <c r="AG127" s="1793"/>
      <c r="AH127" s="1794"/>
      <c r="AI127" s="1432"/>
      <c r="AJ127" s="1530"/>
      <c r="AK127" s="1433"/>
      <c r="AL127" s="1433"/>
      <c r="AM127" s="1433"/>
      <c r="AN127" s="1433"/>
      <c r="AO127" s="1433"/>
      <c r="AP127" s="1433"/>
      <c r="AQ127" s="1433"/>
      <c r="AR127" s="1433"/>
      <c r="AS127" s="1433"/>
      <c r="AT127" s="1433"/>
      <c r="AU127" s="1426"/>
      <c r="AV127" s="1426"/>
      <c r="AW127" s="1426"/>
      <c r="AX127" s="1426"/>
      <c r="AY127" s="1426"/>
      <c r="AZ127" s="1426"/>
      <c r="BA127" s="1426"/>
      <c r="BB127" s="1426"/>
      <c r="BC127" s="1426"/>
      <c r="BD127" s="1426"/>
      <c r="BE127" s="1426"/>
    </row>
    <row r="128" spans="1:57" s="5" customFormat="1">
      <c r="A128" s="326">
        <f t="shared" si="36"/>
        <v>38</v>
      </c>
      <c r="B128" s="295"/>
      <c r="C128" s="166"/>
      <c r="D128" s="46"/>
      <c r="E128" s="47"/>
      <c r="F128" s="693"/>
      <c r="G128" s="167"/>
      <c r="H128" s="167"/>
      <c r="I128" s="167"/>
      <c r="J128" s="79"/>
      <c r="K128" s="1357"/>
      <c r="L128" s="1792"/>
      <c r="M128" s="154"/>
      <c r="N128" s="692"/>
      <c r="O128" s="2396"/>
      <c r="P128" s="2416"/>
      <c r="Q128" s="2214"/>
      <c r="R128" s="577"/>
      <c r="S128" s="165"/>
      <c r="T128" s="2472"/>
      <c r="U128" s="1327"/>
      <c r="V128" s="1526"/>
      <c r="W128" s="1526"/>
      <c r="X128" s="1526"/>
      <c r="Y128" s="1526"/>
      <c r="Z128" s="1749"/>
      <c r="AA128" s="1791"/>
      <c r="AB128" s="1526"/>
      <c r="AC128" s="1608"/>
      <c r="AD128" s="1526"/>
      <c r="AE128" s="1591"/>
      <c r="AF128" s="1769"/>
      <c r="AG128" s="1793"/>
      <c r="AH128" s="1794"/>
      <c r="AI128" s="1432"/>
      <c r="AJ128" s="1530"/>
      <c r="AK128" s="1433"/>
      <c r="AL128" s="1433"/>
      <c r="AM128" s="1433"/>
      <c r="AN128" s="1433"/>
      <c r="AO128" s="1433"/>
      <c r="AP128" s="1433"/>
      <c r="AQ128" s="1433"/>
      <c r="AR128" s="1433"/>
      <c r="AS128" s="1433"/>
      <c r="AT128" s="1433"/>
      <c r="AU128" s="1426"/>
      <c r="AV128" s="1426"/>
      <c r="AW128" s="1426"/>
      <c r="AX128" s="1426"/>
      <c r="AY128" s="1426"/>
      <c r="AZ128" s="1426"/>
      <c r="BA128" s="1426"/>
      <c r="BB128" s="1426"/>
      <c r="BC128" s="1426"/>
      <c r="BD128" s="1426"/>
      <c r="BE128" s="1426"/>
    </row>
    <row r="129" spans="1:57" s="5" customFormat="1">
      <c r="A129" s="326">
        <f t="shared" si="36"/>
        <v>39</v>
      </c>
      <c r="B129" s="295"/>
      <c r="C129" s="166"/>
      <c r="D129" s="46"/>
      <c r="E129" s="47"/>
      <c r="F129" s="693"/>
      <c r="G129" s="167"/>
      <c r="H129" s="167"/>
      <c r="I129" s="167"/>
      <c r="J129" s="79"/>
      <c r="K129" s="1357"/>
      <c r="L129" s="1792"/>
      <c r="M129" s="154"/>
      <c r="N129" s="692"/>
      <c r="O129" s="2396"/>
      <c r="P129" s="2416"/>
      <c r="Q129" s="2214"/>
      <c r="R129" s="577"/>
      <c r="S129" s="165"/>
      <c r="T129" s="2472"/>
      <c r="U129" s="1327"/>
      <c r="V129" s="1526"/>
      <c r="W129" s="1526"/>
      <c r="X129" s="1526"/>
      <c r="Y129" s="1526"/>
      <c r="Z129" s="1749"/>
      <c r="AA129" s="1791"/>
      <c r="AB129" s="1526"/>
      <c r="AC129" s="1608"/>
      <c r="AD129" s="1526"/>
      <c r="AE129" s="1591"/>
      <c r="AF129" s="1769"/>
      <c r="AG129" s="1793"/>
      <c r="AH129" s="1794"/>
      <c r="AI129" s="1432"/>
      <c r="AJ129" s="1530"/>
      <c r="AK129" s="1433"/>
      <c r="AL129" s="1433"/>
      <c r="AM129" s="1433"/>
      <c r="AN129" s="1433"/>
      <c r="AO129" s="1433"/>
      <c r="AP129" s="1433"/>
      <c r="AQ129" s="1433"/>
      <c r="AR129" s="1433"/>
      <c r="AS129" s="1433"/>
      <c r="AT129" s="1433"/>
      <c r="AU129" s="1426"/>
      <c r="AV129" s="1426"/>
      <c r="AW129" s="1426"/>
      <c r="AX129" s="1426"/>
      <c r="AY129" s="1426"/>
      <c r="AZ129" s="1426"/>
      <c r="BA129" s="1426"/>
      <c r="BB129" s="1426"/>
      <c r="BC129" s="1426"/>
      <c r="BD129" s="1426"/>
      <c r="BE129" s="1426"/>
    </row>
    <row r="130" spans="1:57" s="5" customFormat="1">
      <c r="A130" s="326">
        <f t="shared" si="36"/>
        <v>40</v>
      </c>
      <c r="B130" s="295"/>
      <c r="C130" s="166"/>
      <c r="D130" s="46"/>
      <c r="E130" s="47"/>
      <c r="F130" s="693"/>
      <c r="G130" s="167"/>
      <c r="H130" s="167"/>
      <c r="I130" s="167"/>
      <c r="J130" s="79"/>
      <c r="K130" s="1357"/>
      <c r="L130" s="1792"/>
      <c r="M130" s="154"/>
      <c r="N130" s="692"/>
      <c r="O130" s="2396"/>
      <c r="P130" s="2416"/>
      <c r="Q130" s="2214"/>
      <c r="R130" s="577"/>
      <c r="S130" s="165"/>
      <c r="T130" s="2472"/>
      <c r="U130" s="1327"/>
      <c r="V130" s="1526"/>
      <c r="W130" s="1526"/>
      <c r="X130" s="1526"/>
      <c r="Y130" s="1526"/>
      <c r="Z130" s="1749"/>
      <c r="AA130" s="1791"/>
      <c r="AB130" s="1526"/>
      <c r="AC130" s="1608"/>
      <c r="AD130" s="1526"/>
      <c r="AE130" s="1591"/>
      <c r="AF130" s="1769"/>
      <c r="AG130" s="1793"/>
      <c r="AH130" s="1794"/>
      <c r="AI130" s="1432"/>
      <c r="AJ130" s="1530"/>
      <c r="AK130" s="1433"/>
      <c r="AL130" s="1433"/>
      <c r="AM130" s="1433"/>
      <c r="AN130" s="1433"/>
      <c r="AO130" s="1433"/>
      <c r="AP130" s="1433"/>
      <c r="AQ130" s="1433"/>
      <c r="AR130" s="1433"/>
      <c r="AS130" s="1433"/>
      <c r="AT130" s="1433"/>
      <c r="AU130" s="1426"/>
      <c r="AV130" s="1426"/>
      <c r="AW130" s="1426"/>
      <c r="AX130" s="1426"/>
      <c r="AY130" s="1426"/>
      <c r="AZ130" s="1426"/>
      <c r="BA130" s="1426"/>
      <c r="BB130" s="1426"/>
      <c r="BC130" s="1426"/>
      <c r="BD130" s="1426"/>
      <c r="BE130" s="1426"/>
    </row>
    <row r="131" spans="1:57" s="5" customFormat="1">
      <c r="A131" s="326">
        <f t="shared" si="36"/>
        <v>41</v>
      </c>
      <c r="B131" s="295"/>
      <c r="C131" s="166"/>
      <c r="D131" s="46"/>
      <c r="E131" s="47"/>
      <c r="F131" s="693"/>
      <c r="G131" s="167"/>
      <c r="H131" s="167"/>
      <c r="I131" s="167"/>
      <c r="J131" s="79"/>
      <c r="K131" s="1357"/>
      <c r="L131" s="1792"/>
      <c r="M131" s="154"/>
      <c r="N131" s="692"/>
      <c r="O131" s="2396"/>
      <c r="P131" s="2416"/>
      <c r="Q131" s="2214"/>
      <c r="R131" s="577"/>
      <c r="S131" s="165"/>
      <c r="T131" s="2472"/>
      <c r="U131" s="1327"/>
      <c r="V131" s="1526"/>
      <c r="W131" s="1526"/>
      <c r="X131" s="1526"/>
      <c r="Y131" s="1526"/>
      <c r="Z131" s="1749"/>
      <c r="AA131" s="1791"/>
      <c r="AB131" s="1526"/>
      <c r="AC131" s="1608"/>
      <c r="AD131" s="1526"/>
      <c r="AE131" s="1591"/>
      <c r="AF131" s="1769"/>
      <c r="AG131" s="1793"/>
      <c r="AH131" s="1794"/>
      <c r="AI131" s="1432"/>
      <c r="AJ131" s="1530"/>
      <c r="AK131" s="1433"/>
      <c r="AL131" s="1433"/>
      <c r="AM131" s="1433"/>
      <c r="AN131" s="1433"/>
      <c r="AO131" s="1433"/>
      <c r="AP131" s="1433"/>
      <c r="AQ131" s="1433"/>
      <c r="AR131" s="1433"/>
      <c r="AS131" s="1433"/>
      <c r="AT131" s="1433"/>
      <c r="AU131" s="1426"/>
      <c r="AV131" s="1426"/>
      <c r="AW131" s="1426"/>
      <c r="AX131" s="1426"/>
      <c r="AY131" s="1426"/>
      <c r="AZ131" s="1426"/>
      <c r="BA131" s="1426"/>
      <c r="BB131" s="1426"/>
      <c r="BC131" s="1426"/>
      <c r="BD131" s="1426"/>
      <c r="BE131" s="1426"/>
    </row>
    <row r="132" spans="1:57" s="5" customFormat="1">
      <c r="A132" s="326">
        <f t="shared" si="36"/>
        <v>42</v>
      </c>
      <c r="B132" s="295"/>
      <c r="C132" s="166"/>
      <c r="D132" s="46"/>
      <c r="E132" s="47"/>
      <c r="F132" s="693"/>
      <c r="G132" s="167"/>
      <c r="H132" s="167"/>
      <c r="I132" s="167"/>
      <c r="J132" s="79"/>
      <c r="K132" s="1357"/>
      <c r="L132" s="1792"/>
      <c r="M132" s="154"/>
      <c r="N132" s="692"/>
      <c r="O132" s="2396"/>
      <c r="P132" s="2416"/>
      <c r="Q132" s="2214"/>
      <c r="R132" s="577"/>
      <c r="S132" s="165"/>
      <c r="T132" s="2472"/>
      <c r="U132" s="1327"/>
      <c r="V132" s="1526"/>
      <c r="W132" s="1526"/>
      <c r="X132" s="1526"/>
      <c r="Y132" s="1526"/>
      <c r="Z132" s="1749"/>
      <c r="AA132" s="1791"/>
      <c r="AB132" s="1526"/>
      <c r="AC132" s="1608"/>
      <c r="AD132" s="1526"/>
      <c r="AE132" s="1591"/>
      <c r="AF132" s="1769"/>
      <c r="AG132" s="1793"/>
      <c r="AH132" s="1794"/>
      <c r="AI132" s="1432"/>
      <c r="AJ132" s="1530"/>
      <c r="AK132" s="1433"/>
      <c r="AL132" s="1433"/>
      <c r="AM132" s="1433"/>
      <c r="AN132" s="1433"/>
      <c r="AO132" s="1433"/>
      <c r="AP132" s="1433"/>
      <c r="AQ132" s="1433"/>
      <c r="AR132" s="1433"/>
      <c r="AS132" s="1433"/>
      <c r="AT132" s="1433"/>
      <c r="AU132" s="1426"/>
      <c r="AV132" s="1426"/>
      <c r="AW132" s="1426"/>
      <c r="AX132" s="1426"/>
      <c r="AY132" s="1426"/>
      <c r="AZ132" s="1426"/>
      <c r="BA132" s="1426"/>
      <c r="BB132" s="1426"/>
      <c r="BC132" s="1426"/>
      <c r="BD132" s="1426"/>
      <c r="BE132" s="1426"/>
    </row>
    <row r="133" spans="1:57" s="5" customFormat="1">
      <c r="A133" s="326">
        <f t="shared" si="36"/>
        <v>43</v>
      </c>
      <c r="B133" s="295"/>
      <c r="C133" s="166"/>
      <c r="D133" s="46"/>
      <c r="E133" s="47"/>
      <c r="F133" s="693"/>
      <c r="G133" s="167"/>
      <c r="H133" s="167"/>
      <c r="I133" s="167"/>
      <c r="J133" s="79"/>
      <c r="K133" s="1357"/>
      <c r="L133" s="1792"/>
      <c r="M133" s="154"/>
      <c r="N133" s="692"/>
      <c r="O133" s="2396"/>
      <c r="P133" s="2416"/>
      <c r="Q133" s="2214"/>
      <c r="R133" s="577"/>
      <c r="S133" s="165"/>
      <c r="T133" s="2472"/>
      <c r="U133" s="1327"/>
      <c r="V133" s="1526"/>
      <c r="W133" s="1526"/>
      <c r="X133" s="1526"/>
      <c r="Y133" s="1526"/>
      <c r="Z133" s="1749"/>
      <c r="AA133" s="1791"/>
      <c r="AB133" s="1526"/>
      <c r="AC133" s="1608"/>
      <c r="AD133" s="1526"/>
      <c r="AE133" s="1591"/>
      <c r="AF133" s="1769"/>
      <c r="AG133" s="1793"/>
      <c r="AH133" s="1794"/>
      <c r="AI133" s="1432"/>
      <c r="AJ133" s="1530"/>
      <c r="AK133" s="1433"/>
      <c r="AL133" s="1433"/>
      <c r="AM133" s="1433"/>
      <c r="AN133" s="1433"/>
      <c r="AO133" s="1433"/>
      <c r="AP133" s="1433"/>
      <c r="AQ133" s="1433"/>
      <c r="AR133" s="1433"/>
      <c r="AS133" s="1433"/>
      <c r="AT133" s="1433"/>
      <c r="AU133" s="1426"/>
      <c r="AV133" s="1426"/>
      <c r="AW133" s="1426"/>
      <c r="AX133" s="1426"/>
      <c r="AY133" s="1426"/>
      <c r="AZ133" s="1426"/>
      <c r="BA133" s="1426"/>
      <c r="BB133" s="1426"/>
      <c r="BC133" s="1426"/>
      <c r="BD133" s="1426"/>
      <c r="BE133" s="1426"/>
    </row>
    <row r="134" spans="1:57" s="5" customFormat="1">
      <c r="A134" s="326">
        <f t="shared" si="36"/>
        <v>44</v>
      </c>
      <c r="B134" s="295"/>
      <c r="C134" s="166"/>
      <c r="D134" s="46"/>
      <c r="E134" s="47"/>
      <c r="F134" s="693"/>
      <c r="G134" s="167"/>
      <c r="H134" s="167"/>
      <c r="I134" s="167"/>
      <c r="J134" s="1236"/>
      <c r="K134" s="1566"/>
      <c r="L134" s="1795"/>
      <c r="M134" s="154"/>
      <c r="N134" s="692"/>
      <c r="O134" s="2396"/>
      <c r="P134" s="2416"/>
      <c r="Q134" s="2214"/>
      <c r="R134" s="577"/>
      <c r="S134" s="165"/>
      <c r="T134" s="2472"/>
      <c r="U134" s="1327"/>
      <c r="V134" s="1608"/>
      <c r="W134" s="1608"/>
      <c r="X134" s="1608"/>
      <c r="Y134" s="1608"/>
      <c r="Z134" s="1791"/>
      <c r="AA134" s="1791"/>
      <c r="AB134" s="1608"/>
      <c r="AC134" s="1608"/>
      <c r="AD134" s="1608"/>
      <c r="AE134" s="1796"/>
      <c r="AF134" s="1797"/>
      <c r="AG134" s="1798"/>
      <c r="AH134" s="1794"/>
      <c r="AI134" s="1432"/>
      <c r="AJ134" s="1530"/>
      <c r="AK134" s="1433"/>
      <c r="AL134" s="1433"/>
      <c r="AM134" s="1433"/>
      <c r="AN134" s="1433"/>
      <c r="AO134" s="1433"/>
      <c r="AP134" s="1433"/>
      <c r="AQ134" s="1433"/>
      <c r="AR134" s="1433"/>
      <c r="AS134" s="1433"/>
      <c r="AT134" s="1433"/>
      <c r="AU134" s="1426"/>
      <c r="AV134" s="1426"/>
      <c r="AW134" s="1426"/>
      <c r="AX134" s="1426"/>
      <c r="AY134" s="1426"/>
      <c r="AZ134" s="1426"/>
      <c r="BA134" s="1426"/>
      <c r="BB134" s="1426"/>
      <c r="BC134" s="1426"/>
      <c r="BD134" s="1426"/>
      <c r="BE134" s="1426"/>
    </row>
    <row r="135" spans="1:57" s="5" customFormat="1">
      <c r="A135" s="1240">
        <f t="shared" si="36"/>
        <v>45</v>
      </c>
      <c r="B135" s="1289"/>
      <c r="C135" s="166"/>
      <c r="D135" s="46"/>
      <c r="E135" s="47"/>
      <c r="F135" s="693"/>
      <c r="G135" s="1257"/>
      <c r="H135" s="1257"/>
      <c r="I135" s="1257"/>
      <c r="J135" s="1250"/>
      <c r="K135" s="1357"/>
      <c r="L135" s="1792"/>
      <c r="M135" s="154"/>
      <c r="N135" s="692"/>
      <c r="O135" s="2396"/>
      <c r="P135" s="2416"/>
      <c r="Q135" s="2214"/>
      <c r="R135" s="577"/>
      <c r="S135" s="165"/>
      <c r="T135" s="2472"/>
      <c r="U135" s="1327"/>
      <c r="V135" s="1608"/>
      <c r="W135" s="1608"/>
      <c r="X135" s="1608"/>
      <c r="Y135" s="1608"/>
      <c r="Z135" s="1791"/>
      <c r="AA135" s="1791"/>
      <c r="AB135" s="1608"/>
      <c r="AC135" s="1608"/>
      <c r="AD135" s="1608"/>
      <c r="AE135" s="1796"/>
      <c r="AF135" s="1797"/>
      <c r="AG135" s="1798"/>
      <c r="AH135" s="1794"/>
      <c r="AI135" s="1432"/>
      <c r="AJ135" s="1530"/>
      <c r="AK135" s="1433"/>
      <c r="AL135" s="1433"/>
      <c r="AM135" s="1433"/>
      <c r="AN135" s="1433"/>
      <c r="AO135" s="1433"/>
      <c r="AP135" s="1433"/>
      <c r="AQ135" s="1433"/>
      <c r="AR135" s="1433"/>
      <c r="AS135" s="1433"/>
      <c r="AT135" s="1433"/>
      <c r="AU135" s="1426"/>
      <c r="AV135" s="1426"/>
      <c r="AW135" s="1426"/>
      <c r="AX135" s="1426"/>
      <c r="AY135" s="1426"/>
      <c r="AZ135" s="1426"/>
      <c r="BA135" s="1426"/>
      <c r="BB135" s="1426"/>
      <c r="BC135" s="1426"/>
      <c r="BD135" s="1426"/>
      <c r="BE135" s="1426"/>
    </row>
    <row r="136" spans="1:57" s="5" customFormat="1">
      <c r="A136" s="1"/>
      <c r="B136" s="6"/>
      <c r="C136" s="4"/>
      <c r="D136" s="3"/>
      <c r="E136" s="4"/>
      <c r="F136" s="4"/>
      <c r="G136" s="1"/>
      <c r="H136" s="6"/>
      <c r="I136" s="6"/>
      <c r="J136" s="11"/>
      <c r="K136" s="510"/>
      <c r="L136" s="11"/>
      <c r="O136" s="2410"/>
      <c r="P136" s="2411"/>
      <c r="S136" s="1"/>
      <c r="T136" s="1"/>
      <c r="U136" s="6"/>
      <c r="V136" s="1766"/>
      <c r="W136" s="1766"/>
      <c r="X136" s="1766"/>
      <c r="Y136" s="1766"/>
      <c r="Z136" s="1767"/>
      <c r="AA136" s="1767"/>
      <c r="AB136" s="1766"/>
      <c r="AC136" s="1766"/>
      <c r="AD136" s="1766"/>
      <c r="AE136" s="1768"/>
      <c r="AF136" s="1799"/>
      <c r="AG136" s="1770"/>
      <c r="AH136" s="1771"/>
      <c r="AI136" s="1426"/>
      <c r="AJ136" s="1427"/>
      <c r="AK136" s="1426"/>
      <c r="AL136" s="1426"/>
      <c r="AM136" s="1426"/>
      <c r="AN136" s="1426"/>
      <c r="AO136" s="1426"/>
      <c r="AP136" s="1426"/>
      <c r="AQ136" s="1426"/>
      <c r="AR136" s="1426"/>
      <c r="AS136" s="1426"/>
      <c r="AT136" s="1426"/>
      <c r="AU136" s="1426"/>
      <c r="AV136" s="1426"/>
      <c r="AW136" s="1426"/>
      <c r="AX136" s="1426"/>
      <c r="AY136" s="1426"/>
      <c r="AZ136" s="1426"/>
      <c r="BA136" s="1426"/>
      <c r="BB136" s="1426"/>
      <c r="BC136" s="1426"/>
      <c r="BD136" s="1426"/>
      <c r="BE136" s="1426"/>
    </row>
    <row r="137" spans="1:57" s="5" customFormat="1">
      <c r="A137" s="1"/>
      <c r="B137" s="6"/>
      <c r="C137" s="4"/>
      <c r="D137" s="3"/>
      <c r="E137" s="4"/>
      <c r="F137" s="4"/>
      <c r="G137" s="1"/>
      <c r="H137" s="6"/>
      <c r="I137" s="6"/>
      <c r="J137" s="11"/>
      <c r="K137" s="510"/>
      <c r="L137" s="11"/>
      <c r="O137" s="2410"/>
      <c r="P137" s="2411"/>
      <c r="S137" s="1"/>
      <c r="T137" s="1"/>
      <c r="U137" s="6"/>
      <c r="V137" s="1766"/>
      <c r="W137" s="1766"/>
      <c r="X137" s="1766"/>
      <c r="Y137" s="1766"/>
      <c r="Z137" s="1767"/>
      <c r="AA137" s="1767"/>
      <c r="AB137" s="1766"/>
      <c r="AC137" s="1766"/>
      <c r="AD137" s="1766"/>
      <c r="AE137" s="1768"/>
      <c r="AF137" s="1799"/>
      <c r="AG137" s="1770"/>
      <c r="AH137" s="1771"/>
      <c r="AI137" s="1426"/>
      <c r="AJ137" s="1427"/>
      <c r="AK137" s="1426"/>
      <c r="AL137" s="1426"/>
      <c r="AM137" s="1426"/>
      <c r="AN137" s="1426"/>
      <c r="AO137" s="1426"/>
      <c r="AP137" s="1426"/>
      <c r="AQ137" s="1426"/>
      <c r="AR137" s="1426"/>
      <c r="AS137" s="1426"/>
      <c r="AT137" s="1426"/>
      <c r="AU137" s="1426"/>
      <c r="AV137" s="1426"/>
      <c r="AW137" s="1426"/>
      <c r="AX137" s="1426"/>
      <c r="AY137" s="1426"/>
      <c r="AZ137" s="1426"/>
      <c r="BA137" s="1426"/>
      <c r="BB137" s="1426"/>
      <c r="BC137" s="1426"/>
      <c r="BD137" s="1426"/>
      <c r="BE137" s="1426"/>
    </row>
    <row r="138" spans="1:57" s="5" customFormat="1">
      <c r="A138" s="1"/>
      <c r="B138" s="6"/>
      <c r="C138" s="4"/>
      <c r="D138" s="3"/>
      <c r="E138" s="4"/>
      <c r="F138" s="4"/>
      <c r="G138" s="1"/>
      <c r="H138" s="6"/>
      <c r="I138" s="6"/>
      <c r="J138" s="11"/>
      <c r="K138" s="510"/>
      <c r="L138" s="11"/>
      <c r="O138" s="2410"/>
      <c r="P138" s="2411"/>
      <c r="S138" s="1"/>
      <c r="T138" s="1"/>
      <c r="U138" s="6"/>
      <c r="V138" s="1766"/>
      <c r="W138" s="1766"/>
      <c r="X138" s="1766"/>
      <c r="Y138" s="1766"/>
      <c r="Z138" s="1767"/>
      <c r="AA138" s="1767"/>
      <c r="AB138" s="1766"/>
      <c r="AC138" s="1766"/>
      <c r="AD138" s="1766"/>
      <c r="AE138" s="1768"/>
      <c r="AF138" s="1799"/>
      <c r="AG138" s="1770"/>
      <c r="AH138" s="1771"/>
      <c r="AI138" s="1426"/>
      <c r="AJ138" s="1427"/>
      <c r="AK138" s="1426"/>
      <c r="AL138" s="1426"/>
      <c r="AM138" s="1426"/>
      <c r="AN138" s="1426"/>
      <c r="AO138" s="1426"/>
      <c r="AP138" s="1426"/>
      <c r="AQ138" s="1426"/>
      <c r="AR138" s="1426"/>
      <c r="AS138" s="1426"/>
      <c r="AT138" s="1426"/>
      <c r="AU138" s="1426"/>
      <c r="AV138" s="1426"/>
      <c r="AW138" s="1426"/>
      <c r="AX138" s="1426"/>
      <c r="AY138" s="1426"/>
      <c r="AZ138" s="1426"/>
      <c r="BA138" s="1426"/>
      <c r="BB138" s="1426"/>
      <c r="BC138" s="1426"/>
      <c r="BD138" s="1426"/>
      <c r="BE138" s="1426"/>
    </row>
    <row r="139" spans="1:57" s="5" customFormat="1">
      <c r="A139" s="1"/>
      <c r="B139" s="6"/>
      <c r="C139" s="4"/>
      <c r="D139" s="3"/>
      <c r="E139" s="4"/>
      <c r="F139" s="4"/>
      <c r="G139" s="1"/>
      <c r="H139" s="6"/>
      <c r="I139" s="6"/>
      <c r="J139" s="11"/>
      <c r="K139" s="510"/>
      <c r="L139" s="11"/>
      <c r="O139" s="2410"/>
      <c r="P139" s="2411"/>
      <c r="S139" s="1"/>
      <c r="T139" s="1"/>
      <c r="U139" s="6"/>
      <c r="V139" s="1766"/>
      <c r="W139" s="1766"/>
      <c r="X139" s="1766"/>
      <c r="Y139" s="1766"/>
      <c r="Z139" s="1767"/>
      <c r="AA139" s="1767"/>
      <c r="AB139" s="1766"/>
      <c r="AC139" s="1766"/>
      <c r="AD139" s="1766"/>
      <c r="AE139" s="1768"/>
      <c r="AF139" s="1799"/>
      <c r="AG139" s="1770"/>
      <c r="AH139" s="1771"/>
      <c r="AI139" s="1426"/>
      <c r="AJ139" s="1427"/>
      <c r="AK139" s="1426"/>
      <c r="AL139" s="1426"/>
      <c r="AM139" s="1426"/>
      <c r="AN139" s="1426"/>
      <c r="AO139" s="1426"/>
      <c r="AP139" s="1426"/>
      <c r="AQ139" s="1426"/>
      <c r="AR139" s="1426"/>
      <c r="AS139" s="1426"/>
      <c r="AT139" s="1426"/>
      <c r="AU139" s="1426"/>
      <c r="AV139" s="1426"/>
      <c r="AW139" s="1426"/>
      <c r="AX139" s="1426"/>
      <c r="AY139" s="1426"/>
      <c r="AZ139" s="1426"/>
      <c r="BA139" s="1426"/>
      <c r="BB139" s="1426"/>
      <c r="BC139" s="1426"/>
      <c r="BD139" s="1426"/>
      <c r="BE139" s="1426"/>
    </row>
    <row r="140" spans="1:57" s="5" customFormat="1">
      <c r="A140" s="1"/>
      <c r="B140" s="6"/>
      <c r="C140" s="4"/>
      <c r="D140" s="3"/>
      <c r="E140" s="4"/>
      <c r="F140" s="4"/>
      <c r="G140" s="1"/>
      <c r="H140" s="6"/>
      <c r="I140" s="6"/>
      <c r="J140" s="11"/>
      <c r="K140" s="510"/>
      <c r="L140" s="11"/>
      <c r="O140" s="2410"/>
      <c r="P140" s="2411"/>
      <c r="S140" s="1"/>
      <c r="T140" s="1"/>
      <c r="U140" s="6"/>
      <c r="V140" s="1766"/>
      <c r="W140" s="1766"/>
      <c r="X140" s="1766"/>
      <c r="Y140" s="1766"/>
      <c r="Z140" s="1767"/>
      <c r="AA140" s="1767"/>
      <c r="AB140" s="1766"/>
      <c r="AC140" s="1766"/>
      <c r="AD140" s="1766"/>
      <c r="AE140" s="1768"/>
      <c r="AF140" s="1799"/>
      <c r="AG140" s="1770"/>
      <c r="AH140" s="1771"/>
      <c r="AI140" s="1426"/>
      <c r="AJ140" s="1427"/>
      <c r="AK140" s="1426"/>
      <c r="AL140" s="1426"/>
      <c r="AM140" s="1426"/>
      <c r="AN140" s="1426"/>
      <c r="AO140" s="1426"/>
      <c r="AP140" s="1426"/>
      <c r="AQ140" s="1426"/>
      <c r="AR140" s="1426"/>
      <c r="AS140" s="1426"/>
      <c r="AT140" s="1426"/>
      <c r="AU140" s="1426"/>
      <c r="AV140" s="1426"/>
      <c r="AW140" s="1426"/>
      <c r="AX140" s="1426"/>
      <c r="AY140" s="1426"/>
      <c r="AZ140" s="1426"/>
      <c r="BA140" s="1426"/>
      <c r="BB140" s="1426"/>
      <c r="BC140" s="1426"/>
      <c r="BD140" s="1426"/>
      <c r="BE140" s="1426"/>
    </row>
    <row r="141" spans="1:57" s="5" customFormat="1">
      <c r="A141" s="1"/>
      <c r="B141" s="6"/>
      <c r="C141" s="4"/>
      <c r="D141" s="3"/>
      <c r="E141" s="4"/>
      <c r="F141" s="4"/>
      <c r="G141" s="1"/>
      <c r="H141" s="6"/>
      <c r="I141" s="6"/>
      <c r="J141" s="11"/>
      <c r="K141" s="510"/>
      <c r="L141" s="11"/>
      <c r="O141" s="2410"/>
      <c r="P141" s="2411"/>
      <c r="S141" s="1"/>
      <c r="T141" s="1"/>
      <c r="U141" s="6"/>
      <c r="V141" s="1766"/>
      <c r="W141" s="1766"/>
      <c r="X141" s="1766"/>
      <c r="Y141" s="1766"/>
      <c r="Z141" s="1767"/>
      <c r="AA141" s="1767"/>
      <c r="AB141" s="1766"/>
      <c r="AC141" s="1766"/>
      <c r="AD141" s="1766"/>
      <c r="AE141" s="1768"/>
      <c r="AF141" s="1799"/>
      <c r="AG141" s="1770"/>
      <c r="AH141" s="1771"/>
      <c r="AI141" s="1426"/>
      <c r="AJ141" s="1427"/>
      <c r="AK141" s="1426"/>
      <c r="AL141" s="1426"/>
      <c r="AM141" s="1426"/>
      <c r="AN141" s="1426"/>
      <c r="AO141" s="1426"/>
      <c r="AP141" s="1426"/>
      <c r="AQ141" s="1426"/>
      <c r="AR141" s="1426"/>
      <c r="AS141" s="1426"/>
      <c r="AT141" s="1426"/>
      <c r="AU141" s="1426"/>
      <c r="AV141" s="1426"/>
      <c r="AW141" s="1426"/>
      <c r="AX141" s="1426"/>
      <c r="AY141" s="1426"/>
      <c r="AZ141" s="1426"/>
      <c r="BA141" s="1426"/>
      <c r="BB141" s="1426"/>
      <c r="BC141" s="1426"/>
      <c r="BD141" s="1426"/>
      <c r="BE141" s="1426"/>
    </row>
    <row r="142" spans="1:57" s="5" customFormat="1">
      <c r="A142" s="1"/>
      <c r="B142" s="6"/>
      <c r="C142" s="4"/>
      <c r="D142" s="3"/>
      <c r="E142" s="4"/>
      <c r="F142" s="4"/>
      <c r="G142" s="1"/>
      <c r="H142" s="6"/>
      <c r="I142" s="6"/>
      <c r="J142" s="11"/>
      <c r="K142" s="510"/>
      <c r="L142" s="11"/>
      <c r="O142" s="2410"/>
      <c r="P142" s="2411"/>
      <c r="S142" s="1"/>
      <c r="T142" s="1"/>
      <c r="U142" s="6"/>
      <c r="V142" s="1766"/>
      <c r="W142" s="1766"/>
      <c r="X142" s="1766"/>
      <c r="Y142" s="1766"/>
      <c r="Z142" s="1767"/>
      <c r="AA142" s="1767"/>
      <c r="AB142" s="1766"/>
      <c r="AC142" s="1766"/>
      <c r="AD142" s="1766"/>
      <c r="AE142" s="1768"/>
      <c r="AF142" s="1799"/>
      <c r="AG142" s="1770"/>
      <c r="AH142" s="1771"/>
      <c r="AI142" s="1426"/>
      <c r="AJ142" s="1427"/>
      <c r="AK142" s="1426"/>
      <c r="AL142" s="1426"/>
      <c r="AM142" s="1426"/>
      <c r="AN142" s="1426"/>
      <c r="AO142" s="1426"/>
      <c r="AP142" s="1426"/>
      <c r="AQ142" s="1426"/>
      <c r="AR142" s="1426"/>
      <c r="AS142" s="1426"/>
      <c r="AT142" s="1426"/>
      <c r="AU142" s="1426"/>
      <c r="AV142" s="1426"/>
      <c r="AW142" s="1426"/>
      <c r="AX142" s="1426"/>
      <c r="AY142" s="1426"/>
      <c r="AZ142" s="1426"/>
      <c r="BA142" s="1426"/>
      <c r="BB142" s="1426"/>
      <c r="BC142" s="1426"/>
      <c r="BD142" s="1426"/>
      <c r="BE142" s="1426"/>
    </row>
    <row r="143" spans="1:57" s="5" customFormat="1">
      <c r="A143" s="1"/>
      <c r="B143" s="6"/>
      <c r="C143" s="4"/>
      <c r="D143" s="3"/>
      <c r="E143" s="4"/>
      <c r="F143" s="4"/>
      <c r="G143" s="1"/>
      <c r="H143" s="6"/>
      <c r="I143" s="6"/>
      <c r="J143" s="11"/>
      <c r="K143" s="510"/>
      <c r="L143" s="11"/>
      <c r="O143" s="2410"/>
      <c r="P143" s="2411"/>
      <c r="S143" s="1"/>
      <c r="T143" s="1"/>
      <c r="U143" s="6"/>
      <c r="V143" s="1766"/>
      <c r="W143" s="1766"/>
      <c r="X143" s="1766"/>
      <c r="Y143" s="1766"/>
      <c r="Z143" s="1767"/>
      <c r="AA143" s="1767"/>
      <c r="AB143" s="1766"/>
      <c r="AC143" s="1766"/>
      <c r="AD143" s="1766"/>
      <c r="AE143" s="1768"/>
      <c r="AF143" s="1799"/>
      <c r="AG143" s="1770"/>
      <c r="AH143" s="1771"/>
      <c r="AI143" s="1426"/>
      <c r="AJ143" s="1427"/>
      <c r="AK143" s="1426"/>
      <c r="AL143" s="1426"/>
      <c r="AM143" s="1426"/>
      <c r="AN143" s="1426"/>
      <c r="AO143" s="1426"/>
      <c r="AP143" s="1426"/>
      <c r="AQ143" s="1426"/>
      <c r="AR143" s="1426"/>
      <c r="AS143" s="1426"/>
      <c r="AT143" s="1426"/>
      <c r="AU143" s="1426"/>
      <c r="AV143" s="1426"/>
      <c r="AW143" s="1426"/>
      <c r="AX143" s="1426"/>
      <c r="AY143" s="1426"/>
      <c r="AZ143" s="1426"/>
      <c r="BA143" s="1426"/>
      <c r="BB143" s="1426"/>
      <c r="BC143" s="1426"/>
      <c r="BD143" s="1426"/>
      <c r="BE143" s="1426"/>
    </row>
    <row r="144" spans="1:57" s="5" customFormat="1">
      <c r="A144" s="1"/>
      <c r="B144" s="6"/>
      <c r="C144" s="4"/>
      <c r="D144" s="3"/>
      <c r="E144" s="4"/>
      <c r="F144" s="4"/>
      <c r="G144" s="1"/>
      <c r="H144" s="6"/>
      <c r="I144" s="6"/>
      <c r="J144" s="11"/>
      <c r="K144" s="510"/>
      <c r="L144" s="11"/>
      <c r="O144" s="2410"/>
      <c r="P144" s="2411"/>
      <c r="S144" s="1"/>
      <c r="T144" s="1"/>
      <c r="U144" s="6"/>
      <c r="V144" s="1766"/>
      <c r="W144" s="1766"/>
      <c r="X144" s="1766"/>
      <c r="Y144" s="1766"/>
      <c r="Z144" s="1767"/>
      <c r="AA144" s="1767"/>
      <c r="AB144" s="1766"/>
      <c r="AC144" s="1766"/>
      <c r="AD144" s="1766"/>
      <c r="AE144" s="1768"/>
      <c r="AF144" s="1799"/>
      <c r="AG144" s="1770"/>
      <c r="AH144" s="1771"/>
      <c r="AI144" s="1426"/>
      <c r="AJ144" s="1427"/>
      <c r="AK144" s="1426"/>
      <c r="AL144" s="1426"/>
      <c r="AM144" s="1426"/>
      <c r="AN144" s="1426"/>
      <c r="AO144" s="1426"/>
      <c r="AP144" s="1426"/>
      <c r="AQ144" s="1426"/>
      <c r="AR144" s="1426"/>
      <c r="AS144" s="1426"/>
      <c r="AT144" s="1426"/>
      <c r="AU144" s="1426"/>
      <c r="AV144" s="1426"/>
      <c r="AW144" s="1426"/>
      <c r="AX144" s="1426"/>
      <c r="AY144" s="1426"/>
      <c r="AZ144" s="1426"/>
      <c r="BA144" s="1426"/>
      <c r="BB144" s="1426"/>
      <c r="BC144" s="1426"/>
      <c r="BD144" s="1426"/>
      <c r="BE144" s="1426"/>
    </row>
    <row r="145" spans="1:57" s="5" customFormat="1">
      <c r="A145" s="1"/>
      <c r="B145" s="6"/>
      <c r="C145" s="4"/>
      <c r="D145" s="3"/>
      <c r="E145" s="4"/>
      <c r="F145" s="4"/>
      <c r="G145" s="1"/>
      <c r="H145" s="6"/>
      <c r="I145" s="6"/>
      <c r="J145" s="11"/>
      <c r="K145" s="510"/>
      <c r="L145" s="11"/>
      <c r="O145" s="2410"/>
      <c r="P145" s="2411"/>
      <c r="S145" s="1"/>
      <c r="T145" s="1"/>
      <c r="U145" s="6"/>
      <c r="V145" s="1766"/>
      <c r="W145" s="1766"/>
      <c r="X145" s="1766"/>
      <c r="Y145" s="1766"/>
      <c r="Z145" s="1767"/>
      <c r="AA145" s="1767"/>
      <c r="AB145" s="1766"/>
      <c r="AC145" s="1766"/>
      <c r="AD145" s="1766"/>
      <c r="AE145" s="1768"/>
      <c r="AF145" s="1799"/>
      <c r="AG145" s="1770"/>
      <c r="AH145" s="1771"/>
      <c r="AI145" s="1426"/>
      <c r="AJ145" s="1427"/>
      <c r="AK145" s="1426"/>
      <c r="AL145" s="1426"/>
      <c r="AM145" s="1426"/>
      <c r="AN145" s="1426"/>
      <c r="AO145" s="1426"/>
      <c r="AP145" s="1426"/>
      <c r="AQ145" s="1426"/>
      <c r="AR145" s="1426"/>
      <c r="AS145" s="1426"/>
      <c r="AT145" s="1426"/>
      <c r="AU145" s="1426"/>
      <c r="AV145" s="1426"/>
      <c r="AW145" s="1426"/>
      <c r="AX145" s="1426"/>
      <c r="AY145" s="1426"/>
      <c r="AZ145" s="1426"/>
      <c r="BA145" s="1426"/>
      <c r="BB145" s="1426"/>
      <c r="BC145" s="1426"/>
      <c r="BD145" s="1426"/>
      <c r="BE145" s="1426"/>
    </row>
    <row r="146" spans="1:57" s="5" customFormat="1">
      <c r="A146" s="1"/>
      <c r="B146" s="6"/>
      <c r="C146" s="4"/>
      <c r="D146" s="3"/>
      <c r="E146" s="4"/>
      <c r="F146" s="4"/>
      <c r="G146" s="1"/>
      <c r="H146" s="6"/>
      <c r="I146" s="6"/>
      <c r="J146" s="11"/>
      <c r="K146" s="510"/>
      <c r="L146" s="11"/>
      <c r="O146" s="2410"/>
      <c r="P146" s="2411"/>
      <c r="S146" s="1"/>
      <c r="T146" s="1"/>
      <c r="U146" s="6"/>
      <c r="V146" s="1766"/>
      <c r="W146" s="1766"/>
      <c r="X146" s="1766"/>
      <c r="Y146" s="1766"/>
      <c r="Z146" s="1767"/>
      <c r="AA146" s="1767"/>
      <c r="AB146" s="1766"/>
      <c r="AC146" s="1766"/>
      <c r="AD146" s="1766"/>
      <c r="AE146" s="1768"/>
      <c r="AF146" s="1799"/>
      <c r="AG146" s="1770"/>
      <c r="AH146" s="1771"/>
      <c r="AI146" s="1426"/>
      <c r="AJ146" s="1427"/>
      <c r="AK146" s="1426"/>
      <c r="AL146" s="1426"/>
      <c r="AM146" s="1426"/>
      <c r="AN146" s="1426"/>
      <c r="AO146" s="1426"/>
      <c r="AP146" s="1426"/>
      <c r="AQ146" s="1426"/>
      <c r="AR146" s="1426"/>
      <c r="AS146" s="1426"/>
      <c r="AT146" s="1426"/>
      <c r="AU146" s="1426"/>
      <c r="AV146" s="1426"/>
      <c r="AW146" s="1426"/>
      <c r="AX146" s="1426"/>
      <c r="AY146" s="1426"/>
      <c r="AZ146" s="1426"/>
      <c r="BA146" s="1426"/>
      <c r="BB146" s="1426"/>
      <c r="BC146" s="1426"/>
      <c r="BD146" s="1426"/>
      <c r="BE146" s="1426"/>
    </row>
    <row r="147" spans="1:57" s="5" customFormat="1">
      <c r="A147" s="1"/>
      <c r="B147" s="6"/>
      <c r="C147" s="4"/>
      <c r="D147" s="3"/>
      <c r="E147" s="4"/>
      <c r="F147" s="4"/>
      <c r="G147" s="1"/>
      <c r="H147" s="6"/>
      <c r="I147" s="6"/>
      <c r="J147" s="11"/>
      <c r="K147" s="510"/>
      <c r="L147" s="11"/>
      <c r="O147" s="2410"/>
      <c r="P147" s="2411"/>
      <c r="S147" s="1"/>
      <c r="T147" s="1"/>
      <c r="U147" s="6"/>
      <c r="V147" s="1766"/>
      <c r="W147" s="1766"/>
      <c r="X147" s="1766"/>
      <c r="Y147" s="1766"/>
      <c r="Z147" s="1767"/>
      <c r="AA147" s="1767"/>
      <c r="AB147" s="1766"/>
      <c r="AC147" s="1766"/>
      <c r="AD147" s="1766"/>
      <c r="AE147" s="1768"/>
      <c r="AF147" s="1799"/>
      <c r="AG147" s="1770"/>
      <c r="AH147" s="1771"/>
      <c r="AI147" s="1426"/>
      <c r="AJ147" s="1427"/>
      <c r="AK147" s="1426"/>
      <c r="AL147" s="1426"/>
      <c r="AM147" s="1426"/>
      <c r="AN147" s="1426"/>
      <c r="AO147" s="1426"/>
      <c r="AP147" s="1426"/>
      <c r="AQ147" s="1426"/>
      <c r="AR147" s="1426"/>
      <c r="AS147" s="1426"/>
      <c r="AT147" s="1426"/>
      <c r="AU147" s="1426"/>
      <c r="AV147" s="1426"/>
      <c r="AW147" s="1426"/>
      <c r="AX147" s="1426"/>
      <c r="AY147" s="1426"/>
      <c r="AZ147" s="1426"/>
      <c r="BA147" s="1426"/>
      <c r="BB147" s="1426"/>
      <c r="BC147" s="1426"/>
      <c r="BD147" s="1426"/>
      <c r="BE147" s="1426"/>
    </row>
    <row r="148" spans="1:57" s="5" customFormat="1">
      <c r="A148" s="1"/>
      <c r="B148" s="6"/>
      <c r="C148" s="4"/>
      <c r="D148" s="3"/>
      <c r="E148" s="4"/>
      <c r="F148" s="4"/>
      <c r="G148" s="1"/>
      <c r="H148" s="6"/>
      <c r="I148" s="6"/>
      <c r="J148" s="11"/>
      <c r="K148" s="510"/>
      <c r="L148" s="11"/>
      <c r="O148" s="2410"/>
      <c r="P148" s="2411"/>
      <c r="S148" s="1"/>
      <c r="T148" s="1"/>
      <c r="U148" s="6"/>
      <c r="V148" s="1766"/>
      <c r="W148" s="1766"/>
      <c r="X148" s="1766"/>
      <c r="Y148" s="1766"/>
      <c r="Z148" s="1767"/>
      <c r="AA148" s="1767"/>
      <c r="AB148" s="1766"/>
      <c r="AC148" s="1766"/>
      <c r="AD148" s="1766"/>
      <c r="AE148" s="1768"/>
      <c r="AF148" s="1799"/>
      <c r="AG148" s="1770"/>
      <c r="AH148" s="1771"/>
      <c r="AI148" s="1426"/>
      <c r="AJ148" s="1427"/>
      <c r="AK148" s="1426"/>
      <c r="AL148" s="1426"/>
      <c r="AM148" s="1426"/>
      <c r="AN148" s="1426"/>
      <c r="AO148" s="1426"/>
      <c r="AP148" s="1426"/>
      <c r="AQ148" s="1426"/>
      <c r="AR148" s="1426"/>
      <c r="AS148" s="1426"/>
      <c r="AT148" s="1426"/>
      <c r="AU148" s="1426"/>
      <c r="AV148" s="1426"/>
      <c r="AW148" s="1426"/>
      <c r="AX148" s="1426"/>
      <c r="AY148" s="1426"/>
      <c r="AZ148" s="1426"/>
      <c r="BA148" s="1426"/>
      <c r="BB148" s="1426"/>
      <c r="BC148" s="1426"/>
      <c r="BD148" s="1426"/>
      <c r="BE148" s="1426"/>
    </row>
    <row r="149" spans="1:57" s="5" customFormat="1">
      <c r="A149" s="1"/>
      <c r="B149" s="6"/>
      <c r="C149" s="4"/>
      <c r="D149" s="3"/>
      <c r="E149" s="4"/>
      <c r="F149" s="4"/>
      <c r="G149" s="1"/>
      <c r="H149" s="6"/>
      <c r="I149" s="6"/>
      <c r="J149" s="11"/>
      <c r="K149" s="510"/>
      <c r="L149" s="11"/>
      <c r="O149" s="2410"/>
      <c r="P149" s="2411"/>
      <c r="S149" s="1"/>
      <c r="T149" s="1"/>
      <c r="U149" s="6"/>
      <c r="V149" s="1766"/>
      <c r="W149" s="1766"/>
      <c r="X149" s="1766"/>
      <c r="Y149" s="1766"/>
      <c r="Z149" s="1767"/>
      <c r="AA149" s="1767"/>
      <c r="AB149" s="1766"/>
      <c r="AC149" s="1766"/>
      <c r="AD149" s="1766"/>
      <c r="AE149" s="1768"/>
      <c r="AF149" s="1799"/>
      <c r="AG149" s="1770"/>
      <c r="AH149" s="1771"/>
      <c r="AI149" s="1426"/>
      <c r="AJ149" s="1427"/>
      <c r="AK149" s="1426"/>
      <c r="AL149" s="1426"/>
      <c r="AM149" s="1426"/>
      <c r="AN149" s="1426"/>
      <c r="AO149" s="1426"/>
      <c r="AP149" s="1426"/>
      <c r="AQ149" s="1426"/>
      <c r="AR149" s="1426"/>
      <c r="AS149" s="1426"/>
      <c r="AT149" s="1426"/>
      <c r="AU149" s="1426"/>
      <c r="AV149" s="1426"/>
      <c r="AW149" s="1426"/>
      <c r="AX149" s="1426"/>
      <c r="AY149" s="1426"/>
      <c r="AZ149" s="1426"/>
      <c r="BA149" s="1426"/>
      <c r="BB149" s="1426"/>
      <c r="BC149" s="1426"/>
      <c r="BD149" s="1426"/>
      <c r="BE149" s="1426"/>
    </row>
    <row r="150" spans="1:57" s="5" customFormat="1">
      <c r="A150" s="1"/>
      <c r="B150" s="6"/>
      <c r="C150" s="4"/>
      <c r="D150" s="3"/>
      <c r="E150" s="4"/>
      <c r="F150" s="4"/>
      <c r="G150" s="1"/>
      <c r="H150" s="6"/>
      <c r="I150" s="6"/>
      <c r="J150" s="11"/>
      <c r="K150" s="510"/>
      <c r="L150" s="11"/>
      <c r="O150" s="2410"/>
      <c r="P150" s="2411"/>
      <c r="S150" s="1"/>
      <c r="T150" s="1"/>
      <c r="U150" s="6"/>
      <c r="V150" s="1766"/>
      <c r="W150" s="1766"/>
      <c r="X150" s="1766"/>
      <c r="Y150" s="1766"/>
      <c r="Z150" s="1767"/>
      <c r="AA150" s="1767"/>
      <c r="AB150" s="1766"/>
      <c r="AC150" s="1766"/>
      <c r="AD150" s="1766"/>
      <c r="AE150" s="1768"/>
      <c r="AF150" s="1799"/>
      <c r="AG150" s="1770"/>
      <c r="AH150" s="1771"/>
      <c r="AI150" s="1426"/>
      <c r="AJ150" s="1427"/>
      <c r="AK150" s="1426"/>
      <c r="AL150" s="1426"/>
      <c r="AM150" s="1426"/>
      <c r="AN150" s="1426"/>
      <c r="AO150" s="1426"/>
      <c r="AP150" s="1426"/>
      <c r="AQ150" s="1426"/>
      <c r="AR150" s="1426"/>
      <c r="AS150" s="1426"/>
      <c r="AT150" s="1426"/>
      <c r="AU150" s="1426"/>
      <c r="AV150" s="1426"/>
      <c r="AW150" s="1426"/>
      <c r="AX150" s="1426"/>
      <c r="AY150" s="1426"/>
      <c r="AZ150" s="1426"/>
      <c r="BA150" s="1426"/>
      <c r="BB150" s="1426"/>
      <c r="BC150" s="1426"/>
      <c r="BD150" s="1426"/>
      <c r="BE150" s="1426"/>
    </row>
    <row r="151" spans="1:57" s="5" customFormat="1">
      <c r="A151" s="1"/>
      <c r="B151" s="6"/>
      <c r="C151" s="4"/>
      <c r="D151" s="3"/>
      <c r="E151" s="4"/>
      <c r="F151" s="4"/>
      <c r="G151" s="1"/>
      <c r="H151" s="6"/>
      <c r="I151" s="6"/>
      <c r="J151" s="11"/>
      <c r="K151" s="510"/>
      <c r="L151" s="11"/>
      <c r="O151" s="2410"/>
      <c r="P151" s="2411"/>
      <c r="S151" s="1"/>
      <c r="T151" s="1"/>
      <c r="U151" s="6"/>
      <c r="V151" s="1766"/>
      <c r="W151" s="1766"/>
      <c r="X151" s="1766"/>
      <c r="Y151" s="1766"/>
      <c r="Z151" s="1767"/>
      <c r="AA151" s="1767"/>
      <c r="AB151" s="1766"/>
      <c r="AC151" s="1766"/>
      <c r="AD151" s="1766"/>
      <c r="AE151" s="1768"/>
      <c r="AF151" s="1799"/>
      <c r="AG151" s="1770"/>
      <c r="AH151" s="1771"/>
      <c r="AI151" s="1426"/>
      <c r="AJ151" s="1427"/>
      <c r="AK151" s="1426"/>
      <c r="AL151" s="1426"/>
      <c r="AM151" s="1426"/>
      <c r="AN151" s="1426"/>
      <c r="AO151" s="1426"/>
      <c r="AP151" s="1426"/>
      <c r="AQ151" s="1426"/>
      <c r="AR151" s="1426"/>
      <c r="AS151" s="1426"/>
      <c r="AT151" s="1426"/>
      <c r="AU151" s="1426"/>
      <c r="AV151" s="1426"/>
      <c r="AW151" s="1426"/>
      <c r="AX151" s="1426"/>
      <c r="AY151" s="1426"/>
      <c r="AZ151" s="1426"/>
      <c r="BA151" s="1426"/>
      <c r="BB151" s="1426"/>
      <c r="BC151" s="1426"/>
      <c r="BD151" s="1426"/>
      <c r="BE151" s="1426"/>
    </row>
    <row r="152" spans="1:57" s="5" customFormat="1">
      <c r="A152" s="1"/>
      <c r="B152" s="6"/>
      <c r="C152" s="4"/>
      <c r="D152" s="3"/>
      <c r="E152" s="4"/>
      <c r="F152" s="4"/>
      <c r="G152" s="1"/>
      <c r="H152" s="6"/>
      <c r="I152" s="6"/>
      <c r="J152" s="11"/>
      <c r="K152" s="510"/>
      <c r="L152" s="11"/>
      <c r="O152" s="2410"/>
      <c r="P152" s="2411"/>
      <c r="S152" s="1"/>
      <c r="T152" s="1"/>
      <c r="U152" s="6"/>
      <c r="V152" s="1766"/>
      <c r="W152" s="1766"/>
      <c r="X152" s="1766"/>
      <c r="Y152" s="1766"/>
      <c r="Z152" s="1767"/>
      <c r="AA152" s="1767"/>
      <c r="AB152" s="1766"/>
      <c r="AC152" s="1766"/>
      <c r="AD152" s="1766"/>
      <c r="AE152" s="1768"/>
      <c r="AF152" s="1799"/>
      <c r="AG152" s="1770"/>
      <c r="AH152" s="1771"/>
      <c r="AI152" s="1426"/>
      <c r="AJ152" s="1427"/>
      <c r="AK152" s="1426"/>
      <c r="AL152" s="1426"/>
      <c r="AM152" s="1426"/>
      <c r="AN152" s="1426"/>
      <c r="AO152" s="1426"/>
      <c r="AP152" s="1426"/>
      <c r="AQ152" s="1426"/>
      <c r="AR152" s="1426"/>
      <c r="AS152" s="1426"/>
      <c r="AT152" s="1426"/>
      <c r="AU152" s="1426"/>
      <c r="AV152" s="1426"/>
      <c r="AW152" s="1426"/>
      <c r="AX152" s="1426"/>
      <c r="AY152" s="1426"/>
      <c r="AZ152" s="1426"/>
      <c r="BA152" s="1426"/>
      <c r="BB152" s="1426"/>
      <c r="BC152" s="1426"/>
      <c r="BD152" s="1426"/>
      <c r="BE152" s="1426"/>
    </row>
    <row r="153" spans="1:57" s="5" customFormat="1">
      <c r="A153" s="1"/>
      <c r="B153" s="6"/>
      <c r="C153" s="4"/>
      <c r="D153" s="3"/>
      <c r="E153" s="4"/>
      <c r="F153" s="4"/>
      <c r="G153" s="1"/>
      <c r="H153" s="6"/>
      <c r="I153" s="6"/>
      <c r="J153" s="11"/>
      <c r="K153" s="510"/>
      <c r="L153" s="11"/>
      <c r="O153" s="2410"/>
      <c r="P153" s="2411"/>
      <c r="S153" s="1"/>
      <c r="T153" s="1"/>
      <c r="U153" s="6"/>
      <c r="V153" s="1766"/>
      <c r="W153" s="1766"/>
      <c r="X153" s="1766"/>
      <c r="Y153" s="1766"/>
      <c r="Z153" s="1767"/>
      <c r="AA153" s="1767"/>
      <c r="AB153" s="1766"/>
      <c r="AC153" s="1766"/>
      <c r="AD153" s="1766"/>
      <c r="AE153" s="1768"/>
      <c r="AF153" s="1799"/>
      <c r="AG153" s="1770"/>
      <c r="AH153" s="1771"/>
      <c r="AI153" s="1426"/>
      <c r="AJ153" s="1427"/>
      <c r="AK153" s="1426"/>
      <c r="AL153" s="1426"/>
      <c r="AM153" s="1426"/>
      <c r="AN153" s="1426"/>
      <c r="AO153" s="1426"/>
      <c r="AP153" s="1426"/>
      <c r="AQ153" s="1426"/>
      <c r="AR153" s="1426"/>
      <c r="AS153" s="1426"/>
      <c r="AT153" s="1426"/>
      <c r="AU153" s="1426"/>
      <c r="AV153" s="1426"/>
      <c r="AW153" s="1426"/>
      <c r="AX153" s="1426"/>
      <c r="AY153" s="1426"/>
      <c r="AZ153" s="1426"/>
      <c r="BA153" s="1426"/>
      <c r="BB153" s="1426"/>
      <c r="BC153" s="1426"/>
      <c r="BD153" s="1426"/>
      <c r="BE153" s="1426"/>
    </row>
    <row r="154" spans="1:57" s="5" customFormat="1">
      <c r="A154" s="1"/>
      <c r="B154" s="6"/>
      <c r="C154" s="4"/>
      <c r="D154" s="3"/>
      <c r="E154" s="4"/>
      <c r="F154" s="4"/>
      <c r="G154" s="1"/>
      <c r="H154" s="6"/>
      <c r="I154" s="6"/>
      <c r="J154" s="11"/>
      <c r="K154" s="510"/>
      <c r="L154" s="11"/>
      <c r="O154" s="2410"/>
      <c r="P154" s="2411"/>
      <c r="S154" s="1"/>
      <c r="T154" s="1"/>
      <c r="U154" s="6"/>
      <c r="V154" s="1766"/>
      <c r="W154" s="1766"/>
      <c r="X154" s="1766"/>
      <c r="Y154" s="1766"/>
      <c r="Z154" s="1767"/>
      <c r="AA154" s="1767"/>
      <c r="AB154" s="1766"/>
      <c r="AC154" s="1766"/>
      <c r="AD154" s="1766"/>
      <c r="AE154" s="1768"/>
      <c r="AF154" s="1799"/>
      <c r="AG154" s="1770"/>
      <c r="AH154" s="1771"/>
      <c r="AI154" s="1426"/>
      <c r="AJ154" s="1427"/>
      <c r="AK154" s="1426"/>
      <c r="AL154" s="1426"/>
      <c r="AM154" s="1426"/>
      <c r="AN154" s="1426"/>
      <c r="AO154" s="1426"/>
      <c r="AP154" s="1426"/>
      <c r="AQ154" s="1426"/>
      <c r="AR154" s="1426"/>
      <c r="AS154" s="1426"/>
      <c r="AT154" s="1426"/>
      <c r="AU154" s="1426"/>
      <c r="AV154" s="1426"/>
      <c r="AW154" s="1426"/>
      <c r="AX154" s="1426"/>
      <c r="AY154" s="1426"/>
      <c r="AZ154" s="1426"/>
      <c r="BA154" s="1426"/>
      <c r="BB154" s="1426"/>
      <c r="BC154" s="1426"/>
      <c r="BD154" s="1426"/>
      <c r="BE154" s="1426"/>
    </row>
    <row r="155" spans="1:57" s="5" customFormat="1">
      <c r="A155" s="1"/>
      <c r="B155" s="6"/>
      <c r="C155" s="4"/>
      <c r="D155" s="3"/>
      <c r="E155" s="4"/>
      <c r="F155" s="4"/>
      <c r="G155" s="1"/>
      <c r="H155" s="6"/>
      <c r="I155" s="6"/>
      <c r="J155" s="11"/>
      <c r="K155" s="510"/>
      <c r="L155" s="11"/>
      <c r="O155" s="2410"/>
      <c r="P155" s="2411"/>
      <c r="S155" s="1"/>
      <c r="T155" s="1"/>
      <c r="U155" s="6"/>
      <c r="V155" s="1766"/>
      <c r="W155" s="1766"/>
      <c r="X155" s="1766"/>
      <c r="Y155" s="1766"/>
      <c r="Z155" s="1767"/>
      <c r="AA155" s="1767"/>
      <c r="AB155" s="1766"/>
      <c r="AC155" s="1766"/>
      <c r="AD155" s="1766"/>
      <c r="AE155" s="1768"/>
      <c r="AF155" s="1799"/>
      <c r="AG155" s="1770"/>
      <c r="AH155" s="1771"/>
      <c r="AI155" s="1426"/>
      <c r="AJ155" s="1427"/>
      <c r="AK155" s="1426"/>
      <c r="AL155" s="1426"/>
      <c r="AM155" s="1426"/>
      <c r="AN155" s="1426"/>
      <c r="AO155" s="1426"/>
      <c r="AP155" s="1426"/>
      <c r="AQ155" s="1426"/>
      <c r="AR155" s="1426"/>
      <c r="AS155" s="1426"/>
      <c r="AT155" s="1426"/>
      <c r="AU155" s="1426"/>
      <c r="AV155" s="1426"/>
      <c r="AW155" s="1426"/>
      <c r="AX155" s="1426"/>
      <c r="AY155" s="1426"/>
      <c r="AZ155" s="1426"/>
      <c r="BA155" s="1426"/>
      <c r="BB155" s="1426"/>
      <c r="BC155" s="1426"/>
      <c r="BD155" s="1426"/>
      <c r="BE155" s="1426"/>
    </row>
    <row r="156" spans="1:57" s="5" customFormat="1">
      <c r="A156" s="1"/>
      <c r="B156" s="6"/>
      <c r="C156" s="4"/>
      <c r="D156" s="3"/>
      <c r="E156" s="4"/>
      <c r="F156" s="4"/>
      <c r="G156" s="1"/>
      <c r="H156" s="6"/>
      <c r="I156" s="6"/>
      <c r="J156" s="11"/>
      <c r="K156" s="510"/>
      <c r="L156" s="11"/>
      <c r="O156" s="2410"/>
      <c r="P156" s="2411"/>
      <c r="S156" s="1"/>
      <c r="T156" s="1"/>
      <c r="U156" s="6"/>
      <c r="V156" s="1766"/>
      <c r="W156" s="1766"/>
      <c r="X156" s="1766"/>
      <c r="Y156" s="1766"/>
      <c r="Z156" s="1767"/>
      <c r="AA156" s="1767"/>
      <c r="AB156" s="1766"/>
      <c r="AC156" s="1766"/>
      <c r="AD156" s="1766"/>
      <c r="AE156" s="1768"/>
      <c r="AF156" s="1799"/>
      <c r="AG156" s="1770"/>
      <c r="AH156" s="1771"/>
      <c r="AI156" s="1426"/>
      <c r="AJ156" s="1427"/>
      <c r="AK156" s="1426"/>
      <c r="AL156" s="1426"/>
      <c r="AM156" s="1426"/>
      <c r="AN156" s="1426"/>
      <c r="AO156" s="1426"/>
      <c r="AP156" s="1426"/>
      <c r="AQ156" s="1426"/>
      <c r="AR156" s="1426"/>
      <c r="AS156" s="1426"/>
      <c r="AT156" s="1426"/>
      <c r="AU156" s="1426"/>
      <c r="AV156" s="1426"/>
      <c r="AW156" s="1426"/>
      <c r="AX156" s="1426"/>
      <c r="AY156" s="1426"/>
      <c r="AZ156" s="1426"/>
      <c r="BA156" s="1426"/>
      <c r="BB156" s="1426"/>
      <c r="BC156" s="1426"/>
      <c r="BD156" s="1426"/>
      <c r="BE156" s="1426"/>
    </row>
    <row r="157" spans="1:57" s="5" customFormat="1">
      <c r="A157" s="1"/>
      <c r="B157" s="6"/>
      <c r="C157" s="4"/>
      <c r="D157" s="3"/>
      <c r="E157" s="4"/>
      <c r="F157" s="4"/>
      <c r="G157" s="1"/>
      <c r="H157" s="6"/>
      <c r="I157" s="6"/>
      <c r="J157" s="11"/>
      <c r="K157" s="510"/>
      <c r="L157" s="11"/>
      <c r="O157" s="2410"/>
      <c r="P157" s="2411"/>
      <c r="S157" s="1"/>
      <c r="T157" s="1"/>
      <c r="U157" s="6"/>
      <c r="V157" s="1766"/>
      <c r="W157" s="1766"/>
      <c r="X157" s="1766"/>
      <c r="Y157" s="1766"/>
      <c r="Z157" s="1767"/>
      <c r="AA157" s="1767"/>
      <c r="AB157" s="1766"/>
      <c r="AC157" s="1766"/>
      <c r="AD157" s="1766"/>
      <c r="AE157" s="1768"/>
      <c r="AF157" s="1799"/>
      <c r="AG157" s="1770"/>
      <c r="AH157" s="1771"/>
      <c r="AI157" s="1426"/>
      <c r="AJ157" s="1427"/>
      <c r="AK157" s="1426"/>
      <c r="AL157" s="1426"/>
      <c r="AM157" s="1426"/>
      <c r="AN157" s="1426"/>
      <c r="AO157" s="1426"/>
      <c r="AP157" s="1426"/>
      <c r="AQ157" s="1426"/>
      <c r="AR157" s="1426"/>
      <c r="AS157" s="1426"/>
      <c r="AT157" s="1426"/>
      <c r="AU157" s="1426"/>
      <c r="AV157" s="1426"/>
      <c r="AW157" s="1426"/>
      <c r="AX157" s="1426"/>
      <c r="AY157" s="1426"/>
      <c r="AZ157" s="1426"/>
      <c r="BA157" s="1426"/>
      <c r="BB157" s="1426"/>
      <c r="BC157" s="1426"/>
      <c r="BD157" s="1426"/>
      <c r="BE157" s="1426"/>
    </row>
    <row r="158" spans="1:57" s="5" customFormat="1">
      <c r="A158" s="1"/>
      <c r="B158" s="6"/>
      <c r="C158" s="4"/>
      <c r="D158" s="3"/>
      <c r="E158" s="4"/>
      <c r="F158" s="4"/>
      <c r="G158" s="1"/>
      <c r="H158" s="6"/>
      <c r="I158" s="6"/>
      <c r="J158" s="11"/>
      <c r="K158" s="510"/>
      <c r="L158" s="11"/>
      <c r="O158" s="2410"/>
      <c r="P158" s="2411"/>
      <c r="S158" s="1"/>
      <c r="T158" s="1"/>
      <c r="U158" s="6"/>
      <c r="V158" s="1766"/>
      <c r="W158" s="1766"/>
      <c r="X158" s="1766"/>
      <c r="Y158" s="1766"/>
      <c r="Z158" s="1767"/>
      <c r="AA158" s="1767"/>
      <c r="AB158" s="1766"/>
      <c r="AC158" s="1766"/>
      <c r="AD158" s="1766"/>
      <c r="AE158" s="1768"/>
      <c r="AF158" s="1799"/>
      <c r="AG158" s="1770"/>
      <c r="AH158" s="1771"/>
      <c r="AI158" s="1426"/>
      <c r="AJ158" s="1427"/>
      <c r="AK158" s="1426"/>
      <c r="AL158" s="1426"/>
      <c r="AM158" s="1426"/>
      <c r="AN158" s="1426"/>
      <c r="AO158" s="1426"/>
      <c r="AP158" s="1426"/>
      <c r="AQ158" s="1426"/>
      <c r="AR158" s="1426"/>
      <c r="AS158" s="1426"/>
      <c r="AT158" s="1426"/>
      <c r="AU158" s="1426"/>
      <c r="AV158" s="1426"/>
      <c r="AW158" s="1426"/>
      <c r="AX158" s="1426"/>
      <c r="AY158" s="1426"/>
      <c r="AZ158" s="1426"/>
      <c r="BA158" s="1426"/>
      <c r="BB158" s="1426"/>
      <c r="BC158" s="1426"/>
      <c r="BD158" s="1426"/>
      <c r="BE158" s="1426"/>
    </row>
    <row r="159" spans="1:57" s="5" customFormat="1">
      <c r="A159" s="1"/>
      <c r="B159" s="6"/>
      <c r="C159" s="4"/>
      <c r="D159" s="3"/>
      <c r="E159" s="4"/>
      <c r="F159" s="4"/>
      <c r="G159" s="1"/>
      <c r="H159" s="6"/>
      <c r="I159" s="6"/>
      <c r="J159" s="11"/>
      <c r="K159" s="510"/>
      <c r="L159" s="11"/>
      <c r="O159" s="2410"/>
      <c r="P159" s="2411"/>
      <c r="S159" s="1"/>
      <c r="T159" s="1"/>
      <c r="U159" s="6"/>
      <c r="V159" s="1766"/>
      <c r="W159" s="1766"/>
      <c r="X159" s="1766"/>
      <c r="Y159" s="1766"/>
      <c r="Z159" s="1767"/>
      <c r="AA159" s="1767"/>
      <c r="AB159" s="1766"/>
      <c r="AC159" s="1766"/>
      <c r="AD159" s="1766"/>
      <c r="AE159" s="1768"/>
      <c r="AF159" s="1799"/>
      <c r="AG159" s="1770"/>
      <c r="AH159" s="1771"/>
      <c r="AI159" s="1426"/>
      <c r="AJ159" s="1427"/>
      <c r="AK159" s="1426"/>
      <c r="AL159" s="1426"/>
      <c r="AM159" s="1426"/>
      <c r="AN159" s="1426"/>
      <c r="AO159" s="1426"/>
      <c r="AP159" s="1426"/>
      <c r="AQ159" s="1426"/>
      <c r="AR159" s="1426"/>
      <c r="AS159" s="1426"/>
      <c r="AT159" s="1426"/>
      <c r="AU159" s="1426"/>
      <c r="AV159" s="1426"/>
      <c r="AW159" s="1426"/>
      <c r="AX159" s="1426"/>
      <c r="AY159" s="1426"/>
      <c r="AZ159" s="1426"/>
      <c r="BA159" s="1426"/>
      <c r="BB159" s="1426"/>
      <c r="BC159" s="1426"/>
      <c r="BD159" s="1426"/>
      <c r="BE159" s="1426"/>
    </row>
    <row r="160" spans="1:57" s="5" customFormat="1">
      <c r="A160" s="1"/>
      <c r="B160" s="6"/>
      <c r="C160" s="4"/>
      <c r="D160" s="3"/>
      <c r="E160" s="4"/>
      <c r="F160" s="4"/>
      <c r="G160" s="1"/>
      <c r="H160" s="6"/>
      <c r="I160" s="6"/>
      <c r="J160" s="11"/>
      <c r="K160" s="510"/>
      <c r="L160" s="11"/>
      <c r="O160" s="2410"/>
      <c r="P160" s="2411"/>
      <c r="S160" s="1"/>
      <c r="T160" s="1"/>
      <c r="U160" s="6"/>
      <c r="V160" s="1766"/>
      <c r="W160" s="1766"/>
      <c r="X160" s="1766"/>
      <c r="Y160" s="1766"/>
      <c r="Z160" s="1767"/>
      <c r="AA160" s="1767"/>
      <c r="AB160" s="1766"/>
      <c r="AC160" s="1766"/>
      <c r="AD160" s="1766"/>
      <c r="AE160" s="1768"/>
      <c r="AF160" s="1799"/>
      <c r="AG160" s="1770"/>
      <c r="AH160" s="1771"/>
      <c r="AI160" s="1426"/>
      <c r="AJ160" s="1427"/>
      <c r="AK160" s="1426"/>
      <c r="AL160" s="1426"/>
      <c r="AM160" s="1426"/>
      <c r="AN160" s="1426"/>
      <c r="AO160" s="1426"/>
      <c r="AP160" s="1426"/>
      <c r="AQ160" s="1426"/>
      <c r="AR160" s="1426"/>
      <c r="AS160" s="1426"/>
      <c r="AT160" s="1426"/>
      <c r="AU160" s="1426"/>
      <c r="AV160" s="1426"/>
      <c r="AW160" s="1426"/>
      <c r="AX160" s="1426"/>
      <c r="AY160" s="1426"/>
      <c r="AZ160" s="1426"/>
      <c r="BA160" s="1426"/>
      <c r="BB160" s="1426"/>
      <c r="BC160" s="1426"/>
      <c r="BD160" s="1426"/>
      <c r="BE160" s="1426"/>
    </row>
    <row r="161" spans="1:57" s="5" customFormat="1">
      <c r="A161" s="1"/>
      <c r="B161" s="6"/>
      <c r="C161" s="4"/>
      <c r="D161" s="3"/>
      <c r="E161" s="4"/>
      <c r="F161" s="4"/>
      <c r="G161" s="1"/>
      <c r="H161" s="6"/>
      <c r="I161" s="6"/>
      <c r="J161" s="11"/>
      <c r="K161" s="510"/>
      <c r="L161" s="11"/>
      <c r="O161" s="2410"/>
      <c r="P161" s="2411"/>
      <c r="S161" s="1"/>
      <c r="T161" s="1"/>
      <c r="U161" s="6"/>
      <c r="V161" s="1766"/>
      <c r="W161" s="1766"/>
      <c r="X161" s="1766"/>
      <c r="Y161" s="1766"/>
      <c r="Z161" s="1767"/>
      <c r="AA161" s="1767"/>
      <c r="AB161" s="1766"/>
      <c r="AC161" s="1766"/>
      <c r="AD161" s="1766"/>
      <c r="AE161" s="1768"/>
      <c r="AF161" s="1799"/>
      <c r="AG161" s="1770"/>
      <c r="AH161" s="1771"/>
      <c r="AI161" s="1426"/>
      <c r="AJ161" s="1427"/>
      <c r="AK161" s="1426"/>
      <c r="AL161" s="1426"/>
      <c r="AM161" s="1426"/>
      <c r="AN161" s="1426"/>
      <c r="AO161" s="1426"/>
      <c r="AP161" s="1426"/>
      <c r="AQ161" s="1426"/>
      <c r="AR161" s="1426"/>
      <c r="AS161" s="1426"/>
      <c r="AT161" s="1426"/>
      <c r="AU161" s="1426"/>
      <c r="AV161" s="1426"/>
      <c r="AW161" s="1426"/>
      <c r="AX161" s="1426"/>
      <c r="AY161" s="1426"/>
      <c r="AZ161" s="1426"/>
      <c r="BA161" s="1426"/>
      <c r="BB161" s="1426"/>
      <c r="BC161" s="1426"/>
      <c r="BD161" s="1426"/>
      <c r="BE161" s="1426"/>
    </row>
    <row r="162" spans="1:57" s="5" customFormat="1">
      <c r="A162" s="1"/>
      <c r="B162" s="6"/>
      <c r="C162" s="4"/>
      <c r="D162" s="3"/>
      <c r="E162" s="4"/>
      <c r="F162" s="4"/>
      <c r="G162" s="1"/>
      <c r="H162" s="6"/>
      <c r="I162" s="6"/>
      <c r="J162" s="11"/>
      <c r="K162" s="510"/>
      <c r="L162" s="11"/>
      <c r="O162" s="2410"/>
      <c r="P162" s="2411"/>
      <c r="S162" s="1"/>
      <c r="T162" s="1"/>
      <c r="U162" s="6"/>
      <c r="V162" s="1766"/>
      <c r="W162" s="1766"/>
      <c r="X162" s="1766"/>
      <c r="Y162" s="1766"/>
      <c r="Z162" s="1767"/>
      <c r="AA162" s="1767"/>
      <c r="AB162" s="1766"/>
      <c r="AC162" s="1766"/>
      <c r="AD162" s="1766"/>
      <c r="AE162" s="1768"/>
      <c r="AF162" s="1799"/>
      <c r="AG162" s="1770"/>
      <c r="AH162" s="1771"/>
      <c r="AI162" s="1426"/>
      <c r="AJ162" s="1427"/>
      <c r="AK162" s="1426"/>
      <c r="AL162" s="1426"/>
      <c r="AM162" s="1426"/>
      <c r="AN162" s="1426"/>
      <c r="AO162" s="1426"/>
      <c r="AP162" s="1426"/>
      <c r="AQ162" s="1426"/>
      <c r="AR162" s="1426"/>
      <c r="AS162" s="1426"/>
      <c r="AT162" s="1426"/>
      <c r="AU162" s="1426"/>
      <c r="AV162" s="1426"/>
      <c r="AW162" s="1426"/>
      <c r="AX162" s="1426"/>
      <c r="AY162" s="1426"/>
      <c r="AZ162" s="1426"/>
      <c r="BA162" s="1426"/>
      <c r="BB162" s="1426"/>
      <c r="BC162" s="1426"/>
      <c r="BD162" s="1426"/>
      <c r="BE162" s="1426"/>
    </row>
    <row r="163" spans="1:57" s="5" customFormat="1">
      <c r="A163" s="1"/>
      <c r="B163" s="6"/>
      <c r="C163" s="4"/>
      <c r="D163" s="3"/>
      <c r="E163" s="4"/>
      <c r="F163" s="4"/>
      <c r="G163" s="1"/>
      <c r="H163" s="6"/>
      <c r="I163" s="6"/>
      <c r="J163" s="11"/>
      <c r="K163" s="510"/>
      <c r="L163" s="11"/>
      <c r="O163" s="2410"/>
      <c r="P163" s="2411"/>
      <c r="S163" s="1"/>
      <c r="T163" s="1"/>
      <c r="U163" s="6"/>
      <c r="V163" s="1766"/>
      <c r="W163" s="1766"/>
      <c r="X163" s="1766"/>
      <c r="Y163" s="1766"/>
      <c r="Z163" s="1767"/>
      <c r="AA163" s="1767"/>
      <c r="AB163" s="1766"/>
      <c r="AC163" s="1766"/>
      <c r="AD163" s="1766"/>
      <c r="AE163" s="1768"/>
      <c r="AF163" s="1799"/>
      <c r="AG163" s="1770"/>
      <c r="AH163" s="1771"/>
      <c r="AI163" s="1426"/>
      <c r="AJ163" s="1427"/>
      <c r="AK163" s="1426"/>
      <c r="AL163" s="1426"/>
      <c r="AM163" s="1426"/>
      <c r="AN163" s="1426"/>
      <c r="AO163" s="1426"/>
      <c r="AP163" s="1426"/>
      <c r="AQ163" s="1426"/>
      <c r="AR163" s="1426"/>
      <c r="AS163" s="1426"/>
      <c r="AT163" s="1426"/>
      <c r="AU163" s="1426"/>
      <c r="AV163" s="1426"/>
      <c r="AW163" s="1426"/>
      <c r="AX163" s="1426"/>
      <c r="AY163" s="1426"/>
      <c r="AZ163" s="1426"/>
      <c r="BA163" s="1426"/>
      <c r="BB163" s="1426"/>
      <c r="BC163" s="1426"/>
      <c r="BD163" s="1426"/>
      <c r="BE163" s="1426"/>
    </row>
    <row r="164" spans="1:57" s="5" customFormat="1">
      <c r="A164" s="1"/>
      <c r="B164" s="6"/>
      <c r="C164" s="4"/>
      <c r="D164" s="3"/>
      <c r="E164" s="4"/>
      <c r="F164" s="4"/>
      <c r="G164" s="1"/>
      <c r="H164" s="6"/>
      <c r="I164" s="6"/>
      <c r="J164" s="11"/>
      <c r="K164" s="510"/>
      <c r="L164" s="11"/>
      <c r="O164" s="2410"/>
      <c r="P164" s="2411"/>
      <c r="S164" s="1"/>
      <c r="T164" s="1"/>
      <c r="U164" s="6"/>
      <c r="V164" s="1766"/>
      <c r="W164" s="1766"/>
      <c r="X164" s="1766"/>
      <c r="Y164" s="1766"/>
      <c r="Z164" s="1767"/>
      <c r="AA164" s="1767"/>
      <c r="AB164" s="1766"/>
      <c r="AC164" s="1766"/>
      <c r="AD164" s="1766"/>
      <c r="AE164" s="1768"/>
      <c r="AF164" s="1799"/>
      <c r="AG164" s="1770"/>
      <c r="AH164" s="1771"/>
      <c r="AI164" s="1426"/>
      <c r="AJ164" s="1427"/>
      <c r="AK164" s="1426"/>
      <c r="AL164" s="1426"/>
      <c r="AM164" s="1426"/>
      <c r="AN164" s="1426"/>
      <c r="AO164" s="1426"/>
      <c r="AP164" s="1426"/>
      <c r="AQ164" s="1426"/>
      <c r="AR164" s="1426"/>
      <c r="AS164" s="1426"/>
      <c r="AT164" s="1426"/>
      <c r="AU164" s="1426"/>
      <c r="AV164" s="1426"/>
      <c r="AW164" s="1426"/>
      <c r="AX164" s="1426"/>
      <c r="AY164" s="1426"/>
      <c r="AZ164" s="1426"/>
      <c r="BA164" s="1426"/>
      <c r="BB164" s="1426"/>
      <c r="BC164" s="1426"/>
      <c r="BD164" s="1426"/>
      <c r="BE164" s="1426"/>
    </row>
    <row r="165" spans="1:57" s="5" customFormat="1">
      <c r="A165" s="1"/>
      <c r="B165" s="6"/>
      <c r="C165" s="4"/>
      <c r="D165" s="3"/>
      <c r="E165" s="4"/>
      <c r="F165" s="4"/>
      <c r="G165" s="1"/>
      <c r="H165" s="6"/>
      <c r="I165" s="6"/>
      <c r="J165" s="11"/>
      <c r="K165" s="510"/>
      <c r="L165" s="11"/>
      <c r="O165" s="2410"/>
      <c r="P165" s="2411"/>
      <c r="S165" s="1"/>
      <c r="T165" s="1"/>
      <c r="U165" s="6"/>
      <c r="V165" s="1766"/>
      <c r="W165" s="1766"/>
      <c r="X165" s="1766"/>
      <c r="Y165" s="1766"/>
      <c r="Z165" s="1767"/>
      <c r="AA165" s="1767"/>
      <c r="AB165" s="1766"/>
      <c r="AC165" s="1766"/>
      <c r="AD165" s="1766"/>
      <c r="AE165" s="1768"/>
      <c r="AF165" s="1799"/>
      <c r="AG165" s="1770"/>
      <c r="AH165" s="1771"/>
      <c r="AI165" s="1426"/>
      <c r="AJ165" s="1427"/>
      <c r="AK165" s="1426"/>
      <c r="AL165" s="1426"/>
      <c r="AM165" s="1426"/>
      <c r="AN165" s="1426"/>
      <c r="AO165" s="1426"/>
      <c r="AP165" s="1426"/>
      <c r="AQ165" s="1426"/>
      <c r="AR165" s="1426"/>
      <c r="AS165" s="1426"/>
      <c r="AT165" s="1426"/>
      <c r="AU165" s="1426"/>
      <c r="AV165" s="1426"/>
      <c r="AW165" s="1426"/>
      <c r="AX165" s="1426"/>
      <c r="AY165" s="1426"/>
      <c r="AZ165" s="1426"/>
      <c r="BA165" s="1426"/>
      <c r="BB165" s="1426"/>
      <c r="BC165" s="1426"/>
      <c r="BD165" s="1426"/>
      <c r="BE165" s="1426"/>
    </row>
    <row r="166" spans="1:57" s="5" customFormat="1">
      <c r="A166" s="1"/>
      <c r="B166" s="6"/>
      <c r="C166" s="4"/>
      <c r="D166" s="3"/>
      <c r="E166" s="4"/>
      <c r="F166" s="4"/>
      <c r="G166" s="1"/>
      <c r="H166" s="6"/>
      <c r="I166" s="6"/>
      <c r="J166" s="11"/>
      <c r="K166" s="510"/>
      <c r="L166" s="11"/>
      <c r="O166" s="2410"/>
      <c r="P166" s="2411"/>
      <c r="S166" s="1"/>
      <c r="T166" s="1"/>
      <c r="U166" s="6"/>
      <c r="V166" s="1766"/>
      <c r="W166" s="1766"/>
      <c r="X166" s="1766"/>
      <c r="Y166" s="1766"/>
      <c r="Z166" s="1767"/>
      <c r="AA166" s="1767"/>
      <c r="AB166" s="1766"/>
      <c r="AC166" s="1766"/>
      <c r="AD166" s="1766"/>
      <c r="AE166" s="1768"/>
      <c r="AF166" s="1799"/>
      <c r="AG166" s="1770"/>
      <c r="AH166" s="1771"/>
      <c r="AI166" s="1426"/>
      <c r="AJ166" s="1427"/>
      <c r="AK166" s="1426"/>
      <c r="AL166" s="1426"/>
      <c r="AM166" s="1426"/>
      <c r="AN166" s="1426"/>
      <c r="AO166" s="1426"/>
      <c r="AP166" s="1426"/>
      <c r="AQ166" s="1426"/>
      <c r="AR166" s="1426"/>
      <c r="AS166" s="1426"/>
      <c r="AT166" s="1426"/>
      <c r="AU166" s="1426"/>
      <c r="AV166" s="1426"/>
      <c r="AW166" s="1426"/>
      <c r="AX166" s="1426"/>
      <c r="AY166" s="1426"/>
      <c r="AZ166" s="1426"/>
      <c r="BA166" s="1426"/>
      <c r="BB166" s="1426"/>
      <c r="BC166" s="1426"/>
      <c r="BD166" s="1426"/>
      <c r="BE166" s="1426"/>
    </row>
    <row r="167" spans="1:57" s="5" customFormat="1">
      <c r="A167" s="1"/>
      <c r="B167" s="6"/>
      <c r="C167" s="4"/>
      <c r="D167" s="3"/>
      <c r="E167" s="4"/>
      <c r="F167" s="4"/>
      <c r="G167" s="1"/>
      <c r="H167" s="6"/>
      <c r="I167" s="6"/>
      <c r="J167" s="11"/>
      <c r="K167" s="510"/>
      <c r="L167" s="11"/>
      <c r="O167" s="2410"/>
      <c r="P167" s="2411"/>
      <c r="S167" s="1"/>
      <c r="T167" s="1"/>
      <c r="U167" s="6"/>
      <c r="V167" s="1766"/>
      <c r="W167" s="1766"/>
      <c r="X167" s="1766"/>
      <c r="Y167" s="1766"/>
      <c r="Z167" s="1767"/>
      <c r="AA167" s="1767"/>
      <c r="AB167" s="1766"/>
      <c r="AC167" s="1766"/>
      <c r="AD167" s="1766"/>
      <c r="AE167" s="1768"/>
      <c r="AF167" s="1799"/>
      <c r="AG167" s="1770"/>
      <c r="AH167" s="1771"/>
      <c r="AI167" s="1426"/>
      <c r="AJ167" s="1427"/>
      <c r="AK167" s="1426"/>
      <c r="AL167" s="1426"/>
      <c r="AM167" s="1426"/>
      <c r="AN167" s="1426"/>
      <c r="AO167" s="1426"/>
      <c r="AP167" s="1426"/>
      <c r="AQ167" s="1426"/>
      <c r="AR167" s="1426"/>
      <c r="AS167" s="1426"/>
      <c r="AT167" s="1426"/>
      <c r="AU167" s="1426"/>
      <c r="AV167" s="1426"/>
      <c r="AW167" s="1426"/>
      <c r="AX167" s="1426"/>
      <c r="AY167" s="1426"/>
      <c r="AZ167" s="1426"/>
      <c r="BA167" s="1426"/>
      <c r="BB167" s="1426"/>
      <c r="BC167" s="1426"/>
      <c r="BD167" s="1426"/>
      <c r="BE167" s="1426"/>
    </row>
    <row r="168" spans="1:57" s="5" customFormat="1">
      <c r="A168" s="1"/>
      <c r="B168" s="6"/>
      <c r="C168" s="4"/>
      <c r="D168" s="3"/>
      <c r="E168" s="4"/>
      <c r="F168" s="4"/>
      <c r="G168" s="1"/>
      <c r="H168" s="6"/>
      <c r="I168" s="6"/>
      <c r="J168" s="11"/>
      <c r="K168" s="510"/>
      <c r="L168" s="11"/>
      <c r="O168" s="2410"/>
      <c r="P168" s="2411"/>
      <c r="S168" s="1"/>
      <c r="T168" s="1"/>
      <c r="U168" s="6"/>
      <c r="V168" s="1766"/>
      <c r="W168" s="1766"/>
      <c r="X168" s="1766"/>
      <c r="Y168" s="1766"/>
      <c r="Z168" s="1767"/>
      <c r="AA168" s="1767"/>
      <c r="AB168" s="1766"/>
      <c r="AC168" s="1766"/>
      <c r="AD168" s="1766"/>
      <c r="AE168" s="1768"/>
      <c r="AF168" s="1799"/>
      <c r="AG168" s="1770"/>
      <c r="AH168" s="1771"/>
      <c r="AI168" s="1426"/>
      <c r="AJ168" s="1427"/>
      <c r="AK168" s="1426"/>
      <c r="AL168" s="1426"/>
      <c r="AM168" s="1426"/>
      <c r="AN168" s="1426"/>
      <c r="AO168" s="1426"/>
      <c r="AP168" s="1426"/>
      <c r="AQ168" s="1426"/>
      <c r="AR168" s="1426"/>
      <c r="AS168" s="1426"/>
      <c r="AT168" s="1426"/>
      <c r="AU168" s="1426"/>
      <c r="AV168" s="1426"/>
      <c r="AW168" s="1426"/>
      <c r="AX168" s="1426"/>
      <c r="AY168" s="1426"/>
      <c r="AZ168" s="1426"/>
      <c r="BA168" s="1426"/>
      <c r="BB168" s="1426"/>
      <c r="BC168" s="1426"/>
      <c r="BD168" s="1426"/>
      <c r="BE168" s="1426"/>
    </row>
    <row r="169" spans="1:57" s="5" customFormat="1">
      <c r="A169" s="1"/>
      <c r="B169" s="6"/>
      <c r="C169" s="4"/>
      <c r="D169" s="3"/>
      <c r="E169" s="4"/>
      <c r="F169" s="4"/>
      <c r="G169" s="1"/>
      <c r="H169" s="6"/>
      <c r="I169" s="6"/>
      <c r="J169" s="11"/>
      <c r="K169" s="510"/>
      <c r="L169" s="11"/>
      <c r="O169" s="2410"/>
      <c r="P169" s="2411"/>
      <c r="S169" s="1"/>
      <c r="T169" s="1"/>
      <c r="U169" s="6"/>
      <c r="V169" s="1766"/>
      <c r="W169" s="1766"/>
      <c r="X169" s="1766"/>
      <c r="Y169" s="1766"/>
      <c r="Z169" s="1767"/>
      <c r="AA169" s="1767"/>
      <c r="AB169" s="1766"/>
      <c r="AC169" s="1766"/>
      <c r="AD169" s="1766"/>
      <c r="AE169" s="1768"/>
      <c r="AF169" s="1799"/>
      <c r="AG169" s="1770"/>
      <c r="AH169" s="1771"/>
      <c r="AI169" s="1426"/>
      <c r="AJ169" s="1427"/>
      <c r="AK169" s="1426"/>
      <c r="AL169" s="1426"/>
      <c r="AM169" s="1426"/>
      <c r="AN169" s="1426"/>
      <c r="AO169" s="1426"/>
      <c r="AP169" s="1426"/>
      <c r="AQ169" s="1426"/>
      <c r="AR169" s="1426"/>
      <c r="AS169" s="1426"/>
      <c r="AT169" s="1426"/>
      <c r="AU169" s="1426"/>
      <c r="AV169" s="1426"/>
      <c r="AW169" s="1426"/>
      <c r="AX169" s="1426"/>
      <c r="AY169" s="1426"/>
      <c r="AZ169" s="1426"/>
      <c r="BA169" s="1426"/>
      <c r="BB169" s="1426"/>
      <c r="BC169" s="1426"/>
      <c r="BD169" s="1426"/>
      <c r="BE169" s="1426"/>
    </row>
    <row r="170" spans="1:57" s="5" customFormat="1">
      <c r="A170" s="1"/>
      <c r="B170" s="6"/>
      <c r="C170" s="4"/>
      <c r="D170" s="3"/>
      <c r="E170" s="4"/>
      <c r="F170" s="4"/>
      <c r="G170" s="1"/>
      <c r="H170" s="6"/>
      <c r="I170" s="6"/>
      <c r="J170" s="11"/>
      <c r="K170" s="510"/>
      <c r="L170" s="11"/>
      <c r="O170" s="2410"/>
      <c r="P170" s="2411"/>
      <c r="S170" s="1"/>
      <c r="T170" s="1"/>
      <c r="U170" s="6"/>
      <c r="V170" s="1766"/>
      <c r="W170" s="1766"/>
      <c r="X170" s="1766"/>
      <c r="Y170" s="1766"/>
      <c r="Z170" s="1767"/>
      <c r="AA170" s="1767"/>
      <c r="AB170" s="1766"/>
      <c r="AC170" s="1766"/>
      <c r="AD170" s="1766"/>
      <c r="AE170" s="1768"/>
      <c r="AF170" s="1799"/>
      <c r="AG170" s="1770"/>
      <c r="AH170" s="1771"/>
      <c r="AI170" s="1426"/>
      <c r="AJ170" s="1427"/>
      <c r="AK170" s="1426"/>
      <c r="AL170" s="1426"/>
      <c r="AM170" s="1426"/>
      <c r="AN170" s="1426"/>
      <c r="AO170" s="1426"/>
      <c r="AP170" s="1426"/>
      <c r="AQ170" s="1426"/>
      <c r="AR170" s="1426"/>
      <c r="AS170" s="1426"/>
      <c r="AT170" s="1426"/>
      <c r="AU170" s="1426"/>
      <c r="AV170" s="1426"/>
      <c r="AW170" s="1426"/>
      <c r="AX170" s="1426"/>
      <c r="AY170" s="1426"/>
      <c r="AZ170" s="1426"/>
      <c r="BA170" s="1426"/>
      <c r="BB170" s="1426"/>
      <c r="BC170" s="1426"/>
      <c r="BD170" s="1426"/>
      <c r="BE170" s="1426"/>
    </row>
    <row r="171" spans="1:57" s="5" customFormat="1">
      <c r="A171" s="1"/>
      <c r="B171" s="6"/>
      <c r="C171" s="4"/>
      <c r="D171" s="3"/>
      <c r="E171" s="4"/>
      <c r="F171" s="4"/>
      <c r="G171" s="1"/>
      <c r="H171" s="6"/>
      <c r="I171" s="6"/>
      <c r="J171" s="11"/>
      <c r="K171" s="510"/>
      <c r="L171" s="11"/>
      <c r="O171" s="2410"/>
      <c r="P171" s="2411"/>
      <c r="S171" s="1"/>
      <c r="T171" s="1"/>
      <c r="U171" s="6"/>
      <c r="V171" s="1766"/>
      <c r="W171" s="1766"/>
      <c r="X171" s="1766"/>
      <c r="Y171" s="1766"/>
      <c r="Z171" s="1767"/>
      <c r="AA171" s="1767"/>
      <c r="AB171" s="1766"/>
      <c r="AC171" s="1766"/>
      <c r="AD171" s="1766"/>
      <c r="AE171" s="1768"/>
      <c r="AF171" s="1799"/>
      <c r="AG171" s="1770"/>
      <c r="AH171" s="1771"/>
      <c r="AI171" s="1426"/>
      <c r="AJ171" s="1427"/>
      <c r="AK171" s="1426"/>
      <c r="AL171" s="1426"/>
      <c r="AM171" s="1426"/>
      <c r="AN171" s="1426"/>
      <c r="AO171" s="1426"/>
      <c r="AP171" s="1426"/>
      <c r="AQ171" s="1426"/>
      <c r="AR171" s="1426"/>
      <c r="AS171" s="1426"/>
      <c r="AT171" s="1426"/>
      <c r="AU171" s="1426"/>
      <c r="AV171" s="1426"/>
      <c r="AW171" s="1426"/>
      <c r="AX171" s="1426"/>
      <c r="AY171" s="1426"/>
      <c r="AZ171" s="1426"/>
      <c r="BA171" s="1426"/>
      <c r="BB171" s="1426"/>
      <c r="BC171" s="1426"/>
      <c r="BD171" s="1426"/>
      <c r="BE171" s="1426"/>
    </row>
    <row r="172" spans="1:57" s="5" customFormat="1">
      <c r="A172" s="1"/>
      <c r="B172" s="6"/>
      <c r="C172" s="4"/>
      <c r="D172" s="3"/>
      <c r="E172" s="4"/>
      <c r="F172" s="4"/>
      <c r="G172" s="1"/>
      <c r="H172" s="6"/>
      <c r="I172" s="6"/>
      <c r="J172" s="11"/>
      <c r="K172" s="510"/>
      <c r="L172" s="11"/>
      <c r="O172" s="2410"/>
      <c r="P172" s="2411"/>
      <c r="S172" s="1"/>
      <c r="T172" s="1"/>
      <c r="U172" s="6"/>
      <c r="V172" s="1766"/>
      <c r="W172" s="1766"/>
      <c r="X172" s="1766"/>
      <c r="Y172" s="1766"/>
      <c r="Z172" s="1767"/>
      <c r="AA172" s="1767"/>
      <c r="AB172" s="1766"/>
      <c r="AC172" s="1766"/>
      <c r="AD172" s="1766"/>
      <c r="AE172" s="1768"/>
      <c r="AF172" s="1799"/>
      <c r="AG172" s="1770"/>
      <c r="AH172" s="1771"/>
      <c r="AI172" s="1426"/>
      <c r="AJ172" s="1427"/>
      <c r="AK172" s="1426"/>
      <c r="AL172" s="1426"/>
      <c r="AM172" s="1426"/>
      <c r="AN172" s="1426"/>
      <c r="AO172" s="1426"/>
      <c r="AP172" s="1426"/>
      <c r="AQ172" s="1426"/>
      <c r="AR172" s="1426"/>
      <c r="AS172" s="1426"/>
      <c r="AT172" s="1426"/>
      <c r="AU172" s="1426"/>
      <c r="AV172" s="1426"/>
      <c r="AW172" s="1426"/>
      <c r="AX172" s="1426"/>
      <c r="AY172" s="1426"/>
      <c r="AZ172" s="1426"/>
      <c r="BA172" s="1426"/>
      <c r="BB172" s="1426"/>
      <c r="BC172" s="1426"/>
      <c r="BD172" s="1426"/>
      <c r="BE172" s="1426"/>
    </row>
    <row r="173" spans="1:57" s="5" customFormat="1">
      <c r="A173" s="1"/>
      <c r="B173" s="6"/>
      <c r="C173" s="4"/>
      <c r="D173" s="3"/>
      <c r="E173" s="4"/>
      <c r="F173" s="4"/>
      <c r="G173" s="1"/>
      <c r="H173" s="6"/>
      <c r="I173" s="6"/>
      <c r="J173" s="11"/>
      <c r="K173" s="510"/>
      <c r="L173" s="11"/>
      <c r="O173" s="2410"/>
      <c r="P173" s="2411"/>
      <c r="S173" s="1"/>
      <c r="T173" s="1"/>
      <c r="U173" s="6"/>
      <c r="V173" s="1766"/>
      <c r="W173" s="1766"/>
      <c r="X173" s="1766"/>
      <c r="Y173" s="1766"/>
      <c r="Z173" s="1767"/>
      <c r="AA173" s="1767"/>
      <c r="AB173" s="1766"/>
      <c r="AC173" s="1766"/>
      <c r="AD173" s="1766"/>
      <c r="AE173" s="1768"/>
      <c r="AF173" s="1799"/>
      <c r="AG173" s="1770"/>
      <c r="AH173" s="1771"/>
      <c r="AI173" s="1426"/>
      <c r="AJ173" s="1427"/>
      <c r="AK173" s="1426"/>
      <c r="AL173" s="1426"/>
      <c r="AM173" s="1426"/>
      <c r="AN173" s="1426"/>
      <c r="AO173" s="1426"/>
      <c r="AP173" s="1426"/>
      <c r="AQ173" s="1426"/>
      <c r="AR173" s="1426"/>
      <c r="AS173" s="1426"/>
      <c r="AT173" s="1426"/>
      <c r="AU173" s="1426"/>
      <c r="AV173" s="1426"/>
      <c r="AW173" s="1426"/>
      <c r="AX173" s="1426"/>
      <c r="AY173" s="1426"/>
      <c r="AZ173" s="1426"/>
      <c r="BA173" s="1426"/>
      <c r="BB173" s="1426"/>
      <c r="BC173" s="1426"/>
      <c r="BD173" s="1426"/>
      <c r="BE173" s="1426"/>
    </row>
    <row r="174" spans="1:57" s="5" customFormat="1">
      <c r="A174" s="1"/>
      <c r="B174" s="6"/>
      <c r="C174" s="4"/>
      <c r="D174" s="3"/>
      <c r="E174" s="4"/>
      <c r="F174" s="4"/>
      <c r="G174" s="1"/>
      <c r="H174" s="6"/>
      <c r="I174" s="6"/>
      <c r="J174" s="11"/>
      <c r="K174" s="510"/>
      <c r="L174" s="11"/>
      <c r="O174" s="2410"/>
      <c r="P174" s="2411"/>
      <c r="S174" s="1"/>
      <c r="T174" s="1"/>
      <c r="U174" s="6"/>
      <c r="V174" s="1766"/>
      <c r="W174" s="1766"/>
      <c r="X174" s="1766"/>
      <c r="Y174" s="1766"/>
      <c r="Z174" s="1767"/>
      <c r="AA174" s="1767"/>
      <c r="AB174" s="1766"/>
      <c r="AC174" s="1766"/>
      <c r="AD174" s="1766"/>
      <c r="AE174" s="1768"/>
      <c r="AF174" s="1799"/>
      <c r="AG174" s="1770"/>
      <c r="AH174" s="1771"/>
      <c r="AI174" s="1426"/>
      <c r="AJ174" s="1427"/>
      <c r="AK174" s="1426"/>
      <c r="AL174" s="1426"/>
      <c r="AM174" s="1426"/>
      <c r="AN174" s="1426"/>
      <c r="AO174" s="1426"/>
      <c r="AP174" s="1426"/>
      <c r="AQ174" s="1426"/>
      <c r="AR174" s="1426"/>
      <c r="AS174" s="1426"/>
      <c r="AT174" s="1426"/>
      <c r="AU174" s="1426"/>
      <c r="AV174" s="1426"/>
      <c r="AW174" s="1426"/>
      <c r="AX174" s="1426"/>
      <c r="AY174" s="1426"/>
      <c r="AZ174" s="1426"/>
      <c r="BA174" s="1426"/>
      <c r="BB174" s="1426"/>
      <c r="BC174" s="1426"/>
      <c r="BD174" s="1426"/>
      <c r="BE174" s="1426"/>
    </row>
    <row r="175" spans="1:57" s="5" customFormat="1">
      <c r="A175" s="1"/>
      <c r="B175" s="6"/>
      <c r="C175" s="4"/>
      <c r="D175" s="3"/>
      <c r="E175" s="4"/>
      <c r="F175" s="4"/>
      <c r="G175" s="1"/>
      <c r="H175" s="6"/>
      <c r="I175" s="6"/>
      <c r="J175" s="11"/>
      <c r="K175" s="510"/>
      <c r="L175" s="11"/>
      <c r="O175" s="2410"/>
      <c r="P175" s="2411"/>
      <c r="S175" s="1"/>
      <c r="T175" s="1"/>
      <c r="U175" s="6"/>
      <c r="V175" s="1766"/>
      <c r="W175" s="1766"/>
      <c r="X175" s="1766"/>
      <c r="Y175" s="1766"/>
      <c r="Z175" s="1767"/>
      <c r="AA175" s="1767"/>
      <c r="AB175" s="1766"/>
      <c r="AC175" s="1766"/>
      <c r="AD175" s="1766"/>
      <c r="AE175" s="1768"/>
      <c r="AF175" s="1799"/>
      <c r="AG175" s="1770"/>
      <c r="AH175" s="1771"/>
      <c r="AI175" s="1426"/>
      <c r="AJ175" s="1427"/>
      <c r="AK175" s="1426"/>
      <c r="AL175" s="1426"/>
      <c r="AM175" s="1426"/>
      <c r="AN175" s="1426"/>
      <c r="AO175" s="1426"/>
      <c r="AP175" s="1426"/>
      <c r="AQ175" s="1426"/>
      <c r="AR175" s="1426"/>
      <c r="AS175" s="1426"/>
      <c r="AT175" s="1426"/>
      <c r="AU175" s="1426"/>
      <c r="AV175" s="1426"/>
      <c r="AW175" s="1426"/>
      <c r="AX175" s="1426"/>
      <c r="AY175" s="1426"/>
      <c r="AZ175" s="1426"/>
      <c r="BA175" s="1426"/>
      <c r="BB175" s="1426"/>
      <c r="BC175" s="1426"/>
      <c r="BD175" s="1426"/>
      <c r="BE175" s="1426"/>
    </row>
    <row r="176" spans="1:57" s="5" customFormat="1">
      <c r="A176" s="1"/>
      <c r="B176" s="6"/>
      <c r="C176" s="4"/>
      <c r="D176" s="3"/>
      <c r="E176" s="4"/>
      <c r="F176" s="4"/>
      <c r="G176" s="1"/>
      <c r="H176" s="6"/>
      <c r="I176" s="6"/>
      <c r="J176" s="11"/>
      <c r="K176" s="510"/>
      <c r="L176" s="11"/>
      <c r="O176" s="2410"/>
      <c r="P176" s="2411"/>
      <c r="S176" s="1"/>
      <c r="T176" s="1"/>
      <c r="U176" s="6"/>
      <c r="V176" s="1766"/>
      <c r="W176" s="1766"/>
      <c r="X176" s="1766"/>
      <c r="Y176" s="1766"/>
      <c r="Z176" s="1767"/>
      <c r="AA176" s="1767"/>
      <c r="AB176" s="1766"/>
      <c r="AC176" s="1766"/>
      <c r="AD176" s="1766"/>
      <c r="AE176" s="1768"/>
      <c r="AF176" s="1799"/>
      <c r="AG176" s="1770"/>
      <c r="AH176" s="1771"/>
      <c r="AI176" s="1426"/>
      <c r="AJ176" s="1427"/>
      <c r="AK176" s="1426"/>
      <c r="AL176" s="1426"/>
      <c r="AM176" s="1426"/>
      <c r="AN176" s="1426"/>
      <c r="AO176" s="1426"/>
      <c r="AP176" s="1426"/>
      <c r="AQ176" s="1426"/>
      <c r="AR176" s="1426"/>
      <c r="AS176" s="1426"/>
      <c r="AT176" s="1426"/>
      <c r="AU176" s="1426"/>
      <c r="AV176" s="1426"/>
      <c r="AW176" s="1426"/>
      <c r="AX176" s="1426"/>
      <c r="AY176" s="1426"/>
      <c r="AZ176" s="1426"/>
      <c r="BA176" s="1426"/>
      <c r="BB176" s="1426"/>
      <c r="BC176" s="1426"/>
      <c r="BD176" s="1426"/>
      <c r="BE176" s="1426"/>
    </row>
    <row r="177" spans="1:57" s="5" customFormat="1">
      <c r="A177" s="1"/>
      <c r="B177" s="6"/>
      <c r="C177" s="4"/>
      <c r="D177" s="3"/>
      <c r="E177" s="4"/>
      <c r="F177" s="4"/>
      <c r="G177" s="1"/>
      <c r="H177" s="6"/>
      <c r="I177" s="6"/>
      <c r="J177" s="11"/>
      <c r="K177" s="510"/>
      <c r="L177" s="11"/>
      <c r="O177" s="2410"/>
      <c r="P177" s="2411"/>
      <c r="S177" s="1"/>
      <c r="T177" s="1"/>
      <c r="U177" s="6"/>
      <c r="V177" s="1766"/>
      <c r="W177" s="1766"/>
      <c r="X177" s="1766"/>
      <c r="Y177" s="1766"/>
      <c r="Z177" s="1767"/>
      <c r="AA177" s="1767"/>
      <c r="AB177" s="1766"/>
      <c r="AC177" s="1766"/>
      <c r="AD177" s="1766"/>
      <c r="AE177" s="1768"/>
      <c r="AF177" s="1799"/>
      <c r="AG177" s="1770"/>
      <c r="AH177" s="1771"/>
      <c r="AI177" s="1426"/>
      <c r="AJ177" s="1427"/>
      <c r="AK177" s="1426"/>
      <c r="AL177" s="1426"/>
      <c r="AM177" s="1426"/>
      <c r="AN177" s="1426"/>
      <c r="AO177" s="1426"/>
      <c r="AP177" s="1426"/>
      <c r="AQ177" s="1426"/>
      <c r="AR177" s="1426"/>
      <c r="AS177" s="1426"/>
      <c r="AT177" s="1426"/>
      <c r="AU177" s="1426"/>
      <c r="AV177" s="1426"/>
      <c r="AW177" s="1426"/>
      <c r="AX177" s="1426"/>
      <c r="AY177" s="1426"/>
      <c r="AZ177" s="1426"/>
      <c r="BA177" s="1426"/>
      <c r="BB177" s="1426"/>
      <c r="BC177" s="1426"/>
      <c r="BD177" s="1426"/>
      <c r="BE177" s="1426"/>
    </row>
    <row r="178" spans="1:57" s="5" customFormat="1">
      <c r="A178" s="1"/>
      <c r="B178" s="6"/>
      <c r="C178" s="4"/>
      <c r="D178" s="3"/>
      <c r="E178" s="4"/>
      <c r="F178" s="4"/>
      <c r="G178" s="1"/>
      <c r="H178" s="6"/>
      <c r="I178" s="6"/>
      <c r="J178" s="11"/>
      <c r="K178" s="510"/>
      <c r="L178" s="11"/>
      <c r="O178" s="2410"/>
      <c r="P178" s="2411"/>
      <c r="S178" s="1"/>
      <c r="T178" s="1"/>
      <c r="U178" s="6"/>
      <c r="V178" s="1766"/>
      <c r="W178" s="1766"/>
      <c r="X178" s="1766"/>
      <c r="Y178" s="1766"/>
      <c r="Z178" s="1767"/>
      <c r="AA178" s="1767"/>
      <c r="AB178" s="1766"/>
      <c r="AC178" s="1766"/>
      <c r="AD178" s="1766"/>
      <c r="AE178" s="1768"/>
      <c r="AF178" s="1799"/>
      <c r="AG178" s="1770"/>
      <c r="AH178" s="1771"/>
      <c r="AI178" s="1426"/>
      <c r="AJ178" s="1427"/>
      <c r="AK178" s="1426"/>
      <c r="AL178" s="1426"/>
      <c r="AM178" s="1426"/>
      <c r="AN178" s="1426"/>
      <c r="AO178" s="1426"/>
      <c r="AP178" s="1426"/>
      <c r="AQ178" s="1426"/>
      <c r="AR178" s="1426"/>
      <c r="AS178" s="1426"/>
      <c r="AT178" s="1426"/>
      <c r="AU178" s="1426"/>
      <c r="AV178" s="1426"/>
      <c r="AW178" s="1426"/>
      <c r="AX178" s="1426"/>
      <c r="AY178" s="1426"/>
      <c r="AZ178" s="1426"/>
      <c r="BA178" s="1426"/>
      <c r="BB178" s="1426"/>
      <c r="BC178" s="1426"/>
      <c r="BD178" s="1426"/>
      <c r="BE178" s="1426"/>
    </row>
    <row r="179" spans="1:57" s="5" customFormat="1">
      <c r="A179" s="1"/>
      <c r="B179" s="6"/>
      <c r="C179" s="4"/>
      <c r="D179" s="3"/>
      <c r="E179" s="4"/>
      <c r="F179" s="4"/>
      <c r="G179" s="1"/>
      <c r="H179" s="6"/>
      <c r="I179" s="6"/>
      <c r="J179" s="11"/>
      <c r="K179" s="510"/>
      <c r="L179" s="11"/>
      <c r="O179" s="2410"/>
      <c r="P179" s="2411"/>
      <c r="S179" s="1"/>
      <c r="T179" s="1"/>
      <c r="U179" s="6"/>
      <c r="V179" s="1766"/>
      <c r="W179" s="1766"/>
      <c r="X179" s="1766"/>
      <c r="Y179" s="1766"/>
      <c r="Z179" s="1767"/>
      <c r="AA179" s="1767"/>
      <c r="AB179" s="1766"/>
      <c r="AC179" s="1766"/>
      <c r="AD179" s="1766"/>
      <c r="AE179" s="1768"/>
      <c r="AF179" s="1799"/>
      <c r="AG179" s="1770"/>
      <c r="AH179" s="1771"/>
      <c r="AI179" s="1426"/>
      <c r="AJ179" s="1427"/>
      <c r="AK179" s="1426"/>
      <c r="AL179" s="1426"/>
      <c r="AM179" s="1426"/>
      <c r="AN179" s="1426"/>
      <c r="AO179" s="1426"/>
      <c r="AP179" s="1426"/>
      <c r="AQ179" s="1426"/>
      <c r="AR179" s="1426"/>
      <c r="AS179" s="1426"/>
      <c r="AT179" s="1426"/>
      <c r="AU179" s="1426"/>
      <c r="AV179" s="1426"/>
      <c r="AW179" s="1426"/>
      <c r="AX179" s="1426"/>
      <c r="AY179" s="1426"/>
      <c r="AZ179" s="1426"/>
      <c r="BA179" s="1426"/>
      <c r="BB179" s="1426"/>
      <c r="BC179" s="1426"/>
      <c r="BD179" s="1426"/>
      <c r="BE179" s="1426"/>
    </row>
    <row r="180" spans="1:57" s="5" customFormat="1">
      <c r="A180" s="1"/>
      <c r="B180" s="6"/>
      <c r="C180" s="4"/>
      <c r="D180" s="3"/>
      <c r="E180" s="4"/>
      <c r="F180" s="4"/>
      <c r="G180" s="1"/>
      <c r="H180" s="6"/>
      <c r="I180" s="6"/>
      <c r="J180" s="11"/>
      <c r="K180" s="510"/>
      <c r="L180" s="11"/>
      <c r="O180" s="2410"/>
      <c r="P180" s="2411"/>
      <c r="S180" s="1"/>
      <c r="T180" s="1"/>
      <c r="U180" s="6"/>
      <c r="V180" s="1766"/>
      <c r="W180" s="1766"/>
      <c r="X180" s="1766"/>
      <c r="Y180" s="1766"/>
      <c r="Z180" s="1767"/>
      <c r="AA180" s="1767"/>
      <c r="AB180" s="1766"/>
      <c r="AC180" s="1766"/>
      <c r="AD180" s="1766"/>
      <c r="AE180" s="1768"/>
      <c r="AF180" s="1799"/>
      <c r="AG180" s="1770"/>
      <c r="AH180" s="1771"/>
      <c r="AI180" s="1426"/>
      <c r="AJ180" s="1427"/>
      <c r="AK180" s="1426"/>
      <c r="AL180" s="1426"/>
      <c r="AM180" s="1426"/>
      <c r="AN180" s="1426"/>
      <c r="AO180" s="1426"/>
      <c r="AP180" s="1426"/>
      <c r="AQ180" s="1426"/>
      <c r="AR180" s="1426"/>
      <c r="AS180" s="1426"/>
      <c r="AT180" s="1426"/>
      <c r="AU180" s="1426"/>
      <c r="AV180" s="1426"/>
      <c r="AW180" s="1426"/>
      <c r="AX180" s="1426"/>
      <c r="AY180" s="1426"/>
      <c r="AZ180" s="1426"/>
      <c r="BA180" s="1426"/>
      <c r="BB180" s="1426"/>
      <c r="BC180" s="1426"/>
      <c r="BD180" s="1426"/>
      <c r="BE180" s="1426"/>
    </row>
    <row r="181" spans="1:57" s="5" customFormat="1">
      <c r="A181" s="1"/>
      <c r="B181" s="6"/>
      <c r="C181" s="4"/>
      <c r="D181" s="3"/>
      <c r="E181" s="4"/>
      <c r="F181" s="4"/>
      <c r="G181" s="1"/>
      <c r="H181" s="6"/>
      <c r="I181" s="6"/>
      <c r="J181" s="11"/>
      <c r="K181" s="510"/>
      <c r="L181" s="11"/>
      <c r="O181" s="2410"/>
      <c r="P181" s="2411"/>
      <c r="S181" s="1"/>
      <c r="T181" s="1"/>
      <c r="U181" s="6"/>
      <c r="V181" s="1766"/>
      <c r="W181" s="1766"/>
      <c r="X181" s="1766"/>
      <c r="Y181" s="1766"/>
      <c r="Z181" s="1767"/>
      <c r="AA181" s="1767"/>
      <c r="AB181" s="1766"/>
      <c r="AC181" s="1766"/>
      <c r="AD181" s="1766"/>
      <c r="AE181" s="1768"/>
      <c r="AF181" s="1799"/>
      <c r="AG181" s="1770"/>
      <c r="AH181" s="1771"/>
      <c r="AI181" s="1426"/>
      <c r="AJ181" s="1427"/>
      <c r="AK181" s="1426"/>
      <c r="AL181" s="1426"/>
      <c r="AM181" s="1426"/>
      <c r="AN181" s="1426"/>
      <c r="AO181" s="1426"/>
      <c r="AP181" s="1426"/>
      <c r="AQ181" s="1426"/>
      <c r="AR181" s="1426"/>
      <c r="AS181" s="1426"/>
      <c r="AT181" s="1426"/>
      <c r="AU181" s="1426"/>
      <c r="AV181" s="1426"/>
      <c r="AW181" s="1426"/>
      <c r="AX181" s="1426"/>
      <c r="AY181" s="1426"/>
      <c r="AZ181" s="1426"/>
      <c r="BA181" s="1426"/>
      <c r="BB181" s="1426"/>
      <c r="BC181" s="1426"/>
      <c r="BD181" s="1426"/>
      <c r="BE181" s="1426"/>
    </row>
    <row r="182" spans="1:57" s="5" customFormat="1">
      <c r="A182" s="1"/>
      <c r="B182" s="6"/>
      <c r="C182" s="4"/>
      <c r="D182" s="3"/>
      <c r="E182" s="4"/>
      <c r="F182" s="4"/>
      <c r="G182" s="1"/>
      <c r="H182" s="6"/>
      <c r="I182" s="6"/>
      <c r="J182" s="11"/>
      <c r="K182" s="510"/>
      <c r="L182" s="11"/>
      <c r="O182" s="2410"/>
      <c r="P182" s="2411"/>
      <c r="S182" s="1"/>
      <c r="T182" s="1"/>
      <c r="U182" s="6"/>
      <c r="V182" s="1766"/>
      <c r="W182" s="1766"/>
      <c r="X182" s="1766"/>
      <c r="Y182" s="1766"/>
      <c r="Z182" s="1767"/>
      <c r="AA182" s="1767"/>
      <c r="AB182" s="1766"/>
      <c r="AC182" s="1766"/>
      <c r="AD182" s="1766"/>
      <c r="AE182" s="1768"/>
      <c r="AF182" s="1799"/>
      <c r="AG182" s="1770"/>
      <c r="AH182" s="1771"/>
      <c r="AI182" s="1426"/>
      <c r="AJ182" s="1427"/>
      <c r="AK182" s="1426"/>
      <c r="AL182" s="1426"/>
      <c r="AM182" s="1426"/>
      <c r="AN182" s="1426"/>
      <c r="AO182" s="1426"/>
      <c r="AP182" s="1426"/>
      <c r="AQ182" s="1426"/>
      <c r="AR182" s="1426"/>
      <c r="AS182" s="1426"/>
      <c r="AT182" s="1426"/>
      <c r="AU182" s="1426"/>
      <c r="AV182" s="1426"/>
      <c r="AW182" s="1426"/>
      <c r="AX182" s="1426"/>
      <c r="AY182" s="1426"/>
      <c r="AZ182" s="1426"/>
      <c r="BA182" s="1426"/>
      <c r="BB182" s="1426"/>
      <c r="BC182" s="1426"/>
      <c r="BD182" s="1426"/>
      <c r="BE182" s="1426"/>
    </row>
    <row r="183" spans="1:57" s="5" customFormat="1">
      <c r="A183" s="1"/>
      <c r="B183" s="6"/>
      <c r="C183" s="4"/>
      <c r="D183" s="3"/>
      <c r="E183" s="4"/>
      <c r="F183" s="4"/>
      <c r="G183" s="1"/>
      <c r="H183" s="6"/>
      <c r="I183" s="6"/>
      <c r="J183" s="11"/>
      <c r="K183" s="510"/>
      <c r="L183" s="11"/>
      <c r="O183" s="2410"/>
      <c r="P183" s="2411"/>
      <c r="S183" s="1"/>
      <c r="T183" s="1"/>
      <c r="U183" s="6"/>
      <c r="V183" s="1766"/>
      <c r="W183" s="1766"/>
      <c r="X183" s="1766"/>
      <c r="Y183" s="1766"/>
      <c r="Z183" s="1767"/>
      <c r="AA183" s="1767"/>
      <c r="AB183" s="1766"/>
      <c r="AC183" s="1766"/>
      <c r="AD183" s="1766"/>
      <c r="AE183" s="1768"/>
      <c r="AF183" s="1799"/>
      <c r="AG183" s="1770"/>
      <c r="AH183" s="1771"/>
      <c r="AI183" s="1426"/>
      <c r="AJ183" s="1427"/>
      <c r="AK183" s="1426"/>
      <c r="AL183" s="1426"/>
      <c r="AM183" s="1426"/>
      <c r="AN183" s="1426"/>
      <c r="AO183" s="1426"/>
      <c r="AP183" s="1426"/>
      <c r="AQ183" s="1426"/>
      <c r="AR183" s="1426"/>
      <c r="AS183" s="1426"/>
      <c r="AT183" s="1426"/>
      <c r="AU183" s="1426"/>
      <c r="AV183" s="1426"/>
      <c r="AW183" s="1426"/>
      <c r="AX183" s="1426"/>
      <c r="AY183" s="1426"/>
      <c r="AZ183" s="1426"/>
      <c r="BA183" s="1426"/>
      <c r="BB183" s="1426"/>
      <c r="BC183" s="1426"/>
      <c r="BD183" s="1426"/>
      <c r="BE183" s="1426"/>
    </row>
    <row r="184" spans="1:57" s="5" customFormat="1">
      <c r="A184" s="1"/>
      <c r="B184" s="6"/>
      <c r="C184" s="4"/>
      <c r="D184" s="3"/>
      <c r="E184" s="4"/>
      <c r="F184" s="4"/>
      <c r="G184" s="1"/>
      <c r="H184" s="6"/>
      <c r="I184" s="6"/>
      <c r="J184" s="11"/>
      <c r="K184" s="510"/>
      <c r="L184" s="11"/>
      <c r="O184" s="2410"/>
      <c r="P184" s="2411"/>
      <c r="S184" s="1"/>
      <c r="T184" s="1"/>
      <c r="U184" s="6"/>
      <c r="V184" s="1766"/>
      <c r="W184" s="1766"/>
      <c r="X184" s="1766"/>
      <c r="Y184" s="1766"/>
      <c r="Z184" s="1767"/>
      <c r="AA184" s="1767"/>
      <c r="AB184" s="1766"/>
      <c r="AC184" s="1766"/>
      <c r="AD184" s="1766"/>
      <c r="AE184" s="1768"/>
      <c r="AF184" s="1799"/>
      <c r="AG184" s="1770"/>
      <c r="AH184" s="1771"/>
      <c r="AI184" s="1426"/>
      <c r="AJ184" s="1427"/>
      <c r="AK184" s="1426"/>
      <c r="AL184" s="1426"/>
      <c r="AM184" s="1426"/>
      <c r="AN184" s="1426"/>
      <c r="AO184" s="1426"/>
      <c r="AP184" s="1426"/>
      <c r="AQ184" s="1426"/>
      <c r="AR184" s="1426"/>
      <c r="AS184" s="1426"/>
      <c r="AT184" s="1426"/>
      <c r="AU184" s="1426"/>
      <c r="AV184" s="1426"/>
      <c r="AW184" s="1426"/>
      <c r="AX184" s="1426"/>
      <c r="AY184" s="1426"/>
      <c r="AZ184" s="1426"/>
      <c r="BA184" s="1426"/>
      <c r="BB184" s="1426"/>
      <c r="BC184" s="1426"/>
      <c r="BD184" s="1426"/>
      <c r="BE184" s="1426"/>
    </row>
    <row r="185" spans="1:57" s="5" customFormat="1">
      <c r="A185" s="1"/>
      <c r="B185" s="6"/>
      <c r="C185" s="4"/>
      <c r="D185" s="3"/>
      <c r="E185" s="4"/>
      <c r="F185" s="4"/>
      <c r="G185" s="1"/>
      <c r="H185" s="6"/>
      <c r="I185" s="6"/>
      <c r="J185" s="11"/>
      <c r="K185" s="510"/>
      <c r="L185" s="11"/>
      <c r="O185" s="2410"/>
      <c r="P185" s="2411"/>
      <c r="S185" s="1"/>
      <c r="T185" s="1"/>
      <c r="U185" s="6"/>
      <c r="V185" s="1766"/>
      <c r="W185" s="1766"/>
      <c r="X185" s="1766"/>
      <c r="Y185" s="1766"/>
      <c r="Z185" s="1767"/>
      <c r="AA185" s="1767"/>
      <c r="AB185" s="1766"/>
      <c r="AC185" s="1766"/>
      <c r="AD185" s="1766"/>
      <c r="AE185" s="1768"/>
      <c r="AF185" s="1799"/>
      <c r="AG185" s="1770"/>
      <c r="AH185" s="1771"/>
      <c r="AI185" s="1426"/>
      <c r="AJ185" s="1427"/>
      <c r="AK185" s="1426"/>
      <c r="AL185" s="1426"/>
      <c r="AM185" s="1426"/>
      <c r="AN185" s="1426"/>
      <c r="AO185" s="1426"/>
      <c r="AP185" s="1426"/>
      <c r="AQ185" s="1426"/>
      <c r="AR185" s="1426"/>
      <c r="AS185" s="1426"/>
      <c r="AT185" s="1426"/>
      <c r="AU185" s="1426"/>
      <c r="AV185" s="1426"/>
      <c r="AW185" s="1426"/>
      <c r="AX185" s="1426"/>
      <c r="AY185" s="1426"/>
      <c r="AZ185" s="1426"/>
      <c r="BA185" s="1426"/>
      <c r="BB185" s="1426"/>
      <c r="BC185" s="1426"/>
      <c r="BD185" s="1426"/>
      <c r="BE185" s="1426"/>
    </row>
    <row r="186" spans="1:57" s="5" customFormat="1">
      <c r="A186" s="1"/>
      <c r="B186" s="6"/>
      <c r="C186" s="4"/>
      <c r="D186" s="3"/>
      <c r="E186" s="4"/>
      <c r="F186" s="4"/>
      <c r="G186" s="1"/>
      <c r="H186" s="6"/>
      <c r="I186" s="6"/>
      <c r="J186" s="11"/>
      <c r="K186" s="510"/>
      <c r="L186" s="11"/>
      <c r="O186" s="2410"/>
      <c r="P186" s="2411"/>
      <c r="S186" s="1"/>
      <c r="T186" s="1"/>
      <c r="U186" s="6"/>
      <c r="V186" s="1766"/>
      <c r="W186" s="1766"/>
      <c r="X186" s="1766"/>
      <c r="Y186" s="1766"/>
      <c r="Z186" s="1767"/>
      <c r="AA186" s="1767"/>
      <c r="AB186" s="1766"/>
      <c r="AC186" s="1766"/>
      <c r="AD186" s="1766"/>
      <c r="AE186" s="1768"/>
      <c r="AF186" s="1799"/>
      <c r="AG186" s="1770"/>
      <c r="AH186" s="1771"/>
      <c r="AI186" s="1426"/>
      <c r="AJ186" s="1427"/>
      <c r="AK186" s="1426"/>
      <c r="AL186" s="1426"/>
      <c r="AM186" s="1426"/>
      <c r="AN186" s="1426"/>
      <c r="AO186" s="1426"/>
      <c r="AP186" s="1426"/>
      <c r="AQ186" s="1426"/>
      <c r="AR186" s="1426"/>
      <c r="AS186" s="1426"/>
      <c r="AT186" s="1426"/>
      <c r="AU186" s="1426"/>
      <c r="AV186" s="1426"/>
      <c r="AW186" s="1426"/>
      <c r="AX186" s="1426"/>
      <c r="AY186" s="1426"/>
      <c r="AZ186" s="1426"/>
      <c r="BA186" s="1426"/>
      <c r="BB186" s="1426"/>
      <c r="BC186" s="1426"/>
      <c r="BD186" s="1426"/>
      <c r="BE186" s="1426"/>
    </row>
    <row r="187" spans="1:57" s="5" customFormat="1">
      <c r="A187" s="1"/>
      <c r="B187" s="6"/>
      <c r="C187" s="4"/>
      <c r="D187" s="3"/>
      <c r="E187" s="4"/>
      <c r="F187" s="4"/>
      <c r="G187" s="1"/>
      <c r="H187" s="6"/>
      <c r="I187" s="6"/>
      <c r="J187" s="11"/>
      <c r="K187" s="510"/>
      <c r="L187" s="11"/>
      <c r="O187" s="2410"/>
      <c r="P187" s="2411"/>
      <c r="S187" s="1"/>
      <c r="T187" s="1"/>
      <c r="U187" s="6"/>
      <c r="V187" s="1766"/>
      <c r="W187" s="1766"/>
      <c r="X187" s="1766"/>
      <c r="Y187" s="1766"/>
      <c r="Z187" s="1767"/>
      <c r="AA187" s="1767"/>
      <c r="AB187" s="1766"/>
      <c r="AC187" s="1766"/>
      <c r="AD187" s="1766"/>
      <c r="AE187" s="1768"/>
      <c r="AF187" s="1799"/>
      <c r="AG187" s="1770"/>
      <c r="AH187" s="1771"/>
      <c r="AI187" s="1426"/>
      <c r="AJ187" s="1427"/>
      <c r="AK187" s="1426"/>
      <c r="AL187" s="1426"/>
      <c r="AM187" s="1426"/>
      <c r="AN187" s="1426"/>
      <c r="AO187" s="1426"/>
      <c r="AP187" s="1426"/>
      <c r="AQ187" s="1426"/>
      <c r="AR187" s="1426"/>
      <c r="AS187" s="1426"/>
      <c r="AT187" s="1426"/>
      <c r="AU187" s="1426"/>
      <c r="AV187" s="1426"/>
      <c r="AW187" s="1426"/>
      <c r="AX187" s="1426"/>
      <c r="AY187" s="1426"/>
      <c r="AZ187" s="1426"/>
      <c r="BA187" s="1426"/>
      <c r="BB187" s="1426"/>
      <c r="BC187" s="1426"/>
      <c r="BD187" s="1426"/>
      <c r="BE187" s="1426"/>
    </row>
    <row r="188" spans="1:57" s="5" customFormat="1">
      <c r="A188" s="1"/>
      <c r="B188" s="6"/>
      <c r="C188" s="4"/>
      <c r="D188" s="3"/>
      <c r="E188" s="4"/>
      <c r="F188" s="4"/>
      <c r="G188" s="1"/>
      <c r="H188" s="6"/>
      <c r="I188" s="6"/>
      <c r="J188" s="11"/>
      <c r="K188" s="510"/>
      <c r="L188" s="11"/>
      <c r="O188" s="2410"/>
      <c r="P188" s="2411"/>
      <c r="S188" s="1"/>
      <c r="T188" s="1"/>
      <c r="U188" s="6"/>
      <c r="V188" s="1766"/>
      <c r="W188" s="1766"/>
      <c r="X188" s="1766"/>
      <c r="Y188" s="1766"/>
      <c r="Z188" s="1767"/>
      <c r="AA188" s="1767"/>
      <c r="AB188" s="1766"/>
      <c r="AC188" s="1766"/>
      <c r="AD188" s="1766"/>
      <c r="AE188" s="1768"/>
      <c r="AF188" s="1799"/>
      <c r="AG188" s="1770"/>
      <c r="AH188" s="1771"/>
      <c r="AI188" s="1426"/>
      <c r="AJ188" s="1427"/>
      <c r="AK188" s="1426"/>
      <c r="AL188" s="1426"/>
      <c r="AM188" s="1426"/>
      <c r="AN188" s="1426"/>
      <c r="AO188" s="1426"/>
      <c r="AP188" s="1426"/>
      <c r="AQ188" s="1426"/>
      <c r="AR188" s="1426"/>
      <c r="AS188" s="1426"/>
      <c r="AT188" s="1426"/>
      <c r="AU188" s="1426"/>
      <c r="AV188" s="1426"/>
      <c r="AW188" s="1426"/>
      <c r="AX188" s="1426"/>
      <c r="AY188" s="1426"/>
      <c r="AZ188" s="1426"/>
      <c r="BA188" s="1426"/>
      <c r="BB188" s="1426"/>
      <c r="BC188" s="1426"/>
      <c r="BD188" s="1426"/>
      <c r="BE188" s="1426"/>
    </row>
    <row r="189" spans="1:57" s="5" customFormat="1">
      <c r="A189" s="1"/>
      <c r="B189" s="6"/>
      <c r="C189" s="4"/>
      <c r="D189" s="3"/>
      <c r="E189" s="4"/>
      <c r="F189" s="4"/>
      <c r="G189" s="1"/>
      <c r="H189" s="6"/>
      <c r="I189" s="6"/>
      <c r="J189" s="11"/>
      <c r="K189" s="510"/>
      <c r="L189" s="11"/>
      <c r="O189" s="2410"/>
      <c r="P189" s="2411"/>
      <c r="S189" s="1"/>
      <c r="T189" s="1"/>
      <c r="U189" s="6"/>
      <c r="V189" s="1766"/>
      <c r="W189" s="1766"/>
      <c r="X189" s="1766"/>
      <c r="Y189" s="1766"/>
      <c r="Z189" s="1767"/>
      <c r="AA189" s="1767"/>
      <c r="AB189" s="1766"/>
      <c r="AC189" s="1766"/>
      <c r="AD189" s="1766"/>
      <c r="AE189" s="1768"/>
      <c r="AF189" s="1799"/>
      <c r="AG189" s="1770"/>
      <c r="AH189" s="1771"/>
      <c r="AI189" s="1426"/>
      <c r="AJ189" s="1427"/>
      <c r="AK189" s="1426"/>
      <c r="AL189" s="1426"/>
      <c r="AM189" s="1426"/>
      <c r="AN189" s="1426"/>
      <c r="AO189" s="1426"/>
      <c r="AP189" s="1426"/>
      <c r="AQ189" s="1426"/>
      <c r="AR189" s="1426"/>
      <c r="AS189" s="1426"/>
      <c r="AT189" s="1426"/>
      <c r="AU189" s="1426"/>
      <c r="AV189" s="1426"/>
      <c r="AW189" s="1426"/>
      <c r="AX189" s="1426"/>
      <c r="AY189" s="1426"/>
      <c r="AZ189" s="1426"/>
      <c r="BA189" s="1426"/>
      <c r="BB189" s="1426"/>
      <c r="BC189" s="1426"/>
      <c r="BD189" s="1426"/>
      <c r="BE189" s="1426"/>
    </row>
    <row r="190" spans="1:57" s="5" customFormat="1">
      <c r="A190" s="1"/>
      <c r="B190" s="6"/>
      <c r="C190" s="4"/>
      <c r="D190" s="3"/>
      <c r="E190" s="4"/>
      <c r="F190" s="4"/>
      <c r="G190" s="1"/>
      <c r="H190" s="6"/>
      <c r="I190" s="6"/>
      <c r="J190" s="11"/>
      <c r="K190" s="510"/>
      <c r="L190" s="11"/>
      <c r="O190" s="2410"/>
      <c r="P190" s="2411"/>
      <c r="S190" s="1"/>
      <c r="T190" s="1"/>
      <c r="U190" s="6"/>
      <c r="V190" s="1766"/>
      <c r="W190" s="1766"/>
      <c r="X190" s="1766"/>
      <c r="Y190" s="1766"/>
      <c r="Z190" s="1767"/>
      <c r="AA190" s="1767"/>
      <c r="AB190" s="1766"/>
      <c r="AC190" s="1766"/>
      <c r="AD190" s="1766"/>
      <c r="AE190" s="1768"/>
      <c r="AF190" s="1799"/>
      <c r="AG190" s="1770"/>
      <c r="AH190" s="1771"/>
      <c r="AI190" s="1426"/>
      <c r="AJ190" s="1427"/>
      <c r="AK190" s="1426"/>
      <c r="AL190" s="1426"/>
      <c r="AM190" s="1426"/>
      <c r="AN190" s="1426"/>
      <c r="AO190" s="1426"/>
      <c r="AP190" s="1426"/>
      <c r="AQ190" s="1426"/>
      <c r="AR190" s="1426"/>
      <c r="AS190" s="1426"/>
      <c r="AT190" s="1426"/>
      <c r="AU190" s="1426"/>
      <c r="AV190" s="1426"/>
      <c r="AW190" s="1426"/>
      <c r="AX190" s="1426"/>
      <c r="AY190" s="1426"/>
      <c r="AZ190" s="1426"/>
      <c r="BA190" s="1426"/>
      <c r="BB190" s="1426"/>
      <c r="BC190" s="1426"/>
      <c r="BD190" s="1426"/>
      <c r="BE190" s="1426"/>
    </row>
    <row r="191" spans="1:57" s="5" customFormat="1">
      <c r="A191" s="1"/>
      <c r="B191" s="6"/>
      <c r="C191" s="4"/>
      <c r="D191" s="3"/>
      <c r="E191" s="4"/>
      <c r="F191" s="4"/>
      <c r="G191" s="1"/>
      <c r="H191" s="6"/>
      <c r="I191" s="6"/>
      <c r="J191" s="11"/>
      <c r="K191" s="510"/>
      <c r="L191" s="11"/>
      <c r="O191" s="2410"/>
      <c r="P191" s="2411"/>
      <c r="S191" s="1"/>
      <c r="T191" s="1"/>
      <c r="U191" s="6"/>
      <c r="V191" s="1766"/>
      <c r="W191" s="1766"/>
      <c r="X191" s="1766"/>
      <c r="Y191" s="1766"/>
      <c r="Z191" s="1767"/>
      <c r="AA191" s="1767"/>
      <c r="AB191" s="1766"/>
      <c r="AC191" s="1766"/>
      <c r="AD191" s="1766"/>
      <c r="AE191" s="1768"/>
      <c r="AF191" s="1799"/>
      <c r="AG191" s="1770"/>
      <c r="AH191" s="1771"/>
      <c r="AI191" s="1426"/>
      <c r="AJ191" s="1427"/>
      <c r="AK191" s="1426"/>
      <c r="AL191" s="1426"/>
      <c r="AM191" s="1426"/>
      <c r="AN191" s="1426"/>
      <c r="AO191" s="1426"/>
      <c r="AP191" s="1426"/>
      <c r="AQ191" s="1426"/>
      <c r="AR191" s="1426"/>
      <c r="AS191" s="1426"/>
      <c r="AT191" s="1426"/>
      <c r="AU191" s="1426"/>
      <c r="AV191" s="1426"/>
      <c r="AW191" s="1426"/>
      <c r="AX191" s="1426"/>
      <c r="AY191" s="1426"/>
      <c r="AZ191" s="1426"/>
      <c r="BA191" s="1426"/>
      <c r="BB191" s="1426"/>
      <c r="BC191" s="1426"/>
      <c r="BD191" s="1426"/>
      <c r="BE191" s="1426"/>
    </row>
    <row r="192" spans="1:57" s="5" customFormat="1">
      <c r="A192" s="1"/>
      <c r="B192" s="6"/>
      <c r="C192" s="4"/>
      <c r="D192" s="3"/>
      <c r="E192" s="4"/>
      <c r="F192" s="4"/>
      <c r="G192" s="1"/>
      <c r="H192" s="6"/>
      <c r="I192" s="6"/>
      <c r="J192" s="11"/>
      <c r="K192" s="510"/>
      <c r="L192" s="11"/>
      <c r="O192" s="2410"/>
      <c r="P192" s="2411"/>
      <c r="S192" s="1"/>
      <c r="T192" s="1"/>
      <c r="U192" s="6"/>
      <c r="V192" s="1766"/>
      <c r="W192" s="1766"/>
      <c r="X192" s="1766"/>
      <c r="Y192" s="1766"/>
      <c r="Z192" s="1767"/>
      <c r="AA192" s="1767"/>
      <c r="AB192" s="1766"/>
      <c r="AC192" s="1766"/>
      <c r="AD192" s="1766"/>
      <c r="AE192" s="1768"/>
      <c r="AF192" s="1799"/>
      <c r="AG192" s="1770"/>
      <c r="AH192" s="1771"/>
      <c r="AI192" s="1426"/>
      <c r="AJ192" s="1427"/>
      <c r="AK192" s="1426"/>
      <c r="AL192" s="1426"/>
      <c r="AM192" s="1426"/>
      <c r="AN192" s="1426"/>
      <c r="AO192" s="1426"/>
      <c r="AP192" s="1426"/>
      <c r="AQ192" s="1426"/>
      <c r="AR192" s="1426"/>
      <c r="AS192" s="1426"/>
      <c r="AT192" s="1426"/>
      <c r="AU192" s="1426"/>
      <c r="AV192" s="1426"/>
      <c r="AW192" s="1426"/>
      <c r="AX192" s="1426"/>
      <c r="AY192" s="1426"/>
      <c r="AZ192" s="1426"/>
      <c r="BA192" s="1426"/>
      <c r="BB192" s="1426"/>
      <c r="BC192" s="1426"/>
      <c r="BD192" s="1426"/>
      <c r="BE192" s="1426"/>
    </row>
    <row r="193" spans="1:57" s="5" customFormat="1">
      <c r="A193" s="1"/>
      <c r="B193" s="6"/>
      <c r="C193" s="4"/>
      <c r="D193" s="3"/>
      <c r="E193" s="4"/>
      <c r="F193" s="4"/>
      <c r="G193" s="1"/>
      <c r="H193" s="6"/>
      <c r="I193" s="6"/>
      <c r="J193" s="11"/>
      <c r="K193" s="510"/>
      <c r="L193" s="11"/>
      <c r="O193" s="2410"/>
      <c r="P193" s="2411"/>
      <c r="S193" s="1"/>
      <c r="T193" s="1"/>
      <c r="U193" s="6"/>
      <c r="V193" s="1766"/>
      <c r="W193" s="1766"/>
      <c r="X193" s="1766"/>
      <c r="Y193" s="1766"/>
      <c r="Z193" s="1767"/>
      <c r="AA193" s="1767"/>
      <c r="AB193" s="1766"/>
      <c r="AC193" s="1766"/>
      <c r="AD193" s="1766"/>
      <c r="AE193" s="1768"/>
      <c r="AF193" s="1799"/>
      <c r="AG193" s="1770"/>
      <c r="AH193" s="1771"/>
      <c r="AI193" s="1426"/>
      <c r="AJ193" s="1427"/>
      <c r="AK193" s="1426"/>
      <c r="AL193" s="1426"/>
      <c r="AM193" s="1426"/>
      <c r="AN193" s="1426"/>
      <c r="AO193" s="1426"/>
      <c r="AP193" s="1426"/>
      <c r="AQ193" s="1426"/>
      <c r="AR193" s="1426"/>
      <c r="AS193" s="1426"/>
      <c r="AT193" s="1426"/>
      <c r="AU193" s="1426"/>
      <c r="AV193" s="1426"/>
      <c r="AW193" s="1426"/>
      <c r="AX193" s="1426"/>
      <c r="AY193" s="1426"/>
      <c r="AZ193" s="1426"/>
      <c r="BA193" s="1426"/>
      <c r="BB193" s="1426"/>
      <c r="BC193" s="1426"/>
      <c r="BD193" s="1426"/>
      <c r="BE193" s="1426"/>
    </row>
    <row r="194" spans="1:57" s="5" customFormat="1">
      <c r="A194" s="1"/>
      <c r="B194" s="6"/>
      <c r="C194" s="4"/>
      <c r="D194" s="3"/>
      <c r="E194" s="4"/>
      <c r="F194" s="4"/>
      <c r="G194" s="1"/>
      <c r="H194" s="6"/>
      <c r="I194" s="6"/>
      <c r="J194" s="11"/>
      <c r="K194" s="510"/>
      <c r="L194" s="11"/>
      <c r="O194" s="2410"/>
      <c r="P194" s="2411"/>
      <c r="S194" s="1"/>
      <c r="T194" s="1"/>
      <c r="U194" s="6"/>
      <c r="V194" s="1766"/>
      <c r="W194" s="1766"/>
      <c r="X194" s="1766"/>
      <c r="Y194" s="1766"/>
      <c r="Z194" s="1767"/>
      <c r="AA194" s="1767"/>
      <c r="AB194" s="1766"/>
      <c r="AC194" s="1766"/>
      <c r="AD194" s="1766"/>
      <c r="AE194" s="1768"/>
      <c r="AF194" s="1799"/>
      <c r="AG194" s="1770"/>
      <c r="AH194" s="1771"/>
      <c r="AI194" s="1426"/>
      <c r="AJ194" s="1427"/>
      <c r="AK194" s="1426"/>
      <c r="AL194" s="1426"/>
      <c r="AM194" s="1426"/>
      <c r="AN194" s="1426"/>
      <c r="AO194" s="1426"/>
      <c r="AP194" s="1426"/>
      <c r="AQ194" s="1426"/>
      <c r="AR194" s="1426"/>
      <c r="AS194" s="1426"/>
      <c r="AT194" s="1426"/>
      <c r="AU194" s="1426"/>
      <c r="AV194" s="1426"/>
      <c r="AW194" s="1426"/>
      <c r="AX194" s="1426"/>
      <c r="AY194" s="1426"/>
      <c r="AZ194" s="1426"/>
      <c r="BA194" s="1426"/>
      <c r="BB194" s="1426"/>
      <c r="BC194" s="1426"/>
      <c r="BD194" s="1426"/>
      <c r="BE194" s="1426"/>
    </row>
    <row r="195" spans="1:57" s="5" customFormat="1">
      <c r="A195" s="1"/>
      <c r="B195" s="6"/>
      <c r="C195" s="4"/>
      <c r="D195" s="3"/>
      <c r="E195" s="4"/>
      <c r="F195" s="4"/>
      <c r="G195" s="1"/>
      <c r="H195" s="6"/>
      <c r="I195" s="6"/>
      <c r="J195" s="11"/>
      <c r="K195" s="510"/>
      <c r="L195" s="11"/>
      <c r="O195" s="2410"/>
      <c r="P195" s="2411"/>
      <c r="S195" s="1"/>
      <c r="T195" s="1"/>
      <c r="U195" s="6"/>
      <c r="V195" s="1766"/>
      <c r="W195" s="1766"/>
      <c r="X195" s="1766"/>
      <c r="Y195" s="1766"/>
      <c r="Z195" s="1767"/>
      <c r="AA195" s="1767"/>
      <c r="AB195" s="1766"/>
      <c r="AC195" s="1766"/>
      <c r="AD195" s="1766"/>
      <c r="AE195" s="1768"/>
      <c r="AF195" s="1799"/>
      <c r="AG195" s="1770"/>
      <c r="AH195" s="1771"/>
      <c r="AI195" s="1426"/>
      <c r="AJ195" s="1427"/>
      <c r="AK195" s="1426"/>
      <c r="AL195" s="1426"/>
      <c r="AM195" s="1426"/>
      <c r="AN195" s="1426"/>
      <c r="AO195" s="1426"/>
      <c r="AP195" s="1426"/>
      <c r="AQ195" s="1426"/>
      <c r="AR195" s="1426"/>
      <c r="AS195" s="1426"/>
      <c r="AT195" s="1426"/>
      <c r="AU195" s="1426"/>
      <c r="AV195" s="1426"/>
      <c r="AW195" s="1426"/>
      <c r="AX195" s="1426"/>
      <c r="AY195" s="1426"/>
      <c r="AZ195" s="1426"/>
      <c r="BA195" s="1426"/>
      <c r="BB195" s="1426"/>
      <c r="BC195" s="1426"/>
      <c r="BD195" s="1426"/>
      <c r="BE195" s="1426"/>
    </row>
    <row r="196" spans="1:57" s="5" customFormat="1">
      <c r="A196" s="1"/>
      <c r="B196" s="6"/>
      <c r="C196" s="4"/>
      <c r="D196" s="3"/>
      <c r="E196" s="4"/>
      <c r="F196" s="4"/>
      <c r="G196" s="1"/>
      <c r="H196" s="6"/>
      <c r="I196" s="6"/>
      <c r="J196" s="11"/>
      <c r="K196" s="510"/>
      <c r="L196" s="11"/>
      <c r="O196" s="2410"/>
      <c r="P196" s="2411"/>
      <c r="S196" s="1"/>
      <c r="T196" s="1"/>
      <c r="U196" s="6"/>
      <c r="V196" s="1766"/>
      <c r="W196" s="1766"/>
      <c r="X196" s="1766"/>
      <c r="Y196" s="1766"/>
      <c r="Z196" s="1767"/>
      <c r="AA196" s="1767"/>
      <c r="AB196" s="1766"/>
      <c r="AC196" s="1766"/>
      <c r="AD196" s="1766"/>
      <c r="AE196" s="1768"/>
      <c r="AF196" s="1799"/>
      <c r="AG196" s="1770"/>
      <c r="AH196" s="1771"/>
      <c r="AI196" s="1426"/>
      <c r="AJ196" s="1427"/>
      <c r="AK196" s="1426"/>
      <c r="AL196" s="1426"/>
      <c r="AM196" s="1426"/>
      <c r="AN196" s="1426"/>
      <c r="AO196" s="1426"/>
      <c r="AP196" s="1426"/>
      <c r="AQ196" s="1426"/>
      <c r="AR196" s="1426"/>
      <c r="AS196" s="1426"/>
      <c r="AT196" s="1426"/>
      <c r="AU196" s="1426"/>
      <c r="AV196" s="1426"/>
      <c r="AW196" s="1426"/>
      <c r="AX196" s="1426"/>
      <c r="AY196" s="1426"/>
      <c r="AZ196" s="1426"/>
      <c r="BA196" s="1426"/>
      <c r="BB196" s="1426"/>
      <c r="BC196" s="1426"/>
      <c r="BD196" s="1426"/>
      <c r="BE196" s="1426"/>
    </row>
    <row r="197" spans="1:57" s="5" customFormat="1">
      <c r="A197" s="1"/>
      <c r="B197" s="6"/>
      <c r="C197" s="4"/>
      <c r="D197" s="3"/>
      <c r="E197" s="4"/>
      <c r="F197" s="4"/>
      <c r="G197" s="1"/>
      <c r="H197" s="6"/>
      <c r="I197" s="6"/>
      <c r="J197" s="11"/>
      <c r="K197" s="510"/>
      <c r="L197" s="11"/>
      <c r="O197" s="2410"/>
      <c r="P197" s="2411"/>
      <c r="S197" s="1"/>
      <c r="T197" s="1"/>
      <c r="U197" s="6"/>
      <c r="V197" s="1766"/>
      <c r="W197" s="1766"/>
      <c r="X197" s="1766"/>
      <c r="Y197" s="1766"/>
      <c r="Z197" s="1767"/>
      <c r="AA197" s="1767"/>
      <c r="AB197" s="1766"/>
      <c r="AC197" s="1766"/>
      <c r="AD197" s="1766"/>
      <c r="AE197" s="1768"/>
      <c r="AF197" s="1799"/>
      <c r="AG197" s="1770"/>
      <c r="AH197" s="1771"/>
      <c r="AI197" s="1426"/>
      <c r="AJ197" s="1427"/>
      <c r="AK197" s="1426"/>
      <c r="AL197" s="1426"/>
      <c r="AM197" s="1426"/>
      <c r="AN197" s="1426"/>
      <c r="AO197" s="1426"/>
      <c r="AP197" s="1426"/>
      <c r="AQ197" s="1426"/>
      <c r="AR197" s="1426"/>
      <c r="AS197" s="1426"/>
      <c r="AT197" s="1426"/>
      <c r="AU197" s="1426"/>
      <c r="AV197" s="1426"/>
      <c r="AW197" s="1426"/>
      <c r="AX197" s="1426"/>
      <c r="AY197" s="1426"/>
      <c r="AZ197" s="1426"/>
      <c r="BA197" s="1426"/>
      <c r="BB197" s="1426"/>
      <c r="BC197" s="1426"/>
      <c r="BD197" s="1426"/>
      <c r="BE197" s="1426"/>
    </row>
    <row r="198" spans="1:57" s="5" customFormat="1">
      <c r="A198" s="1"/>
      <c r="B198" s="6"/>
      <c r="C198" s="4"/>
      <c r="D198" s="3"/>
      <c r="E198" s="4"/>
      <c r="F198" s="4"/>
      <c r="G198" s="1"/>
      <c r="H198" s="6"/>
      <c r="I198" s="6"/>
      <c r="J198" s="11"/>
      <c r="K198" s="510"/>
      <c r="L198" s="11"/>
      <c r="O198" s="2410"/>
      <c r="P198" s="2411"/>
      <c r="S198" s="1"/>
      <c r="T198" s="1"/>
      <c r="U198" s="6"/>
      <c r="V198" s="1766"/>
      <c r="W198" s="1766"/>
      <c r="X198" s="1766"/>
      <c r="Y198" s="1766"/>
      <c r="Z198" s="1767"/>
      <c r="AA198" s="1767"/>
      <c r="AB198" s="1766"/>
      <c r="AC198" s="1766"/>
      <c r="AD198" s="1766"/>
      <c r="AE198" s="1768"/>
      <c r="AF198" s="1799"/>
      <c r="AG198" s="1770"/>
      <c r="AH198" s="1771"/>
      <c r="AI198" s="1426"/>
      <c r="AJ198" s="1427"/>
      <c r="AK198" s="1426"/>
      <c r="AL198" s="1426"/>
      <c r="AM198" s="1426"/>
      <c r="AN198" s="1426"/>
      <c r="AO198" s="1426"/>
      <c r="AP198" s="1426"/>
      <c r="AQ198" s="1426"/>
      <c r="AR198" s="1426"/>
      <c r="AS198" s="1426"/>
      <c r="AT198" s="1426"/>
      <c r="AU198" s="1426"/>
      <c r="AV198" s="1426"/>
      <c r="AW198" s="1426"/>
      <c r="AX198" s="1426"/>
      <c r="AY198" s="1426"/>
      <c r="AZ198" s="1426"/>
      <c r="BA198" s="1426"/>
      <c r="BB198" s="1426"/>
      <c r="BC198" s="1426"/>
      <c r="BD198" s="1426"/>
      <c r="BE198" s="1426"/>
    </row>
    <row r="199" spans="1:57" s="5" customFormat="1">
      <c r="A199" s="1"/>
      <c r="B199" s="6"/>
      <c r="C199" s="4"/>
      <c r="D199" s="3"/>
      <c r="E199" s="4"/>
      <c r="F199" s="4"/>
      <c r="G199" s="1"/>
      <c r="H199" s="6"/>
      <c r="I199" s="6"/>
      <c r="J199" s="11"/>
      <c r="K199" s="510"/>
      <c r="L199" s="11"/>
      <c r="O199" s="2410"/>
      <c r="P199" s="2411"/>
      <c r="S199" s="1"/>
      <c r="T199" s="1"/>
      <c r="U199" s="6"/>
      <c r="V199" s="1766"/>
      <c r="W199" s="1766"/>
      <c r="X199" s="1766"/>
      <c r="Y199" s="1766"/>
      <c r="Z199" s="1767"/>
      <c r="AA199" s="1767"/>
      <c r="AB199" s="1766"/>
      <c r="AC199" s="1766"/>
      <c r="AD199" s="1766"/>
      <c r="AE199" s="1768"/>
      <c r="AF199" s="1799"/>
      <c r="AG199" s="1770"/>
      <c r="AH199" s="1771"/>
      <c r="AI199" s="1426"/>
      <c r="AJ199" s="1427"/>
      <c r="AK199" s="1426"/>
      <c r="AL199" s="1426"/>
      <c r="AM199" s="1426"/>
      <c r="AN199" s="1426"/>
      <c r="AO199" s="1426"/>
      <c r="AP199" s="1426"/>
      <c r="AQ199" s="1426"/>
      <c r="AR199" s="1426"/>
      <c r="AS199" s="1426"/>
      <c r="AT199" s="1426"/>
      <c r="AU199" s="1426"/>
      <c r="AV199" s="1426"/>
      <c r="AW199" s="1426"/>
      <c r="AX199" s="1426"/>
      <c r="AY199" s="1426"/>
      <c r="AZ199" s="1426"/>
      <c r="BA199" s="1426"/>
      <c r="BB199" s="1426"/>
      <c r="BC199" s="1426"/>
      <c r="BD199" s="1426"/>
      <c r="BE199" s="1426"/>
    </row>
    <row r="200" spans="1:57" s="5" customFormat="1">
      <c r="A200" s="1"/>
      <c r="B200" s="6"/>
      <c r="C200" s="4"/>
      <c r="D200" s="3"/>
      <c r="E200" s="4"/>
      <c r="F200" s="4"/>
      <c r="G200" s="1"/>
      <c r="H200" s="6"/>
      <c r="I200" s="6"/>
      <c r="J200" s="11"/>
      <c r="K200" s="510"/>
      <c r="L200" s="11"/>
      <c r="O200" s="2410"/>
      <c r="P200" s="2411"/>
      <c r="S200" s="1"/>
      <c r="T200" s="1"/>
      <c r="U200" s="6"/>
      <c r="V200" s="1766"/>
      <c r="W200" s="1766"/>
      <c r="X200" s="1766"/>
      <c r="Y200" s="1766"/>
      <c r="Z200" s="1767"/>
      <c r="AA200" s="1767"/>
      <c r="AB200" s="1766"/>
      <c r="AC200" s="1766"/>
      <c r="AD200" s="1766"/>
      <c r="AE200" s="1768"/>
      <c r="AF200" s="1799"/>
      <c r="AG200" s="1770"/>
      <c r="AH200" s="1771"/>
      <c r="AI200" s="1426"/>
      <c r="AJ200" s="1427"/>
      <c r="AK200" s="1426"/>
      <c r="AL200" s="1426"/>
      <c r="AM200" s="1426"/>
      <c r="AN200" s="1426"/>
      <c r="AO200" s="1426"/>
      <c r="AP200" s="1426"/>
      <c r="AQ200" s="1426"/>
      <c r="AR200" s="1426"/>
      <c r="AS200" s="1426"/>
      <c r="AT200" s="1426"/>
      <c r="AU200" s="1426"/>
      <c r="AV200" s="1426"/>
      <c r="AW200" s="1426"/>
      <c r="AX200" s="1426"/>
      <c r="AY200" s="1426"/>
      <c r="AZ200" s="1426"/>
      <c r="BA200" s="1426"/>
      <c r="BB200" s="1426"/>
      <c r="BC200" s="1426"/>
      <c r="BD200" s="1426"/>
      <c r="BE200" s="1426"/>
    </row>
    <row r="201" spans="1:57" s="5" customFormat="1">
      <c r="A201" s="1"/>
      <c r="B201" s="6"/>
      <c r="C201" s="4"/>
      <c r="D201" s="3"/>
      <c r="E201" s="4"/>
      <c r="F201" s="4"/>
      <c r="G201" s="1"/>
      <c r="H201" s="6"/>
      <c r="I201" s="6"/>
      <c r="J201" s="11"/>
      <c r="K201" s="510"/>
      <c r="L201" s="11"/>
      <c r="O201" s="2410"/>
      <c r="P201" s="2411"/>
      <c r="S201" s="1"/>
      <c r="T201" s="1"/>
      <c r="U201" s="6"/>
      <c r="V201" s="1766"/>
      <c r="W201" s="1766"/>
      <c r="X201" s="1766"/>
      <c r="Y201" s="1766"/>
      <c r="Z201" s="1767"/>
      <c r="AA201" s="1767"/>
      <c r="AB201" s="1766"/>
      <c r="AC201" s="1766"/>
      <c r="AD201" s="1766"/>
      <c r="AE201" s="1768"/>
      <c r="AF201" s="1799"/>
      <c r="AG201" s="1770"/>
      <c r="AH201" s="1771"/>
      <c r="AI201" s="1426"/>
      <c r="AJ201" s="1427"/>
      <c r="AK201" s="1426"/>
      <c r="AL201" s="1426"/>
      <c r="AM201" s="1426"/>
      <c r="AN201" s="1426"/>
      <c r="AO201" s="1426"/>
      <c r="AP201" s="1426"/>
      <c r="AQ201" s="1426"/>
      <c r="AR201" s="1426"/>
      <c r="AS201" s="1426"/>
      <c r="AT201" s="1426"/>
      <c r="AU201" s="1426"/>
      <c r="AV201" s="1426"/>
      <c r="AW201" s="1426"/>
      <c r="AX201" s="1426"/>
      <c r="AY201" s="1426"/>
      <c r="AZ201" s="1426"/>
      <c r="BA201" s="1426"/>
      <c r="BB201" s="1426"/>
      <c r="BC201" s="1426"/>
      <c r="BD201" s="1426"/>
      <c r="BE201" s="1426"/>
    </row>
    <row r="202" spans="1:57" s="5" customFormat="1">
      <c r="A202" s="1"/>
      <c r="B202" s="6"/>
      <c r="C202" s="4"/>
      <c r="D202" s="3"/>
      <c r="E202" s="4"/>
      <c r="F202" s="4"/>
      <c r="G202" s="1"/>
      <c r="H202" s="6"/>
      <c r="I202" s="6"/>
      <c r="J202" s="11"/>
      <c r="K202" s="510"/>
      <c r="L202" s="11"/>
      <c r="O202" s="2410"/>
      <c r="P202" s="2411"/>
      <c r="S202" s="1"/>
      <c r="T202" s="1"/>
      <c r="U202" s="6"/>
      <c r="V202" s="1766"/>
      <c r="W202" s="1766"/>
      <c r="X202" s="1766"/>
      <c r="Y202" s="1766"/>
      <c r="Z202" s="1767"/>
      <c r="AA202" s="1767"/>
      <c r="AB202" s="1766"/>
      <c r="AC202" s="1766"/>
      <c r="AD202" s="1766"/>
      <c r="AE202" s="1768"/>
      <c r="AF202" s="1799"/>
      <c r="AG202" s="1770"/>
      <c r="AH202" s="1771"/>
      <c r="AI202" s="1426"/>
      <c r="AJ202" s="1427"/>
      <c r="AK202" s="1426"/>
      <c r="AL202" s="1426"/>
      <c r="AM202" s="1426"/>
      <c r="AN202" s="1426"/>
      <c r="AO202" s="1426"/>
      <c r="AP202" s="1426"/>
      <c r="AQ202" s="1426"/>
      <c r="AR202" s="1426"/>
      <c r="AS202" s="1426"/>
      <c r="AT202" s="1426"/>
      <c r="AU202" s="1426"/>
      <c r="AV202" s="1426"/>
      <c r="AW202" s="1426"/>
      <c r="AX202" s="1426"/>
      <c r="AY202" s="1426"/>
      <c r="AZ202" s="1426"/>
      <c r="BA202" s="1426"/>
      <c r="BB202" s="1426"/>
      <c r="BC202" s="1426"/>
      <c r="BD202" s="1426"/>
      <c r="BE202" s="1426"/>
    </row>
    <row r="203" spans="1:57" s="5" customFormat="1">
      <c r="A203" s="1"/>
      <c r="B203" s="6"/>
      <c r="C203" s="4"/>
      <c r="D203" s="3"/>
      <c r="E203" s="4"/>
      <c r="F203" s="4"/>
      <c r="G203" s="1"/>
      <c r="H203" s="6"/>
      <c r="I203" s="6"/>
      <c r="J203" s="11"/>
      <c r="K203" s="510"/>
      <c r="L203" s="11"/>
      <c r="O203" s="2410"/>
      <c r="P203" s="2411"/>
      <c r="S203" s="1"/>
      <c r="T203" s="1"/>
      <c r="U203" s="6"/>
      <c r="V203" s="1766"/>
      <c r="W203" s="1766"/>
      <c r="X203" s="1766"/>
      <c r="Y203" s="1766"/>
      <c r="Z203" s="1767"/>
      <c r="AA203" s="1767"/>
      <c r="AB203" s="1766"/>
      <c r="AC203" s="1766"/>
      <c r="AD203" s="1766"/>
      <c r="AE203" s="1768"/>
      <c r="AF203" s="1799"/>
      <c r="AG203" s="1770"/>
      <c r="AH203" s="1771"/>
      <c r="AI203" s="1426"/>
      <c r="AJ203" s="1427"/>
      <c r="AK203" s="1426"/>
      <c r="AL203" s="1426"/>
      <c r="AM203" s="1426"/>
      <c r="AN203" s="1426"/>
      <c r="AO203" s="1426"/>
      <c r="AP203" s="1426"/>
      <c r="AQ203" s="1426"/>
      <c r="AR203" s="1426"/>
      <c r="AS203" s="1426"/>
      <c r="AT203" s="1426"/>
      <c r="AU203" s="1426"/>
      <c r="AV203" s="1426"/>
      <c r="AW203" s="1426"/>
      <c r="AX203" s="1426"/>
      <c r="AY203" s="1426"/>
      <c r="AZ203" s="1426"/>
      <c r="BA203" s="1426"/>
      <c r="BB203" s="1426"/>
      <c r="BC203" s="1426"/>
      <c r="BD203" s="1426"/>
      <c r="BE203" s="1426"/>
    </row>
    <row r="204" spans="1:57" s="5" customFormat="1">
      <c r="A204" s="1"/>
      <c r="B204" s="6"/>
      <c r="C204" s="4"/>
      <c r="D204" s="3"/>
      <c r="E204" s="4"/>
      <c r="F204" s="4"/>
      <c r="G204" s="1"/>
      <c r="H204" s="6"/>
      <c r="I204" s="6"/>
      <c r="J204" s="11"/>
      <c r="K204" s="510"/>
      <c r="L204" s="11"/>
      <c r="O204" s="2410"/>
      <c r="P204" s="2411"/>
      <c r="S204" s="1"/>
      <c r="T204" s="1"/>
      <c r="U204" s="6"/>
      <c r="V204" s="1766"/>
      <c r="W204" s="1766"/>
      <c r="X204" s="1766"/>
      <c r="Y204" s="1766"/>
      <c r="Z204" s="1767"/>
      <c r="AA204" s="1767"/>
      <c r="AB204" s="1766"/>
      <c r="AC204" s="1766"/>
      <c r="AD204" s="1766"/>
      <c r="AE204" s="1768"/>
      <c r="AF204" s="1799"/>
      <c r="AG204" s="1770"/>
      <c r="AH204" s="1771"/>
      <c r="AI204" s="1426"/>
      <c r="AJ204" s="1427"/>
      <c r="AK204" s="1426"/>
      <c r="AL204" s="1426"/>
      <c r="AM204" s="1426"/>
      <c r="AN204" s="1426"/>
      <c r="AO204" s="1426"/>
      <c r="AP204" s="1426"/>
      <c r="AQ204" s="1426"/>
      <c r="AR204" s="1426"/>
      <c r="AS204" s="1426"/>
      <c r="AT204" s="1426"/>
      <c r="AU204" s="1426"/>
      <c r="AV204" s="1426"/>
      <c r="AW204" s="1426"/>
      <c r="AX204" s="1426"/>
      <c r="AY204" s="1426"/>
      <c r="AZ204" s="1426"/>
      <c r="BA204" s="1426"/>
      <c r="BB204" s="1426"/>
      <c r="BC204" s="1426"/>
      <c r="BD204" s="1426"/>
      <c r="BE204" s="1426"/>
    </row>
    <row r="205" spans="1:57" s="5" customFormat="1">
      <c r="A205" s="1"/>
      <c r="B205" s="6"/>
      <c r="C205" s="4"/>
      <c r="D205" s="3"/>
      <c r="E205" s="4"/>
      <c r="F205" s="4"/>
      <c r="G205" s="1"/>
      <c r="H205" s="6"/>
      <c r="I205" s="6"/>
      <c r="J205" s="11"/>
      <c r="K205" s="510"/>
      <c r="L205" s="11"/>
      <c r="O205" s="2410"/>
      <c r="P205" s="2411"/>
      <c r="S205" s="1"/>
      <c r="T205" s="1"/>
      <c r="U205" s="6"/>
      <c r="V205" s="1766"/>
      <c r="W205" s="1766"/>
      <c r="X205" s="1766"/>
      <c r="Y205" s="1766"/>
      <c r="Z205" s="1767"/>
      <c r="AA205" s="1767"/>
      <c r="AB205" s="1766"/>
      <c r="AC205" s="1766"/>
      <c r="AD205" s="1766"/>
      <c r="AE205" s="1768"/>
      <c r="AF205" s="1799"/>
      <c r="AG205" s="1770"/>
      <c r="AH205" s="1771"/>
      <c r="AI205" s="1426"/>
      <c r="AJ205" s="1427"/>
      <c r="AK205" s="1426"/>
      <c r="AL205" s="1426"/>
      <c r="AM205" s="1426"/>
      <c r="AN205" s="1426"/>
      <c r="AO205" s="1426"/>
      <c r="AP205" s="1426"/>
      <c r="AQ205" s="1426"/>
      <c r="AR205" s="1426"/>
      <c r="AS205" s="1426"/>
      <c r="AT205" s="1426"/>
      <c r="AU205" s="1426"/>
      <c r="AV205" s="1426"/>
      <c r="AW205" s="1426"/>
      <c r="AX205" s="1426"/>
      <c r="AY205" s="1426"/>
      <c r="AZ205" s="1426"/>
      <c r="BA205" s="1426"/>
      <c r="BB205" s="1426"/>
      <c r="BC205" s="1426"/>
      <c r="BD205" s="1426"/>
      <c r="BE205" s="1426"/>
    </row>
    <row r="206" spans="1:57" s="5" customFormat="1">
      <c r="A206" s="1"/>
      <c r="B206" s="6"/>
      <c r="C206" s="4"/>
      <c r="D206" s="3"/>
      <c r="E206" s="4"/>
      <c r="F206" s="4"/>
      <c r="G206" s="1"/>
      <c r="H206" s="6"/>
      <c r="I206" s="6"/>
      <c r="J206" s="11"/>
      <c r="K206" s="510"/>
      <c r="L206" s="11"/>
      <c r="O206" s="2410"/>
      <c r="P206" s="2411"/>
      <c r="S206" s="1"/>
      <c r="T206" s="1"/>
      <c r="U206" s="6"/>
      <c r="V206" s="1766"/>
      <c r="W206" s="1766"/>
      <c r="X206" s="1766"/>
      <c r="Y206" s="1766"/>
      <c r="Z206" s="1767"/>
      <c r="AA206" s="1767"/>
      <c r="AB206" s="1766"/>
      <c r="AC206" s="1766"/>
      <c r="AD206" s="1766"/>
      <c r="AE206" s="1768"/>
      <c r="AF206" s="1799"/>
      <c r="AG206" s="1770"/>
      <c r="AH206" s="1771"/>
      <c r="AI206" s="1426"/>
      <c r="AJ206" s="1427"/>
      <c r="AK206" s="1426"/>
      <c r="AL206" s="1426"/>
      <c r="AM206" s="1426"/>
      <c r="AN206" s="1426"/>
      <c r="AO206" s="1426"/>
      <c r="AP206" s="1426"/>
      <c r="AQ206" s="1426"/>
      <c r="AR206" s="1426"/>
      <c r="AS206" s="1426"/>
      <c r="AT206" s="1426"/>
      <c r="AU206" s="1426"/>
      <c r="AV206" s="1426"/>
      <c r="AW206" s="1426"/>
      <c r="AX206" s="1426"/>
      <c r="AY206" s="1426"/>
      <c r="AZ206" s="1426"/>
      <c r="BA206" s="1426"/>
      <c r="BB206" s="1426"/>
      <c r="BC206" s="1426"/>
      <c r="BD206" s="1426"/>
      <c r="BE206" s="1426"/>
    </row>
    <row r="207" spans="1:57" s="5" customFormat="1">
      <c r="A207" s="1"/>
      <c r="B207" s="6"/>
      <c r="C207" s="4"/>
      <c r="D207" s="3"/>
      <c r="E207" s="4"/>
      <c r="F207" s="4"/>
      <c r="G207" s="1"/>
      <c r="H207" s="6"/>
      <c r="I207" s="6"/>
      <c r="J207" s="11"/>
      <c r="K207" s="510"/>
      <c r="L207" s="11"/>
      <c r="O207" s="2410"/>
      <c r="P207" s="2411"/>
      <c r="S207" s="1"/>
      <c r="T207" s="1"/>
      <c r="U207" s="6"/>
      <c r="V207" s="1766"/>
      <c r="W207" s="1766"/>
      <c r="X207" s="1766"/>
      <c r="Y207" s="1766"/>
      <c r="Z207" s="1767"/>
      <c r="AA207" s="1767"/>
      <c r="AB207" s="1766"/>
      <c r="AC207" s="1766"/>
      <c r="AD207" s="1766"/>
      <c r="AE207" s="1768"/>
      <c r="AF207" s="1799"/>
      <c r="AG207" s="1770"/>
      <c r="AH207" s="1771"/>
      <c r="AI207" s="1426"/>
      <c r="AJ207" s="1427"/>
      <c r="AK207" s="1426"/>
      <c r="AL207" s="1426"/>
      <c r="AM207" s="1426"/>
      <c r="AN207" s="1426"/>
      <c r="AO207" s="1426"/>
      <c r="AP207" s="1426"/>
      <c r="AQ207" s="1426"/>
      <c r="AR207" s="1426"/>
      <c r="AS207" s="1426"/>
      <c r="AT207" s="1426"/>
      <c r="AU207" s="1426"/>
      <c r="AV207" s="1426"/>
      <c r="AW207" s="1426"/>
      <c r="AX207" s="1426"/>
      <c r="AY207" s="1426"/>
      <c r="AZ207" s="1426"/>
      <c r="BA207" s="1426"/>
      <c r="BB207" s="1426"/>
      <c r="BC207" s="1426"/>
      <c r="BD207" s="1426"/>
      <c r="BE207" s="1426"/>
    </row>
    <row r="208" spans="1:57" s="5" customFormat="1">
      <c r="A208" s="1"/>
      <c r="B208" s="6"/>
      <c r="C208" s="4"/>
      <c r="D208" s="3"/>
      <c r="E208" s="4"/>
      <c r="F208" s="4"/>
      <c r="G208" s="1"/>
      <c r="H208" s="6"/>
      <c r="I208" s="6"/>
      <c r="J208" s="11"/>
      <c r="K208" s="510"/>
      <c r="L208" s="11"/>
      <c r="O208" s="2410"/>
      <c r="P208" s="2411"/>
      <c r="S208" s="1"/>
      <c r="T208" s="1"/>
      <c r="U208" s="6"/>
      <c r="V208" s="1766"/>
      <c r="W208" s="1766"/>
      <c r="X208" s="1766"/>
      <c r="Y208" s="1766"/>
      <c r="Z208" s="1767"/>
      <c r="AA208" s="1767"/>
      <c r="AB208" s="1766"/>
      <c r="AC208" s="1766"/>
      <c r="AD208" s="1766"/>
      <c r="AE208" s="1768"/>
      <c r="AF208" s="1799"/>
      <c r="AG208" s="1770"/>
      <c r="AH208" s="1771"/>
      <c r="AI208" s="1426"/>
      <c r="AJ208" s="1427"/>
      <c r="AK208" s="1426"/>
      <c r="AL208" s="1426"/>
      <c r="AM208" s="1426"/>
      <c r="AN208" s="1426"/>
      <c r="AO208" s="1426"/>
      <c r="AP208" s="1426"/>
      <c r="AQ208" s="1426"/>
      <c r="AR208" s="1426"/>
      <c r="AS208" s="1426"/>
      <c r="AT208" s="1426"/>
      <c r="AU208" s="1426"/>
      <c r="AV208" s="1426"/>
      <c r="AW208" s="1426"/>
      <c r="AX208" s="1426"/>
      <c r="AY208" s="1426"/>
      <c r="AZ208" s="1426"/>
      <c r="BA208" s="1426"/>
      <c r="BB208" s="1426"/>
      <c r="BC208" s="1426"/>
      <c r="BD208" s="1426"/>
      <c r="BE208" s="1426"/>
    </row>
    <row r="209" spans="1:57" s="5" customFormat="1">
      <c r="A209" s="1"/>
      <c r="B209" s="6"/>
      <c r="C209" s="4"/>
      <c r="D209" s="3"/>
      <c r="E209" s="4"/>
      <c r="F209" s="4"/>
      <c r="G209" s="1"/>
      <c r="H209" s="6"/>
      <c r="I209" s="6"/>
      <c r="J209" s="11"/>
      <c r="K209" s="510"/>
      <c r="L209" s="11"/>
      <c r="O209" s="2410"/>
      <c r="P209" s="2411"/>
      <c r="S209" s="1"/>
      <c r="T209" s="1"/>
      <c r="U209" s="6"/>
      <c r="V209" s="1766"/>
      <c r="W209" s="1766"/>
      <c r="X209" s="1766"/>
      <c r="Y209" s="1766"/>
      <c r="Z209" s="1767"/>
      <c r="AA209" s="1767"/>
      <c r="AB209" s="1766"/>
      <c r="AC209" s="1766"/>
      <c r="AD209" s="1766"/>
      <c r="AE209" s="1768"/>
      <c r="AF209" s="1799"/>
      <c r="AG209" s="1770"/>
      <c r="AH209" s="1771"/>
      <c r="AI209" s="1426"/>
      <c r="AJ209" s="1427"/>
      <c r="AK209" s="1426"/>
      <c r="AL209" s="1426"/>
      <c r="AM209" s="1426"/>
      <c r="AN209" s="1426"/>
      <c r="AO209" s="1426"/>
      <c r="AP209" s="1426"/>
      <c r="AQ209" s="1426"/>
      <c r="AR209" s="1426"/>
      <c r="AS209" s="1426"/>
      <c r="AT209" s="1426"/>
      <c r="AU209" s="1426"/>
      <c r="AV209" s="1426"/>
      <c r="AW209" s="1426"/>
      <c r="AX209" s="1426"/>
      <c r="AY209" s="1426"/>
      <c r="AZ209" s="1426"/>
      <c r="BA209" s="1426"/>
      <c r="BB209" s="1426"/>
      <c r="BC209" s="1426"/>
      <c r="BD209" s="1426"/>
      <c r="BE209" s="1426"/>
    </row>
    <row r="210" spans="1:57" s="5" customFormat="1">
      <c r="A210" s="1"/>
      <c r="B210" s="6"/>
      <c r="C210" s="4"/>
      <c r="D210" s="3"/>
      <c r="E210" s="4"/>
      <c r="F210" s="4"/>
      <c r="G210" s="1"/>
      <c r="H210" s="6"/>
      <c r="I210" s="6"/>
      <c r="J210" s="11"/>
      <c r="K210" s="510"/>
      <c r="L210" s="11"/>
      <c r="O210" s="2410"/>
      <c r="P210" s="2411"/>
      <c r="S210" s="1"/>
      <c r="T210" s="1"/>
      <c r="U210" s="6"/>
      <c r="V210" s="1766"/>
      <c r="W210" s="1766"/>
      <c r="X210" s="1766"/>
      <c r="Y210" s="1766"/>
      <c r="Z210" s="1767"/>
      <c r="AA210" s="1767"/>
      <c r="AB210" s="1766"/>
      <c r="AC210" s="1766"/>
      <c r="AD210" s="1766"/>
      <c r="AE210" s="1768"/>
      <c r="AF210" s="1799"/>
      <c r="AG210" s="1770"/>
      <c r="AH210" s="1771"/>
      <c r="AI210" s="1426"/>
      <c r="AJ210" s="1427"/>
      <c r="AK210" s="1426"/>
      <c r="AL210" s="1426"/>
      <c r="AM210" s="1426"/>
      <c r="AN210" s="1426"/>
      <c r="AO210" s="1426"/>
      <c r="AP210" s="1426"/>
      <c r="AQ210" s="1426"/>
      <c r="AR210" s="1426"/>
      <c r="AS210" s="1426"/>
      <c r="AT210" s="1426"/>
      <c r="AU210" s="1426"/>
      <c r="AV210" s="1426"/>
      <c r="AW210" s="1426"/>
      <c r="AX210" s="1426"/>
      <c r="AY210" s="1426"/>
      <c r="AZ210" s="1426"/>
      <c r="BA210" s="1426"/>
      <c r="BB210" s="1426"/>
      <c r="BC210" s="1426"/>
      <c r="BD210" s="1426"/>
      <c r="BE210" s="1426"/>
    </row>
    <row r="211" spans="1:57" s="5" customFormat="1">
      <c r="A211" s="1"/>
      <c r="B211" s="6"/>
      <c r="C211" s="4"/>
      <c r="D211" s="3"/>
      <c r="E211" s="4"/>
      <c r="F211" s="4"/>
      <c r="G211" s="1"/>
      <c r="H211" s="6"/>
      <c r="I211" s="6"/>
      <c r="J211" s="11"/>
      <c r="K211" s="510"/>
      <c r="L211" s="11"/>
      <c r="O211" s="2410"/>
      <c r="P211" s="2411"/>
      <c r="S211" s="1"/>
      <c r="T211" s="1"/>
      <c r="U211" s="6"/>
      <c r="V211" s="1766"/>
      <c r="W211" s="1766"/>
      <c r="X211" s="1766"/>
      <c r="Y211" s="1766"/>
      <c r="Z211" s="1767"/>
      <c r="AA211" s="1767"/>
      <c r="AB211" s="1766"/>
      <c r="AC211" s="1766"/>
      <c r="AD211" s="1766"/>
      <c r="AE211" s="1768"/>
      <c r="AF211" s="1799"/>
      <c r="AG211" s="1770"/>
      <c r="AH211" s="1771"/>
      <c r="AI211" s="1426"/>
      <c r="AJ211" s="1427"/>
      <c r="AK211" s="1426"/>
      <c r="AL211" s="1426"/>
      <c r="AM211" s="1426"/>
      <c r="AN211" s="1426"/>
      <c r="AO211" s="1426"/>
      <c r="AP211" s="1426"/>
      <c r="AQ211" s="1426"/>
      <c r="AR211" s="1426"/>
      <c r="AS211" s="1426"/>
      <c r="AT211" s="1426"/>
      <c r="AU211" s="1426"/>
      <c r="AV211" s="1426"/>
      <c r="AW211" s="1426"/>
      <c r="AX211" s="1426"/>
      <c r="AY211" s="1426"/>
      <c r="AZ211" s="1426"/>
      <c r="BA211" s="1426"/>
      <c r="BB211" s="1426"/>
      <c r="BC211" s="1426"/>
      <c r="BD211" s="1426"/>
      <c r="BE211" s="1426"/>
    </row>
    <row r="212" spans="1:57" s="5" customFormat="1">
      <c r="A212" s="1"/>
      <c r="B212" s="6"/>
      <c r="C212" s="4"/>
      <c r="D212" s="3"/>
      <c r="E212" s="4"/>
      <c r="F212" s="4"/>
      <c r="G212" s="1"/>
      <c r="H212" s="6"/>
      <c r="I212" s="6"/>
      <c r="J212" s="11"/>
      <c r="K212" s="510"/>
      <c r="L212" s="11"/>
      <c r="O212" s="2410"/>
      <c r="P212" s="2411"/>
      <c r="S212" s="1"/>
      <c r="T212" s="1"/>
      <c r="U212" s="6"/>
      <c r="V212" s="1766"/>
      <c r="W212" s="1766"/>
      <c r="X212" s="1766"/>
      <c r="Y212" s="1766"/>
      <c r="Z212" s="1767"/>
      <c r="AA212" s="1767"/>
      <c r="AB212" s="1766"/>
      <c r="AC212" s="1766"/>
      <c r="AD212" s="1766"/>
      <c r="AE212" s="1768"/>
      <c r="AF212" s="1799"/>
      <c r="AG212" s="1770"/>
      <c r="AH212" s="1771"/>
      <c r="AI212" s="1426"/>
      <c r="AJ212" s="1427"/>
      <c r="AK212" s="1426"/>
      <c r="AL212" s="1426"/>
      <c r="AM212" s="1426"/>
      <c r="AN212" s="1426"/>
      <c r="AO212" s="1426"/>
      <c r="AP212" s="1426"/>
      <c r="AQ212" s="1426"/>
      <c r="AR212" s="1426"/>
      <c r="AS212" s="1426"/>
      <c r="AT212" s="1426"/>
      <c r="AU212" s="1426"/>
      <c r="AV212" s="1426"/>
      <c r="AW212" s="1426"/>
      <c r="AX212" s="1426"/>
      <c r="AY212" s="1426"/>
      <c r="AZ212" s="1426"/>
      <c r="BA212" s="1426"/>
      <c r="BB212" s="1426"/>
      <c r="BC212" s="1426"/>
      <c r="BD212" s="1426"/>
      <c r="BE212" s="1426"/>
    </row>
    <row r="213" spans="1:57" s="5" customFormat="1">
      <c r="A213" s="1"/>
      <c r="B213" s="6"/>
      <c r="C213" s="4"/>
      <c r="D213" s="3"/>
      <c r="E213" s="4"/>
      <c r="F213" s="4"/>
      <c r="G213" s="1"/>
      <c r="H213" s="6"/>
      <c r="I213" s="6"/>
      <c r="J213" s="11"/>
      <c r="K213" s="510"/>
      <c r="L213" s="11"/>
      <c r="O213" s="2410"/>
      <c r="P213" s="2411"/>
      <c r="S213" s="1"/>
      <c r="T213" s="1"/>
      <c r="U213" s="6"/>
      <c r="V213" s="1766"/>
      <c r="W213" s="1766"/>
      <c r="X213" s="1766"/>
      <c r="Y213" s="1766"/>
      <c r="Z213" s="1767"/>
      <c r="AA213" s="1767"/>
      <c r="AB213" s="1766"/>
      <c r="AC213" s="1766"/>
      <c r="AD213" s="1766"/>
      <c r="AE213" s="1768"/>
      <c r="AF213" s="1799"/>
      <c r="AG213" s="1770"/>
      <c r="AH213" s="1771"/>
      <c r="AI213" s="1426"/>
      <c r="AJ213" s="1427"/>
      <c r="AK213" s="1426"/>
      <c r="AL213" s="1426"/>
      <c r="AM213" s="1426"/>
      <c r="AN213" s="1426"/>
      <c r="AO213" s="1426"/>
      <c r="AP213" s="1426"/>
      <c r="AQ213" s="1426"/>
      <c r="AR213" s="1426"/>
      <c r="AS213" s="1426"/>
      <c r="AT213" s="1426"/>
      <c r="AU213" s="1426"/>
      <c r="AV213" s="1426"/>
      <c r="AW213" s="1426"/>
      <c r="AX213" s="1426"/>
      <c r="AY213" s="1426"/>
      <c r="AZ213" s="1426"/>
      <c r="BA213" s="1426"/>
      <c r="BB213" s="1426"/>
      <c r="BC213" s="1426"/>
      <c r="BD213" s="1426"/>
      <c r="BE213" s="1426"/>
    </row>
    <row r="214" spans="1:57" s="5" customFormat="1">
      <c r="A214" s="1"/>
      <c r="B214" s="6"/>
      <c r="C214" s="4"/>
      <c r="D214" s="3"/>
      <c r="E214" s="4"/>
      <c r="F214" s="4"/>
      <c r="G214" s="1"/>
      <c r="H214" s="6"/>
      <c r="I214" s="6"/>
      <c r="J214" s="11"/>
      <c r="K214" s="510"/>
      <c r="L214" s="11"/>
      <c r="O214" s="2410"/>
      <c r="P214" s="2411"/>
      <c r="S214" s="1"/>
      <c r="T214" s="1"/>
      <c r="U214" s="6"/>
      <c r="V214" s="1766"/>
      <c r="W214" s="1766"/>
      <c r="X214" s="1766"/>
      <c r="Y214" s="1766"/>
      <c r="Z214" s="1767"/>
      <c r="AA214" s="1767"/>
      <c r="AB214" s="1766"/>
      <c r="AC214" s="1766"/>
      <c r="AD214" s="1766"/>
      <c r="AE214" s="1768"/>
      <c r="AF214" s="1799"/>
      <c r="AG214" s="1770"/>
      <c r="AH214" s="1771"/>
      <c r="AI214" s="1426"/>
      <c r="AJ214" s="1427"/>
      <c r="AK214" s="1426"/>
      <c r="AL214" s="1426"/>
      <c r="AM214" s="1426"/>
      <c r="AN214" s="1426"/>
      <c r="AO214" s="1426"/>
      <c r="AP214" s="1426"/>
      <c r="AQ214" s="1426"/>
      <c r="AR214" s="1426"/>
      <c r="AS214" s="1426"/>
      <c r="AT214" s="1426"/>
      <c r="AU214" s="1426"/>
      <c r="AV214" s="1426"/>
      <c r="AW214" s="1426"/>
      <c r="AX214" s="1426"/>
      <c r="AY214" s="1426"/>
      <c r="AZ214" s="1426"/>
      <c r="BA214" s="1426"/>
      <c r="BB214" s="1426"/>
      <c r="BC214" s="1426"/>
      <c r="BD214" s="1426"/>
      <c r="BE214" s="1426"/>
    </row>
    <row r="215" spans="1:57" s="5" customFormat="1">
      <c r="A215" s="1"/>
      <c r="B215" s="6"/>
      <c r="C215" s="4"/>
      <c r="D215" s="3"/>
      <c r="E215" s="4"/>
      <c r="F215" s="4"/>
      <c r="G215" s="1"/>
      <c r="H215" s="6"/>
      <c r="I215" s="6"/>
      <c r="J215" s="11"/>
      <c r="K215" s="510"/>
      <c r="L215" s="11"/>
      <c r="O215" s="2410"/>
      <c r="P215" s="2411"/>
      <c r="S215" s="1"/>
      <c r="T215" s="1"/>
      <c r="U215" s="6"/>
      <c r="V215" s="1766"/>
      <c r="W215" s="1766"/>
      <c r="X215" s="1766"/>
      <c r="Y215" s="1766"/>
      <c r="Z215" s="1767"/>
      <c r="AA215" s="1767"/>
      <c r="AB215" s="1766"/>
      <c r="AC215" s="1766"/>
      <c r="AD215" s="1766"/>
      <c r="AE215" s="1768"/>
      <c r="AF215" s="1799"/>
      <c r="AG215" s="1770"/>
      <c r="AH215" s="1771"/>
      <c r="AI215" s="1426"/>
      <c r="AJ215" s="1427"/>
      <c r="AK215" s="1426"/>
      <c r="AL215" s="1426"/>
      <c r="AM215" s="1426"/>
      <c r="AN215" s="1426"/>
      <c r="AO215" s="1426"/>
      <c r="AP215" s="1426"/>
      <c r="AQ215" s="1426"/>
      <c r="AR215" s="1426"/>
      <c r="AS215" s="1426"/>
      <c r="AT215" s="1426"/>
      <c r="AU215" s="1426"/>
      <c r="AV215" s="1426"/>
      <c r="AW215" s="1426"/>
      <c r="AX215" s="1426"/>
      <c r="AY215" s="1426"/>
      <c r="AZ215" s="1426"/>
      <c r="BA215" s="1426"/>
      <c r="BB215" s="1426"/>
      <c r="BC215" s="1426"/>
      <c r="BD215" s="1426"/>
      <c r="BE215" s="1426"/>
    </row>
    <row r="216" spans="1:57" s="5" customFormat="1">
      <c r="A216" s="1"/>
      <c r="B216" s="6"/>
      <c r="C216" s="4"/>
      <c r="D216" s="3"/>
      <c r="E216" s="4"/>
      <c r="F216" s="4"/>
      <c r="G216" s="1"/>
      <c r="H216" s="6"/>
      <c r="I216" s="6"/>
      <c r="J216" s="11"/>
      <c r="K216" s="510"/>
      <c r="L216" s="11"/>
      <c r="O216" s="2410"/>
      <c r="P216" s="2411"/>
      <c r="S216" s="1"/>
      <c r="T216" s="1"/>
      <c r="U216" s="6"/>
      <c r="V216" s="1766"/>
      <c r="W216" s="1766"/>
      <c r="X216" s="1766"/>
      <c r="Y216" s="1766"/>
      <c r="Z216" s="1767"/>
      <c r="AA216" s="1767"/>
      <c r="AB216" s="1766"/>
      <c r="AC216" s="1766"/>
      <c r="AD216" s="1766"/>
      <c r="AE216" s="1768"/>
      <c r="AF216" s="1799"/>
      <c r="AG216" s="1770"/>
      <c r="AH216" s="1771"/>
      <c r="AI216" s="1426"/>
      <c r="AJ216" s="1427"/>
      <c r="AK216" s="1426"/>
      <c r="AL216" s="1426"/>
      <c r="AM216" s="1426"/>
      <c r="AN216" s="1426"/>
      <c r="AO216" s="1426"/>
      <c r="AP216" s="1426"/>
      <c r="AQ216" s="1426"/>
      <c r="AR216" s="1426"/>
      <c r="AS216" s="1426"/>
      <c r="AT216" s="1426"/>
      <c r="AU216" s="1426"/>
      <c r="AV216" s="1426"/>
      <c r="AW216" s="1426"/>
      <c r="AX216" s="1426"/>
      <c r="AY216" s="1426"/>
      <c r="AZ216" s="1426"/>
      <c r="BA216" s="1426"/>
      <c r="BB216" s="1426"/>
      <c r="BC216" s="1426"/>
      <c r="BD216" s="1426"/>
      <c r="BE216" s="1426"/>
    </row>
    <row r="217" spans="1:57" s="5" customFormat="1">
      <c r="A217" s="1"/>
      <c r="B217" s="6"/>
      <c r="C217" s="4"/>
      <c r="D217" s="3"/>
      <c r="E217" s="4"/>
      <c r="F217" s="4"/>
      <c r="G217" s="1"/>
      <c r="H217" s="6"/>
      <c r="I217" s="6"/>
      <c r="J217" s="11"/>
      <c r="K217" s="510"/>
      <c r="L217" s="11"/>
      <c r="O217" s="2410"/>
      <c r="P217" s="2411"/>
      <c r="S217" s="1"/>
      <c r="T217" s="1"/>
      <c r="U217" s="6"/>
      <c r="V217" s="1766"/>
      <c r="W217" s="1766"/>
      <c r="X217" s="1766"/>
      <c r="Y217" s="1766"/>
      <c r="Z217" s="1767"/>
      <c r="AA217" s="1767"/>
      <c r="AB217" s="1766"/>
      <c r="AC217" s="1766"/>
      <c r="AD217" s="1766"/>
      <c r="AE217" s="1768"/>
      <c r="AF217" s="1799"/>
      <c r="AG217" s="1770"/>
      <c r="AH217" s="1771"/>
      <c r="AI217" s="1426"/>
      <c r="AJ217" s="1427"/>
      <c r="AK217" s="1426"/>
      <c r="AL217" s="1426"/>
      <c r="AM217" s="1426"/>
      <c r="AN217" s="1426"/>
      <c r="AO217" s="1426"/>
      <c r="AP217" s="1426"/>
      <c r="AQ217" s="1426"/>
      <c r="AR217" s="1426"/>
      <c r="AS217" s="1426"/>
      <c r="AT217" s="1426"/>
      <c r="AU217" s="1426"/>
      <c r="AV217" s="1426"/>
      <c r="AW217" s="1426"/>
      <c r="AX217" s="1426"/>
      <c r="AY217" s="1426"/>
      <c r="AZ217" s="1426"/>
      <c r="BA217" s="1426"/>
      <c r="BB217" s="1426"/>
      <c r="BC217" s="1426"/>
      <c r="BD217" s="1426"/>
      <c r="BE217" s="1426"/>
    </row>
    <row r="218" spans="1:57" s="5" customFormat="1">
      <c r="A218" s="1"/>
      <c r="B218" s="6"/>
      <c r="C218" s="4"/>
      <c r="D218" s="3"/>
      <c r="E218" s="4"/>
      <c r="F218" s="4"/>
      <c r="G218" s="1"/>
      <c r="H218" s="6"/>
      <c r="I218" s="6"/>
      <c r="J218" s="11"/>
      <c r="K218" s="510"/>
      <c r="L218" s="11"/>
      <c r="O218" s="2410"/>
      <c r="P218" s="2411"/>
      <c r="S218" s="1"/>
      <c r="T218" s="1"/>
      <c r="U218" s="6"/>
      <c r="V218" s="1766"/>
      <c r="W218" s="1766"/>
      <c r="X218" s="1766"/>
      <c r="Y218" s="1766"/>
      <c r="Z218" s="1767"/>
      <c r="AA218" s="1767"/>
      <c r="AB218" s="1766"/>
      <c r="AC218" s="1766"/>
      <c r="AD218" s="1766"/>
      <c r="AE218" s="1768"/>
      <c r="AF218" s="1799"/>
      <c r="AG218" s="1770"/>
      <c r="AH218" s="1771"/>
      <c r="AI218" s="1426"/>
      <c r="AJ218" s="1427"/>
      <c r="AK218" s="1426"/>
      <c r="AL218" s="1426"/>
      <c r="AM218" s="1426"/>
      <c r="AN218" s="1426"/>
      <c r="AO218" s="1426"/>
      <c r="AP218" s="1426"/>
      <c r="AQ218" s="1426"/>
      <c r="AR218" s="1426"/>
      <c r="AS218" s="1426"/>
      <c r="AT218" s="1426"/>
      <c r="AU218" s="1426"/>
      <c r="AV218" s="1426"/>
      <c r="AW218" s="1426"/>
      <c r="AX218" s="1426"/>
      <c r="AY218" s="1426"/>
      <c r="AZ218" s="1426"/>
      <c r="BA218" s="1426"/>
      <c r="BB218" s="1426"/>
      <c r="BC218" s="1426"/>
      <c r="BD218" s="1426"/>
      <c r="BE218" s="1426"/>
    </row>
    <row r="219" spans="1:57" s="5" customFormat="1">
      <c r="A219" s="1"/>
      <c r="B219" s="6"/>
      <c r="C219" s="4"/>
      <c r="D219" s="3"/>
      <c r="E219" s="4"/>
      <c r="F219" s="4"/>
      <c r="G219" s="1"/>
      <c r="H219" s="6"/>
      <c r="I219" s="6"/>
      <c r="J219" s="11"/>
      <c r="K219" s="510"/>
      <c r="L219" s="11"/>
      <c r="O219" s="2410"/>
      <c r="P219" s="2411"/>
      <c r="S219" s="1"/>
      <c r="T219" s="1"/>
      <c r="U219" s="6"/>
      <c r="V219" s="1766"/>
      <c r="W219" s="1766"/>
      <c r="X219" s="1766"/>
      <c r="Y219" s="1766"/>
      <c r="Z219" s="1767"/>
      <c r="AA219" s="1767"/>
      <c r="AB219" s="1766"/>
      <c r="AC219" s="1766"/>
      <c r="AD219" s="1766"/>
      <c r="AE219" s="1768"/>
      <c r="AF219" s="1799"/>
      <c r="AG219" s="1770"/>
      <c r="AH219" s="1771"/>
      <c r="AI219" s="1426"/>
      <c r="AJ219" s="1427"/>
      <c r="AK219" s="1426"/>
      <c r="AL219" s="1426"/>
      <c r="AM219" s="1426"/>
      <c r="AN219" s="1426"/>
      <c r="AO219" s="1426"/>
      <c r="AP219" s="1426"/>
      <c r="AQ219" s="1426"/>
      <c r="AR219" s="1426"/>
      <c r="AS219" s="1426"/>
      <c r="AT219" s="1426"/>
      <c r="AU219" s="1426"/>
      <c r="AV219" s="1426"/>
      <c r="AW219" s="1426"/>
      <c r="AX219" s="1426"/>
      <c r="AY219" s="1426"/>
      <c r="AZ219" s="1426"/>
      <c r="BA219" s="1426"/>
      <c r="BB219" s="1426"/>
      <c r="BC219" s="1426"/>
      <c r="BD219" s="1426"/>
      <c r="BE219" s="1426"/>
    </row>
    <row r="220" spans="1:57" s="5" customFormat="1">
      <c r="A220" s="1"/>
      <c r="B220" s="6"/>
      <c r="C220" s="4"/>
      <c r="D220" s="3"/>
      <c r="E220" s="4"/>
      <c r="F220" s="4"/>
      <c r="G220" s="1"/>
      <c r="H220" s="6"/>
      <c r="I220" s="6"/>
      <c r="J220" s="11"/>
      <c r="K220" s="510"/>
      <c r="L220" s="11"/>
      <c r="O220" s="2410"/>
      <c r="P220" s="2411"/>
      <c r="S220" s="1"/>
      <c r="T220" s="1"/>
      <c r="U220" s="6"/>
      <c r="V220" s="1766"/>
      <c r="W220" s="1766"/>
      <c r="X220" s="1766"/>
      <c r="Y220" s="1766"/>
      <c r="Z220" s="1767"/>
      <c r="AA220" s="1767"/>
      <c r="AB220" s="1766"/>
      <c r="AC220" s="1766"/>
      <c r="AD220" s="1766"/>
      <c r="AE220" s="1768"/>
      <c r="AF220" s="1799"/>
      <c r="AG220" s="1770"/>
      <c r="AH220" s="1771"/>
      <c r="AI220" s="1426"/>
      <c r="AJ220" s="1427"/>
      <c r="AK220" s="1426"/>
      <c r="AL220" s="1426"/>
      <c r="AM220" s="1426"/>
      <c r="AN220" s="1426"/>
      <c r="AO220" s="1426"/>
      <c r="AP220" s="1426"/>
      <c r="AQ220" s="1426"/>
      <c r="AR220" s="1426"/>
      <c r="AS220" s="1426"/>
      <c r="AT220" s="1426"/>
      <c r="AU220" s="1426"/>
      <c r="AV220" s="1426"/>
      <c r="AW220" s="1426"/>
      <c r="AX220" s="1426"/>
      <c r="AY220" s="1426"/>
      <c r="AZ220" s="1426"/>
      <c r="BA220" s="1426"/>
      <c r="BB220" s="1426"/>
      <c r="BC220" s="1426"/>
      <c r="BD220" s="1426"/>
      <c r="BE220" s="1426"/>
    </row>
    <row r="221" spans="1:57" s="5" customFormat="1">
      <c r="A221" s="1"/>
      <c r="B221" s="6"/>
      <c r="C221" s="4"/>
      <c r="D221" s="3"/>
      <c r="E221" s="4"/>
      <c r="F221" s="4"/>
      <c r="G221" s="1"/>
      <c r="H221" s="6"/>
      <c r="I221" s="6"/>
      <c r="J221" s="11"/>
      <c r="K221" s="510"/>
      <c r="L221" s="11"/>
      <c r="O221" s="2410"/>
      <c r="P221" s="2411"/>
      <c r="S221" s="1"/>
      <c r="T221" s="1"/>
      <c r="U221" s="6"/>
      <c r="V221" s="1766"/>
      <c r="W221" s="1766"/>
      <c r="X221" s="1766"/>
      <c r="Y221" s="1766"/>
      <c r="Z221" s="1767"/>
      <c r="AA221" s="1767"/>
      <c r="AB221" s="1766"/>
      <c r="AC221" s="1766"/>
      <c r="AD221" s="1766"/>
      <c r="AE221" s="1768"/>
      <c r="AF221" s="1799"/>
      <c r="AG221" s="1770"/>
      <c r="AH221" s="1771"/>
      <c r="AI221" s="1426"/>
      <c r="AJ221" s="1427"/>
      <c r="AK221" s="1426"/>
      <c r="AL221" s="1426"/>
      <c r="AM221" s="1426"/>
      <c r="AN221" s="1426"/>
      <c r="AO221" s="1426"/>
      <c r="AP221" s="1426"/>
      <c r="AQ221" s="1426"/>
      <c r="AR221" s="1426"/>
      <c r="AS221" s="1426"/>
      <c r="AT221" s="1426"/>
      <c r="AU221" s="1426"/>
      <c r="AV221" s="1426"/>
      <c r="AW221" s="1426"/>
      <c r="AX221" s="1426"/>
      <c r="AY221" s="1426"/>
      <c r="AZ221" s="1426"/>
      <c r="BA221" s="1426"/>
      <c r="BB221" s="1426"/>
      <c r="BC221" s="1426"/>
      <c r="BD221" s="1426"/>
      <c r="BE221" s="1426"/>
    </row>
    <row r="222" spans="1:57" s="5" customFormat="1">
      <c r="A222" s="1"/>
      <c r="B222" s="6"/>
      <c r="C222" s="4"/>
      <c r="D222" s="3"/>
      <c r="E222" s="4"/>
      <c r="F222" s="4"/>
      <c r="G222" s="1"/>
      <c r="H222" s="6"/>
      <c r="I222" s="6"/>
      <c r="J222" s="11"/>
      <c r="K222" s="510"/>
      <c r="L222" s="11"/>
      <c r="O222" s="2410"/>
      <c r="P222" s="2411"/>
      <c r="S222" s="1"/>
      <c r="T222" s="1"/>
      <c r="U222" s="6"/>
      <c r="V222" s="1766"/>
      <c r="W222" s="1766"/>
      <c r="X222" s="1766"/>
      <c r="Y222" s="1766"/>
      <c r="Z222" s="1767"/>
      <c r="AA222" s="1767"/>
      <c r="AB222" s="1766"/>
      <c r="AC222" s="1766"/>
      <c r="AD222" s="1766"/>
      <c r="AE222" s="1768"/>
      <c r="AF222" s="1799"/>
      <c r="AG222" s="1770"/>
      <c r="AH222" s="1771"/>
      <c r="AI222" s="1426"/>
      <c r="AJ222" s="1427"/>
      <c r="AK222" s="1426"/>
      <c r="AL222" s="1426"/>
      <c r="AM222" s="1426"/>
      <c r="AN222" s="1426"/>
      <c r="AO222" s="1426"/>
      <c r="AP222" s="1426"/>
      <c r="AQ222" s="1426"/>
      <c r="AR222" s="1426"/>
      <c r="AS222" s="1426"/>
      <c r="AT222" s="1426"/>
      <c r="AU222" s="1426"/>
      <c r="AV222" s="1426"/>
      <c r="AW222" s="1426"/>
      <c r="AX222" s="1426"/>
      <c r="AY222" s="1426"/>
      <c r="AZ222" s="1426"/>
      <c r="BA222" s="1426"/>
      <c r="BB222" s="1426"/>
      <c r="BC222" s="1426"/>
      <c r="BD222" s="1426"/>
      <c r="BE222" s="1426"/>
    </row>
    <row r="223" spans="1:57" s="5" customFormat="1">
      <c r="A223" s="1"/>
      <c r="B223" s="6"/>
      <c r="C223" s="4"/>
      <c r="D223" s="3"/>
      <c r="E223" s="4"/>
      <c r="F223" s="4"/>
      <c r="G223" s="1"/>
      <c r="H223" s="6"/>
      <c r="I223" s="6"/>
      <c r="J223" s="11"/>
      <c r="K223" s="510"/>
      <c r="L223" s="11"/>
      <c r="O223" s="2410"/>
      <c r="P223" s="2411"/>
      <c r="S223" s="1"/>
      <c r="T223" s="1"/>
      <c r="U223" s="6"/>
      <c r="V223" s="1766"/>
      <c r="W223" s="1766"/>
      <c r="X223" s="1766"/>
      <c r="Y223" s="1766"/>
      <c r="Z223" s="1767"/>
      <c r="AA223" s="1767"/>
      <c r="AB223" s="1766"/>
      <c r="AC223" s="1766"/>
      <c r="AD223" s="1766"/>
      <c r="AE223" s="1768"/>
      <c r="AF223" s="1799"/>
      <c r="AG223" s="1770"/>
      <c r="AH223" s="1771"/>
      <c r="AI223" s="1426"/>
      <c r="AJ223" s="1427"/>
      <c r="AK223" s="1426"/>
      <c r="AL223" s="1426"/>
      <c r="AM223" s="1426"/>
      <c r="AN223" s="1426"/>
      <c r="AO223" s="1426"/>
      <c r="AP223" s="1426"/>
      <c r="AQ223" s="1426"/>
      <c r="AR223" s="1426"/>
      <c r="AS223" s="1426"/>
      <c r="AT223" s="1426"/>
      <c r="AU223" s="1426"/>
      <c r="AV223" s="1426"/>
      <c r="AW223" s="1426"/>
      <c r="AX223" s="1426"/>
      <c r="AY223" s="1426"/>
      <c r="AZ223" s="1426"/>
      <c r="BA223" s="1426"/>
      <c r="BB223" s="1426"/>
      <c r="BC223" s="1426"/>
      <c r="BD223" s="1426"/>
      <c r="BE223" s="1426"/>
    </row>
    <row r="224" spans="1:57" s="5" customFormat="1">
      <c r="A224" s="1"/>
      <c r="B224" s="6"/>
      <c r="C224" s="4"/>
      <c r="D224" s="3"/>
      <c r="E224" s="4"/>
      <c r="F224" s="4"/>
      <c r="G224" s="1"/>
      <c r="H224" s="6"/>
      <c r="I224" s="6"/>
      <c r="J224" s="11"/>
      <c r="K224" s="510"/>
      <c r="L224" s="11"/>
      <c r="O224" s="2410"/>
      <c r="P224" s="2411"/>
      <c r="S224" s="1"/>
      <c r="T224" s="1"/>
      <c r="U224" s="6"/>
      <c r="V224" s="1766"/>
      <c r="W224" s="1766"/>
      <c r="X224" s="1766"/>
      <c r="Y224" s="1766"/>
      <c r="Z224" s="1767"/>
      <c r="AA224" s="1767"/>
      <c r="AB224" s="1766"/>
      <c r="AC224" s="1766"/>
      <c r="AD224" s="1766"/>
      <c r="AE224" s="1768"/>
      <c r="AF224" s="1799"/>
      <c r="AG224" s="1770"/>
      <c r="AH224" s="1771"/>
      <c r="AI224" s="1426"/>
      <c r="AJ224" s="1427"/>
      <c r="AK224" s="1426"/>
      <c r="AL224" s="1426"/>
      <c r="AM224" s="1426"/>
      <c r="AN224" s="1426"/>
      <c r="AO224" s="1426"/>
      <c r="AP224" s="1426"/>
      <c r="AQ224" s="1426"/>
      <c r="AR224" s="1426"/>
      <c r="AS224" s="1426"/>
      <c r="AT224" s="1426"/>
      <c r="AU224" s="1426"/>
      <c r="AV224" s="1426"/>
      <c r="AW224" s="1426"/>
      <c r="AX224" s="1426"/>
      <c r="AY224" s="1426"/>
      <c r="AZ224" s="1426"/>
      <c r="BA224" s="1426"/>
      <c r="BB224" s="1426"/>
      <c r="BC224" s="1426"/>
      <c r="BD224" s="1426"/>
      <c r="BE224" s="1426"/>
    </row>
    <row r="225" spans="1:57" s="5" customFormat="1">
      <c r="A225" s="1"/>
      <c r="B225" s="6"/>
      <c r="C225" s="4"/>
      <c r="D225" s="3"/>
      <c r="E225" s="4"/>
      <c r="F225" s="4"/>
      <c r="G225" s="1"/>
      <c r="H225" s="6"/>
      <c r="I225" s="6"/>
      <c r="J225" s="11"/>
      <c r="K225" s="510"/>
      <c r="L225" s="11"/>
      <c r="O225" s="2410"/>
      <c r="P225" s="2411"/>
      <c r="S225" s="1"/>
      <c r="T225" s="1"/>
      <c r="U225" s="6"/>
      <c r="V225" s="1766"/>
      <c r="W225" s="1766"/>
      <c r="X225" s="1766"/>
      <c r="Y225" s="1766"/>
      <c r="Z225" s="1767"/>
      <c r="AA225" s="1767"/>
      <c r="AB225" s="1766"/>
      <c r="AC225" s="1766"/>
      <c r="AD225" s="1766"/>
      <c r="AE225" s="1768"/>
      <c r="AF225" s="1799"/>
      <c r="AG225" s="1770"/>
      <c r="AH225" s="1771"/>
      <c r="AI225" s="1426"/>
      <c r="AJ225" s="1427"/>
      <c r="AK225" s="1426"/>
      <c r="AL225" s="1426"/>
      <c r="AM225" s="1426"/>
      <c r="AN225" s="1426"/>
      <c r="AO225" s="1426"/>
      <c r="AP225" s="1426"/>
      <c r="AQ225" s="1426"/>
      <c r="AR225" s="1426"/>
      <c r="AS225" s="1426"/>
      <c r="AT225" s="1426"/>
      <c r="AU225" s="1426"/>
      <c r="AV225" s="1426"/>
      <c r="AW225" s="1426"/>
      <c r="AX225" s="1426"/>
      <c r="AY225" s="1426"/>
      <c r="AZ225" s="1426"/>
      <c r="BA225" s="1426"/>
      <c r="BB225" s="1426"/>
      <c r="BC225" s="1426"/>
      <c r="BD225" s="1426"/>
      <c r="BE225" s="1426"/>
    </row>
    <row r="226" spans="1:57" s="5" customFormat="1">
      <c r="A226" s="1"/>
      <c r="B226" s="6"/>
      <c r="C226" s="4"/>
      <c r="D226" s="3"/>
      <c r="E226" s="4"/>
      <c r="F226" s="4"/>
      <c r="G226" s="1"/>
      <c r="H226" s="6"/>
      <c r="I226" s="6"/>
      <c r="J226" s="11"/>
      <c r="K226" s="510"/>
      <c r="L226" s="11"/>
      <c r="O226" s="2410"/>
      <c r="P226" s="2411"/>
      <c r="S226" s="1"/>
      <c r="T226" s="1"/>
      <c r="U226" s="6"/>
      <c r="V226" s="1766"/>
      <c r="W226" s="1766"/>
      <c r="X226" s="1766"/>
      <c r="Y226" s="1766"/>
      <c r="Z226" s="1767"/>
      <c r="AA226" s="1767"/>
      <c r="AB226" s="1766"/>
      <c r="AC226" s="1766"/>
      <c r="AD226" s="1766"/>
      <c r="AE226" s="1768"/>
      <c r="AF226" s="1799"/>
      <c r="AG226" s="1770"/>
      <c r="AH226" s="1771"/>
      <c r="AI226" s="1426"/>
      <c r="AJ226" s="1427"/>
      <c r="AK226" s="1426"/>
      <c r="AL226" s="1426"/>
      <c r="AM226" s="1426"/>
      <c r="AN226" s="1426"/>
      <c r="AO226" s="1426"/>
      <c r="AP226" s="1426"/>
      <c r="AQ226" s="1426"/>
      <c r="AR226" s="1426"/>
      <c r="AS226" s="1426"/>
      <c r="AT226" s="1426"/>
      <c r="AU226" s="1426"/>
      <c r="AV226" s="1426"/>
      <c r="AW226" s="1426"/>
      <c r="AX226" s="1426"/>
      <c r="AY226" s="1426"/>
      <c r="AZ226" s="1426"/>
      <c r="BA226" s="1426"/>
      <c r="BB226" s="1426"/>
      <c r="BC226" s="1426"/>
      <c r="BD226" s="1426"/>
      <c r="BE226" s="1426"/>
    </row>
    <row r="227" spans="1:57" s="5" customFormat="1">
      <c r="A227" s="1"/>
      <c r="B227" s="6"/>
      <c r="C227" s="4"/>
      <c r="D227" s="3"/>
      <c r="E227" s="4"/>
      <c r="F227" s="4"/>
      <c r="G227" s="1"/>
      <c r="H227" s="6"/>
      <c r="I227" s="6"/>
      <c r="J227" s="11"/>
      <c r="K227" s="510"/>
      <c r="L227" s="11"/>
      <c r="O227" s="2410"/>
      <c r="P227" s="2411"/>
      <c r="S227" s="1"/>
      <c r="T227" s="1"/>
      <c r="U227" s="6"/>
      <c r="V227" s="1766"/>
      <c r="W227" s="1766"/>
      <c r="X227" s="1766"/>
      <c r="Y227" s="1766"/>
      <c r="Z227" s="1767"/>
      <c r="AA227" s="1767"/>
      <c r="AB227" s="1766"/>
      <c r="AC227" s="1766"/>
      <c r="AD227" s="1766"/>
      <c r="AE227" s="1768"/>
      <c r="AF227" s="1799"/>
      <c r="AG227" s="1770"/>
      <c r="AH227" s="1771"/>
      <c r="AI227" s="1426"/>
      <c r="AJ227" s="1427"/>
      <c r="AK227" s="1426"/>
      <c r="AL227" s="1426"/>
      <c r="AM227" s="1426"/>
      <c r="AN227" s="1426"/>
      <c r="AO227" s="1426"/>
      <c r="AP227" s="1426"/>
      <c r="AQ227" s="1426"/>
      <c r="AR227" s="1426"/>
      <c r="AS227" s="1426"/>
      <c r="AT227" s="1426"/>
      <c r="AU227" s="1426"/>
      <c r="AV227" s="1426"/>
      <c r="AW227" s="1426"/>
      <c r="AX227" s="1426"/>
      <c r="AY227" s="1426"/>
      <c r="AZ227" s="1426"/>
      <c r="BA227" s="1426"/>
      <c r="BB227" s="1426"/>
      <c r="BC227" s="1426"/>
      <c r="BD227" s="1426"/>
      <c r="BE227" s="1426"/>
    </row>
    <row r="228" spans="1:57" s="5" customFormat="1">
      <c r="A228" s="1"/>
      <c r="B228" s="6"/>
      <c r="C228" s="4"/>
      <c r="D228" s="3"/>
      <c r="E228" s="4"/>
      <c r="F228" s="4"/>
      <c r="G228" s="1"/>
      <c r="H228" s="6"/>
      <c r="I228" s="6"/>
      <c r="J228" s="11"/>
      <c r="K228" s="510"/>
      <c r="L228" s="11"/>
      <c r="O228" s="2410"/>
      <c r="P228" s="2411"/>
      <c r="S228" s="1"/>
      <c r="T228" s="1"/>
      <c r="U228" s="6"/>
      <c r="V228" s="1766"/>
      <c r="W228" s="1766"/>
      <c r="X228" s="1766"/>
      <c r="Y228" s="1766"/>
      <c r="Z228" s="1767"/>
      <c r="AA228" s="1767"/>
      <c r="AB228" s="1766"/>
      <c r="AC228" s="1766"/>
      <c r="AD228" s="1766"/>
      <c r="AE228" s="1768"/>
      <c r="AF228" s="1799"/>
      <c r="AG228" s="1770"/>
      <c r="AH228" s="1771"/>
      <c r="AI228" s="1426"/>
      <c r="AJ228" s="1427"/>
      <c r="AK228" s="1426"/>
      <c r="AL228" s="1426"/>
      <c r="AM228" s="1426"/>
      <c r="AN228" s="1426"/>
      <c r="AO228" s="1426"/>
      <c r="AP228" s="1426"/>
      <c r="AQ228" s="1426"/>
      <c r="AR228" s="1426"/>
      <c r="AS228" s="1426"/>
      <c r="AT228" s="1426"/>
      <c r="AU228" s="1426"/>
      <c r="AV228" s="1426"/>
      <c r="AW228" s="1426"/>
      <c r="AX228" s="1426"/>
      <c r="AY228" s="1426"/>
      <c r="AZ228" s="1426"/>
      <c r="BA228" s="1426"/>
      <c r="BB228" s="1426"/>
      <c r="BC228" s="1426"/>
      <c r="BD228" s="1426"/>
      <c r="BE228" s="1426"/>
    </row>
    <row r="229" spans="1:57" s="5" customFormat="1">
      <c r="A229" s="1"/>
      <c r="B229" s="6"/>
      <c r="C229" s="4"/>
      <c r="D229" s="3"/>
      <c r="E229" s="4"/>
      <c r="F229" s="4"/>
      <c r="G229" s="1"/>
      <c r="H229" s="6"/>
      <c r="I229" s="6"/>
      <c r="J229" s="11"/>
      <c r="K229" s="510"/>
      <c r="L229" s="11"/>
      <c r="O229" s="2410"/>
      <c r="P229" s="2411"/>
      <c r="S229" s="1"/>
      <c r="T229" s="1"/>
      <c r="U229" s="6"/>
      <c r="V229" s="1766"/>
      <c r="W229" s="1766"/>
      <c r="X229" s="1766"/>
      <c r="Y229" s="1766"/>
      <c r="Z229" s="1767"/>
      <c r="AA229" s="1767"/>
      <c r="AB229" s="1766"/>
      <c r="AC229" s="1766"/>
      <c r="AD229" s="1766"/>
      <c r="AE229" s="1768"/>
      <c r="AF229" s="1799"/>
      <c r="AG229" s="1770"/>
      <c r="AH229" s="1771"/>
      <c r="AI229" s="1426"/>
      <c r="AJ229" s="1427"/>
      <c r="AK229" s="1426"/>
      <c r="AL229" s="1426"/>
      <c r="AM229" s="1426"/>
      <c r="AN229" s="1426"/>
      <c r="AO229" s="1426"/>
      <c r="AP229" s="1426"/>
      <c r="AQ229" s="1426"/>
      <c r="AR229" s="1426"/>
      <c r="AS229" s="1426"/>
      <c r="AT229" s="1426"/>
      <c r="AU229" s="1426"/>
      <c r="AV229" s="1426"/>
      <c r="AW229" s="1426"/>
      <c r="AX229" s="1426"/>
      <c r="AY229" s="1426"/>
      <c r="AZ229" s="1426"/>
      <c r="BA229" s="1426"/>
      <c r="BB229" s="1426"/>
      <c r="BC229" s="1426"/>
      <c r="BD229" s="1426"/>
      <c r="BE229" s="1426"/>
    </row>
    <row r="230" spans="1:57" s="5" customFormat="1">
      <c r="A230" s="1"/>
      <c r="B230" s="6"/>
      <c r="C230" s="4"/>
      <c r="D230" s="3"/>
      <c r="E230" s="4"/>
      <c r="F230" s="4"/>
      <c r="G230" s="1"/>
      <c r="H230" s="6"/>
      <c r="I230" s="6"/>
      <c r="J230" s="11"/>
      <c r="K230" s="510"/>
      <c r="L230" s="11"/>
      <c r="O230" s="2410"/>
      <c r="P230" s="2411"/>
      <c r="S230" s="1"/>
      <c r="T230" s="1"/>
      <c r="U230" s="6"/>
      <c r="V230" s="1766"/>
      <c r="W230" s="1766"/>
      <c r="X230" s="1766"/>
      <c r="Y230" s="1766"/>
      <c r="Z230" s="1767"/>
      <c r="AA230" s="1767"/>
      <c r="AB230" s="1766"/>
      <c r="AC230" s="1766"/>
      <c r="AD230" s="1766"/>
      <c r="AE230" s="1768"/>
      <c r="AF230" s="1799"/>
      <c r="AG230" s="1770"/>
      <c r="AH230" s="1771"/>
      <c r="AI230" s="1426"/>
      <c r="AJ230" s="1427"/>
      <c r="AK230" s="1426"/>
      <c r="AL230" s="1426"/>
      <c r="AM230" s="1426"/>
      <c r="AN230" s="1426"/>
      <c r="AO230" s="1426"/>
      <c r="AP230" s="1426"/>
      <c r="AQ230" s="1426"/>
      <c r="AR230" s="1426"/>
      <c r="AS230" s="1426"/>
      <c r="AT230" s="1426"/>
      <c r="AU230" s="1426"/>
      <c r="AV230" s="1426"/>
      <c r="AW230" s="1426"/>
      <c r="AX230" s="1426"/>
      <c r="AY230" s="1426"/>
      <c r="AZ230" s="1426"/>
      <c r="BA230" s="1426"/>
      <c r="BB230" s="1426"/>
      <c r="BC230" s="1426"/>
      <c r="BD230" s="1426"/>
      <c r="BE230" s="1426"/>
    </row>
    <row r="231" spans="1:57" s="5" customFormat="1">
      <c r="A231" s="1"/>
      <c r="B231" s="6"/>
      <c r="C231" s="4"/>
      <c r="D231" s="3"/>
      <c r="E231" s="4"/>
      <c r="F231" s="4"/>
      <c r="G231" s="1"/>
      <c r="H231" s="6"/>
      <c r="I231" s="6"/>
      <c r="J231" s="11"/>
      <c r="K231" s="510"/>
      <c r="L231" s="11"/>
      <c r="O231" s="2410"/>
      <c r="P231" s="2411"/>
      <c r="S231" s="1"/>
      <c r="T231" s="1"/>
      <c r="U231" s="6"/>
      <c r="V231" s="1766"/>
      <c r="W231" s="1766"/>
      <c r="X231" s="1766"/>
      <c r="Y231" s="1766"/>
      <c r="Z231" s="1767"/>
      <c r="AA231" s="1767"/>
      <c r="AB231" s="1766"/>
      <c r="AC231" s="1766"/>
      <c r="AD231" s="1766"/>
      <c r="AE231" s="1768"/>
      <c r="AF231" s="1799"/>
      <c r="AG231" s="1770"/>
      <c r="AH231" s="1771"/>
      <c r="AI231" s="1426"/>
      <c r="AJ231" s="1427"/>
      <c r="AK231" s="1426"/>
      <c r="AL231" s="1426"/>
      <c r="AM231" s="1426"/>
      <c r="AN231" s="1426"/>
      <c r="AO231" s="1426"/>
      <c r="AP231" s="1426"/>
      <c r="AQ231" s="1426"/>
      <c r="AR231" s="1426"/>
      <c r="AS231" s="1426"/>
      <c r="AT231" s="1426"/>
      <c r="AU231" s="1426"/>
      <c r="AV231" s="1426"/>
      <c r="AW231" s="1426"/>
      <c r="AX231" s="1426"/>
      <c r="AY231" s="1426"/>
      <c r="AZ231" s="1426"/>
      <c r="BA231" s="1426"/>
      <c r="BB231" s="1426"/>
      <c r="BC231" s="1426"/>
      <c r="BD231" s="1426"/>
      <c r="BE231" s="1426"/>
    </row>
    <row r="232" spans="1:57" s="5" customFormat="1">
      <c r="A232" s="1"/>
      <c r="B232" s="6"/>
      <c r="C232" s="4"/>
      <c r="D232" s="3"/>
      <c r="E232" s="4"/>
      <c r="F232" s="4"/>
      <c r="G232" s="1"/>
      <c r="H232" s="6"/>
      <c r="I232" s="6"/>
      <c r="J232" s="11"/>
      <c r="K232" s="510"/>
      <c r="L232" s="11"/>
      <c r="O232" s="2410"/>
      <c r="P232" s="2411"/>
      <c r="S232" s="1"/>
      <c r="T232" s="1"/>
      <c r="U232" s="6"/>
      <c r="V232" s="1766"/>
      <c r="W232" s="1766"/>
      <c r="X232" s="1766"/>
      <c r="Y232" s="1766"/>
      <c r="Z232" s="1767"/>
      <c r="AA232" s="1767"/>
      <c r="AB232" s="1766"/>
      <c r="AC232" s="1766"/>
      <c r="AD232" s="1766"/>
      <c r="AE232" s="1768"/>
      <c r="AF232" s="1799"/>
      <c r="AG232" s="1770"/>
      <c r="AH232" s="1771"/>
      <c r="AI232" s="1426"/>
      <c r="AJ232" s="1427"/>
      <c r="AK232" s="1426"/>
      <c r="AL232" s="1426"/>
      <c r="AM232" s="1426"/>
      <c r="AN232" s="1426"/>
      <c r="AO232" s="1426"/>
      <c r="AP232" s="1426"/>
      <c r="AQ232" s="1426"/>
      <c r="AR232" s="1426"/>
      <c r="AS232" s="1426"/>
      <c r="AT232" s="1426"/>
      <c r="AU232" s="1426"/>
      <c r="AV232" s="1426"/>
      <c r="AW232" s="1426"/>
      <c r="AX232" s="1426"/>
      <c r="AY232" s="1426"/>
      <c r="AZ232" s="1426"/>
      <c r="BA232" s="1426"/>
      <c r="BB232" s="1426"/>
      <c r="BC232" s="1426"/>
      <c r="BD232" s="1426"/>
      <c r="BE232" s="1426"/>
    </row>
    <row r="233" spans="1:57" s="5" customFormat="1">
      <c r="A233" s="1"/>
      <c r="B233" s="6"/>
      <c r="C233" s="4"/>
      <c r="D233" s="3"/>
      <c r="E233" s="4"/>
      <c r="F233" s="4"/>
      <c r="G233" s="1"/>
      <c r="H233" s="6"/>
      <c r="I233" s="6"/>
      <c r="J233" s="11"/>
      <c r="K233" s="510"/>
      <c r="L233" s="11"/>
      <c r="O233" s="2410"/>
      <c r="P233" s="2411"/>
      <c r="S233" s="1"/>
      <c r="T233" s="1"/>
      <c r="U233" s="6"/>
      <c r="V233" s="1766"/>
      <c r="W233" s="1766"/>
      <c r="X233" s="1766"/>
      <c r="Y233" s="1766"/>
      <c r="Z233" s="1767"/>
      <c r="AA233" s="1767"/>
      <c r="AB233" s="1766"/>
      <c r="AC233" s="1766"/>
      <c r="AD233" s="1766"/>
      <c r="AE233" s="1768"/>
      <c r="AF233" s="1799"/>
      <c r="AG233" s="1770"/>
      <c r="AH233" s="1771"/>
      <c r="AI233" s="1426"/>
      <c r="AJ233" s="1427"/>
      <c r="AK233" s="1426"/>
      <c r="AL233" s="1426"/>
      <c r="AM233" s="1426"/>
      <c r="AN233" s="1426"/>
      <c r="AO233" s="1426"/>
      <c r="AP233" s="1426"/>
      <c r="AQ233" s="1426"/>
      <c r="AR233" s="1426"/>
      <c r="AS233" s="1426"/>
      <c r="AT233" s="1426"/>
      <c r="AU233" s="1426"/>
      <c r="AV233" s="1426"/>
      <c r="AW233" s="1426"/>
      <c r="AX233" s="1426"/>
      <c r="AY233" s="1426"/>
      <c r="AZ233" s="1426"/>
      <c r="BA233" s="1426"/>
      <c r="BB233" s="1426"/>
      <c r="BC233" s="1426"/>
      <c r="BD233" s="1426"/>
      <c r="BE233" s="1426"/>
    </row>
    <row r="234" spans="1:57" s="5" customFormat="1">
      <c r="A234" s="1"/>
      <c r="B234" s="6"/>
      <c r="C234" s="4"/>
      <c r="D234" s="3"/>
      <c r="E234" s="4"/>
      <c r="F234" s="4"/>
      <c r="G234" s="1"/>
      <c r="H234" s="6"/>
      <c r="I234" s="6"/>
      <c r="J234" s="11"/>
      <c r="K234" s="510"/>
      <c r="L234" s="11"/>
      <c r="O234" s="2410"/>
      <c r="P234" s="2411"/>
      <c r="S234" s="1"/>
      <c r="T234" s="1"/>
      <c r="U234" s="6"/>
      <c r="V234" s="1766"/>
      <c r="W234" s="1766"/>
      <c r="X234" s="1766"/>
      <c r="Y234" s="1766"/>
      <c r="Z234" s="1767"/>
      <c r="AA234" s="1767"/>
      <c r="AB234" s="1766"/>
      <c r="AC234" s="1766"/>
      <c r="AD234" s="1766"/>
      <c r="AE234" s="1768"/>
      <c r="AF234" s="1799"/>
      <c r="AG234" s="1770"/>
      <c r="AH234" s="1771"/>
      <c r="AI234" s="1426"/>
      <c r="AJ234" s="1427"/>
      <c r="AK234" s="1426"/>
      <c r="AL234" s="1426"/>
      <c r="AM234" s="1426"/>
      <c r="AN234" s="1426"/>
      <c r="AO234" s="1426"/>
      <c r="AP234" s="1426"/>
      <c r="AQ234" s="1426"/>
      <c r="AR234" s="1426"/>
      <c r="AS234" s="1426"/>
      <c r="AT234" s="1426"/>
      <c r="AU234" s="1426"/>
      <c r="AV234" s="1426"/>
      <c r="AW234" s="1426"/>
      <c r="AX234" s="1426"/>
      <c r="AY234" s="1426"/>
      <c r="AZ234" s="1426"/>
      <c r="BA234" s="1426"/>
      <c r="BB234" s="1426"/>
      <c r="BC234" s="1426"/>
      <c r="BD234" s="1426"/>
      <c r="BE234" s="1426"/>
    </row>
    <row r="235" spans="1:57" s="5" customFormat="1">
      <c r="A235" s="1"/>
      <c r="B235" s="6"/>
      <c r="C235" s="4"/>
      <c r="D235" s="3"/>
      <c r="E235" s="4"/>
      <c r="F235" s="4"/>
      <c r="G235" s="1"/>
      <c r="H235" s="6"/>
      <c r="I235" s="6"/>
      <c r="J235" s="11"/>
      <c r="K235" s="510"/>
      <c r="L235" s="11"/>
      <c r="O235" s="2410"/>
      <c r="P235" s="2411"/>
      <c r="S235" s="1"/>
      <c r="T235" s="1"/>
      <c r="U235" s="6"/>
      <c r="V235" s="1766"/>
      <c r="W235" s="1766"/>
      <c r="X235" s="1766"/>
      <c r="Y235" s="1766"/>
      <c r="Z235" s="1767"/>
      <c r="AA235" s="1767"/>
      <c r="AB235" s="1766"/>
      <c r="AC235" s="1766"/>
      <c r="AD235" s="1766"/>
      <c r="AE235" s="1768"/>
      <c r="AF235" s="1799"/>
      <c r="AG235" s="1770"/>
      <c r="AH235" s="1771"/>
      <c r="AI235" s="1426"/>
      <c r="AJ235" s="1427"/>
      <c r="AK235" s="1426"/>
      <c r="AL235" s="1426"/>
      <c r="AM235" s="1426"/>
      <c r="AN235" s="1426"/>
      <c r="AO235" s="1426"/>
      <c r="AP235" s="1426"/>
      <c r="AQ235" s="1426"/>
      <c r="AR235" s="1426"/>
      <c r="AS235" s="1426"/>
      <c r="AT235" s="1426"/>
      <c r="AU235" s="1426"/>
      <c r="AV235" s="1426"/>
      <c r="AW235" s="1426"/>
      <c r="AX235" s="1426"/>
      <c r="AY235" s="1426"/>
      <c r="AZ235" s="1426"/>
      <c r="BA235" s="1426"/>
      <c r="BB235" s="1426"/>
      <c r="BC235" s="1426"/>
      <c r="BD235" s="1426"/>
      <c r="BE235" s="1426"/>
    </row>
    <row r="236" spans="1:57" s="5" customFormat="1">
      <c r="A236" s="1"/>
      <c r="B236" s="6"/>
      <c r="C236" s="4"/>
      <c r="D236" s="3"/>
      <c r="E236" s="4"/>
      <c r="F236" s="4"/>
      <c r="G236" s="1"/>
      <c r="H236" s="6"/>
      <c r="I236" s="6"/>
      <c r="J236" s="11"/>
      <c r="K236" s="510"/>
      <c r="L236" s="11"/>
      <c r="O236" s="2410"/>
      <c r="P236" s="2411"/>
      <c r="S236" s="1"/>
      <c r="T236" s="1"/>
      <c r="U236" s="6"/>
      <c r="V236" s="1766"/>
      <c r="W236" s="1766"/>
      <c r="X236" s="1766"/>
      <c r="Y236" s="1766"/>
      <c r="Z236" s="1767"/>
      <c r="AA236" s="1767"/>
      <c r="AB236" s="1766"/>
      <c r="AC236" s="1766"/>
      <c r="AD236" s="1766"/>
      <c r="AE236" s="1768"/>
      <c r="AF236" s="1799"/>
      <c r="AG236" s="1770"/>
      <c r="AH236" s="1771"/>
      <c r="AI236" s="1426"/>
      <c r="AJ236" s="1427"/>
      <c r="AK236" s="1426"/>
      <c r="AL236" s="1426"/>
      <c r="AM236" s="1426"/>
      <c r="AN236" s="1426"/>
      <c r="AO236" s="1426"/>
      <c r="AP236" s="1426"/>
      <c r="AQ236" s="1426"/>
      <c r="AR236" s="1426"/>
      <c r="AS236" s="1426"/>
      <c r="AT236" s="1426"/>
      <c r="AU236" s="1426"/>
      <c r="AV236" s="1426"/>
      <c r="AW236" s="1426"/>
      <c r="AX236" s="1426"/>
      <c r="AY236" s="1426"/>
      <c r="AZ236" s="1426"/>
      <c r="BA236" s="1426"/>
      <c r="BB236" s="1426"/>
      <c r="BC236" s="1426"/>
      <c r="BD236" s="1426"/>
      <c r="BE236" s="1426"/>
    </row>
    <row r="237" spans="1:57" s="5" customFormat="1">
      <c r="A237" s="1"/>
      <c r="B237" s="6"/>
      <c r="C237" s="4"/>
      <c r="D237" s="3"/>
      <c r="E237" s="4"/>
      <c r="F237" s="4"/>
      <c r="G237" s="1"/>
      <c r="H237" s="6"/>
      <c r="I237" s="6"/>
      <c r="J237" s="11"/>
      <c r="K237" s="510"/>
      <c r="L237" s="11"/>
      <c r="O237" s="2410"/>
      <c r="P237" s="2411"/>
      <c r="S237" s="1"/>
      <c r="T237" s="1"/>
      <c r="U237" s="6"/>
      <c r="V237" s="1766"/>
      <c r="W237" s="1766"/>
      <c r="X237" s="1766"/>
      <c r="Y237" s="1766"/>
      <c r="Z237" s="1767"/>
      <c r="AA237" s="1767"/>
      <c r="AB237" s="1766"/>
      <c r="AC237" s="1766"/>
      <c r="AD237" s="1766"/>
      <c r="AE237" s="1768"/>
      <c r="AF237" s="1799"/>
      <c r="AG237" s="1770"/>
      <c r="AH237" s="1771"/>
      <c r="AI237" s="1426"/>
      <c r="AJ237" s="1427"/>
      <c r="AK237" s="1426"/>
      <c r="AL237" s="1426"/>
      <c r="AM237" s="1426"/>
      <c r="AN237" s="1426"/>
      <c r="AO237" s="1426"/>
      <c r="AP237" s="1426"/>
      <c r="AQ237" s="1426"/>
      <c r="AR237" s="1426"/>
      <c r="AS237" s="1426"/>
      <c r="AT237" s="1426"/>
      <c r="AU237" s="1426"/>
      <c r="AV237" s="1426"/>
      <c r="AW237" s="1426"/>
      <c r="AX237" s="1426"/>
      <c r="AY237" s="1426"/>
      <c r="AZ237" s="1426"/>
      <c r="BA237" s="1426"/>
      <c r="BB237" s="1426"/>
      <c r="BC237" s="1426"/>
      <c r="BD237" s="1426"/>
      <c r="BE237" s="1426"/>
    </row>
    <row r="238" spans="1:57" s="5" customFormat="1">
      <c r="A238" s="1"/>
      <c r="B238" s="6"/>
      <c r="C238" s="4"/>
      <c r="D238" s="3"/>
      <c r="E238" s="4"/>
      <c r="F238" s="4"/>
      <c r="G238" s="1"/>
      <c r="H238" s="6"/>
      <c r="I238" s="6"/>
      <c r="J238" s="11"/>
      <c r="K238" s="510"/>
      <c r="L238" s="11"/>
      <c r="O238" s="2410"/>
      <c r="P238" s="2411"/>
      <c r="S238" s="1"/>
      <c r="T238" s="1"/>
      <c r="U238" s="6"/>
      <c r="V238" s="1766"/>
      <c r="W238" s="1766"/>
      <c r="X238" s="1766"/>
      <c r="Y238" s="1766"/>
      <c r="Z238" s="1767"/>
      <c r="AA238" s="1767"/>
      <c r="AB238" s="1766"/>
      <c r="AC238" s="1766"/>
      <c r="AD238" s="1766"/>
      <c r="AE238" s="1768"/>
      <c r="AF238" s="1799"/>
      <c r="AG238" s="1770"/>
      <c r="AH238" s="1771"/>
      <c r="AI238" s="1426"/>
      <c r="AJ238" s="1427"/>
      <c r="AK238" s="1426"/>
      <c r="AL238" s="1426"/>
      <c r="AM238" s="1426"/>
      <c r="AN238" s="1426"/>
      <c r="AO238" s="1426"/>
      <c r="AP238" s="1426"/>
      <c r="AQ238" s="1426"/>
      <c r="AR238" s="1426"/>
      <c r="AS238" s="1426"/>
      <c r="AT238" s="1426"/>
      <c r="AU238" s="1426"/>
      <c r="AV238" s="1426"/>
      <c r="AW238" s="1426"/>
      <c r="AX238" s="1426"/>
      <c r="AY238" s="1426"/>
      <c r="AZ238" s="1426"/>
      <c r="BA238" s="1426"/>
      <c r="BB238" s="1426"/>
      <c r="BC238" s="1426"/>
      <c r="BD238" s="1426"/>
      <c r="BE238" s="1426"/>
    </row>
    <row r="239" spans="1:57" s="5" customFormat="1">
      <c r="A239" s="1"/>
      <c r="B239" s="6"/>
      <c r="C239" s="4"/>
      <c r="D239" s="3"/>
      <c r="E239" s="4"/>
      <c r="F239" s="4"/>
      <c r="G239" s="1"/>
      <c r="H239" s="6"/>
      <c r="I239" s="6"/>
      <c r="J239" s="11"/>
      <c r="K239" s="510"/>
      <c r="L239" s="11"/>
      <c r="O239" s="2410"/>
      <c r="P239" s="2411"/>
      <c r="S239" s="1"/>
      <c r="T239" s="1"/>
      <c r="U239" s="6"/>
      <c r="V239" s="1766"/>
      <c r="W239" s="1766"/>
      <c r="X239" s="1766"/>
      <c r="Y239" s="1766"/>
      <c r="Z239" s="1767"/>
      <c r="AA239" s="1767"/>
      <c r="AB239" s="1766"/>
      <c r="AC239" s="1766"/>
      <c r="AD239" s="1766"/>
      <c r="AE239" s="1768"/>
      <c r="AF239" s="1799"/>
      <c r="AG239" s="1770"/>
      <c r="AH239" s="1771"/>
      <c r="AI239" s="1426"/>
      <c r="AJ239" s="1427"/>
      <c r="AK239" s="1426"/>
      <c r="AL239" s="1426"/>
      <c r="AM239" s="1426"/>
      <c r="AN239" s="1426"/>
      <c r="AO239" s="1426"/>
      <c r="AP239" s="1426"/>
      <c r="AQ239" s="1426"/>
      <c r="AR239" s="1426"/>
      <c r="AS239" s="1426"/>
      <c r="AT239" s="1426"/>
      <c r="AU239" s="1426"/>
      <c r="AV239" s="1426"/>
      <c r="AW239" s="1426"/>
      <c r="AX239" s="1426"/>
      <c r="AY239" s="1426"/>
      <c r="AZ239" s="1426"/>
      <c r="BA239" s="1426"/>
      <c r="BB239" s="1426"/>
      <c r="BC239" s="1426"/>
      <c r="BD239" s="1426"/>
      <c r="BE239" s="1426"/>
    </row>
    <row r="240" spans="1:57" s="5" customFormat="1">
      <c r="A240" s="1"/>
      <c r="B240" s="6"/>
      <c r="C240" s="4"/>
      <c r="D240" s="3"/>
      <c r="E240" s="4"/>
      <c r="F240" s="4"/>
      <c r="G240" s="1"/>
      <c r="H240" s="6"/>
      <c r="I240" s="6"/>
      <c r="J240" s="11"/>
      <c r="K240" s="510"/>
      <c r="L240" s="11"/>
      <c r="O240" s="2410"/>
      <c r="P240" s="2411"/>
      <c r="S240" s="1"/>
      <c r="T240" s="1"/>
      <c r="U240" s="6"/>
      <c r="V240" s="1766"/>
      <c r="W240" s="1766"/>
      <c r="X240" s="1766"/>
      <c r="Y240" s="1766"/>
      <c r="Z240" s="1767"/>
      <c r="AA240" s="1767"/>
      <c r="AB240" s="1766"/>
      <c r="AC240" s="1766"/>
      <c r="AD240" s="1766"/>
      <c r="AE240" s="1768"/>
      <c r="AF240" s="1799"/>
      <c r="AG240" s="1770"/>
      <c r="AH240" s="1771"/>
      <c r="AI240" s="1426"/>
      <c r="AJ240" s="1427"/>
      <c r="AK240" s="1426"/>
      <c r="AL240" s="1426"/>
      <c r="AM240" s="1426"/>
      <c r="AN240" s="1426"/>
      <c r="AO240" s="1426"/>
      <c r="AP240" s="1426"/>
      <c r="AQ240" s="1426"/>
      <c r="AR240" s="1426"/>
      <c r="AS240" s="1426"/>
      <c r="AT240" s="1426"/>
      <c r="AU240" s="1426"/>
      <c r="AV240" s="1426"/>
      <c r="AW240" s="1426"/>
      <c r="AX240" s="1426"/>
      <c r="AY240" s="1426"/>
      <c r="AZ240" s="1426"/>
      <c r="BA240" s="1426"/>
      <c r="BB240" s="1426"/>
      <c r="BC240" s="1426"/>
      <c r="BD240" s="1426"/>
      <c r="BE240" s="1426"/>
    </row>
    <row r="241" spans="1:57" s="5" customFormat="1">
      <c r="A241" s="1"/>
      <c r="B241" s="6"/>
      <c r="C241" s="4"/>
      <c r="D241" s="3"/>
      <c r="E241" s="4"/>
      <c r="F241" s="4"/>
      <c r="G241" s="1"/>
      <c r="H241" s="6"/>
      <c r="I241" s="6"/>
      <c r="J241" s="11"/>
      <c r="K241" s="510"/>
      <c r="L241" s="11"/>
      <c r="O241" s="2410"/>
      <c r="P241" s="2411"/>
      <c r="S241" s="1"/>
      <c r="T241" s="1"/>
      <c r="U241" s="6"/>
      <c r="V241" s="1766"/>
      <c r="W241" s="1766"/>
      <c r="X241" s="1766"/>
      <c r="Y241" s="1766"/>
      <c r="Z241" s="1767"/>
      <c r="AA241" s="1767"/>
      <c r="AB241" s="1766"/>
      <c r="AC241" s="1766"/>
      <c r="AD241" s="1766"/>
      <c r="AE241" s="1768"/>
      <c r="AF241" s="1799"/>
      <c r="AG241" s="1770"/>
      <c r="AH241" s="1771"/>
      <c r="AI241" s="1426"/>
      <c r="AJ241" s="1427"/>
      <c r="AK241" s="1426"/>
      <c r="AL241" s="1426"/>
      <c r="AM241" s="1426"/>
      <c r="AN241" s="1426"/>
      <c r="AO241" s="1426"/>
      <c r="AP241" s="1426"/>
      <c r="AQ241" s="1426"/>
      <c r="AR241" s="1426"/>
      <c r="AS241" s="1426"/>
      <c r="AT241" s="1426"/>
      <c r="AU241" s="1426"/>
      <c r="AV241" s="1426"/>
      <c r="AW241" s="1426"/>
      <c r="AX241" s="1426"/>
      <c r="AY241" s="1426"/>
      <c r="AZ241" s="1426"/>
      <c r="BA241" s="1426"/>
      <c r="BB241" s="1426"/>
      <c r="BC241" s="1426"/>
      <c r="BD241" s="1426"/>
      <c r="BE241" s="1426"/>
    </row>
    <row r="242" spans="1:57" s="5" customFormat="1">
      <c r="A242" s="1"/>
      <c r="B242" s="6"/>
      <c r="C242" s="4"/>
      <c r="D242" s="3"/>
      <c r="E242" s="4"/>
      <c r="F242" s="4"/>
      <c r="G242" s="1"/>
      <c r="H242" s="6"/>
      <c r="I242" s="6"/>
      <c r="J242" s="11"/>
      <c r="K242" s="510"/>
      <c r="L242" s="11"/>
      <c r="O242" s="2410"/>
      <c r="P242" s="2411"/>
      <c r="S242" s="1"/>
      <c r="T242" s="1"/>
      <c r="U242" s="6"/>
      <c r="V242" s="1766"/>
      <c r="W242" s="1766"/>
      <c r="X242" s="1766"/>
      <c r="Y242" s="1766"/>
      <c r="Z242" s="1767"/>
      <c r="AA242" s="1767"/>
      <c r="AB242" s="1766"/>
      <c r="AC242" s="1766"/>
      <c r="AD242" s="1766"/>
      <c r="AE242" s="1768"/>
      <c r="AF242" s="1799"/>
      <c r="AG242" s="1770"/>
      <c r="AH242" s="1771"/>
      <c r="AI242" s="1426"/>
      <c r="AJ242" s="1427"/>
      <c r="AK242" s="1426"/>
      <c r="AL242" s="1426"/>
      <c r="AM242" s="1426"/>
      <c r="AN242" s="1426"/>
      <c r="AO242" s="1426"/>
      <c r="AP242" s="1426"/>
      <c r="AQ242" s="1426"/>
      <c r="AR242" s="1426"/>
      <c r="AS242" s="1426"/>
      <c r="AT242" s="1426"/>
      <c r="AU242" s="1426"/>
      <c r="AV242" s="1426"/>
      <c r="AW242" s="1426"/>
      <c r="AX242" s="1426"/>
      <c r="AY242" s="1426"/>
      <c r="AZ242" s="1426"/>
      <c r="BA242" s="1426"/>
      <c r="BB242" s="1426"/>
      <c r="BC242" s="1426"/>
      <c r="BD242" s="1426"/>
      <c r="BE242" s="1426"/>
    </row>
    <row r="243" spans="1:57" s="5" customFormat="1">
      <c r="A243" s="1"/>
      <c r="B243" s="6"/>
      <c r="C243" s="4"/>
      <c r="D243" s="3"/>
      <c r="E243" s="4"/>
      <c r="F243" s="4"/>
      <c r="G243" s="1"/>
      <c r="H243" s="6"/>
      <c r="I243" s="6"/>
      <c r="J243" s="11"/>
      <c r="K243" s="510"/>
      <c r="L243" s="11"/>
      <c r="O243" s="2410"/>
      <c r="P243" s="2411"/>
      <c r="S243" s="1"/>
      <c r="T243" s="1"/>
      <c r="U243" s="6"/>
      <c r="V243" s="1766"/>
      <c r="W243" s="1766"/>
      <c r="X243" s="1766"/>
      <c r="Y243" s="1766"/>
      <c r="Z243" s="1767"/>
      <c r="AA243" s="1767"/>
      <c r="AB243" s="1766"/>
      <c r="AC243" s="1766"/>
      <c r="AD243" s="1766"/>
      <c r="AE243" s="1768"/>
      <c r="AF243" s="1799"/>
      <c r="AG243" s="1770"/>
      <c r="AH243" s="1771"/>
      <c r="AI243" s="1426"/>
      <c r="AJ243" s="1427"/>
      <c r="AK243" s="1426"/>
      <c r="AL243" s="1426"/>
      <c r="AM243" s="1426"/>
      <c r="AN243" s="1426"/>
      <c r="AO243" s="1426"/>
      <c r="AP243" s="1426"/>
      <c r="AQ243" s="1426"/>
      <c r="AR243" s="1426"/>
      <c r="AS243" s="1426"/>
      <c r="AT243" s="1426"/>
      <c r="AU243" s="1426"/>
      <c r="AV243" s="1426"/>
      <c r="AW243" s="1426"/>
      <c r="AX243" s="1426"/>
      <c r="AY243" s="1426"/>
      <c r="AZ243" s="1426"/>
      <c r="BA243" s="1426"/>
      <c r="BB243" s="1426"/>
      <c r="BC243" s="1426"/>
      <c r="BD243" s="1426"/>
      <c r="BE243" s="1426"/>
    </row>
    <row r="244" spans="1:57" s="5" customFormat="1">
      <c r="A244" s="1"/>
      <c r="B244" s="6"/>
      <c r="C244" s="4"/>
      <c r="D244" s="3"/>
      <c r="E244" s="4"/>
      <c r="F244" s="4"/>
      <c r="G244" s="1"/>
      <c r="H244" s="6"/>
      <c r="I244" s="6"/>
      <c r="J244" s="11"/>
      <c r="K244" s="510"/>
      <c r="L244" s="11"/>
      <c r="O244" s="2410"/>
      <c r="P244" s="2411"/>
      <c r="S244" s="1"/>
      <c r="T244" s="1"/>
      <c r="U244" s="6"/>
      <c r="V244" s="1766"/>
      <c r="W244" s="1766"/>
      <c r="X244" s="1766"/>
      <c r="Y244" s="1766"/>
      <c r="Z244" s="1767"/>
      <c r="AA244" s="1767"/>
      <c r="AB244" s="1766"/>
      <c r="AC244" s="1766"/>
      <c r="AD244" s="1766"/>
      <c r="AE244" s="1768"/>
      <c r="AF244" s="1799"/>
      <c r="AG244" s="1770"/>
      <c r="AH244" s="1771"/>
      <c r="AI244" s="1426"/>
      <c r="AJ244" s="1427"/>
      <c r="AK244" s="1426"/>
      <c r="AL244" s="1426"/>
      <c r="AM244" s="1426"/>
      <c r="AN244" s="1426"/>
      <c r="AO244" s="1426"/>
      <c r="AP244" s="1426"/>
      <c r="AQ244" s="1426"/>
      <c r="AR244" s="1426"/>
      <c r="AS244" s="1426"/>
      <c r="AT244" s="1426"/>
      <c r="AU244" s="1426"/>
      <c r="AV244" s="1426"/>
      <c r="AW244" s="1426"/>
      <c r="AX244" s="1426"/>
      <c r="AY244" s="1426"/>
      <c r="AZ244" s="1426"/>
      <c r="BA244" s="1426"/>
      <c r="BB244" s="1426"/>
      <c r="BC244" s="1426"/>
      <c r="BD244" s="1426"/>
      <c r="BE244" s="1426"/>
    </row>
    <row r="245" spans="1:57" s="5" customFormat="1">
      <c r="A245" s="1"/>
      <c r="B245" s="6"/>
      <c r="C245" s="4"/>
      <c r="D245" s="3"/>
      <c r="E245" s="4"/>
      <c r="F245" s="4"/>
      <c r="G245" s="1"/>
      <c r="H245" s="6"/>
      <c r="I245" s="6"/>
      <c r="J245" s="11"/>
      <c r="K245" s="510"/>
      <c r="L245" s="11"/>
      <c r="O245" s="2410"/>
      <c r="P245" s="2411"/>
      <c r="S245" s="1"/>
      <c r="T245" s="1"/>
      <c r="U245" s="6"/>
      <c r="V245" s="1766"/>
      <c r="W245" s="1766"/>
      <c r="X245" s="1766"/>
      <c r="Y245" s="1766"/>
      <c r="Z245" s="1767"/>
      <c r="AA245" s="1767"/>
      <c r="AB245" s="1766"/>
      <c r="AC245" s="1766"/>
      <c r="AD245" s="1766"/>
      <c r="AE245" s="1768"/>
      <c r="AF245" s="1799"/>
      <c r="AG245" s="1770"/>
      <c r="AH245" s="1771"/>
      <c r="AI245" s="1426"/>
      <c r="AJ245" s="1427"/>
      <c r="AK245" s="1426"/>
      <c r="AL245" s="1426"/>
      <c r="AM245" s="1426"/>
      <c r="AN245" s="1426"/>
      <c r="AO245" s="1426"/>
      <c r="AP245" s="1426"/>
      <c r="AQ245" s="1426"/>
      <c r="AR245" s="1426"/>
      <c r="AS245" s="1426"/>
      <c r="AT245" s="1426"/>
      <c r="AU245" s="1426"/>
      <c r="AV245" s="1426"/>
      <c r="AW245" s="1426"/>
      <c r="AX245" s="1426"/>
      <c r="AY245" s="1426"/>
      <c r="AZ245" s="1426"/>
      <c r="BA245" s="1426"/>
      <c r="BB245" s="1426"/>
      <c r="BC245" s="1426"/>
      <c r="BD245" s="1426"/>
      <c r="BE245" s="1426"/>
    </row>
    <row r="246" spans="1:57" s="5" customFormat="1">
      <c r="A246" s="1"/>
      <c r="B246" s="6"/>
      <c r="C246" s="4"/>
      <c r="D246" s="3"/>
      <c r="E246" s="4"/>
      <c r="F246" s="4"/>
      <c r="G246" s="1"/>
      <c r="H246" s="6"/>
      <c r="I246" s="6"/>
      <c r="J246" s="11"/>
      <c r="K246" s="510"/>
      <c r="L246" s="11"/>
      <c r="O246" s="2410"/>
      <c r="P246" s="2411"/>
      <c r="S246" s="1"/>
      <c r="T246" s="1"/>
      <c r="U246" s="6"/>
      <c r="V246" s="1766"/>
      <c r="W246" s="1766"/>
      <c r="X246" s="1766"/>
      <c r="Y246" s="1766"/>
      <c r="Z246" s="1767"/>
      <c r="AA246" s="1767"/>
      <c r="AB246" s="1766"/>
      <c r="AC246" s="1766"/>
      <c r="AD246" s="1766"/>
      <c r="AE246" s="1768"/>
      <c r="AF246" s="1799"/>
      <c r="AG246" s="1770"/>
      <c r="AH246" s="1771"/>
      <c r="AI246" s="1426"/>
      <c r="AJ246" s="1427"/>
      <c r="AK246" s="1426"/>
      <c r="AL246" s="1426"/>
      <c r="AM246" s="1426"/>
      <c r="AN246" s="1426"/>
      <c r="AO246" s="1426"/>
      <c r="AP246" s="1426"/>
      <c r="AQ246" s="1426"/>
      <c r="AR246" s="1426"/>
      <c r="AS246" s="1426"/>
      <c r="AT246" s="1426"/>
      <c r="AU246" s="1426"/>
      <c r="AV246" s="1426"/>
      <c r="AW246" s="1426"/>
      <c r="AX246" s="1426"/>
      <c r="AY246" s="1426"/>
      <c r="AZ246" s="1426"/>
      <c r="BA246" s="1426"/>
      <c r="BB246" s="1426"/>
      <c r="BC246" s="1426"/>
      <c r="BD246" s="1426"/>
      <c r="BE246" s="1426"/>
    </row>
    <row r="247" spans="1:57" s="5" customFormat="1">
      <c r="A247" s="1"/>
      <c r="B247" s="6"/>
      <c r="C247" s="4"/>
      <c r="D247" s="3"/>
      <c r="E247" s="4"/>
      <c r="F247" s="4"/>
      <c r="G247" s="1"/>
      <c r="H247" s="6"/>
      <c r="I247" s="6"/>
      <c r="J247" s="11"/>
      <c r="K247" s="510"/>
      <c r="L247" s="11"/>
      <c r="O247" s="2410"/>
      <c r="P247" s="2411"/>
      <c r="S247" s="1"/>
      <c r="T247" s="1"/>
      <c r="U247" s="6"/>
      <c r="V247" s="1766"/>
      <c r="W247" s="1766"/>
      <c r="X247" s="1766"/>
      <c r="Y247" s="1766"/>
      <c r="Z247" s="1767"/>
      <c r="AA247" s="1767"/>
      <c r="AB247" s="1766"/>
      <c r="AC247" s="1766"/>
      <c r="AD247" s="1766"/>
      <c r="AE247" s="1768"/>
      <c r="AF247" s="1799"/>
      <c r="AG247" s="1770"/>
      <c r="AH247" s="1771"/>
      <c r="AI247" s="1426"/>
      <c r="AJ247" s="1427"/>
      <c r="AK247" s="1426"/>
      <c r="AL247" s="1426"/>
      <c r="AM247" s="1426"/>
      <c r="AN247" s="1426"/>
      <c r="AO247" s="1426"/>
      <c r="AP247" s="1426"/>
      <c r="AQ247" s="1426"/>
      <c r="AR247" s="1426"/>
      <c r="AS247" s="1426"/>
      <c r="AT247" s="1426"/>
      <c r="AU247" s="1426"/>
      <c r="AV247" s="1426"/>
      <c r="AW247" s="1426"/>
      <c r="AX247" s="1426"/>
      <c r="AY247" s="1426"/>
      <c r="AZ247" s="1426"/>
      <c r="BA247" s="1426"/>
      <c r="BB247" s="1426"/>
      <c r="BC247" s="1426"/>
      <c r="BD247" s="1426"/>
      <c r="BE247" s="1426"/>
    </row>
    <row r="248" spans="1:57" s="5" customFormat="1">
      <c r="A248" s="1"/>
      <c r="B248" s="6"/>
      <c r="C248" s="4"/>
      <c r="D248" s="3"/>
      <c r="E248" s="4"/>
      <c r="F248" s="4"/>
      <c r="G248" s="1"/>
      <c r="H248" s="6"/>
      <c r="I248" s="6"/>
      <c r="J248" s="11"/>
      <c r="K248" s="510"/>
      <c r="L248" s="11"/>
      <c r="O248" s="2410"/>
      <c r="P248" s="2411"/>
      <c r="S248" s="1"/>
      <c r="T248" s="1"/>
      <c r="U248" s="6"/>
      <c r="V248" s="1766"/>
      <c r="W248" s="1766"/>
      <c r="X248" s="1766"/>
      <c r="Y248" s="1766"/>
      <c r="Z248" s="1767"/>
      <c r="AA248" s="1767"/>
      <c r="AB248" s="1766"/>
      <c r="AC248" s="1766"/>
      <c r="AD248" s="1766"/>
      <c r="AE248" s="1768"/>
      <c r="AF248" s="1799"/>
      <c r="AG248" s="1770"/>
      <c r="AH248" s="1771"/>
      <c r="AI248" s="1426"/>
      <c r="AJ248" s="1427"/>
      <c r="AK248" s="1426"/>
      <c r="AL248" s="1426"/>
      <c r="AM248" s="1426"/>
      <c r="AN248" s="1426"/>
      <c r="AO248" s="1426"/>
      <c r="AP248" s="1426"/>
      <c r="AQ248" s="1426"/>
      <c r="AR248" s="1426"/>
      <c r="AS248" s="1426"/>
      <c r="AT248" s="1426"/>
      <c r="AU248" s="1426"/>
      <c r="AV248" s="1426"/>
      <c r="AW248" s="1426"/>
      <c r="AX248" s="1426"/>
      <c r="AY248" s="1426"/>
      <c r="AZ248" s="1426"/>
      <c r="BA248" s="1426"/>
      <c r="BB248" s="1426"/>
      <c r="BC248" s="1426"/>
      <c r="BD248" s="1426"/>
      <c r="BE248" s="1426"/>
    </row>
    <row r="249" spans="1:57" s="5" customFormat="1">
      <c r="A249" s="1"/>
      <c r="B249" s="6"/>
      <c r="C249" s="4"/>
      <c r="D249" s="3"/>
      <c r="E249" s="4"/>
      <c r="F249" s="4"/>
      <c r="G249" s="1"/>
      <c r="H249" s="6"/>
      <c r="I249" s="6"/>
      <c r="J249" s="11"/>
      <c r="K249" s="510"/>
      <c r="L249" s="11"/>
      <c r="O249" s="2410"/>
      <c r="P249" s="2411"/>
      <c r="S249" s="1"/>
      <c r="T249" s="1"/>
      <c r="U249" s="6"/>
      <c r="V249" s="1766"/>
      <c r="W249" s="1766"/>
      <c r="X249" s="1766"/>
      <c r="Y249" s="1766"/>
      <c r="Z249" s="1767"/>
      <c r="AA249" s="1767"/>
      <c r="AB249" s="1766"/>
      <c r="AC249" s="1766"/>
      <c r="AD249" s="1766"/>
      <c r="AE249" s="1768"/>
      <c r="AF249" s="1799"/>
      <c r="AG249" s="1770"/>
      <c r="AH249" s="1771"/>
      <c r="AI249" s="1426"/>
      <c r="AJ249" s="1427"/>
      <c r="AK249" s="1426"/>
      <c r="AL249" s="1426"/>
      <c r="AM249" s="1426"/>
      <c r="AN249" s="1426"/>
      <c r="AO249" s="1426"/>
      <c r="AP249" s="1426"/>
      <c r="AQ249" s="1426"/>
      <c r="AR249" s="1426"/>
      <c r="AS249" s="1426"/>
      <c r="AT249" s="1426"/>
      <c r="AU249" s="1426"/>
      <c r="AV249" s="1426"/>
      <c r="AW249" s="1426"/>
      <c r="AX249" s="1426"/>
      <c r="AY249" s="1426"/>
      <c r="AZ249" s="1426"/>
      <c r="BA249" s="1426"/>
      <c r="BB249" s="1426"/>
      <c r="BC249" s="1426"/>
      <c r="BD249" s="1426"/>
      <c r="BE249" s="1426"/>
    </row>
    <row r="250" spans="1:57" s="5" customFormat="1">
      <c r="A250" s="1"/>
      <c r="B250" s="6"/>
      <c r="C250" s="4"/>
      <c r="D250" s="3"/>
      <c r="E250" s="4"/>
      <c r="F250" s="4"/>
      <c r="G250" s="1"/>
      <c r="H250" s="6"/>
      <c r="I250" s="6"/>
      <c r="J250" s="11"/>
      <c r="K250" s="510"/>
      <c r="L250" s="11"/>
      <c r="O250" s="2410"/>
      <c r="P250" s="2411"/>
      <c r="S250" s="1"/>
      <c r="T250" s="1"/>
      <c r="U250" s="6"/>
      <c r="V250" s="1766"/>
      <c r="W250" s="1766"/>
      <c r="X250" s="1766"/>
      <c r="Y250" s="1766"/>
      <c r="Z250" s="1767"/>
      <c r="AA250" s="1767"/>
      <c r="AB250" s="1766"/>
      <c r="AC250" s="1766"/>
      <c r="AD250" s="1766"/>
      <c r="AE250" s="1768"/>
      <c r="AF250" s="1799"/>
      <c r="AG250" s="1770"/>
      <c r="AH250" s="1771"/>
      <c r="AI250" s="1426"/>
      <c r="AJ250" s="1427"/>
      <c r="AK250" s="1426"/>
      <c r="AL250" s="1426"/>
      <c r="AM250" s="1426"/>
      <c r="AN250" s="1426"/>
      <c r="AO250" s="1426"/>
      <c r="AP250" s="1426"/>
      <c r="AQ250" s="1426"/>
      <c r="AR250" s="1426"/>
      <c r="AS250" s="1426"/>
      <c r="AT250" s="1426"/>
      <c r="AU250" s="1426"/>
      <c r="AV250" s="1426"/>
      <c r="AW250" s="1426"/>
      <c r="AX250" s="1426"/>
      <c r="AY250" s="1426"/>
      <c r="AZ250" s="1426"/>
      <c r="BA250" s="1426"/>
      <c r="BB250" s="1426"/>
      <c r="BC250" s="1426"/>
      <c r="BD250" s="1426"/>
      <c r="BE250" s="1426"/>
    </row>
    <row r="251" spans="1:57" s="5" customFormat="1">
      <c r="A251" s="1"/>
      <c r="B251" s="6"/>
      <c r="C251" s="4"/>
      <c r="D251" s="3"/>
      <c r="E251" s="4"/>
      <c r="F251" s="4"/>
      <c r="G251" s="1"/>
      <c r="H251" s="6"/>
      <c r="I251" s="6"/>
      <c r="J251" s="11"/>
      <c r="K251" s="510"/>
      <c r="L251" s="11"/>
      <c r="O251" s="2410"/>
      <c r="P251" s="2411"/>
      <c r="S251" s="1"/>
      <c r="T251" s="1"/>
      <c r="U251" s="6"/>
      <c r="V251" s="1766"/>
      <c r="W251" s="1766"/>
      <c r="X251" s="1766"/>
      <c r="Y251" s="1766"/>
      <c r="Z251" s="1767"/>
      <c r="AA251" s="1767"/>
      <c r="AB251" s="1766"/>
      <c r="AC251" s="1766"/>
      <c r="AD251" s="1766"/>
      <c r="AE251" s="1768"/>
      <c r="AF251" s="1799"/>
      <c r="AG251" s="1770"/>
      <c r="AH251" s="1771"/>
      <c r="AI251" s="1426"/>
      <c r="AJ251" s="1427"/>
      <c r="AK251" s="1426"/>
      <c r="AL251" s="1426"/>
      <c r="AM251" s="1426"/>
      <c r="AN251" s="1426"/>
      <c r="AO251" s="1426"/>
      <c r="AP251" s="1426"/>
      <c r="AQ251" s="1426"/>
      <c r="AR251" s="1426"/>
      <c r="AS251" s="1426"/>
      <c r="AT251" s="1426"/>
      <c r="AU251" s="1426"/>
      <c r="AV251" s="1426"/>
      <c r="AW251" s="1426"/>
      <c r="AX251" s="1426"/>
      <c r="AY251" s="1426"/>
      <c r="AZ251" s="1426"/>
      <c r="BA251" s="1426"/>
      <c r="BB251" s="1426"/>
      <c r="BC251" s="1426"/>
      <c r="BD251" s="1426"/>
      <c r="BE251" s="1426"/>
    </row>
    <row r="252" spans="1:57" s="5" customFormat="1">
      <c r="A252" s="1"/>
      <c r="B252" s="6"/>
      <c r="C252" s="4"/>
      <c r="D252" s="3"/>
      <c r="E252" s="4"/>
      <c r="F252" s="4"/>
      <c r="G252" s="1"/>
      <c r="H252" s="6"/>
      <c r="I252" s="6"/>
      <c r="J252" s="11"/>
      <c r="K252" s="510"/>
      <c r="L252" s="11"/>
      <c r="O252" s="2410"/>
      <c r="P252" s="2411"/>
      <c r="S252" s="1"/>
      <c r="T252" s="1"/>
      <c r="U252" s="6"/>
      <c r="V252" s="1766"/>
      <c r="W252" s="1766"/>
      <c r="X252" s="1766"/>
      <c r="Y252" s="1766"/>
      <c r="Z252" s="1767"/>
      <c r="AA252" s="1767"/>
      <c r="AB252" s="1766"/>
      <c r="AC252" s="1766"/>
      <c r="AD252" s="1766"/>
      <c r="AE252" s="1768"/>
      <c r="AF252" s="1799"/>
      <c r="AG252" s="1770"/>
      <c r="AH252" s="1771"/>
      <c r="AI252" s="1426"/>
      <c r="AJ252" s="1427"/>
      <c r="AK252" s="1426"/>
      <c r="AL252" s="1426"/>
      <c r="AM252" s="1426"/>
      <c r="AN252" s="1426"/>
      <c r="AO252" s="1426"/>
      <c r="AP252" s="1426"/>
      <c r="AQ252" s="1426"/>
      <c r="AR252" s="1426"/>
      <c r="AS252" s="1426"/>
      <c r="AT252" s="1426"/>
      <c r="AU252" s="1426"/>
      <c r="AV252" s="1426"/>
      <c r="AW252" s="1426"/>
      <c r="AX252" s="1426"/>
      <c r="AY252" s="1426"/>
      <c r="AZ252" s="1426"/>
      <c r="BA252" s="1426"/>
      <c r="BB252" s="1426"/>
      <c r="BC252" s="1426"/>
      <c r="BD252" s="1426"/>
      <c r="BE252" s="1426"/>
    </row>
    <row r="253" spans="1:57" s="5" customFormat="1">
      <c r="A253" s="1"/>
      <c r="B253" s="6"/>
      <c r="C253" s="4"/>
      <c r="D253" s="3"/>
      <c r="E253" s="4"/>
      <c r="F253" s="4"/>
      <c r="G253" s="1"/>
      <c r="H253" s="6"/>
      <c r="I253" s="6"/>
      <c r="J253" s="11"/>
      <c r="K253" s="510"/>
      <c r="L253" s="11"/>
      <c r="O253" s="2410"/>
      <c r="P253" s="2411"/>
      <c r="S253" s="1"/>
      <c r="T253" s="1"/>
      <c r="U253" s="6"/>
      <c r="V253" s="1766"/>
      <c r="W253" s="1766"/>
      <c r="X253" s="1766"/>
      <c r="Y253" s="1766"/>
      <c r="Z253" s="1767"/>
      <c r="AA253" s="1767"/>
      <c r="AB253" s="1766"/>
      <c r="AC253" s="1766"/>
      <c r="AD253" s="1766"/>
      <c r="AE253" s="1768"/>
      <c r="AF253" s="1799"/>
      <c r="AG253" s="1770"/>
      <c r="AH253" s="1771"/>
      <c r="AI253" s="1426"/>
      <c r="AJ253" s="1427"/>
      <c r="AK253" s="1426"/>
      <c r="AL253" s="1426"/>
      <c r="AM253" s="1426"/>
      <c r="AN253" s="1426"/>
      <c r="AO253" s="1426"/>
      <c r="AP253" s="1426"/>
      <c r="AQ253" s="1426"/>
      <c r="AR253" s="1426"/>
      <c r="AS253" s="1426"/>
      <c r="AT253" s="1426"/>
      <c r="AU253" s="1426"/>
      <c r="AV253" s="1426"/>
      <c r="AW253" s="1426"/>
      <c r="AX253" s="1426"/>
      <c r="AY253" s="1426"/>
      <c r="AZ253" s="1426"/>
      <c r="BA253" s="1426"/>
      <c r="BB253" s="1426"/>
      <c r="BC253" s="1426"/>
      <c r="BD253" s="1426"/>
      <c r="BE253" s="1426"/>
    </row>
    <row r="254" spans="1:57" s="5" customFormat="1">
      <c r="A254" s="1"/>
      <c r="B254" s="6"/>
      <c r="C254" s="4"/>
      <c r="D254" s="3"/>
      <c r="E254" s="4"/>
      <c r="F254" s="4"/>
      <c r="G254" s="1"/>
      <c r="H254" s="6"/>
      <c r="I254" s="6"/>
      <c r="J254" s="11"/>
      <c r="K254" s="510"/>
      <c r="L254" s="11"/>
      <c r="O254" s="2410"/>
      <c r="P254" s="2411"/>
      <c r="S254" s="1"/>
      <c r="T254" s="1"/>
      <c r="U254" s="6"/>
      <c r="V254" s="1766"/>
      <c r="W254" s="1766"/>
      <c r="X254" s="1766"/>
      <c r="Y254" s="1766"/>
      <c r="Z254" s="1767"/>
      <c r="AA254" s="1767"/>
      <c r="AB254" s="1766"/>
      <c r="AC254" s="1766"/>
      <c r="AD254" s="1766"/>
      <c r="AE254" s="1768"/>
      <c r="AF254" s="1799"/>
      <c r="AG254" s="1770"/>
      <c r="AH254" s="1771"/>
      <c r="AI254" s="1426"/>
      <c r="AJ254" s="1427"/>
      <c r="AK254" s="1426"/>
      <c r="AL254" s="1426"/>
      <c r="AM254" s="1426"/>
      <c r="AN254" s="1426"/>
      <c r="AO254" s="1426"/>
      <c r="AP254" s="1426"/>
      <c r="AQ254" s="1426"/>
      <c r="AR254" s="1426"/>
      <c r="AS254" s="1426"/>
      <c r="AT254" s="1426"/>
      <c r="AU254" s="1426"/>
      <c r="AV254" s="1426"/>
      <c r="AW254" s="1426"/>
      <c r="AX254" s="1426"/>
      <c r="AY254" s="1426"/>
      <c r="AZ254" s="1426"/>
      <c r="BA254" s="1426"/>
      <c r="BB254" s="1426"/>
      <c r="BC254" s="1426"/>
      <c r="BD254" s="1426"/>
      <c r="BE254" s="1426"/>
    </row>
    <row r="255" spans="1:57" s="5" customFormat="1">
      <c r="A255" s="1"/>
      <c r="B255" s="6"/>
      <c r="C255" s="4"/>
      <c r="D255" s="3"/>
      <c r="E255" s="4"/>
      <c r="F255" s="4"/>
      <c r="G255" s="1"/>
      <c r="H255" s="6"/>
      <c r="I255" s="6"/>
      <c r="J255" s="11"/>
      <c r="K255" s="510"/>
      <c r="L255" s="11"/>
      <c r="O255" s="2410"/>
      <c r="P255" s="2411"/>
      <c r="S255" s="1"/>
      <c r="T255" s="1"/>
      <c r="U255" s="6"/>
      <c r="V255" s="1766"/>
      <c r="W255" s="1766"/>
      <c r="X255" s="1766"/>
      <c r="Y255" s="1766"/>
      <c r="Z255" s="1767"/>
      <c r="AA255" s="1767"/>
      <c r="AB255" s="1766"/>
      <c r="AC255" s="1766"/>
      <c r="AD255" s="1766"/>
      <c r="AE255" s="1768"/>
      <c r="AF255" s="1799"/>
      <c r="AG255" s="1770"/>
      <c r="AH255" s="1771"/>
      <c r="AI255" s="1426"/>
      <c r="AJ255" s="1427"/>
      <c r="AK255" s="1426"/>
      <c r="AL255" s="1426"/>
      <c r="AM255" s="1426"/>
      <c r="AN255" s="1426"/>
      <c r="AO255" s="1426"/>
      <c r="AP255" s="1426"/>
      <c r="AQ255" s="1426"/>
      <c r="AR255" s="1426"/>
      <c r="AS255" s="1426"/>
      <c r="AT255" s="1426"/>
      <c r="AU255" s="1426"/>
      <c r="AV255" s="1426"/>
      <c r="AW255" s="1426"/>
      <c r="AX255" s="1426"/>
      <c r="AY255" s="1426"/>
      <c r="AZ255" s="1426"/>
      <c r="BA255" s="1426"/>
      <c r="BB255" s="1426"/>
      <c r="BC255" s="1426"/>
      <c r="BD255" s="1426"/>
      <c r="BE255" s="1426"/>
    </row>
    <row r="256" spans="1:57" s="5" customFormat="1">
      <c r="A256" s="1"/>
      <c r="B256" s="6"/>
      <c r="C256" s="4"/>
      <c r="D256" s="3"/>
      <c r="E256" s="4"/>
      <c r="F256" s="4"/>
      <c r="G256" s="1"/>
      <c r="H256" s="6"/>
      <c r="I256" s="6"/>
      <c r="J256" s="11"/>
      <c r="K256" s="510"/>
      <c r="L256" s="11"/>
      <c r="O256" s="2410"/>
      <c r="P256" s="2411"/>
      <c r="S256" s="1"/>
      <c r="T256" s="1"/>
      <c r="U256" s="6"/>
      <c r="V256" s="1766"/>
      <c r="W256" s="1766"/>
      <c r="X256" s="1766"/>
      <c r="Y256" s="1766"/>
      <c r="Z256" s="1767"/>
      <c r="AA256" s="1767"/>
      <c r="AB256" s="1766"/>
      <c r="AC256" s="1766"/>
      <c r="AD256" s="1766"/>
      <c r="AE256" s="1768"/>
      <c r="AF256" s="1799"/>
      <c r="AG256" s="1770"/>
      <c r="AH256" s="1771"/>
      <c r="AI256" s="1426"/>
      <c r="AJ256" s="1427"/>
      <c r="AK256" s="1426"/>
      <c r="AL256" s="1426"/>
      <c r="AM256" s="1426"/>
      <c r="AN256" s="1426"/>
      <c r="AO256" s="1426"/>
      <c r="AP256" s="1426"/>
      <c r="AQ256" s="1426"/>
      <c r="AR256" s="1426"/>
      <c r="AS256" s="1426"/>
      <c r="AT256" s="1426"/>
      <c r="AU256" s="1426"/>
      <c r="AV256" s="1426"/>
      <c r="AW256" s="1426"/>
      <c r="AX256" s="1426"/>
      <c r="AY256" s="1426"/>
      <c r="AZ256" s="1426"/>
      <c r="BA256" s="1426"/>
      <c r="BB256" s="1426"/>
      <c r="BC256" s="1426"/>
      <c r="BD256" s="1426"/>
      <c r="BE256" s="1426"/>
    </row>
    <row r="257" spans="1:57" s="5" customFormat="1">
      <c r="A257" s="1"/>
      <c r="B257" s="6"/>
      <c r="C257" s="4"/>
      <c r="D257" s="3"/>
      <c r="E257" s="4"/>
      <c r="F257" s="4"/>
      <c r="G257" s="1"/>
      <c r="H257" s="6"/>
      <c r="I257" s="6"/>
      <c r="J257" s="11"/>
      <c r="K257" s="510"/>
      <c r="L257" s="11"/>
      <c r="O257" s="2410"/>
      <c r="P257" s="2411"/>
      <c r="S257" s="1"/>
      <c r="T257" s="1"/>
      <c r="U257" s="6"/>
      <c r="V257" s="1766"/>
      <c r="W257" s="1766"/>
      <c r="X257" s="1766"/>
      <c r="Y257" s="1766"/>
      <c r="Z257" s="1767"/>
      <c r="AA257" s="1767"/>
      <c r="AB257" s="1766"/>
      <c r="AC257" s="1766"/>
      <c r="AD257" s="1766"/>
      <c r="AE257" s="1768"/>
      <c r="AF257" s="1799"/>
      <c r="AG257" s="1770"/>
      <c r="AH257" s="1771"/>
      <c r="AI257" s="1426"/>
      <c r="AJ257" s="1427"/>
      <c r="AK257" s="1426"/>
      <c r="AL257" s="1426"/>
      <c r="AM257" s="1426"/>
      <c r="AN257" s="1426"/>
      <c r="AO257" s="1426"/>
      <c r="AP257" s="1426"/>
      <c r="AQ257" s="1426"/>
      <c r="AR257" s="1426"/>
      <c r="AS257" s="1426"/>
      <c r="AT257" s="1426"/>
      <c r="AU257" s="1426"/>
      <c r="AV257" s="1426"/>
      <c r="AW257" s="1426"/>
      <c r="AX257" s="1426"/>
      <c r="AY257" s="1426"/>
      <c r="AZ257" s="1426"/>
      <c r="BA257" s="1426"/>
      <c r="BB257" s="1426"/>
      <c r="BC257" s="1426"/>
      <c r="BD257" s="1426"/>
      <c r="BE257" s="1426"/>
    </row>
    <row r="258" spans="1:57" s="5" customFormat="1">
      <c r="A258" s="1"/>
      <c r="B258" s="6"/>
      <c r="C258" s="4"/>
      <c r="D258" s="3"/>
      <c r="E258" s="4"/>
      <c r="F258" s="4"/>
      <c r="G258" s="1"/>
      <c r="H258" s="6"/>
      <c r="I258" s="6"/>
      <c r="J258" s="11"/>
      <c r="K258" s="510"/>
      <c r="L258" s="11"/>
      <c r="O258" s="2410"/>
      <c r="P258" s="2411"/>
      <c r="S258" s="1"/>
      <c r="T258" s="1"/>
      <c r="U258" s="6"/>
      <c r="V258" s="1766"/>
      <c r="W258" s="1766"/>
      <c r="X258" s="1766"/>
      <c r="Y258" s="1766"/>
      <c r="Z258" s="1767"/>
      <c r="AA258" s="1767"/>
      <c r="AB258" s="1766"/>
      <c r="AC258" s="1766"/>
      <c r="AD258" s="1766"/>
      <c r="AE258" s="1768"/>
      <c r="AF258" s="1799"/>
      <c r="AG258" s="1770"/>
      <c r="AH258" s="1771"/>
      <c r="AI258" s="1426"/>
      <c r="AJ258" s="1427"/>
      <c r="AK258" s="1426"/>
      <c r="AL258" s="1426"/>
      <c r="AM258" s="1426"/>
      <c r="AN258" s="1426"/>
      <c r="AO258" s="1426"/>
      <c r="AP258" s="1426"/>
      <c r="AQ258" s="1426"/>
      <c r="AR258" s="1426"/>
      <c r="AS258" s="1426"/>
      <c r="AT258" s="1426"/>
      <c r="AU258" s="1426"/>
      <c r="AV258" s="1426"/>
      <c r="AW258" s="1426"/>
      <c r="AX258" s="1426"/>
      <c r="AY258" s="1426"/>
      <c r="AZ258" s="1426"/>
      <c r="BA258" s="1426"/>
      <c r="BB258" s="1426"/>
      <c r="BC258" s="1426"/>
      <c r="BD258" s="1426"/>
      <c r="BE258" s="1426"/>
    </row>
    <row r="259" spans="1:57" s="5" customFormat="1">
      <c r="A259" s="1"/>
      <c r="B259" s="6"/>
      <c r="C259" s="4"/>
      <c r="D259" s="3"/>
      <c r="E259" s="4"/>
      <c r="F259" s="4"/>
      <c r="G259" s="1"/>
      <c r="H259" s="6"/>
      <c r="I259" s="6"/>
      <c r="J259" s="11"/>
      <c r="K259" s="510"/>
      <c r="L259" s="11"/>
      <c r="O259" s="2410"/>
      <c r="P259" s="2411"/>
      <c r="S259" s="1"/>
      <c r="T259" s="1"/>
      <c r="U259" s="6"/>
      <c r="V259" s="1766"/>
      <c r="W259" s="1766"/>
      <c r="X259" s="1766"/>
      <c r="Y259" s="1766"/>
      <c r="Z259" s="1767"/>
      <c r="AA259" s="1767"/>
      <c r="AB259" s="1766"/>
      <c r="AC259" s="1766"/>
      <c r="AD259" s="1766"/>
      <c r="AE259" s="1768"/>
      <c r="AF259" s="1799"/>
      <c r="AG259" s="1770"/>
      <c r="AH259" s="1771"/>
      <c r="AI259" s="1426"/>
      <c r="AJ259" s="1427"/>
      <c r="AK259" s="1426"/>
      <c r="AL259" s="1426"/>
      <c r="AM259" s="1426"/>
      <c r="AN259" s="1426"/>
      <c r="AO259" s="1426"/>
      <c r="AP259" s="1426"/>
      <c r="AQ259" s="1426"/>
      <c r="AR259" s="1426"/>
      <c r="AS259" s="1426"/>
      <c r="AT259" s="1426"/>
      <c r="AU259" s="1426"/>
      <c r="AV259" s="1426"/>
      <c r="AW259" s="1426"/>
      <c r="AX259" s="1426"/>
      <c r="AY259" s="1426"/>
      <c r="AZ259" s="1426"/>
      <c r="BA259" s="1426"/>
      <c r="BB259" s="1426"/>
      <c r="BC259" s="1426"/>
      <c r="BD259" s="1426"/>
      <c r="BE259" s="1426"/>
    </row>
    <row r="260" spans="1:57" s="5" customFormat="1">
      <c r="A260" s="1"/>
      <c r="B260" s="6"/>
      <c r="C260" s="4"/>
      <c r="D260" s="3"/>
      <c r="E260" s="4"/>
      <c r="F260" s="4"/>
      <c r="G260" s="1"/>
      <c r="H260" s="6"/>
      <c r="I260" s="6"/>
      <c r="J260" s="11"/>
      <c r="K260" s="510"/>
      <c r="L260" s="11"/>
      <c r="O260" s="2410"/>
      <c r="P260" s="2411"/>
      <c r="S260" s="1"/>
      <c r="T260" s="1"/>
      <c r="U260" s="6"/>
      <c r="V260" s="1766"/>
      <c r="W260" s="1766"/>
      <c r="X260" s="1766"/>
      <c r="Y260" s="1766"/>
      <c r="Z260" s="1767"/>
      <c r="AA260" s="1767"/>
      <c r="AB260" s="1766"/>
      <c r="AC260" s="1766"/>
      <c r="AD260" s="1766"/>
      <c r="AE260" s="1768"/>
      <c r="AF260" s="1799"/>
      <c r="AG260" s="1770"/>
      <c r="AH260" s="1771"/>
      <c r="AI260" s="1426"/>
      <c r="AJ260" s="1427"/>
      <c r="AK260" s="1426"/>
      <c r="AL260" s="1426"/>
      <c r="AM260" s="1426"/>
      <c r="AN260" s="1426"/>
      <c r="AO260" s="1426"/>
      <c r="AP260" s="1426"/>
      <c r="AQ260" s="1426"/>
      <c r="AR260" s="1426"/>
      <c r="AS260" s="1426"/>
      <c r="AT260" s="1426"/>
      <c r="AU260" s="1426"/>
      <c r="AV260" s="1426"/>
      <c r="AW260" s="1426"/>
      <c r="AX260" s="1426"/>
      <c r="AY260" s="1426"/>
      <c r="AZ260" s="1426"/>
      <c r="BA260" s="1426"/>
      <c r="BB260" s="1426"/>
      <c r="BC260" s="1426"/>
      <c r="BD260" s="1426"/>
      <c r="BE260" s="1426"/>
    </row>
    <row r="261" spans="1:57" s="5" customFormat="1">
      <c r="A261" s="1"/>
      <c r="B261" s="6"/>
      <c r="C261" s="4"/>
      <c r="D261" s="3"/>
      <c r="E261" s="4"/>
      <c r="F261" s="4"/>
      <c r="G261" s="1"/>
      <c r="H261" s="6"/>
      <c r="I261" s="6"/>
      <c r="J261" s="11"/>
      <c r="K261" s="510"/>
      <c r="L261" s="11"/>
      <c r="O261" s="2410"/>
      <c r="P261" s="2411"/>
      <c r="S261" s="1"/>
      <c r="T261" s="1"/>
      <c r="U261" s="6"/>
      <c r="V261" s="1766"/>
      <c r="W261" s="1766"/>
      <c r="X261" s="1766"/>
      <c r="Y261" s="1766"/>
      <c r="Z261" s="1767"/>
      <c r="AA261" s="1767"/>
      <c r="AB261" s="1766"/>
      <c r="AC261" s="1766"/>
      <c r="AD261" s="1766"/>
      <c r="AE261" s="1768"/>
      <c r="AF261" s="1799"/>
      <c r="AG261" s="1770"/>
      <c r="AH261" s="1771"/>
      <c r="AI261" s="1426"/>
      <c r="AJ261" s="1427"/>
      <c r="AK261" s="1426"/>
      <c r="AL261" s="1426"/>
      <c r="AM261" s="1426"/>
      <c r="AN261" s="1426"/>
      <c r="AO261" s="1426"/>
      <c r="AP261" s="1426"/>
      <c r="AQ261" s="1426"/>
      <c r="AR261" s="1426"/>
      <c r="AS261" s="1426"/>
      <c r="AT261" s="1426"/>
      <c r="AU261" s="1426"/>
      <c r="AV261" s="1426"/>
      <c r="AW261" s="1426"/>
      <c r="AX261" s="1426"/>
      <c r="AY261" s="1426"/>
      <c r="AZ261" s="1426"/>
      <c r="BA261" s="1426"/>
      <c r="BB261" s="1426"/>
      <c r="BC261" s="1426"/>
      <c r="BD261" s="1426"/>
      <c r="BE261" s="1426"/>
    </row>
    <row r="262" spans="1:57" s="5" customFormat="1">
      <c r="A262" s="1"/>
      <c r="B262" s="6"/>
      <c r="C262" s="4"/>
      <c r="D262" s="3"/>
      <c r="E262" s="4"/>
      <c r="F262" s="4"/>
      <c r="G262" s="1"/>
      <c r="H262" s="6"/>
      <c r="I262" s="6"/>
      <c r="J262" s="11"/>
      <c r="K262" s="510"/>
      <c r="L262" s="11"/>
      <c r="O262" s="2410"/>
      <c r="P262" s="2411"/>
      <c r="S262" s="1"/>
      <c r="T262" s="1"/>
      <c r="U262" s="6"/>
      <c r="V262" s="1766"/>
      <c r="W262" s="1766"/>
      <c r="X262" s="1766"/>
      <c r="Y262" s="1766"/>
      <c r="Z262" s="1767"/>
      <c r="AA262" s="1767"/>
      <c r="AB262" s="1766"/>
      <c r="AC262" s="1766"/>
      <c r="AD262" s="1766"/>
      <c r="AE262" s="1768"/>
      <c r="AF262" s="1799"/>
      <c r="AG262" s="1770"/>
      <c r="AH262" s="1771"/>
      <c r="AI262" s="1426"/>
      <c r="AJ262" s="1427"/>
      <c r="AK262" s="1426"/>
      <c r="AL262" s="1426"/>
      <c r="AM262" s="1426"/>
      <c r="AN262" s="1426"/>
      <c r="AO262" s="1426"/>
      <c r="AP262" s="1426"/>
      <c r="AQ262" s="1426"/>
      <c r="AR262" s="1426"/>
      <c r="AS262" s="1426"/>
      <c r="AT262" s="1426"/>
      <c r="AU262" s="1426"/>
      <c r="AV262" s="1426"/>
      <c r="AW262" s="1426"/>
      <c r="AX262" s="1426"/>
      <c r="AY262" s="1426"/>
      <c r="AZ262" s="1426"/>
      <c r="BA262" s="1426"/>
      <c r="BB262" s="1426"/>
      <c r="BC262" s="1426"/>
      <c r="BD262" s="1426"/>
      <c r="BE262" s="1426"/>
    </row>
    <row r="263" spans="1:57" s="5" customFormat="1">
      <c r="A263" s="1"/>
      <c r="B263" s="6"/>
      <c r="C263" s="4"/>
      <c r="D263" s="3"/>
      <c r="E263" s="4"/>
      <c r="F263" s="4"/>
      <c r="G263" s="1"/>
      <c r="H263" s="6"/>
      <c r="I263" s="6"/>
      <c r="J263" s="11"/>
      <c r="K263" s="510"/>
      <c r="L263" s="11"/>
      <c r="O263" s="2410"/>
      <c r="P263" s="2411"/>
      <c r="S263" s="1"/>
      <c r="T263" s="1"/>
      <c r="U263" s="6"/>
      <c r="V263" s="1766"/>
      <c r="W263" s="1766"/>
      <c r="X263" s="1766"/>
      <c r="Y263" s="1766"/>
      <c r="Z263" s="1767"/>
      <c r="AA263" s="1767"/>
      <c r="AB263" s="1766"/>
      <c r="AC263" s="1766"/>
      <c r="AD263" s="1766"/>
      <c r="AE263" s="1768"/>
      <c r="AF263" s="1799"/>
      <c r="AG263" s="1770"/>
      <c r="AH263" s="1771"/>
      <c r="AI263" s="1426"/>
      <c r="AJ263" s="1427"/>
      <c r="AK263" s="1426"/>
      <c r="AL263" s="1426"/>
      <c r="AM263" s="1426"/>
      <c r="AN263" s="1426"/>
      <c r="AO263" s="1426"/>
      <c r="AP263" s="1426"/>
      <c r="AQ263" s="1426"/>
      <c r="AR263" s="1426"/>
      <c r="AS263" s="1426"/>
      <c r="AT263" s="1426"/>
      <c r="AU263" s="1426"/>
      <c r="AV263" s="1426"/>
      <c r="AW263" s="1426"/>
      <c r="AX263" s="1426"/>
      <c r="AY263" s="1426"/>
      <c r="AZ263" s="1426"/>
      <c r="BA263" s="1426"/>
      <c r="BB263" s="1426"/>
      <c r="BC263" s="1426"/>
      <c r="BD263" s="1426"/>
      <c r="BE263" s="1426"/>
    </row>
    <row r="264" spans="1:57" s="5" customFormat="1">
      <c r="A264" s="1"/>
      <c r="B264" s="6"/>
      <c r="C264" s="4"/>
      <c r="D264" s="3"/>
      <c r="E264" s="4"/>
      <c r="F264" s="4"/>
      <c r="G264" s="1"/>
      <c r="H264" s="6"/>
      <c r="I264" s="6"/>
      <c r="J264" s="11"/>
      <c r="K264" s="510"/>
      <c r="L264" s="11"/>
      <c r="O264" s="2410"/>
      <c r="P264" s="2411"/>
      <c r="S264" s="1"/>
      <c r="T264" s="1"/>
      <c r="U264" s="6"/>
      <c r="V264" s="1766"/>
      <c r="W264" s="1766"/>
      <c r="X264" s="1766"/>
      <c r="Y264" s="1766"/>
      <c r="Z264" s="1767"/>
      <c r="AA264" s="1767"/>
      <c r="AB264" s="1766"/>
      <c r="AC264" s="1766"/>
      <c r="AD264" s="1766"/>
      <c r="AE264" s="1768"/>
      <c r="AF264" s="1799"/>
      <c r="AG264" s="1770"/>
      <c r="AH264" s="1771"/>
      <c r="AI264" s="1426"/>
      <c r="AJ264" s="1427"/>
      <c r="AK264" s="1426"/>
      <c r="AL264" s="1426"/>
      <c r="AM264" s="1426"/>
      <c r="AN264" s="1426"/>
      <c r="AO264" s="1426"/>
      <c r="AP264" s="1426"/>
      <c r="AQ264" s="1426"/>
      <c r="AR264" s="1426"/>
      <c r="AS264" s="1426"/>
      <c r="AT264" s="1426"/>
      <c r="AU264" s="1426"/>
      <c r="AV264" s="1426"/>
      <c r="AW264" s="1426"/>
      <c r="AX264" s="1426"/>
      <c r="AY264" s="1426"/>
      <c r="AZ264" s="1426"/>
      <c r="BA264" s="1426"/>
      <c r="BB264" s="1426"/>
      <c r="BC264" s="1426"/>
      <c r="BD264" s="1426"/>
      <c r="BE264" s="1426"/>
    </row>
    <row r="265" spans="1:57" s="5" customFormat="1">
      <c r="A265" s="1"/>
      <c r="B265" s="6"/>
      <c r="C265" s="4"/>
      <c r="D265" s="3"/>
      <c r="E265" s="4"/>
      <c r="F265" s="4"/>
      <c r="G265" s="1"/>
      <c r="H265" s="6"/>
      <c r="I265" s="6"/>
      <c r="J265" s="11"/>
      <c r="K265" s="510"/>
      <c r="L265" s="11"/>
      <c r="O265" s="2410"/>
      <c r="P265" s="2411"/>
      <c r="S265" s="1"/>
      <c r="T265" s="1"/>
      <c r="U265" s="6"/>
      <c r="V265" s="1766"/>
      <c r="W265" s="1766"/>
      <c r="X265" s="1766"/>
      <c r="Y265" s="1766"/>
      <c r="Z265" s="1767"/>
      <c r="AA265" s="1767"/>
      <c r="AB265" s="1766"/>
      <c r="AC265" s="1766"/>
      <c r="AD265" s="1766"/>
      <c r="AE265" s="1768"/>
      <c r="AF265" s="1799"/>
      <c r="AG265" s="1770"/>
      <c r="AH265" s="1771"/>
      <c r="AI265" s="1426"/>
      <c r="AJ265" s="1427"/>
      <c r="AK265" s="1426"/>
      <c r="AL265" s="1426"/>
      <c r="AM265" s="1426"/>
      <c r="AN265" s="1426"/>
      <c r="AO265" s="1426"/>
      <c r="AP265" s="1426"/>
      <c r="AQ265" s="1426"/>
      <c r="AR265" s="1426"/>
      <c r="AS265" s="1426"/>
      <c r="AT265" s="1426"/>
      <c r="AU265" s="1426"/>
      <c r="AV265" s="1426"/>
      <c r="AW265" s="1426"/>
      <c r="AX265" s="1426"/>
      <c r="AY265" s="1426"/>
      <c r="AZ265" s="1426"/>
      <c r="BA265" s="1426"/>
      <c r="BB265" s="1426"/>
      <c r="BC265" s="1426"/>
      <c r="BD265" s="1426"/>
      <c r="BE265" s="1426"/>
    </row>
    <row r="266" spans="1:57" s="5" customFormat="1">
      <c r="A266" s="1"/>
      <c r="B266" s="6"/>
      <c r="C266" s="4"/>
      <c r="D266" s="3"/>
      <c r="E266" s="4"/>
      <c r="F266" s="4"/>
      <c r="G266" s="1"/>
      <c r="H266" s="6"/>
      <c r="I266" s="6"/>
      <c r="J266" s="11"/>
      <c r="K266" s="510"/>
      <c r="L266" s="11"/>
      <c r="O266" s="2410"/>
      <c r="P266" s="2411"/>
      <c r="S266" s="1"/>
      <c r="T266" s="1"/>
      <c r="U266" s="6"/>
      <c r="V266" s="1766"/>
      <c r="W266" s="1766"/>
      <c r="X266" s="1766"/>
      <c r="Y266" s="1766"/>
      <c r="Z266" s="1767"/>
      <c r="AA266" s="1767"/>
      <c r="AB266" s="1766"/>
      <c r="AC266" s="1766"/>
      <c r="AD266" s="1766"/>
      <c r="AE266" s="1768"/>
      <c r="AF266" s="1799"/>
      <c r="AG266" s="1770"/>
      <c r="AH266" s="1771"/>
      <c r="AI266" s="1426"/>
      <c r="AJ266" s="1427"/>
      <c r="AK266" s="1426"/>
      <c r="AL266" s="1426"/>
      <c r="AM266" s="1426"/>
      <c r="AN266" s="1426"/>
      <c r="AO266" s="1426"/>
      <c r="AP266" s="1426"/>
      <c r="AQ266" s="1426"/>
      <c r="AR266" s="1426"/>
      <c r="AS266" s="1426"/>
      <c r="AT266" s="1426"/>
      <c r="AU266" s="1426"/>
      <c r="AV266" s="1426"/>
      <c r="AW266" s="1426"/>
      <c r="AX266" s="1426"/>
      <c r="AY266" s="1426"/>
      <c r="AZ266" s="1426"/>
      <c r="BA266" s="1426"/>
      <c r="BB266" s="1426"/>
      <c r="BC266" s="1426"/>
      <c r="BD266" s="1426"/>
      <c r="BE266" s="1426"/>
    </row>
    <row r="267" spans="1:57" s="5" customFormat="1">
      <c r="A267" s="1"/>
      <c r="B267" s="6"/>
      <c r="C267" s="4"/>
      <c r="D267" s="3"/>
      <c r="E267" s="4"/>
      <c r="F267" s="4"/>
      <c r="G267" s="1"/>
      <c r="H267" s="6"/>
      <c r="I267" s="6"/>
      <c r="J267" s="11"/>
      <c r="K267" s="510"/>
      <c r="L267" s="11"/>
      <c r="O267" s="2410"/>
      <c r="P267" s="2411"/>
      <c r="S267" s="1"/>
      <c r="T267" s="1"/>
      <c r="U267" s="6"/>
      <c r="V267" s="1766"/>
      <c r="W267" s="1766"/>
      <c r="X267" s="1766"/>
      <c r="Y267" s="1766"/>
      <c r="Z267" s="1767"/>
      <c r="AA267" s="1767"/>
      <c r="AB267" s="1766"/>
      <c r="AC267" s="1766"/>
      <c r="AD267" s="1766"/>
      <c r="AE267" s="1768"/>
      <c r="AF267" s="1799"/>
      <c r="AG267" s="1770"/>
      <c r="AH267" s="1771"/>
      <c r="AI267" s="1426"/>
      <c r="AJ267" s="1427"/>
      <c r="AK267" s="1426"/>
      <c r="AL267" s="1426"/>
      <c r="AM267" s="1426"/>
      <c r="AN267" s="1426"/>
      <c r="AO267" s="1426"/>
      <c r="AP267" s="1426"/>
      <c r="AQ267" s="1426"/>
      <c r="AR267" s="1426"/>
      <c r="AS267" s="1426"/>
      <c r="AT267" s="1426"/>
      <c r="AU267" s="1426"/>
      <c r="AV267" s="1426"/>
      <c r="AW267" s="1426"/>
      <c r="AX267" s="1426"/>
      <c r="AY267" s="1426"/>
      <c r="AZ267" s="1426"/>
      <c r="BA267" s="1426"/>
      <c r="BB267" s="1426"/>
      <c r="BC267" s="1426"/>
      <c r="BD267" s="1426"/>
      <c r="BE267" s="1426"/>
    </row>
    <row r="268" spans="1:57" s="5" customFormat="1">
      <c r="A268" s="1"/>
      <c r="B268" s="6"/>
      <c r="C268" s="4"/>
      <c r="D268" s="3"/>
      <c r="E268" s="4"/>
      <c r="F268" s="4"/>
      <c r="G268" s="1"/>
      <c r="H268" s="6"/>
      <c r="I268" s="6"/>
      <c r="J268" s="11"/>
      <c r="K268" s="510"/>
      <c r="L268" s="11"/>
      <c r="O268" s="2410"/>
      <c r="P268" s="2411"/>
      <c r="S268" s="1"/>
      <c r="T268" s="1"/>
      <c r="U268" s="6"/>
      <c r="V268" s="1766"/>
      <c r="W268" s="1766"/>
      <c r="X268" s="1766"/>
      <c r="Y268" s="1766"/>
      <c r="Z268" s="1767"/>
      <c r="AA268" s="1767"/>
      <c r="AB268" s="1766"/>
      <c r="AC268" s="1766"/>
      <c r="AD268" s="1766"/>
      <c r="AE268" s="1768"/>
      <c r="AF268" s="1799"/>
      <c r="AG268" s="1770"/>
      <c r="AH268" s="1771"/>
      <c r="AI268" s="1426"/>
      <c r="AJ268" s="1427"/>
      <c r="AK268" s="1426"/>
      <c r="AL268" s="1426"/>
      <c r="AM268" s="1426"/>
      <c r="AN268" s="1426"/>
      <c r="AO268" s="1426"/>
      <c r="AP268" s="1426"/>
      <c r="AQ268" s="1426"/>
      <c r="AR268" s="1426"/>
      <c r="AS268" s="1426"/>
      <c r="AT268" s="1426"/>
      <c r="AU268" s="1426"/>
      <c r="AV268" s="1426"/>
      <c r="AW268" s="1426"/>
      <c r="AX268" s="1426"/>
      <c r="AY268" s="1426"/>
      <c r="AZ268" s="1426"/>
      <c r="BA268" s="1426"/>
      <c r="BB268" s="1426"/>
      <c r="BC268" s="1426"/>
      <c r="BD268" s="1426"/>
      <c r="BE268" s="1426"/>
    </row>
    <row r="269" spans="1:57" s="5" customFormat="1">
      <c r="A269" s="1"/>
      <c r="B269" s="6"/>
      <c r="C269" s="4"/>
      <c r="D269" s="3"/>
      <c r="E269" s="4"/>
      <c r="F269" s="4"/>
      <c r="G269" s="1"/>
      <c r="H269" s="6"/>
      <c r="I269" s="6"/>
      <c r="J269" s="11"/>
      <c r="K269" s="510"/>
      <c r="L269" s="11"/>
      <c r="O269" s="2410"/>
      <c r="P269" s="2411"/>
      <c r="S269" s="1"/>
      <c r="T269" s="1"/>
      <c r="U269" s="6"/>
      <c r="V269" s="1766"/>
      <c r="W269" s="1766"/>
      <c r="X269" s="1766"/>
      <c r="Y269" s="1766"/>
      <c r="Z269" s="1767"/>
      <c r="AA269" s="1767"/>
      <c r="AB269" s="1766"/>
      <c r="AC269" s="1766"/>
      <c r="AD269" s="1766"/>
      <c r="AE269" s="1768"/>
      <c r="AF269" s="1799"/>
      <c r="AG269" s="1770"/>
      <c r="AH269" s="1771"/>
      <c r="AI269" s="1426"/>
      <c r="AJ269" s="1427"/>
      <c r="AK269" s="1426"/>
      <c r="AL269" s="1426"/>
      <c r="AM269" s="1426"/>
      <c r="AN269" s="1426"/>
      <c r="AO269" s="1426"/>
      <c r="AP269" s="1426"/>
      <c r="AQ269" s="1426"/>
      <c r="AR269" s="1426"/>
      <c r="AS269" s="1426"/>
      <c r="AT269" s="1426"/>
      <c r="AU269" s="1426"/>
      <c r="AV269" s="1426"/>
      <c r="AW269" s="1426"/>
      <c r="AX269" s="1426"/>
      <c r="AY269" s="1426"/>
      <c r="AZ269" s="1426"/>
      <c r="BA269" s="1426"/>
      <c r="BB269" s="1426"/>
      <c r="BC269" s="1426"/>
      <c r="BD269" s="1426"/>
      <c r="BE269" s="1426"/>
    </row>
    <row r="270" spans="1:57" s="5" customFormat="1">
      <c r="A270" s="1"/>
      <c r="B270" s="6"/>
      <c r="C270" s="4"/>
      <c r="D270" s="3"/>
      <c r="E270" s="4"/>
      <c r="F270" s="4"/>
      <c r="G270" s="1"/>
      <c r="H270" s="6"/>
      <c r="I270" s="6"/>
      <c r="J270" s="11"/>
      <c r="K270" s="510"/>
      <c r="L270" s="11"/>
      <c r="O270" s="2410"/>
      <c r="P270" s="2411"/>
      <c r="S270" s="1"/>
      <c r="T270" s="1"/>
      <c r="U270" s="6"/>
      <c r="V270" s="1766"/>
      <c r="W270" s="1766"/>
      <c r="X270" s="1766"/>
      <c r="Y270" s="1766"/>
      <c r="Z270" s="1767"/>
      <c r="AA270" s="1767"/>
      <c r="AB270" s="1766"/>
      <c r="AC270" s="1766"/>
      <c r="AD270" s="1766"/>
      <c r="AE270" s="1768"/>
      <c r="AF270" s="1799"/>
      <c r="AG270" s="1770"/>
      <c r="AH270" s="1771"/>
      <c r="AI270" s="1426"/>
      <c r="AJ270" s="1427"/>
      <c r="AK270" s="1426"/>
      <c r="AL270" s="1426"/>
      <c r="AM270" s="1426"/>
      <c r="AN270" s="1426"/>
      <c r="AO270" s="1426"/>
      <c r="AP270" s="1426"/>
      <c r="AQ270" s="1426"/>
      <c r="AR270" s="1426"/>
      <c r="AS270" s="1426"/>
      <c r="AT270" s="1426"/>
      <c r="AU270" s="1426"/>
      <c r="AV270" s="1426"/>
      <c r="AW270" s="1426"/>
      <c r="AX270" s="1426"/>
      <c r="AY270" s="1426"/>
      <c r="AZ270" s="1426"/>
      <c r="BA270" s="1426"/>
      <c r="BB270" s="1426"/>
      <c r="BC270" s="1426"/>
      <c r="BD270" s="1426"/>
      <c r="BE270" s="1426"/>
    </row>
    <row r="271" spans="1:57" s="5" customFormat="1">
      <c r="A271" s="1"/>
      <c r="B271" s="6"/>
      <c r="C271" s="4"/>
      <c r="D271" s="3"/>
      <c r="E271" s="4"/>
      <c r="F271" s="4"/>
      <c r="G271" s="1"/>
      <c r="H271" s="6"/>
      <c r="I271" s="6"/>
      <c r="J271" s="11"/>
      <c r="K271" s="510"/>
      <c r="L271" s="11"/>
      <c r="O271" s="2410"/>
      <c r="P271" s="2411"/>
      <c r="S271" s="1"/>
      <c r="T271" s="1"/>
      <c r="U271" s="6"/>
      <c r="V271" s="1766"/>
      <c r="W271" s="1766"/>
      <c r="X271" s="1766"/>
      <c r="Y271" s="1766"/>
      <c r="Z271" s="1767"/>
      <c r="AA271" s="1767"/>
      <c r="AB271" s="1766"/>
      <c r="AC271" s="1766"/>
      <c r="AD271" s="1766"/>
      <c r="AE271" s="1768"/>
      <c r="AF271" s="1799"/>
      <c r="AG271" s="1770"/>
      <c r="AH271" s="1771"/>
      <c r="AI271" s="1426"/>
      <c r="AJ271" s="1427"/>
      <c r="AK271" s="1426"/>
      <c r="AL271" s="1426"/>
      <c r="AM271" s="1426"/>
      <c r="AN271" s="1426"/>
      <c r="AO271" s="1426"/>
      <c r="AP271" s="1426"/>
      <c r="AQ271" s="1426"/>
      <c r="AR271" s="1426"/>
      <c r="AS271" s="1426"/>
      <c r="AT271" s="1426"/>
      <c r="AU271" s="1426"/>
      <c r="AV271" s="1426"/>
      <c r="AW271" s="1426"/>
      <c r="AX271" s="1426"/>
      <c r="AY271" s="1426"/>
      <c r="AZ271" s="1426"/>
      <c r="BA271" s="1426"/>
      <c r="BB271" s="1426"/>
      <c r="BC271" s="1426"/>
      <c r="BD271" s="1426"/>
      <c r="BE271" s="1426"/>
    </row>
    <row r="272" spans="1:57" s="5" customFormat="1">
      <c r="A272" s="1"/>
      <c r="B272" s="6"/>
      <c r="C272" s="4"/>
      <c r="D272" s="3"/>
      <c r="E272" s="4"/>
      <c r="F272" s="4"/>
      <c r="G272" s="1"/>
      <c r="H272" s="6"/>
      <c r="I272" s="6"/>
      <c r="J272" s="11"/>
      <c r="K272" s="510"/>
      <c r="L272" s="11"/>
      <c r="O272" s="2410"/>
      <c r="P272" s="2411"/>
      <c r="S272" s="1"/>
      <c r="T272" s="1"/>
      <c r="U272" s="6"/>
      <c r="V272" s="1766"/>
      <c r="W272" s="1766"/>
      <c r="X272" s="1766"/>
      <c r="Y272" s="1766"/>
      <c r="Z272" s="1767"/>
      <c r="AA272" s="1767"/>
      <c r="AB272" s="1766"/>
      <c r="AC272" s="1766"/>
      <c r="AD272" s="1766"/>
      <c r="AE272" s="1768"/>
      <c r="AF272" s="1799"/>
      <c r="AG272" s="1770"/>
      <c r="AH272" s="1771"/>
      <c r="AI272" s="1426"/>
      <c r="AJ272" s="1427"/>
      <c r="AK272" s="1426"/>
      <c r="AL272" s="1426"/>
      <c r="AM272" s="1426"/>
      <c r="AN272" s="1426"/>
      <c r="AO272" s="1426"/>
      <c r="AP272" s="1426"/>
      <c r="AQ272" s="1426"/>
      <c r="AR272" s="1426"/>
      <c r="AS272" s="1426"/>
      <c r="AT272" s="1426"/>
      <c r="AU272" s="1426"/>
      <c r="AV272" s="1426"/>
      <c r="AW272" s="1426"/>
      <c r="AX272" s="1426"/>
      <c r="AY272" s="1426"/>
      <c r="AZ272" s="1426"/>
      <c r="BA272" s="1426"/>
      <c r="BB272" s="1426"/>
      <c r="BC272" s="1426"/>
      <c r="BD272" s="1426"/>
      <c r="BE272" s="1426"/>
    </row>
    <row r="273" spans="1:57" s="5" customFormat="1">
      <c r="A273" s="1"/>
      <c r="B273" s="6"/>
      <c r="C273" s="4"/>
      <c r="D273" s="3"/>
      <c r="E273" s="4"/>
      <c r="F273" s="4"/>
      <c r="G273" s="1"/>
      <c r="H273" s="6"/>
      <c r="I273" s="6"/>
      <c r="J273" s="11"/>
      <c r="K273" s="510"/>
      <c r="L273" s="11"/>
      <c r="O273" s="2410"/>
      <c r="P273" s="2411"/>
      <c r="S273" s="1"/>
      <c r="T273" s="1"/>
      <c r="U273" s="6"/>
      <c r="V273" s="1766"/>
      <c r="W273" s="1766"/>
      <c r="X273" s="1766"/>
      <c r="Y273" s="1766"/>
      <c r="Z273" s="1767"/>
      <c r="AA273" s="1767"/>
      <c r="AB273" s="1766"/>
      <c r="AC273" s="1766"/>
      <c r="AD273" s="1766"/>
      <c r="AE273" s="1768"/>
      <c r="AF273" s="1799"/>
      <c r="AG273" s="1770"/>
      <c r="AH273" s="1771"/>
      <c r="AI273" s="1426"/>
      <c r="AJ273" s="1427"/>
      <c r="AK273" s="1426"/>
      <c r="AL273" s="1426"/>
      <c r="AM273" s="1426"/>
      <c r="AN273" s="1426"/>
      <c r="AO273" s="1426"/>
      <c r="AP273" s="1426"/>
      <c r="AQ273" s="1426"/>
      <c r="AR273" s="1426"/>
      <c r="AS273" s="1426"/>
      <c r="AT273" s="1426"/>
      <c r="AU273" s="1426"/>
      <c r="AV273" s="1426"/>
      <c r="AW273" s="1426"/>
      <c r="AX273" s="1426"/>
      <c r="AY273" s="1426"/>
      <c r="AZ273" s="1426"/>
      <c r="BA273" s="1426"/>
      <c r="BB273" s="1426"/>
      <c r="BC273" s="1426"/>
      <c r="BD273" s="1426"/>
      <c r="BE273" s="1426"/>
    </row>
    <row r="274" spans="1:57" s="5" customFormat="1">
      <c r="A274" s="1"/>
      <c r="B274" s="6"/>
      <c r="C274" s="4"/>
      <c r="D274" s="3"/>
      <c r="E274" s="4"/>
      <c r="F274" s="4"/>
      <c r="G274" s="1"/>
      <c r="H274" s="6"/>
      <c r="I274" s="6"/>
      <c r="J274" s="11"/>
      <c r="K274" s="510"/>
      <c r="L274" s="11"/>
      <c r="O274" s="2410"/>
      <c r="P274" s="2411"/>
      <c r="S274" s="1"/>
      <c r="T274" s="1"/>
      <c r="U274" s="6"/>
      <c r="V274" s="1766"/>
      <c r="W274" s="1766"/>
      <c r="X274" s="1766"/>
      <c r="Y274" s="1766"/>
      <c r="Z274" s="1767"/>
      <c r="AA274" s="1767"/>
      <c r="AB274" s="1766"/>
      <c r="AC274" s="1766"/>
      <c r="AD274" s="1766"/>
      <c r="AE274" s="1768"/>
      <c r="AF274" s="1799"/>
      <c r="AG274" s="1770"/>
      <c r="AH274" s="1771"/>
      <c r="AI274" s="1426"/>
      <c r="AJ274" s="1427"/>
      <c r="AK274" s="1426"/>
      <c r="AL274" s="1426"/>
      <c r="AM274" s="1426"/>
      <c r="AN274" s="1426"/>
      <c r="AO274" s="1426"/>
      <c r="AP274" s="1426"/>
      <c r="AQ274" s="1426"/>
      <c r="AR274" s="1426"/>
      <c r="AS274" s="1426"/>
      <c r="AT274" s="1426"/>
      <c r="AU274" s="1426"/>
      <c r="AV274" s="1426"/>
      <c r="AW274" s="1426"/>
      <c r="AX274" s="1426"/>
      <c r="AY274" s="1426"/>
      <c r="AZ274" s="1426"/>
      <c r="BA274" s="1426"/>
      <c r="BB274" s="1426"/>
      <c r="BC274" s="1426"/>
      <c r="BD274" s="1426"/>
      <c r="BE274" s="1426"/>
    </row>
    <row r="275" spans="1:57" s="5" customFormat="1">
      <c r="A275" s="1"/>
      <c r="B275" s="6"/>
      <c r="C275" s="4"/>
      <c r="D275" s="3"/>
      <c r="E275" s="4"/>
      <c r="F275" s="4"/>
      <c r="G275" s="1"/>
      <c r="H275" s="6"/>
      <c r="I275" s="6"/>
      <c r="J275" s="11"/>
      <c r="K275" s="510"/>
      <c r="L275" s="11"/>
      <c r="O275" s="2410"/>
      <c r="P275" s="2411"/>
      <c r="S275" s="1"/>
      <c r="T275" s="1"/>
      <c r="U275" s="6"/>
      <c r="V275" s="1766"/>
      <c r="W275" s="1766"/>
      <c r="X275" s="1766"/>
      <c r="Y275" s="1766"/>
      <c r="Z275" s="1767"/>
      <c r="AA275" s="1767"/>
      <c r="AB275" s="1766"/>
      <c r="AC275" s="1766"/>
      <c r="AD275" s="1766"/>
      <c r="AE275" s="1768"/>
      <c r="AF275" s="1799"/>
      <c r="AG275" s="1770"/>
      <c r="AH275" s="1771"/>
      <c r="AI275" s="1426"/>
      <c r="AJ275" s="1427"/>
      <c r="AK275" s="1426"/>
      <c r="AL275" s="1426"/>
      <c r="AM275" s="1426"/>
      <c r="AN275" s="1426"/>
      <c r="AO275" s="1426"/>
      <c r="AP275" s="1426"/>
      <c r="AQ275" s="1426"/>
      <c r="AR275" s="1426"/>
      <c r="AS275" s="1426"/>
      <c r="AT275" s="1426"/>
      <c r="AU275" s="1426"/>
      <c r="AV275" s="1426"/>
      <c r="AW275" s="1426"/>
      <c r="AX275" s="1426"/>
      <c r="AY275" s="1426"/>
      <c r="AZ275" s="1426"/>
      <c r="BA275" s="1426"/>
      <c r="BB275" s="1426"/>
      <c r="BC275" s="1426"/>
      <c r="BD275" s="1426"/>
      <c r="BE275" s="1426"/>
    </row>
    <row r="276" spans="1:57" s="5" customFormat="1">
      <c r="A276" s="1"/>
      <c r="B276" s="6"/>
      <c r="C276" s="4"/>
      <c r="D276" s="3"/>
      <c r="E276" s="4"/>
      <c r="F276" s="4"/>
      <c r="G276" s="1"/>
      <c r="H276" s="6"/>
      <c r="I276" s="6"/>
      <c r="J276" s="11"/>
      <c r="K276" s="510"/>
      <c r="L276" s="11"/>
      <c r="O276" s="2410"/>
      <c r="P276" s="2411"/>
      <c r="S276" s="1"/>
      <c r="T276" s="1"/>
      <c r="U276" s="6"/>
      <c r="V276" s="1766"/>
      <c r="W276" s="1766"/>
      <c r="X276" s="1766"/>
      <c r="Y276" s="1766"/>
      <c r="Z276" s="1767"/>
      <c r="AA276" s="1767"/>
      <c r="AB276" s="1766"/>
      <c r="AC276" s="1766"/>
      <c r="AD276" s="1766"/>
      <c r="AE276" s="1768"/>
      <c r="AF276" s="1799"/>
      <c r="AG276" s="1770"/>
      <c r="AH276" s="1771"/>
      <c r="AI276" s="1426"/>
      <c r="AJ276" s="1427"/>
      <c r="AK276" s="1426"/>
      <c r="AL276" s="1426"/>
      <c r="AM276" s="1426"/>
      <c r="AN276" s="1426"/>
      <c r="AO276" s="1426"/>
      <c r="AP276" s="1426"/>
      <c r="AQ276" s="1426"/>
      <c r="AR276" s="1426"/>
      <c r="AS276" s="1426"/>
      <c r="AT276" s="1426"/>
      <c r="AU276" s="1426"/>
      <c r="AV276" s="1426"/>
      <c r="AW276" s="1426"/>
      <c r="AX276" s="1426"/>
      <c r="AY276" s="1426"/>
      <c r="AZ276" s="1426"/>
      <c r="BA276" s="1426"/>
      <c r="BB276" s="1426"/>
      <c r="BC276" s="1426"/>
      <c r="BD276" s="1426"/>
      <c r="BE276" s="1426"/>
    </row>
    <row r="277" spans="1:57" s="5" customFormat="1">
      <c r="A277" s="1"/>
      <c r="B277" s="6"/>
      <c r="C277" s="4"/>
      <c r="D277" s="3"/>
      <c r="E277" s="4"/>
      <c r="F277" s="4"/>
      <c r="G277" s="1"/>
      <c r="H277" s="6"/>
      <c r="I277" s="6"/>
      <c r="J277" s="11"/>
      <c r="K277" s="510"/>
      <c r="L277" s="11"/>
      <c r="O277" s="2410"/>
      <c r="P277" s="2411"/>
      <c r="S277" s="1"/>
      <c r="T277" s="1"/>
      <c r="U277" s="6"/>
      <c r="V277" s="1766"/>
      <c r="W277" s="1766"/>
      <c r="X277" s="1766"/>
      <c r="Y277" s="1766"/>
      <c r="Z277" s="1767"/>
      <c r="AA277" s="1767"/>
      <c r="AB277" s="1766"/>
      <c r="AC277" s="1766"/>
      <c r="AD277" s="1766"/>
      <c r="AE277" s="1768"/>
      <c r="AF277" s="1799"/>
      <c r="AG277" s="1770"/>
      <c r="AH277" s="1771"/>
      <c r="AI277" s="1426"/>
      <c r="AJ277" s="1427"/>
      <c r="AK277" s="1426"/>
      <c r="AL277" s="1426"/>
      <c r="AM277" s="1426"/>
      <c r="AN277" s="1426"/>
      <c r="AO277" s="1426"/>
      <c r="AP277" s="1426"/>
      <c r="AQ277" s="1426"/>
      <c r="AR277" s="1426"/>
      <c r="AS277" s="1426"/>
      <c r="AT277" s="1426"/>
      <c r="AU277" s="1426"/>
      <c r="AV277" s="1426"/>
      <c r="AW277" s="1426"/>
      <c r="AX277" s="1426"/>
      <c r="AY277" s="1426"/>
      <c r="AZ277" s="1426"/>
      <c r="BA277" s="1426"/>
      <c r="BB277" s="1426"/>
      <c r="BC277" s="1426"/>
      <c r="BD277" s="1426"/>
      <c r="BE277" s="1426"/>
    </row>
    <row r="278" spans="1:57" s="5" customFormat="1">
      <c r="A278" s="1"/>
      <c r="B278" s="6"/>
      <c r="C278" s="4"/>
      <c r="D278" s="3"/>
      <c r="E278" s="4"/>
      <c r="F278" s="4"/>
      <c r="G278" s="1"/>
      <c r="H278" s="6"/>
      <c r="I278" s="6"/>
      <c r="J278" s="11"/>
      <c r="K278" s="510"/>
      <c r="L278" s="11"/>
      <c r="O278" s="2410"/>
      <c r="P278" s="2411"/>
      <c r="S278" s="1"/>
      <c r="T278" s="1"/>
      <c r="U278" s="6"/>
      <c r="V278" s="1766"/>
      <c r="W278" s="1766"/>
      <c r="X278" s="1766"/>
      <c r="Y278" s="1766"/>
      <c r="Z278" s="1767"/>
      <c r="AA278" s="1767"/>
      <c r="AB278" s="1766"/>
      <c r="AC278" s="1766"/>
      <c r="AD278" s="1766"/>
      <c r="AE278" s="1768"/>
      <c r="AF278" s="1799"/>
      <c r="AG278" s="1770"/>
      <c r="AH278" s="1771"/>
      <c r="AI278" s="1426"/>
      <c r="AJ278" s="1427"/>
      <c r="AK278" s="1426"/>
      <c r="AL278" s="1426"/>
      <c r="AM278" s="1426"/>
      <c r="AN278" s="1426"/>
      <c r="AO278" s="1426"/>
      <c r="AP278" s="1426"/>
      <c r="AQ278" s="1426"/>
      <c r="AR278" s="1426"/>
      <c r="AS278" s="1426"/>
      <c r="AT278" s="1426"/>
      <c r="AU278" s="1426"/>
      <c r="AV278" s="1426"/>
      <c r="AW278" s="1426"/>
      <c r="AX278" s="1426"/>
      <c r="AY278" s="1426"/>
      <c r="AZ278" s="1426"/>
      <c r="BA278" s="1426"/>
      <c r="BB278" s="1426"/>
      <c r="BC278" s="1426"/>
      <c r="BD278" s="1426"/>
      <c r="BE278" s="1426"/>
    </row>
    <row r="279" spans="1:57" s="5" customFormat="1">
      <c r="A279" s="1"/>
      <c r="B279" s="6"/>
      <c r="C279" s="4"/>
      <c r="D279" s="3"/>
      <c r="E279" s="4"/>
      <c r="F279" s="4"/>
      <c r="G279" s="1"/>
      <c r="H279" s="6"/>
      <c r="I279" s="6"/>
      <c r="J279" s="11"/>
      <c r="K279" s="510"/>
      <c r="L279" s="11"/>
      <c r="O279" s="2410"/>
      <c r="P279" s="2411"/>
      <c r="S279" s="1"/>
      <c r="T279" s="1"/>
      <c r="U279" s="6"/>
      <c r="V279" s="1766"/>
      <c r="W279" s="1766"/>
      <c r="X279" s="1766"/>
      <c r="Y279" s="1766"/>
      <c r="Z279" s="1767"/>
      <c r="AA279" s="1767"/>
      <c r="AB279" s="1766"/>
      <c r="AC279" s="1766"/>
      <c r="AD279" s="1766"/>
      <c r="AE279" s="1768"/>
      <c r="AF279" s="1799"/>
      <c r="AG279" s="1770"/>
      <c r="AH279" s="1771"/>
      <c r="AI279" s="1426"/>
      <c r="AJ279" s="1427"/>
      <c r="AK279" s="1426"/>
      <c r="AL279" s="1426"/>
      <c r="AM279" s="1426"/>
      <c r="AN279" s="1426"/>
      <c r="AO279" s="1426"/>
      <c r="AP279" s="1426"/>
      <c r="AQ279" s="1426"/>
      <c r="AR279" s="1426"/>
      <c r="AS279" s="1426"/>
      <c r="AT279" s="1426"/>
      <c r="AU279" s="1426"/>
      <c r="AV279" s="1426"/>
      <c r="AW279" s="1426"/>
      <c r="AX279" s="1426"/>
      <c r="AY279" s="1426"/>
      <c r="AZ279" s="1426"/>
      <c r="BA279" s="1426"/>
      <c r="BB279" s="1426"/>
      <c r="BC279" s="1426"/>
      <c r="BD279" s="1426"/>
      <c r="BE279" s="1426"/>
    </row>
    <row r="280" spans="1:57" s="5" customFormat="1">
      <c r="A280" s="1"/>
      <c r="B280" s="6"/>
      <c r="C280" s="4"/>
      <c r="D280" s="3"/>
      <c r="E280" s="4"/>
      <c r="F280" s="4"/>
      <c r="G280" s="1"/>
      <c r="H280" s="6"/>
      <c r="I280" s="6"/>
      <c r="J280" s="11"/>
      <c r="K280" s="510"/>
      <c r="L280" s="11"/>
      <c r="O280" s="2410"/>
      <c r="P280" s="2411"/>
      <c r="S280" s="1"/>
      <c r="T280" s="1"/>
      <c r="U280" s="6"/>
      <c r="V280" s="1766"/>
      <c r="W280" s="1766"/>
      <c r="X280" s="1766"/>
      <c r="Y280" s="1766"/>
      <c r="Z280" s="1767"/>
      <c r="AA280" s="1767"/>
      <c r="AB280" s="1766"/>
      <c r="AC280" s="1766"/>
      <c r="AD280" s="1766"/>
      <c r="AE280" s="1768"/>
      <c r="AF280" s="1799"/>
      <c r="AG280" s="1770"/>
      <c r="AH280" s="1771"/>
      <c r="AI280" s="1426"/>
      <c r="AJ280" s="1427"/>
      <c r="AK280" s="1426"/>
      <c r="AL280" s="1426"/>
      <c r="AM280" s="1426"/>
      <c r="AN280" s="1426"/>
      <c r="AO280" s="1426"/>
      <c r="AP280" s="1426"/>
      <c r="AQ280" s="1426"/>
      <c r="AR280" s="1426"/>
      <c r="AS280" s="1426"/>
      <c r="AT280" s="1426"/>
      <c r="AU280" s="1426"/>
      <c r="AV280" s="1426"/>
      <c r="AW280" s="1426"/>
      <c r="AX280" s="1426"/>
      <c r="AY280" s="1426"/>
      <c r="AZ280" s="1426"/>
      <c r="BA280" s="1426"/>
      <c r="BB280" s="1426"/>
      <c r="BC280" s="1426"/>
      <c r="BD280" s="1426"/>
      <c r="BE280" s="1426"/>
    </row>
    <row r="281" spans="1:57" s="5" customFormat="1">
      <c r="A281" s="1"/>
      <c r="B281" s="6"/>
      <c r="C281" s="4"/>
      <c r="D281" s="3"/>
      <c r="E281" s="4"/>
      <c r="F281" s="4"/>
      <c r="G281" s="1"/>
      <c r="H281" s="6"/>
      <c r="I281" s="6"/>
      <c r="J281" s="11"/>
      <c r="K281" s="510"/>
      <c r="L281" s="11"/>
      <c r="O281" s="2410"/>
      <c r="P281" s="2411"/>
      <c r="S281" s="1"/>
      <c r="T281" s="1"/>
      <c r="U281" s="6"/>
      <c r="V281" s="1766"/>
      <c r="W281" s="1766"/>
      <c r="X281" s="1766"/>
      <c r="Y281" s="1766"/>
      <c r="Z281" s="1767"/>
      <c r="AA281" s="1767"/>
      <c r="AB281" s="1766"/>
      <c r="AC281" s="1766"/>
      <c r="AD281" s="1766"/>
      <c r="AE281" s="1768"/>
      <c r="AF281" s="1799"/>
      <c r="AG281" s="1770"/>
      <c r="AH281" s="1771"/>
      <c r="AI281" s="1426"/>
      <c r="AJ281" s="1427"/>
      <c r="AK281" s="1426"/>
      <c r="AL281" s="1426"/>
      <c r="AM281" s="1426"/>
      <c r="AN281" s="1426"/>
      <c r="AO281" s="1426"/>
      <c r="AP281" s="1426"/>
      <c r="AQ281" s="1426"/>
      <c r="AR281" s="1426"/>
      <c r="AS281" s="1426"/>
      <c r="AT281" s="1426"/>
      <c r="AU281" s="1426"/>
      <c r="AV281" s="1426"/>
      <c r="AW281" s="1426"/>
      <c r="AX281" s="1426"/>
      <c r="AY281" s="1426"/>
      <c r="AZ281" s="1426"/>
      <c r="BA281" s="1426"/>
      <c r="BB281" s="1426"/>
      <c r="BC281" s="1426"/>
      <c r="BD281" s="1426"/>
      <c r="BE281" s="1426"/>
    </row>
    <row r="282" spans="1:57" s="5" customFormat="1">
      <c r="A282" s="1"/>
      <c r="B282" s="6"/>
      <c r="C282" s="4"/>
      <c r="D282" s="3"/>
      <c r="E282" s="4"/>
      <c r="F282" s="4"/>
      <c r="G282" s="1"/>
      <c r="H282" s="6"/>
      <c r="I282" s="6"/>
      <c r="J282" s="11"/>
      <c r="K282" s="510"/>
      <c r="L282" s="11"/>
      <c r="O282" s="2410"/>
      <c r="P282" s="2411"/>
      <c r="S282" s="1"/>
      <c r="T282" s="1"/>
      <c r="U282" s="6"/>
      <c r="V282" s="1766"/>
      <c r="W282" s="1766"/>
      <c r="X282" s="1766"/>
      <c r="Y282" s="1766"/>
      <c r="Z282" s="1767"/>
      <c r="AA282" s="1767"/>
      <c r="AB282" s="1766"/>
      <c r="AC282" s="1766"/>
      <c r="AD282" s="1766"/>
      <c r="AE282" s="1768"/>
      <c r="AF282" s="1799"/>
      <c r="AG282" s="1770"/>
      <c r="AH282" s="1771"/>
      <c r="AI282" s="1426"/>
      <c r="AJ282" s="1427"/>
      <c r="AK282" s="1426"/>
      <c r="AL282" s="1426"/>
      <c r="AM282" s="1426"/>
      <c r="AN282" s="1426"/>
      <c r="AO282" s="1426"/>
      <c r="AP282" s="1426"/>
      <c r="AQ282" s="1426"/>
      <c r="AR282" s="1426"/>
      <c r="AS282" s="1426"/>
      <c r="AT282" s="1426"/>
      <c r="AU282" s="1426"/>
      <c r="AV282" s="1426"/>
      <c r="AW282" s="1426"/>
      <c r="AX282" s="1426"/>
      <c r="AY282" s="1426"/>
      <c r="AZ282" s="1426"/>
      <c r="BA282" s="1426"/>
      <c r="BB282" s="1426"/>
      <c r="BC282" s="1426"/>
      <c r="BD282" s="1426"/>
      <c r="BE282" s="1426"/>
    </row>
    <row r="283" spans="1:57" s="5" customFormat="1">
      <c r="A283" s="1"/>
      <c r="B283" s="6"/>
      <c r="C283" s="4"/>
      <c r="D283" s="3"/>
      <c r="E283" s="4"/>
      <c r="F283" s="4"/>
      <c r="G283" s="1"/>
      <c r="H283" s="6"/>
      <c r="I283" s="6"/>
      <c r="J283" s="11"/>
      <c r="K283" s="510"/>
      <c r="L283" s="11"/>
      <c r="O283" s="2410"/>
      <c r="P283" s="2411"/>
      <c r="S283" s="1"/>
      <c r="T283" s="1"/>
      <c r="U283" s="6"/>
      <c r="V283" s="1766"/>
      <c r="W283" s="1766"/>
      <c r="X283" s="1766"/>
      <c r="Y283" s="1766"/>
      <c r="Z283" s="1767"/>
      <c r="AA283" s="1767"/>
      <c r="AB283" s="1766"/>
      <c r="AC283" s="1766"/>
      <c r="AD283" s="1766"/>
      <c r="AE283" s="1768"/>
      <c r="AF283" s="1799"/>
      <c r="AG283" s="1770"/>
      <c r="AH283" s="1771"/>
      <c r="AI283" s="1426"/>
      <c r="AJ283" s="1427"/>
      <c r="AK283" s="1426"/>
      <c r="AL283" s="1426"/>
      <c r="AM283" s="1426"/>
      <c r="AN283" s="1426"/>
      <c r="AO283" s="1426"/>
      <c r="AP283" s="1426"/>
      <c r="AQ283" s="1426"/>
      <c r="AR283" s="1426"/>
      <c r="AS283" s="1426"/>
      <c r="AT283" s="1426"/>
      <c r="AU283" s="1426"/>
      <c r="AV283" s="1426"/>
      <c r="AW283" s="1426"/>
      <c r="AX283" s="1426"/>
      <c r="AY283" s="1426"/>
      <c r="AZ283" s="1426"/>
      <c r="BA283" s="1426"/>
      <c r="BB283" s="1426"/>
      <c r="BC283" s="1426"/>
      <c r="BD283" s="1426"/>
      <c r="BE283" s="1426"/>
    </row>
    <row r="284" spans="1:57" s="5" customFormat="1">
      <c r="A284" s="1"/>
      <c r="B284" s="6"/>
      <c r="C284" s="4"/>
      <c r="D284" s="3"/>
      <c r="E284" s="4"/>
      <c r="F284" s="4"/>
      <c r="G284" s="1"/>
      <c r="H284" s="6"/>
      <c r="I284" s="6"/>
      <c r="J284" s="11"/>
      <c r="K284" s="510"/>
      <c r="L284" s="11"/>
      <c r="O284" s="2410"/>
      <c r="P284" s="2411"/>
      <c r="S284" s="1"/>
      <c r="T284" s="1"/>
      <c r="U284" s="6"/>
      <c r="V284" s="1766"/>
      <c r="W284" s="1766"/>
      <c r="X284" s="1766"/>
      <c r="Y284" s="1766"/>
      <c r="Z284" s="1767"/>
      <c r="AA284" s="1767"/>
      <c r="AB284" s="1766"/>
      <c r="AC284" s="1766"/>
      <c r="AD284" s="1766"/>
      <c r="AE284" s="1768"/>
      <c r="AF284" s="1799"/>
      <c r="AG284" s="1770"/>
      <c r="AH284" s="1771"/>
      <c r="AI284" s="1426"/>
      <c r="AJ284" s="1427"/>
      <c r="AK284" s="1426"/>
      <c r="AL284" s="1426"/>
      <c r="AM284" s="1426"/>
      <c r="AN284" s="1426"/>
      <c r="AO284" s="1426"/>
      <c r="AP284" s="1426"/>
      <c r="AQ284" s="1426"/>
      <c r="AR284" s="1426"/>
      <c r="AS284" s="1426"/>
      <c r="AT284" s="1426"/>
      <c r="AU284" s="1426"/>
      <c r="AV284" s="1426"/>
      <c r="AW284" s="1426"/>
      <c r="AX284" s="1426"/>
      <c r="AY284" s="1426"/>
      <c r="AZ284" s="1426"/>
      <c r="BA284" s="1426"/>
      <c r="BB284" s="1426"/>
      <c r="BC284" s="1426"/>
      <c r="BD284" s="1426"/>
      <c r="BE284" s="1426"/>
    </row>
    <row r="285" spans="1:57" s="5" customFormat="1">
      <c r="A285" s="1"/>
      <c r="B285" s="6"/>
      <c r="C285" s="4"/>
      <c r="D285" s="3"/>
      <c r="E285" s="4"/>
      <c r="F285" s="4"/>
      <c r="G285" s="1"/>
      <c r="H285" s="6"/>
      <c r="I285" s="6"/>
      <c r="J285" s="11"/>
      <c r="K285" s="510"/>
      <c r="L285" s="11"/>
      <c r="O285" s="2410"/>
      <c r="P285" s="2411"/>
      <c r="S285" s="1"/>
      <c r="T285" s="1"/>
      <c r="U285" s="6"/>
      <c r="V285" s="1766"/>
      <c r="W285" s="1766"/>
      <c r="X285" s="1766"/>
      <c r="Y285" s="1766"/>
      <c r="Z285" s="1767"/>
      <c r="AA285" s="1767"/>
      <c r="AB285" s="1766"/>
      <c r="AC285" s="1766"/>
      <c r="AD285" s="1766"/>
      <c r="AE285" s="1768"/>
      <c r="AF285" s="1799"/>
      <c r="AG285" s="1770"/>
      <c r="AH285" s="1771"/>
      <c r="AI285" s="1426"/>
      <c r="AJ285" s="1427"/>
      <c r="AK285" s="1426"/>
      <c r="AL285" s="1426"/>
      <c r="AM285" s="1426"/>
      <c r="AN285" s="1426"/>
      <c r="AO285" s="1426"/>
      <c r="AP285" s="1426"/>
      <c r="AQ285" s="1426"/>
      <c r="AR285" s="1426"/>
      <c r="AS285" s="1426"/>
      <c r="AT285" s="1426"/>
      <c r="AU285" s="1426"/>
      <c r="AV285" s="1426"/>
      <c r="AW285" s="1426"/>
      <c r="AX285" s="1426"/>
      <c r="AY285" s="1426"/>
      <c r="AZ285" s="1426"/>
      <c r="BA285" s="1426"/>
      <c r="BB285" s="1426"/>
      <c r="BC285" s="1426"/>
      <c r="BD285" s="1426"/>
      <c r="BE285" s="1426"/>
    </row>
    <row r="286" spans="1:57" s="5" customFormat="1">
      <c r="A286" s="1"/>
      <c r="B286" s="6"/>
      <c r="C286" s="4"/>
      <c r="D286" s="3"/>
      <c r="E286" s="4"/>
      <c r="F286" s="4"/>
      <c r="G286" s="1"/>
      <c r="H286" s="6"/>
      <c r="I286" s="6"/>
      <c r="J286" s="11"/>
      <c r="K286" s="510"/>
      <c r="L286" s="11"/>
      <c r="O286" s="2410"/>
      <c r="P286" s="2411"/>
      <c r="S286" s="1"/>
      <c r="T286" s="1"/>
      <c r="U286" s="6"/>
      <c r="V286" s="1766"/>
      <c r="W286" s="1766"/>
      <c r="X286" s="1766"/>
      <c r="Y286" s="1766"/>
      <c r="Z286" s="1767"/>
      <c r="AA286" s="1767"/>
      <c r="AB286" s="1766"/>
      <c r="AC286" s="1766"/>
      <c r="AD286" s="1766"/>
      <c r="AE286" s="1768"/>
      <c r="AF286" s="1799"/>
      <c r="AG286" s="1770"/>
      <c r="AH286" s="1771"/>
      <c r="AI286" s="1426"/>
      <c r="AJ286" s="1427"/>
      <c r="AK286" s="1426"/>
      <c r="AL286" s="1426"/>
      <c r="AM286" s="1426"/>
      <c r="AN286" s="1426"/>
      <c r="AO286" s="1426"/>
      <c r="AP286" s="1426"/>
      <c r="AQ286" s="1426"/>
      <c r="AR286" s="1426"/>
      <c r="AS286" s="1426"/>
      <c r="AT286" s="1426"/>
      <c r="AU286" s="1426"/>
      <c r="AV286" s="1426"/>
      <c r="AW286" s="1426"/>
      <c r="AX286" s="1426"/>
      <c r="AY286" s="1426"/>
      <c r="AZ286" s="1426"/>
      <c r="BA286" s="1426"/>
      <c r="BB286" s="1426"/>
      <c r="BC286" s="1426"/>
      <c r="BD286" s="1426"/>
      <c r="BE286" s="1426"/>
    </row>
    <row r="287" spans="1:57" s="5" customFormat="1">
      <c r="A287" s="1"/>
      <c r="B287" s="6"/>
      <c r="C287" s="4"/>
      <c r="D287" s="3"/>
      <c r="E287" s="4"/>
      <c r="F287" s="4"/>
      <c r="G287" s="1"/>
      <c r="H287" s="6"/>
      <c r="I287" s="6"/>
      <c r="J287" s="11"/>
      <c r="K287" s="510"/>
      <c r="L287" s="11"/>
      <c r="O287" s="2410"/>
      <c r="P287" s="2411"/>
      <c r="S287" s="1"/>
      <c r="T287" s="1"/>
      <c r="U287" s="6"/>
      <c r="V287" s="1766"/>
      <c r="W287" s="1766"/>
      <c r="X287" s="1766"/>
      <c r="Y287" s="1766"/>
      <c r="Z287" s="1767"/>
      <c r="AA287" s="1767"/>
      <c r="AB287" s="1766"/>
      <c r="AC287" s="1766"/>
      <c r="AD287" s="1766"/>
      <c r="AE287" s="1768"/>
      <c r="AF287" s="1799"/>
      <c r="AG287" s="1770"/>
      <c r="AH287" s="1771"/>
      <c r="AI287" s="1426"/>
      <c r="AJ287" s="1427"/>
      <c r="AK287" s="1426"/>
      <c r="AL287" s="1426"/>
      <c r="AM287" s="1426"/>
      <c r="AN287" s="1426"/>
      <c r="AO287" s="1426"/>
      <c r="AP287" s="1426"/>
      <c r="AQ287" s="1426"/>
      <c r="AR287" s="1426"/>
      <c r="AS287" s="1426"/>
      <c r="AT287" s="1426"/>
      <c r="AU287" s="1426"/>
      <c r="AV287" s="1426"/>
      <c r="AW287" s="1426"/>
      <c r="AX287" s="1426"/>
      <c r="AY287" s="1426"/>
      <c r="AZ287" s="1426"/>
      <c r="BA287" s="1426"/>
      <c r="BB287" s="1426"/>
      <c r="BC287" s="1426"/>
      <c r="BD287" s="1426"/>
      <c r="BE287" s="1426"/>
    </row>
    <row r="288" spans="1:57" s="5" customFormat="1">
      <c r="A288" s="1"/>
      <c r="B288" s="6"/>
      <c r="C288" s="4"/>
      <c r="D288" s="3"/>
      <c r="E288" s="4"/>
      <c r="F288" s="4"/>
      <c r="G288" s="1"/>
      <c r="H288" s="6"/>
      <c r="I288" s="6"/>
      <c r="J288" s="11"/>
      <c r="K288" s="510"/>
      <c r="L288" s="11"/>
      <c r="O288" s="2410"/>
      <c r="P288" s="2411"/>
      <c r="S288" s="1"/>
      <c r="T288" s="1"/>
      <c r="U288" s="6"/>
      <c r="V288" s="1766"/>
      <c r="W288" s="1766"/>
      <c r="X288" s="1766"/>
      <c r="Y288" s="1766"/>
      <c r="Z288" s="1767"/>
      <c r="AA288" s="1767"/>
      <c r="AB288" s="1766"/>
      <c r="AC288" s="1766"/>
      <c r="AD288" s="1766"/>
      <c r="AE288" s="1768"/>
      <c r="AF288" s="1799"/>
      <c r="AG288" s="1770"/>
      <c r="AH288" s="1771"/>
      <c r="AI288" s="1426"/>
      <c r="AJ288" s="1427"/>
      <c r="AK288" s="1426"/>
      <c r="AL288" s="1426"/>
      <c r="AM288" s="1426"/>
      <c r="AN288" s="1426"/>
      <c r="AO288" s="1426"/>
      <c r="AP288" s="1426"/>
      <c r="AQ288" s="1426"/>
      <c r="AR288" s="1426"/>
      <c r="AS288" s="1426"/>
      <c r="AT288" s="1426"/>
      <c r="AU288" s="1426"/>
      <c r="AV288" s="1426"/>
      <c r="AW288" s="1426"/>
      <c r="AX288" s="1426"/>
      <c r="AY288" s="1426"/>
      <c r="AZ288" s="1426"/>
      <c r="BA288" s="1426"/>
      <c r="BB288" s="1426"/>
      <c r="BC288" s="1426"/>
      <c r="BD288" s="1426"/>
      <c r="BE288" s="1426"/>
    </row>
    <row r="289" spans="1:57" s="5" customFormat="1">
      <c r="A289" s="1"/>
      <c r="B289" s="6"/>
      <c r="C289" s="4"/>
      <c r="D289" s="3"/>
      <c r="E289" s="4"/>
      <c r="F289" s="4"/>
      <c r="G289" s="1"/>
      <c r="H289" s="6"/>
      <c r="I289" s="6"/>
      <c r="J289" s="11"/>
      <c r="K289" s="510"/>
      <c r="L289" s="11"/>
      <c r="O289" s="2410"/>
      <c r="P289" s="2411"/>
      <c r="S289" s="1"/>
      <c r="T289" s="1"/>
      <c r="U289" s="6"/>
      <c r="V289" s="1766"/>
      <c r="W289" s="1766"/>
      <c r="X289" s="1766"/>
      <c r="Y289" s="1766"/>
      <c r="Z289" s="1767"/>
      <c r="AA289" s="1767"/>
      <c r="AB289" s="1766"/>
      <c r="AC289" s="1766"/>
      <c r="AD289" s="1766"/>
      <c r="AE289" s="1768"/>
      <c r="AF289" s="1799"/>
      <c r="AG289" s="1770"/>
      <c r="AH289" s="1771"/>
      <c r="AI289" s="1426"/>
      <c r="AJ289" s="1427"/>
      <c r="AK289" s="1426"/>
      <c r="AL289" s="1426"/>
      <c r="AM289" s="1426"/>
      <c r="AN289" s="1426"/>
      <c r="AO289" s="1426"/>
      <c r="AP289" s="1426"/>
      <c r="AQ289" s="1426"/>
      <c r="AR289" s="1426"/>
      <c r="AS289" s="1426"/>
      <c r="AT289" s="1426"/>
      <c r="AU289" s="1426"/>
      <c r="AV289" s="1426"/>
      <c r="AW289" s="1426"/>
      <c r="AX289" s="1426"/>
      <c r="AY289" s="1426"/>
      <c r="AZ289" s="1426"/>
      <c r="BA289" s="1426"/>
      <c r="BB289" s="1426"/>
      <c r="BC289" s="1426"/>
      <c r="BD289" s="1426"/>
      <c r="BE289" s="1426"/>
    </row>
    <row r="290" spans="1:57" s="5" customFormat="1">
      <c r="A290" s="1"/>
      <c r="B290" s="6"/>
      <c r="C290" s="4"/>
      <c r="D290" s="3"/>
      <c r="E290" s="4"/>
      <c r="F290" s="4"/>
      <c r="G290" s="1"/>
      <c r="H290" s="6"/>
      <c r="I290" s="6"/>
      <c r="J290" s="11"/>
      <c r="K290" s="510"/>
      <c r="L290" s="11"/>
      <c r="O290" s="2410"/>
      <c r="P290" s="2411"/>
      <c r="S290" s="1"/>
      <c r="T290" s="1"/>
      <c r="U290" s="6"/>
      <c r="V290" s="1766"/>
      <c r="W290" s="1766"/>
      <c r="X290" s="1766"/>
      <c r="Y290" s="1766"/>
      <c r="Z290" s="1767"/>
      <c r="AA290" s="1767"/>
      <c r="AB290" s="1766"/>
      <c r="AC290" s="1766"/>
      <c r="AD290" s="1766"/>
      <c r="AE290" s="1768"/>
      <c r="AF290" s="1799"/>
      <c r="AG290" s="1770"/>
      <c r="AH290" s="1771"/>
      <c r="AI290" s="1426"/>
      <c r="AJ290" s="1427"/>
      <c r="AK290" s="1426"/>
      <c r="AL290" s="1426"/>
      <c r="AM290" s="1426"/>
      <c r="AN290" s="1426"/>
      <c r="AO290" s="1426"/>
      <c r="AP290" s="1426"/>
      <c r="AQ290" s="1426"/>
      <c r="AR290" s="1426"/>
      <c r="AS290" s="1426"/>
      <c r="AT290" s="1426"/>
      <c r="AU290" s="1426"/>
      <c r="AV290" s="1426"/>
      <c r="AW290" s="1426"/>
      <c r="AX290" s="1426"/>
      <c r="AY290" s="1426"/>
      <c r="AZ290" s="1426"/>
      <c r="BA290" s="1426"/>
      <c r="BB290" s="1426"/>
      <c r="BC290" s="1426"/>
      <c r="BD290" s="1426"/>
      <c r="BE290" s="1426"/>
    </row>
    <row r="291" spans="1:57" s="5" customFormat="1">
      <c r="A291" s="1"/>
      <c r="B291" s="6"/>
      <c r="C291" s="4"/>
      <c r="D291" s="3"/>
      <c r="E291" s="4"/>
      <c r="F291" s="4"/>
      <c r="G291" s="1"/>
      <c r="H291" s="6"/>
      <c r="I291" s="6"/>
      <c r="J291" s="11"/>
      <c r="K291" s="510"/>
      <c r="L291" s="11"/>
      <c r="O291" s="2410"/>
      <c r="P291" s="2411"/>
      <c r="S291" s="1"/>
      <c r="T291" s="1"/>
      <c r="U291" s="6"/>
      <c r="V291" s="1766"/>
      <c r="W291" s="1766"/>
      <c r="X291" s="1766"/>
      <c r="Y291" s="1766"/>
      <c r="Z291" s="1767"/>
      <c r="AA291" s="1767"/>
      <c r="AB291" s="1766"/>
      <c r="AC291" s="1766"/>
      <c r="AD291" s="1766"/>
      <c r="AE291" s="1768"/>
      <c r="AF291" s="1799"/>
      <c r="AG291" s="1770"/>
      <c r="AH291" s="1771"/>
      <c r="AI291" s="1426"/>
      <c r="AJ291" s="1427"/>
      <c r="AK291" s="1426"/>
      <c r="AL291" s="1426"/>
      <c r="AM291" s="1426"/>
      <c r="AN291" s="1426"/>
      <c r="AO291" s="1426"/>
      <c r="AP291" s="1426"/>
      <c r="AQ291" s="1426"/>
      <c r="AR291" s="1426"/>
      <c r="AS291" s="1426"/>
      <c r="AT291" s="1426"/>
      <c r="AU291" s="1426"/>
      <c r="AV291" s="1426"/>
      <c r="AW291" s="1426"/>
      <c r="AX291" s="1426"/>
      <c r="AY291" s="1426"/>
      <c r="AZ291" s="1426"/>
      <c r="BA291" s="1426"/>
      <c r="BB291" s="1426"/>
      <c r="BC291" s="1426"/>
      <c r="BD291" s="1426"/>
      <c r="BE291" s="1426"/>
    </row>
    <row r="292" spans="1:57" s="5" customFormat="1">
      <c r="A292" s="1"/>
      <c r="B292" s="6"/>
      <c r="C292" s="4"/>
      <c r="D292" s="3"/>
      <c r="E292" s="4"/>
      <c r="F292" s="4"/>
      <c r="G292" s="1"/>
      <c r="H292" s="6"/>
      <c r="I292" s="6"/>
      <c r="J292" s="11"/>
      <c r="K292" s="510"/>
      <c r="L292" s="11"/>
      <c r="O292" s="2410"/>
      <c r="P292" s="2411"/>
      <c r="S292" s="1"/>
      <c r="T292" s="1"/>
      <c r="U292" s="6"/>
      <c r="V292" s="1766"/>
      <c r="W292" s="1766"/>
      <c r="X292" s="1766"/>
      <c r="Y292" s="1766"/>
      <c r="Z292" s="1767"/>
      <c r="AA292" s="1767"/>
      <c r="AB292" s="1766"/>
      <c r="AC292" s="1766"/>
      <c r="AD292" s="1766"/>
      <c r="AE292" s="1768"/>
      <c r="AF292" s="1799"/>
      <c r="AG292" s="1770"/>
      <c r="AH292" s="1771"/>
      <c r="AI292" s="1426"/>
      <c r="AJ292" s="1427"/>
      <c r="AK292" s="1426"/>
      <c r="AL292" s="1426"/>
      <c r="AM292" s="1426"/>
      <c r="AN292" s="1426"/>
      <c r="AO292" s="1426"/>
      <c r="AP292" s="1426"/>
      <c r="AQ292" s="1426"/>
      <c r="AR292" s="1426"/>
      <c r="AS292" s="1426"/>
      <c r="AT292" s="1426"/>
      <c r="AU292" s="1426"/>
      <c r="AV292" s="1426"/>
      <c r="AW292" s="1426"/>
      <c r="AX292" s="1426"/>
      <c r="AY292" s="1426"/>
      <c r="AZ292" s="1426"/>
      <c r="BA292" s="1426"/>
      <c r="BB292" s="1426"/>
      <c r="BC292" s="1426"/>
      <c r="BD292" s="1426"/>
      <c r="BE292" s="1426"/>
    </row>
    <row r="293" spans="1:57" s="5" customFormat="1">
      <c r="A293" s="1"/>
      <c r="B293" s="6"/>
      <c r="C293" s="4"/>
      <c r="D293" s="3"/>
      <c r="E293" s="4"/>
      <c r="F293" s="4"/>
      <c r="G293" s="1"/>
      <c r="H293" s="6"/>
      <c r="I293" s="6"/>
      <c r="J293" s="11"/>
      <c r="K293" s="510"/>
      <c r="L293" s="11"/>
      <c r="O293" s="2410"/>
      <c r="P293" s="2411"/>
      <c r="S293" s="1"/>
      <c r="T293" s="1"/>
      <c r="U293" s="6"/>
      <c r="V293" s="1766"/>
      <c r="W293" s="1766"/>
      <c r="X293" s="1766"/>
      <c r="Y293" s="1766"/>
      <c r="Z293" s="1767"/>
      <c r="AA293" s="1767"/>
      <c r="AB293" s="1766"/>
      <c r="AC293" s="1766"/>
      <c r="AD293" s="1766"/>
      <c r="AE293" s="1768"/>
      <c r="AF293" s="1799"/>
      <c r="AG293" s="1770"/>
      <c r="AH293" s="1771"/>
      <c r="AI293" s="1426"/>
      <c r="AJ293" s="1427"/>
      <c r="AK293" s="1426"/>
      <c r="AL293" s="1426"/>
      <c r="AM293" s="1426"/>
      <c r="AN293" s="1426"/>
      <c r="AO293" s="1426"/>
      <c r="AP293" s="1426"/>
      <c r="AQ293" s="1426"/>
      <c r="AR293" s="1426"/>
      <c r="AS293" s="1426"/>
      <c r="AT293" s="1426"/>
      <c r="AU293" s="1426"/>
      <c r="AV293" s="1426"/>
      <c r="AW293" s="1426"/>
      <c r="AX293" s="1426"/>
      <c r="AY293" s="1426"/>
      <c r="AZ293" s="1426"/>
      <c r="BA293" s="1426"/>
      <c r="BB293" s="1426"/>
      <c r="BC293" s="1426"/>
      <c r="BD293" s="1426"/>
      <c r="BE293" s="1426"/>
    </row>
    <row r="294" spans="1:57" s="5" customFormat="1">
      <c r="A294" s="1"/>
      <c r="B294" s="6"/>
      <c r="C294" s="4"/>
      <c r="D294" s="3"/>
      <c r="E294" s="4"/>
      <c r="F294" s="4"/>
      <c r="G294" s="1"/>
      <c r="H294" s="6"/>
      <c r="I294" s="6"/>
      <c r="J294" s="11"/>
      <c r="K294" s="510"/>
      <c r="L294" s="11"/>
      <c r="O294" s="2410"/>
      <c r="P294" s="2411"/>
      <c r="S294" s="1"/>
      <c r="T294" s="1"/>
      <c r="U294" s="6"/>
      <c r="V294" s="1766"/>
      <c r="W294" s="1766"/>
      <c r="X294" s="1766"/>
      <c r="Y294" s="1766"/>
      <c r="Z294" s="1767"/>
      <c r="AA294" s="1767"/>
      <c r="AB294" s="1766"/>
      <c r="AC294" s="1766"/>
      <c r="AD294" s="1766"/>
      <c r="AE294" s="1768"/>
      <c r="AF294" s="1799"/>
      <c r="AG294" s="1770"/>
      <c r="AH294" s="1771"/>
      <c r="AI294" s="1426"/>
      <c r="AJ294" s="1427"/>
      <c r="AK294" s="1426"/>
      <c r="AL294" s="1426"/>
      <c r="AM294" s="1426"/>
      <c r="AN294" s="1426"/>
      <c r="AO294" s="1426"/>
      <c r="AP294" s="1426"/>
      <c r="AQ294" s="1426"/>
      <c r="AR294" s="1426"/>
      <c r="AS294" s="1426"/>
      <c r="AT294" s="1426"/>
      <c r="AU294" s="1426"/>
      <c r="AV294" s="1426"/>
      <c r="AW294" s="1426"/>
      <c r="AX294" s="1426"/>
      <c r="AY294" s="1426"/>
      <c r="AZ294" s="1426"/>
      <c r="BA294" s="1426"/>
      <c r="BB294" s="1426"/>
      <c r="BC294" s="1426"/>
      <c r="BD294" s="1426"/>
      <c r="BE294" s="1426"/>
    </row>
    <row r="295" spans="1:57" s="5" customFormat="1">
      <c r="A295" s="1"/>
      <c r="B295" s="6"/>
      <c r="C295" s="4"/>
      <c r="D295" s="3"/>
      <c r="E295" s="4"/>
      <c r="F295" s="4"/>
      <c r="G295" s="1"/>
      <c r="H295" s="6"/>
      <c r="I295" s="6"/>
      <c r="J295" s="11"/>
      <c r="K295" s="510"/>
      <c r="L295" s="11"/>
      <c r="O295" s="2410"/>
      <c r="P295" s="2411"/>
      <c r="S295" s="1"/>
      <c r="T295" s="1"/>
      <c r="U295" s="6"/>
      <c r="V295" s="1766"/>
      <c r="W295" s="1766"/>
      <c r="X295" s="1766"/>
      <c r="Y295" s="1766"/>
      <c r="Z295" s="1767"/>
      <c r="AA295" s="1767"/>
      <c r="AB295" s="1766"/>
      <c r="AC295" s="1766"/>
      <c r="AD295" s="1766"/>
      <c r="AE295" s="1768"/>
      <c r="AF295" s="1799"/>
      <c r="AG295" s="1770"/>
      <c r="AH295" s="1771"/>
      <c r="AI295" s="1426"/>
      <c r="AJ295" s="1427"/>
      <c r="AK295" s="1426"/>
      <c r="AL295" s="1426"/>
      <c r="AM295" s="1426"/>
      <c r="AN295" s="1426"/>
      <c r="AO295" s="1426"/>
      <c r="AP295" s="1426"/>
      <c r="AQ295" s="1426"/>
      <c r="AR295" s="1426"/>
      <c r="AS295" s="1426"/>
      <c r="AT295" s="1426"/>
      <c r="AU295" s="1426"/>
      <c r="AV295" s="1426"/>
      <c r="AW295" s="1426"/>
      <c r="AX295" s="1426"/>
      <c r="AY295" s="1426"/>
      <c r="AZ295" s="1426"/>
      <c r="BA295" s="1426"/>
      <c r="BB295" s="1426"/>
      <c r="BC295" s="1426"/>
      <c r="BD295" s="1426"/>
      <c r="BE295" s="1426"/>
    </row>
    <row r="296" spans="1:57" s="5" customFormat="1">
      <c r="A296" s="1"/>
      <c r="B296" s="6"/>
      <c r="C296" s="4"/>
      <c r="D296" s="3"/>
      <c r="E296" s="4"/>
      <c r="F296" s="4"/>
      <c r="G296" s="1"/>
      <c r="H296" s="6"/>
      <c r="I296" s="6"/>
      <c r="J296" s="11"/>
      <c r="K296" s="510"/>
      <c r="L296" s="11"/>
      <c r="O296" s="2410"/>
      <c r="P296" s="2411"/>
      <c r="S296" s="1"/>
      <c r="T296" s="1"/>
      <c r="U296" s="6"/>
      <c r="V296" s="1766"/>
      <c r="W296" s="1766"/>
      <c r="X296" s="1766"/>
      <c r="Y296" s="1766"/>
      <c r="Z296" s="1767"/>
      <c r="AA296" s="1767"/>
      <c r="AB296" s="1766"/>
      <c r="AC296" s="1766"/>
      <c r="AD296" s="1766"/>
      <c r="AE296" s="1768"/>
      <c r="AF296" s="1799"/>
      <c r="AG296" s="1770"/>
      <c r="AH296" s="1771"/>
      <c r="AI296" s="1426"/>
      <c r="AJ296" s="1427"/>
      <c r="AK296" s="1426"/>
      <c r="AL296" s="1426"/>
      <c r="AM296" s="1426"/>
      <c r="AN296" s="1426"/>
      <c r="AO296" s="1426"/>
      <c r="AP296" s="1426"/>
      <c r="AQ296" s="1426"/>
      <c r="AR296" s="1426"/>
      <c r="AS296" s="1426"/>
      <c r="AT296" s="1426"/>
      <c r="AU296" s="1426"/>
      <c r="AV296" s="1426"/>
      <c r="AW296" s="1426"/>
      <c r="AX296" s="1426"/>
      <c r="AY296" s="1426"/>
      <c r="AZ296" s="1426"/>
      <c r="BA296" s="1426"/>
      <c r="BB296" s="1426"/>
      <c r="BC296" s="1426"/>
      <c r="BD296" s="1426"/>
      <c r="BE296" s="1426"/>
    </row>
    <row r="297" spans="1:57" s="5" customFormat="1">
      <c r="A297" s="1"/>
      <c r="B297" s="6"/>
      <c r="C297" s="4"/>
      <c r="D297" s="3"/>
      <c r="E297" s="4"/>
      <c r="F297" s="4"/>
      <c r="G297" s="1"/>
      <c r="H297" s="6"/>
      <c r="I297" s="6"/>
      <c r="J297" s="11"/>
      <c r="K297" s="510"/>
      <c r="L297" s="11"/>
      <c r="O297" s="2410"/>
      <c r="P297" s="2411"/>
      <c r="S297" s="1"/>
      <c r="T297" s="1"/>
      <c r="U297" s="6"/>
      <c r="V297" s="1766"/>
      <c r="W297" s="1766"/>
      <c r="X297" s="1766"/>
      <c r="Y297" s="1766"/>
      <c r="Z297" s="1767"/>
      <c r="AA297" s="1767"/>
      <c r="AB297" s="1766"/>
      <c r="AC297" s="1766"/>
      <c r="AD297" s="1766"/>
      <c r="AE297" s="1768"/>
      <c r="AF297" s="1799"/>
      <c r="AG297" s="1770"/>
      <c r="AH297" s="1771"/>
      <c r="AI297" s="1426"/>
      <c r="AJ297" s="1427"/>
      <c r="AK297" s="1426"/>
      <c r="AL297" s="1426"/>
      <c r="AM297" s="1426"/>
      <c r="AN297" s="1426"/>
      <c r="AO297" s="1426"/>
      <c r="AP297" s="1426"/>
      <c r="AQ297" s="1426"/>
      <c r="AR297" s="1426"/>
      <c r="AS297" s="1426"/>
      <c r="AT297" s="1426"/>
      <c r="AU297" s="1426"/>
      <c r="AV297" s="1426"/>
      <c r="AW297" s="1426"/>
      <c r="AX297" s="1426"/>
      <c r="AY297" s="1426"/>
      <c r="AZ297" s="1426"/>
      <c r="BA297" s="1426"/>
      <c r="BB297" s="1426"/>
      <c r="BC297" s="1426"/>
      <c r="BD297" s="1426"/>
      <c r="BE297" s="1426"/>
    </row>
    <row r="298" spans="1:57" s="5" customFormat="1">
      <c r="A298" s="1"/>
      <c r="B298" s="6"/>
      <c r="C298" s="4"/>
      <c r="D298" s="3"/>
      <c r="E298" s="4"/>
      <c r="F298" s="4"/>
      <c r="G298" s="1"/>
      <c r="H298" s="6"/>
      <c r="I298" s="6"/>
      <c r="J298" s="11"/>
      <c r="K298" s="510"/>
      <c r="L298" s="11"/>
      <c r="O298" s="2410"/>
      <c r="P298" s="2411"/>
      <c r="S298" s="1"/>
      <c r="T298" s="1"/>
      <c r="U298" s="6"/>
      <c r="V298" s="1766"/>
      <c r="W298" s="1766"/>
      <c r="X298" s="1766"/>
      <c r="Y298" s="1766"/>
      <c r="Z298" s="1767"/>
      <c r="AA298" s="1767"/>
      <c r="AB298" s="1766"/>
      <c r="AC298" s="1766"/>
      <c r="AD298" s="1766"/>
      <c r="AE298" s="1768"/>
      <c r="AF298" s="1799"/>
      <c r="AG298" s="1770"/>
      <c r="AH298" s="1771"/>
      <c r="AI298" s="1426"/>
      <c r="AJ298" s="1427"/>
      <c r="AK298" s="1426"/>
      <c r="AL298" s="1426"/>
      <c r="AM298" s="1426"/>
      <c r="AN298" s="1426"/>
      <c r="AO298" s="1426"/>
      <c r="AP298" s="1426"/>
      <c r="AQ298" s="1426"/>
      <c r="AR298" s="1426"/>
      <c r="AS298" s="1426"/>
      <c r="AT298" s="1426"/>
      <c r="AU298" s="1426"/>
      <c r="AV298" s="1426"/>
      <c r="AW298" s="1426"/>
      <c r="AX298" s="1426"/>
      <c r="AY298" s="1426"/>
      <c r="AZ298" s="1426"/>
      <c r="BA298" s="1426"/>
      <c r="BB298" s="1426"/>
      <c r="BC298" s="1426"/>
      <c r="BD298" s="1426"/>
      <c r="BE298" s="1426"/>
    </row>
    <row r="299" spans="1:57" s="5" customFormat="1">
      <c r="A299" s="1"/>
      <c r="B299" s="6"/>
      <c r="C299" s="4"/>
      <c r="D299" s="3"/>
      <c r="E299" s="4"/>
      <c r="F299" s="4"/>
      <c r="G299" s="1"/>
      <c r="H299" s="6"/>
      <c r="I299" s="6"/>
      <c r="J299" s="11"/>
      <c r="K299" s="510"/>
      <c r="L299" s="11"/>
      <c r="O299" s="2410"/>
      <c r="P299" s="2411"/>
      <c r="S299" s="1"/>
      <c r="T299" s="1"/>
      <c r="U299" s="6"/>
      <c r="V299" s="1766"/>
      <c r="W299" s="1766"/>
      <c r="X299" s="1766"/>
      <c r="Y299" s="1766"/>
      <c r="Z299" s="1767"/>
      <c r="AA299" s="1767"/>
      <c r="AB299" s="1766"/>
      <c r="AC299" s="1766"/>
      <c r="AD299" s="1766"/>
      <c r="AE299" s="1768"/>
      <c r="AF299" s="1799"/>
      <c r="AG299" s="1770"/>
      <c r="AH299" s="1771"/>
      <c r="AI299" s="1426"/>
      <c r="AJ299" s="1427"/>
      <c r="AK299" s="1426"/>
      <c r="AL299" s="1426"/>
      <c r="AM299" s="1426"/>
      <c r="AN299" s="1426"/>
      <c r="AO299" s="1426"/>
      <c r="AP299" s="1426"/>
      <c r="AQ299" s="1426"/>
      <c r="AR299" s="1426"/>
      <c r="AS299" s="1426"/>
      <c r="AT299" s="1426"/>
      <c r="AU299" s="1426"/>
      <c r="AV299" s="1426"/>
      <c r="AW299" s="1426"/>
      <c r="AX299" s="1426"/>
      <c r="AY299" s="1426"/>
      <c r="AZ299" s="1426"/>
      <c r="BA299" s="1426"/>
      <c r="BB299" s="1426"/>
      <c r="BC299" s="1426"/>
      <c r="BD299" s="1426"/>
      <c r="BE299" s="1426"/>
    </row>
    <row r="300" spans="1:57" s="5" customFormat="1">
      <c r="A300" s="1"/>
      <c r="B300" s="6"/>
      <c r="C300" s="4"/>
      <c r="D300" s="3"/>
      <c r="E300" s="4"/>
      <c r="F300" s="4"/>
      <c r="G300" s="1"/>
      <c r="H300" s="6"/>
      <c r="I300" s="6"/>
      <c r="J300" s="11"/>
      <c r="K300" s="510"/>
      <c r="L300" s="11"/>
      <c r="O300" s="2410"/>
      <c r="P300" s="2411"/>
      <c r="S300" s="1"/>
      <c r="T300" s="1"/>
      <c r="U300" s="6"/>
      <c r="V300" s="1766"/>
      <c r="W300" s="1766"/>
      <c r="X300" s="1766"/>
      <c r="Y300" s="1766"/>
      <c r="Z300" s="1767"/>
      <c r="AA300" s="1767"/>
      <c r="AB300" s="1766"/>
      <c r="AC300" s="1766"/>
      <c r="AD300" s="1766"/>
      <c r="AE300" s="1768"/>
      <c r="AF300" s="1799"/>
      <c r="AG300" s="1770"/>
      <c r="AH300" s="1771"/>
      <c r="AI300" s="1426"/>
      <c r="AJ300" s="1427"/>
      <c r="AK300" s="1426"/>
      <c r="AL300" s="1426"/>
      <c r="AM300" s="1426"/>
      <c r="AN300" s="1426"/>
      <c r="AO300" s="1426"/>
      <c r="AP300" s="1426"/>
      <c r="AQ300" s="1426"/>
      <c r="AR300" s="1426"/>
      <c r="AS300" s="1426"/>
      <c r="AT300" s="1426"/>
      <c r="AU300" s="1426"/>
      <c r="AV300" s="1426"/>
      <c r="AW300" s="1426"/>
      <c r="AX300" s="1426"/>
      <c r="AY300" s="1426"/>
      <c r="AZ300" s="1426"/>
      <c r="BA300" s="1426"/>
      <c r="BB300" s="1426"/>
      <c r="BC300" s="1426"/>
      <c r="BD300" s="1426"/>
      <c r="BE300" s="1426"/>
    </row>
    <row r="301" spans="1:57" s="5" customFormat="1">
      <c r="A301" s="1"/>
      <c r="B301" s="6"/>
      <c r="C301" s="4"/>
      <c r="D301" s="3"/>
      <c r="E301" s="4"/>
      <c r="F301" s="4"/>
      <c r="G301" s="1"/>
      <c r="H301" s="6"/>
      <c r="I301" s="6"/>
      <c r="J301" s="11"/>
      <c r="K301" s="510"/>
      <c r="L301" s="11"/>
      <c r="O301" s="2410"/>
      <c r="P301" s="2411"/>
      <c r="S301" s="1"/>
      <c r="T301" s="1"/>
      <c r="U301" s="6"/>
      <c r="V301" s="1766"/>
      <c r="W301" s="1766"/>
      <c r="X301" s="1766"/>
      <c r="Y301" s="1766"/>
      <c r="Z301" s="1767"/>
      <c r="AA301" s="1767"/>
      <c r="AB301" s="1766"/>
      <c r="AC301" s="1766"/>
      <c r="AD301" s="1766"/>
      <c r="AE301" s="1768"/>
      <c r="AF301" s="1799"/>
      <c r="AG301" s="1770"/>
      <c r="AH301" s="1771"/>
      <c r="AI301" s="1426"/>
      <c r="AJ301" s="1427"/>
      <c r="AK301" s="1426"/>
      <c r="AL301" s="1426"/>
      <c r="AM301" s="1426"/>
      <c r="AN301" s="1426"/>
      <c r="AO301" s="1426"/>
      <c r="AP301" s="1426"/>
      <c r="AQ301" s="1426"/>
      <c r="AR301" s="1426"/>
      <c r="AS301" s="1426"/>
      <c r="AT301" s="1426"/>
      <c r="AU301" s="1426"/>
      <c r="AV301" s="1426"/>
      <c r="AW301" s="1426"/>
      <c r="AX301" s="1426"/>
      <c r="AY301" s="1426"/>
      <c r="AZ301" s="1426"/>
      <c r="BA301" s="1426"/>
      <c r="BB301" s="1426"/>
      <c r="BC301" s="1426"/>
      <c r="BD301" s="1426"/>
      <c r="BE301" s="1426"/>
    </row>
    <row r="302" spans="1:57" s="5" customFormat="1">
      <c r="A302" s="1"/>
      <c r="B302" s="6"/>
      <c r="C302" s="4"/>
      <c r="D302" s="3"/>
      <c r="E302" s="4"/>
      <c r="F302" s="4"/>
      <c r="G302" s="1"/>
      <c r="H302" s="6"/>
      <c r="I302" s="6"/>
      <c r="J302" s="11"/>
      <c r="K302" s="510"/>
      <c r="L302" s="11"/>
      <c r="O302" s="2410"/>
      <c r="P302" s="2411"/>
      <c r="S302" s="1"/>
      <c r="T302" s="1"/>
      <c r="U302" s="6"/>
      <c r="V302" s="1766"/>
      <c r="W302" s="1766"/>
      <c r="X302" s="1766"/>
      <c r="Y302" s="1766"/>
      <c r="Z302" s="1767"/>
      <c r="AA302" s="1767"/>
      <c r="AB302" s="1766"/>
      <c r="AC302" s="1766"/>
      <c r="AD302" s="1766"/>
      <c r="AE302" s="1768"/>
      <c r="AF302" s="1799"/>
      <c r="AG302" s="1770"/>
      <c r="AH302" s="1771"/>
      <c r="AI302" s="1426"/>
      <c r="AJ302" s="1427"/>
      <c r="AK302" s="1426"/>
      <c r="AL302" s="1426"/>
      <c r="AM302" s="1426"/>
      <c r="AN302" s="1426"/>
      <c r="AO302" s="1426"/>
      <c r="AP302" s="1426"/>
      <c r="AQ302" s="1426"/>
      <c r="AR302" s="1426"/>
      <c r="AS302" s="1426"/>
      <c r="AT302" s="1426"/>
      <c r="AU302" s="1426"/>
      <c r="AV302" s="1426"/>
      <c r="AW302" s="1426"/>
      <c r="AX302" s="1426"/>
      <c r="AY302" s="1426"/>
      <c r="AZ302" s="1426"/>
      <c r="BA302" s="1426"/>
      <c r="BB302" s="1426"/>
      <c r="BC302" s="1426"/>
      <c r="BD302" s="1426"/>
      <c r="BE302" s="1426"/>
    </row>
    <row r="303" spans="1:57" s="5" customFormat="1">
      <c r="A303" s="1"/>
      <c r="B303" s="6"/>
      <c r="C303" s="4"/>
      <c r="D303" s="3"/>
      <c r="E303" s="4"/>
      <c r="F303" s="4"/>
      <c r="G303" s="1"/>
      <c r="H303" s="6"/>
      <c r="I303" s="6"/>
      <c r="J303" s="11"/>
      <c r="K303" s="510"/>
      <c r="L303" s="11"/>
      <c r="O303" s="2410"/>
      <c r="P303" s="2411"/>
      <c r="S303" s="1"/>
      <c r="T303" s="1"/>
      <c r="U303" s="6"/>
      <c r="V303" s="1766"/>
      <c r="W303" s="1766"/>
      <c r="X303" s="1766"/>
      <c r="Y303" s="1766"/>
      <c r="Z303" s="1767"/>
      <c r="AA303" s="1767"/>
      <c r="AB303" s="1766"/>
      <c r="AC303" s="1766"/>
      <c r="AD303" s="1766"/>
      <c r="AE303" s="1768"/>
      <c r="AF303" s="1799"/>
      <c r="AG303" s="1770"/>
      <c r="AH303" s="1771"/>
      <c r="AI303" s="1426"/>
      <c r="AJ303" s="1427"/>
      <c r="AK303" s="1426"/>
      <c r="AL303" s="1426"/>
      <c r="AM303" s="1426"/>
      <c r="AN303" s="1426"/>
      <c r="AO303" s="1426"/>
      <c r="AP303" s="1426"/>
      <c r="AQ303" s="1426"/>
      <c r="AR303" s="1426"/>
      <c r="AS303" s="1426"/>
      <c r="AT303" s="1426"/>
      <c r="AU303" s="1426"/>
      <c r="AV303" s="1426"/>
      <c r="AW303" s="1426"/>
      <c r="AX303" s="1426"/>
      <c r="AY303" s="1426"/>
      <c r="AZ303" s="1426"/>
      <c r="BA303" s="1426"/>
      <c r="BB303" s="1426"/>
      <c r="BC303" s="1426"/>
      <c r="BD303" s="1426"/>
      <c r="BE303" s="1426"/>
    </row>
    <row r="304" spans="1:57" s="5" customFormat="1">
      <c r="A304" s="1"/>
      <c r="B304" s="6"/>
      <c r="C304" s="4"/>
      <c r="D304" s="3"/>
      <c r="E304" s="4"/>
      <c r="F304" s="4"/>
      <c r="G304" s="1"/>
      <c r="H304" s="6"/>
      <c r="I304" s="6"/>
      <c r="J304" s="11"/>
      <c r="K304" s="510"/>
      <c r="L304" s="11"/>
      <c r="O304" s="2410"/>
      <c r="P304" s="2411"/>
      <c r="S304" s="1"/>
      <c r="T304" s="1"/>
      <c r="U304" s="6"/>
      <c r="V304" s="1766"/>
      <c r="W304" s="1766"/>
      <c r="X304" s="1766"/>
      <c r="Y304" s="1766"/>
      <c r="Z304" s="1767"/>
      <c r="AA304" s="1767"/>
      <c r="AB304" s="1766"/>
      <c r="AC304" s="1766"/>
      <c r="AD304" s="1766"/>
      <c r="AE304" s="1768"/>
      <c r="AF304" s="1799"/>
      <c r="AG304" s="1770"/>
      <c r="AH304" s="1771"/>
      <c r="AI304" s="1426"/>
      <c r="AJ304" s="1427"/>
      <c r="AK304" s="1426"/>
      <c r="AL304" s="1426"/>
      <c r="AM304" s="1426"/>
      <c r="AN304" s="1426"/>
      <c r="AO304" s="1426"/>
      <c r="AP304" s="1426"/>
      <c r="AQ304" s="1426"/>
      <c r="AR304" s="1426"/>
      <c r="AS304" s="1426"/>
      <c r="AT304" s="1426"/>
      <c r="AU304" s="1426"/>
      <c r="AV304" s="1426"/>
      <c r="AW304" s="1426"/>
      <c r="AX304" s="1426"/>
      <c r="AY304" s="1426"/>
      <c r="AZ304" s="1426"/>
      <c r="BA304" s="1426"/>
      <c r="BB304" s="1426"/>
      <c r="BC304" s="1426"/>
      <c r="BD304" s="1426"/>
      <c r="BE304" s="1426"/>
    </row>
    <row r="305" spans="1:57" s="5" customFormat="1">
      <c r="A305" s="1"/>
      <c r="B305" s="6"/>
      <c r="C305" s="4"/>
      <c r="D305" s="3"/>
      <c r="E305" s="4"/>
      <c r="F305" s="4"/>
      <c r="G305" s="1"/>
      <c r="H305" s="6"/>
      <c r="I305" s="6"/>
      <c r="J305" s="11"/>
      <c r="K305" s="510"/>
      <c r="L305" s="11"/>
      <c r="O305" s="2410"/>
      <c r="P305" s="2411"/>
      <c r="S305" s="1"/>
      <c r="T305" s="1"/>
      <c r="U305" s="6"/>
      <c r="V305" s="1766"/>
      <c r="W305" s="1766"/>
      <c r="X305" s="1766"/>
      <c r="Y305" s="1766"/>
      <c r="Z305" s="1767"/>
      <c r="AA305" s="1767"/>
      <c r="AB305" s="1766"/>
      <c r="AC305" s="1766"/>
      <c r="AD305" s="1766"/>
      <c r="AE305" s="1768"/>
      <c r="AF305" s="1799"/>
      <c r="AG305" s="1770"/>
      <c r="AH305" s="1771"/>
      <c r="AI305" s="1426"/>
      <c r="AJ305" s="1427"/>
      <c r="AK305" s="1426"/>
      <c r="AL305" s="1426"/>
      <c r="AM305" s="1426"/>
      <c r="AN305" s="1426"/>
      <c r="AO305" s="1426"/>
      <c r="AP305" s="1426"/>
      <c r="AQ305" s="1426"/>
      <c r="AR305" s="1426"/>
      <c r="AS305" s="1426"/>
      <c r="AT305" s="1426"/>
      <c r="AU305" s="1426"/>
      <c r="AV305" s="1426"/>
      <c r="AW305" s="1426"/>
      <c r="AX305" s="1426"/>
      <c r="AY305" s="1426"/>
      <c r="AZ305" s="1426"/>
      <c r="BA305" s="1426"/>
      <c r="BB305" s="1426"/>
      <c r="BC305" s="1426"/>
      <c r="BD305" s="1426"/>
      <c r="BE305" s="1426"/>
    </row>
    <row r="306" spans="1:57" s="5" customFormat="1">
      <c r="A306" s="1"/>
      <c r="B306" s="6"/>
      <c r="C306" s="4"/>
      <c r="D306" s="3"/>
      <c r="E306" s="4"/>
      <c r="F306" s="4"/>
      <c r="G306" s="1"/>
      <c r="H306" s="6"/>
      <c r="I306" s="6"/>
      <c r="J306" s="11"/>
      <c r="K306" s="510"/>
      <c r="L306" s="11"/>
      <c r="O306" s="2410"/>
      <c r="P306" s="2411"/>
      <c r="S306" s="1"/>
      <c r="T306" s="1"/>
      <c r="U306" s="6"/>
      <c r="V306" s="1766"/>
      <c r="W306" s="1766"/>
      <c r="X306" s="1766"/>
      <c r="Y306" s="1766"/>
      <c r="Z306" s="1767"/>
      <c r="AA306" s="1767"/>
      <c r="AB306" s="1766"/>
      <c r="AC306" s="1766"/>
      <c r="AD306" s="1766"/>
      <c r="AE306" s="1768"/>
      <c r="AF306" s="1799"/>
      <c r="AG306" s="1770"/>
      <c r="AH306" s="1771"/>
      <c r="AI306" s="1426"/>
      <c r="AJ306" s="1427"/>
      <c r="AK306" s="1426"/>
      <c r="AL306" s="1426"/>
      <c r="AM306" s="1426"/>
      <c r="AN306" s="1426"/>
      <c r="AO306" s="1426"/>
      <c r="AP306" s="1426"/>
      <c r="AQ306" s="1426"/>
      <c r="AR306" s="1426"/>
      <c r="AS306" s="1426"/>
      <c r="AT306" s="1426"/>
      <c r="AU306" s="1426"/>
      <c r="AV306" s="1426"/>
      <c r="AW306" s="1426"/>
      <c r="AX306" s="1426"/>
      <c r="AY306" s="1426"/>
      <c r="AZ306" s="1426"/>
      <c r="BA306" s="1426"/>
      <c r="BB306" s="1426"/>
      <c r="BC306" s="1426"/>
      <c r="BD306" s="1426"/>
      <c r="BE306" s="1426"/>
    </row>
    <row r="307" spans="1:57" s="5" customFormat="1">
      <c r="A307" s="1"/>
      <c r="B307" s="6"/>
      <c r="C307" s="4"/>
      <c r="D307" s="3"/>
      <c r="E307" s="4"/>
      <c r="F307" s="4"/>
      <c r="G307" s="1"/>
      <c r="H307" s="6"/>
      <c r="I307" s="6"/>
      <c r="J307" s="11"/>
      <c r="K307" s="510"/>
      <c r="L307" s="11"/>
      <c r="O307" s="2410"/>
      <c r="P307" s="2411"/>
      <c r="S307" s="1"/>
      <c r="T307" s="1"/>
      <c r="U307" s="6"/>
      <c r="V307" s="1766"/>
      <c r="W307" s="1766"/>
      <c r="X307" s="1766"/>
      <c r="Y307" s="1766"/>
      <c r="Z307" s="1767"/>
      <c r="AA307" s="1767"/>
      <c r="AB307" s="1766"/>
      <c r="AC307" s="1766"/>
      <c r="AD307" s="1766"/>
      <c r="AE307" s="1768"/>
      <c r="AF307" s="1799"/>
      <c r="AG307" s="1770"/>
      <c r="AH307" s="1771"/>
      <c r="AI307" s="1426"/>
      <c r="AJ307" s="1427"/>
      <c r="AK307" s="1426"/>
      <c r="AL307" s="1426"/>
      <c r="AM307" s="1426"/>
      <c r="AN307" s="1426"/>
      <c r="AO307" s="1426"/>
      <c r="AP307" s="1426"/>
      <c r="AQ307" s="1426"/>
      <c r="AR307" s="1426"/>
      <c r="AS307" s="1426"/>
      <c r="AT307" s="1426"/>
      <c r="AU307" s="1426"/>
      <c r="AV307" s="1426"/>
      <c r="AW307" s="1426"/>
      <c r="AX307" s="1426"/>
      <c r="AY307" s="1426"/>
      <c r="AZ307" s="1426"/>
      <c r="BA307" s="1426"/>
      <c r="BB307" s="1426"/>
      <c r="BC307" s="1426"/>
      <c r="BD307" s="1426"/>
      <c r="BE307" s="1426"/>
    </row>
    <row r="308" spans="1:57" s="5" customFormat="1">
      <c r="A308" s="1"/>
      <c r="B308" s="6"/>
      <c r="C308" s="4"/>
      <c r="D308" s="3"/>
      <c r="E308" s="4"/>
      <c r="F308" s="4"/>
      <c r="G308" s="1"/>
      <c r="H308" s="6"/>
      <c r="I308" s="6"/>
      <c r="J308" s="11"/>
      <c r="K308" s="510"/>
      <c r="L308" s="11"/>
      <c r="O308" s="2410"/>
      <c r="P308" s="2411"/>
      <c r="S308" s="1"/>
      <c r="T308" s="1"/>
      <c r="U308" s="6"/>
      <c r="V308" s="1766"/>
      <c r="W308" s="1766"/>
      <c r="X308" s="1766"/>
      <c r="Y308" s="1766"/>
      <c r="Z308" s="1767"/>
      <c r="AA308" s="1767"/>
      <c r="AB308" s="1766"/>
      <c r="AC308" s="1766"/>
      <c r="AD308" s="1766"/>
      <c r="AE308" s="1768"/>
      <c r="AF308" s="1799"/>
      <c r="AG308" s="1770"/>
      <c r="AH308" s="1771"/>
      <c r="AI308" s="1426"/>
      <c r="AJ308" s="1427"/>
      <c r="AK308" s="1426"/>
      <c r="AL308" s="1426"/>
      <c r="AM308" s="1426"/>
      <c r="AN308" s="1426"/>
      <c r="AO308" s="1426"/>
      <c r="AP308" s="1426"/>
      <c r="AQ308" s="1426"/>
      <c r="AR308" s="1426"/>
      <c r="AS308" s="1426"/>
      <c r="AT308" s="1426"/>
      <c r="AU308" s="1426"/>
      <c r="AV308" s="1426"/>
      <c r="AW308" s="1426"/>
      <c r="AX308" s="1426"/>
      <c r="AY308" s="1426"/>
      <c r="AZ308" s="1426"/>
      <c r="BA308" s="1426"/>
      <c r="BB308" s="1426"/>
      <c r="BC308" s="1426"/>
      <c r="BD308" s="1426"/>
      <c r="BE308" s="1426"/>
    </row>
    <row r="309" spans="1:57" s="5" customFormat="1">
      <c r="A309" s="1"/>
      <c r="B309" s="6"/>
      <c r="C309" s="4"/>
      <c r="D309" s="3"/>
      <c r="E309" s="4"/>
      <c r="F309" s="4"/>
      <c r="G309" s="1"/>
      <c r="H309" s="6"/>
      <c r="I309" s="6"/>
      <c r="J309" s="11"/>
      <c r="K309" s="510"/>
      <c r="L309" s="11"/>
      <c r="O309" s="2410"/>
      <c r="P309" s="2411"/>
      <c r="S309" s="1"/>
      <c r="T309" s="1"/>
      <c r="U309" s="6"/>
      <c r="V309" s="1766"/>
      <c r="W309" s="1766"/>
      <c r="X309" s="1766"/>
      <c r="Y309" s="1766"/>
      <c r="Z309" s="1767"/>
      <c r="AA309" s="1767"/>
      <c r="AB309" s="1766"/>
      <c r="AC309" s="1766"/>
      <c r="AD309" s="1766"/>
      <c r="AE309" s="1768"/>
      <c r="AF309" s="1799"/>
      <c r="AG309" s="1770"/>
      <c r="AH309" s="1771"/>
      <c r="AI309" s="1426"/>
      <c r="AJ309" s="1427"/>
      <c r="AK309" s="1426"/>
      <c r="AL309" s="1426"/>
      <c r="AM309" s="1426"/>
      <c r="AN309" s="1426"/>
      <c r="AO309" s="1426"/>
      <c r="AP309" s="1426"/>
      <c r="AQ309" s="1426"/>
      <c r="AR309" s="1426"/>
      <c r="AS309" s="1426"/>
      <c r="AT309" s="1426"/>
      <c r="AU309" s="1426"/>
      <c r="AV309" s="1426"/>
      <c r="AW309" s="1426"/>
      <c r="AX309" s="1426"/>
      <c r="AY309" s="1426"/>
      <c r="AZ309" s="1426"/>
      <c r="BA309" s="1426"/>
      <c r="BB309" s="1426"/>
      <c r="BC309" s="1426"/>
      <c r="BD309" s="1426"/>
      <c r="BE309" s="1426"/>
    </row>
    <row r="310" spans="1:57" s="5" customFormat="1">
      <c r="A310" s="1"/>
      <c r="B310" s="6"/>
      <c r="C310" s="4"/>
      <c r="D310" s="3"/>
      <c r="E310" s="4"/>
      <c r="F310" s="4"/>
      <c r="G310" s="1"/>
      <c r="H310" s="6"/>
      <c r="I310" s="6"/>
      <c r="J310" s="11"/>
      <c r="K310" s="510"/>
      <c r="L310" s="11"/>
      <c r="O310" s="2410"/>
      <c r="P310" s="2411"/>
      <c r="S310" s="1"/>
      <c r="T310" s="1"/>
      <c r="U310" s="6"/>
      <c r="V310" s="1766"/>
      <c r="W310" s="1766"/>
      <c r="X310" s="1766"/>
      <c r="Y310" s="1766"/>
      <c r="Z310" s="1767"/>
      <c r="AA310" s="1767"/>
      <c r="AB310" s="1766"/>
      <c r="AC310" s="1766"/>
      <c r="AD310" s="1766"/>
      <c r="AE310" s="1768"/>
      <c r="AF310" s="1799"/>
      <c r="AG310" s="1770"/>
      <c r="AH310" s="1771"/>
      <c r="AI310" s="1426"/>
      <c r="AJ310" s="1427"/>
      <c r="AK310" s="1426"/>
      <c r="AL310" s="1426"/>
      <c r="AM310" s="1426"/>
      <c r="AN310" s="1426"/>
      <c r="AO310" s="1426"/>
      <c r="AP310" s="1426"/>
      <c r="AQ310" s="1426"/>
      <c r="AR310" s="1426"/>
      <c r="AS310" s="1426"/>
      <c r="AT310" s="1426"/>
      <c r="AU310" s="1426"/>
      <c r="AV310" s="1426"/>
      <c r="AW310" s="1426"/>
      <c r="AX310" s="1426"/>
      <c r="AY310" s="1426"/>
      <c r="AZ310" s="1426"/>
      <c r="BA310" s="1426"/>
      <c r="BB310" s="1426"/>
      <c r="BC310" s="1426"/>
      <c r="BD310" s="1426"/>
      <c r="BE310" s="1426"/>
    </row>
    <row r="311" spans="1:57" s="5" customFormat="1">
      <c r="A311" s="1"/>
      <c r="B311" s="6"/>
      <c r="C311" s="4"/>
      <c r="D311" s="3"/>
      <c r="E311" s="4"/>
      <c r="F311" s="4"/>
      <c r="G311" s="1"/>
      <c r="H311" s="6"/>
      <c r="I311" s="6"/>
      <c r="J311" s="11"/>
      <c r="K311" s="510"/>
      <c r="L311" s="11"/>
      <c r="O311" s="2410"/>
      <c r="P311" s="2411"/>
      <c r="S311" s="1"/>
      <c r="T311" s="1"/>
      <c r="U311" s="6"/>
      <c r="V311" s="1766"/>
      <c r="W311" s="1766"/>
      <c r="X311" s="1766"/>
      <c r="Y311" s="1766"/>
      <c r="Z311" s="1767"/>
      <c r="AA311" s="1767"/>
      <c r="AB311" s="1766"/>
      <c r="AC311" s="1766"/>
      <c r="AD311" s="1766"/>
      <c r="AE311" s="1768"/>
      <c r="AF311" s="1799"/>
      <c r="AG311" s="1770"/>
      <c r="AH311" s="1771"/>
      <c r="AI311" s="1426"/>
      <c r="AJ311" s="1427"/>
      <c r="AK311" s="1426"/>
      <c r="AL311" s="1426"/>
      <c r="AM311" s="1426"/>
      <c r="AN311" s="1426"/>
      <c r="AO311" s="1426"/>
      <c r="AP311" s="1426"/>
      <c r="AQ311" s="1426"/>
      <c r="AR311" s="1426"/>
      <c r="AS311" s="1426"/>
      <c r="AT311" s="1426"/>
      <c r="AU311" s="1426"/>
      <c r="AV311" s="1426"/>
      <c r="AW311" s="1426"/>
      <c r="AX311" s="1426"/>
      <c r="AY311" s="1426"/>
      <c r="AZ311" s="1426"/>
      <c r="BA311" s="1426"/>
      <c r="BB311" s="1426"/>
      <c r="BC311" s="1426"/>
      <c r="BD311" s="1426"/>
      <c r="BE311" s="1426"/>
    </row>
    <row r="312" spans="1:57" s="5" customFormat="1">
      <c r="A312" s="1"/>
      <c r="B312" s="6"/>
      <c r="C312" s="4"/>
      <c r="D312" s="3"/>
      <c r="E312" s="4"/>
      <c r="F312" s="4"/>
      <c r="G312" s="1"/>
      <c r="H312" s="6"/>
      <c r="I312" s="6"/>
      <c r="J312" s="11"/>
      <c r="K312" s="510"/>
      <c r="L312" s="11"/>
      <c r="O312" s="2410"/>
      <c r="P312" s="2411"/>
      <c r="S312" s="1"/>
      <c r="T312" s="1"/>
      <c r="U312" s="6"/>
      <c r="V312" s="1766"/>
      <c r="W312" s="1766"/>
      <c r="X312" s="1766"/>
      <c r="Y312" s="1766"/>
      <c r="Z312" s="1767"/>
      <c r="AA312" s="1767"/>
      <c r="AB312" s="1766"/>
      <c r="AC312" s="1766"/>
      <c r="AD312" s="1766"/>
      <c r="AE312" s="1768"/>
      <c r="AF312" s="1799"/>
      <c r="AG312" s="1770"/>
      <c r="AH312" s="1771"/>
      <c r="AI312" s="1426"/>
      <c r="AJ312" s="1427"/>
      <c r="AK312" s="1426"/>
      <c r="AL312" s="1426"/>
      <c r="AM312" s="1426"/>
      <c r="AN312" s="1426"/>
      <c r="AO312" s="1426"/>
      <c r="AP312" s="1426"/>
      <c r="AQ312" s="1426"/>
      <c r="AR312" s="1426"/>
      <c r="AS312" s="1426"/>
      <c r="AT312" s="1426"/>
      <c r="AU312" s="1426"/>
      <c r="AV312" s="1426"/>
      <c r="AW312" s="1426"/>
      <c r="AX312" s="1426"/>
      <c r="AY312" s="1426"/>
      <c r="AZ312" s="1426"/>
      <c r="BA312" s="1426"/>
      <c r="BB312" s="1426"/>
      <c r="BC312" s="1426"/>
      <c r="BD312" s="1426"/>
      <c r="BE312" s="1426"/>
    </row>
    <row r="313" spans="1:57" s="5" customFormat="1">
      <c r="A313" s="1"/>
      <c r="B313" s="6"/>
      <c r="C313" s="4"/>
      <c r="D313" s="3"/>
      <c r="E313" s="4"/>
      <c r="F313" s="4"/>
      <c r="G313" s="1"/>
      <c r="H313" s="6"/>
      <c r="I313" s="6"/>
      <c r="J313" s="11"/>
      <c r="K313" s="510"/>
      <c r="L313" s="11"/>
      <c r="O313" s="2410"/>
      <c r="P313" s="2411"/>
      <c r="S313" s="1"/>
      <c r="T313" s="1"/>
      <c r="U313" s="6"/>
      <c r="V313" s="1766"/>
      <c r="W313" s="1766"/>
      <c r="X313" s="1766"/>
      <c r="Y313" s="1766"/>
      <c r="Z313" s="1767"/>
      <c r="AA313" s="1767"/>
      <c r="AB313" s="1766"/>
      <c r="AC313" s="1766"/>
      <c r="AD313" s="1766"/>
      <c r="AE313" s="1768"/>
      <c r="AF313" s="1799"/>
      <c r="AG313" s="1770"/>
      <c r="AH313" s="1771"/>
      <c r="AI313" s="1426"/>
      <c r="AJ313" s="1427"/>
      <c r="AK313" s="1426"/>
      <c r="AL313" s="1426"/>
      <c r="AM313" s="1426"/>
      <c r="AN313" s="1426"/>
      <c r="AO313" s="1426"/>
      <c r="AP313" s="1426"/>
      <c r="AQ313" s="1426"/>
      <c r="AR313" s="1426"/>
      <c r="AS313" s="1426"/>
      <c r="AT313" s="1426"/>
      <c r="AU313" s="1426"/>
      <c r="AV313" s="1426"/>
      <c r="AW313" s="1426"/>
      <c r="AX313" s="1426"/>
      <c r="AY313" s="1426"/>
      <c r="AZ313" s="1426"/>
      <c r="BA313" s="1426"/>
      <c r="BB313" s="1426"/>
      <c r="BC313" s="1426"/>
      <c r="BD313" s="1426"/>
      <c r="BE313" s="1426"/>
    </row>
    <row r="314" spans="1:57" s="5" customFormat="1">
      <c r="A314" s="1"/>
      <c r="B314" s="6"/>
      <c r="C314" s="4"/>
      <c r="D314" s="3"/>
      <c r="E314" s="4"/>
      <c r="F314" s="4"/>
      <c r="G314" s="1"/>
      <c r="H314" s="6"/>
      <c r="I314" s="6"/>
      <c r="J314" s="11"/>
      <c r="K314" s="510"/>
      <c r="L314" s="11"/>
      <c r="O314" s="2410"/>
      <c r="P314" s="2411"/>
      <c r="S314" s="1"/>
      <c r="T314" s="1"/>
      <c r="U314" s="6"/>
      <c r="V314" s="1766"/>
      <c r="W314" s="1766"/>
      <c r="X314" s="1766"/>
      <c r="Y314" s="1766"/>
      <c r="Z314" s="1767"/>
      <c r="AA314" s="1767"/>
      <c r="AB314" s="1766"/>
      <c r="AC314" s="1766"/>
      <c r="AD314" s="1766"/>
      <c r="AE314" s="1768"/>
      <c r="AF314" s="1799"/>
      <c r="AG314" s="1770"/>
      <c r="AH314" s="1771"/>
      <c r="AI314" s="1426"/>
      <c r="AJ314" s="1427"/>
      <c r="AK314" s="1426"/>
      <c r="AL314" s="1426"/>
      <c r="AM314" s="1426"/>
      <c r="AN314" s="1426"/>
      <c r="AO314" s="1426"/>
      <c r="AP314" s="1426"/>
      <c r="AQ314" s="1426"/>
      <c r="AR314" s="1426"/>
      <c r="AS314" s="1426"/>
      <c r="AT314" s="1426"/>
      <c r="AU314" s="1426"/>
      <c r="AV314" s="1426"/>
      <c r="AW314" s="1426"/>
      <c r="AX314" s="1426"/>
      <c r="AY314" s="1426"/>
      <c r="AZ314" s="1426"/>
      <c r="BA314" s="1426"/>
      <c r="BB314" s="1426"/>
      <c r="BC314" s="1426"/>
      <c r="BD314" s="1426"/>
      <c r="BE314" s="1426"/>
    </row>
    <row r="315" spans="1:57" s="5" customFormat="1">
      <c r="A315" s="1"/>
      <c r="B315" s="6"/>
      <c r="C315" s="4"/>
      <c r="D315" s="3"/>
      <c r="E315" s="4"/>
      <c r="F315" s="4"/>
      <c r="G315" s="1"/>
      <c r="H315" s="6"/>
      <c r="I315" s="6"/>
      <c r="J315" s="11"/>
      <c r="K315" s="510"/>
      <c r="L315" s="11"/>
      <c r="O315" s="2410"/>
      <c r="P315" s="2411"/>
      <c r="S315" s="1"/>
      <c r="T315" s="1"/>
      <c r="U315" s="6"/>
      <c r="V315" s="1766"/>
      <c r="W315" s="1766"/>
      <c r="X315" s="1766"/>
      <c r="Y315" s="1766"/>
      <c r="Z315" s="1767"/>
      <c r="AA315" s="1767"/>
      <c r="AB315" s="1766"/>
      <c r="AC315" s="1766"/>
      <c r="AD315" s="1766"/>
      <c r="AE315" s="1768"/>
      <c r="AF315" s="1799"/>
      <c r="AG315" s="1770"/>
      <c r="AH315" s="1771"/>
      <c r="AI315" s="1426"/>
      <c r="AJ315" s="1427"/>
      <c r="AK315" s="1426"/>
      <c r="AL315" s="1426"/>
      <c r="AM315" s="1426"/>
      <c r="AN315" s="1426"/>
      <c r="AO315" s="1426"/>
      <c r="AP315" s="1426"/>
      <c r="AQ315" s="1426"/>
      <c r="AR315" s="1426"/>
      <c r="AS315" s="1426"/>
      <c r="AT315" s="1426"/>
      <c r="AU315" s="1426"/>
      <c r="AV315" s="1426"/>
      <c r="AW315" s="1426"/>
      <c r="AX315" s="1426"/>
      <c r="AY315" s="1426"/>
      <c r="AZ315" s="1426"/>
      <c r="BA315" s="1426"/>
      <c r="BB315" s="1426"/>
      <c r="BC315" s="1426"/>
      <c r="BD315" s="1426"/>
      <c r="BE315" s="1426"/>
    </row>
    <row r="316" spans="1:57" s="5" customFormat="1">
      <c r="A316" s="1"/>
      <c r="B316" s="6"/>
      <c r="C316" s="4"/>
      <c r="D316" s="3"/>
      <c r="E316" s="4"/>
      <c r="F316" s="4"/>
      <c r="G316" s="1"/>
      <c r="H316" s="6"/>
      <c r="I316" s="6"/>
      <c r="J316" s="11"/>
      <c r="K316" s="510"/>
      <c r="L316" s="11"/>
      <c r="O316" s="2410"/>
      <c r="P316" s="2411"/>
      <c r="S316" s="1"/>
      <c r="T316" s="1"/>
      <c r="U316" s="6"/>
      <c r="V316" s="1766"/>
      <c r="W316" s="1766"/>
      <c r="X316" s="1766"/>
      <c r="Y316" s="1766"/>
      <c r="Z316" s="1767"/>
      <c r="AA316" s="1767"/>
      <c r="AB316" s="1766"/>
      <c r="AC316" s="1766"/>
      <c r="AD316" s="1766"/>
      <c r="AE316" s="1768"/>
      <c r="AF316" s="1799"/>
      <c r="AG316" s="1770"/>
      <c r="AH316" s="1771"/>
      <c r="AI316" s="1426"/>
      <c r="AJ316" s="1427"/>
      <c r="AK316" s="1426"/>
      <c r="AL316" s="1426"/>
      <c r="AM316" s="1426"/>
      <c r="AN316" s="1426"/>
      <c r="AO316" s="1426"/>
      <c r="AP316" s="1426"/>
      <c r="AQ316" s="1426"/>
      <c r="AR316" s="1426"/>
      <c r="AS316" s="1426"/>
      <c r="AT316" s="1426"/>
      <c r="AU316" s="1426"/>
      <c r="AV316" s="1426"/>
      <c r="AW316" s="1426"/>
      <c r="AX316" s="1426"/>
      <c r="AY316" s="1426"/>
      <c r="AZ316" s="1426"/>
      <c r="BA316" s="1426"/>
      <c r="BB316" s="1426"/>
      <c r="BC316" s="1426"/>
      <c r="BD316" s="1426"/>
      <c r="BE316" s="1426"/>
    </row>
    <row r="317" spans="1:57" s="5" customFormat="1">
      <c r="A317" s="1"/>
      <c r="B317" s="6"/>
      <c r="C317" s="4"/>
      <c r="D317" s="3"/>
      <c r="E317" s="4"/>
      <c r="F317" s="4"/>
      <c r="G317" s="1"/>
      <c r="H317" s="6"/>
      <c r="I317" s="6"/>
      <c r="J317" s="11"/>
      <c r="K317" s="510"/>
      <c r="L317" s="11"/>
      <c r="O317" s="2410"/>
      <c r="P317" s="2411"/>
      <c r="S317" s="1"/>
      <c r="T317" s="1"/>
      <c r="U317" s="6"/>
      <c r="V317" s="1766"/>
      <c r="W317" s="1766"/>
      <c r="X317" s="1766"/>
      <c r="Y317" s="1766"/>
      <c r="Z317" s="1767"/>
      <c r="AA317" s="1767"/>
      <c r="AB317" s="1766"/>
      <c r="AC317" s="1766"/>
      <c r="AD317" s="1766"/>
      <c r="AE317" s="1768"/>
      <c r="AF317" s="1799"/>
      <c r="AG317" s="1770"/>
      <c r="AH317" s="1771"/>
      <c r="AI317" s="1426"/>
      <c r="AJ317" s="1427"/>
      <c r="AK317" s="1426"/>
      <c r="AL317" s="1426"/>
      <c r="AM317" s="1426"/>
      <c r="AN317" s="1426"/>
      <c r="AO317" s="1426"/>
      <c r="AP317" s="1426"/>
      <c r="AQ317" s="1426"/>
      <c r="AR317" s="1426"/>
      <c r="AS317" s="1426"/>
      <c r="AT317" s="1426"/>
      <c r="AU317" s="1426"/>
      <c r="AV317" s="1426"/>
      <c r="AW317" s="1426"/>
      <c r="AX317" s="1426"/>
      <c r="AY317" s="1426"/>
      <c r="AZ317" s="1426"/>
      <c r="BA317" s="1426"/>
      <c r="BB317" s="1426"/>
      <c r="BC317" s="1426"/>
      <c r="BD317" s="1426"/>
      <c r="BE317" s="1426"/>
    </row>
    <row r="318" spans="1:57" s="5" customFormat="1">
      <c r="A318" s="1"/>
      <c r="B318" s="6"/>
      <c r="C318" s="4"/>
      <c r="D318" s="3"/>
      <c r="E318" s="4"/>
      <c r="F318" s="4"/>
      <c r="G318" s="1"/>
      <c r="H318" s="6"/>
      <c r="I318" s="6"/>
      <c r="J318" s="11"/>
      <c r="K318" s="510"/>
      <c r="L318" s="11"/>
      <c r="O318" s="2410"/>
      <c r="P318" s="2411"/>
      <c r="S318" s="1"/>
      <c r="T318" s="1"/>
      <c r="U318" s="6"/>
      <c r="V318" s="1766"/>
      <c r="W318" s="1766"/>
      <c r="X318" s="1766"/>
      <c r="Y318" s="1766"/>
      <c r="Z318" s="1767"/>
      <c r="AA318" s="1767"/>
      <c r="AB318" s="1766"/>
      <c r="AC318" s="1766"/>
      <c r="AD318" s="1766"/>
      <c r="AE318" s="1768"/>
      <c r="AF318" s="1799"/>
      <c r="AG318" s="1770"/>
      <c r="AH318" s="1771"/>
      <c r="AI318" s="1426"/>
      <c r="AJ318" s="1427"/>
      <c r="AK318" s="1426"/>
      <c r="AL318" s="1426"/>
      <c r="AM318" s="1426"/>
      <c r="AN318" s="1426"/>
      <c r="AO318" s="1426"/>
      <c r="AP318" s="1426"/>
      <c r="AQ318" s="1426"/>
      <c r="AR318" s="1426"/>
      <c r="AS318" s="1426"/>
      <c r="AT318" s="1426"/>
      <c r="AU318" s="1426"/>
      <c r="AV318" s="1426"/>
      <c r="AW318" s="1426"/>
      <c r="AX318" s="1426"/>
      <c r="AY318" s="1426"/>
      <c r="AZ318" s="1426"/>
      <c r="BA318" s="1426"/>
      <c r="BB318" s="1426"/>
      <c r="BC318" s="1426"/>
      <c r="BD318" s="1426"/>
      <c r="BE318" s="1426"/>
    </row>
    <row r="319" spans="1:57" s="5" customFormat="1">
      <c r="A319" s="1"/>
      <c r="B319" s="6"/>
      <c r="C319" s="4"/>
      <c r="D319" s="3"/>
      <c r="E319" s="4"/>
      <c r="F319" s="4"/>
      <c r="G319" s="1"/>
      <c r="H319" s="6"/>
      <c r="I319" s="6"/>
      <c r="J319" s="11"/>
      <c r="K319" s="510"/>
      <c r="L319" s="11"/>
      <c r="O319" s="2410"/>
      <c r="P319" s="2411"/>
      <c r="S319" s="1"/>
      <c r="T319" s="1"/>
      <c r="U319" s="6"/>
      <c r="V319" s="1766"/>
      <c r="W319" s="1766"/>
      <c r="X319" s="1766"/>
      <c r="Y319" s="1766"/>
      <c r="Z319" s="1767"/>
      <c r="AA319" s="1767"/>
      <c r="AB319" s="1766"/>
      <c r="AC319" s="1766"/>
      <c r="AD319" s="1766"/>
      <c r="AE319" s="1768"/>
      <c r="AF319" s="1799"/>
      <c r="AG319" s="1770"/>
      <c r="AH319" s="1771"/>
      <c r="AI319" s="1426"/>
      <c r="AJ319" s="1427"/>
      <c r="AK319" s="1426"/>
      <c r="AL319" s="1426"/>
      <c r="AM319" s="1426"/>
      <c r="AN319" s="1426"/>
      <c r="AO319" s="1426"/>
      <c r="AP319" s="1426"/>
      <c r="AQ319" s="1426"/>
      <c r="AR319" s="1426"/>
      <c r="AS319" s="1426"/>
      <c r="AT319" s="1426"/>
      <c r="AU319" s="1426"/>
      <c r="AV319" s="1426"/>
      <c r="AW319" s="1426"/>
      <c r="AX319" s="1426"/>
      <c r="AY319" s="1426"/>
      <c r="AZ319" s="1426"/>
      <c r="BA319" s="1426"/>
      <c r="BB319" s="1426"/>
      <c r="BC319" s="1426"/>
      <c r="BD319" s="1426"/>
      <c r="BE319" s="1426"/>
    </row>
    <row r="320" spans="1:57" s="5" customFormat="1">
      <c r="A320" s="1"/>
      <c r="B320" s="6"/>
      <c r="C320" s="4"/>
      <c r="D320" s="3"/>
      <c r="E320" s="4"/>
      <c r="F320" s="4"/>
      <c r="G320" s="1"/>
      <c r="H320" s="6"/>
      <c r="I320" s="6"/>
      <c r="J320" s="11"/>
      <c r="K320" s="510"/>
      <c r="L320" s="11"/>
      <c r="O320" s="2410"/>
      <c r="P320" s="2411"/>
      <c r="S320" s="1"/>
      <c r="T320" s="1"/>
      <c r="U320" s="6"/>
      <c r="V320" s="1766"/>
      <c r="W320" s="1766"/>
      <c r="X320" s="1766"/>
      <c r="Y320" s="1766"/>
      <c r="Z320" s="1767"/>
      <c r="AA320" s="1767"/>
      <c r="AB320" s="1766"/>
      <c r="AC320" s="1766"/>
      <c r="AD320" s="1766"/>
      <c r="AE320" s="1768"/>
      <c r="AF320" s="1799"/>
      <c r="AG320" s="1770"/>
      <c r="AH320" s="1771"/>
      <c r="AI320" s="1426"/>
      <c r="AJ320" s="1427"/>
      <c r="AK320" s="1426"/>
      <c r="AL320" s="1426"/>
      <c r="AM320" s="1426"/>
      <c r="AN320" s="1426"/>
      <c r="AO320" s="1426"/>
      <c r="AP320" s="1426"/>
      <c r="AQ320" s="1426"/>
      <c r="AR320" s="1426"/>
      <c r="AS320" s="1426"/>
      <c r="AT320" s="1426"/>
      <c r="AU320" s="1426"/>
      <c r="AV320" s="1426"/>
      <c r="AW320" s="1426"/>
      <c r="AX320" s="1426"/>
      <c r="AY320" s="1426"/>
      <c r="AZ320" s="1426"/>
      <c r="BA320" s="1426"/>
      <c r="BB320" s="1426"/>
      <c r="BC320" s="1426"/>
      <c r="BD320" s="1426"/>
      <c r="BE320" s="1426"/>
    </row>
    <row r="321" spans="1:57" s="5" customFormat="1">
      <c r="A321" s="1"/>
      <c r="B321" s="6"/>
      <c r="C321" s="4"/>
      <c r="D321" s="3"/>
      <c r="E321" s="4"/>
      <c r="F321" s="4"/>
      <c r="G321" s="1"/>
      <c r="H321" s="6"/>
      <c r="I321" s="6"/>
      <c r="J321" s="11"/>
      <c r="K321" s="510"/>
      <c r="L321" s="11"/>
      <c r="O321" s="2410"/>
      <c r="P321" s="2411"/>
      <c r="S321" s="1"/>
      <c r="T321" s="1"/>
      <c r="U321" s="6"/>
      <c r="V321" s="1766"/>
      <c r="W321" s="1766"/>
      <c r="X321" s="1766"/>
      <c r="Y321" s="1766"/>
      <c r="Z321" s="1767"/>
      <c r="AA321" s="1767"/>
      <c r="AB321" s="1766"/>
      <c r="AC321" s="1766"/>
      <c r="AD321" s="1766"/>
      <c r="AE321" s="1768"/>
      <c r="AF321" s="1799"/>
      <c r="AG321" s="1770"/>
      <c r="AH321" s="1771"/>
      <c r="AI321" s="1426"/>
      <c r="AJ321" s="1427"/>
      <c r="AK321" s="1426"/>
      <c r="AL321" s="1426"/>
      <c r="AM321" s="1426"/>
      <c r="AN321" s="1426"/>
      <c r="AO321" s="1426"/>
      <c r="AP321" s="1426"/>
      <c r="AQ321" s="1426"/>
      <c r="AR321" s="1426"/>
      <c r="AS321" s="1426"/>
      <c r="AT321" s="1426"/>
      <c r="AU321" s="1426"/>
      <c r="AV321" s="1426"/>
      <c r="AW321" s="1426"/>
      <c r="AX321" s="1426"/>
      <c r="AY321" s="1426"/>
      <c r="AZ321" s="1426"/>
      <c r="BA321" s="1426"/>
      <c r="BB321" s="1426"/>
      <c r="BC321" s="1426"/>
      <c r="BD321" s="1426"/>
      <c r="BE321" s="1426"/>
    </row>
    <row r="322" spans="1:57" s="5" customFormat="1">
      <c r="A322" s="1"/>
      <c r="B322" s="6"/>
      <c r="C322" s="4"/>
      <c r="D322" s="3"/>
      <c r="E322" s="4"/>
      <c r="F322" s="4"/>
      <c r="G322" s="1"/>
      <c r="H322" s="6"/>
      <c r="I322" s="6"/>
      <c r="J322" s="11"/>
      <c r="K322" s="510"/>
      <c r="L322" s="11"/>
      <c r="O322" s="2410"/>
      <c r="P322" s="2411"/>
      <c r="S322" s="1"/>
      <c r="T322" s="1"/>
      <c r="U322" s="6"/>
      <c r="V322" s="1766"/>
      <c r="W322" s="1766"/>
      <c r="X322" s="1766"/>
      <c r="Y322" s="1766"/>
      <c r="Z322" s="1767"/>
      <c r="AA322" s="1767"/>
      <c r="AB322" s="1766"/>
      <c r="AC322" s="1766"/>
      <c r="AD322" s="1766"/>
      <c r="AE322" s="1768"/>
      <c r="AF322" s="1799"/>
      <c r="AG322" s="1770"/>
      <c r="AH322" s="1771"/>
      <c r="AI322" s="1426"/>
      <c r="AJ322" s="1427"/>
      <c r="AK322" s="1426"/>
      <c r="AL322" s="1426"/>
      <c r="AM322" s="1426"/>
      <c r="AN322" s="1426"/>
      <c r="AO322" s="1426"/>
      <c r="AP322" s="1426"/>
      <c r="AQ322" s="1426"/>
      <c r="AR322" s="1426"/>
      <c r="AS322" s="1426"/>
      <c r="AT322" s="1426"/>
      <c r="AU322" s="1426"/>
      <c r="AV322" s="1426"/>
      <c r="AW322" s="1426"/>
      <c r="AX322" s="1426"/>
      <c r="AY322" s="1426"/>
      <c r="AZ322" s="1426"/>
      <c r="BA322" s="1426"/>
      <c r="BB322" s="1426"/>
      <c r="BC322" s="1426"/>
      <c r="BD322" s="1426"/>
      <c r="BE322" s="1426"/>
    </row>
    <row r="323" spans="1:57" s="5" customFormat="1">
      <c r="A323" s="1"/>
      <c r="B323" s="6"/>
      <c r="C323" s="4"/>
      <c r="D323" s="3"/>
      <c r="E323" s="4"/>
      <c r="F323" s="4"/>
      <c r="G323" s="1"/>
      <c r="H323" s="6"/>
      <c r="I323" s="6"/>
      <c r="J323" s="11"/>
      <c r="K323" s="510"/>
      <c r="L323" s="11"/>
      <c r="O323" s="2410"/>
      <c r="P323" s="2411"/>
      <c r="S323" s="1"/>
      <c r="T323" s="1"/>
      <c r="U323" s="6"/>
      <c r="V323" s="1766"/>
      <c r="W323" s="1766"/>
      <c r="X323" s="1766"/>
      <c r="Y323" s="1766"/>
      <c r="Z323" s="1767"/>
      <c r="AA323" s="1767"/>
      <c r="AB323" s="1766"/>
      <c r="AC323" s="1766"/>
      <c r="AD323" s="1766"/>
      <c r="AE323" s="1768"/>
      <c r="AF323" s="1799"/>
      <c r="AG323" s="1770"/>
      <c r="AH323" s="1771"/>
      <c r="AI323" s="1426"/>
      <c r="AJ323" s="1427"/>
      <c r="AK323" s="1426"/>
      <c r="AL323" s="1426"/>
      <c r="AM323" s="1426"/>
      <c r="AN323" s="1426"/>
      <c r="AO323" s="1426"/>
      <c r="AP323" s="1426"/>
      <c r="AQ323" s="1426"/>
      <c r="AR323" s="1426"/>
      <c r="AS323" s="1426"/>
      <c r="AT323" s="1426"/>
      <c r="AU323" s="1426"/>
      <c r="AV323" s="1426"/>
      <c r="AW323" s="1426"/>
      <c r="AX323" s="1426"/>
      <c r="AY323" s="1426"/>
      <c r="AZ323" s="1426"/>
      <c r="BA323" s="1426"/>
      <c r="BB323" s="1426"/>
      <c r="BC323" s="1426"/>
      <c r="BD323" s="1426"/>
      <c r="BE323" s="1426"/>
    </row>
    <row r="324" spans="1:57" s="5" customFormat="1">
      <c r="A324" s="1"/>
      <c r="B324" s="6"/>
      <c r="C324" s="4"/>
      <c r="D324" s="3"/>
      <c r="E324" s="4"/>
      <c r="F324" s="4"/>
      <c r="G324" s="1"/>
      <c r="H324" s="6"/>
      <c r="I324" s="6"/>
      <c r="J324" s="11"/>
      <c r="K324" s="510"/>
      <c r="L324" s="11"/>
      <c r="O324" s="2410"/>
      <c r="P324" s="2411"/>
      <c r="S324" s="1"/>
      <c r="T324" s="1"/>
      <c r="U324" s="6"/>
      <c r="V324" s="1766"/>
      <c r="W324" s="1766"/>
      <c r="X324" s="1766"/>
      <c r="Y324" s="1766"/>
      <c r="Z324" s="1767"/>
      <c r="AA324" s="1767"/>
      <c r="AB324" s="1766"/>
      <c r="AC324" s="1766"/>
      <c r="AD324" s="1766"/>
      <c r="AE324" s="1768"/>
      <c r="AF324" s="1799"/>
      <c r="AG324" s="1770"/>
      <c r="AH324" s="1771"/>
      <c r="AI324" s="1426"/>
      <c r="AJ324" s="1427"/>
      <c r="AK324" s="1426"/>
      <c r="AL324" s="1426"/>
      <c r="AM324" s="1426"/>
      <c r="AN324" s="1426"/>
      <c r="AO324" s="1426"/>
      <c r="AP324" s="1426"/>
      <c r="AQ324" s="1426"/>
      <c r="AR324" s="1426"/>
      <c r="AS324" s="1426"/>
      <c r="AT324" s="1426"/>
      <c r="AU324" s="1426"/>
      <c r="AV324" s="1426"/>
      <c r="AW324" s="1426"/>
      <c r="AX324" s="1426"/>
      <c r="AY324" s="1426"/>
      <c r="AZ324" s="1426"/>
      <c r="BA324" s="1426"/>
      <c r="BB324" s="1426"/>
      <c r="BC324" s="1426"/>
      <c r="BD324" s="1426"/>
      <c r="BE324" s="1426"/>
    </row>
    <row r="325" spans="1:57" s="5" customFormat="1">
      <c r="A325" s="1"/>
      <c r="B325" s="6"/>
      <c r="C325" s="4"/>
      <c r="D325" s="3"/>
      <c r="E325" s="4"/>
      <c r="F325" s="4"/>
      <c r="G325" s="1"/>
      <c r="H325" s="6"/>
      <c r="I325" s="6"/>
      <c r="J325" s="11"/>
      <c r="K325" s="510"/>
      <c r="L325" s="11"/>
      <c r="O325" s="2410"/>
      <c r="P325" s="2411"/>
      <c r="S325" s="1"/>
      <c r="T325" s="1"/>
      <c r="U325" s="6"/>
      <c r="V325" s="1766"/>
      <c r="W325" s="1766"/>
      <c r="X325" s="1766"/>
      <c r="Y325" s="1766"/>
      <c r="Z325" s="1767"/>
      <c r="AA325" s="1767"/>
      <c r="AB325" s="1766"/>
      <c r="AC325" s="1766"/>
      <c r="AD325" s="1766"/>
      <c r="AE325" s="1768"/>
      <c r="AF325" s="1799"/>
      <c r="AG325" s="1770"/>
      <c r="AH325" s="1771"/>
      <c r="AI325" s="1426"/>
      <c r="AJ325" s="1427"/>
      <c r="AK325" s="1426"/>
      <c r="AL325" s="1426"/>
      <c r="AM325" s="1426"/>
      <c r="AN325" s="1426"/>
      <c r="AO325" s="1426"/>
      <c r="AP325" s="1426"/>
      <c r="AQ325" s="1426"/>
      <c r="AR325" s="1426"/>
      <c r="AS325" s="1426"/>
      <c r="AT325" s="1426"/>
      <c r="AU325" s="1426"/>
      <c r="AV325" s="1426"/>
      <c r="AW325" s="1426"/>
      <c r="AX325" s="1426"/>
      <c r="AY325" s="1426"/>
      <c r="AZ325" s="1426"/>
      <c r="BA325" s="1426"/>
      <c r="BB325" s="1426"/>
      <c r="BC325" s="1426"/>
      <c r="BD325" s="1426"/>
      <c r="BE325" s="1426"/>
    </row>
    <row r="326" spans="1:57" s="5" customFormat="1">
      <c r="A326" s="1"/>
      <c r="B326" s="6"/>
      <c r="C326" s="4"/>
      <c r="D326" s="3"/>
      <c r="E326" s="4"/>
      <c r="F326" s="4"/>
      <c r="G326" s="1"/>
      <c r="H326" s="6"/>
      <c r="I326" s="6"/>
      <c r="J326" s="11"/>
      <c r="K326" s="510"/>
      <c r="L326" s="11"/>
      <c r="O326" s="2410"/>
      <c r="P326" s="2411"/>
      <c r="S326" s="1"/>
      <c r="T326" s="1"/>
      <c r="U326" s="6"/>
      <c r="V326" s="1766"/>
      <c r="W326" s="1766"/>
      <c r="X326" s="1766"/>
      <c r="Y326" s="1766"/>
      <c r="Z326" s="1767"/>
      <c r="AA326" s="1767"/>
      <c r="AB326" s="1766"/>
      <c r="AC326" s="1766"/>
      <c r="AD326" s="1766"/>
      <c r="AE326" s="1768"/>
      <c r="AF326" s="1799"/>
      <c r="AG326" s="1770"/>
      <c r="AH326" s="1771"/>
      <c r="AI326" s="1426"/>
      <c r="AJ326" s="1427"/>
      <c r="AK326" s="1426"/>
      <c r="AL326" s="1426"/>
      <c r="AM326" s="1426"/>
      <c r="AN326" s="1426"/>
      <c r="AO326" s="1426"/>
      <c r="AP326" s="1426"/>
      <c r="AQ326" s="1426"/>
      <c r="AR326" s="1426"/>
      <c r="AS326" s="1426"/>
      <c r="AT326" s="1426"/>
      <c r="AU326" s="1426"/>
      <c r="AV326" s="1426"/>
      <c r="AW326" s="1426"/>
      <c r="AX326" s="1426"/>
      <c r="AY326" s="1426"/>
      <c r="AZ326" s="1426"/>
      <c r="BA326" s="1426"/>
      <c r="BB326" s="1426"/>
      <c r="BC326" s="1426"/>
      <c r="BD326" s="1426"/>
      <c r="BE326" s="1426"/>
    </row>
    <row r="327" spans="1:57">
      <c r="AI327" s="1426"/>
      <c r="AJ327" s="1427"/>
      <c r="AK327" s="1427"/>
      <c r="AL327" s="1427"/>
      <c r="AM327" s="1427"/>
      <c r="AN327" s="1427"/>
      <c r="AO327" s="1427"/>
      <c r="AP327" s="1427"/>
      <c r="AQ327" s="1427"/>
      <c r="AR327" s="1427"/>
      <c r="AS327" s="1427"/>
      <c r="AT327" s="1427"/>
      <c r="AU327" s="1427"/>
      <c r="AV327" s="1427"/>
      <c r="AW327" s="1427"/>
      <c r="AX327" s="1427"/>
      <c r="AY327" s="1427"/>
      <c r="AZ327" s="1427"/>
      <c r="BA327" s="1427"/>
      <c r="BB327" s="1427"/>
      <c r="BC327" s="1427"/>
      <c r="BD327" s="1427"/>
      <c r="BE327" s="1427"/>
    </row>
    <row r="328" spans="1:57">
      <c r="AI328" s="1426"/>
      <c r="AJ328" s="1427"/>
      <c r="AK328" s="1427"/>
      <c r="AL328" s="1427"/>
      <c r="AM328" s="1427"/>
      <c r="AN328" s="1427"/>
      <c r="AO328" s="1427"/>
      <c r="AP328" s="1427"/>
      <c r="AQ328" s="1427"/>
      <c r="AR328" s="1427"/>
      <c r="AS328" s="1427"/>
      <c r="AT328" s="1427"/>
      <c r="AU328" s="1427"/>
      <c r="AV328" s="1427"/>
      <c r="AW328" s="1427"/>
      <c r="AX328" s="1427"/>
      <c r="AY328" s="1427"/>
      <c r="AZ328" s="1427"/>
      <c r="BA328" s="1427"/>
      <c r="BB328" s="1427"/>
      <c r="BC328" s="1427"/>
      <c r="BD328" s="1427"/>
      <c r="BE328" s="1427"/>
    </row>
    <row r="329" spans="1:57">
      <c r="AI329" s="1426"/>
      <c r="AJ329" s="1427"/>
      <c r="AK329" s="1427"/>
      <c r="AL329" s="1427"/>
      <c r="AM329" s="1427"/>
      <c r="AN329" s="1427"/>
      <c r="AO329" s="1427"/>
      <c r="AP329" s="1427"/>
      <c r="AQ329" s="1427"/>
      <c r="AR329" s="1427"/>
      <c r="AS329" s="1427"/>
      <c r="AT329" s="1427"/>
      <c r="AU329" s="1427"/>
      <c r="AV329" s="1427"/>
      <c r="AW329" s="1427"/>
      <c r="AX329" s="1427"/>
      <c r="AY329" s="1427"/>
      <c r="AZ329" s="1427"/>
      <c r="BA329" s="1427"/>
      <c r="BB329" s="1427"/>
      <c r="BC329" s="1427"/>
      <c r="BD329" s="1427"/>
      <c r="BE329" s="1427"/>
    </row>
    <row r="330" spans="1:57">
      <c r="AI330" s="1426"/>
      <c r="AJ330" s="1427"/>
      <c r="AK330" s="1427"/>
      <c r="AL330" s="1427"/>
      <c r="AM330" s="1427"/>
      <c r="AN330" s="1427"/>
      <c r="AO330" s="1427"/>
      <c r="AP330" s="1427"/>
      <c r="AQ330" s="1427"/>
      <c r="AR330" s="1427"/>
      <c r="AS330" s="1427"/>
      <c r="AT330" s="1427"/>
      <c r="AU330" s="1427"/>
      <c r="AV330" s="1427"/>
      <c r="AW330" s="1427"/>
      <c r="AX330" s="1427"/>
      <c r="AY330" s="1427"/>
      <c r="AZ330" s="1427"/>
      <c r="BA330" s="1427"/>
      <c r="BB330" s="1427"/>
      <c r="BC330" s="1427"/>
      <c r="BD330" s="1427"/>
      <c r="BE330" s="1427"/>
    </row>
    <row r="331" spans="1:57">
      <c r="AI331" s="1426"/>
      <c r="AJ331" s="1427"/>
      <c r="AK331" s="1427"/>
      <c r="AL331" s="1427"/>
      <c r="AM331" s="1427"/>
      <c r="AN331" s="1427"/>
      <c r="AO331" s="1427"/>
      <c r="AP331" s="1427"/>
      <c r="AQ331" s="1427"/>
      <c r="AR331" s="1427"/>
      <c r="AS331" s="1427"/>
      <c r="AT331" s="1427"/>
      <c r="AU331" s="1427"/>
      <c r="AV331" s="1427"/>
      <c r="AW331" s="1427"/>
      <c r="AX331" s="1427"/>
      <c r="AY331" s="1427"/>
      <c r="AZ331" s="1427"/>
      <c r="BA331" s="1427"/>
      <c r="BB331" s="1427"/>
      <c r="BC331" s="1427"/>
      <c r="BD331" s="1427"/>
      <c r="BE331" s="1427"/>
    </row>
    <row r="332" spans="1:57">
      <c r="AI332" s="1426"/>
      <c r="AJ332" s="1427"/>
      <c r="AK332" s="1427"/>
      <c r="AL332" s="1427"/>
      <c r="AM332" s="1427"/>
      <c r="AN332" s="1427"/>
      <c r="AO332" s="1427"/>
      <c r="AP332" s="1427"/>
      <c r="AQ332" s="1427"/>
      <c r="AR332" s="1427"/>
      <c r="AS332" s="1427"/>
      <c r="AT332" s="1427"/>
      <c r="AU332" s="1427"/>
      <c r="AV332" s="1427"/>
      <c r="AW332" s="1427"/>
      <c r="AX332" s="1427"/>
      <c r="AY332" s="1427"/>
      <c r="AZ332" s="1427"/>
      <c r="BA332" s="1427"/>
      <c r="BB332" s="1427"/>
      <c r="BC332" s="1427"/>
      <c r="BD332" s="1427"/>
      <c r="BE332" s="1427"/>
    </row>
    <row r="333" spans="1:57">
      <c r="AI333" s="1426"/>
      <c r="AJ333" s="1427"/>
      <c r="AK333" s="1427"/>
      <c r="AL333" s="1427"/>
      <c r="AM333" s="1427"/>
      <c r="AN333" s="1427"/>
      <c r="AO333" s="1427"/>
      <c r="AP333" s="1427"/>
      <c r="AQ333" s="1427"/>
      <c r="AR333" s="1427"/>
      <c r="AS333" s="1427"/>
      <c r="AT333" s="1427"/>
      <c r="AU333" s="1427"/>
      <c r="AV333" s="1427"/>
      <c r="AW333" s="1427"/>
      <c r="AX333" s="1427"/>
      <c r="AY333" s="1427"/>
      <c r="AZ333" s="1427"/>
      <c r="BA333" s="1427"/>
      <c r="BB333" s="1427"/>
      <c r="BC333" s="1427"/>
      <c r="BD333" s="1427"/>
      <c r="BE333" s="1427"/>
    </row>
    <row r="334" spans="1:57">
      <c r="AI334" s="1426"/>
      <c r="AJ334" s="1427"/>
      <c r="AK334" s="1427"/>
      <c r="AL334" s="1427"/>
      <c r="AM334" s="1427"/>
      <c r="AN334" s="1427"/>
      <c r="AO334" s="1427"/>
      <c r="AP334" s="1427"/>
      <c r="AQ334" s="1427"/>
      <c r="AR334" s="1427"/>
      <c r="AS334" s="1427"/>
      <c r="AT334" s="1427"/>
      <c r="AU334" s="1427"/>
      <c r="AV334" s="1427"/>
      <c r="AW334" s="1427"/>
      <c r="AX334" s="1427"/>
      <c r="AY334" s="1427"/>
      <c r="AZ334" s="1427"/>
      <c r="BA334" s="1427"/>
      <c r="BB334" s="1427"/>
      <c r="BC334" s="1427"/>
      <c r="BD334" s="1427"/>
      <c r="BE334" s="1427"/>
    </row>
    <row r="335" spans="1:57">
      <c r="AI335" s="1426"/>
      <c r="AJ335" s="1427"/>
      <c r="AK335" s="1427"/>
      <c r="AL335" s="1427"/>
      <c r="AM335" s="1427"/>
      <c r="AN335" s="1427"/>
      <c r="AO335" s="1427"/>
      <c r="AP335" s="1427"/>
      <c r="AQ335" s="1427"/>
      <c r="AR335" s="1427"/>
      <c r="AS335" s="1427"/>
      <c r="AT335" s="1427"/>
      <c r="AU335" s="1427"/>
      <c r="AV335" s="1427"/>
      <c r="AW335" s="1427"/>
      <c r="AX335" s="1427"/>
      <c r="AY335" s="1427"/>
      <c r="AZ335" s="1427"/>
      <c r="BA335" s="1427"/>
      <c r="BB335" s="1427"/>
      <c r="BC335" s="1427"/>
      <c r="BD335" s="1427"/>
      <c r="BE335" s="1427"/>
    </row>
    <row r="336" spans="1:57">
      <c r="AI336" s="1426"/>
      <c r="AJ336" s="1427"/>
      <c r="AK336" s="1427"/>
      <c r="AL336" s="1427"/>
      <c r="AM336" s="1427"/>
      <c r="AN336" s="1427"/>
      <c r="AO336" s="1427"/>
      <c r="AP336" s="1427"/>
      <c r="AQ336" s="1427"/>
      <c r="AR336" s="1427"/>
      <c r="AS336" s="1427"/>
      <c r="AT336" s="1427"/>
      <c r="AU336" s="1427"/>
      <c r="AV336" s="1427"/>
      <c r="AW336" s="1427"/>
      <c r="AX336" s="1427"/>
      <c r="AY336" s="1427"/>
      <c r="AZ336" s="1427"/>
      <c r="BA336" s="1427"/>
      <c r="BB336" s="1427"/>
      <c r="BC336" s="1427"/>
      <c r="BD336" s="1427"/>
      <c r="BE336" s="1427"/>
    </row>
    <row r="337" spans="35:57">
      <c r="AI337" s="1426"/>
      <c r="AJ337" s="1427"/>
      <c r="AK337" s="1427"/>
      <c r="AL337" s="1427"/>
      <c r="AM337" s="1427"/>
      <c r="AN337" s="1427"/>
      <c r="AO337" s="1427"/>
      <c r="AP337" s="1427"/>
      <c r="AQ337" s="1427"/>
      <c r="AR337" s="1427"/>
      <c r="AS337" s="1427"/>
      <c r="AT337" s="1427"/>
      <c r="AU337" s="1427"/>
      <c r="AV337" s="1427"/>
      <c r="AW337" s="1427"/>
      <c r="AX337" s="1427"/>
      <c r="AY337" s="1427"/>
      <c r="AZ337" s="1427"/>
      <c r="BA337" s="1427"/>
      <c r="BB337" s="1427"/>
      <c r="BC337" s="1427"/>
      <c r="BD337" s="1427"/>
      <c r="BE337" s="1427"/>
    </row>
    <row r="338" spans="35:57">
      <c r="AI338" s="1426"/>
      <c r="AJ338" s="1427"/>
      <c r="AK338" s="1427"/>
      <c r="AL338" s="1427"/>
      <c r="AM338" s="1427"/>
      <c r="AN338" s="1427"/>
      <c r="AO338" s="1427"/>
      <c r="AP338" s="1427"/>
      <c r="AQ338" s="1427"/>
      <c r="AR338" s="1427"/>
      <c r="AS338" s="1427"/>
      <c r="AT338" s="1427"/>
      <c r="AU338" s="1427"/>
      <c r="AV338" s="1427"/>
      <c r="AW338" s="1427"/>
      <c r="AX338" s="1427"/>
      <c r="AY338" s="1427"/>
      <c r="AZ338" s="1427"/>
      <c r="BA338" s="1427"/>
      <c r="BB338" s="1427"/>
      <c r="BC338" s="1427"/>
      <c r="BD338" s="1427"/>
      <c r="BE338" s="1427"/>
    </row>
    <row r="339" spans="35:57">
      <c r="AI339" s="1426"/>
      <c r="AJ339" s="1427"/>
      <c r="AK339" s="1427"/>
      <c r="AL339" s="1427"/>
      <c r="AM339" s="1427"/>
      <c r="AN339" s="1427"/>
      <c r="AO339" s="1427"/>
      <c r="AP339" s="1427"/>
      <c r="AQ339" s="1427"/>
      <c r="AR339" s="1427"/>
      <c r="AS339" s="1427"/>
      <c r="AT339" s="1427"/>
      <c r="AU339" s="1427"/>
      <c r="AV339" s="1427"/>
      <c r="AW339" s="1427"/>
      <c r="AX339" s="1427"/>
      <c r="AY339" s="1427"/>
      <c r="AZ339" s="1427"/>
      <c r="BA339" s="1427"/>
      <c r="BB339" s="1427"/>
      <c r="BC339" s="1427"/>
      <c r="BD339" s="1427"/>
      <c r="BE339" s="1427"/>
    </row>
    <row r="340" spans="35:57">
      <c r="AI340" s="1426"/>
      <c r="AJ340" s="1427"/>
      <c r="AK340" s="1427"/>
      <c r="AL340" s="1427"/>
      <c r="AM340" s="1427"/>
      <c r="AN340" s="1427"/>
      <c r="AO340" s="1427"/>
      <c r="AP340" s="1427"/>
      <c r="AQ340" s="1427"/>
      <c r="AR340" s="1427"/>
      <c r="AS340" s="1427"/>
      <c r="AT340" s="1427"/>
      <c r="AU340" s="1427"/>
      <c r="AV340" s="1427"/>
      <c r="AW340" s="1427"/>
      <c r="AX340" s="1427"/>
      <c r="AY340" s="1427"/>
      <c r="AZ340" s="1427"/>
      <c r="BA340" s="1427"/>
      <c r="BB340" s="1427"/>
      <c r="BC340" s="1427"/>
      <c r="BD340" s="1427"/>
      <c r="BE340" s="1427"/>
    </row>
    <row r="341" spans="35:57">
      <c r="AI341" s="1426"/>
      <c r="AJ341" s="1427"/>
      <c r="AK341" s="1427"/>
      <c r="AL341" s="1427"/>
      <c r="AM341" s="1427"/>
      <c r="AN341" s="1427"/>
      <c r="AO341" s="1427"/>
      <c r="AP341" s="1427"/>
      <c r="AQ341" s="1427"/>
      <c r="AR341" s="1427"/>
      <c r="AS341" s="1427"/>
      <c r="AT341" s="1427"/>
      <c r="AU341" s="1427"/>
      <c r="AV341" s="1427"/>
      <c r="AW341" s="1427"/>
      <c r="AX341" s="1427"/>
      <c r="AY341" s="1427"/>
      <c r="AZ341" s="1427"/>
      <c r="BA341" s="1427"/>
      <c r="BB341" s="1427"/>
      <c r="BC341" s="1427"/>
      <c r="BD341" s="1427"/>
      <c r="BE341" s="1427"/>
    </row>
    <row r="342" spans="35:57">
      <c r="AI342" s="1426"/>
      <c r="AJ342" s="1427"/>
      <c r="AK342" s="1427"/>
      <c r="AL342" s="1427"/>
      <c r="AM342" s="1427"/>
      <c r="AN342" s="1427"/>
      <c r="AO342" s="1427"/>
      <c r="AP342" s="1427"/>
      <c r="AQ342" s="1427"/>
      <c r="AR342" s="1427"/>
      <c r="AS342" s="1427"/>
      <c r="AT342" s="1427"/>
      <c r="AU342" s="1427"/>
      <c r="AV342" s="1427"/>
      <c r="AW342" s="1427"/>
      <c r="AX342" s="1427"/>
      <c r="AY342" s="1427"/>
      <c r="AZ342" s="1427"/>
      <c r="BA342" s="1427"/>
      <c r="BB342" s="1427"/>
      <c r="BC342" s="1427"/>
      <c r="BD342" s="1427"/>
      <c r="BE342" s="1427"/>
    </row>
    <row r="343" spans="35:57">
      <c r="AI343" s="1426"/>
      <c r="AJ343" s="1427"/>
      <c r="AK343" s="1427"/>
      <c r="AL343" s="1427"/>
      <c r="AM343" s="1427"/>
      <c r="AN343" s="1427"/>
      <c r="AO343" s="1427"/>
      <c r="AP343" s="1427"/>
      <c r="AQ343" s="1427"/>
      <c r="AR343" s="1427"/>
      <c r="AS343" s="1427"/>
      <c r="AT343" s="1427"/>
      <c r="AU343" s="1427"/>
      <c r="AV343" s="1427"/>
      <c r="AW343" s="1427"/>
      <c r="AX343" s="1427"/>
      <c r="AY343" s="1427"/>
      <c r="AZ343" s="1427"/>
      <c r="BA343" s="1427"/>
      <c r="BB343" s="1427"/>
      <c r="BC343" s="1427"/>
      <c r="BD343" s="1427"/>
      <c r="BE343" s="1427"/>
    </row>
    <row r="344" spans="35:57">
      <c r="AI344" s="1426"/>
      <c r="AJ344" s="1427"/>
      <c r="AK344" s="1427"/>
      <c r="AL344" s="1427"/>
      <c r="AM344" s="1427"/>
      <c r="AN344" s="1427"/>
      <c r="AO344" s="1427"/>
      <c r="AP344" s="1427"/>
      <c r="AQ344" s="1427"/>
      <c r="AR344" s="1427"/>
      <c r="AS344" s="1427"/>
      <c r="AT344" s="1427"/>
      <c r="AU344" s="1427"/>
      <c r="AV344" s="1427"/>
      <c r="AW344" s="1427"/>
      <c r="AX344" s="1427"/>
      <c r="AY344" s="1427"/>
      <c r="AZ344" s="1427"/>
      <c r="BA344" s="1427"/>
      <c r="BB344" s="1427"/>
      <c r="BC344" s="1427"/>
      <c r="BD344" s="1427"/>
      <c r="BE344" s="1427"/>
    </row>
    <row r="345" spans="35:57">
      <c r="AI345" s="1426"/>
      <c r="AJ345" s="1427"/>
      <c r="AK345" s="1427"/>
      <c r="AL345" s="1427"/>
      <c r="AM345" s="1427"/>
      <c r="AN345" s="1427"/>
      <c r="AO345" s="1427"/>
      <c r="AP345" s="1427"/>
      <c r="AQ345" s="1427"/>
      <c r="AR345" s="1427"/>
      <c r="AS345" s="1427"/>
      <c r="AT345" s="1427"/>
      <c r="AU345" s="1427"/>
      <c r="AV345" s="1427"/>
      <c r="AW345" s="1427"/>
      <c r="AX345" s="1427"/>
      <c r="AY345" s="1427"/>
      <c r="AZ345" s="1427"/>
      <c r="BA345" s="1427"/>
      <c r="BB345" s="1427"/>
      <c r="BC345" s="1427"/>
      <c r="BD345" s="1427"/>
      <c r="BE345" s="1427"/>
    </row>
    <row r="346" spans="35:57">
      <c r="AI346" s="1426"/>
      <c r="AJ346" s="1427"/>
      <c r="AK346" s="1427"/>
      <c r="AL346" s="1427"/>
      <c r="AM346" s="1427"/>
      <c r="AN346" s="1427"/>
      <c r="AO346" s="1427"/>
      <c r="AP346" s="1427"/>
      <c r="AQ346" s="1427"/>
      <c r="AR346" s="1427"/>
      <c r="AS346" s="1427"/>
      <c r="AT346" s="1427"/>
      <c r="AU346" s="1427"/>
      <c r="AV346" s="1427"/>
      <c r="AW346" s="1427"/>
      <c r="AX346" s="1427"/>
      <c r="AY346" s="1427"/>
      <c r="AZ346" s="1427"/>
      <c r="BA346" s="1427"/>
      <c r="BB346" s="1427"/>
      <c r="BC346" s="1427"/>
      <c r="BD346" s="1427"/>
      <c r="BE346" s="1427"/>
    </row>
    <row r="347" spans="35:57">
      <c r="AI347" s="1426"/>
      <c r="AJ347" s="1427"/>
      <c r="AK347" s="1427"/>
      <c r="AL347" s="1427"/>
      <c r="AM347" s="1427"/>
      <c r="AN347" s="1427"/>
      <c r="AO347" s="1427"/>
      <c r="AP347" s="1427"/>
      <c r="AQ347" s="1427"/>
      <c r="AR347" s="1427"/>
      <c r="AS347" s="1427"/>
      <c r="AT347" s="1427"/>
      <c r="AU347" s="1427"/>
      <c r="AV347" s="1427"/>
      <c r="AW347" s="1427"/>
      <c r="AX347" s="1427"/>
      <c r="AY347" s="1427"/>
      <c r="AZ347" s="1427"/>
      <c r="BA347" s="1427"/>
      <c r="BB347" s="1427"/>
      <c r="BC347" s="1427"/>
      <c r="BD347" s="1427"/>
      <c r="BE347" s="1427"/>
    </row>
    <row r="348" spans="35:57">
      <c r="AI348" s="1426"/>
      <c r="AJ348" s="1427"/>
      <c r="AK348" s="1427"/>
      <c r="AL348" s="1427"/>
      <c r="AM348" s="1427"/>
      <c r="AN348" s="1427"/>
      <c r="AO348" s="1427"/>
      <c r="AP348" s="1427"/>
      <c r="AQ348" s="1427"/>
      <c r="AR348" s="1427"/>
      <c r="AS348" s="1427"/>
      <c r="AT348" s="1427"/>
      <c r="AU348" s="1427"/>
      <c r="AV348" s="1427"/>
      <c r="AW348" s="1427"/>
      <c r="AX348" s="1427"/>
      <c r="AY348" s="1427"/>
      <c r="AZ348" s="1427"/>
      <c r="BA348" s="1427"/>
      <c r="BB348" s="1427"/>
      <c r="BC348" s="1427"/>
      <c r="BD348" s="1427"/>
      <c r="BE348" s="1427"/>
    </row>
    <row r="349" spans="35:57">
      <c r="AI349" s="1426"/>
      <c r="AJ349" s="1427"/>
      <c r="AK349" s="1427"/>
      <c r="AL349" s="1427"/>
      <c r="AM349" s="1427"/>
      <c r="AN349" s="1427"/>
      <c r="AO349" s="1427"/>
      <c r="AP349" s="1427"/>
      <c r="AQ349" s="1427"/>
      <c r="AR349" s="1427"/>
      <c r="AS349" s="1427"/>
      <c r="AT349" s="1427"/>
      <c r="AU349" s="1427"/>
      <c r="AV349" s="1427"/>
      <c r="AW349" s="1427"/>
      <c r="AX349" s="1427"/>
      <c r="AY349" s="1427"/>
      <c r="AZ349" s="1427"/>
      <c r="BA349" s="1427"/>
      <c r="BB349" s="1427"/>
      <c r="BC349" s="1427"/>
      <c r="BD349" s="1427"/>
      <c r="BE349" s="1427"/>
    </row>
    <row r="350" spans="35:57">
      <c r="AI350" s="1426"/>
      <c r="AJ350" s="1427"/>
      <c r="AK350" s="1427"/>
      <c r="AL350" s="1427"/>
      <c r="AM350" s="1427"/>
      <c r="AN350" s="1427"/>
      <c r="AO350" s="1427"/>
      <c r="AP350" s="1427"/>
      <c r="AQ350" s="1427"/>
      <c r="AR350" s="1427"/>
      <c r="AS350" s="1427"/>
      <c r="AT350" s="1427"/>
      <c r="AU350" s="1427"/>
      <c r="AV350" s="1427"/>
      <c r="AW350" s="1427"/>
      <c r="AX350" s="1427"/>
      <c r="AY350" s="1427"/>
      <c r="AZ350" s="1427"/>
      <c r="BA350" s="1427"/>
      <c r="BB350" s="1427"/>
      <c r="BC350" s="1427"/>
      <c r="BD350" s="1427"/>
      <c r="BE350" s="1427"/>
    </row>
    <row r="351" spans="35:57">
      <c r="AI351" s="1426"/>
      <c r="AJ351" s="1427"/>
      <c r="AK351" s="1427"/>
      <c r="AL351" s="1427"/>
      <c r="AM351" s="1427"/>
      <c r="AN351" s="1427"/>
      <c r="AO351" s="1427"/>
      <c r="AP351" s="1427"/>
      <c r="AQ351" s="1427"/>
      <c r="AR351" s="1427"/>
      <c r="AS351" s="1427"/>
      <c r="AT351" s="1427"/>
      <c r="AU351" s="1427"/>
      <c r="AV351" s="1427"/>
      <c r="AW351" s="1427"/>
      <c r="AX351" s="1427"/>
      <c r="AY351" s="1427"/>
      <c r="AZ351" s="1427"/>
      <c r="BA351" s="1427"/>
      <c r="BB351" s="1427"/>
      <c r="BC351" s="1427"/>
      <c r="BD351" s="1427"/>
      <c r="BE351" s="1427"/>
    </row>
    <row r="352" spans="35:57">
      <c r="AI352" s="1426"/>
      <c r="AJ352" s="1427"/>
      <c r="AK352" s="1427"/>
      <c r="AL352" s="1427"/>
      <c r="AM352" s="1427"/>
      <c r="AN352" s="1427"/>
      <c r="AO352" s="1427"/>
      <c r="AP352" s="1427"/>
      <c r="AQ352" s="1427"/>
      <c r="AR352" s="1427"/>
      <c r="AS352" s="1427"/>
      <c r="AT352" s="1427"/>
      <c r="AU352" s="1427"/>
      <c r="AV352" s="1427"/>
      <c r="AW352" s="1427"/>
      <c r="AX352" s="1427"/>
      <c r="AY352" s="1427"/>
      <c r="AZ352" s="1427"/>
      <c r="BA352" s="1427"/>
      <c r="BB352" s="1427"/>
      <c r="BC352" s="1427"/>
      <c r="BD352" s="1427"/>
      <c r="BE352" s="1427"/>
    </row>
    <row r="353" spans="35:57">
      <c r="AI353" s="1426"/>
      <c r="AJ353" s="1427"/>
      <c r="AK353" s="1427"/>
      <c r="AL353" s="1427"/>
      <c r="AM353" s="1427"/>
      <c r="AN353" s="1427"/>
      <c r="AO353" s="1427"/>
      <c r="AP353" s="1427"/>
      <c r="AQ353" s="1427"/>
      <c r="AR353" s="1427"/>
      <c r="AS353" s="1427"/>
      <c r="AT353" s="1427"/>
      <c r="AU353" s="1427"/>
      <c r="AV353" s="1427"/>
      <c r="AW353" s="1427"/>
      <c r="AX353" s="1427"/>
      <c r="AY353" s="1427"/>
      <c r="AZ353" s="1427"/>
      <c r="BA353" s="1427"/>
      <c r="BB353" s="1427"/>
      <c r="BC353" s="1427"/>
      <c r="BD353" s="1427"/>
      <c r="BE353" s="1427"/>
    </row>
    <row r="354" spans="35:57">
      <c r="AI354" s="1426"/>
      <c r="AJ354" s="1427"/>
      <c r="AK354" s="1427"/>
      <c r="AL354" s="1427"/>
      <c r="AM354" s="1427"/>
      <c r="AN354" s="1427"/>
      <c r="AO354" s="1427"/>
      <c r="AP354" s="1427"/>
      <c r="AQ354" s="1427"/>
      <c r="AR354" s="1427"/>
      <c r="AS354" s="1427"/>
      <c r="AT354" s="1427"/>
      <c r="AU354" s="1427"/>
      <c r="AV354" s="1427"/>
      <c r="AW354" s="1427"/>
      <c r="AX354" s="1427"/>
      <c r="AY354" s="1427"/>
      <c r="AZ354" s="1427"/>
      <c r="BA354" s="1427"/>
      <c r="BB354" s="1427"/>
      <c r="BC354" s="1427"/>
      <c r="BD354" s="1427"/>
      <c r="BE354" s="1427"/>
    </row>
    <row r="355" spans="35:57">
      <c r="AI355" s="1426"/>
      <c r="AJ355" s="1427"/>
      <c r="AK355" s="1427"/>
      <c r="AL355" s="1427"/>
      <c r="AM355" s="1427"/>
      <c r="AN355" s="1427"/>
      <c r="AO355" s="1427"/>
      <c r="AP355" s="1427"/>
      <c r="AQ355" s="1427"/>
      <c r="AR355" s="1427"/>
      <c r="AS355" s="1427"/>
      <c r="AT355" s="1427"/>
      <c r="AU355" s="1427"/>
      <c r="AV355" s="1427"/>
      <c r="AW355" s="1427"/>
      <c r="AX355" s="1427"/>
      <c r="AY355" s="1427"/>
      <c r="AZ355" s="1427"/>
      <c r="BA355" s="1427"/>
      <c r="BB355" s="1427"/>
      <c r="BC355" s="1427"/>
      <c r="BD355" s="1427"/>
      <c r="BE355" s="1427"/>
    </row>
    <row r="356" spans="35:57">
      <c r="AI356" s="1426"/>
      <c r="AJ356" s="1427"/>
      <c r="AK356" s="1427"/>
      <c r="AL356" s="1427"/>
      <c r="AM356" s="1427"/>
      <c r="AN356" s="1427"/>
      <c r="AO356" s="1427"/>
      <c r="AP356" s="1427"/>
      <c r="AQ356" s="1427"/>
      <c r="AR356" s="1427"/>
      <c r="AS356" s="1427"/>
      <c r="AT356" s="1427"/>
      <c r="AU356" s="1427"/>
      <c r="AV356" s="1427"/>
      <c r="AW356" s="1427"/>
      <c r="AX356" s="1427"/>
      <c r="AY356" s="1427"/>
      <c r="AZ356" s="1427"/>
      <c r="BA356" s="1427"/>
      <c r="BB356" s="1427"/>
      <c r="BC356" s="1427"/>
      <c r="BD356" s="1427"/>
      <c r="BE356" s="1427"/>
    </row>
    <row r="357" spans="35:57">
      <c r="AI357" s="1426"/>
      <c r="AJ357" s="1427"/>
      <c r="AK357" s="1427"/>
      <c r="AL357" s="1427"/>
      <c r="AM357" s="1427"/>
      <c r="AN357" s="1427"/>
      <c r="AO357" s="1427"/>
      <c r="AP357" s="1427"/>
      <c r="AQ357" s="1427"/>
      <c r="AR357" s="1427"/>
      <c r="AS357" s="1427"/>
      <c r="AT357" s="1427"/>
      <c r="AU357" s="1427"/>
      <c r="AV357" s="1427"/>
      <c r="AW357" s="1427"/>
      <c r="AX357" s="1427"/>
      <c r="AY357" s="1427"/>
      <c r="AZ357" s="1427"/>
      <c r="BA357" s="1427"/>
      <c r="BB357" s="1427"/>
      <c r="BC357" s="1427"/>
      <c r="BD357" s="1427"/>
      <c r="BE357" s="1427"/>
    </row>
    <row r="358" spans="35:57">
      <c r="AI358" s="1426"/>
      <c r="AJ358" s="1427"/>
      <c r="AK358" s="1427"/>
      <c r="AL358" s="1427"/>
      <c r="AM358" s="1427"/>
      <c r="AN358" s="1427"/>
      <c r="AO358" s="1427"/>
      <c r="AP358" s="1427"/>
      <c r="AQ358" s="1427"/>
      <c r="AR358" s="1427"/>
      <c r="AS358" s="1427"/>
      <c r="AT358" s="1427"/>
      <c r="AU358" s="1427"/>
      <c r="AV358" s="1427"/>
      <c r="AW358" s="1427"/>
      <c r="AX358" s="1427"/>
      <c r="AY358" s="1427"/>
      <c r="AZ358" s="1427"/>
      <c r="BA358" s="1427"/>
      <c r="BB358" s="1427"/>
      <c r="BC358" s="1427"/>
      <c r="BD358" s="1427"/>
      <c r="BE358" s="1427"/>
    </row>
    <row r="359" spans="35:57">
      <c r="AI359" s="1426"/>
      <c r="AJ359" s="1427"/>
      <c r="AK359" s="1427"/>
      <c r="AL359" s="1427"/>
      <c r="AM359" s="1427"/>
      <c r="AN359" s="1427"/>
      <c r="AO359" s="1427"/>
      <c r="AP359" s="1427"/>
      <c r="AQ359" s="1427"/>
      <c r="AR359" s="1427"/>
      <c r="AS359" s="1427"/>
      <c r="AT359" s="1427"/>
      <c r="AU359" s="1427"/>
      <c r="AV359" s="1427"/>
      <c r="AW359" s="1427"/>
      <c r="AX359" s="1427"/>
      <c r="AY359" s="1427"/>
      <c r="AZ359" s="1427"/>
      <c r="BA359" s="1427"/>
      <c r="BB359" s="1427"/>
      <c r="BC359" s="1427"/>
      <c r="BD359" s="1427"/>
      <c r="BE359" s="1427"/>
    </row>
  </sheetData>
  <mergeCells count="24">
    <mergeCell ref="A46:N46"/>
    <mergeCell ref="G43:I43"/>
    <mergeCell ref="A36:N36"/>
    <mergeCell ref="A66:N66"/>
    <mergeCell ref="G58:I58"/>
    <mergeCell ref="G59:I59"/>
    <mergeCell ref="G56:I56"/>
    <mergeCell ref="A52:N52"/>
    <mergeCell ref="A60:N60"/>
    <mergeCell ref="G93:I93"/>
    <mergeCell ref="A90:N90"/>
    <mergeCell ref="A1:M1"/>
    <mergeCell ref="A11:N11"/>
    <mergeCell ref="A3:Q3"/>
    <mergeCell ref="D4:M4"/>
    <mergeCell ref="A6:N6"/>
    <mergeCell ref="G10:I10"/>
    <mergeCell ref="A13:N13"/>
    <mergeCell ref="A28:N28"/>
    <mergeCell ref="G26:I26"/>
    <mergeCell ref="G27:I27"/>
    <mergeCell ref="A21:N21"/>
    <mergeCell ref="G20:I20"/>
    <mergeCell ref="A77:N77"/>
  </mergeCells>
  <conditionalFormatting sqref="N77">
    <cfRule type="duplicateValues" dxfId="3" priority="3"/>
  </conditionalFormatting>
  <conditionalFormatting sqref="N82">
    <cfRule type="duplicateValues" dxfId="2" priority="2"/>
  </conditionalFormatting>
  <conditionalFormatting sqref="N90">
    <cfRule type="duplicateValues" dxfId="1" priority="1"/>
  </conditionalFormatting>
  <conditionalFormatting sqref="N92:N1048576 N78:N81 N1:N4 N83:N89 N6:N76">
    <cfRule type="duplicateValues" dxfId="0" priority="4"/>
  </conditionalFormatting>
  <hyperlinks>
    <hyperlink ref="F27" r:id="rId1" display="javascript:void(0)" xr:uid="{6670A897-21F4-4157-9335-4713C5371093}"/>
  </hyperlinks>
  <pageMargins left="0.7" right="0.7" top="0.75" bottom="0.75" header="0.3" footer="0.3"/>
  <pageSetup paperSize="9" orientation="portrait"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6BA78-7282-4C77-9930-C325F656F810}">
  <dimension ref="A1:AJ322"/>
  <sheetViews>
    <sheetView zoomScaleNormal="100" workbookViewId="0">
      <pane xSplit="13" ySplit="5" topLeftCell="AD98" activePane="bottomRight" state="frozen"/>
      <selection pane="topRight" activeCell="N1" sqref="N1"/>
      <selection pane="bottomLeft" activeCell="A6" sqref="A6"/>
      <selection pane="bottomRight" activeCell="AD98" sqref="AD98"/>
    </sheetView>
  </sheetViews>
  <sheetFormatPr defaultColWidth="10.33203125" defaultRowHeight="13.2"/>
  <cols>
    <col min="1" max="1" width="3.88671875" style="1" customWidth="1"/>
    <col min="2" max="2" width="12.33203125" style="6" customWidth="1"/>
    <col min="3" max="3" width="17.6640625" style="4" customWidth="1"/>
    <col min="4" max="4" width="10.109375" style="3" customWidth="1"/>
    <col min="5" max="5" width="17.6640625" style="4" customWidth="1"/>
    <col min="6" max="6" width="15.88671875" style="4" customWidth="1"/>
    <col min="7" max="7" width="7.33203125" style="4" customWidth="1"/>
    <col min="8" max="10" width="5.109375" style="6" customWidth="1"/>
    <col min="11" max="11" width="7.109375" style="11" customWidth="1"/>
    <col min="12" max="12" width="19.44140625" style="5" customWidth="1"/>
    <col min="13" max="13" width="22.6640625" style="5" customWidth="1"/>
    <col min="14" max="14" width="19.44140625" style="7" customWidth="1"/>
    <col min="15" max="15" width="13.5546875" style="7" customWidth="1"/>
    <col min="16" max="16" width="11.88671875" style="5" customWidth="1"/>
    <col min="17" max="17" width="12.6640625" style="6" customWidth="1"/>
    <col min="18" max="18" width="7.44140625" style="1" customWidth="1"/>
    <col min="19" max="19" width="12.44140625" style="6" customWidth="1"/>
    <col min="20" max="21" width="15.33203125" style="725" customWidth="1"/>
    <col min="22" max="22" width="12.6640625" style="724" customWidth="1"/>
    <col min="23" max="23" width="10.44140625" style="724" customWidth="1"/>
    <col min="24" max="24" width="11" style="724" customWidth="1"/>
    <col min="25" max="25" width="11.44140625" style="724" customWidth="1"/>
    <col min="26" max="26" width="11.88671875" style="725" customWidth="1"/>
    <col min="27" max="27" width="14" style="724" customWidth="1"/>
    <col min="28" max="28" width="16.33203125" style="724" customWidth="1"/>
    <col min="29" max="29" width="19.44140625" style="724" customWidth="1"/>
    <col min="30" max="30" width="34.33203125" style="727" customWidth="1"/>
    <col min="31" max="31" width="18.6640625" style="728" customWidth="1"/>
    <col min="32" max="32" width="18.5546875" style="729" customWidth="1"/>
    <col min="33" max="33" width="18.5546875" style="730" customWidth="1"/>
    <col min="34" max="34" width="37.109375" style="5" customWidth="1"/>
    <col min="35" max="198" width="10.33203125" style="13"/>
    <col min="199" max="199" width="7" style="13" customWidth="1"/>
    <col min="200" max="200" width="13" style="13" customWidth="1"/>
    <col min="201" max="201" width="14.109375" style="13" customWidth="1"/>
    <col min="202" max="202" width="17.33203125" style="13" customWidth="1"/>
    <col min="203" max="203" width="18.88671875" style="13" customWidth="1"/>
    <col min="204" max="204" width="14.109375" style="13" customWidth="1"/>
    <col min="205" max="205" width="21.5546875" style="13" customWidth="1"/>
    <col min="206" max="207" width="14.109375" style="13" customWidth="1"/>
    <col min="208" max="208" width="15" style="13" customWidth="1"/>
    <col min="209" max="209" width="13.33203125" style="13" customWidth="1"/>
    <col min="210" max="210" width="17" style="13" customWidth="1"/>
    <col min="211" max="211" width="24.88671875" style="13" customWidth="1"/>
    <col min="212" max="212" width="14.44140625" style="13" customWidth="1"/>
    <col min="213" max="213" width="23.109375" style="13" customWidth="1"/>
    <col min="214" max="214" width="13.109375" style="13" customWidth="1"/>
    <col min="215" max="218" width="0" style="13" hidden="1" customWidth="1"/>
    <col min="219" max="454" width="10.33203125" style="13"/>
    <col min="455" max="455" width="7" style="13" customWidth="1"/>
    <col min="456" max="456" width="13" style="13" customWidth="1"/>
    <col min="457" max="457" width="14.109375" style="13" customWidth="1"/>
    <col min="458" max="458" width="17.33203125" style="13" customWidth="1"/>
    <col min="459" max="459" width="18.88671875" style="13" customWidth="1"/>
    <col min="460" max="460" width="14.109375" style="13" customWidth="1"/>
    <col min="461" max="461" width="21.5546875" style="13" customWidth="1"/>
    <col min="462" max="463" width="14.109375" style="13" customWidth="1"/>
    <col min="464" max="464" width="15" style="13" customWidth="1"/>
    <col min="465" max="465" width="13.33203125" style="13" customWidth="1"/>
    <col min="466" max="466" width="17" style="13" customWidth="1"/>
    <col min="467" max="467" width="24.88671875" style="13" customWidth="1"/>
    <col min="468" max="468" width="14.44140625" style="13" customWidth="1"/>
    <col min="469" max="469" width="23.109375" style="13" customWidth="1"/>
    <col min="470" max="470" width="13.109375" style="13" customWidth="1"/>
    <col min="471" max="474" width="0" style="13" hidden="1" customWidth="1"/>
    <col min="475" max="710" width="10.33203125" style="13"/>
    <col min="711" max="711" width="7" style="13" customWidth="1"/>
    <col min="712" max="712" width="13" style="13" customWidth="1"/>
    <col min="713" max="713" width="14.109375" style="13" customWidth="1"/>
    <col min="714" max="714" width="17.33203125" style="13" customWidth="1"/>
    <col min="715" max="715" width="18.88671875" style="13" customWidth="1"/>
    <col min="716" max="716" width="14.109375" style="13" customWidth="1"/>
    <col min="717" max="717" width="21.5546875" style="13" customWidth="1"/>
    <col min="718" max="719" width="14.109375" style="13" customWidth="1"/>
    <col min="720" max="720" width="15" style="13" customWidth="1"/>
    <col min="721" max="721" width="13.33203125" style="13" customWidth="1"/>
    <col min="722" max="722" width="17" style="13" customWidth="1"/>
    <col min="723" max="723" width="24.88671875" style="13" customWidth="1"/>
    <col min="724" max="724" width="14.44140625" style="13" customWidth="1"/>
    <col min="725" max="725" width="23.109375" style="13" customWidth="1"/>
    <col min="726" max="726" width="13.109375" style="13" customWidth="1"/>
    <col min="727" max="730" width="0" style="13" hidden="1" customWidth="1"/>
    <col min="731" max="966" width="10.33203125" style="13"/>
    <col min="967" max="967" width="7" style="13" customWidth="1"/>
    <col min="968" max="968" width="13" style="13" customWidth="1"/>
    <col min="969" max="969" width="14.109375" style="13" customWidth="1"/>
    <col min="970" max="970" width="17.33203125" style="13" customWidth="1"/>
    <col min="971" max="971" width="18.88671875" style="13" customWidth="1"/>
    <col min="972" max="972" width="14.109375" style="13" customWidth="1"/>
    <col min="973" max="973" width="21.5546875" style="13" customWidth="1"/>
    <col min="974" max="975" width="14.109375" style="13" customWidth="1"/>
    <col min="976" max="976" width="15" style="13" customWidth="1"/>
    <col min="977" max="977" width="13.33203125" style="13" customWidth="1"/>
    <col min="978" max="978" width="17" style="13" customWidth="1"/>
    <col min="979" max="979" width="24.88671875" style="13" customWidth="1"/>
    <col min="980" max="980" width="14.44140625" style="13" customWidth="1"/>
    <col min="981" max="981" width="23.109375" style="13" customWidth="1"/>
    <col min="982" max="982" width="13.109375" style="13" customWidth="1"/>
    <col min="983" max="986" width="0" style="13" hidden="1" customWidth="1"/>
    <col min="987" max="1222" width="10.33203125" style="13"/>
    <col min="1223" max="1223" width="7" style="13" customWidth="1"/>
    <col min="1224" max="1224" width="13" style="13" customWidth="1"/>
    <col min="1225" max="1225" width="14.109375" style="13" customWidth="1"/>
    <col min="1226" max="1226" width="17.33203125" style="13" customWidth="1"/>
    <col min="1227" max="1227" width="18.88671875" style="13" customWidth="1"/>
    <col min="1228" max="1228" width="14.109375" style="13" customWidth="1"/>
    <col min="1229" max="1229" width="21.5546875" style="13" customWidth="1"/>
    <col min="1230" max="1231" width="14.109375" style="13" customWidth="1"/>
    <col min="1232" max="1232" width="15" style="13" customWidth="1"/>
    <col min="1233" max="1233" width="13.33203125" style="13" customWidth="1"/>
    <col min="1234" max="1234" width="17" style="13" customWidth="1"/>
    <col min="1235" max="1235" width="24.88671875" style="13" customWidth="1"/>
    <col min="1236" max="1236" width="14.44140625" style="13" customWidth="1"/>
    <col min="1237" max="1237" width="23.109375" style="13" customWidth="1"/>
    <col min="1238" max="1238" width="13.109375" style="13" customWidth="1"/>
    <col min="1239" max="1242" width="0" style="13" hidden="1" customWidth="1"/>
    <col min="1243" max="1478" width="10.33203125" style="13"/>
    <col min="1479" max="1479" width="7" style="13" customWidth="1"/>
    <col min="1480" max="1480" width="13" style="13" customWidth="1"/>
    <col min="1481" max="1481" width="14.109375" style="13" customWidth="1"/>
    <col min="1482" max="1482" width="17.33203125" style="13" customWidth="1"/>
    <col min="1483" max="1483" width="18.88671875" style="13" customWidth="1"/>
    <col min="1484" max="1484" width="14.109375" style="13" customWidth="1"/>
    <col min="1485" max="1485" width="21.5546875" style="13" customWidth="1"/>
    <col min="1486" max="1487" width="14.109375" style="13" customWidth="1"/>
    <col min="1488" max="1488" width="15" style="13" customWidth="1"/>
    <col min="1489" max="1489" width="13.33203125" style="13" customWidth="1"/>
    <col min="1490" max="1490" width="17" style="13" customWidth="1"/>
    <col min="1491" max="1491" width="24.88671875" style="13" customWidth="1"/>
    <col min="1492" max="1492" width="14.44140625" style="13" customWidth="1"/>
    <col min="1493" max="1493" width="23.109375" style="13" customWidth="1"/>
    <col min="1494" max="1494" width="13.109375" style="13" customWidth="1"/>
    <col min="1495" max="1498" width="0" style="13" hidden="1" customWidth="1"/>
    <col min="1499" max="1734" width="10.33203125" style="13"/>
    <col min="1735" max="1735" width="7" style="13" customWidth="1"/>
    <col min="1736" max="1736" width="13" style="13" customWidth="1"/>
    <col min="1737" max="1737" width="14.109375" style="13" customWidth="1"/>
    <col min="1738" max="1738" width="17.33203125" style="13" customWidth="1"/>
    <col min="1739" max="1739" width="18.88671875" style="13" customWidth="1"/>
    <col min="1740" max="1740" width="14.109375" style="13" customWidth="1"/>
    <col min="1741" max="1741" width="21.5546875" style="13" customWidth="1"/>
    <col min="1742" max="1743" width="14.109375" style="13" customWidth="1"/>
    <col min="1744" max="1744" width="15" style="13" customWidth="1"/>
    <col min="1745" max="1745" width="13.33203125" style="13" customWidth="1"/>
    <col min="1746" max="1746" width="17" style="13" customWidth="1"/>
    <col min="1747" max="1747" width="24.88671875" style="13" customWidth="1"/>
    <col min="1748" max="1748" width="14.44140625" style="13" customWidth="1"/>
    <col min="1749" max="1749" width="23.109375" style="13" customWidth="1"/>
    <col min="1750" max="1750" width="13.109375" style="13" customWidth="1"/>
    <col min="1751" max="1754" width="0" style="13" hidden="1" customWidth="1"/>
    <col min="1755" max="1990" width="10.33203125" style="13"/>
    <col min="1991" max="1991" width="7" style="13" customWidth="1"/>
    <col min="1992" max="1992" width="13" style="13" customWidth="1"/>
    <col min="1993" max="1993" width="14.109375" style="13" customWidth="1"/>
    <col min="1994" max="1994" width="17.33203125" style="13" customWidth="1"/>
    <col min="1995" max="1995" width="18.88671875" style="13" customWidth="1"/>
    <col min="1996" max="1996" width="14.109375" style="13" customWidth="1"/>
    <col min="1997" max="1997" width="21.5546875" style="13" customWidth="1"/>
    <col min="1998" max="1999" width="14.109375" style="13" customWidth="1"/>
    <col min="2000" max="2000" width="15" style="13" customWidth="1"/>
    <col min="2001" max="2001" width="13.33203125" style="13" customWidth="1"/>
    <col min="2002" max="2002" width="17" style="13" customWidth="1"/>
    <col min="2003" max="2003" width="24.88671875" style="13" customWidth="1"/>
    <col min="2004" max="2004" width="14.44140625" style="13" customWidth="1"/>
    <col min="2005" max="2005" width="23.109375" style="13" customWidth="1"/>
    <col min="2006" max="2006" width="13.109375" style="13" customWidth="1"/>
    <col min="2007" max="2010" width="0" style="13" hidden="1" customWidth="1"/>
    <col min="2011" max="2246" width="10.33203125" style="13"/>
    <col min="2247" max="2247" width="7" style="13" customWidth="1"/>
    <col min="2248" max="2248" width="13" style="13" customWidth="1"/>
    <col min="2249" max="2249" width="14.109375" style="13" customWidth="1"/>
    <col min="2250" max="2250" width="17.33203125" style="13" customWidth="1"/>
    <col min="2251" max="2251" width="18.88671875" style="13" customWidth="1"/>
    <col min="2252" max="2252" width="14.109375" style="13" customWidth="1"/>
    <col min="2253" max="2253" width="21.5546875" style="13" customWidth="1"/>
    <col min="2254" max="2255" width="14.109375" style="13" customWidth="1"/>
    <col min="2256" max="2256" width="15" style="13" customWidth="1"/>
    <col min="2257" max="2257" width="13.33203125" style="13" customWidth="1"/>
    <col min="2258" max="2258" width="17" style="13" customWidth="1"/>
    <col min="2259" max="2259" width="24.88671875" style="13" customWidth="1"/>
    <col min="2260" max="2260" width="14.44140625" style="13" customWidth="1"/>
    <col min="2261" max="2261" width="23.109375" style="13" customWidth="1"/>
    <col min="2262" max="2262" width="13.109375" style="13" customWidth="1"/>
    <col min="2263" max="2266" width="0" style="13" hidden="1" customWidth="1"/>
    <col min="2267" max="2502" width="10.33203125" style="13"/>
    <col min="2503" max="2503" width="7" style="13" customWidth="1"/>
    <col min="2504" max="2504" width="13" style="13" customWidth="1"/>
    <col min="2505" max="2505" width="14.109375" style="13" customWidth="1"/>
    <col min="2506" max="2506" width="17.33203125" style="13" customWidth="1"/>
    <col min="2507" max="2507" width="18.88671875" style="13" customWidth="1"/>
    <col min="2508" max="2508" width="14.109375" style="13" customWidth="1"/>
    <col min="2509" max="2509" width="21.5546875" style="13" customWidth="1"/>
    <col min="2510" max="2511" width="14.109375" style="13" customWidth="1"/>
    <col min="2512" max="2512" width="15" style="13" customWidth="1"/>
    <col min="2513" max="2513" width="13.33203125" style="13" customWidth="1"/>
    <col min="2514" max="2514" width="17" style="13" customWidth="1"/>
    <col min="2515" max="2515" width="24.88671875" style="13" customWidth="1"/>
    <col min="2516" max="2516" width="14.44140625" style="13" customWidth="1"/>
    <col min="2517" max="2517" width="23.109375" style="13" customWidth="1"/>
    <col min="2518" max="2518" width="13.109375" style="13" customWidth="1"/>
    <col min="2519" max="2522" width="0" style="13" hidden="1" customWidth="1"/>
    <col min="2523" max="2758" width="10.33203125" style="13"/>
    <col min="2759" max="2759" width="7" style="13" customWidth="1"/>
    <col min="2760" max="2760" width="13" style="13" customWidth="1"/>
    <col min="2761" max="2761" width="14.109375" style="13" customWidth="1"/>
    <col min="2762" max="2762" width="17.33203125" style="13" customWidth="1"/>
    <col min="2763" max="2763" width="18.88671875" style="13" customWidth="1"/>
    <col min="2764" max="2764" width="14.109375" style="13" customWidth="1"/>
    <col min="2765" max="2765" width="21.5546875" style="13" customWidth="1"/>
    <col min="2766" max="2767" width="14.109375" style="13" customWidth="1"/>
    <col min="2768" max="2768" width="15" style="13" customWidth="1"/>
    <col min="2769" max="2769" width="13.33203125" style="13" customWidth="1"/>
    <col min="2770" max="2770" width="17" style="13" customWidth="1"/>
    <col min="2771" max="2771" width="24.88671875" style="13" customWidth="1"/>
    <col min="2772" max="2772" width="14.44140625" style="13" customWidth="1"/>
    <col min="2773" max="2773" width="23.109375" style="13" customWidth="1"/>
    <col min="2774" max="2774" width="13.109375" style="13" customWidth="1"/>
    <col min="2775" max="2778" width="0" style="13" hidden="1" customWidth="1"/>
    <col min="2779" max="3014" width="10.33203125" style="13"/>
    <col min="3015" max="3015" width="7" style="13" customWidth="1"/>
    <col min="3016" max="3016" width="13" style="13" customWidth="1"/>
    <col min="3017" max="3017" width="14.109375" style="13" customWidth="1"/>
    <col min="3018" max="3018" width="17.33203125" style="13" customWidth="1"/>
    <col min="3019" max="3019" width="18.88671875" style="13" customWidth="1"/>
    <col min="3020" max="3020" width="14.109375" style="13" customWidth="1"/>
    <col min="3021" max="3021" width="21.5546875" style="13" customWidth="1"/>
    <col min="3022" max="3023" width="14.109375" style="13" customWidth="1"/>
    <col min="3024" max="3024" width="15" style="13" customWidth="1"/>
    <col min="3025" max="3025" width="13.33203125" style="13" customWidth="1"/>
    <col min="3026" max="3026" width="17" style="13" customWidth="1"/>
    <col min="3027" max="3027" width="24.88671875" style="13" customWidth="1"/>
    <col min="3028" max="3028" width="14.44140625" style="13" customWidth="1"/>
    <col min="3029" max="3029" width="23.109375" style="13" customWidth="1"/>
    <col min="3030" max="3030" width="13.109375" style="13" customWidth="1"/>
    <col min="3031" max="3034" width="0" style="13" hidden="1" customWidth="1"/>
    <col min="3035" max="3270" width="10.33203125" style="13"/>
    <col min="3271" max="3271" width="7" style="13" customWidth="1"/>
    <col min="3272" max="3272" width="13" style="13" customWidth="1"/>
    <col min="3273" max="3273" width="14.109375" style="13" customWidth="1"/>
    <col min="3274" max="3274" width="17.33203125" style="13" customWidth="1"/>
    <col min="3275" max="3275" width="18.88671875" style="13" customWidth="1"/>
    <col min="3276" max="3276" width="14.109375" style="13" customWidth="1"/>
    <col min="3277" max="3277" width="21.5546875" style="13" customWidth="1"/>
    <col min="3278" max="3279" width="14.109375" style="13" customWidth="1"/>
    <col min="3280" max="3280" width="15" style="13" customWidth="1"/>
    <col min="3281" max="3281" width="13.33203125" style="13" customWidth="1"/>
    <col min="3282" max="3282" width="17" style="13" customWidth="1"/>
    <col min="3283" max="3283" width="24.88671875" style="13" customWidth="1"/>
    <col min="3284" max="3284" width="14.44140625" style="13" customWidth="1"/>
    <col min="3285" max="3285" width="23.109375" style="13" customWidth="1"/>
    <col min="3286" max="3286" width="13.109375" style="13" customWidth="1"/>
    <col min="3287" max="3290" width="0" style="13" hidden="1" customWidth="1"/>
    <col min="3291" max="3526" width="10.33203125" style="13"/>
    <col min="3527" max="3527" width="7" style="13" customWidth="1"/>
    <col min="3528" max="3528" width="13" style="13" customWidth="1"/>
    <col min="3529" max="3529" width="14.109375" style="13" customWidth="1"/>
    <col min="3530" max="3530" width="17.33203125" style="13" customWidth="1"/>
    <col min="3531" max="3531" width="18.88671875" style="13" customWidth="1"/>
    <col min="3532" max="3532" width="14.109375" style="13" customWidth="1"/>
    <col min="3533" max="3533" width="21.5546875" style="13" customWidth="1"/>
    <col min="3534" max="3535" width="14.109375" style="13" customWidth="1"/>
    <col min="3536" max="3536" width="15" style="13" customWidth="1"/>
    <col min="3537" max="3537" width="13.33203125" style="13" customWidth="1"/>
    <col min="3538" max="3538" width="17" style="13" customWidth="1"/>
    <col min="3539" max="3539" width="24.88671875" style="13" customWidth="1"/>
    <col min="3540" max="3540" width="14.44140625" style="13" customWidth="1"/>
    <col min="3541" max="3541" width="23.109375" style="13" customWidth="1"/>
    <col min="3542" max="3542" width="13.109375" style="13" customWidth="1"/>
    <col min="3543" max="3546" width="0" style="13" hidden="1" customWidth="1"/>
    <col min="3547" max="3782" width="10.33203125" style="13"/>
    <col min="3783" max="3783" width="7" style="13" customWidth="1"/>
    <col min="3784" max="3784" width="13" style="13" customWidth="1"/>
    <col min="3785" max="3785" width="14.109375" style="13" customWidth="1"/>
    <col min="3786" max="3786" width="17.33203125" style="13" customWidth="1"/>
    <col min="3787" max="3787" width="18.88671875" style="13" customWidth="1"/>
    <col min="3788" max="3788" width="14.109375" style="13" customWidth="1"/>
    <col min="3789" max="3789" width="21.5546875" style="13" customWidth="1"/>
    <col min="3790" max="3791" width="14.109375" style="13" customWidth="1"/>
    <col min="3792" max="3792" width="15" style="13" customWidth="1"/>
    <col min="3793" max="3793" width="13.33203125" style="13" customWidth="1"/>
    <col min="3794" max="3794" width="17" style="13" customWidth="1"/>
    <col min="3795" max="3795" width="24.88671875" style="13" customWidth="1"/>
    <col min="3796" max="3796" width="14.44140625" style="13" customWidth="1"/>
    <col min="3797" max="3797" width="23.109375" style="13" customWidth="1"/>
    <col min="3798" max="3798" width="13.109375" style="13" customWidth="1"/>
    <col min="3799" max="3802" width="0" style="13" hidden="1" customWidth="1"/>
    <col min="3803" max="4038" width="10.33203125" style="13"/>
    <col min="4039" max="4039" width="7" style="13" customWidth="1"/>
    <col min="4040" max="4040" width="13" style="13" customWidth="1"/>
    <col min="4041" max="4041" width="14.109375" style="13" customWidth="1"/>
    <col min="4042" max="4042" width="17.33203125" style="13" customWidth="1"/>
    <col min="4043" max="4043" width="18.88671875" style="13" customWidth="1"/>
    <col min="4044" max="4044" width="14.109375" style="13" customWidth="1"/>
    <col min="4045" max="4045" width="21.5546875" style="13" customWidth="1"/>
    <col min="4046" max="4047" width="14.109375" style="13" customWidth="1"/>
    <col min="4048" max="4048" width="15" style="13" customWidth="1"/>
    <col min="4049" max="4049" width="13.33203125" style="13" customWidth="1"/>
    <col min="4050" max="4050" width="17" style="13" customWidth="1"/>
    <col min="4051" max="4051" width="24.88671875" style="13" customWidth="1"/>
    <col min="4052" max="4052" width="14.44140625" style="13" customWidth="1"/>
    <col min="4053" max="4053" width="23.109375" style="13" customWidth="1"/>
    <col min="4054" max="4054" width="13.109375" style="13" customWidth="1"/>
    <col min="4055" max="4058" width="0" style="13" hidden="1" customWidth="1"/>
    <col min="4059" max="4294" width="10.33203125" style="13"/>
    <col min="4295" max="4295" width="7" style="13" customWidth="1"/>
    <col min="4296" max="4296" width="13" style="13" customWidth="1"/>
    <col min="4297" max="4297" width="14.109375" style="13" customWidth="1"/>
    <col min="4298" max="4298" width="17.33203125" style="13" customWidth="1"/>
    <col min="4299" max="4299" width="18.88671875" style="13" customWidth="1"/>
    <col min="4300" max="4300" width="14.109375" style="13" customWidth="1"/>
    <col min="4301" max="4301" width="21.5546875" style="13" customWidth="1"/>
    <col min="4302" max="4303" width="14.109375" style="13" customWidth="1"/>
    <col min="4304" max="4304" width="15" style="13" customWidth="1"/>
    <col min="4305" max="4305" width="13.33203125" style="13" customWidth="1"/>
    <col min="4306" max="4306" width="17" style="13" customWidth="1"/>
    <col min="4307" max="4307" width="24.88671875" style="13" customWidth="1"/>
    <col min="4308" max="4308" width="14.44140625" style="13" customWidth="1"/>
    <col min="4309" max="4309" width="23.109375" style="13" customWidth="1"/>
    <col min="4310" max="4310" width="13.109375" style="13" customWidth="1"/>
    <col min="4311" max="4314" width="0" style="13" hidden="1" customWidth="1"/>
    <col min="4315" max="4550" width="10.33203125" style="13"/>
    <col min="4551" max="4551" width="7" style="13" customWidth="1"/>
    <col min="4552" max="4552" width="13" style="13" customWidth="1"/>
    <col min="4553" max="4553" width="14.109375" style="13" customWidth="1"/>
    <col min="4554" max="4554" width="17.33203125" style="13" customWidth="1"/>
    <col min="4555" max="4555" width="18.88671875" style="13" customWidth="1"/>
    <col min="4556" max="4556" width="14.109375" style="13" customWidth="1"/>
    <col min="4557" max="4557" width="21.5546875" style="13" customWidth="1"/>
    <col min="4558" max="4559" width="14.109375" style="13" customWidth="1"/>
    <col min="4560" max="4560" width="15" style="13" customWidth="1"/>
    <col min="4561" max="4561" width="13.33203125" style="13" customWidth="1"/>
    <col min="4562" max="4562" width="17" style="13" customWidth="1"/>
    <col min="4563" max="4563" width="24.88671875" style="13" customWidth="1"/>
    <col min="4564" max="4564" width="14.44140625" style="13" customWidth="1"/>
    <col min="4565" max="4565" width="23.109375" style="13" customWidth="1"/>
    <col min="4566" max="4566" width="13.109375" style="13" customWidth="1"/>
    <col min="4567" max="4570" width="0" style="13" hidden="1" customWidth="1"/>
    <col min="4571" max="4806" width="10.33203125" style="13"/>
    <col min="4807" max="4807" width="7" style="13" customWidth="1"/>
    <col min="4808" max="4808" width="13" style="13" customWidth="1"/>
    <col min="4809" max="4809" width="14.109375" style="13" customWidth="1"/>
    <col min="4810" max="4810" width="17.33203125" style="13" customWidth="1"/>
    <col min="4811" max="4811" width="18.88671875" style="13" customWidth="1"/>
    <col min="4812" max="4812" width="14.109375" style="13" customWidth="1"/>
    <col min="4813" max="4813" width="21.5546875" style="13" customWidth="1"/>
    <col min="4814" max="4815" width="14.109375" style="13" customWidth="1"/>
    <col min="4816" max="4816" width="15" style="13" customWidth="1"/>
    <col min="4817" max="4817" width="13.33203125" style="13" customWidth="1"/>
    <col min="4818" max="4818" width="17" style="13" customWidth="1"/>
    <col min="4819" max="4819" width="24.88671875" style="13" customWidth="1"/>
    <col min="4820" max="4820" width="14.44140625" style="13" customWidth="1"/>
    <col min="4821" max="4821" width="23.109375" style="13" customWidth="1"/>
    <col min="4822" max="4822" width="13.109375" style="13" customWidth="1"/>
    <col min="4823" max="4826" width="0" style="13" hidden="1" customWidth="1"/>
    <col min="4827" max="5062" width="10.33203125" style="13"/>
    <col min="5063" max="5063" width="7" style="13" customWidth="1"/>
    <col min="5064" max="5064" width="13" style="13" customWidth="1"/>
    <col min="5065" max="5065" width="14.109375" style="13" customWidth="1"/>
    <col min="5066" max="5066" width="17.33203125" style="13" customWidth="1"/>
    <col min="5067" max="5067" width="18.88671875" style="13" customWidth="1"/>
    <col min="5068" max="5068" width="14.109375" style="13" customWidth="1"/>
    <col min="5069" max="5069" width="21.5546875" style="13" customWidth="1"/>
    <col min="5070" max="5071" width="14.109375" style="13" customWidth="1"/>
    <col min="5072" max="5072" width="15" style="13" customWidth="1"/>
    <col min="5073" max="5073" width="13.33203125" style="13" customWidth="1"/>
    <col min="5074" max="5074" width="17" style="13" customWidth="1"/>
    <col min="5075" max="5075" width="24.88671875" style="13" customWidth="1"/>
    <col min="5076" max="5076" width="14.44140625" style="13" customWidth="1"/>
    <col min="5077" max="5077" width="23.109375" style="13" customWidth="1"/>
    <col min="5078" max="5078" width="13.109375" style="13" customWidth="1"/>
    <col min="5079" max="5082" width="0" style="13" hidden="1" customWidth="1"/>
    <col min="5083" max="5318" width="10.33203125" style="13"/>
    <col min="5319" max="5319" width="7" style="13" customWidth="1"/>
    <col min="5320" max="5320" width="13" style="13" customWidth="1"/>
    <col min="5321" max="5321" width="14.109375" style="13" customWidth="1"/>
    <col min="5322" max="5322" width="17.33203125" style="13" customWidth="1"/>
    <col min="5323" max="5323" width="18.88671875" style="13" customWidth="1"/>
    <col min="5324" max="5324" width="14.109375" style="13" customWidth="1"/>
    <col min="5325" max="5325" width="21.5546875" style="13" customWidth="1"/>
    <col min="5326" max="5327" width="14.109375" style="13" customWidth="1"/>
    <col min="5328" max="5328" width="15" style="13" customWidth="1"/>
    <col min="5329" max="5329" width="13.33203125" style="13" customWidth="1"/>
    <col min="5330" max="5330" width="17" style="13" customWidth="1"/>
    <col min="5331" max="5331" width="24.88671875" style="13" customWidth="1"/>
    <col min="5332" max="5332" width="14.44140625" style="13" customWidth="1"/>
    <col min="5333" max="5333" width="23.109375" style="13" customWidth="1"/>
    <col min="5334" max="5334" width="13.109375" style="13" customWidth="1"/>
    <col min="5335" max="5338" width="0" style="13" hidden="1" customWidth="1"/>
    <col min="5339" max="5574" width="10.33203125" style="13"/>
    <col min="5575" max="5575" width="7" style="13" customWidth="1"/>
    <col min="5576" max="5576" width="13" style="13" customWidth="1"/>
    <col min="5577" max="5577" width="14.109375" style="13" customWidth="1"/>
    <col min="5578" max="5578" width="17.33203125" style="13" customWidth="1"/>
    <col min="5579" max="5579" width="18.88671875" style="13" customWidth="1"/>
    <col min="5580" max="5580" width="14.109375" style="13" customWidth="1"/>
    <col min="5581" max="5581" width="21.5546875" style="13" customWidth="1"/>
    <col min="5582" max="5583" width="14.109375" style="13" customWidth="1"/>
    <col min="5584" max="5584" width="15" style="13" customWidth="1"/>
    <col min="5585" max="5585" width="13.33203125" style="13" customWidth="1"/>
    <col min="5586" max="5586" width="17" style="13" customWidth="1"/>
    <col min="5587" max="5587" width="24.88671875" style="13" customWidth="1"/>
    <col min="5588" max="5588" width="14.44140625" style="13" customWidth="1"/>
    <col min="5589" max="5589" width="23.109375" style="13" customWidth="1"/>
    <col min="5590" max="5590" width="13.109375" style="13" customWidth="1"/>
    <col min="5591" max="5594" width="0" style="13" hidden="1" customWidth="1"/>
    <col min="5595" max="5830" width="10.33203125" style="13"/>
    <col min="5831" max="5831" width="7" style="13" customWidth="1"/>
    <col min="5832" max="5832" width="13" style="13" customWidth="1"/>
    <col min="5833" max="5833" width="14.109375" style="13" customWidth="1"/>
    <col min="5834" max="5834" width="17.33203125" style="13" customWidth="1"/>
    <col min="5835" max="5835" width="18.88671875" style="13" customWidth="1"/>
    <col min="5836" max="5836" width="14.109375" style="13" customWidth="1"/>
    <col min="5837" max="5837" width="21.5546875" style="13" customWidth="1"/>
    <col min="5838" max="5839" width="14.109375" style="13" customWidth="1"/>
    <col min="5840" max="5840" width="15" style="13" customWidth="1"/>
    <col min="5841" max="5841" width="13.33203125" style="13" customWidth="1"/>
    <col min="5842" max="5842" width="17" style="13" customWidth="1"/>
    <col min="5843" max="5843" width="24.88671875" style="13" customWidth="1"/>
    <col min="5844" max="5844" width="14.44140625" style="13" customWidth="1"/>
    <col min="5845" max="5845" width="23.109375" style="13" customWidth="1"/>
    <col min="5846" max="5846" width="13.109375" style="13" customWidth="1"/>
    <col min="5847" max="5850" width="0" style="13" hidden="1" customWidth="1"/>
    <col min="5851" max="6086" width="10.33203125" style="13"/>
    <col min="6087" max="6087" width="7" style="13" customWidth="1"/>
    <col min="6088" max="6088" width="13" style="13" customWidth="1"/>
    <col min="6089" max="6089" width="14.109375" style="13" customWidth="1"/>
    <col min="6090" max="6090" width="17.33203125" style="13" customWidth="1"/>
    <col min="6091" max="6091" width="18.88671875" style="13" customWidth="1"/>
    <col min="6092" max="6092" width="14.109375" style="13" customWidth="1"/>
    <col min="6093" max="6093" width="21.5546875" style="13" customWidth="1"/>
    <col min="6094" max="6095" width="14.109375" style="13" customWidth="1"/>
    <col min="6096" max="6096" width="15" style="13" customWidth="1"/>
    <col min="6097" max="6097" width="13.33203125" style="13" customWidth="1"/>
    <col min="6098" max="6098" width="17" style="13" customWidth="1"/>
    <col min="6099" max="6099" width="24.88671875" style="13" customWidth="1"/>
    <col min="6100" max="6100" width="14.44140625" style="13" customWidth="1"/>
    <col min="6101" max="6101" width="23.109375" style="13" customWidth="1"/>
    <col min="6102" max="6102" width="13.109375" style="13" customWidth="1"/>
    <col min="6103" max="6106" width="0" style="13" hidden="1" customWidth="1"/>
    <col min="6107" max="6342" width="10.33203125" style="13"/>
    <col min="6343" max="6343" width="7" style="13" customWidth="1"/>
    <col min="6344" max="6344" width="13" style="13" customWidth="1"/>
    <col min="6345" max="6345" width="14.109375" style="13" customWidth="1"/>
    <col min="6346" max="6346" width="17.33203125" style="13" customWidth="1"/>
    <col min="6347" max="6347" width="18.88671875" style="13" customWidth="1"/>
    <col min="6348" max="6348" width="14.109375" style="13" customWidth="1"/>
    <col min="6349" max="6349" width="21.5546875" style="13" customWidth="1"/>
    <col min="6350" max="6351" width="14.109375" style="13" customWidth="1"/>
    <col min="6352" max="6352" width="15" style="13" customWidth="1"/>
    <col min="6353" max="6353" width="13.33203125" style="13" customWidth="1"/>
    <col min="6354" max="6354" width="17" style="13" customWidth="1"/>
    <col min="6355" max="6355" width="24.88671875" style="13" customWidth="1"/>
    <col min="6356" max="6356" width="14.44140625" style="13" customWidth="1"/>
    <col min="6357" max="6357" width="23.109375" style="13" customWidth="1"/>
    <col min="6358" max="6358" width="13.109375" style="13" customWidth="1"/>
    <col min="6359" max="6362" width="0" style="13" hidden="1" customWidth="1"/>
    <col min="6363" max="6598" width="10.33203125" style="13"/>
    <col min="6599" max="6599" width="7" style="13" customWidth="1"/>
    <col min="6600" max="6600" width="13" style="13" customWidth="1"/>
    <col min="6601" max="6601" width="14.109375" style="13" customWidth="1"/>
    <col min="6602" max="6602" width="17.33203125" style="13" customWidth="1"/>
    <col min="6603" max="6603" width="18.88671875" style="13" customWidth="1"/>
    <col min="6604" max="6604" width="14.109375" style="13" customWidth="1"/>
    <col min="6605" max="6605" width="21.5546875" style="13" customWidth="1"/>
    <col min="6606" max="6607" width="14.109375" style="13" customWidth="1"/>
    <col min="6608" max="6608" width="15" style="13" customWidth="1"/>
    <col min="6609" max="6609" width="13.33203125" style="13" customWidth="1"/>
    <col min="6610" max="6610" width="17" style="13" customWidth="1"/>
    <col min="6611" max="6611" width="24.88671875" style="13" customWidth="1"/>
    <col min="6612" max="6612" width="14.44140625" style="13" customWidth="1"/>
    <col min="6613" max="6613" width="23.109375" style="13" customWidth="1"/>
    <col min="6614" max="6614" width="13.109375" style="13" customWidth="1"/>
    <col min="6615" max="6618" width="0" style="13" hidden="1" customWidth="1"/>
    <col min="6619" max="6854" width="10.33203125" style="13"/>
    <col min="6855" max="6855" width="7" style="13" customWidth="1"/>
    <col min="6856" max="6856" width="13" style="13" customWidth="1"/>
    <col min="6857" max="6857" width="14.109375" style="13" customWidth="1"/>
    <col min="6858" max="6858" width="17.33203125" style="13" customWidth="1"/>
    <col min="6859" max="6859" width="18.88671875" style="13" customWidth="1"/>
    <col min="6860" max="6860" width="14.109375" style="13" customWidth="1"/>
    <col min="6861" max="6861" width="21.5546875" style="13" customWidth="1"/>
    <col min="6862" max="6863" width="14.109375" style="13" customWidth="1"/>
    <col min="6864" max="6864" width="15" style="13" customWidth="1"/>
    <col min="6865" max="6865" width="13.33203125" style="13" customWidth="1"/>
    <col min="6866" max="6866" width="17" style="13" customWidth="1"/>
    <col min="6867" max="6867" width="24.88671875" style="13" customWidth="1"/>
    <col min="6868" max="6868" width="14.44140625" style="13" customWidth="1"/>
    <col min="6869" max="6869" width="23.109375" style="13" customWidth="1"/>
    <col min="6870" max="6870" width="13.109375" style="13" customWidth="1"/>
    <col min="6871" max="6874" width="0" style="13" hidden="1" customWidth="1"/>
    <col min="6875" max="7110" width="10.33203125" style="13"/>
    <col min="7111" max="7111" width="7" style="13" customWidth="1"/>
    <col min="7112" max="7112" width="13" style="13" customWidth="1"/>
    <col min="7113" max="7113" width="14.109375" style="13" customWidth="1"/>
    <col min="7114" max="7114" width="17.33203125" style="13" customWidth="1"/>
    <col min="7115" max="7115" width="18.88671875" style="13" customWidth="1"/>
    <col min="7116" max="7116" width="14.109375" style="13" customWidth="1"/>
    <col min="7117" max="7117" width="21.5546875" style="13" customWidth="1"/>
    <col min="7118" max="7119" width="14.109375" style="13" customWidth="1"/>
    <col min="7120" max="7120" width="15" style="13" customWidth="1"/>
    <col min="7121" max="7121" width="13.33203125" style="13" customWidth="1"/>
    <col min="7122" max="7122" width="17" style="13" customWidth="1"/>
    <col min="7123" max="7123" width="24.88671875" style="13" customWidth="1"/>
    <col min="7124" max="7124" width="14.44140625" style="13" customWidth="1"/>
    <col min="7125" max="7125" width="23.109375" style="13" customWidth="1"/>
    <col min="7126" max="7126" width="13.109375" style="13" customWidth="1"/>
    <col min="7127" max="7130" width="0" style="13" hidden="1" customWidth="1"/>
    <col min="7131" max="7366" width="10.33203125" style="13"/>
    <col min="7367" max="7367" width="7" style="13" customWidth="1"/>
    <col min="7368" max="7368" width="13" style="13" customWidth="1"/>
    <col min="7369" max="7369" width="14.109375" style="13" customWidth="1"/>
    <col min="7370" max="7370" width="17.33203125" style="13" customWidth="1"/>
    <col min="7371" max="7371" width="18.88671875" style="13" customWidth="1"/>
    <col min="7372" max="7372" width="14.109375" style="13" customWidth="1"/>
    <col min="7373" max="7373" width="21.5546875" style="13" customWidth="1"/>
    <col min="7374" max="7375" width="14.109375" style="13" customWidth="1"/>
    <col min="7376" max="7376" width="15" style="13" customWidth="1"/>
    <col min="7377" max="7377" width="13.33203125" style="13" customWidth="1"/>
    <col min="7378" max="7378" width="17" style="13" customWidth="1"/>
    <col min="7379" max="7379" width="24.88671875" style="13" customWidth="1"/>
    <col min="7380" max="7380" width="14.44140625" style="13" customWidth="1"/>
    <col min="7381" max="7381" width="23.109375" style="13" customWidth="1"/>
    <col min="7382" max="7382" width="13.109375" style="13" customWidth="1"/>
    <col min="7383" max="7386" width="0" style="13" hidden="1" customWidth="1"/>
    <col min="7387" max="7622" width="10.33203125" style="13"/>
    <col min="7623" max="7623" width="7" style="13" customWidth="1"/>
    <col min="7624" max="7624" width="13" style="13" customWidth="1"/>
    <col min="7625" max="7625" width="14.109375" style="13" customWidth="1"/>
    <col min="7626" max="7626" width="17.33203125" style="13" customWidth="1"/>
    <col min="7627" max="7627" width="18.88671875" style="13" customWidth="1"/>
    <col min="7628" max="7628" width="14.109375" style="13" customWidth="1"/>
    <col min="7629" max="7629" width="21.5546875" style="13" customWidth="1"/>
    <col min="7630" max="7631" width="14.109375" style="13" customWidth="1"/>
    <col min="7632" max="7632" width="15" style="13" customWidth="1"/>
    <col min="7633" max="7633" width="13.33203125" style="13" customWidth="1"/>
    <col min="7634" max="7634" width="17" style="13" customWidth="1"/>
    <col min="7635" max="7635" width="24.88671875" style="13" customWidth="1"/>
    <col min="7636" max="7636" width="14.44140625" style="13" customWidth="1"/>
    <col min="7637" max="7637" width="23.109375" style="13" customWidth="1"/>
    <col min="7638" max="7638" width="13.109375" style="13" customWidth="1"/>
    <col min="7639" max="7642" width="0" style="13" hidden="1" customWidth="1"/>
    <col min="7643" max="7878" width="10.33203125" style="13"/>
    <col min="7879" max="7879" width="7" style="13" customWidth="1"/>
    <col min="7880" max="7880" width="13" style="13" customWidth="1"/>
    <col min="7881" max="7881" width="14.109375" style="13" customWidth="1"/>
    <col min="7882" max="7882" width="17.33203125" style="13" customWidth="1"/>
    <col min="7883" max="7883" width="18.88671875" style="13" customWidth="1"/>
    <col min="7884" max="7884" width="14.109375" style="13" customWidth="1"/>
    <col min="7885" max="7885" width="21.5546875" style="13" customWidth="1"/>
    <col min="7886" max="7887" width="14.109375" style="13" customWidth="1"/>
    <col min="7888" max="7888" width="15" style="13" customWidth="1"/>
    <col min="7889" max="7889" width="13.33203125" style="13" customWidth="1"/>
    <col min="7890" max="7890" width="17" style="13" customWidth="1"/>
    <col min="7891" max="7891" width="24.88671875" style="13" customWidth="1"/>
    <col min="7892" max="7892" width="14.44140625" style="13" customWidth="1"/>
    <col min="7893" max="7893" width="23.109375" style="13" customWidth="1"/>
    <col min="7894" max="7894" width="13.109375" style="13" customWidth="1"/>
    <col min="7895" max="7898" width="0" style="13" hidden="1" customWidth="1"/>
    <col min="7899" max="8134" width="10.33203125" style="13"/>
    <col min="8135" max="8135" width="7" style="13" customWidth="1"/>
    <col min="8136" max="8136" width="13" style="13" customWidth="1"/>
    <col min="8137" max="8137" width="14.109375" style="13" customWidth="1"/>
    <col min="8138" max="8138" width="17.33203125" style="13" customWidth="1"/>
    <col min="8139" max="8139" width="18.88671875" style="13" customWidth="1"/>
    <col min="8140" max="8140" width="14.109375" style="13" customWidth="1"/>
    <col min="8141" max="8141" width="21.5546875" style="13" customWidth="1"/>
    <col min="8142" max="8143" width="14.109375" style="13" customWidth="1"/>
    <col min="8144" max="8144" width="15" style="13" customWidth="1"/>
    <col min="8145" max="8145" width="13.33203125" style="13" customWidth="1"/>
    <col min="8146" max="8146" width="17" style="13" customWidth="1"/>
    <col min="8147" max="8147" width="24.88671875" style="13" customWidth="1"/>
    <col min="8148" max="8148" width="14.44140625" style="13" customWidth="1"/>
    <col min="8149" max="8149" width="23.109375" style="13" customWidth="1"/>
    <col min="8150" max="8150" width="13.109375" style="13" customWidth="1"/>
    <col min="8151" max="8154" width="0" style="13" hidden="1" customWidth="1"/>
    <col min="8155" max="8390" width="10.33203125" style="13"/>
    <col min="8391" max="8391" width="7" style="13" customWidth="1"/>
    <col min="8392" max="8392" width="13" style="13" customWidth="1"/>
    <col min="8393" max="8393" width="14.109375" style="13" customWidth="1"/>
    <col min="8394" max="8394" width="17.33203125" style="13" customWidth="1"/>
    <col min="8395" max="8395" width="18.88671875" style="13" customWidth="1"/>
    <col min="8396" max="8396" width="14.109375" style="13" customWidth="1"/>
    <col min="8397" max="8397" width="21.5546875" style="13" customWidth="1"/>
    <col min="8398" max="8399" width="14.109375" style="13" customWidth="1"/>
    <col min="8400" max="8400" width="15" style="13" customWidth="1"/>
    <col min="8401" max="8401" width="13.33203125" style="13" customWidth="1"/>
    <col min="8402" max="8402" width="17" style="13" customWidth="1"/>
    <col min="8403" max="8403" width="24.88671875" style="13" customWidth="1"/>
    <col min="8404" max="8404" width="14.44140625" style="13" customWidth="1"/>
    <col min="8405" max="8405" width="23.109375" style="13" customWidth="1"/>
    <col min="8406" max="8406" width="13.109375" style="13" customWidth="1"/>
    <col min="8407" max="8410" width="0" style="13" hidden="1" customWidth="1"/>
    <col min="8411" max="8646" width="10.33203125" style="13"/>
    <col min="8647" max="8647" width="7" style="13" customWidth="1"/>
    <col min="8648" max="8648" width="13" style="13" customWidth="1"/>
    <col min="8649" max="8649" width="14.109375" style="13" customWidth="1"/>
    <col min="8650" max="8650" width="17.33203125" style="13" customWidth="1"/>
    <col min="8651" max="8651" width="18.88671875" style="13" customWidth="1"/>
    <col min="8652" max="8652" width="14.109375" style="13" customWidth="1"/>
    <col min="8653" max="8653" width="21.5546875" style="13" customWidth="1"/>
    <col min="8654" max="8655" width="14.109375" style="13" customWidth="1"/>
    <col min="8656" max="8656" width="15" style="13" customWidth="1"/>
    <col min="8657" max="8657" width="13.33203125" style="13" customWidth="1"/>
    <col min="8658" max="8658" width="17" style="13" customWidth="1"/>
    <col min="8659" max="8659" width="24.88671875" style="13" customWidth="1"/>
    <col min="8660" max="8660" width="14.44140625" style="13" customWidth="1"/>
    <col min="8661" max="8661" width="23.109375" style="13" customWidth="1"/>
    <col min="8662" max="8662" width="13.109375" style="13" customWidth="1"/>
    <col min="8663" max="8666" width="0" style="13" hidden="1" customWidth="1"/>
    <col min="8667" max="8902" width="10.33203125" style="13"/>
    <col min="8903" max="8903" width="7" style="13" customWidth="1"/>
    <col min="8904" max="8904" width="13" style="13" customWidth="1"/>
    <col min="8905" max="8905" width="14.109375" style="13" customWidth="1"/>
    <col min="8906" max="8906" width="17.33203125" style="13" customWidth="1"/>
    <col min="8907" max="8907" width="18.88671875" style="13" customWidth="1"/>
    <col min="8908" max="8908" width="14.109375" style="13" customWidth="1"/>
    <col min="8909" max="8909" width="21.5546875" style="13" customWidth="1"/>
    <col min="8910" max="8911" width="14.109375" style="13" customWidth="1"/>
    <col min="8912" max="8912" width="15" style="13" customWidth="1"/>
    <col min="8913" max="8913" width="13.33203125" style="13" customWidth="1"/>
    <col min="8914" max="8914" width="17" style="13" customWidth="1"/>
    <col min="8915" max="8915" width="24.88671875" style="13" customWidth="1"/>
    <col min="8916" max="8916" width="14.44140625" style="13" customWidth="1"/>
    <col min="8917" max="8917" width="23.109375" style="13" customWidth="1"/>
    <col min="8918" max="8918" width="13.109375" style="13" customWidth="1"/>
    <col min="8919" max="8922" width="0" style="13" hidden="1" customWidth="1"/>
    <col min="8923" max="9158" width="10.33203125" style="13"/>
    <col min="9159" max="9159" width="7" style="13" customWidth="1"/>
    <col min="9160" max="9160" width="13" style="13" customWidth="1"/>
    <col min="9161" max="9161" width="14.109375" style="13" customWidth="1"/>
    <col min="9162" max="9162" width="17.33203125" style="13" customWidth="1"/>
    <col min="9163" max="9163" width="18.88671875" style="13" customWidth="1"/>
    <col min="9164" max="9164" width="14.109375" style="13" customWidth="1"/>
    <col min="9165" max="9165" width="21.5546875" style="13" customWidth="1"/>
    <col min="9166" max="9167" width="14.109375" style="13" customWidth="1"/>
    <col min="9168" max="9168" width="15" style="13" customWidth="1"/>
    <col min="9169" max="9169" width="13.33203125" style="13" customWidth="1"/>
    <col min="9170" max="9170" width="17" style="13" customWidth="1"/>
    <col min="9171" max="9171" width="24.88671875" style="13" customWidth="1"/>
    <col min="9172" max="9172" width="14.44140625" style="13" customWidth="1"/>
    <col min="9173" max="9173" width="23.109375" style="13" customWidth="1"/>
    <col min="9174" max="9174" width="13.109375" style="13" customWidth="1"/>
    <col min="9175" max="9178" width="0" style="13" hidden="1" customWidth="1"/>
    <col min="9179" max="9414" width="10.33203125" style="13"/>
    <col min="9415" max="9415" width="7" style="13" customWidth="1"/>
    <col min="9416" max="9416" width="13" style="13" customWidth="1"/>
    <col min="9417" max="9417" width="14.109375" style="13" customWidth="1"/>
    <col min="9418" max="9418" width="17.33203125" style="13" customWidth="1"/>
    <col min="9419" max="9419" width="18.88671875" style="13" customWidth="1"/>
    <col min="9420" max="9420" width="14.109375" style="13" customWidth="1"/>
    <col min="9421" max="9421" width="21.5546875" style="13" customWidth="1"/>
    <col min="9422" max="9423" width="14.109375" style="13" customWidth="1"/>
    <col min="9424" max="9424" width="15" style="13" customWidth="1"/>
    <col min="9425" max="9425" width="13.33203125" style="13" customWidth="1"/>
    <col min="9426" max="9426" width="17" style="13" customWidth="1"/>
    <col min="9427" max="9427" width="24.88671875" style="13" customWidth="1"/>
    <col min="9428" max="9428" width="14.44140625" style="13" customWidth="1"/>
    <col min="9429" max="9429" width="23.109375" style="13" customWidth="1"/>
    <col min="9430" max="9430" width="13.109375" style="13" customWidth="1"/>
    <col min="9431" max="9434" width="0" style="13" hidden="1" customWidth="1"/>
    <col min="9435" max="9670" width="10.33203125" style="13"/>
    <col min="9671" max="9671" width="7" style="13" customWidth="1"/>
    <col min="9672" max="9672" width="13" style="13" customWidth="1"/>
    <col min="9673" max="9673" width="14.109375" style="13" customWidth="1"/>
    <col min="9674" max="9674" width="17.33203125" style="13" customWidth="1"/>
    <col min="9675" max="9675" width="18.88671875" style="13" customWidth="1"/>
    <col min="9676" max="9676" width="14.109375" style="13" customWidth="1"/>
    <col min="9677" max="9677" width="21.5546875" style="13" customWidth="1"/>
    <col min="9678" max="9679" width="14.109375" style="13" customWidth="1"/>
    <col min="9680" max="9680" width="15" style="13" customWidth="1"/>
    <col min="9681" max="9681" width="13.33203125" style="13" customWidth="1"/>
    <col min="9682" max="9682" width="17" style="13" customWidth="1"/>
    <col min="9683" max="9683" width="24.88671875" style="13" customWidth="1"/>
    <col min="9684" max="9684" width="14.44140625" style="13" customWidth="1"/>
    <col min="9685" max="9685" width="23.109375" style="13" customWidth="1"/>
    <col min="9686" max="9686" width="13.109375" style="13" customWidth="1"/>
    <col min="9687" max="9690" width="0" style="13" hidden="1" customWidth="1"/>
    <col min="9691" max="9926" width="10.33203125" style="13"/>
    <col min="9927" max="9927" width="7" style="13" customWidth="1"/>
    <col min="9928" max="9928" width="13" style="13" customWidth="1"/>
    <col min="9929" max="9929" width="14.109375" style="13" customWidth="1"/>
    <col min="9930" max="9930" width="17.33203125" style="13" customWidth="1"/>
    <col min="9931" max="9931" width="18.88671875" style="13" customWidth="1"/>
    <col min="9932" max="9932" width="14.109375" style="13" customWidth="1"/>
    <col min="9933" max="9933" width="21.5546875" style="13" customWidth="1"/>
    <col min="9934" max="9935" width="14.109375" style="13" customWidth="1"/>
    <col min="9936" max="9936" width="15" style="13" customWidth="1"/>
    <col min="9937" max="9937" width="13.33203125" style="13" customWidth="1"/>
    <col min="9938" max="9938" width="17" style="13" customWidth="1"/>
    <col min="9939" max="9939" width="24.88671875" style="13" customWidth="1"/>
    <col min="9940" max="9940" width="14.44140625" style="13" customWidth="1"/>
    <col min="9941" max="9941" width="23.109375" style="13" customWidth="1"/>
    <col min="9942" max="9942" width="13.109375" style="13" customWidth="1"/>
    <col min="9943" max="9946" width="0" style="13" hidden="1" customWidth="1"/>
    <col min="9947" max="10182" width="10.33203125" style="13"/>
    <col min="10183" max="10183" width="7" style="13" customWidth="1"/>
    <col min="10184" max="10184" width="13" style="13" customWidth="1"/>
    <col min="10185" max="10185" width="14.109375" style="13" customWidth="1"/>
    <col min="10186" max="10186" width="17.33203125" style="13" customWidth="1"/>
    <col min="10187" max="10187" width="18.88671875" style="13" customWidth="1"/>
    <col min="10188" max="10188" width="14.109375" style="13" customWidth="1"/>
    <col min="10189" max="10189" width="21.5546875" style="13" customWidth="1"/>
    <col min="10190" max="10191" width="14.109375" style="13" customWidth="1"/>
    <col min="10192" max="10192" width="15" style="13" customWidth="1"/>
    <col min="10193" max="10193" width="13.33203125" style="13" customWidth="1"/>
    <col min="10194" max="10194" width="17" style="13" customWidth="1"/>
    <col min="10195" max="10195" width="24.88671875" style="13" customWidth="1"/>
    <col min="10196" max="10196" width="14.44140625" style="13" customWidth="1"/>
    <col min="10197" max="10197" width="23.109375" style="13" customWidth="1"/>
    <col min="10198" max="10198" width="13.109375" style="13" customWidth="1"/>
    <col min="10199" max="10202" width="0" style="13" hidden="1" customWidth="1"/>
    <col min="10203" max="10438" width="10.33203125" style="13"/>
    <col min="10439" max="10439" width="7" style="13" customWidth="1"/>
    <col min="10440" max="10440" width="13" style="13" customWidth="1"/>
    <col min="10441" max="10441" width="14.109375" style="13" customWidth="1"/>
    <col min="10442" max="10442" width="17.33203125" style="13" customWidth="1"/>
    <col min="10443" max="10443" width="18.88671875" style="13" customWidth="1"/>
    <col min="10444" max="10444" width="14.109375" style="13" customWidth="1"/>
    <col min="10445" max="10445" width="21.5546875" style="13" customWidth="1"/>
    <col min="10446" max="10447" width="14.109375" style="13" customWidth="1"/>
    <col min="10448" max="10448" width="15" style="13" customWidth="1"/>
    <col min="10449" max="10449" width="13.33203125" style="13" customWidth="1"/>
    <col min="10450" max="10450" width="17" style="13" customWidth="1"/>
    <col min="10451" max="10451" width="24.88671875" style="13" customWidth="1"/>
    <col min="10452" max="10452" width="14.44140625" style="13" customWidth="1"/>
    <col min="10453" max="10453" width="23.109375" style="13" customWidth="1"/>
    <col min="10454" max="10454" width="13.109375" style="13" customWidth="1"/>
    <col min="10455" max="10458" width="0" style="13" hidden="1" customWidth="1"/>
    <col min="10459" max="10694" width="10.33203125" style="13"/>
    <col min="10695" max="10695" width="7" style="13" customWidth="1"/>
    <col min="10696" max="10696" width="13" style="13" customWidth="1"/>
    <col min="10697" max="10697" width="14.109375" style="13" customWidth="1"/>
    <col min="10698" max="10698" width="17.33203125" style="13" customWidth="1"/>
    <col min="10699" max="10699" width="18.88671875" style="13" customWidth="1"/>
    <col min="10700" max="10700" width="14.109375" style="13" customWidth="1"/>
    <col min="10701" max="10701" width="21.5546875" style="13" customWidth="1"/>
    <col min="10702" max="10703" width="14.109375" style="13" customWidth="1"/>
    <col min="10704" max="10704" width="15" style="13" customWidth="1"/>
    <col min="10705" max="10705" width="13.33203125" style="13" customWidth="1"/>
    <col min="10706" max="10706" width="17" style="13" customWidth="1"/>
    <col min="10707" max="10707" width="24.88671875" style="13" customWidth="1"/>
    <col min="10708" max="10708" width="14.44140625" style="13" customWidth="1"/>
    <col min="10709" max="10709" width="23.109375" style="13" customWidth="1"/>
    <col min="10710" max="10710" width="13.109375" style="13" customWidth="1"/>
    <col min="10711" max="10714" width="0" style="13" hidden="1" customWidth="1"/>
    <col min="10715" max="10950" width="10.33203125" style="13"/>
    <col min="10951" max="10951" width="7" style="13" customWidth="1"/>
    <col min="10952" max="10952" width="13" style="13" customWidth="1"/>
    <col min="10953" max="10953" width="14.109375" style="13" customWidth="1"/>
    <col min="10954" max="10954" width="17.33203125" style="13" customWidth="1"/>
    <col min="10955" max="10955" width="18.88671875" style="13" customWidth="1"/>
    <col min="10956" max="10956" width="14.109375" style="13" customWidth="1"/>
    <col min="10957" max="10957" width="21.5546875" style="13" customWidth="1"/>
    <col min="10958" max="10959" width="14.109375" style="13" customWidth="1"/>
    <col min="10960" max="10960" width="15" style="13" customWidth="1"/>
    <col min="10961" max="10961" width="13.33203125" style="13" customWidth="1"/>
    <col min="10962" max="10962" width="17" style="13" customWidth="1"/>
    <col min="10963" max="10963" width="24.88671875" style="13" customWidth="1"/>
    <col min="10964" max="10964" width="14.44140625" style="13" customWidth="1"/>
    <col min="10965" max="10965" width="23.109375" style="13" customWidth="1"/>
    <col min="10966" max="10966" width="13.109375" style="13" customWidth="1"/>
    <col min="10967" max="10970" width="0" style="13" hidden="1" customWidth="1"/>
    <col min="10971" max="11206" width="10.33203125" style="13"/>
    <col min="11207" max="11207" width="7" style="13" customWidth="1"/>
    <col min="11208" max="11208" width="13" style="13" customWidth="1"/>
    <col min="11209" max="11209" width="14.109375" style="13" customWidth="1"/>
    <col min="11210" max="11210" width="17.33203125" style="13" customWidth="1"/>
    <col min="11211" max="11211" width="18.88671875" style="13" customWidth="1"/>
    <col min="11212" max="11212" width="14.109375" style="13" customWidth="1"/>
    <col min="11213" max="11213" width="21.5546875" style="13" customWidth="1"/>
    <col min="11214" max="11215" width="14.109375" style="13" customWidth="1"/>
    <col min="11216" max="11216" width="15" style="13" customWidth="1"/>
    <col min="11217" max="11217" width="13.33203125" style="13" customWidth="1"/>
    <col min="11218" max="11218" width="17" style="13" customWidth="1"/>
    <col min="11219" max="11219" width="24.88671875" style="13" customWidth="1"/>
    <col min="11220" max="11220" width="14.44140625" style="13" customWidth="1"/>
    <col min="11221" max="11221" width="23.109375" style="13" customWidth="1"/>
    <col min="11222" max="11222" width="13.109375" style="13" customWidth="1"/>
    <col min="11223" max="11226" width="0" style="13" hidden="1" customWidth="1"/>
    <col min="11227" max="11462" width="10.33203125" style="13"/>
    <col min="11463" max="11463" width="7" style="13" customWidth="1"/>
    <col min="11464" max="11464" width="13" style="13" customWidth="1"/>
    <col min="11465" max="11465" width="14.109375" style="13" customWidth="1"/>
    <col min="11466" max="11466" width="17.33203125" style="13" customWidth="1"/>
    <col min="11467" max="11467" width="18.88671875" style="13" customWidth="1"/>
    <col min="11468" max="11468" width="14.109375" style="13" customWidth="1"/>
    <col min="11469" max="11469" width="21.5546875" style="13" customWidth="1"/>
    <col min="11470" max="11471" width="14.109375" style="13" customWidth="1"/>
    <col min="11472" max="11472" width="15" style="13" customWidth="1"/>
    <col min="11473" max="11473" width="13.33203125" style="13" customWidth="1"/>
    <col min="11474" max="11474" width="17" style="13" customWidth="1"/>
    <col min="11475" max="11475" width="24.88671875" style="13" customWidth="1"/>
    <col min="11476" max="11476" width="14.44140625" style="13" customWidth="1"/>
    <col min="11477" max="11477" width="23.109375" style="13" customWidth="1"/>
    <col min="11478" max="11478" width="13.109375" style="13" customWidth="1"/>
    <col min="11479" max="11482" width="0" style="13" hidden="1" customWidth="1"/>
    <col min="11483" max="11718" width="10.33203125" style="13"/>
    <col min="11719" max="11719" width="7" style="13" customWidth="1"/>
    <col min="11720" max="11720" width="13" style="13" customWidth="1"/>
    <col min="11721" max="11721" width="14.109375" style="13" customWidth="1"/>
    <col min="11722" max="11722" width="17.33203125" style="13" customWidth="1"/>
    <col min="11723" max="11723" width="18.88671875" style="13" customWidth="1"/>
    <col min="11724" max="11724" width="14.109375" style="13" customWidth="1"/>
    <col min="11725" max="11725" width="21.5546875" style="13" customWidth="1"/>
    <col min="11726" max="11727" width="14.109375" style="13" customWidth="1"/>
    <col min="11728" max="11728" width="15" style="13" customWidth="1"/>
    <col min="11729" max="11729" width="13.33203125" style="13" customWidth="1"/>
    <col min="11730" max="11730" width="17" style="13" customWidth="1"/>
    <col min="11731" max="11731" width="24.88671875" style="13" customWidth="1"/>
    <col min="11732" max="11732" width="14.44140625" style="13" customWidth="1"/>
    <col min="11733" max="11733" width="23.109375" style="13" customWidth="1"/>
    <col min="11734" max="11734" width="13.109375" style="13" customWidth="1"/>
    <col min="11735" max="11738" width="0" style="13" hidden="1" customWidth="1"/>
    <col min="11739" max="11974" width="10.33203125" style="13"/>
    <col min="11975" max="11975" width="7" style="13" customWidth="1"/>
    <col min="11976" max="11976" width="13" style="13" customWidth="1"/>
    <col min="11977" max="11977" width="14.109375" style="13" customWidth="1"/>
    <col min="11978" max="11978" width="17.33203125" style="13" customWidth="1"/>
    <col min="11979" max="11979" width="18.88671875" style="13" customWidth="1"/>
    <col min="11980" max="11980" width="14.109375" style="13" customWidth="1"/>
    <col min="11981" max="11981" width="21.5546875" style="13" customWidth="1"/>
    <col min="11982" max="11983" width="14.109375" style="13" customWidth="1"/>
    <col min="11984" max="11984" width="15" style="13" customWidth="1"/>
    <col min="11985" max="11985" width="13.33203125" style="13" customWidth="1"/>
    <col min="11986" max="11986" width="17" style="13" customWidth="1"/>
    <col min="11987" max="11987" width="24.88671875" style="13" customWidth="1"/>
    <col min="11988" max="11988" width="14.44140625" style="13" customWidth="1"/>
    <col min="11989" max="11989" width="23.109375" style="13" customWidth="1"/>
    <col min="11990" max="11990" width="13.109375" style="13" customWidth="1"/>
    <col min="11991" max="11994" width="0" style="13" hidden="1" customWidth="1"/>
    <col min="11995" max="12230" width="10.33203125" style="13"/>
    <col min="12231" max="12231" width="7" style="13" customWidth="1"/>
    <col min="12232" max="12232" width="13" style="13" customWidth="1"/>
    <col min="12233" max="12233" width="14.109375" style="13" customWidth="1"/>
    <col min="12234" max="12234" width="17.33203125" style="13" customWidth="1"/>
    <col min="12235" max="12235" width="18.88671875" style="13" customWidth="1"/>
    <col min="12236" max="12236" width="14.109375" style="13" customWidth="1"/>
    <col min="12237" max="12237" width="21.5546875" style="13" customWidth="1"/>
    <col min="12238" max="12239" width="14.109375" style="13" customWidth="1"/>
    <col min="12240" max="12240" width="15" style="13" customWidth="1"/>
    <col min="12241" max="12241" width="13.33203125" style="13" customWidth="1"/>
    <col min="12242" max="12242" width="17" style="13" customWidth="1"/>
    <col min="12243" max="12243" width="24.88671875" style="13" customWidth="1"/>
    <col min="12244" max="12244" width="14.44140625" style="13" customWidth="1"/>
    <col min="12245" max="12245" width="23.109375" style="13" customWidth="1"/>
    <col min="12246" max="12246" width="13.109375" style="13" customWidth="1"/>
    <col min="12247" max="12250" width="0" style="13" hidden="1" customWidth="1"/>
    <col min="12251" max="12486" width="10.33203125" style="13"/>
    <col min="12487" max="12487" width="7" style="13" customWidth="1"/>
    <col min="12488" max="12488" width="13" style="13" customWidth="1"/>
    <col min="12489" max="12489" width="14.109375" style="13" customWidth="1"/>
    <col min="12490" max="12490" width="17.33203125" style="13" customWidth="1"/>
    <col min="12491" max="12491" width="18.88671875" style="13" customWidth="1"/>
    <col min="12492" max="12492" width="14.109375" style="13" customWidth="1"/>
    <col min="12493" max="12493" width="21.5546875" style="13" customWidth="1"/>
    <col min="12494" max="12495" width="14.109375" style="13" customWidth="1"/>
    <col min="12496" max="12496" width="15" style="13" customWidth="1"/>
    <col min="12497" max="12497" width="13.33203125" style="13" customWidth="1"/>
    <col min="12498" max="12498" width="17" style="13" customWidth="1"/>
    <col min="12499" max="12499" width="24.88671875" style="13" customWidth="1"/>
    <col min="12500" max="12500" width="14.44140625" style="13" customWidth="1"/>
    <col min="12501" max="12501" width="23.109375" style="13" customWidth="1"/>
    <col min="12502" max="12502" width="13.109375" style="13" customWidth="1"/>
    <col min="12503" max="12506" width="0" style="13" hidden="1" customWidth="1"/>
    <col min="12507" max="12742" width="10.33203125" style="13"/>
    <col min="12743" max="12743" width="7" style="13" customWidth="1"/>
    <col min="12744" max="12744" width="13" style="13" customWidth="1"/>
    <col min="12745" max="12745" width="14.109375" style="13" customWidth="1"/>
    <col min="12746" max="12746" width="17.33203125" style="13" customWidth="1"/>
    <col min="12747" max="12747" width="18.88671875" style="13" customWidth="1"/>
    <col min="12748" max="12748" width="14.109375" style="13" customWidth="1"/>
    <col min="12749" max="12749" width="21.5546875" style="13" customWidth="1"/>
    <col min="12750" max="12751" width="14.109375" style="13" customWidth="1"/>
    <col min="12752" max="12752" width="15" style="13" customWidth="1"/>
    <col min="12753" max="12753" width="13.33203125" style="13" customWidth="1"/>
    <col min="12754" max="12754" width="17" style="13" customWidth="1"/>
    <col min="12755" max="12755" width="24.88671875" style="13" customWidth="1"/>
    <col min="12756" max="12756" width="14.44140625" style="13" customWidth="1"/>
    <col min="12757" max="12757" width="23.109375" style="13" customWidth="1"/>
    <col min="12758" max="12758" width="13.109375" style="13" customWidth="1"/>
    <col min="12759" max="12762" width="0" style="13" hidden="1" customWidth="1"/>
    <col min="12763" max="12998" width="10.33203125" style="13"/>
    <col min="12999" max="12999" width="7" style="13" customWidth="1"/>
    <col min="13000" max="13000" width="13" style="13" customWidth="1"/>
    <col min="13001" max="13001" width="14.109375" style="13" customWidth="1"/>
    <col min="13002" max="13002" width="17.33203125" style="13" customWidth="1"/>
    <col min="13003" max="13003" width="18.88671875" style="13" customWidth="1"/>
    <col min="13004" max="13004" width="14.109375" style="13" customWidth="1"/>
    <col min="13005" max="13005" width="21.5546875" style="13" customWidth="1"/>
    <col min="13006" max="13007" width="14.109375" style="13" customWidth="1"/>
    <col min="13008" max="13008" width="15" style="13" customWidth="1"/>
    <col min="13009" max="13009" width="13.33203125" style="13" customWidth="1"/>
    <col min="13010" max="13010" width="17" style="13" customWidth="1"/>
    <col min="13011" max="13011" width="24.88671875" style="13" customWidth="1"/>
    <col min="13012" max="13012" width="14.44140625" style="13" customWidth="1"/>
    <col min="13013" max="13013" width="23.109375" style="13" customWidth="1"/>
    <col min="13014" max="13014" width="13.109375" style="13" customWidth="1"/>
    <col min="13015" max="13018" width="0" style="13" hidden="1" customWidth="1"/>
    <col min="13019" max="13254" width="10.33203125" style="13"/>
    <col min="13255" max="13255" width="7" style="13" customWidth="1"/>
    <col min="13256" max="13256" width="13" style="13" customWidth="1"/>
    <col min="13257" max="13257" width="14.109375" style="13" customWidth="1"/>
    <col min="13258" max="13258" width="17.33203125" style="13" customWidth="1"/>
    <col min="13259" max="13259" width="18.88671875" style="13" customWidth="1"/>
    <col min="13260" max="13260" width="14.109375" style="13" customWidth="1"/>
    <col min="13261" max="13261" width="21.5546875" style="13" customWidth="1"/>
    <col min="13262" max="13263" width="14.109375" style="13" customWidth="1"/>
    <col min="13264" max="13264" width="15" style="13" customWidth="1"/>
    <col min="13265" max="13265" width="13.33203125" style="13" customWidth="1"/>
    <col min="13266" max="13266" width="17" style="13" customWidth="1"/>
    <col min="13267" max="13267" width="24.88671875" style="13" customWidth="1"/>
    <col min="13268" max="13268" width="14.44140625" style="13" customWidth="1"/>
    <col min="13269" max="13269" width="23.109375" style="13" customWidth="1"/>
    <col min="13270" max="13270" width="13.109375" style="13" customWidth="1"/>
    <col min="13271" max="13274" width="0" style="13" hidden="1" customWidth="1"/>
    <col min="13275" max="13510" width="10.33203125" style="13"/>
    <col min="13511" max="13511" width="7" style="13" customWidth="1"/>
    <col min="13512" max="13512" width="13" style="13" customWidth="1"/>
    <col min="13513" max="13513" width="14.109375" style="13" customWidth="1"/>
    <col min="13514" max="13514" width="17.33203125" style="13" customWidth="1"/>
    <col min="13515" max="13515" width="18.88671875" style="13" customWidth="1"/>
    <col min="13516" max="13516" width="14.109375" style="13" customWidth="1"/>
    <col min="13517" max="13517" width="21.5546875" style="13" customWidth="1"/>
    <col min="13518" max="13519" width="14.109375" style="13" customWidth="1"/>
    <col min="13520" max="13520" width="15" style="13" customWidth="1"/>
    <col min="13521" max="13521" width="13.33203125" style="13" customWidth="1"/>
    <col min="13522" max="13522" width="17" style="13" customWidth="1"/>
    <col min="13523" max="13523" width="24.88671875" style="13" customWidth="1"/>
    <col min="13524" max="13524" width="14.44140625" style="13" customWidth="1"/>
    <col min="13525" max="13525" width="23.109375" style="13" customWidth="1"/>
    <col min="13526" max="13526" width="13.109375" style="13" customWidth="1"/>
    <col min="13527" max="13530" width="0" style="13" hidden="1" customWidth="1"/>
    <col min="13531" max="13766" width="10.33203125" style="13"/>
    <col min="13767" max="13767" width="7" style="13" customWidth="1"/>
    <col min="13768" max="13768" width="13" style="13" customWidth="1"/>
    <col min="13769" max="13769" width="14.109375" style="13" customWidth="1"/>
    <col min="13770" max="13770" width="17.33203125" style="13" customWidth="1"/>
    <col min="13771" max="13771" width="18.88671875" style="13" customWidth="1"/>
    <col min="13772" max="13772" width="14.109375" style="13" customWidth="1"/>
    <col min="13773" max="13773" width="21.5546875" style="13" customWidth="1"/>
    <col min="13774" max="13775" width="14.109375" style="13" customWidth="1"/>
    <col min="13776" max="13776" width="15" style="13" customWidth="1"/>
    <col min="13777" max="13777" width="13.33203125" style="13" customWidth="1"/>
    <col min="13778" max="13778" width="17" style="13" customWidth="1"/>
    <col min="13779" max="13779" width="24.88671875" style="13" customWidth="1"/>
    <col min="13780" max="13780" width="14.44140625" style="13" customWidth="1"/>
    <col min="13781" max="13781" width="23.109375" style="13" customWidth="1"/>
    <col min="13782" max="13782" width="13.109375" style="13" customWidth="1"/>
    <col min="13783" max="13786" width="0" style="13" hidden="1" customWidth="1"/>
    <col min="13787" max="14022" width="10.33203125" style="13"/>
    <col min="14023" max="14023" width="7" style="13" customWidth="1"/>
    <col min="14024" max="14024" width="13" style="13" customWidth="1"/>
    <col min="14025" max="14025" width="14.109375" style="13" customWidth="1"/>
    <col min="14026" max="14026" width="17.33203125" style="13" customWidth="1"/>
    <col min="14027" max="14027" width="18.88671875" style="13" customWidth="1"/>
    <col min="14028" max="14028" width="14.109375" style="13" customWidth="1"/>
    <col min="14029" max="14029" width="21.5546875" style="13" customWidth="1"/>
    <col min="14030" max="14031" width="14.109375" style="13" customWidth="1"/>
    <col min="14032" max="14032" width="15" style="13" customWidth="1"/>
    <col min="14033" max="14033" width="13.33203125" style="13" customWidth="1"/>
    <col min="14034" max="14034" width="17" style="13" customWidth="1"/>
    <col min="14035" max="14035" width="24.88671875" style="13" customWidth="1"/>
    <col min="14036" max="14036" width="14.44140625" style="13" customWidth="1"/>
    <col min="14037" max="14037" width="23.109375" style="13" customWidth="1"/>
    <col min="14038" max="14038" width="13.109375" style="13" customWidth="1"/>
    <col min="14039" max="14042" width="0" style="13" hidden="1" customWidth="1"/>
    <col min="14043" max="14278" width="10.33203125" style="13"/>
    <col min="14279" max="14279" width="7" style="13" customWidth="1"/>
    <col min="14280" max="14280" width="13" style="13" customWidth="1"/>
    <col min="14281" max="14281" width="14.109375" style="13" customWidth="1"/>
    <col min="14282" max="14282" width="17.33203125" style="13" customWidth="1"/>
    <col min="14283" max="14283" width="18.88671875" style="13" customWidth="1"/>
    <col min="14284" max="14284" width="14.109375" style="13" customWidth="1"/>
    <col min="14285" max="14285" width="21.5546875" style="13" customWidth="1"/>
    <col min="14286" max="14287" width="14.109375" style="13" customWidth="1"/>
    <col min="14288" max="14288" width="15" style="13" customWidth="1"/>
    <col min="14289" max="14289" width="13.33203125" style="13" customWidth="1"/>
    <col min="14290" max="14290" width="17" style="13" customWidth="1"/>
    <col min="14291" max="14291" width="24.88671875" style="13" customWidth="1"/>
    <col min="14292" max="14292" width="14.44140625" style="13" customWidth="1"/>
    <col min="14293" max="14293" width="23.109375" style="13" customWidth="1"/>
    <col min="14294" max="14294" width="13.109375" style="13" customWidth="1"/>
    <col min="14295" max="14298" width="0" style="13" hidden="1" customWidth="1"/>
    <col min="14299" max="14534" width="10.33203125" style="13"/>
    <col min="14535" max="14535" width="7" style="13" customWidth="1"/>
    <col min="14536" max="14536" width="13" style="13" customWidth="1"/>
    <col min="14537" max="14537" width="14.109375" style="13" customWidth="1"/>
    <col min="14538" max="14538" width="17.33203125" style="13" customWidth="1"/>
    <col min="14539" max="14539" width="18.88671875" style="13" customWidth="1"/>
    <col min="14540" max="14540" width="14.109375" style="13" customWidth="1"/>
    <col min="14541" max="14541" width="21.5546875" style="13" customWidth="1"/>
    <col min="14542" max="14543" width="14.109375" style="13" customWidth="1"/>
    <col min="14544" max="14544" width="15" style="13" customWidth="1"/>
    <col min="14545" max="14545" width="13.33203125" style="13" customWidth="1"/>
    <col min="14546" max="14546" width="17" style="13" customWidth="1"/>
    <col min="14547" max="14547" width="24.88671875" style="13" customWidth="1"/>
    <col min="14548" max="14548" width="14.44140625" style="13" customWidth="1"/>
    <col min="14549" max="14549" width="23.109375" style="13" customWidth="1"/>
    <col min="14550" max="14550" width="13.109375" style="13" customWidth="1"/>
    <col min="14551" max="14554" width="0" style="13" hidden="1" customWidth="1"/>
    <col min="14555" max="14790" width="10.33203125" style="13"/>
    <col min="14791" max="14791" width="7" style="13" customWidth="1"/>
    <col min="14792" max="14792" width="13" style="13" customWidth="1"/>
    <col min="14793" max="14793" width="14.109375" style="13" customWidth="1"/>
    <col min="14794" max="14794" width="17.33203125" style="13" customWidth="1"/>
    <col min="14795" max="14795" width="18.88671875" style="13" customWidth="1"/>
    <col min="14796" max="14796" width="14.109375" style="13" customWidth="1"/>
    <col min="14797" max="14797" width="21.5546875" style="13" customWidth="1"/>
    <col min="14798" max="14799" width="14.109375" style="13" customWidth="1"/>
    <col min="14800" max="14800" width="15" style="13" customWidth="1"/>
    <col min="14801" max="14801" width="13.33203125" style="13" customWidth="1"/>
    <col min="14802" max="14802" width="17" style="13" customWidth="1"/>
    <col min="14803" max="14803" width="24.88671875" style="13" customWidth="1"/>
    <col min="14804" max="14804" width="14.44140625" style="13" customWidth="1"/>
    <col min="14805" max="14805" width="23.109375" style="13" customWidth="1"/>
    <col min="14806" max="14806" width="13.109375" style="13" customWidth="1"/>
    <col min="14807" max="14810" width="0" style="13" hidden="1" customWidth="1"/>
    <col min="14811" max="15046" width="10.33203125" style="13"/>
    <col min="15047" max="15047" width="7" style="13" customWidth="1"/>
    <col min="15048" max="15048" width="13" style="13" customWidth="1"/>
    <col min="15049" max="15049" width="14.109375" style="13" customWidth="1"/>
    <col min="15050" max="15050" width="17.33203125" style="13" customWidth="1"/>
    <col min="15051" max="15051" width="18.88671875" style="13" customWidth="1"/>
    <col min="15052" max="15052" width="14.109375" style="13" customWidth="1"/>
    <col min="15053" max="15053" width="21.5546875" style="13" customWidth="1"/>
    <col min="15054" max="15055" width="14.109375" style="13" customWidth="1"/>
    <col min="15056" max="15056" width="15" style="13" customWidth="1"/>
    <col min="15057" max="15057" width="13.33203125" style="13" customWidth="1"/>
    <col min="15058" max="15058" width="17" style="13" customWidth="1"/>
    <col min="15059" max="15059" width="24.88671875" style="13" customWidth="1"/>
    <col min="15060" max="15060" width="14.44140625" style="13" customWidth="1"/>
    <col min="15061" max="15061" width="23.109375" style="13" customWidth="1"/>
    <col min="15062" max="15062" width="13.109375" style="13" customWidth="1"/>
    <col min="15063" max="15066" width="0" style="13" hidden="1" customWidth="1"/>
    <col min="15067" max="15302" width="10.33203125" style="13"/>
    <col min="15303" max="15303" width="7" style="13" customWidth="1"/>
    <col min="15304" max="15304" width="13" style="13" customWidth="1"/>
    <col min="15305" max="15305" width="14.109375" style="13" customWidth="1"/>
    <col min="15306" max="15306" width="17.33203125" style="13" customWidth="1"/>
    <col min="15307" max="15307" width="18.88671875" style="13" customWidth="1"/>
    <col min="15308" max="15308" width="14.109375" style="13" customWidth="1"/>
    <col min="15309" max="15309" width="21.5546875" style="13" customWidth="1"/>
    <col min="15310" max="15311" width="14.109375" style="13" customWidth="1"/>
    <col min="15312" max="15312" width="15" style="13" customWidth="1"/>
    <col min="15313" max="15313" width="13.33203125" style="13" customWidth="1"/>
    <col min="15314" max="15314" width="17" style="13" customWidth="1"/>
    <col min="15315" max="15315" width="24.88671875" style="13" customWidth="1"/>
    <col min="15316" max="15316" width="14.44140625" style="13" customWidth="1"/>
    <col min="15317" max="15317" width="23.109375" style="13" customWidth="1"/>
    <col min="15318" max="15318" width="13.109375" style="13" customWidth="1"/>
    <col min="15319" max="15322" width="0" style="13" hidden="1" customWidth="1"/>
    <col min="15323" max="15558" width="10.33203125" style="13"/>
    <col min="15559" max="15559" width="7" style="13" customWidth="1"/>
    <col min="15560" max="15560" width="13" style="13" customWidth="1"/>
    <col min="15561" max="15561" width="14.109375" style="13" customWidth="1"/>
    <col min="15562" max="15562" width="17.33203125" style="13" customWidth="1"/>
    <col min="15563" max="15563" width="18.88671875" style="13" customWidth="1"/>
    <col min="15564" max="15564" width="14.109375" style="13" customWidth="1"/>
    <col min="15565" max="15565" width="21.5546875" style="13" customWidth="1"/>
    <col min="15566" max="15567" width="14.109375" style="13" customWidth="1"/>
    <col min="15568" max="15568" width="15" style="13" customWidth="1"/>
    <col min="15569" max="15569" width="13.33203125" style="13" customWidth="1"/>
    <col min="15570" max="15570" width="17" style="13" customWidth="1"/>
    <col min="15571" max="15571" width="24.88671875" style="13" customWidth="1"/>
    <col min="15572" max="15572" width="14.44140625" style="13" customWidth="1"/>
    <col min="15573" max="15573" width="23.109375" style="13" customWidth="1"/>
    <col min="15574" max="15574" width="13.109375" style="13" customWidth="1"/>
    <col min="15575" max="15578" width="0" style="13" hidden="1" customWidth="1"/>
    <col min="15579" max="15814" width="10.33203125" style="13"/>
    <col min="15815" max="15815" width="7" style="13" customWidth="1"/>
    <col min="15816" max="15816" width="13" style="13" customWidth="1"/>
    <col min="15817" max="15817" width="14.109375" style="13" customWidth="1"/>
    <col min="15818" max="15818" width="17.33203125" style="13" customWidth="1"/>
    <col min="15819" max="15819" width="18.88671875" style="13" customWidth="1"/>
    <col min="15820" max="15820" width="14.109375" style="13" customWidth="1"/>
    <col min="15821" max="15821" width="21.5546875" style="13" customWidth="1"/>
    <col min="15822" max="15823" width="14.109375" style="13" customWidth="1"/>
    <col min="15824" max="15824" width="15" style="13" customWidth="1"/>
    <col min="15825" max="15825" width="13.33203125" style="13" customWidth="1"/>
    <col min="15826" max="15826" width="17" style="13" customWidth="1"/>
    <col min="15827" max="15827" width="24.88671875" style="13" customWidth="1"/>
    <col min="15828" max="15828" width="14.44140625" style="13" customWidth="1"/>
    <col min="15829" max="15829" width="23.109375" style="13" customWidth="1"/>
    <col min="15830" max="15830" width="13.109375" style="13" customWidth="1"/>
    <col min="15831" max="15834" width="0" style="13" hidden="1" customWidth="1"/>
    <col min="15835" max="16070" width="10.33203125" style="13"/>
    <col min="16071" max="16071" width="7" style="13" customWidth="1"/>
    <col min="16072" max="16072" width="13" style="13" customWidth="1"/>
    <col min="16073" max="16073" width="14.109375" style="13" customWidth="1"/>
    <col min="16074" max="16074" width="17.33203125" style="13" customWidth="1"/>
    <col min="16075" max="16075" width="18.88671875" style="13" customWidth="1"/>
    <col min="16076" max="16076" width="14.109375" style="13" customWidth="1"/>
    <col min="16077" max="16077" width="21.5546875" style="13" customWidth="1"/>
    <col min="16078" max="16079" width="14.109375" style="13" customWidth="1"/>
    <col min="16080" max="16080" width="15" style="13" customWidth="1"/>
    <col min="16081" max="16081" width="13.33203125" style="13" customWidth="1"/>
    <col min="16082" max="16082" width="17" style="13" customWidth="1"/>
    <col min="16083" max="16083" width="24.88671875" style="13" customWidth="1"/>
    <col min="16084" max="16084" width="14.44140625" style="13" customWidth="1"/>
    <col min="16085" max="16085" width="23.109375" style="13" customWidth="1"/>
    <col min="16086" max="16086" width="13.109375" style="13" customWidth="1"/>
    <col min="16087" max="16090" width="0" style="13" hidden="1" customWidth="1"/>
    <col min="16091" max="16384" width="10.33203125" style="13"/>
  </cols>
  <sheetData>
    <row r="1" spans="1:36" ht="15" customHeight="1">
      <c r="B1" s="125"/>
      <c r="T1" s="720"/>
      <c r="U1" s="1449"/>
      <c r="V1" s="719"/>
      <c r="W1" s="719"/>
      <c r="X1" s="719"/>
      <c r="Y1" s="719"/>
      <c r="Z1" s="1262"/>
      <c r="AA1" s="720"/>
      <c r="AB1" s="1262"/>
      <c r="AC1" s="720"/>
      <c r="AD1" s="721"/>
      <c r="AE1" s="720"/>
      <c r="AF1" s="720"/>
      <c r="AG1" s="1285"/>
    </row>
    <row r="2" spans="1:36" s="1286" customFormat="1" ht="20.25" customHeight="1">
      <c r="A2" s="3310" t="s">
        <v>4367</v>
      </c>
      <c r="B2" s="3310"/>
      <c r="C2" s="3310"/>
      <c r="D2" s="3310"/>
      <c r="E2" s="3310"/>
      <c r="F2" s="3310"/>
      <c r="G2" s="3310"/>
      <c r="H2" s="3310"/>
      <c r="I2" s="3310"/>
      <c r="J2" s="3310"/>
      <c r="K2" s="3310"/>
      <c r="L2" s="3310"/>
      <c r="M2" s="3310"/>
      <c r="N2" s="3310"/>
      <c r="O2" s="3310"/>
      <c r="P2" s="3310"/>
      <c r="Q2" s="1246"/>
      <c r="R2" s="1863"/>
      <c r="S2" s="1246"/>
      <c r="T2" s="1246"/>
      <c r="U2" s="1246"/>
      <c r="V2" s="1246"/>
      <c r="W2" s="1246"/>
      <c r="X2" s="1246"/>
      <c r="Y2" s="1246"/>
      <c r="Z2" s="1246"/>
      <c r="AA2" s="1246"/>
      <c r="AB2" s="1246"/>
      <c r="AC2" s="1246"/>
      <c r="AD2" s="1246"/>
      <c r="AE2" s="1246"/>
      <c r="AF2" s="1246"/>
      <c r="AG2" s="1246"/>
    </row>
    <row r="3" spans="1:36">
      <c r="B3" s="478"/>
      <c r="C3" s="648" t="s">
        <v>4375</v>
      </c>
      <c r="D3" s="3306" t="s">
        <v>6194</v>
      </c>
      <c r="E3" s="3306"/>
      <c r="F3" s="3306"/>
      <c r="G3" s="3306"/>
      <c r="H3" s="3306"/>
      <c r="I3" s="3306"/>
      <c r="J3" s="3306"/>
      <c r="K3" s="3306"/>
      <c r="L3" s="3306"/>
      <c r="M3" s="1243"/>
      <c r="P3" s="1243"/>
    </row>
    <row r="4" spans="1:36" ht="39.6">
      <c r="A4" s="29" t="s">
        <v>2</v>
      </c>
      <c r="B4" s="1272" t="s">
        <v>2705</v>
      </c>
      <c r="C4" s="1273" t="s">
        <v>3</v>
      </c>
      <c r="D4" s="1274" t="s">
        <v>4</v>
      </c>
      <c r="E4" s="1273" t="s">
        <v>5</v>
      </c>
      <c r="F4" s="1477" t="s">
        <v>4699</v>
      </c>
      <c r="G4" s="1273" t="s">
        <v>179</v>
      </c>
      <c r="H4" s="33" t="s">
        <v>8</v>
      </c>
      <c r="I4" s="33" t="s">
        <v>9</v>
      </c>
      <c r="J4" s="33" t="s">
        <v>102</v>
      </c>
      <c r="K4" s="323" t="s">
        <v>404</v>
      </c>
      <c r="L4" s="323" t="s">
        <v>15</v>
      </c>
      <c r="M4" s="323" t="s">
        <v>4368</v>
      </c>
      <c r="N4" s="323" t="s">
        <v>4380</v>
      </c>
      <c r="O4" s="323" t="s">
        <v>5939</v>
      </c>
      <c r="P4" s="1275" t="s">
        <v>4360</v>
      </c>
      <c r="Q4" s="29" t="s">
        <v>187</v>
      </c>
      <c r="R4" s="1319" t="s">
        <v>97</v>
      </c>
      <c r="S4" s="1276" t="s">
        <v>4665</v>
      </c>
      <c r="T4" s="1276" t="s">
        <v>4664</v>
      </c>
      <c r="U4" s="1276" t="s">
        <v>4678</v>
      </c>
      <c r="V4" s="1270" t="s">
        <v>1291</v>
      </c>
      <c r="W4" s="1270" t="s">
        <v>190</v>
      </c>
      <c r="X4" s="1270" t="s">
        <v>191</v>
      </c>
      <c r="Y4" s="1276" t="s">
        <v>192</v>
      </c>
      <c r="Z4" s="1276" t="s">
        <v>1313</v>
      </c>
      <c r="AA4" s="1271" t="s">
        <v>194</v>
      </c>
      <c r="AB4" s="1271" t="s">
        <v>4652</v>
      </c>
      <c r="AC4" s="1271" t="s">
        <v>195</v>
      </c>
      <c r="AD4" s="1277" t="s">
        <v>197</v>
      </c>
      <c r="AE4" s="1276" t="s">
        <v>198</v>
      </c>
      <c r="AF4" s="1271" t="s">
        <v>199</v>
      </c>
      <c r="AG4" s="1288" t="s">
        <v>200</v>
      </c>
      <c r="AH4" s="1287"/>
    </row>
    <row r="5" spans="1:36" ht="15.6">
      <c r="A5" s="3582" t="s">
        <v>4302</v>
      </c>
      <c r="B5" s="3583"/>
      <c r="C5" s="3583"/>
      <c r="D5" s="3583"/>
      <c r="E5" s="3583"/>
      <c r="F5" s="3583"/>
      <c r="G5" s="3583"/>
      <c r="H5" s="3583"/>
      <c r="I5" s="3583"/>
      <c r="J5" s="3583"/>
      <c r="K5" s="3583"/>
      <c r="L5" s="3584"/>
      <c r="M5" s="1440"/>
      <c r="N5" s="1278"/>
      <c r="O5" s="1607"/>
      <c r="P5" s="1278"/>
      <c r="Q5" s="1279"/>
      <c r="R5" s="1867"/>
      <c r="S5" s="1326"/>
      <c r="T5" s="1281"/>
      <c r="U5" s="1450"/>
      <c r="V5" s="1280"/>
      <c r="W5" s="1279"/>
      <c r="X5" s="1279"/>
      <c r="Y5" s="1279"/>
      <c r="Z5" s="1281"/>
      <c r="AA5" s="1279"/>
      <c r="AB5" s="1282"/>
      <c r="AC5" s="1282"/>
      <c r="AD5" s="1283"/>
      <c r="AE5" s="1284"/>
      <c r="AF5" s="1284"/>
      <c r="AG5" s="1284"/>
      <c r="AH5" s="6"/>
      <c r="AI5" s="6"/>
      <c r="AJ5" s="5"/>
    </row>
    <row r="6" spans="1:36" ht="25.5" customHeight="1">
      <c r="A6" s="658">
        <v>1</v>
      </c>
      <c r="B6" s="1352" t="s">
        <v>4394</v>
      </c>
      <c r="C6" s="1248">
        <v>106855828220</v>
      </c>
      <c r="D6" s="1206" t="s">
        <v>4334</v>
      </c>
      <c r="E6" s="1421" t="s">
        <v>4645</v>
      </c>
      <c r="F6" s="1347" t="s">
        <v>4423</v>
      </c>
      <c r="G6" s="1238" t="s">
        <v>206</v>
      </c>
      <c r="H6" s="1296">
        <v>1</v>
      </c>
      <c r="I6" s="1296"/>
      <c r="J6" s="1296"/>
      <c r="K6" s="1481" t="s">
        <v>210</v>
      </c>
      <c r="L6" s="1342" t="s">
        <v>4395</v>
      </c>
      <c r="M6" s="1343" t="s">
        <v>4425</v>
      </c>
      <c r="N6" s="1344" t="s">
        <v>4396</v>
      </c>
      <c r="O6" s="2417"/>
      <c r="P6" s="1344" t="s">
        <v>4424</v>
      </c>
      <c r="Q6" s="1297" t="s">
        <v>287</v>
      </c>
      <c r="R6" s="1297"/>
      <c r="S6" s="1340"/>
      <c r="T6" s="1340"/>
      <c r="U6" s="1451"/>
      <c r="V6" s="1336"/>
      <c r="W6" s="1437">
        <v>432000</v>
      </c>
      <c r="X6" s="1420">
        <v>999000</v>
      </c>
      <c r="Y6" s="1338"/>
      <c r="Z6" s="1415">
        <v>250000</v>
      </c>
      <c r="AA6" s="1338"/>
      <c r="AB6" s="1338"/>
      <c r="AC6" s="1339">
        <f t="shared" ref="AC6:AC36" si="0">+SUM(V6:AB6)</f>
        <v>1681000</v>
      </c>
      <c r="AD6" s="1345"/>
      <c r="AE6" s="1340">
        <f t="shared" ref="AE6:AE12" si="1">(H6*4490000+I6*4590000)*1.08+(T6*1.08)+(S6*1.08)+(U6*1.08)</f>
        <v>4849200</v>
      </c>
      <c r="AF6" s="1341">
        <f t="shared" ref="AF6:AF12" si="2">+AC6+AE6</f>
        <v>6530200</v>
      </c>
      <c r="AG6" s="1340"/>
    </row>
    <row r="7" spans="1:36" ht="27">
      <c r="A7" s="326">
        <v>2</v>
      </c>
      <c r="B7" s="1352" t="s">
        <v>2068</v>
      </c>
      <c r="C7" s="1391" t="s">
        <v>4573</v>
      </c>
      <c r="D7" s="1352" t="s">
        <v>4391</v>
      </c>
      <c r="E7" s="1382" t="s">
        <v>4646</v>
      </c>
      <c r="F7" s="1333" t="s">
        <v>4422</v>
      </c>
      <c r="G7" s="1331" t="s">
        <v>210</v>
      </c>
      <c r="H7" s="1296">
        <v>1</v>
      </c>
      <c r="I7" s="1296"/>
      <c r="J7" s="1296"/>
      <c r="K7" s="1481" t="s">
        <v>210</v>
      </c>
      <c r="L7" s="1332" t="s">
        <v>4384</v>
      </c>
      <c r="M7" s="1334" t="s">
        <v>4436</v>
      </c>
      <c r="N7" s="1344" t="s">
        <v>4705</v>
      </c>
      <c r="O7" s="2417"/>
      <c r="P7" s="1335"/>
      <c r="Q7" s="1297" t="s">
        <v>287</v>
      </c>
      <c r="R7" s="1297" t="s">
        <v>4676</v>
      </c>
      <c r="S7" s="1340">
        <v>760000</v>
      </c>
      <c r="T7" s="1340"/>
      <c r="U7" s="1451"/>
      <c r="V7" s="1336"/>
      <c r="W7" s="1420">
        <v>1000000</v>
      </c>
      <c r="X7" s="1420">
        <v>432000</v>
      </c>
      <c r="Y7" s="1337"/>
      <c r="Z7" s="1415">
        <v>250000</v>
      </c>
      <c r="AA7" s="1337"/>
      <c r="AB7" s="1338"/>
      <c r="AC7" s="1339">
        <f t="shared" si="0"/>
        <v>1682000</v>
      </c>
      <c r="AD7" s="758" t="s">
        <v>4676</v>
      </c>
      <c r="AE7" s="1340">
        <f t="shared" si="1"/>
        <v>5670000</v>
      </c>
      <c r="AF7" s="1341">
        <f t="shared" si="2"/>
        <v>7352000</v>
      </c>
      <c r="AG7" s="1340"/>
    </row>
    <row r="8" spans="1:36" ht="45.75" customHeight="1">
      <c r="A8" s="326">
        <v>3</v>
      </c>
      <c r="B8" s="1374" t="s">
        <v>4429</v>
      </c>
      <c r="C8" s="1391" t="s">
        <v>4572</v>
      </c>
      <c r="D8" s="1228" t="s">
        <v>4429</v>
      </c>
      <c r="E8" s="1382" t="s">
        <v>4647</v>
      </c>
      <c r="F8" s="1333" t="s">
        <v>4422</v>
      </c>
      <c r="G8" s="1238" t="s">
        <v>210</v>
      </c>
      <c r="H8" s="1240">
        <v>1</v>
      </c>
      <c r="I8" s="1239"/>
      <c r="J8" s="1239"/>
      <c r="K8" s="1481" t="s">
        <v>210</v>
      </c>
      <c r="L8" s="1201" t="s">
        <v>4433</v>
      </c>
      <c r="M8" s="1201" t="s">
        <v>4492</v>
      </c>
      <c r="N8" s="1351" t="s">
        <v>4462</v>
      </c>
      <c r="O8" s="2418"/>
      <c r="P8" s="1201"/>
      <c r="Q8" s="1297" t="s">
        <v>287</v>
      </c>
      <c r="R8" s="1297" t="s">
        <v>4676</v>
      </c>
      <c r="S8" s="1340">
        <v>760000</v>
      </c>
      <c r="T8" s="1340"/>
      <c r="U8" s="1451"/>
      <c r="V8" s="1244"/>
      <c r="W8" s="1420">
        <v>1000000</v>
      </c>
      <c r="X8" s="1420">
        <v>432000</v>
      </c>
      <c r="Y8" s="1292"/>
      <c r="Z8" s="1415">
        <v>250000</v>
      </c>
      <c r="AA8" s="1292"/>
      <c r="AB8" s="1291"/>
      <c r="AC8" s="1339">
        <f t="shared" si="0"/>
        <v>1682000</v>
      </c>
      <c r="AD8" s="1293" t="s">
        <v>4676</v>
      </c>
      <c r="AE8" s="1340">
        <f t="shared" si="1"/>
        <v>5670000</v>
      </c>
      <c r="AF8" s="1341">
        <f t="shared" si="2"/>
        <v>7352000</v>
      </c>
      <c r="AG8" s="1268"/>
    </row>
    <row r="9" spans="1:36" ht="27">
      <c r="A9" s="326">
        <f>+A10+1</f>
        <v>5</v>
      </c>
      <c r="B9" s="1374" t="s">
        <v>4478</v>
      </c>
      <c r="C9" s="1392" t="s">
        <v>4517</v>
      </c>
      <c r="D9" s="1228" t="s">
        <v>4478</v>
      </c>
      <c r="E9" s="1382" t="s">
        <v>4648</v>
      </c>
      <c r="F9" s="1333" t="s">
        <v>4422</v>
      </c>
      <c r="G9" s="1238" t="s">
        <v>210</v>
      </c>
      <c r="H9" s="710"/>
      <c r="I9" s="1369">
        <v>1</v>
      </c>
      <c r="J9" s="1370"/>
      <c r="K9" s="1481" t="s">
        <v>210</v>
      </c>
      <c r="L9" s="154" t="s">
        <v>4489</v>
      </c>
      <c r="M9" s="1476" t="s">
        <v>4511</v>
      </c>
      <c r="N9" s="170" t="s">
        <v>4498</v>
      </c>
      <c r="O9" s="1516"/>
      <c r="P9" s="690"/>
      <c r="Q9" s="1297" t="s">
        <v>2857</v>
      </c>
      <c r="R9" s="1565" t="s">
        <v>4677</v>
      </c>
      <c r="S9" s="1340">
        <v>760000</v>
      </c>
      <c r="T9" s="1340">
        <v>300000</v>
      </c>
      <c r="U9" s="1451">
        <v>200000</v>
      </c>
      <c r="V9" s="733"/>
      <c r="W9" s="1420">
        <v>1500000</v>
      </c>
      <c r="X9" s="1420">
        <v>1160000</v>
      </c>
      <c r="Y9" s="733"/>
      <c r="Z9" s="1416">
        <v>500000</v>
      </c>
      <c r="AA9" s="733"/>
      <c r="AB9" s="1251"/>
      <c r="AC9" s="1339">
        <f t="shared" si="0"/>
        <v>3160000</v>
      </c>
      <c r="AD9" s="1442" t="s">
        <v>4707</v>
      </c>
      <c r="AE9" s="1340">
        <f t="shared" si="1"/>
        <v>6318000</v>
      </c>
      <c r="AF9" s="1341">
        <f t="shared" si="2"/>
        <v>9478000</v>
      </c>
      <c r="AG9" s="1269"/>
    </row>
    <row r="10" spans="1:36" ht="27.75" customHeight="1">
      <c r="A10" s="326">
        <v>4</v>
      </c>
      <c r="B10" s="1374" t="s">
        <v>4494</v>
      </c>
      <c r="C10" s="1392" t="s">
        <v>4625</v>
      </c>
      <c r="D10" s="684" t="s">
        <v>4494</v>
      </c>
      <c r="E10" s="779" t="s">
        <v>4649</v>
      </c>
      <c r="F10" s="1333" t="s">
        <v>4422</v>
      </c>
      <c r="G10" s="1242" t="s">
        <v>210</v>
      </c>
      <c r="H10" s="1240">
        <v>1</v>
      </c>
      <c r="I10" s="1290"/>
      <c r="J10" s="1290"/>
      <c r="K10" s="1481" t="s">
        <v>210</v>
      </c>
      <c r="L10" s="1295" t="s">
        <v>4434</v>
      </c>
      <c r="M10" s="1417" t="s">
        <v>4624</v>
      </c>
      <c r="N10" s="1351" t="s">
        <v>4435</v>
      </c>
      <c r="O10" s="2419"/>
      <c r="P10" s="1295"/>
      <c r="Q10" s="1297" t="s">
        <v>287</v>
      </c>
      <c r="R10" s="1441" t="s">
        <v>4676</v>
      </c>
      <c r="S10" s="1340">
        <v>760000</v>
      </c>
      <c r="T10" s="1340"/>
      <c r="U10" s="1451">
        <v>200000</v>
      </c>
      <c r="V10" s="1295"/>
      <c r="W10" s="1420">
        <v>1000000</v>
      </c>
      <c r="X10" s="1420">
        <v>432000</v>
      </c>
      <c r="Y10" s="1265"/>
      <c r="Z10" s="1415">
        <v>250000</v>
      </c>
      <c r="AA10" s="1265"/>
      <c r="AB10" s="1294"/>
      <c r="AC10" s="1339">
        <f t="shared" si="0"/>
        <v>1682000</v>
      </c>
      <c r="AD10" s="1442" t="s">
        <v>4708</v>
      </c>
      <c r="AE10" s="1340">
        <f t="shared" si="1"/>
        <v>5886000</v>
      </c>
      <c r="AF10" s="1341">
        <f t="shared" si="2"/>
        <v>7568000</v>
      </c>
      <c r="AG10" s="1268"/>
    </row>
    <row r="11" spans="1:36" ht="39.6">
      <c r="A11" s="326">
        <v>6</v>
      </c>
      <c r="B11" s="1488" t="s">
        <v>4686</v>
      </c>
      <c r="C11" s="1392" t="s">
        <v>4693</v>
      </c>
      <c r="D11" s="46" t="s">
        <v>4686</v>
      </c>
      <c r="E11" s="779" t="s">
        <v>4698</v>
      </c>
      <c r="F11" s="1393" t="s">
        <v>4432</v>
      </c>
      <c r="G11" s="1238" t="s">
        <v>210</v>
      </c>
      <c r="H11" s="167">
        <v>2</v>
      </c>
      <c r="I11" s="167"/>
      <c r="J11" s="167"/>
      <c r="K11" s="1481" t="s">
        <v>210</v>
      </c>
      <c r="L11" s="1393" t="s">
        <v>4575</v>
      </c>
      <c r="M11" s="1471" t="s">
        <v>4692</v>
      </c>
      <c r="N11" s="1393" t="s">
        <v>4684</v>
      </c>
      <c r="O11" s="2420"/>
      <c r="P11" s="690"/>
      <c r="Q11" s="1297" t="s">
        <v>287</v>
      </c>
      <c r="R11" s="1868" t="s">
        <v>4704</v>
      </c>
      <c r="S11" s="1340">
        <f>760000*2</f>
        <v>1520000</v>
      </c>
      <c r="T11" s="1340">
        <v>300000</v>
      </c>
      <c r="U11" s="1451"/>
      <c r="V11" s="733"/>
      <c r="W11" s="1420">
        <f>900000*2</f>
        <v>1800000</v>
      </c>
      <c r="X11" s="1420">
        <v>864000</v>
      </c>
      <c r="Y11" s="733"/>
      <c r="Z11" s="1414">
        <v>500000</v>
      </c>
      <c r="AA11" s="1480"/>
      <c r="AB11" s="1116"/>
      <c r="AC11" s="1339">
        <f t="shared" si="0"/>
        <v>3164000</v>
      </c>
      <c r="AD11" s="1482" t="s">
        <v>4709</v>
      </c>
      <c r="AE11" s="1340">
        <f t="shared" si="1"/>
        <v>11664000</v>
      </c>
      <c r="AF11" s="1341">
        <f t="shared" si="2"/>
        <v>14828000</v>
      </c>
      <c r="AG11" s="1269"/>
    </row>
    <row r="12" spans="1:36" s="5" customFormat="1" ht="34.5" customHeight="1">
      <c r="A12" s="326">
        <v>7</v>
      </c>
      <c r="B12" s="1488" t="s">
        <v>4697</v>
      </c>
      <c r="C12" s="1392" t="s">
        <v>4701</v>
      </c>
      <c r="D12" s="46" t="s">
        <v>4697</v>
      </c>
      <c r="E12" s="179" t="s">
        <v>4702</v>
      </c>
      <c r="F12" s="1393" t="s">
        <v>4507</v>
      </c>
      <c r="G12" s="1238" t="s">
        <v>210</v>
      </c>
      <c r="H12" s="167">
        <v>1</v>
      </c>
      <c r="I12" s="167"/>
      <c r="J12" s="167"/>
      <c r="K12" s="1481" t="s">
        <v>210</v>
      </c>
      <c r="L12" s="1479" t="s">
        <v>4506</v>
      </c>
      <c r="M12" s="1471" t="s">
        <v>4700</v>
      </c>
      <c r="N12" s="1351" t="s">
        <v>4683</v>
      </c>
      <c r="O12" s="2418"/>
      <c r="P12" s="1348"/>
      <c r="Q12" s="1297" t="s">
        <v>287</v>
      </c>
      <c r="R12" s="1565" t="s">
        <v>4676</v>
      </c>
      <c r="S12" s="1340">
        <v>760000</v>
      </c>
      <c r="T12" s="1340"/>
      <c r="U12" s="1451"/>
      <c r="V12" s="733"/>
      <c r="W12" s="1420">
        <v>1000000</v>
      </c>
      <c r="X12" s="1420">
        <v>432000</v>
      </c>
      <c r="Y12" s="733"/>
      <c r="Z12" s="1414">
        <v>250000</v>
      </c>
      <c r="AA12" s="1480"/>
      <c r="AB12" s="1116"/>
      <c r="AC12" s="1339">
        <f t="shared" si="0"/>
        <v>1682000</v>
      </c>
      <c r="AD12" s="1293" t="s">
        <v>4676</v>
      </c>
      <c r="AE12" s="1340">
        <f t="shared" si="1"/>
        <v>5670000</v>
      </c>
      <c r="AF12" s="1341">
        <f t="shared" si="2"/>
        <v>7352000</v>
      </c>
      <c r="AG12" s="1269"/>
      <c r="AI12" s="13"/>
    </row>
    <row r="13" spans="1:36" ht="15.6">
      <c r="A13" s="3582" t="s">
        <v>4675</v>
      </c>
      <c r="B13" s="3583"/>
      <c r="C13" s="3583"/>
      <c r="D13" s="3583"/>
      <c r="E13" s="3583"/>
      <c r="F13" s="3583"/>
      <c r="G13" s="3583"/>
      <c r="H13" s="3583"/>
      <c r="I13" s="3583"/>
      <c r="J13" s="3583"/>
      <c r="K13" s="3583"/>
      <c r="L13" s="3584"/>
      <c r="M13" s="1440"/>
      <c r="N13" s="1278"/>
      <c r="O13" s="1607"/>
      <c r="P13" s="1278"/>
      <c r="Q13" s="1279"/>
      <c r="R13" s="1867"/>
      <c r="S13" s="1326"/>
      <c r="T13" s="1281"/>
      <c r="U13" s="1450"/>
      <c r="V13" s="1280"/>
      <c r="W13" s="1279"/>
      <c r="X13" s="1279"/>
      <c r="Y13" s="1279"/>
      <c r="Z13" s="1281"/>
      <c r="AA13" s="1279"/>
      <c r="AB13" s="1282"/>
      <c r="AC13" s="1282">
        <f>SUM(AC6:AC12)</f>
        <v>14733000</v>
      </c>
      <c r="AD13" s="1283"/>
      <c r="AE13" s="1284">
        <f>SUM(AE6:AE12)</f>
        <v>45727200</v>
      </c>
      <c r="AF13" s="1284">
        <f>SUM(AF6:AF12)</f>
        <v>60460200</v>
      </c>
      <c r="AG13" s="1284"/>
      <c r="AH13" s="6"/>
      <c r="AI13" s="6"/>
      <c r="AJ13" s="5"/>
    </row>
    <row r="14" spans="1:36" s="5" customFormat="1" ht="78.75" customHeight="1">
      <c r="A14" s="326">
        <v>1</v>
      </c>
      <c r="B14" s="1488" t="s">
        <v>4719</v>
      </c>
      <c r="C14" s="166" t="s">
        <v>4749</v>
      </c>
      <c r="D14" s="386" t="s">
        <v>4686</v>
      </c>
      <c r="E14" s="179" t="s">
        <v>4718</v>
      </c>
      <c r="F14" s="1536" t="s">
        <v>4736</v>
      </c>
      <c r="G14" s="693" t="s">
        <v>1300</v>
      </c>
      <c r="H14" s="167"/>
      <c r="I14" s="167">
        <v>6</v>
      </c>
      <c r="J14" s="167"/>
      <c r="K14" s="1492" t="s">
        <v>210</v>
      </c>
      <c r="L14" s="1630" t="s">
        <v>4689</v>
      </c>
      <c r="M14" s="1471" t="s">
        <v>4690</v>
      </c>
      <c r="N14" s="1474" t="s">
        <v>4691</v>
      </c>
      <c r="O14" s="2064"/>
      <c r="P14" s="1475" t="s">
        <v>4703</v>
      </c>
      <c r="Q14" s="150" t="s">
        <v>287</v>
      </c>
      <c r="R14" s="1565"/>
      <c r="S14" s="1340"/>
      <c r="T14" s="1340"/>
      <c r="U14" s="1451"/>
      <c r="V14" s="1414">
        <v>1085400</v>
      </c>
      <c r="W14" s="1414">
        <v>4600800</v>
      </c>
      <c r="X14" s="1420">
        <f>1500000*6</f>
        <v>9000000</v>
      </c>
      <c r="Y14" s="733"/>
      <c r="Z14" s="1415">
        <v>3000000</v>
      </c>
      <c r="AA14" s="733"/>
      <c r="AB14" s="1116"/>
      <c r="AC14" s="1339">
        <f>+SUM(V14:AB14)</f>
        <v>17686200</v>
      </c>
      <c r="AD14" s="1591" t="s">
        <v>2101</v>
      </c>
      <c r="AE14" s="1340">
        <f>(H14*4990000+I14*5090000)*1.08+(T14*1.08)+(S14*1.08)+(U14*1.08)</f>
        <v>32983200.000000004</v>
      </c>
      <c r="AF14" s="1341">
        <f t="shared" ref="AF14:AF24" si="3">+AC14+AE14</f>
        <v>50669400</v>
      </c>
      <c r="AG14" s="1269"/>
      <c r="AI14" s="13"/>
    </row>
    <row r="15" spans="1:36" s="5" customFormat="1" ht="27">
      <c r="A15" s="326">
        <v>2</v>
      </c>
      <c r="B15" s="656" t="s">
        <v>4748</v>
      </c>
      <c r="C15" s="166" t="s">
        <v>4752</v>
      </c>
      <c r="D15" s="684" t="s">
        <v>4733</v>
      </c>
      <c r="E15" s="179" t="s">
        <v>4723</v>
      </c>
      <c r="F15" s="1537" t="s">
        <v>4735</v>
      </c>
      <c r="G15" s="693" t="s">
        <v>1300</v>
      </c>
      <c r="H15" s="167">
        <v>1</v>
      </c>
      <c r="I15" s="167"/>
      <c r="J15" s="167"/>
      <c r="K15" s="1493" t="s">
        <v>418</v>
      </c>
      <c r="L15" s="154" t="s">
        <v>4720</v>
      </c>
      <c r="M15" s="1471" t="s">
        <v>4721</v>
      </c>
      <c r="N15" s="1474" t="s">
        <v>4722</v>
      </c>
      <c r="O15" s="2064"/>
      <c r="P15" s="1475" t="s">
        <v>4747</v>
      </c>
      <c r="Q15" s="150" t="s">
        <v>287</v>
      </c>
      <c r="R15" s="1565"/>
      <c r="S15" s="1340"/>
      <c r="T15" s="1340"/>
      <c r="U15" s="1451"/>
      <c r="V15" s="733"/>
      <c r="W15" s="1414">
        <v>631800</v>
      </c>
      <c r="X15" s="1420">
        <v>1000000</v>
      </c>
      <c r="Y15" s="1415">
        <v>6115000</v>
      </c>
      <c r="Z15" s="1415">
        <v>250000</v>
      </c>
      <c r="AA15" s="733"/>
      <c r="AB15" s="1116"/>
      <c r="AC15" s="1339">
        <f t="shared" si="0"/>
        <v>7996800</v>
      </c>
      <c r="AD15" s="1592" t="s">
        <v>4918</v>
      </c>
      <c r="AE15" s="1340">
        <f>(H15*4990000+I15*5090000)*1.08+(T15*1.08)+(S15*1.08)+(U15*1.08)+(1000000*1.03*1.08)</f>
        <v>6501600</v>
      </c>
      <c r="AF15" s="1341">
        <f t="shared" si="3"/>
        <v>14498400</v>
      </c>
      <c r="AG15" s="1269"/>
      <c r="AI15" s="13"/>
    </row>
    <row r="16" spans="1:36" s="5" customFormat="1" ht="15.6">
      <c r="A16" s="326">
        <v>3</v>
      </c>
      <c r="B16" s="1247"/>
      <c r="C16" s="1238" t="s">
        <v>4751</v>
      </c>
      <c r="D16" s="1201">
        <v>45691</v>
      </c>
      <c r="E16" s="179" t="s">
        <v>4729</v>
      </c>
      <c r="F16" s="1536" t="s">
        <v>4734</v>
      </c>
      <c r="G16" s="693" t="s">
        <v>1300</v>
      </c>
      <c r="H16" s="1257"/>
      <c r="I16" s="1298"/>
      <c r="J16" s="1249" t="s">
        <v>128</v>
      </c>
      <c r="K16" s="1210" t="s">
        <v>418</v>
      </c>
      <c r="L16" s="1486">
        <v>8308156732</v>
      </c>
      <c r="M16" s="1471" t="s">
        <v>4727</v>
      </c>
      <c r="N16" s="1474" t="s">
        <v>4711</v>
      </c>
      <c r="O16" s="2064"/>
      <c r="P16" s="1472"/>
      <c r="Q16" s="150" t="s">
        <v>4726</v>
      </c>
      <c r="R16" s="1565"/>
      <c r="S16" s="1340"/>
      <c r="T16" s="1340"/>
      <c r="U16" s="1451"/>
      <c r="V16" s="1244"/>
      <c r="W16" s="1336"/>
      <c r="X16" s="1336"/>
      <c r="Y16" s="1244"/>
      <c r="Z16" s="1593"/>
      <c r="AA16" s="1251"/>
      <c r="AB16" s="1116"/>
      <c r="AC16" s="1339">
        <f t="shared" si="0"/>
        <v>0</v>
      </c>
      <c r="AD16" s="1487" t="s">
        <v>4728</v>
      </c>
      <c r="AE16" s="1340">
        <f>1100000*1.08</f>
        <v>1188000</v>
      </c>
      <c r="AF16" s="1341">
        <f t="shared" si="3"/>
        <v>1188000</v>
      </c>
      <c r="AG16" s="1269"/>
      <c r="AI16" s="13"/>
    </row>
    <row r="17" spans="1:36" s="5" customFormat="1" ht="27">
      <c r="A17" s="326">
        <v>4</v>
      </c>
      <c r="B17" s="1523" t="s">
        <v>4771</v>
      </c>
      <c r="C17" s="1242" t="s">
        <v>4750</v>
      </c>
      <c r="D17" s="684" t="s">
        <v>4733</v>
      </c>
      <c r="E17" s="179" t="s">
        <v>4740</v>
      </c>
      <c r="F17" s="1538" t="s">
        <v>4732</v>
      </c>
      <c r="G17" s="693" t="s">
        <v>1300</v>
      </c>
      <c r="H17" s="1257"/>
      <c r="I17" s="1237"/>
      <c r="J17" s="445">
        <v>1</v>
      </c>
      <c r="K17" s="685" t="s">
        <v>418</v>
      </c>
      <c r="L17" s="577" t="s">
        <v>4731</v>
      </c>
      <c r="M17" s="1471" t="s">
        <v>4917</v>
      </c>
      <c r="N17" s="740" t="s">
        <v>4741</v>
      </c>
      <c r="O17" s="740"/>
      <c r="P17" s="741"/>
      <c r="Q17" s="781" t="s">
        <v>4742</v>
      </c>
      <c r="R17" s="1672"/>
      <c r="S17" s="1340"/>
      <c r="T17" s="1340"/>
      <c r="U17" s="1452"/>
      <c r="V17" s="1414">
        <v>21561</v>
      </c>
      <c r="W17" s="1336"/>
      <c r="X17" s="1336"/>
      <c r="Y17" s="1415">
        <v>4709499</v>
      </c>
      <c r="Z17" s="1415">
        <v>6315</v>
      </c>
      <c r="AA17" s="1116"/>
      <c r="AB17" s="1116"/>
      <c r="AC17" s="1339">
        <f t="shared" si="0"/>
        <v>4737375</v>
      </c>
      <c r="AD17" s="1119" t="s">
        <v>2101</v>
      </c>
      <c r="AE17" s="1340">
        <f>(1530000+1100000+500000)*1.08</f>
        <v>3380400</v>
      </c>
      <c r="AF17" s="1341">
        <f t="shared" si="3"/>
        <v>8117775</v>
      </c>
      <c r="AG17" s="1269"/>
      <c r="AI17" s="13"/>
    </row>
    <row r="18" spans="1:36" s="5" customFormat="1" ht="27">
      <c r="A18" s="326">
        <v>5</v>
      </c>
      <c r="B18" s="1521" t="s">
        <v>4782</v>
      </c>
      <c r="C18" s="1392" t="s">
        <v>4785</v>
      </c>
      <c r="D18" s="386" t="s">
        <v>4782</v>
      </c>
      <c r="E18" s="179" t="s">
        <v>4801</v>
      </c>
      <c r="F18" s="1151" t="s">
        <v>4432</v>
      </c>
      <c r="G18" s="1245" t="s">
        <v>210</v>
      </c>
      <c r="H18" s="1257">
        <v>2</v>
      </c>
      <c r="I18" s="710"/>
      <c r="J18" s="167"/>
      <c r="K18" s="595" t="s">
        <v>210</v>
      </c>
      <c r="L18" s="577" t="s">
        <v>4766</v>
      </c>
      <c r="M18" s="1471" t="s">
        <v>4784</v>
      </c>
      <c r="N18" s="1478"/>
      <c r="O18" s="1478"/>
      <c r="P18" s="1478"/>
      <c r="Q18" s="150" t="s">
        <v>287</v>
      </c>
      <c r="R18" s="1868" t="s">
        <v>4848</v>
      </c>
      <c r="S18" s="1340">
        <f>760000*2</f>
        <v>1520000</v>
      </c>
      <c r="T18" s="1340">
        <v>300000</v>
      </c>
      <c r="U18" s="1451"/>
      <c r="V18" s="733"/>
      <c r="W18" s="1420">
        <f>900000+900000</f>
        <v>1800000</v>
      </c>
      <c r="X18" s="1420">
        <v>864000</v>
      </c>
      <c r="Y18" s="733"/>
      <c r="Z18" s="1415">
        <v>500000</v>
      </c>
      <c r="AA18" s="733"/>
      <c r="AB18" s="1116"/>
      <c r="AC18" s="1339">
        <f t="shared" si="0"/>
        <v>3164000</v>
      </c>
      <c r="AD18" s="736"/>
      <c r="AE18" s="1340">
        <f>(H18*4490000+I18*4590000)*1.08+(T18*1.08)+(S18*1.08)+(U18*1.08)</f>
        <v>11664000</v>
      </c>
      <c r="AF18" s="1341">
        <f t="shared" si="3"/>
        <v>14828000</v>
      </c>
      <c r="AG18" s="1269"/>
      <c r="AI18" s="13"/>
    </row>
    <row r="19" spans="1:36" s="5" customFormat="1" ht="27">
      <c r="A19" s="326">
        <v>6</v>
      </c>
      <c r="B19" s="711"/>
      <c r="C19" s="166" t="s">
        <v>4817</v>
      </c>
      <c r="D19" s="386" t="s">
        <v>4818</v>
      </c>
      <c r="E19" s="179" t="s">
        <v>4821</v>
      </c>
      <c r="F19" s="1537" t="s">
        <v>4805</v>
      </c>
      <c r="G19" s="693" t="s">
        <v>1300</v>
      </c>
      <c r="H19" s="445"/>
      <c r="I19" s="167"/>
      <c r="J19" s="167" t="s">
        <v>128</v>
      </c>
      <c r="K19" s="685" t="s">
        <v>418</v>
      </c>
      <c r="L19" s="1524">
        <v>4579382883</v>
      </c>
      <c r="M19" s="1471" t="s">
        <v>4819</v>
      </c>
      <c r="N19" s="580"/>
      <c r="O19" s="580"/>
      <c r="P19" s="741"/>
      <c r="Q19" s="150" t="s">
        <v>4726</v>
      </c>
      <c r="R19" s="1565"/>
      <c r="S19" s="1340"/>
      <c r="T19" s="1340"/>
      <c r="U19" s="1451"/>
      <c r="V19" s="733"/>
      <c r="W19" s="1336"/>
      <c r="X19" s="1336"/>
      <c r="Y19" s="733"/>
      <c r="Z19" s="1593"/>
      <c r="AA19" s="733"/>
      <c r="AB19" s="1251"/>
      <c r="AC19" s="1339">
        <f t="shared" si="0"/>
        <v>0</v>
      </c>
      <c r="AD19" s="385" t="s">
        <v>4728</v>
      </c>
      <c r="AE19" s="1340">
        <f>1100000*1.08</f>
        <v>1188000</v>
      </c>
      <c r="AF19" s="1341">
        <f t="shared" si="3"/>
        <v>1188000</v>
      </c>
      <c r="AG19" s="1269"/>
      <c r="AI19" s="13"/>
    </row>
    <row r="20" spans="1:36" s="5" customFormat="1" ht="15.6">
      <c r="A20" s="326">
        <v>7</v>
      </c>
      <c r="B20" s="1557" t="s">
        <v>4820</v>
      </c>
      <c r="C20" s="1558" t="s">
        <v>4828</v>
      </c>
      <c r="D20" s="386" t="s">
        <v>4820</v>
      </c>
      <c r="E20" s="179" t="s">
        <v>4829</v>
      </c>
      <c r="F20" s="1484" t="s">
        <v>4812</v>
      </c>
      <c r="G20" s="693" t="s">
        <v>210</v>
      </c>
      <c r="H20" s="167">
        <v>1</v>
      </c>
      <c r="I20" s="167"/>
      <c r="J20" s="167"/>
      <c r="K20" s="86" t="s">
        <v>210</v>
      </c>
      <c r="L20" s="154" t="s">
        <v>4811</v>
      </c>
      <c r="M20" s="1471" t="s">
        <v>4827</v>
      </c>
      <c r="N20" s="170" t="s">
        <v>4814</v>
      </c>
      <c r="O20" s="1516"/>
      <c r="P20" s="690"/>
      <c r="Q20" s="150" t="s">
        <v>4813</v>
      </c>
      <c r="R20" s="1565" t="s">
        <v>4912</v>
      </c>
      <c r="S20" s="1340">
        <v>760000</v>
      </c>
      <c r="T20" s="1340"/>
      <c r="U20" s="1451"/>
      <c r="V20" s="733"/>
      <c r="W20" s="1420">
        <v>999000</v>
      </c>
      <c r="X20" s="1420">
        <v>432000</v>
      </c>
      <c r="Y20" s="733"/>
      <c r="Z20" s="1415">
        <v>250000</v>
      </c>
      <c r="AA20" s="733"/>
      <c r="AB20" s="1251"/>
      <c r="AC20" s="1339">
        <f t="shared" si="0"/>
        <v>1681000</v>
      </c>
      <c r="AD20" s="736"/>
      <c r="AE20" s="1340">
        <f>(H20*4490000+I20*4590000)*1.08+(T20*1.08)+(S20*1.08)+(U20*1.08)</f>
        <v>5670000</v>
      </c>
      <c r="AF20" s="1341">
        <f t="shared" si="3"/>
        <v>7351000</v>
      </c>
      <c r="AG20" s="1269"/>
      <c r="AI20" s="13"/>
    </row>
    <row r="21" spans="1:36" s="5" customFormat="1" ht="15.6">
      <c r="A21" s="326">
        <v>8</v>
      </c>
      <c r="B21" s="1556" t="s">
        <v>4888</v>
      </c>
      <c r="C21" s="1558" t="s">
        <v>4896</v>
      </c>
      <c r="D21" s="386" t="s">
        <v>4888</v>
      </c>
      <c r="E21" s="179" t="s">
        <v>4919</v>
      </c>
      <c r="F21" s="1484" t="s">
        <v>4422</v>
      </c>
      <c r="G21" s="693" t="s">
        <v>210</v>
      </c>
      <c r="H21" s="167">
        <v>1</v>
      </c>
      <c r="I21" s="167"/>
      <c r="J21" s="167"/>
      <c r="K21" s="86" t="s">
        <v>210</v>
      </c>
      <c r="L21" s="154" t="s">
        <v>4825</v>
      </c>
      <c r="M21" s="1471" t="s">
        <v>4897</v>
      </c>
      <c r="N21" s="170" t="s">
        <v>4830</v>
      </c>
      <c r="O21" s="1516"/>
      <c r="P21" s="690"/>
      <c r="Q21" s="150" t="s">
        <v>4813</v>
      </c>
      <c r="R21" s="1565" t="s">
        <v>4912</v>
      </c>
      <c r="S21" s="1340">
        <v>760000</v>
      </c>
      <c r="T21" s="1340"/>
      <c r="U21" s="1451"/>
      <c r="V21" s="733"/>
      <c r="W21" s="1420"/>
      <c r="X21" s="1420">
        <v>432000</v>
      </c>
      <c r="Y21" s="733"/>
      <c r="Z21" s="1415">
        <v>250000</v>
      </c>
      <c r="AA21" s="733"/>
      <c r="AB21" s="1251"/>
      <c r="AC21" s="1339">
        <f t="shared" si="0"/>
        <v>682000</v>
      </c>
      <c r="AD21" s="736"/>
      <c r="AE21" s="1340">
        <f>(H21*4490000+I21*4590000)*1.08+(T21*1.08)+(S21*1.08)+(U21*1.08)</f>
        <v>5670000</v>
      </c>
      <c r="AF21" s="1341">
        <f t="shared" si="3"/>
        <v>6352000</v>
      </c>
      <c r="AG21" s="1269"/>
      <c r="AI21" s="13"/>
    </row>
    <row r="22" spans="1:36" s="5" customFormat="1" ht="15.6">
      <c r="A22" s="326">
        <v>9</v>
      </c>
      <c r="B22" s="1557" t="s">
        <v>4913</v>
      </c>
      <c r="C22" s="166" t="s">
        <v>4884</v>
      </c>
      <c r="D22" s="386" t="s">
        <v>4885</v>
      </c>
      <c r="E22" s="179" t="s">
        <v>4871</v>
      </c>
      <c r="F22" s="1536" t="s">
        <v>4869</v>
      </c>
      <c r="G22" s="693" t="s">
        <v>1300</v>
      </c>
      <c r="H22" s="167"/>
      <c r="I22" s="167"/>
      <c r="J22" s="167">
        <v>1</v>
      </c>
      <c r="K22" s="86" t="s">
        <v>210</v>
      </c>
      <c r="L22" s="154" t="s">
        <v>4867</v>
      </c>
      <c r="M22" s="692" t="s">
        <v>4868</v>
      </c>
      <c r="N22" s="170" t="s">
        <v>4870</v>
      </c>
      <c r="O22" s="1516"/>
      <c r="P22" s="690"/>
      <c r="Q22" s="781" t="s">
        <v>3493</v>
      </c>
      <c r="R22" s="1565"/>
      <c r="S22" s="1340"/>
      <c r="T22" s="1340"/>
      <c r="U22" s="1451"/>
      <c r="V22" s="733"/>
      <c r="W22" s="1336"/>
      <c r="X22" s="1336"/>
      <c r="Y22" s="1415">
        <v>10198342</v>
      </c>
      <c r="Z22" s="1415">
        <v>28800</v>
      </c>
      <c r="AA22" s="733"/>
      <c r="AB22" s="1251"/>
      <c r="AC22" s="1339">
        <f t="shared" si="0"/>
        <v>10227142</v>
      </c>
      <c r="AD22" s="736" t="s">
        <v>4916</v>
      </c>
      <c r="AE22" s="1340">
        <f>+(2080000+1100000)*1.08</f>
        <v>3434400</v>
      </c>
      <c r="AF22" s="1341">
        <f t="shared" si="3"/>
        <v>13661542</v>
      </c>
      <c r="AG22" s="1269"/>
      <c r="AI22" s="13"/>
    </row>
    <row r="23" spans="1:36" s="5" customFormat="1" ht="27">
      <c r="A23" s="326">
        <v>10</v>
      </c>
      <c r="B23" s="1556" t="s">
        <v>2213</v>
      </c>
      <c r="C23" s="1392" t="s">
        <v>4942</v>
      </c>
      <c r="D23" s="386" t="s">
        <v>4913</v>
      </c>
      <c r="E23" s="179" t="s">
        <v>4943</v>
      </c>
      <c r="F23" s="1484" t="s">
        <v>4432</v>
      </c>
      <c r="G23" s="693" t="s">
        <v>210</v>
      </c>
      <c r="H23" s="167">
        <v>1</v>
      </c>
      <c r="I23" s="167"/>
      <c r="J23" s="167"/>
      <c r="K23" s="86" t="s">
        <v>210</v>
      </c>
      <c r="L23" s="154" t="s">
        <v>4894</v>
      </c>
      <c r="M23" s="692" t="s">
        <v>4941</v>
      </c>
      <c r="N23" s="170" t="s">
        <v>4895</v>
      </c>
      <c r="O23" s="1516"/>
      <c r="P23" s="690"/>
      <c r="Q23" s="150" t="s">
        <v>4813</v>
      </c>
      <c r="R23" s="1297" t="s">
        <v>4912</v>
      </c>
      <c r="S23" s="1340">
        <v>760000</v>
      </c>
      <c r="T23" s="1340"/>
      <c r="U23" s="1451"/>
      <c r="V23" s="733"/>
      <c r="W23" s="1420"/>
      <c r="X23" s="1420">
        <v>432000</v>
      </c>
      <c r="Y23" s="733"/>
      <c r="Z23" s="1597">
        <v>250000</v>
      </c>
      <c r="AA23" s="733"/>
      <c r="AB23" s="1251"/>
      <c r="AC23" s="1339">
        <f t="shared" si="0"/>
        <v>682000</v>
      </c>
      <c r="AD23" s="736"/>
      <c r="AE23" s="1340">
        <f>(H23*4490000+I23*4590000)*1.08+(T23*1.08)+(S23*1.08)+(U23*1.08)</f>
        <v>5670000</v>
      </c>
      <c r="AF23" s="1341">
        <f t="shared" si="3"/>
        <v>6352000</v>
      </c>
      <c r="AG23" s="1269"/>
      <c r="AI23" s="13"/>
    </row>
    <row r="24" spans="1:36" ht="27">
      <c r="A24" s="326">
        <v>11</v>
      </c>
      <c r="B24" s="1374" t="s">
        <v>4478</v>
      </c>
      <c r="C24" s="1392" t="s">
        <v>4517</v>
      </c>
      <c r="D24" s="1228" t="s">
        <v>4478</v>
      </c>
      <c r="E24" s="1382" t="s">
        <v>4927</v>
      </c>
      <c r="F24" s="1333" t="s">
        <v>4422</v>
      </c>
      <c r="G24" s="1238" t="s">
        <v>210</v>
      </c>
      <c r="H24" s="710"/>
      <c r="I24" s="1369">
        <v>1</v>
      </c>
      <c r="J24" s="1370"/>
      <c r="K24" s="1481" t="s">
        <v>210</v>
      </c>
      <c r="L24" s="154" t="s">
        <v>4489</v>
      </c>
      <c r="M24" s="1476" t="s">
        <v>4511</v>
      </c>
      <c r="N24" s="170" t="s">
        <v>4498</v>
      </c>
      <c r="O24" s="1516"/>
      <c r="P24" s="690"/>
      <c r="Q24" s="1297" t="s">
        <v>2857</v>
      </c>
      <c r="R24" s="1565"/>
      <c r="S24" s="1594"/>
      <c r="T24" s="1594"/>
      <c r="U24" s="1595"/>
      <c r="V24" s="1292"/>
      <c r="W24" s="1336"/>
      <c r="Y24" s="1292"/>
      <c r="Z24" s="1266"/>
      <c r="AA24" s="1292"/>
      <c r="AB24" s="1251"/>
      <c r="AC24" s="1339">
        <f t="shared" si="0"/>
        <v>0</v>
      </c>
      <c r="AD24" s="1442" t="s">
        <v>4928</v>
      </c>
      <c r="AE24" s="1340">
        <f>+(2000000*1.08)</f>
        <v>2160000</v>
      </c>
      <c r="AF24" s="1341">
        <f t="shared" si="3"/>
        <v>2160000</v>
      </c>
      <c r="AG24" s="1269"/>
    </row>
    <row r="25" spans="1:36" ht="15.6">
      <c r="A25" s="3582" t="s">
        <v>4935</v>
      </c>
      <c r="B25" s="3583"/>
      <c r="C25" s="3583"/>
      <c r="D25" s="3583"/>
      <c r="E25" s="3583"/>
      <c r="F25" s="3583"/>
      <c r="G25" s="3583"/>
      <c r="H25" s="3583"/>
      <c r="I25" s="3583"/>
      <c r="J25" s="3583"/>
      <c r="K25" s="3583"/>
      <c r="L25" s="3584"/>
      <c r="M25" s="1440"/>
      <c r="N25" s="1278"/>
      <c r="O25" s="1607"/>
      <c r="P25" s="1278"/>
      <c r="Q25" s="1279"/>
      <c r="R25" s="1867"/>
      <c r="S25" s="1326"/>
      <c r="T25" s="1281"/>
      <c r="U25" s="1450"/>
      <c r="V25" s="1280"/>
      <c r="W25" s="1279"/>
      <c r="X25" s="1279"/>
      <c r="Y25" s="1279"/>
      <c r="Z25" s="1281"/>
      <c r="AA25" s="1279"/>
      <c r="AB25" s="1282"/>
      <c r="AC25" s="1282">
        <f>SUM(AC18:AC24)</f>
        <v>16436142</v>
      </c>
      <c r="AD25" s="1283"/>
      <c r="AE25" s="1284">
        <f>SUM(AE18:AE24)</f>
        <v>35456400</v>
      </c>
      <c r="AF25" s="1284">
        <f>SUM(AF18:AF24)</f>
        <v>51892542</v>
      </c>
      <c r="AG25" s="1284"/>
      <c r="AH25" s="6"/>
      <c r="AI25" s="6"/>
      <c r="AJ25" s="5"/>
    </row>
    <row r="26" spans="1:36" s="5" customFormat="1" ht="15.6">
      <c r="A26" s="1503"/>
      <c r="B26" s="1635"/>
      <c r="C26" s="166">
        <v>105225947040</v>
      </c>
      <c r="D26" s="46" t="s">
        <v>4993</v>
      </c>
      <c r="E26" s="179" t="s">
        <v>5182</v>
      </c>
      <c r="F26" s="1346"/>
      <c r="G26" s="693"/>
      <c r="H26" s="167"/>
      <c r="I26" s="167"/>
      <c r="J26" s="167"/>
      <c r="K26" s="79"/>
      <c r="L26" s="154" t="s">
        <v>5173</v>
      </c>
      <c r="M26" s="692" t="s">
        <v>5176</v>
      </c>
      <c r="N26" s="170"/>
      <c r="O26" s="2394"/>
      <c r="P26" s="577"/>
      <c r="Q26" s="165"/>
      <c r="R26" s="1565"/>
      <c r="S26" s="1340"/>
      <c r="T26" s="1340"/>
      <c r="U26" s="1451"/>
      <c r="V26" s="733"/>
      <c r="W26" s="733"/>
      <c r="X26" s="733"/>
      <c r="Y26" s="1504"/>
      <c r="Z26" s="1597">
        <v>8850</v>
      </c>
      <c r="AA26" s="733"/>
      <c r="AB26" s="1251"/>
      <c r="AC26" s="1339">
        <f>+SUM(V26:AB26)</f>
        <v>8850</v>
      </c>
      <c r="AD26" s="736" t="s">
        <v>5005</v>
      </c>
      <c r="AE26" s="1340">
        <f>(H26*4490000+I26*4590000)*1.08+(T26*1.08)+(S26*1.08)+(U26*1.08)</f>
        <v>0</v>
      </c>
      <c r="AF26" s="1341">
        <f t="shared" ref="AF26:AF36" si="4">+AC26+AE26</f>
        <v>8850</v>
      </c>
      <c r="AG26" s="1269"/>
      <c r="AI26" s="13"/>
    </row>
    <row r="27" spans="1:36" s="5" customFormat="1" ht="15.6">
      <c r="A27" s="1503"/>
      <c r="B27" s="1635"/>
      <c r="C27" s="166">
        <v>104925537141</v>
      </c>
      <c r="D27" s="46" t="s">
        <v>4992</v>
      </c>
      <c r="E27" s="179" t="s">
        <v>5183</v>
      </c>
      <c r="F27" s="1346"/>
      <c r="G27" s="693"/>
      <c r="H27" s="167"/>
      <c r="I27" s="167"/>
      <c r="J27" s="167"/>
      <c r="K27" s="79"/>
      <c r="L27" s="154" t="s">
        <v>5174</v>
      </c>
      <c r="M27" s="692" t="s">
        <v>5175</v>
      </c>
      <c r="N27" s="1472"/>
      <c r="O27" s="1472"/>
      <c r="P27" s="1472"/>
      <c r="Q27" s="165"/>
      <c r="R27" s="1565"/>
      <c r="S27" s="1340"/>
      <c r="T27" s="1340"/>
      <c r="U27" s="1451"/>
      <c r="V27" s="733"/>
      <c r="W27" s="733"/>
      <c r="X27" s="733"/>
      <c r="Y27" s="1504"/>
      <c r="Z27" s="1631">
        <v>900</v>
      </c>
      <c r="AA27" s="733"/>
      <c r="AB27" s="1251"/>
      <c r="AC27" s="1339">
        <f>+SUM(V27:AB27)</f>
        <v>900</v>
      </c>
      <c r="AD27" s="736" t="s">
        <v>5005</v>
      </c>
      <c r="AE27" s="1340">
        <f>(H27*4490000+I27*4590000)*1.08+(T27*1.08)+(S27*1.08)+(U27*1.08)</f>
        <v>0</v>
      </c>
      <c r="AF27" s="1341">
        <f t="shared" si="4"/>
        <v>900</v>
      </c>
      <c r="AG27" s="1269"/>
      <c r="AI27" s="13"/>
    </row>
    <row r="28" spans="1:36" s="5" customFormat="1" ht="26.25" customHeight="1" thickBot="1">
      <c r="A28" s="1854"/>
      <c r="B28" s="1855"/>
      <c r="C28" s="1870" t="s">
        <v>4517</v>
      </c>
      <c r="D28" s="1718" t="s">
        <v>4478</v>
      </c>
      <c r="E28" s="1712" t="s">
        <v>5233</v>
      </c>
      <c r="F28" s="1856"/>
      <c r="G28" s="1701"/>
      <c r="H28" s="1857"/>
      <c r="I28" s="1857"/>
      <c r="J28" s="1857"/>
      <c r="K28" s="1852" t="s">
        <v>210</v>
      </c>
      <c r="L28" s="1858" t="s">
        <v>4489</v>
      </c>
      <c r="M28" s="1844" t="s">
        <v>4511</v>
      </c>
      <c r="N28" s="1859" t="s">
        <v>4498</v>
      </c>
      <c r="O28" s="1859"/>
      <c r="P28" s="1860"/>
      <c r="Q28" s="1861" t="s">
        <v>2857</v>
      </c>
      <c r="R28" s="1869"/>
      <c r="S28" s="1452"/>
      <c r="T28" s="1452"/>
      <c r="U28" s="1452"/>
      <c r="V28" s="1116"/>
      <c r="W28" s="1116"/>
      <c r="X28" s="1116"/>
      <c r="Y28" s="1617"/>
      <c r="Z28" s="1252"/>
      <c r="AA28" s="733"/>
      <c r="AB28" s="1251"/>
      <c r="AC28" s="1339">
        <f t="shared" si="0"/>
        <v>0</v>
      </c>
      <c r="AD28" s="1482" t="s">
        <v>5249</v>
      </c>
      <c r="AE28" s="1918">
        <f>(38*25760*1.03)*1.08</f>
        <v>1088906.1120000002</v>
      </c>
      <c r="AF28" s="1341">
        <f t="shared" si="4"/>
        <v>1088906.1120000002</v>
      </c>
      <c r="AG28" s="1269"/>
      <c r="AI28" s="13"/>
    </row>
    <row r="29" spans="1:36" s="5" customFormat="1" ht="40.200000000000003">
      <c r="A29" s="1057">
        <v>1</v>
      </c>
      <c r="B29" s="1648" t="s">
        <v>4991</v>
      </c>
      <c r="C29" s="1242" t="s">
        <v>4975</v>
      </c>
      <c r="D29" s="795" t="s">
        <v>4962</v>
      </c>
      <c r="E29" s="779" t="s">
        <v>4961</v>
      </c>
      <c r="F29" s="660" t="s">
        <v>4960</v>
      </c>
      <c r="G29" s="1245" t="s">
        <v>1300</v>
      </c>
      <c r="H29" s="445">
        <v>1</v>
      </c>
      <c r="I29" s="445"/>
      <c r="J29" s="445"/>
      <c r="K29" s="685" t="s">
        <v>210</v>
      </c>
      <c r="L29" s="928" t="s">
        <v>4958</v>
      </c>
      <c r="M29" s="692" t="s">
        <v>4959</v>
      </c>
      <c r="N29" s="740" t="s">
        <v>4936</v>
      </c>
      <c r="O29" s="2394"/>
      <c r="P29" s="577"/>
      <c r="Q29" s="1672" t="s">
        <v>4813</v>
      </c>
      <c r="R29" s="1672"/>
      <c r="S29" s="1340"/>
      <c r="T29" s="1340"/>
      <c r="U29" s="1451"/>
      <c r="V29" s="733"/>
      <c r="W29" s="1414">
        <v>432000</v>
      </c>
      <c r="X29" s="1420">
        <v>1000000</v>
      </c>
      <c r="Y29" s="1636">
        <v>5967100</v>
      </c>
      <c r="Z29" s="1416">
        <v>250000</v>
      </c>
      <c r="AA29" s="733"/>
      <c r="AB29" s="1251"/>
      <c r="AC29" s="1339">
        <f>+SUM(V29:AB29)</f>
        <v>7649100</v>
      </c>
      <c r="AD29" s="736"/>
      <c r="AE29" s="1340">
        <f>(H29*4740000+I29*4840000)*1.08+(T29*1.08)+(S29*1.08)+(U29*1.08)</f>
        <v>5119200</v>
      </c>
      <c r="AF29" s="1341">
        <f t="shared" si="4"/>
        <v>12768300</v>
      </c>
      <c r="AG29" s="1269"/>
      <c r="AI29" s="13"/>
    </row>
    <row r="30" spans="1:36" s="5" customFormat="1" ht="27">
      <c r="A30" s="1503">
        <v>2</v>
      </c>
      <c r="B30" s="1629" t="s">
        <v>4936</v>
      </c>
      <c r="C30" s="1558" t="s">
        <v>4985</v>
      </c>
      <c r="D30" s="386" t="s">
        <v>4936</v>
      </c>
      <c r="E30" s="179" t="s">
        <v>4997</v>
      </c>
      <c r="F30" s="1536" t="s">
        <v>4976</v>
      </c>
      <c r="G30" s="693" t="s">
        <v>210</v>
      </c>
      <c r="H30" s="167">
        <v>1</v>
      </c>
      <c r="I30" s="167"/>
      <c r="J30" s="167"/>
      <c r="K30" s="86" t="s">
        <v>210</v>
      </c>
      <c r="L30" s="154" t="s">
        <v>4977</v>
      </c>
      <c r="M30" s="692" t="s">
        <v>4986</v>
      </c>
      <c r="N30" s="170" t="s">
        <v>4978</v>
      </c>
      <c r="O30" s="2394"/>
      <c r="P30" s="577" t="s">
        <v>4990</v>
      </c>
      <c r="Q30" s="165" t="s">
        <v>2966</v>
      </c>
      <c r="R30" s="1868" t="s">
        <v>4912</v>
      </c>
      <c r="S30" s="1340">
        <v>760000</v>
      </c>
      <c r="T30" s="1340"/>
      <c r="U30" s="1451"/>
      <c r="V30" s="733"/>
      <c r="W30" s="1420">
        <v>900000</v>
      </c>
      <c r="X30" s="1420">
        <v>432000</v>
      </c>
      <c r="Y30" s="733"/>
      <c r="Z30" s="1416">
        <v>250000</v>
      </c>
      <c r="AA30" s="733"/>
      <c r="AB30" s="1251"/>
      <c r="AC30" s="1339">
        <f t="shared" si="0"/>
        <v>1582000</v>
      </c>
      <c r="AD30" s="736"/>
      <c r="AE30" s="1340">
        <f>(H30*4740000+I30*4840000)*1.08+(T30*1.08)+(S30*1.08)+(U30*1.08)</f>
        <v>5940000</v>
      </c>
      <c r="AF30" s="1341">
        <f t="shared" si="4"/>
        <v>7522000</v>
      </c>
      <c r="AG30" s="1269"/>
      <c r="AI30" s="13"/>
    </row>
    <row r="31" spans="1:36" s="5" customFormat="1" ht="15.6">
      <c r="A31" s="1503">
        <v>5</v>
      </c>
      <c r="B31" s="1644" t="s">
        <v>4952</v>
      </c>
      <c r="C31" s="166" t="s">
        <v>5032</v>
      </c>
      <c r="D31" s="386" t="s">
        <v>5011</v>
      </c>
      <c r="E31" s="179" t="s">
        <v>5049</v>
      </c>
      <c r="F31" s="1346" t="s">
        <v>4736</v>
      </c>
      <c r="G31" s="693" t="s">
        <v>1300</v>
      </c>
      <c r="H31" s="167"/>
      <c r="I31" s="167"/>
      <c r="J31" s="167" t="s">
        <v>128</v>
      </c>
      <c r="K31" s="86" t="s">
        <v>210</v>
      </c>
      <c r="L31" s="1643">
        <v>1065228192</v>
      </c>
      <c r="M31" s="692"/>
      <c r="N31" s="170" t="s">
        <v>5027</v>
      </c>
      <c r="O31" s="2394"/>
      <c r="P31" s="577"/>
      <c r="Q31" s="150" t="s">
        <v>5026</v>
      </c>
      <c r="R31" s="1868"/>
      <c r="S31" s="1340"/>
      <c r="T31" s="1340"/>
      <c r="U31" s="1451"/>
      <c r="V31" s="1414">
        <v>324000</v>
      </c>
      <c r="W31" s="1336"/>
      <c r="X31" s="1336"/>
      <c r="Y31" s="733"/>
      <c r="Z31" s="1252"/>
      <c r="AA31" s="733"/>
      <c r="AB31" s="1251"/>
      <c r="AC31" s="1339">
        <f t="shared" si="0"/>
        <v>324000</v>
      </c>
      <c r="AD31" s="736"/>
      <c r="AE31" s="1340">
        <f>+(1480000+1100000)*1.08</f>
        <v>2786400</v>
      </c>
      <c r="AF31" s="1341">
        <f t="shared" si="4"/>
        <v>3110400</v>
      </c>
      <c r="AG31" s="1269"/>
      <c r="AI31" s="13"/>
    </row>
    <row r="32" spans="1:36" s="5" customFormat="1" ht="27">
      <c r="A32" s="1503">
        <v>4</v>
      </c>
      <c r="B32" s="1648" t="s">
        <v>4952</v>
      </c>
      <c r="C32" s="1558" t="s">
        <v>5053</v>
      </c>
      <c r="D32" s="1648" t="s">
        <v>4952</v>
      </c>
      <c r="E32" s="179" t="s">
        <v>5061</v>
      </c>
      <c r="F32" s="1536" t="s">
        <v>4422</v>
      </c>
      <c r="G32" s="693" t="s">
        <v>210</v>
      </c>
      <c r="H32" s="167">
        <v>1</v>
      </c>
      <c r="I32" s="167"/>
      <c r="J32" s="167"/>
      <c r="K32" s="86" t="s">
        <v>210</v>
      </c>
      <c r="L32" s="154" t="s">
        <v>5015</v>
      </c>
      <c r="M32" s="692" t="s">
        <v>5054</v>
      </c>
      <c r="N32" s="170" t="s">
        <v>5016</v>
      </c>
      <c r="O32" s="2394"/>
      <c r="P32" s="577"/>
      <c r="Q32" s="165" t="s">
        <v>4813</v>
      </c>
      <c r="R32" s="1868" t="s">
        <v>4912</v>
      </c>
      <c r="S32" s="1340">
        <v>760000</v>
      </c>
      <c r="T32" s="1340"/>
      <c r="U32" s="1451">
        <v>200000</v>
      </c>
      <c r="V32" s="733"/>
      <c r="W32" s="1420">
        <v>900000</v>
      </c>
      <c r="X32" s="1420">
        <v>497000</v>
      </c>
      <c r="Y32" s="733"/>
      <c r="Z32" s="1416">
        <v>250000</v>
      </c>
      <c r="AA32" s="733"/>
      <c r="AB32" s="1251"/>
      <c r="AC32" s="1339">
        <f>+SUM(V32:AB32)</f>
        <v>1647000</v>
      </c>
      <c r="AD32" s="736"/>
      <c r="AE32" s="1340">
        <f>(H32*4740000+I32*4840000)*1.08+(T32*1.08)+(S32*1.08)+(U32*1.08)</f>
        <v>6156000</v>
      </c>
      <c r="AF32" s="1341">
        <f t="shared" si="4"/>
        <v>7803000</v>
      </c>
      <c r="AG32" s="1269"/>
      <c r="AI32" s="13"/>
    </row>
    <row r="33" spans="1:36" s="5" customFormat="1" ht="27">
      <c r="A33" s="1503">
        <v>3</v>
      </c>
      <c r="B33" s="1649" t="s">
        <v>5037</v>
      </c>
      <c r="C33" s="1558" t="s">
        <v>5069</v>
      </c>
      <c r="D33" s="1663" t="s">
        <v>5037</v>
      </c>
      <c r="E33" s="179" t="s">
        <v>5070</v>
      </c>
      <c r="F33" s="1536" t="s">
        <v>4422</v>
      </c>
      <c r="G33" s="693" t="s">
        <v>210</v>
      </c>
      <c r="H33" s="167">
        <v>1</v>
      </c>
      <c r="I33" s="167"/>
      <c r="J33" s="167"/>
      <c r="K33" s="86" t="s">
        <v>210</v>
      </c>
      <c r="L33" s="154" t="s">
        <v>5014</v>
      </c>
      <c r="M33" s="692" t="s">
        <v>5063</v>
      </c>
      <c r="N33" s="170" t="s">
        <v>5016</v>
      </c>
      <c r="O33" s="2394"/>
      <c r="P33" s="577"/>
      <c r="Q33" s="165" t="s">
        <v>4813</v>
      </c>
      <c r="R33" s="1868" t="s">
        <v>4912</v>
      </c>
      <c r="S33" s="1340">
        <v>760000</v>
      </c>
      <c r="T33" s="1340"/>
      <c r="U33" s="1451"/>
      <c r="V33" s="733"/>
      <c r="W33" s="1420">
        <v>900000</v>
      </c>
      <c r="X33" s="1420">
        <v>497000</v>
      </c>
      <c r="Y33" s="733"/>
      <c r="Z33" s="1416">
        <v>250000</v>
      </c>
      <c r="AA33" s="733"/>
      <c r="AB33" s="1251"/>
      <c r="AC33" s="1339">
        <f t="shared" si="0"/>
        <v>1647000</v>
      </c>
      <c r="AD33" s="736"/>
      <c r="AE33" s="1340">
        <f>(H33*4740000+I33*4840000)*1.08+(T33*1.08)+(S33*1.08)+(U33*1.08)</f>
        <v>5940000</v>
      </c>
      <c r="AF33" s="1341">
        <f t="shared" si="4"/>
        <v>7587000</v>
      </c>
      <c r="AG33" s="1269"/>
      <c r="AI33" s="13"/>
    </row>
    <row r="34" spans="1:36" s="5" customFormat="1" ht="27">
      <c r="A34" s="1503">
        <v>5</v>
      </c>
      <c r="B34" s="1845" t="s">
        <v>5115</v>
      </c>
      <c r="C34" s="1558" t="s">
        <v>5139</v>
      </c>
      <c r="D34" s="386" t="s">
        <v>5115</v>
      </c>
      <c r="E34" s="179" t="s">
        <v>5151</v>
      </c>
      <c r="F34" s="1536" t="s">
        <v>5141</v>
      </c>
      <c r="G34" s="693" t="s">
        <v>210</v>
      </c>
      <c r="H34" s="167">
        <v>1</v>
      </c>
      <c r="I34" s="167"/>
      <c r="J34" s="167"/>
      <c r="K34" s="86" t="s">
        <v>210</v>
      </c>
      <c r="L34" s="154" t="s">
        <v>5084</v>
      </c>
      <c r="M34" s="692" t="s">
        <v>5140</v>
      </c>
      <c r="N34" s="170" t="s">
        <v>5085</v>
      </c>
      <c r="O34" s="2394"/>
      <c r="P34" s="577"/>
      <c r="Q34" s="165" t="s">
        <v>4813</v>
      </c>
      <c r="R34" s="1868" t="s">
        <v>4912</v>
      </c>
      <c r="S34" s="1340">
        <v>760000</v>
      </c>
      <c r="T34" s="1340"/>
      <c r="U34" s="1340"/>
      <c r="V34" s="733"/>
      <c r="W34" s="1420">
        <v>1000000</v>
      </c>
      <c r="X34" s="1420">
        <v>497000</v>
      </c>
      <c r="Y34" s="733"/>
      <c r="Z34" s="1414">
        <v>250000</v>
      </c>
      <c r="AA34" s="733"/>
      <c r="AB34" s="1251"/>
      <c r="AC34" s="1339">
        <f t="shared" si="0"/>
        <v>1747000</v>
      </c>
      <c r="AD34" s="736"/>
      <c r="AE34" s="1340">
        <f>(H34*4740000+I34*4840000)*1.08+(T34*1.08)+(S34*1.08)+(U34*1.08)</f>
        <v>5940000</v>
      </c>
      <c r="AF34" s="1341">
        <f t="shared" si="4"/>
        <v>7687000</v>
      </c>
      <c r="AG34" s="1269"/>
      <c r="AI34" s="13"/>
    </row>
    <row r="35" spans="1:36" s="5" customFormat="1" ht="27">
      <c r="A35" s="1503">
        <v>6</v>
      </c>
      <c r="B35" s="1557" t="s">
        <v>5193</v>
      </c>
      <c r="C35" s="1558" t="s">
        <v>5222</v>
      </c>
      <c r="D35" s="386" t="s">
        <v>5193</v>
      </c>
      <c r="E35" s="179" t="s">
        <v>5224</v>
      </c>
      <c r="F35" s="1536" t="s">
        <v>4432</v>
      </c>
      <c r="G35" s="693" t="s">
        <v>210</v>
      </c>
      <c r="H35" s="167">
        <v>2</v>
      </c>
      <c r="I35" s="167"/>
      <c r="J35" s="167"/>
      <c r="K35" s="86" t="s">
        <v>210</v>
      </c>
      <c r="L35" s="154" t="s">
        <v>5159</v>
      </c>
      <c r="M35" s="1522" t="s">
        <v>5223</v>
      </c>
      <c r="N35" s="170" t="s">
        <v>5160</v>
      </c>
      <c r="O35" s="2394"/>
      <c r="P35" s="577"/>
      <c r="Q35" s="165" t="s">
        <v>4813</v>
      </c>
      <c r="R35" s="1868" t="s">
        <v>4912</v>
      </c>
      <c r="S35" s="1340">
        <v>760000</v>
      </c>
      <c r="T35" s="1340"/>
      <c r="U35" s="1340"/>
      <c r="V35" s="733"/>
      <c r="W35" s="1420">
        <f>900000*2</f>
        <v>1800000</v>
      </c>
      <c r="X35" s="1420">
        <v>994000</v>
      </c>
      <c r="Y35" s="733"/>
      <c r="Z35" s="1414">
        <v>500000</v>
      </c>
      <c r="AA35" s="733"/>
      <c r="AB35" s="1251"/>
      <c r="AC35" s="1339">
        <f t="shared" si="0"/>
        <v>3294000</v>
      </c>
      <c r="AD35" s="736"/>
      <c r="AE35" s="1340">
        <f>(H35*4740000+I35*4840000)*1.08+(T35*1.08)+(S35*1.08)+(U35*1.08)</f>
        <v>11059200</v>
      </c>
      <c r="AF35" s="1341">
        <f t="shared" si="4"/>
        <v>14353200</v>
      </c>
      <c r="AG35" s="1269"/>
      <c r="AI35" s="13"/>
    </row>
    <row r="36" spans="1:36" s="5" customFormat="1" ht="27">
      <c r="A36" s="1503">
        <v>7</v>
      </c>
      <c r="B36" s="1557" t="s">
        <v>5274</v>
      </c>
      <c r="C36" s="166" t="s">
        <v>5263</v>
      </c>
      <c r="D36" s="386" t="s">
        <v>5241</v>
      </c>
      <c r="E36" s="179" t="s">
        <v>5231</v>
      </c>
      <c r="F36" s="1346" t="s">
        <v>4869</v>
      </c>
      <c r="G36" s="693" t="s">
        <v>206</v>
      </c>
      <c r="H36" s="167"/>
      <c r="I36" s="167"/>
      <c r="J36" s="167">
        <v>1</v>
      </c>
      <c r="K36" s="79"/>
      <c r="L36" s="154" t="s">
        <v>5227</v>
      </c>
      <c r="M36" s="692" t="s">
        <v>5230</v>
      </c>
      <c r="N36" s="170" t="s">
        <v>5228</v>
      </c>
      <c r="O36" s="2394"/>
      <c r="P36" s="577"/>
      <c r="Q36" s="617" t="s">
        <v>5229</v>
      </c>
      <c r="R36" s="1565"/>
      <c r="S36" s="1327"/>
      <c r="T36" s="734"/>
      <c r="U36" s="1453"/>
      <c r="V36" s="733"/>
      <c r="W36" s="733"/>
      <c r="X36" s="733"/>
      <c r="Y36" s="1636">
        <v>8770356</v>
      </c>
      <c r="Z36" s="1414">
        <v>18135</v>
      </c>
      <c r="AA36" s="733"/>
      <c r="AB36" s="1251"/>
      <c r="AC36" s="1339">
        <f t="shared" si="0"/>
        <v>8788491</v>
      </c>
      <c r="AD36" s="736" t="s">
        <v>4162</v>
      </c>
      <c r="AE36" s="1340">
        <f>(1680000+1100000)*1.08</f>
        <v>3002400</v>
      </c>
      <c r="AF36" s="1341">
        <f t="shared" si="4"/>
        <v>11790891</v>
      </c>
      <c r="AG36" s="1269"/>
      <c r="AI36" s="13"/>
    </row>
    <row r="37" spans="1:36" ht="15.6">
      <c r="A37" s="3582" t="s">
        <v>5220</v>
      </c>
      <c r="B37" s="3583"/>
      <c r="C37" s="3583"/>
      <c r="D37" s="3583"/>
      <c r="E37" s="3583"/>
      <c r="F37" s="3583"/>
      <c r="G37" s="3583"/>
      <c r="H37" s="3583"/>
      <c r="I37" s="3583"/>
      <c r="J37" s="3583"/>
      <c r="K37" s="3583"/>
      <c r="L37" s="3584"/>
      <c r="M37" s="1440"/>
      <c r="N37" s="1278"/>
      <c r="O37" s="1607"/>
      <c r="P37" s="1278"/>
      <c r="Q37" s="1279"/>
      <c r="R37" s="1867"/>
      <c r="S37" s="1326"/>
      <c r="T37" s="1281"/>
      <c r="U37" s="1450"/>
      <c r="V37" s="1280"/>
      <c r="W37" s="1279"/>
      <c r="X37" s="1279"/>
      <c r="Y37" s="1279"/>
      <c r="Z37" s="1281"/>
      <c r="AA37" s="1279"/>
      <c r="AB37" s="1282"/>
      <c r="AC37" s="1282">
        <f>SUM(AC29:AC35)</f>
        <v>17890100</v>
      </c>
      <c r="AD37" s="1283"/>
      <c r="AE37" s="1284">
        <f>SUM(AE29:AE36)</f>
        <v>45943200</v>
      </c>
      <c r="AF37" s="1284">
        <f>SUM(AF29:AF35)</f>
        <v>60830900</v>
      </c>
      <c r="AG37" s="1284"/>
      <c r="AH37" s="6"/>
      <c r="AI37" s="6"/>
      <c r="AJ37" s="5"/>
    </row>
    <row r="38" spans="1:36" s="5" customFormat="1" ht="27">
      <c r="A38" s="1503">
        <v>1</v>
      </c>
      <c r="B38" s="1557" t="s">
        <v>5265</v>
      </c>
      <c r="C38" s="1558">
        <v>307278927010</v>
      </c>
      <c r="D38" s="1329" t="s">
        <v>5265</v>
      </c>
      <c r="E38" s="179" t="s">
        <v>5277</v>
      </c>
      <c r="F38" s="1536" t="s">
        <v>4432</v>
      </c>
      <c r="G38" s="693" t="s">
        <v>210</v>
      </c>
      <c r="H38" s="167">
        <v>1</v>
      </c>
      <c r="I38" s="167"/>
      <c r="J38" s="167"/>
      <c r="K38" s="86" t="s">
        <v>210</v>
      </c>
      <c r="L38" s="154" t="s">
        <v>5243</v>
      </c>
      <c r="M38" s="692" t="s">
        <v>5275</v>
      </c>
      <c r="N38" s="151"/>
      <c r="O38" s="2421"/>
      <c r="P38" s="577"/>
      <c r="Q38" s="617" t="s">
        <v>2966</v>
      </c>
      <c r="R38" s="1868" t="s">
        <v>5489</v>
      </c>
      <c r="S38" s="1340">
        <v>760000</v>
      </c>
      <c r="T38" s="1340"/>
      <c r="U38" s="1340"/>
      <c r="V38" s="733"/>
      <c r="W38" s="2008">
        <v>900000</v>
      </c>
      <c r="X38" s="2008">
        <v>497000</v>
      </c>
      <c r="Y38" s="733"/>
      <c r="Z38" s="1416">
        <v>250000</v>
      </c>
      <c r="AA38" s="733"/>
      <c r="AB38" s="1251"/>
      <c r="AC38" s="1339">
        <f>+SUM(V38:AB38)</f>
        <v>1647000</v>
      </c>
      <c r="AD38" s="736"/>
      <c r="AE38" s="1340">
        <f t="shared" ref="AE38:AE45" si="5">(H38*4740000+I38*4840000)*1.08+(T38*1.08)+(S38*1.08)+(U38*1.08)</f>
        <v>5940000</v>
      </c>
      <c r="AF38" s="1341">
        <f t="shared" ref="AF38:AF45" si="6">+AC38+AE38</f>
        <v>7587000</v>
      </c>
      <c r="AG38" s="1269"/>
      <c r="AI38" s="13"/>
    </row>
    <row r="39" spans="1:36" s="5" customFormat="1" ht="27">
      <c r="A39" s="1503">
        <v>2</v>
      </c>
      <c r="B39" s="1557" t="s">
        <v>5310</v>
      </c>
      <c r="C39" s="1558">
        <v>307296436550</v>
      </c>
      <c r="D39" s="1329" t="s">
        <v>5310</v>
      </c>
      <c r="E39" s="179" t="s">
        <v>5345</v>
      </c>
      <c r="F39" s="1536" t="s">
        <v>4432</v>
      </c>
      <c r="G39" s="693" t="s">
        <v>210</v>
      </c>
      <c r="H39" s="167">
        <v>1</v>
      </c>
      <c r="I39" s="167"/>
      <c r="J39" s="167"/>
      <c r="K39" s="86" t="s">
        <v>210</v>
      </c>
      <c r="L39" s="154" t="s">
        <v>5290</v>
      </c>
      <c r="M39" s="692" t="s">
        <v>5331</v>
      </c>
      <c r="N39" s="151" t="s">
        <v>5311</v>
      </c>
      <c r="O39" s="2421"/>
      <c r="P39" s="577"/>
      <c r="Q39" s="617" t="s">
        <v>2966</v>
      </c>
      <c r="R39" s="1868" t="s">
        <v>5489</v>
      </c>
      <c r="S39" s="1340">
        <v>760000</v>
      </c>
      <c r="T39" s="1340"/>
      <c r="U39" s="1340"/>
      <c r="V39" s="733"/>
      <c r="W39" s="2008">
        <v>900000</v>
      </c>
      <c r="X39" s="2008">
        <v>497000</v>
      </c>
      <c r="Y39" s="733"/>
      <c r="Z39" s="1416">
        <v>250000</v>
      </c>
      <c r="AA39" s="733"/>
      <c r="AB39" s="1251"/>
      <c r="AC39" s="1339">
        <f t="shared" ref="AC39:AC44" si="7">+SUM(V39:AB39)</f>
        <v>1647000</v>
      </c>
      <c r="AD39" s="736"/>
      <c r="AE39" s="1340">
        <f t="shared" si="5"/>
        <v>5940000</v>
      </c>
      <c r="AF39" s="1341">
        <f t="shared" si="6"/>
        <v>7587000</v>
      </c>
      <c r="AG39" s="1269"/>
      <c r="AI39" s="13"/>
    </row>
    <row r="40" spans="1:36" s="5" customFormat="1" ht="27">
      <c r="A40" s="1503">
        <v>3</v>
      </c>
      <c r="B40" s="1557" t="s">
        <v>5371</v>
      </c>
      <c r="C40" s="1558">
        <v>307314209110</v>
      </c>
      <c r="D40" s="386" t="s">
        <v>5371</v>
      </c>
      <c r="E40" s="179" t="s">
        <v>5385</v>
      </c>
      <c r="F40" s="1536" t="s">
        <v>5377</v>
      </c>
      <c r="G40" s="693" t="s">
        <v>210</v>
      </c>
      <c r="H40" s="167"/>
      <c r="I40" s="167">
        <v>1</v>
      </c>
      <c r="J40" s="167"/>
      <c r="K40" s="86" t="s">
        <v>210</v>
      </c>
      <c r="L40" s="154" t="s">
        <v>5349</v>
      </c>
      <c r="M40" s="692" t="s">
        <v>5384</v>
      </c>
      <c r="N40" s="151" t="s">
        <v>5350</v>
      </c>
      <c r="O40" s="2421"/>
      <c r="P40" s="577"/>
      <c r="Q40" s="150" t="s">
        <v>287</v>
      </c>
      <c r="R40" s="1565" t="s">
        <v>5490</v>
      </c>
      <c r="S40" s="1340">
        <v>760000</v>
      </c>
      <c r="T40" s="1340"/>
      <c r="U40" s="1340">
        <v>200000</v>
      </c>
      <c r="V40" s="733"/>
      <c r="W40" s="2008">
        <v>1500000</v>
      </c>
      <c r="X40" s="2008">
        <v>882000</v>
      </c>
      <c r="Y40" s="733"/>
      <c r="Z40" s="1416">
        <v>500000</v>
      </c>
      <c r="AA40" s="733"/>
      <c r="AB40" s="1251"/>
      <c r="AC40" s="1339">
        <f t="shared" si="7"/>
        <v>2882000</v>
      </c>
      <c r="AD40" s="736" t="s">
        <v>5502</v>
      </c>
      <c r="AE40" s="1340">
        <f t="shared" si="5"/>
        <v>6264000</v>
      </c>
      <c r="AF40" s="1341">
        <f t="shared" si="6"/>
        <v>9146000</v>
      </c>
      <c r="AG40" s="1269"/>
      <c r="AI40" s="13"/>
    </row>
    <row r="41" spans="1:36" s="5" customFormat="1" ht="27">
      <c r="A41" s="1503">
        <v>4</v>
      </c>
      <c r="B41" s="1557" t="s">
        <v>5387</v>
      </c>
      <c r="C41" s="1558">
        <v>307316256830</v>
      </c>
      <c r="D41" s="1329" t="s">
        <v>5387</v>
      </c>
      <c r="E41" s="179" t="s">
        <v>5417</v>
      </c>
      <c r="F41" s="1536" t="s">
        <v>4432</v>
      </c>
      <c r="G41" s="693" t="s">
        <v>210</v>
      </c>
      <c r="H41" s="167">
        <v>1</v>
      </c>
      <c r="I41" s="167"/>
      <c r="J41" s="167"/>
      <c r="K41" s="86" t="s">
        <v>210</v>
      </c>
      <c r="L41" s="154" t="s">
        <v>5375</v>
      </c>
      <c r="M41" s="692" t="s">
        <v>5394</v>
      </c>
      <c r="N41" s="151" t="s">
        <v>5376</v>
      </c>
      <c r="O41" s="2421"/>
      <c r="P41" s="577"/>
      <c r="Q41" s="150" t="s">
        <v>2966</v>
      </c>
      <c r="R41" s="1565" t="s">
        <v>5491</v>
      </c>
      <c r="S41" s="1340">
        <v>760000</v>
      </c>
      <c r="T41" s="1340"/>
      <c r="U41" s="1340"/>
      <c r="V41" s="733"/>
      <c r="W41" s="2008">
        <v>900000</v>
      </c>
      <c r="X41" s="2008">
        <v>497000</v>
      </c>
      <c r="Y41" s="733"/>
      <c r="Z41" s="1416">
        <v>250000</v>
      </c>
      <c r="AA41" s="733"/>
      <c r="AB41" s="1251"/>
      <c r="AC41" s="1339">
        <f t="shared" si="7"/>
        <v>1647000</v>
      </c>
      <c r="AD41" s="736"/>
      <c r="AE41" s="1340">
        <f t="shared" si="5"/>
        <v>5940000</v>
      </c>
      <c r="AF41" s="1341">
        <f t="shared" si="6"/>
        <v>7587000</v>
      </c>
      <c r="AG41" s="1269"/>
      <c r="AI41" s="13"/>
    </row>
    <row r="42" spans="1:36" s="5" customFormat="1" ht="27">
      <c r="A42" s="1503">
        <v>5</v>
      </c>
      <c r="B42" s="1557" t="s">
        <v>5335</v>
      </c>
      <c r="C42" s="1558">
        <v>307320577600</v>
      </c>
      <c r="D42" s="1329" t="s">
        <v>5335</v>
      </c>
      <c r="E42" s="179" t="s">
        <v>5418</v>
      </c>
      <c r="F42" s="1536" t="s">
        <v>4422</v>
      </c>
      <c r="G42" s="693" t="s">
        <v>210</v>
      </c>
      <c r="H42" s="167">
        <v>1</v>
      </c>
      <c r="I42" s="167"/>
      <c r="J42" s="167"/>
      <c r="K42" s="86" t="s">
        <v>210</v>
      </c>
      <c r="L42" s="154" t="s">
        <v>5348</v>
      </c>
      <c r="M42" s="692" t="s">
        <v>5407</v>
      </c>
      <c r="N42" s="151" t="s">
        <v>5391</v>
      </c>
      <c r="O42" s="1914"/>
      <c r="P42" s="1472"/>
      <c r="Q42" s="150" t="s">
        <v>287</v>
      </c>
      <c r="R42" s="1565" t="s">
        <v>4912</v>
      </c>
      <c r="S42" s="1340">
        <v>760000</v>
      </c>
      <c r="T42" s="1340"/>
      <c r="U42" s="1340">
        <v>200000</v>
      </c>
      <c r="V42" s="733"/>
      <c r="W42" s="2008">
        <v>1000000</v>
      </c>
      <c r="X42" s="2008">
        <v>497000</v>
      </c>
      <c r="Y42" s="733"/>
      <c r="Z42" s="1416">
        <v>250000</v>
      </c>
      <c r="AA42" s="733"/>
      <c r="AB42" s="1251"/>
      <c r="AC42" s="1339">
        <f t="shared" si="7"/>
        <v>1747000</v>
      </c>
      <c r="AD42" s="736" t="s">
        <v>5502</v>
      </c>
      <c r="AE42" s="1340">
        <f t="shared" si="5"/>
        <v>6156000</v>
      </c>
      <c r="AF42" s="1341">
        <f t="shared" si="6"/>
        <v>7903000</v>
      </c>
      <c r="AG42" s="1269"/>
      <c r="AI42" s="13"/>
    </row>
    <row r="43" spans="1:36" s="5" customFormat="1" ht="40.200000000000003">
      <c r="A43" s="1503">
        <v>6</v>
      </c>
      <c r="B43" s="1557" t="s">
        <v>5460</v>
      </c>
      <c r="C43" s="166">
        <v>107111830450</v>
      </c>
      <c r="D43" s="1329" t="s">
        <v>5335</v>
      </c>
      <c r="E43" s="1946" t="s">
        <v>5403</v>
      </c>
      <c r="F43" s="1346" t="s">
        <v>4423</v>
      </c>
      <c r="G43" s="693" t="s">
        <v>206</v>
      </c>
      <c r="H43" s="167"/>
      <c r="I43" s="167">
        <v>1</v>
      </c>
      <c r="J43" s="167"/>
      <c r="K43" s="86" t="s">
        <v>210</v>
      </c>
      <c r="L43" s="154" t="s">
        <v>5402</v>
      </c>
      <c r="M43" s="692" t="s">
        <v>5419</v>
      </c>
      <c r="N43" s="580" t="s">
        <v>5433</v>
      </c>
      <c r="O43" s="2421"/>
      <c r="P43" s="928" t="s">
        <v>5432</v>
      </c>
      <c r="Q43" s="150" t="s">
        <v>287</v>
      </c>
      <c r="R43" s="1565"/>
      <c r="S43" s="1327"/>
      <c r="T43" s="1340"/>
      <c r="U43" s="1340"/>
      <c r="V43" s="733"/>
      <c r="W43" s="2015">
        <v>882000</v>
      </c>
      <c r="X43" s="2008">
        <v>1450000</v>
      </c>
      <c r="Y43" s="1636">
        <v>10938947</v>
      </c>
      <c r="Z43" s="1416">
        <v>500000</v>
      </c>
      <c r="AA43" s="733"/>
      <c r="AB43" s="1251"/>
      <c r="AC43" s="1339">
        <f t="shared" si="7"/>
        <v>13770947</v>
      </c>
      <c r="AD43" s="736"/>
      <c r="AE43" s="1340">
        <f t="shared" si="5"/>
        <v>5227200</v>
      </c>
      <c r="AF43" s="1341">
        <f t="shared" si="6"/>
        <v>18998147</v>
      </c>
      <c r="AG43" s="1269"/>
      <c r="AI43" s="13"/>
    </row>
    <row r="44" spans="1:36" s="5" customFormat="1" ht="27">
      <c r="A44" s="1503">
        <v>7</v>
      </c>
      <c r="B44" s="1557" t="s">
        <v>5448</v>
      </c>
      <c r="C44" s="1558">
        <v>307334738010</v>
      </c>
      <c r="D44" s="1329" t="s">
        <v>5448</v>
      </c>
      <c r="E44" s="179" t="s">
        <v>5467</v>
      </c>
      <c r="F44" s="1536" t="s">
        <v>5426</v>
      </c>
      <c r="G44" s="693" t="s">
        <v>210</v>
      </c>
      <c r="H44" s="167">
        <v>1</v>
      </c>
      <c r="I44" s="167"/>
      <c r="J44" s="167"/>
      <c r="K44" s="86" t="s">
        <v>210</v>
      </c>
      <c r="L44" s="154" t="s">
        <v>5423</v>
      </c>
      <c r="M44" s="692" t="s">
        <v>5465</v>
      </c>
      <c r="N44" s="151" t="s">
        <v>5424</v>
      </c>
      <c r="O44" s="2421"/>
      <c r="P44" s="577"/>
      <c r="Q44" s="150" t="s">
        <v>287</v>
      </c>
      <c r="R44" s="1565" t="s">
        <v>5489</v>
      </c>
      <c r="S44" s="1340">
        <v>760000</v>
      </c>
      <c r="T44" s="1340"/>
      <c r="U44" s="1340"/>
      <c r="V44" s="733"/>
      <c r="W44" s="2008">
        <v>1000000</v>
      </c>
      <c r="X44" s="2008">
        <v>497000</v>
      </c>
      <c r="Y44" s="733"/>
      <c r="Z44" s="1416">
        <v>250000</v>
      </c>
      <c r="AA44" s="733"/>
      <c r="AB44" s="1251"/>
      <c r="AC44" s="1339">
        <f t="shared" si="7"/>
        <v>1747000</v>
      </c>
      <c r="AD44" s="736"/>
      <c r="AE44" s="1340">
        <f t="shared" si="5"/>
        <v>5940000</v>
      </c>
      <c r="AF44" s="1341">
        <f t="shared" si="6"/>
        <v>7687000</v>
      </c>
      <c r="AG44" s="1269"/>
      <c r="AI44" s="13"/>
    </row>
    <row r="45" spans="1:36" s="5" customFormat="1" ht="27">
      <c r="A45" s="1503">
        <v>8</v>
      </c>
      <c r="B45" s="1557" t="s">
        <v>5460</v>
      </c>
      <c r="C45" s="1558">
        <v>307340687900</v>
      </c>
      <c r="D45" s="1329" t="s">
        <v>5460</v>
      </c>
      <c r="E45" s="179" t="s">
        <v>5484</v>
      </c>
      <c r="F45" s="1536" t="s">
        <v>4432</v>
      </c>
      <c r="G45" s="693" t="s">
        <v>210</v>
      </c>
      <c r="H45" s="167">
        <v>2</v>
      </c>
      <c r="I45" s="167"/>
      <c r="J45" s="167"/>
      <c r="K45" s="86" t="s">
        <v>210</v>
      </c>
      <c r="L45" s="792" t="s">
        <v>5425</v>
      </c>
      <c r="M45" s="1522" t="s">
        <v>5483</v>
      </c>
      <c r="N45" s="151" t="s">
        <v>5461</v>
      </c>
      <c r="O45" s="2421"/>
      <c r="P45" s="577"/>
      <c r="Q45" s="150" t="s">
        <v>2966</v>
      </c>
      <c r="R45" s="1565" t="s">
        <v>5489</v>
      </c>
      <c r="S45" s="1340">
        <v>760000</v>
      </c>
      <c r="T45" s="1340"/>
      <c r="U45" s="1340"/>
      <c r="V45" s="733"/>
      <c r="W45" s="2008">
        <f>900000*2</f>
        <v>1800000</v>
      </c>
      <c r="X45" s="2008">
        <v>994000</v>
      </c>
      <c r="Y45" s="733"/>
      <c r="Z45" s="1416">
        <v>500000</v>
      </c>
      <c r="AA45" s="733"/>
      <c r="AB45" s="1251"/>
      <c r="AC45" s="1339">
        <f>SUM(S45:Y45)</f>
        <v>3554000</v>
      </c>
      <c r="AD45" s="736"/>
      <c r="AE45" s="1340">
        <f t="shared" si="5"/>
        <v>11059200</v>
      </c>
      <c r="AF45" s="1341">
        <f t="shared" si="6"/>
        <v>14613200</v>
      </c>
      <c r="AG45" s="1269"/>
      <c r="AI45" s="13"/>
    </row>
    <row r="46" spans="1:36" ht="15.6">
      <c r="A46" s="3582" t="s">
        <v>5485</v>
      </c>
      <c r="B46" s="3583"/>
      <c r="C46" s="3583"/>
      <c r="D46" s="3583"/>
      <c r="E46" s="3583"/>
      <c r="F46" s="3583"/>
      <c r="G46" s="3583"/>
      <c r="H46" s="3583"/>
      <c r="I46" s="3583"/>
      <c r="J46" s="3583"/>
      <c r="K46" s="3583"/>
      <c r="L46" s="3584"/>
      <c r="M46" s="1440"/>
      <c r="N46" s="1278"/>
      <c r="O46" s="1607"/>
      <c r="P46" s="1278"/>
      <c r="Q46" s="1279"/>
      <c r="R46" s="1867"/>
      <c r="S46" s="1326"/>
      <c r="T46" s="1281"/>
      <c r="U46" s="1450"/>
      <c r="V46" s="1280"/>
      <c r="W46" s="1279"/>
      <c r="X46" s="1279"/>
      <c r="Y46" s="1279"/>
      <c r="Z46" s="1281"/>
      <c r="AA46" s="1279"/>
      <c r="AB46" s="1282"/>
      <c r="AC46" s="1282">
        <f>SUM(AC38:AC44)</f>
        <v>25087947</v>
      </c>
      <c r="AD46" s="1283"/>
      <c r="AE46" s="1284">
        <f>SUM(AE38:AE45)</f>
        <v>52466400</v>
      </c>
      <c r="AF46" s="1284">
        <f>SUM(AF38:AF44)</f>
        <v>66495147</v>
      </c>
      <c r="AG46" s="1284"/>
      <c r="AH46" s="6"/>
      <c r="AI46" s="6"/>
      <c r="AJ46" s="5"/>
    </row>
    <row r="47" spans="1:36" s="5" customFormat="1" ht="15.6">
      <c r="A47" s="1503">
        <v>1</v>
      </c>
      <c r="B47" s="1557" t="s">
        <v>5574</v>
      </c>
      <c r="C47" s="1558">
        <v>307371980700</v>
      </c>
      <c r="D47" s="386" t="s">
        <v>5526</v>
      </c>
      <c r="E47" s="2166" t="s">
        <v>5634</v>
      </c>
      <c r="F47" s="166" t="s">
        <v>5637</v>
      </c>
      <c r="G47" s="693" t="s">
        <v>210</v>
      </c>
      <c r="H47" s="167"/>
      <c r="I47" s="167"/>
      <c r="J47" s="167">
        <v>1</v>
      </c>
      <c r="K47" s="86" t="s">
        <v>210</v>
      </c>
      <c r="L47" s="154" t="s">
        <v>5569</v>
      </c>
      <c r="M47" s="1504" t="s">
        <v>5641</v>
      </c>
      <c r="N47" s="692" t="s">
        <v>5573</v>
      </c>
      <c r="O47" s="692"/>
      <c r="P47" s="577"/>
      <c r="Q47" s="150" t="s">
        <v>5595</v>
      </c>
      <c r="R47" s="1565" t="s">
        <v>5491</v>
      </c>
      <c r="S47" s="1340">
        <v>760000</v>
      </c>
      <c r="T47" s="734"/>
      <c r="U47" s="1453"/>
      <c r="V47" s="733"/>
      <c r="W47" s="733"/>
      <c r="X47" s="733"/>
      <c r="Y47" s="733"/>
      <c r="Z47" s="1416">
        <v>12590</v>
      </c>
      <c r="AA47" s="733"/>
      <c r="AB47" s="1251"/>
      <c r="AC47" s="1339">
        <f>SUM(S47:Y47)</f>
        <v>760000</v>
      </c>
      <c r="AD47" s="736"/>
      <c r="AE47" s="1340">
        <f>(1480000+1100000)*1.08+(T47*1.08)+(S47*1.08)+(U44*1.08)</f>
        <v>3607200</v>
      </c>
      <c r="AF47" s="1341">
        <f t="shared" ref="AF47:AF57" si="8">+AC47+AE47</f>
        <v>4367200</v>
      </c>
      <c r="AG47" s="1256"/>
      <c r="AI47" s="13"/>
    </row>
    <row r="48" spans="1:36" s="5" customFormat="1" ht="26.4">
      <c r="A48" s="1503">
        <f>+A47+1</f>
        <v>2</v>
      </c>
      <c r="B48" s="1557" t="s">
        <v>5575</v>
      </c>
      <c r="C48" s="1558">
        <v>307378605240</v>
      </c>
      <c r="D48" s="1557" t="s">
        <v>5575</v>
      </c>
      <c r="E48" s="2029" t="s">
        <v>5635</v>
      </c>
      <c r="F48" s="1536" t="s">
        <v>4432</v>
      </c>
      <c r="G48" s="693" t="s">
        <v>210</v>
      </c>
      <c r="H48" s="167">
        <v>1</v>
      </c>
      <c r="I48" s="167"/>
      <c r="J48" s="167"/>
      <c r="K48" s="86" t="s">
        <v>210</v>
      </c>
      <c r="L48" s="154" t="s">
        <v>5571</v>
      </c>
      <c r="M48" s="1522" t="s">
        <v>5605</v>
      </c>
      <c r="N48" s="692" t="s">
        <v>5572</v>
      </c>
      <c r="O48" s="692"/>
      <c r="P48" s="577"/>
      <c r="Q48" s="150" t="s">
        <v>2966</v>
      </c>
      <c r="R48" s="1565" t="s">
        <v>5489</v>
      </c>
      <c r="S48" s="1340">
        <v>760000</v>
      </c>
      <c r="T48" s="734"/>
      <c r="U48" s="1453"/>
      <c r="V48" s="733"/>
      <c r="W48" s="2008">
        <v>900000</v>
      </c>
      <c r="X48" s="2008">
        <v>497000</v>
      </c>
      <c r="Y48" s="733"/>
      <c r="Z48" s="1416">
        <v>250000</v>
      </c>
      <c r="AA48" s="733"/>
      <c r="AB48" s="1251"/>
      <c r="AC48" s="1339">
        <f t="shared" ref="AC48:AC53" si="9">SUM(S48:Y48)</f>
        <v>2157000</v>
      </c>
      <c r="AD48" s="736"/>
      <c r="AE48" s="1340">
        <f>(H48*4740000+I48*4840000)*1.08+(T48*1.08)+(S48*1.08)+(U48*1.08)</f>
        <v>5940000</v>
      </c>
      <c r="AF48" s="1341">
        <f t="shared" si="8"/>
        <v>8097000</v>
      </c>
      <c r="AG48" s="1256"/>
      <c r="AI48" s="13"/>
    </row>
    <row r="49" spans="1:36" s="5" customFormat="1" ht="27">
      <c r="A49" s="1503">
        <f t="shared" ref="A49:A118" si="10">+A48+1</f>
        <v>3</v>
      </c>
      <c r="B49" s="1329" t="s">
        <v>5607</v>
      </c>
      <c r="C49" s="1558">
        <v>307384572630</v>
      </c>
      <c r="D49" s="1329" t="s">
        <v>5607</v>
      </c>
      <c r="E49" s="2029" t="s">
        <v>5636</v>
      </c>
      <c r="F49" s="1536" t="s">
        <v>5426</v>
      </c>
      <c r="G49" s="693" t="s">
        <v>210</v>
      </c>
      <c r="H49" s="167">
        <v>1</v>
      </c>
      <c r="I49" s="167"/>
      <c r="J49" s="167"/>
      <c r="K49" s="86" t="s">
        <v>210</v>
      </c>
      <c r="L49" s="154" t="s">
        <v>5593</v>
      </c>
      <c r="M49" s="1913" t="s">
        <v>5624</v>
      </c>
      <c r="N49" s="170" t="s">
        <v>5596</v>
      </c>
      <c r="O49" s="2394"/>
      <c r="P49" s="577"/>
      <c r="Q49" s="150" t="s">
        <v>287</v>
      </c>
      <c r="R49" s="1565" t="s">
        <v>5489</v>
      </c>
      <c r="S49" s="1340">
        <v>760000</v>
      </c>
      <c r="T49" s="1749"/>
      <c r="U49" s="2117"/>
      <c r="V49" s="1526"/>
      <c r="W49" s="2008">
        <v>1000000</v>
      </c>
      <c r="X49" s="2008">
        <v>497000</v>
      </c>
      <c r="Y49" s="1526"/>
      <c r="Z49" s="1416">
        <v>250000</v>
      </c>
      <c r="AA49" s="1526"/>
      <c r="AB49" s="1608"/>
      <c r="AC49" s="1339">
        <f t="shared" si="9"/>
        <v>2257000</v>
      </c>
      <c r="AD49" s="736"/>
      <c r="AE49" s="1340">
        <f>(H49*4740000+I49*4840000)*1.08+(T49*1.08)+(S49*1.08)+(U49*1.08)</f>
        <v>5940000</v>
      </c>
      <c r="AF49" s="1341">
        <f t="shared" si="8"/>
        <v>8197000</v>
      </c>
      <c r="AG49" s="1794"/>
      <c r="AI49" s="13"/>
    </row>
    <row r="50" spans="1:36" s="5" customFormat="1" ht="15.6">
      <c r="A50" s="1503">
        <f t="shared" si="10"/>
        <v>4</v>
      </c>
      <c r="B50" s="713" t="s">
        <v>5602</v>
      </c>
      <c r="C50" s="1558">
        <v>307388194760</v>
      </c>
      <c r="D50" s="386" t="s">
        <v>5630</v>
      </c>
      <c r="E50" s="179" t="s">
        <v>5643</v>
      </c>
      <c r="F50" s="166" t="s">
        <v>5637</v>
      </c>
      <c r="G50" s="693" t="s">
        <v>210</v>
      </c>
      <c r="H50" s="167"/>
      <c r="I50" s="167"/>
      <c r="J50" s="167">
        <v>1</v>
      </c>
      <c r="K50" s="86" t="s">
        <v>210</v>
      </c>
      <c r="L50" s="154" t="s">
        <v>5631</v>
      </c>
      <c r="M50" s="692" t="s">
        <v>5642</v>
      </c>
      <c r="N50" s="170" t="s">
        <v>5632</v>
      </c>
      <c r="O50" s="2394"/>
      <c r="P50" s="577"/>
      <c r="Q50" s="150" t="s">
        <v>5595</v>
      </c>
      <c r="R50" s="1565"/>
      <c r="S50" s="1327"/>
      <c r="T50" s="734"/>
      <c r="U50" s="1453"/>
      <c r="V50" s="733"/>
      <c r="W50" s="733"/>
      <c r="X50" s="733"/>
      <c r="Y50" s="733"/>
      <c r="Z50" s="1416">
        <v>13673</v>
      </c>
      <c r="AA50" s="733"/>
      <c r="AB50" s="1251"/>
      <c r="AC50" s="1339">
        <f t="shared" si="9"/>
        <v>0</v>
      </c>
      <c r="AD50" s="736"/>
      <c r="AE50" s="1340">
        <f>(1480000+1100000)*1.08+(T50*1.08)+(S50*1.08)+(U50*1.08)</f>
        <v>2786400</v>
      </c>
      <c r="AF50" s="1341">
        <f t="shared" si="8"/>
        <v>2786400</v>
      </c>
      <c r="AG50" s="1256"/>
      <c r="AI50" s="13"/>
    </row>
    <row r="51" spans="1:36" s="5" customFormat="1" ht="27">
      <c r="A51" s="1503">
        <f t="shared" si="10"/>
        <v>5</v>
      </c>
      <c r="B51" s="1556" t="s">
        <v>5685</v>
      </c>
      <c r="C51" s="1558">
        <v>307410545760</v>
      </c>
      <c r="D51" s="1556" t="s">
        <v>5685</v>
      </c>
      <c r="E51" s="1946" t="s">
        <v>5743</v>
      </c>
      <c r="F51" s="1536" t="s">
        <v>4422</v>
      </c>
      <c r="G51" s="693" t="s">
        <v>210</v>
      </c>
      <c r="H51" s="167">
        <v>2</v>
      </c>
      <c r="I51" s="167"/>
      <c r="J51" s="167"/>
      <c r="K51" s="86" t="s">
        <v>210</v>
      </c>
      <c r="L51" s="154" t="s">
        <v>5881</v>
      </c>
      <c r="M51" s="2190" t="s">
        <v>5709</v>
      </c>
      <c r="N51" s="170" t="s">
        <v>5684</v>
      </c>
      <c r="O51" s="1516"/>
      <c r="P51" s="2143"/>
      <c r="Q51" s="150" t="s">
        <v>287</v>
      </c>
      <c r="R51" s="1565" t="s">
        <v>4912</v>
      </c>
      <c r="S51" s="1340">
        <v>760000</v>
      </c>
      <c r="T51" s="734"/>
      <c r="U51" s="1340">
        <v>200000</v>
      </c>
      <c r="V51" s="733"/>
      <c r="W51" s="2008">
        <f>1000000*2</f>
        <v>2000000</v>
      </c>
      <c r="X51" s="2008">
        <v>994000</v>
      </c>
      <c r="Y51" s="733"/>
      <c r="Z51" s="1416">
        <v>500000</v>
      </c>
      <c r="AA51" s="733"/>
      <c r="AB51" s="1251"/>
      <c r="AC51" s="1339">
        <f t="shared" si="9"/>
        <v>3954000</v>
      </c>
      <c r="AD51" s="736" t="s">
        <v>5502</v>
      </c>
      <c r="AE51" s="1340">
        <f>(H51*4740000+I51*4840000)*1.08+(T51*1.08)+(S51*1.08)+(U51*1.08)</f>
        <v>11275200</v>
      </c>
      <c r="AF51" s="1341">
        <f t="shared" si="8"/>
        <v>15229200</v>
      </c>
      <c r="AG51" s="1256"/>
      <c r="AI51" s="13"/>
    </row>
    <row r="52" spans="1:36" s="5" customFormat="1" ht="15.6">
      <c r="A52" s="1503">
        <f t="shared" si="10"/>
        <v>6</v>
      </c>
      <c r="B52" s="1936" t="s">
        <v>5717</v>
      </c>
      <c r="C52" s="166">
        <v>107194521450</v>
      </c>
      <c r="D52" s="386" t="s">
        <v>5685</v>
      </c>
      <c r="E52" s="179" t="s">
        <v>5692</v>
      </c>
      <c r="F52" s="1346" t="s">
        <v>4869</v>
      </c>
      <c r="G52" s="693" t="s">
        <v>206</v>
      </c>
      <c r="H52" s="167"/>
      <c r="I52" s="167"/>
      <c r="J52" s="167">
        <v>1</v>
      </c>
      <c r="K52" s="2243" t="s">
        <v>418</v>
      </c>
      <c r="L52" s="154" t="s">
        <v>5691</v>
      </c>
      <c r="M52" s="692" t="s">
        <v>5695</v>
      </c>
      <c r="N52" s="740" t="s">
        <v>5685</v>
      </c>
      <c r="O52" s="2394"/>
      <c r="P52" s="577"/>
      <c r="Q52" s="150" t="s">
        <v>287</v>
      </c>
      <c r="R52" s="1565"/>
      <c r="S52" s="1327"/>
      <c r="T52" s="734"/>
      <c r="U52" s="1453"/>
      <c r="V52" s="733"/>
      <c r="W52" s="733"/>
      <c r="X52" s="733"/>
      <c r="Y52" s="1636">
        <v>7123017</v>
      </c>
      <c r="Z52" s="1416">
        <v>13200</v>
      </c>
      <c r="AA52" s="733"/>
      <c r="AB52" s="1251"/>
      <c r="AC52" s="1339">
        <f t="shared" si="9"/>
        <v>7123017</v>
      </c>
      <c r="AD52" s="736"/>
      <c r="AE52" s="1340">
        <f>(1680000+1100000)*1.08+(T52*1.08)+(S52*1.08)+(U52*1.08)</f>
        <v>3002400</v>
      </c>
      <c r="AF52" s="1341">
        <f t="shared" si="8"/>
        <v>10125417</v>
      </c>
      <c r="AG52" s="1256"/>
      <c r="AI52" s="13"/>
    </row>
    <row r="53" spans="1:36" s="5" customFormat="1" ht="30.75" customHeight="1">
      <c r="A53" s="1503">
        <f t="shared" si="10"/>
        <v>7</v>
      </c>
      <c r="B53" s="2271" t="s">
        <v>5798</v>
      </c>
      <c r="C53" s="166">
        <v>107199814850</v>
      </c>
      <c r="D53" s="46" t="s">
        <v>5656</v>
      </c>
      <c r="E53" s="179" t="s">
        <v>5746</v>
      </c>
      <c r="F53" s="1346" t="s">
        <v>4423</v>
      </c>
      <c r="G53" s="693" t="s">
        <v>206</v>
      </c>
      <c r="H53" s="167">
        <v>1</v>
      </c>
      <c r="I53" s="167"/>
      <c r="J53" s="167"/>
      <c r="K53" s="86" t="s">
        <v>210</v>
      </c>
      <c r="L53" s="154" t="s">
        <v>5715</v>
      </c>
      <c r="M53" s="2190" t="s">
        <v>5716</v>
      </c>
      <c r="N53" s="170" t="s">
        <v>5717</v>
      </c>
      <c r="O53" s="2394"/>
      <c r="P53" s="577"/>
      <c r="Q53" s="150" t="s">
        <v>287</v>
      </c>
      <c r="R53" s="1565"/>
      <c r="S53" s="1327"/>
      <c r="T53" s="734"/>
      <c r="U53" s="1453"/>
      <c r="V53" s="733"/>
      <c r="W53" s="2015">
        <v>727000</v>
      </c>
      <c r="X53" s="2008">
        <v>1000000</v>
      </c>
      <c r="Y53" s="1636">
        <v>6820000</v>
      </c>
      <c r="Z53" s="1416">
        <v>250000</v>
      </c>
      <c r="AA53" s="733"/>
      <c r="AB53" s="1251"/>
      <c r="AC53" s="1339">
        <f t="shared" si="9"/>
        <v>8547000</v>
      </c>
      <c r="AD53" s="736"/>
      <c r="AE53" s="1340">
        <f>(H53*4740000+I53*4840000)*1.08+(T53*1.08)+(S53*1.08)+(U53*1.08)</f>
        <v>5119200</v>
      </c>
      <c r="AF53" s="1341">
        <f t="shared" si="8"/>
        <v>13666200</v>
      </c>
      <c r="AG53" s="1256"/>
      <c r="AI53" s="13"/>
    </row>
    <row r="54" spans="1:36" s="5" customFormat="1" ht="15.6">
      <c r="A54" s="1503">
        <f t="shared" si="10"/>
        <v>8</v>
      </c>
      <c r="B54" s="1556" t="s">
        <v>5714</v>
      </c>
      <c r="C54" s="1558">
        <v>307414991940</v>
      </c>
      <c r="D54" s="386" t="s">
        <v>5714</v>
      </c>
      <c r="E54" s="179" t="s">
        <v>5744</v>
      </c>
      <c r="F54" s="166" t="s">
        <v>5637</v>
      </c>
      <c r="G54" s="693" t="s">
        <v>210</v>
      </c>
      <c r="H54" s="167"/>
      <c r="I54" s="167"/>
      <c r="J54" s="167">
        <v>1</v>
      </c>
      <c r="K54" s="86" t="s">
        <v>210</v>
      </c>
      <c r="L54" s="154" t="s">
        <v>5704</v>
      </c>
      <c r="M54" s="692" t="s">
        <v>5745</v>
      </c>
      <c r="N54" s="170" t="s">
        <v>5705</v>
      </c>
      <c r="O54" s="2394"/>
      <c r="P54" s="577"/>
      <c r="Q54" s="150" t="s">
        <v>5595</v>
      </c>
      <c r="R54" s="1565" t="s">
        <v>5491</v>
      </c>
      <c r="S54" s="1340">
        <v>760000</v>
      </c>
      <c r="T54" s="734"/>
      <c r="U54" s="1453"/>
      <c r="V54" s="733"/>
      <c r="W54" s="733"/>
      <c r="X54" s="733"/>
      <c r="Y54" s="733"/>
      <c r="Z54" s="1416">
        <v>16159</v>
      </c>
      <c r="AA54" s="733"/>
      <c r="AB54" s="1251"/>
      <c r="AC54" s="1339">
        <f t="shared" ref="AC54:AC61" si="11">+SUM(V54:AB54)</f>
        <v>16159</v>
      </c>
      <c r="AD54" s="736"/>
      <c r="AE54" s="1340">
        <f>(1680000+1100000)*1.08+(T54*1.08)+(S54*1.08)+(U54*1.08)</f>
        <v>3823200</v>
      </c>
      <c r="AF54" s="1341">
        <f t="shared" si="8"/>
        <v>3839359</v>
      </c>
      <c r="AG54" s="1256"/>
      <c r="AI54" s="13"/>
    </row>
    <row r="55" spans="1:36" s="5" customFormat="1" ht="15.6">
      <c r="A55" s="1503">
        <f t="shared" si="10"/>
        <v>9</v>
      </c>
      <c r="B55" s="2271" t="s">
        <v>5802</v>
      </c>
      <c r="C55" s="1558">
        <v>307437179250</v>
      </c>
      <c r="D55" s="386" t="s">
        <v>5798</v>
      </c>
      <c r="E55" s="179" t="s">
        <v>5840</v>
      </c>
      <c r="F55" s="1536" t="s">
        <v>4432</v>
      </c>
      <c r="G55" s="693" t="s">
        <v>210</v>
      </c>
      <c r="H55" s="167">
        <v>1</v>
      </c>
      <c r="I55" s="167"/>
      <c r="J55" s="167"/>
      <c r="K55" s="86" t="s">
        <v>210</v>
      </c>
      <c r="L55" s="154" t="s">
        <v>5771</v>
      </c>
      <c r="M55" s="692" t="s">
        <v>5825</v>
      </c>
      <c r="N55" s="170" t="s">
        <v>5773</v>
      </c>
      <c r="O55" s="2394"/>
      <c r="P55" s="577"/>
      <c r="Q55" s="150" t="s">
        <v>2966</v>
      </c>
      <c r="R55" s="1565" t="s">
        <v>5489</v>
      </c>
      <c r="S55" s="1340">
        <v>760000</v>
      </c>
      <c r="T55" s="734"/>
      <c r="U55" s="1453"/>
      <c r="V55" s="733"/>
      <c r="W55" s="2008">
        <v>900000</v>
      </c>
      <c r="X55" s="2008">
        <v>497000</v>
      </c>
      <c r="Y55" s="733"/>
      <c r="Z55" s="1414">
        <v>250000</v>
      </c>
      <c r="AA55" s="733"/>
      <c r="AB55" s="1251"/>
      <c r="AC55" s="1339">
        <f t="shared" si="11"/>
        <v>1647000</v>
      </c>
      <c r="AD55" s="736"/>
      <c r="AE55" s="1340">
        <f>(H55*4740000+I55*4840000)*1.08+(T55*1.08)+(S55*1.08)+(U55*1.08)</f>
        <v>5940000</v>
      </c>
      <c r="AF55" s="1341">
        <f t="shared" si="8"/>
        <v>7587000</v>
      </c>
      <c r="AG55" s="1256"/>
      <c r="AI55" s="13"/>
    </row>
    <row r="56" spans="1:36" s="5" customFormat="1" ht="27">
      <c r="A56" s="1503">
        <f t="shared" si="10"/>
        <v>10</v>
      </c>
      <c r="B56" s="2271" t="s">
        <v>5826</v>
      </c>
      <c r="C56" s="1558">
        <v>307442504740</v>
      </c>
      <c r="D56" s="2271" t="s">
        <v>5826</v>
      </c>
      <c r="E56" s="179" t="s">
        <v>5841</v>
      </c>
      <c r="F56" s="1536" t="s">
        <v>5426</v>
      </c>
      <c r="G56" s="693" t="s">
        <v>210</v>
      </c>
      <c r="H56" s="167">
        <v>1</v>
      </c>
      <c r="I56" s="167"/>
      <c r="J56" s="167"/>
      <c r="K56" s="86" t="s">
        <v>210</v>
      </c>
      <c r="L56" s="154" t="s">
        <v>5772</v>
      </c>
      <c r="M56" s="692" t="s">
        <v>5839</v>
      </c>
      <c r="N56" s="170" t="s">
        <v>5775</v>
      </c>
      <c r="O56" s="2394"/>
      <c r="P56" s="577"/>
      <c r="Q56" s="150" t="s">
        <v>5774</v>
      </c>
      <c r="R56" s="1565" t="s">
        <v>5489</v>
      </c>
      <c r="S56" s="1340">
        <v>760000</v>
      </c>
      <c r="T56" s="734"/>
      <c r="U56" s="1453"/>
      <c r="V56" s="733"/>
      <c r="W56" s="2008">
        <v>1000000</v>
      </c>
      <c r="X56" s="2008">
        <v>408440</v>
      </c>
      <c r="Y56" s="733"/>
      <c r="Z56" s="1414">
        <v>250000</v>
      </c>
      <c r="AA56" s="733"/>
      <c r="AB56" s="1251"/>
      <c r="AC56" s="1339">
        <f t="shared" si="11"/>
        <v>1658440</v>
      </c>
      <c r="AD56" s="736" t="s">
        <v>5843</v>
      </c>
      <c r="AE56" s="1340">
        <f>(H56*4740000+I56*4840000)*1.08+(T56*1.08)+(S56*1.08)+(U56*1.08)+(240000)*1.08</f>
        <v>6199200</v>
      </c>
      <c r="AF56" s="1341">
        <f t="shared" si="8"/>
        <v>7857640</v>
      </c>
      <c r="AG56" s="1256"/>
      <c r="AI56" s="13"/>
    </row>
    <row r="57" spans="1:36" s="5" customFormat="1" ht="15.6">
      <c r="A57" s="1503">
        <f t="shared" si="10"/>
        <v>11</v>
      </c>
      <c r="B57" s="713" t="s">
        <v>5837</v>
      </c>
      <c r="C57" s="166">
        <v>107221933820</v>
      </c>
      <c r="D57" s="386" t="s">
        <v>5798</v>
      </c>
      <c r="E57" s="179" t="s">
        <v>5806</v>
      </c>
      <c r="F57" s="1346" t="s">
        <v>4736</v>
      </c>
      <c r="G57" s="693" t="s">
        <v>206</v>
      </c>
      <c r="H57" s="167"/>
      <c r="I57" s="167"/>
      <c r="J57" s="167" t="s">
        <v>128</v>
      </c>
      <c r="K57" s="2243" t="s">
        <v>418</v>
      </c>
      <c r="L57" s="154" t="s">
        <v>5807</v>
      </c>
      <c r="M57" s="692" t="s">
        <v>5842</v>
      </c>
      <c r="N57" s="151"/>
      <c r="O57" s="2421"/>
      <c r="P57" s="577"/>
      <c r="Q57" s="150" t="s">
        <v>5835</v>
      </c>
      <c r="R57" s="1565"/>
      <c r="S57" s="1327"/>
      <c r="T57" s="734"/>
      <c r="U57" s="1453"/>
      <c r="V57" s="733"/>
      <c r="W57" s="2015">
        <f>162000+324000</f>
        <v>486000</v>
      </c>
      <c r="X57" s="733"/>
      <c r="Y57" s="1636">
        <v>1393200</v>
      </c>
      <c r="Z57" s="1252"/>
      <c r="AA57" s="733"/>
      <c r="AB57" s="1251"/>
      <c r="AC57" s="1339">
        <f t="shared" si="11"/>
        <v>1879200</v>
      </c>
      <c r="AD57" s="736"/>
      <c r="AE57" s="1340">
        <f>(1100000+1480000)*1.08+(T57*1.08)+(S57*1.08)+(U57*1.08)</f>
        <v>2786400</v>
      </c>
      <c r="AF57" s="1341">
        <f t="shared" si="8"/>
        <v>4665600</v>
      </c>
      <c r="AG57" s="1256"/>
      <c r="AI57" s="13"/>
    </row>
    <row r="58" spans="1:36" ht="15.6">
      <c r="A58" s="3582" t="s">
        <v>5776</v>
      </c>
      <c r="B58" s="3583"/>
      <c r="C58" s="3583"/>
      <c r="D58" s="3583"/>
      <c r="E58" s="3583"/>
      <c r="F58" s="3583"/>
      <c r="G58" s="3583"/>
      <c r="H58" s="3583"/>
      <c r="I58" s="3583"/>
      <c r="J58" s="3583"/>
      <c r="K58" s="3583"/>
      <c r="L58" s="3584"/>
      <c r="M58" s="1440"/>
      <c r="N58" s="1278"/>
      <c r="O58" s="1607"/>
      <c r="P58" s="1278"/>
      <c r="Q58" s="1279"/>
      <c r="R58" s="1867"/>
      <c r="S58" s="1326"/>
      <c r="T58" s="1281"/>
      <c r="U58" s="1450"/>
      <c r="V58" s="1280"/>
      <c r="W58" s="1279"/>
      <c r="X58" s="1279"/>
      <c r="Y58" s="1279"/>
      <c r="Z58" s="1281"/>
      <c r="AA58" s="1279"/>
      <c r="AB58" s="1282"/>
      <c r="AC58" s="1282"/>
      <c r="AD58" s="1283"/>
      <c r="AE58" s="1284">
        <f>SUM(AE47:AE57)</f>
        <v>56419200</v>
      </c>
      <c r="AF58" s="1284">
        <f>SUM(AF47:AF57)</f>
        <v>86418016</v>
      </c>
      <c r="AG58" s="1284"/>
      <c r="AH58" s="6"/>
      <c r="AI58" s="6"/>
      <c r="AJ58" s="5"/>
    </row>
    <row r="59" spans="1:36" s="5" customFormat="1" ht="15.6">
      <c r="A59" s="1503">
        <v>1</v>
      </c>
      <c r="B59" s="711"/>
      <c r="C59" s="1558">
        <v>307388194760</v>
      </c>
      <c r="D59" s="386" t="s">
        <v>5630</v>
      </c>
      <c r="E59" s="179" t="s">
        <v>6092</v>
      </c>
      <c r="F59" s="166" t="s">
        <v>5637</v>
      </c>
      <c r="G59" s="693" t="s">
        <v>210</v>
      </c>
      <c r="H59" s="167"/>
      <c r="I59" s="167"/>
      <c r="J59" s="167">
        <v>1</v>
      </c>
      <c r="K59" s="86" t="s">
        <v>210</v>
      </c>
      <c r="L59" s="154" t="s">
        <v>5631</v>
      </c>
      <c r="M59" s="692" t="s">
        <v>5642</v>
      </c>
      <c r="N59" s="170" t="s">
        <v>5632</v>
      </c>
      <c r="O59" s="2394"/>
      <c r="P59" s="577"/>
      <c r="Q59" s="150" t="s">
        <v>5595</v>
      </c>
      <c r="R59" s="1565" t="s">
        <v>5491</v>
      </c>
      <c r="S59" s="1340">
        <v>760000</v>
      </c>
      <c r="T59" s="734"/>
      <c r="U59" s="1453"/>
      <c r="V59" s="733"/>
      <c r="W59" s="733"/>
      <c r="X59" s="733"/>
      <c r="Y59" s="733"/>
      <c r="Z59" s="1252"/>
      <c r="AA59" s="733"/>
      <c r="AB59" s="1251"/>
      <c r="AC59" s="1339">
        <f>+SUM(V59:AB59)</f>
        <v>0</v>
      </c>
      <c r="AD59" s="385" t="s">
        <v>5894</v>
      </c>
      <c r="AE59" s="1340">
        <f t="shared" ref="AE59:AE80" si="12">(H59*4740000+I59*4840000)*1.08+(T59*1.08)+(S59*1.08)+(U59*1.08)</f>
        <v>820800</v>
      </c>
      <c r="AF59" s="1341">
        <f t="shared" ref="AF59:AF81" si="13">+AC59+AE59</f>
        <v>820800</v>
      </c>
      <c r="AG59" s="1256"/>
      <c r="AI59" s="13"/>
    </row>
    <row r="60" spans="1:36" s="5" customFormat="1" ht="15.6">
      <c r="A60" s="1503">
        <v>2</v>
      </c>
      <c r="B60" s="1936" t="s">
        <v>5864</v>
      </c>
      <c r="C60" s="1558">
        <v>307453010340</v>
      </c>
      <c r="D60" s="386" t="s">
        <v>5864</v>
      </c>
      <c r="E60" s="179" t="s">
        <v>5903</v>
      </c>
      <c r="F60" s="1536" t="s">
        <v>4432</v>
      </c>
      <c r="G60" s="693" t="s">
        <v>210</v>
      </c>
      <c r="H60" s="167">
        <v>1</v>
      </c>
      <c r="I60" s="167"/>
      <c r="J60" s="167"/>
      <c r="K60" s="86" t="s">
        <v>210</v>
      </c>
      <c r="L60" s="154" t="s">
        <v>5851</v>
      </c>
      <c r="M60" s="1504" t="s">
        <v>5878</v>
      </c>
      <c r="N60" s="692" t="s">
        <v>5852</v>
      </c>
      <c r="O60" s="692" t="s">
        <v>5947</v>
      </c>
      <c r="P60" s="1472"/>
      <c r="Q60" s="150" t="s">
        <v>287</v>
      </c>
      <c r="R60" s="1565" t="s">
        <v>5489</v>
      </c>
      <c r="S60" s="1340">
        <v>760000</v>
      </c>
      <c r="T60" s="734"/>
      <c r="U60" s="1453"/>
      <c r="V60" s="733"/>
      <c r="W60" s="2008">
        <v>900000</v>
      </c>
      <c r="X60" s="2008">
        <v>497000</v>
      </c>
      <c r="Y60" s="733"/>
      <c r="Z60" s="1414">
        <v>250000</v>
      </c>
      <c r="AA60" s="733"/>
      <c r="AB60" s="1251"/>
      <c r="AC60" s="1339">
        <f t="shared" si="11"/>
        <v>1647000</v>
      </c>
      <c r="AD60" s="385"/>
      <c r="AE60" s="1340">
        <f>(H60*4740000+I60*4840000)*1.08+(T60*1.08)+(S60*1.08)+(U60*1.08)</f>
        <v>5940000</v>
      </c>
      <c r="AF60" s="1341">
        <f t="shared" si="13"/>
        <v>7587000</v>
      </c>
      <c r="AG60" s="1256"/>
      <c r="AI60" s="13"/>
    </row>
    <row r="61" spans="1:36" s="5" customFormat="1" ht="15.6">
      <c r="A61" s="1503">
        <v>3</v>
      </c>
      <c r="B61" s="2349">
        <v>45936</v>
      </c>
      <c r="C61" s="1558">
        <v>307472539860</v>
      </c>
      <c r="D61" s="386" t="s">
        <v>5887</v>
      </c>
      <c r="E61" s="179" t="s">
        <v>5951</v>
      </c>
      <c r="F61" s="1536" t="s">
        <v>4432</v>
      </c>
      <c r="G61" s="693" t="s">
        <v>210</v>
      </c>
      <c r="H61" s="167">
        <v>1</v>
      </c>
      <c r="I61" s="167"/>
      <c r="J61" s="167"/>
      <c r="K61" s="86" t="s">
        <v>210</v>
      </c>
      <c r="L61" s="2326" t="s">
        <v>5911</v>
      </c>
      <c r="M61" s="1504" t="s">
        <v>5937</v>
      </c>
      <c r="N61" s="1913" t="s">
        <v>5910</v>
      </c>
      <c r="O61" s="1913" t="s">
        <v>5946</v>
      </c>
      <c r="P61" s="1492"/>
      <c r="Q61" s="150" t="s">
        <v>287</v>
      </c>
      <c r="R61" s="1565" t="s">
        <v>4912</v>
      </c>
      <c r="S61" s="1340">
        <v>760000</v>
      </c>
      <c r="T61" s="734"/>
      <c r="U61" s="1453"/>
      <c r="V61" s="733"/>
      <c r="W61" s="2008">
        <v>900000</v>
      </c>
      <c r="X61" s="2008">
        <v>497000</v>
      </c>
      <c r="Y61" s="733"/>
      <c r="Z61" s="1414">
        <v>250000</v>
      </c>
      <c r="AA61" s="733"/>
      <c r="AB61" s="1251"/>
      <c r="AC61" s="1339">
        <f t="shared" si="11"/>
        <v>1647000</v>
      </c>
      <c r="AD61" s="385" t="s">
        <v>5959</v>
      </c>
      <c r="AE61" s="1340">
        <f>(H61*4740000+I61*4840000)*1.08+(T61*1.08)+(S61*1.08)+(U61*1.08)+(500000*1.08)</f>
        <v>6480000</v>
      </c>
      <c r="AF61" s="1341">
        <f t="shared" si="13"/>
        <v>8127000</v>
      </c>
      <c r="AG61" s="1256"/>
      <c r="AI61" s="13"/>
    </row>
    <row r="62" spans="1:36" s="5" customFormat="1" ht="26.4">
      <c r="A62" s="1503">
        <f t="shared" si="10"/>
        <v>4</v>
      </c>
      <c r="B62" s="713" t="s">
        <v>5930</v>
      </c>
      <c r="C62" s="166">
        <v>107252212060</v>
      </c>
      <c r="D62" s="386" t="s">
        <v>5876</v>
      </c>
      <c r="E62" s="179" t="s">
        <v>5952</v>
      </c>
      <c r="F62" s="1346" t="s">
        <v>4736</v>
      </c>
      <c r="G62" s="693" t="s">
        <v>206</v>
      </c>
      <c r="H62" s="167"/>
      <c r="I62" s="167"/>
      <c r="J62" s="167" t="s">
        <v>128</v>
      </c>
      <c r="K62" s="2243" t="s">
        <v>418</v>
      </c>
      <c r="L62" s="1492" t="s">
        <v>5923</v>
      </c>
      <c r="M62" s="692" t="s">
        <v>5924</v>
      </c>
      <c r="N62" s="1914"/>
      <c r="O62" s="2421"/>
      <c r="P62" s="577"/>
      <c r="Q62" s="150" t="s">
        <v>5835</v>
      </c>
      <c r="R62" s="1565"/>
      <c r="S62" s="1327"/>
      <c r="T62" s="734"/>
      <c r="U62" s="1453"/>
      <c r="V62" s="733"/>
      <c r="W62" s="2015">
        <v>324000</v>
      </c>
      <c r="X62" s="733"/>
      <c r="Y62" s="733"/>
      <c r="Z62" s="1266"/>
      <c r="AA62" s="733"/>
      <c r="AB62" s="1251"/>
      <c r="AC62" s="1339">
        <f t="shared" ref="AC62:AC83" si="14">+SUM(V62:AB62)</f>
        <v>324000</v>
      </c>
      <c r="AD62" s="1592" t="s">
        <v>5984</v>
      </c>
      <c r="AE62" s="1340">
        <f>+(1100000+1480000)*1.08</f>
        <v>2786400</v>
      </c>
      <c r="AF62" s="1341">
        <f t="shared" si="13"/>
        <v>3110400</v>
      </c>
      <c r="AG62" s="1256"/>
      <c r="AI62" s="13"/>
    </row>
    <row r="63" spans="1:36" s="5" customFormat="1" ht="26.4">
      <c r="A63" s="2579">
        <f t="shared" si="10"/>
        <v>5</v>
      </c>
      <c r="B63" s="1936" t="s">
        <v>6018</v>
      </c>
      <c r="C63" s="2580">
        <v>307496672140</v>
      </c>
      <c r="D63" s="1936" t="s">
        <v>6018</v>
      </c>
      <c r="E63" s="2581" t="s">
        <v>6091</v>
      </c>
      <c r="F63" s="2582" t="s">
        <v>5426</v>
      </c>
      <c r="G63" s="1318" t="s">
        <v>210</v>
      </c>
      <c r="H63" s="167">
        <v>1</v>
      </c>
      <c r="I63" s="167"/>
      <c r="J63" s="167"/>
      <c r="K63" s="1235" t="s">
        <v>210</v>
      </c>
      <c r="L63" s="522" t="s">
        <v>5999</v>
      </c>
      <c r="M63" s="651" t="s">
        <v>6046</v>
      </c>
      <c r="N63" s="1142" t="s">
        <v>6000</v>
      </c>
      <c r="O63" s="2583" t="s">
        <v>6035</v>
      </c>
      <c r="P63" s="577"/>
      <c r="Q63" s="150" t="s">
        <v>287</v>
      </c>
      <c r="R63" s="1565" t="s">
        <v>4912</v>
      </c>
      <c r="S63" s="1340">
        <v>760000</v>
      </c>
      <c r="T63" s="734"/>
      <c r="U63" s="1453"/>
      <c r="V63" s="733"/>
      <c r="W63" s="2008">
        <v>1000000</v>
      </c>
      <c r="X63" s="2008">
        <v>497000</v>
      </c>
      <c r="Y63" s="733"/>
      <c r="Z63" s="1414">
        <v>250000</v>
      </c>
      <c r="AA63" s="733"/>
      <c r="AB63" s="1251"/>
      <c r="AC63" s="1339">
        <f t="shared" si="14"/>
        <v>1747000</v>
      </c>
      <c r="AD63" s="736"/>
      <c r="AE63" s="1340">
        <f t="shared" si="12"/>
        <v>5940000</v>
      </c>
      <c r="AF63" s="1341">
        <f t="shared" si="13"/>
        <v>7687000</v>
      </c>
      <c r="AG63" s="1256"/>
      <c r="AI63" s="13"/>
    </row>
    <row r="64" spans="1:36" s="1303" customFormat="1" ht="26.4">
      <c r="A64" s="1639"/>
      <c r="B64" s="2584" t="s">
        <v>6122</v>
      </c>
      <c r="C64" s="2585">
        <v>307524974910</v>
      </c>
      <c r="D64" s="2584" t="s">
        <v>6122</v>
      </c>
      <c r="E64" s="2586" t="s">
        <v>6153</v>
      </c>
      <c r="F64" s="2587" t="s">
        <v>4432</v>
      </c>
      <c r="G64" s="2542" t="s">
        <v>210</v>
      </c>
      <c r="H64" s="2144">
        <v>2</v>
      </c>
      <c r="I64" s="2144"/>
      <c r="J64" s="2144"/>
      <c r="K64" s="1808" t="s">
        <v>210</v>
      </c>
      <c r="L64" s="1938" t="s">
        <v>6150</v>
      </c>
      <c r="M64" s="2588" t="s">
        <v>6149</v>
      </c>
      <c r="N64" s="2315" t="s">
        <v>6151</v>
      </c>
      <c r="O64" s="2315" t="s">
        <v>6152</v>
      </c>
      <c r="P64" s="1379"/>
      <c r="Q64" s="2533" t="s">
        <v>2966</v>
      </c>
      <c r="R64" s="2589"/>
      <c r="S64" s="1340">
        <v>760000</v>
      </c>
      <c r="T64" s="2240"/>
      <c r="U64" s="2240"/>
      <c r="V64" s="1461"/>
      <c r="W64" s="2576">
        <v>1800000</v>
      </c>
      <c r="X64" s="2008">
        <v>994000</v>
      </c>
      <c r="Y64" s="1461"/>
      <c r="Z64" s="2577">
        <v>500000</v>
      </c>
      <c r="AA64" s="1461"/>
      <c r="AB64" s="1461"/>
      <c r="AC64" s="1261">
        <f t="shared" si="14"/>
        <v>3294000</v>
      </c>
      <c r="AD64" s="1662"/>
      <c r="AE64" s="2520">
        <f t="shared" si="12"/>
        <v>11059200</v>
      </c>
      <c r="AF64" s="2590">
        <f t="shared" si="13"/>
        <v>14353200</v>
      </c>
      <c r="AG64" s="2578"/>
      <c r="AI64" s="1801"/>
    </row>
    <row r="65" spans="1:36" ht="15.6">
      <c r="A65" s="3582" t="s">
        <v>6100</v>
      </c>
      <c r="B65" s="3583"/>
      <c r="C65" s="3583"/>
      <c r="D65" s="3583"/>
      <c r="E65" s="3583"/>
      <c r="F65" s="3583"/>
      <c r="G65" s="3583"/>
      <c r="H65" s="3583"/>
      <c r="I65" s="3583"/>
      <c r="J65" s="3583"/>
      <c r="K65" s="3583"/>
      <c r="L65" s="3584"/>
      <c r="M65" s="1440"/>
      <c r="N65" s="1278"/>
      <c r="O65" s="1607"/>
      <c r="P65" s="1278"/>
      <c r="Q65" s="1279"/>
      <c r="R65" s="1867"/>
      <c r="S65" s="1326"/>
      <c r="T65" s="1281"/>
      <c r="U65" s="1450"/>
      <c r="V65" s="1280"/>
      <c r="W65" s="1279"/>
      <c r="X65" s="1279"/>
      <c r="Y65" s="1279"/>
      <c r="Z65" s="1281"/>
      <c r="AA65" s="1279"/>
      <c r="AB65" s="1282"/>
      <c r="AC65" s="1282"/>
      <c r="AD65" s="1283"/>
      <c r="AE65" s="1284">
        <f>SUM(AE53:AE63)</f>
        <v>102254400</v>
      </c>
      <c r="AF65" s="1284">
        <f>SUM(AF53:AF63)</f>
        <v>151366015</v>
      </c>
      <c r="AG65" s="1284"/>
      <c r="AH65" s="6"/>
      <c r="AI65" s="6"/>
      <c r="AJ65" s="5"/>
    </row>
    <row r="66" spans="1:36" s="1303" customFormat="1" ht="15.6">
      <c r="A66" s="1639">
        <v>1</v>
      </c>
      <c r="B66" s="1936" t="s">
        <v>6248</v>
      </c>
      <c r="C66" s="2585">
        <v>307547229200</v>
      </c>
      <c r="D66" s="2684" t="s">
        <v>6248</v>
      </c>
      <c r="E66" s="2653" t="s">
        <v>6300</v>
      </c>
      <c r="F66" s="2587" t="s">
        <v>4432</v>
      </c>
      <c r="G66" s="2595" t="s">
        <v>210</v>
      </c>
      <c r="H66" s="431">
        <v>1</v>
      </c>
      <c r="I66" s="431"/>
      <c r="J66" s="431"/>
      <c r="K66" s="595" t="s">
        <v>210</v>
      </c>
      <c r="L66" s="1304" t="s">
        <v>6179</v>
      </c>
      <c r="M66" s="1651" t="s">
        <v>6245</v>
      </c>
      <c r="N66" s="1301" t="s">
        <v>6180</v>
      </c>
      <c r="O66" s="2641" t="s">
        <v>6246</v>
      </c>
      <c r="P66" s="1379"/>
      <c r="Q66" s="2596" t="s">
        <v>287</v>
      </c>
      <c r="R66" s="2597" t="s">
        <v>4912</v>
      </c>
      <c r="S66" s="1340">
        <v>760000</v>
      </c>
      <c r="T66" s="734"/>
      <c r="U66" s="1453"/>
      <c r="V66" s="733"/>
      <c r="W66" s="2576">
        <v>900000</v>
      </c>
      <c r="X66" s="2576">
        <v>497000</v>
      </c>
      <c r="Y66" s="733"/>
      <c r="Z66" s="1416">
        <v>250000</v>
      </c>
      <c r="AA66" s="733"/>
      <c r="AB66" s="1251"/>
      <c r="AC66" s="1261">
        <f t="shared" si="14"/>
        <v>1647000</v>
      </c>
      <c r="AD66" s="736"/>
      <c r="AE66" s="2520">
        <f t="shared" si="12"/>
        <v>5940000</v>
      </c>
      <c r="AF66" s="2590">
        <f t="shared" si="13"/>
        <v>7587000</v>
      </c>
      <c r="AG66" s="1256"/>
      <c r="AI66" s="1801"/>
    </row>
    <row r="67" spans="1:36" s="5" customFormat="1" ht="27">
      <c r="A67" s="1503">
        <f>+A69+1</f>
        <v>5</v>
      </c>
      <c r="B67" s="1936" t="s">
        <v>6301</v>
      </c>
      <c r="C67" s="166">
        <v>107332135630</v>
      </c>
      <c r="D67" s="386" t="s">
        <v>6208</v>
      </c>
      <c r="E67" s="179" t="s">
        <v>6281</v>
      </c>
      <c r="F67" s="1346" t="s">
        <v>6279</v>
      </c>
      <c r="G67" s="693" t="s">
        <v>206</v>
      </c>
      <c r="H67" s="167"/>
      <c r="I67" s="167"/>
      <c r="J67" s="167">
        <v>1</v>
      </c>
      <c r="K67" s="86" t="s">
        <v>418</v>
      </c>
      <c r="L67" s="154" t="s">
        <v>6280</v>
      </c>
      <c r="M67" s="692" t="s">
        <v>6439</v>
      </c>
      <c r="N67" s="170" t="s">
        <v>6184</v>
      </c>
      <c r="O67" s="2394" t="s">
        <v>5948</v>
      </c>
      <c r="P67" s="577"/>
      <c r="Q67" s="617" t="s">
        <v>6277</v>
      </c>
      <c r="R67" s="1565"/>
      <c r="S67" s="1327"/>
      <c r="T67" s="734"/>
      <c r="U67" s="1453"/>
      <c r="V67" s="733"/>
      <c r="W67" s="1664"/>
      <c r="X67" s="1664"/>
      <c r="Y67" s="2646">
        <v>3926889</v>
      </c>
      <c r="Z67" s="1416">
        <v>3000</v>
      </c>
      <c r="AA67" s="733"/>
      <c r="AB67" s="1251"/>
      <c r="AC67" s="1339">
        <f>+SUM(V67:AB67)</f>
        <v>3929889</v>
      </c>
      <c r="AD67" s="736"/>
      <c r="AE67" s="1340">
        <f>+(1100000+1680000)*1.08</f>
        <v>3002400</v>
      </c>
      <c r="AF67" s="1341">
        <f>+AC67+AE67</f>
        <v>6932289</v>
      </c>
      <c r="AG67" s="1256"/>
      <c r="AI67" s="13"/>
    </row>
    <row r="68" spans="1:36" s="5" customFormat="1" ht="15.6">
      <c r="A68" s="1503">
        <f>+A66+1</f>
        <v>2</v>
      </c>
      <c r="B68" s="2661" t="s">
        <v>6264</v>
      </c>
      <c r="C68" s="2585">
        <v>307567908450</v>
      </c>
      <c r="D68" s="386" t="s">
        <v>6264</v>
      </c>
      <c r="E68" s="179" t="s">
        <v>6344</v>
      </c>
      <c r="F68" s="2587" t="s">
        <v>4432</v>
      </c>
      <c r="G68" s="2595" t="s">
        <v>210</v>
      </c>
      <c r="H68" s="431">
        <v>1</v>
      </c>
      <c r="I68" s="167"/>
      <c r="J68" s="167"/>
      <c r="K68" s="86" t="s">
        <v>210</v>
      </c>
      <c r="L68" s="154" t="s">
        <v>6250</v>
      </c>
      <c r="M68" s="692" t="s">
        <v>6322</v>
      </c>
      <c r="N68" s="170" t="s">
        <v>6363</v>
      </c>
      <c r="O68" s="2394" t="s">
        <v>6246</v>
      </c>
      <c r="P68" s="577"/>
      <c r="Q68" s="2533" t="s">
        <v>2966</v>
      </c>
      <c r="R68" s="1565" t="s">
        <v>5491</v>
      </c>
      <c r="S68" s="1340">
        <v>760000</v>
      </c>
      <c r="T68" s="734"/>
      <c r="U68" s="1453"/>
      <c r="V68" s="733"/>
      <c r="W68" s="2576">
        <v>900000</v>
      </c>
      <c r="X68" s="2576">
        <v>497000</v>
      </c>
      <c r="Y68" s="733"/>
      <c r="Z68" s="1416">
        <v>250000</v>
      </c>
      <c r="AA68" s="733"/>
      <c r="AB68" s="1251"/>
      <c r="AC68" s="1339">
        <f t="shared" si="14"/>
        <v>1647000</v>
      </c>
      <c r="AD68" s="736"/>
      <c r="AE68" s="1340">
        <f t="shared" si="12"/>
        <v>5940000</v>
      </c>
      <c r="AF68" s="1341">
        <f t="shared" si="13"/>
        <v>7587000</v>
      </c>
      <c r="AG68" s="1256"/>
      <c r="AI68" s="13"/>
    </row>
    <row r="69" spans="1:36" s="5" customFormat="1" ht="27">
      <c r="A69" s="1503">
        <f>+A70+1</f>
        <v>4</v>
      </c>
      <c r="B69" s="2689" t="s">
        <v>6342</v>
      </c>
      <c r="C69" s="166">
        <v>107335744831</v>
      </c>
      <c r="D69" s="386" t="s">
        <v>6244</v>
      </c>
      <c r="E69" s="179" t="s">
        <v>6278</v>
      </c>
      <c r="F69" s="1346" t="s">
        <v>4869</v>
      </c>
      <c r="G69" s="693" t="s">
        <v>206</v>
      </c>
      <c r="H69" s="167"/>
      <c r="I69" s="167"/>
      <c r="J69" s="167">
        <v>1</v>
      </c>
      <c r="K69" s="86" t="s">
        <v>418</v>
      </c>
      <c r="L69" s="154" t="s">
        <v>6276</v>
      </c>
      <c r="M69" s="692" t="s">
        <v>6440</v>
      </c>
      <c r="N69" s="170" t="s">
        <v>6158</v>
      </c>
      <c r="O69" s="2394" t="s">
        <v>6371</v>
      </c>
      <c r="P69" s="577"/>
      <c r="Q69" s="617" t="s">
        <v>6277</v>
      </c>
      <c r="R69" s="1565"/>
      <c r="S69" s="1327"/>
      <c r="T69" s="734"/>
      <c r="U69" s="1453"/>
      <c r="W69" s="2015">
        <v>64800</v>
      </c>
      <c r="X69" s="1664"/>
      <c r="Y69" s="2646">
        <v>17856710</v>
      </c>
      <c r="Z69" s="1416">
        <v>41250</v>
      </c>
      <c r="AA69" s="733"/>
      <c r="AB69" s="1251"/>
      <c r="AC69" s="1339">
        <f>+SUM(W69:AB69)</f>
        <v>17962760</v>
      </c>
      <c r="AD69" s="736"/>
      <c r="AE69" s="1340">
        <f>+(1100000+2230000)*1.08</f>
        <v>3596400.0000000005</v>
      </c>
      <c r="AF69" s="1341">
        <f>+AC69+AE69</f>
        <v>21559160</v>
      </c>
      <c r="AG69" s="1256"/>
      <c r="AI69" s="13"/>
    </row>
    <row r="70" spans="1:36" s="5" customFormat="1" ht="15.6">
      <c r="A70" s="1503">
        <f>+A68+1</f>
        <v>3</v>
      </c>
      <c r="B70" s="2689" t="s">
        <v>6342</v>
      </c>
      <c r="C70" s="2585">
        <v>307573699700</v>
      </c>
      <c r="D70" s="2689" t="s">
        <v>6342</v>
      </c>
      <c r="E70" s="2029" t="s">
        <v>6379</v>
      </c>
      <c r="F70" s="2587" t="s">
        <v>5426</v>
      </c>
      <c r="G70" s="2595" t="s">
        <v>210</v>
      </c>
      <c r="H70" s="431">
        <v>1</v>
      </c>
      <c r="I70" s="167"/>
      <c r="J70" s="167"/>
      <c r="K70" s="86" t="s">
        <v>210</v>
      </c>
      <c r="L70" s="154" t="s">
        <v>6251</v>
      </c>
      <c r="M70" s="1476" t="s">
        <v>6368</v>
      </c>
      <c r="N70" s="170" t="s">
        <v>6369</v>
      </c>
      <c r="O70" s="2394" t="s">
        <v>6370</v>
      </c>
      <c r="P70" s="577"/>
      <c r="Q70" s="150" t="s">
        <v>287</v>
      </c>
      <c r="R70" s="1565" t="s">
        <v>4912</v>
      </c>
      <c r="S70" s="1340">
        <v>760000</v>
      </c>
      <c r="T70" s="734"/>
      <c r="U70" s="1453"/>
      <c r="V70" s="733"/>
      <c r="W70" s="2576">
        <v>1000000</v>
      </c>
      <c r="X70" s="2576">
        <v>497000</v>
      </c>
      <c r="Y70" s="733"/>
      <c r="Z70" s="1416">
        <v>250000</v>
      </c>
      <c r="AA70" s="733"/>
      <c r="AB70" s="1251"/>
      <c r="AC70" s="1339">
        <f>+SUM(V70:AB70)</f>
        <v>1747000</v>
      </c>
      <c r="AD70" s="736"/>
      <c r="AE70" s="1340">
        <f>(H70*4740000+I70*4840000)*1.08+(T70*1.08)+(S70*1.08)+(U70*1.08)</f>
        <v>5940000</v>
      </c>
      <c r="AF70" s="1341">
        <f>+AC70+AE70</f>
        <v>7687000</v>
      </c>
      <c r="AG70" s="1256"/>
      <c r="AI70" s="13"/>
    </row>
    <row r="71" spans="1:36" s="5" customFormat="1" ht="27">
      <c r="A71" s="1503">
        <f>+A67+1</f>
        <v>6</v>
      </c>
      <c r="B71" s="713" t="s">
        <v>6383</v>
      </c>
      <c r="C71" s="166">
        <v>107345792740</v>
      </c>
      <c r="D71" s="386" t="s">
        <v>6264</v>
      </c>
      <c r="E71" s="179" t="s">
        <v>6319</v>
      </c>
      <c r="F71" s="1346" t="s">
        <v>6315</v>
      </c>
      <c r="G71" s="693" t="s">
        <v>206</v>
      </c>
      <c r="H71" s="167"/>
      <c r="I71" s="167"/>
      <c r="J71" s="167">
        <v>1</v>
      </c>
      <c r="K71" s="86" t="s">
        <v>210</v>
      </c>
      <c r="L71" s="154" t="s">
        <v>6316</v>
      </c>
      <c r="M71" s="692" t="s">
        <v>6317</v>
      </c>
      <c r="N71" s="170" t="s">
        <v>6318</v>
      </c>
      <c r="O71" s="1397" t="s">
        <v>6401</v>
      </c>
      <c r="P71" s="577"/>
      <c r="Q71" s="617" t="s">
        <v>6277</v>
      </c>
      <c r="R71" s="1565"/>
      <c r="S71" s="1327"/>
      <c r="T71" s="734"/>
      <c r="U71" s="1453"/>
      <c r="V71" s="733"/>
      <c r="W71" s="1664"/>
      <c r="X71" s="1664"/>
      <c r="Y71" s="2646">
        <v>16058374</v>
      </c>
      <c r="Z71" s="1416">
        <v>50772</v>
      </c>
      <c r="AA71" s="733"/>
      <c r="AB71" s="1251"/>
      <c r="AC71" s="1339">
        <f t="shared" si="14"/>
        <v>16109146</v>
      </c>
      <c r="AD71" s="736"/>
      <c r="AE71" s="1340">
        <f>+(1100000+2230000)*1.08</f>
        <v>3596400.0000000005</v>
      </c>
      <c r="AF71" s="1341">
        <f t="shared" si="13"/>
        <v>19705546</v>
      </c>
      <c r="AG71" s="1256"/>
      <c r="AI71" s="13"/>
    </row>
    <row r="72" spans="1:36" s="5" customFormat="1" ht="27">
      <c r="A72" s="1503">
        <f>+A71+1</f>
        <v>7</v>
      </c>
      <c r="B72" s="1936" t="s">
        <v>6383</v>
      </c>
      <c r="C72" s="1457">
        <v>307582306640</v>
      </c>
      <c r="D72" s="386" t="s">
        <v>6383</v>
      </c>
      <c r="E72" s="179" t="s">
        <v>6426</v>
      </c>
      <c r="F72" s="1536" t="s">
        <v>4432</v>
      </c>
      <c r="G72" s="693" t="s">
        <v>210</v>
      </c>
      <c r="H72" s="167">
        <v>2</v>
      </c>
      <c r="I72" s="167"/>
      <c r="J72" s="167"/>
      <c r="K72" s="86" t="s">
        <v>210</v>
      </c>
      <c r="L72" s="154" t="s">
        <v>6364</v>
      </c>
      <c r="M72" s="2691" t="s">
        <v>6404</v>
      </c>
      <c r="N72" s="170" t="s">
        <v>6365</v>
      </c>
      <c r="O72" s="2456" t="s">
        <v>6152</v>
      </c>
      <c r="P72" s="577"/>
      <c r="Q72" s="2533" t="s">
        <v>2966</v>
      </c>
      <c r="R72" s="1565" t="s">
        <v>4912</v>
      </c>
      <c r="S72" s="1340">
        <v>760000</v>
      </c>
      <c r="T72" s="734"/>
      <c r="U72" s="1453"/>
      <c r="V72" s="733"/>
      <c r="W72" s="2576">
        <f>900000*2</f>
        <v>1800000</v>
      </c>
      <c r="X72" s="2576">
        <v>994000</v>
      </c>
      <c r="Y72" s="733"/>
      <c r="Z72" s="1414">
        <v>500000</v>
      </c>
      <c r="AA72" s="733"/>
      <c r="AB72" s="1251"/>
      <c r="AC72" s="1339">
        <f t="shared" si="14"/>
        <v>3294000</v>
      </c>
      <c r="AD72" s="736"/>
      <c r="AE72" s="1340">
        <f t="shared" si="12"/>
        <v>11059200</v>
      </c>
      <c r="AF72" s="1341">
        <f t="shared" si="13"/>
        <v>14353200</v>
      </c>
      <c r="AG72" s="1256"/>
      <c r="AI72" s="13"/>
    </row>
    <row r="73" spans="1:36" s="5" customFormat="1" ht="15.6">
      <c r="A73" s="1503">
        <f t="shared" si="10"/>
        <v>8</v>
      </c>
      <c r="B73" s="1936" t="s">
        <v>6456</v>
      </c>
      <c r="C73" s="166">
        <v>107375799640</v>
      </c>
      <c r="D73" s="386" t="s">
        <v>6437</v>
      </c>
      <c r="E73" s="179" t="s">
        <v>6421</v>
      </c>
      <c r="F73" s="1346" t="s">
        <v>6428</v>
      </c>
      <c r="G73" s="693" t="s">
        <v>206</v>
      </c>
      <c r="H73" s="167">
        <v>1</v>
      </c>
      <c r="I73" s="167"/>
      <c r="J73" s="167"/>
      <c r="K73" s="1681" t="s">
        <v>210</v>
      </c>
      <c r="L73" s="154" t="s">
        <v>6420</v>
      </c>
      <c r="M73" s="2691" t="s">
        <v>6429</v>
      </c>
      <c r="N73" s="1516" t="s">
        <v>6441</v>
      </c>
      <c r="O73" s="1516" t="s">
        <v>6487</v>
      </c>
      <c r="P73" s="1492"/>
      <c r="Q73" s="2596" t="s">
        <v>287</v>
      </c>
      <c r="R73" s="1565"/>
      <c r="S73" s="1594"/>
      <c r="T73" s="734"/>
      <c r="U73" s="1453"/>
      <c r="V73" s="733"/>
      <c r="W73" s="2015">
        <v>497000</v>
      </c>
      <c r="X73" s="2576">
        <v>930000</v>
      </c>
      <c r="Y73" s="2646">
        <v>5634737</v>
      </c>
      <c r="Z73" s="1414">
        <v>250000</v>
      </c>
      <c r="AA73" s="733"/>
      <c r="AB73" s="1251"/>
      <c r="AC73" s="1339">
        <f t="shared" si="14"/>
        <v>7311737</v>
      </c>
      <c r="AD73" s="736"/>
      <c r="AE73" s="1340">
        <f>(H73*4740000+I73*4840000)*1.08+(T73*1.08)+(S73*1.08)+(U73*1.08)</f>
        <v>5119200</v>
      </c>
      <c r="AF73" s="1341">
        <f t="shared" si="13"/>
        <v>12430937</v>
      </c>
      <c r="AG73" s="1256"/>
      <c r="AI73" s="13"/>
    </row>
    <row r="74" spans="1:36" ht="15.6">
      <c r="A74" s="3582" t="s">
        <v>6485</v>
      </c>
      <c r="B74" s="3583"/>
      <c r="C74" s="3583"/>
      <c r="D74" s="3583"/>
      <c r="E74" s="3583"/>
      <c r="F74" s="3583"/>
      <c r="G74" s="3583"/>
      <c r="H74" s="3583"/>
      <c r="I74" s="3583"/>
      <c r="J74" s="3583"/>
      <c r="K74" s="3583"/>
      <c r="L74" s="3584"/>
      <c r="M74" s="1440"/>
      <c r="N74" s="1278"/>
      <c r="O74" s="1607"/>
      <c r="P74" s="1278"/>
      <c r="Q74" s="1279"/>
      <c r="R74" s="1867"/>
      <c r="S74" s="1326"/>
      <c r="T74" s="1281"/>
      <c r="U74" s="1450"/>
      <c r="V74" s="1280"/>
      <c r="W74" s="1279"/>
      <c r="X74" s="1279"/>
      <c r="Y74" s="1279"/>
      <c r="Z74" s="1281"/>
      <c r="AA74" s="1279"/>
      <c r="AB74" s="1282"/>
      <c r="AC74" s="1282"/>
      <c r="AD74" s="1283"/>
      <c r="AE74" s="1284">
        <f>SUM(AE66:AE73)</f>
        <v>44193600</v>
      </c>
      <c r="AF74" s="1284">
        <f>SUM(AF66:AF73)</f>
        <v>97842132</v>
      </c>
      <c r="AG74" s="1284"/>
      <c r="AH74" s="6"/>
      <c r="AI74" s="6"/>
      <c r="AJ74" s="5"/>
    </row>
    <row r="75" spans="1:36" s="5" customFormat="1" ht="15.6">
      <c r="A75" s="1503">
        <v>1</v>
      </c>
      <c r="B75" s="1936" t="s">
        <v>6532</v>
      </c>
      <c r="C75" s="179">
        <v>307633517610</v>
      </c>
      <c r="D75" s="386" t="s">
        <v>6532</v>
      </c>
      <c r="E75" s="179" t="s">
        <v>6567</v>
      </c>
      <c r="F75" s="1536" t="s">
        <v>4432</v>
      </c>
      <c r="G75" s="693" t="s">
        <v>210</v>
      </c>
      <c r="H75" s="167">
        <v>1</v>
      </c>
      <c r="I75" s="167"/>
      <c r="J75" s="167"/>
      <c r="K75" s="86" t="s">
        <v>210</v>
      </c>
      <c r="L75" s="154" t="s">
        <v>6479</v>
      </c>
      <c r="M75" s="1913" t="s">
        <v>6553</v>
      </c>
      <c r="N75" s="1516" t="s">
        <v>6480</v>
      </c>
      <c r="O75" s="1516" t="s">
        <v>6543</v>
      </c>
      <c r="P75" s="1492"/>
      <c r="Q75" s="2533" t="s">
        <v>2966</v>
      </c>
      <c r="R75" s="1565" t="s">
        <v>4912</v>
      </c>
      <c r="S75" s="1340">
        <v>760000</v>
      </c>
      <c r="T75" s="734"/>
      <c r="U75" s="1453"/>
      <c r="V75" s="733"/>
      <c r="W75" s="2576">
        <v>900000</v>
      </c>
      <c r="X75" s="2576">
        <v>497000</v>
      </c>
      <c r="Y75" s="733"/>
      <c r="Z75" s="2646">
        <v>250000</v>
      </c>
      <c r="AA75" s="733"/>
      <c r="AB75" s="1251"/>
      <c r="AC75" s="1339">
        <f t="shared" si="14"/>
        <v>1647000</v>
      </c>
      <c r="AD75" s="736"/>
      <c r="AE75" s="1340">
        <f t="shared" si="12"/>
        <v>5940000</v>
      </c>
      <c r="AF75" s="1341">
        <f t="shared" si="13"/>
        <v>7587000</v>
      </c>
      <c r="AG75" s="1256"/>
      <c r="AI75" s="13"/>
    </row>
    <row r="76" spans="1:36" s="5" customFormat="1" ht="15.6">
      <c r="A76" s="1503">
        <f t="shared" si="10"/>
        <v>2</v>
      </c>
      <c r="B76" s="656" t="s">
        <v>6565</v>
      </c>
      <c r="C76" s="179">
        <v>307646957130</v>
      </c>
      <c r="D76" s="656" t="s">
        <v>6565</v>
      </c>
      <c r="E76" s="179" t="s">
        <v>6631</v>
      </c>
      <c r="F76" s="1536" t="s">
        <v>6572</v>
      </c>
      <c r="G76" s="693" t="s">
        <v>210</v>
      </c>
      <c r="H76" s="167">
        <v>1</v>
      </c>
      <c r="I76" s="167"/>
      <c r="J76" s="167"/>
      <c r="K76" s="86" t="s">
        <v>210</v>
      </c>
      <c r="L76" s="154" t="s">
        <v>6570</v>
      </c>
      <c r="M76" s="1913" t="s">
        <v>6599</v>
      </c>
      <c r="N76" s="1516" t="s">
        <v>6571</v>
      </c>
      <c r="O76" s="1516" t="s">
        <v>6593</v>
      </c>
      <c r="P76" s="1492"/>
      <c r="Q76" s="2596" t="s">
        <v>287</v>
      </c>
      <c r="R76" s="1565" t="s">
        <v>5490</v>
      </c>
      <c r="S76" s="1340">
        <v>760000</v>
      </c>
      <c r="T76" s="734"/>
      <c r="U76" s="2768">
        <v>200000</v>
      </c>
      <c r="V76" s="733"/>
      <c r="W76" s="2576">
        <v>1000000</v>
      </c>
      <c r="X76" s="2576">
        <v>497000</v>
      </c>
      <c r="Y76" s="733"/>
      <c r="Z76" s="2646">
        <v>250000</v>
      </c>
      <c r="AA76" s="733"/>
      <c r="AB76" s="1251"/>
      <c r="AC76" s="1339">
        <f t="shared" si="14"/>
        <v>1747000</v>
      </c>
      <c r="AD76" s="736" t="s">
        <v>4678</v>
      </c>
      <c r="AE76" s="1340">
        <f t="shared" si="12"/>
        <v>6156000</v>
      </c>
      <c r="AF76" s="1341">
        <f t="shared" si="13"/>
        <v>7903000</v>
      </c>
      <c r="AG76" s="1256"/>
      <c r="AI76" s="13"/>
    </row>
    <row r="77" spans="1:36" s="5" customFormat="1" ht="27">
      <c r="A77" s="1503">
        <f t="shared" si="10"/>
        <v>3</v>
      </c>
      <c r="B77" s="656" t="s">
        <v>6611</v>
      </c>
      <c r="C77" s="1361" t="s">
        <v>6619</v>
      </c>
      <c r="D77" s="656" t="s">
        <v>6611</v>
      </c>
      <c r="E77" s="179" t="s">
        <v>6633</v>
      </c>
      <c r="F77" s="1536" t="s">
        <v>4422</v>
      </c>
      <c r="G77" s="693" t="s">
        <v>210</v>
      </c>
      <c r="H77" s="167">
        <v>2</v>
      </c>
      <c r="I77" s="167"/>
      <c r="J77" s="167"/>
      <c r="K77" s="86" t="s">
        <v>210</v>
      </c>
      <c r="L77" s="577" t="s">
        <v>6573</v>
      </c>
      <c r="M77" s="2190" t="s">
        <v>6618</v>
      </c>
      <c r="N77" s="1516" t="s">
        <v>6580</v>
      </c>
      <c r="O77" s="1516" t="s">
        <v>6626</v>
      </c>
      <c r="P77" s="2692"/>
      <c r="Q77" s="2596" t="s">
        <v>287</v>
      </c>
      <c r="R77" s="1868" t="s">
        <v>6774</v>
      </c>
      <c r="S77" s="1340">
        <f>760000*2</f>
        <v>1520000</v>
      </c>
      <c r="T77" s="734"/>
      <c r="U77" s="1453"/>
      <c r="V77" s="733"/>
      <c r="W77" s="2576">
        <v>2000000</v>
      </c>
      <c r="X77" s="2576">
        <v>994000</v>
      </c>
      <c r="Y77" s="733"/>
      <c r="Z77" s="2646">
        <v>500000</v>
      </c>
      <c r="AA77" s="733"/>
      <c r="AB77" s="1251"/>
      <c r="AC77" s="1339">
        <f t="shared" si="14"/>
        <v>3494000</v>
      </c>
      <c r="AD77" s="736"/>
      <c r="AE77" s="1340">
        <f>(H77*4740000+I77*4840000)*1.08+(T77*1.08)+(S77*1.08)+(U77*1.08)</f>
        <v>11880000</v>
      </c>
      <c r="AF77" s="1341">
        <f t="shared" si="13"/>
        <v>15374000</v>
      </c>
      <c r="AG77" s="1256"/>
      <c r="AI77" s="13"/>
    </row>
    <row r="78" spans="1:36" s="5" customFormat="1" ht="27">
      <c r="A78" s="1503">
        <f t="shared" si="10"/>
        <v>4</v>
      </c>
      <c r="B78" s="2264" t="s">
        <v>6654</v>
      </c>
      <c r="C78" s="2751" t="s">
        <v>6668</v>
      </c>
      <c r="D78" s="386" t="s">
        <v>6595</v>
      </c>
      <c r="E78" s="179" t="s">
        <v>6589</v>
      </c>
      <c r="F78" s="1346" t="s">
        <v>4423</v>
      </c>
      <c r="G78" s="693" t="s">
        <v>206</v>
      </c>
      <c r="H78" s="167">
        <v>1</v>
      </c>
      <c r="I78" s="167"/>
      <c r="J78" s="167"/>
      <c r="K78" s="1620" t="s">
        <v>136</v>
      </c>
      <c r="L78" s="154" t="s">
        <v>6584</v>
      </c>
      <c r="M78" s="1913" t="s">
        <v>6583</v>
      </c>
      <c r="N78" s="1516" t="s">
        <v>6607</v>
      </c>
      <c r="O78" s="1516" t="s">
        <v>6666</v>
      </c>
      <c r="P78" s="1492" t="s">
        <v>6642</v>
      </c>
      <c r="Q78" s="2596" t="s">
        <v>287</v>
      </c>
      <c r="R78" s="1565"/>
      <c r="S78" s="1594"/>
      <c r="T78" s="1340">
        <v>300000</v>
      </c>
      <c r="U78" s="1453"/>
      <c r="V78" s="733"/>
      <c r="W78" s="2015">
        <v>497000</v>
      </c>
      <c r="X78" s="2576">
        <v>1000000</v>
      </c>
      <c r="Y78" s="2646">
        <v>7028210</v>
      </c>
      <c r="Z78" s="2646">
        <v>250000</v>
      </c>
      <c r="AA78" s="733"/>
      <c r="AB78" s="1251"/>
      <c r="AC78" s="1339">
        <f t="shared" si="14"/>
        <v>8775210</v>
      </c>
      <c r="AD78" s="736"/>
      <c r="AE78" s="1340">
        <f t="shared" si="12"/>
        <v>5443200</v>
      </c>
      <c r="AF78" s="1341">
        <f t="shared" si="13"/>
        <v>14218410</v>
      </c>
      <c r="AG78" s="1256"/>
      <c r="AI78" s="13"/>
    </row>
    <row r="79" spans="1:36" s="5" customFormat="1" ht="27">
      <c r="A79" s="1503">
        <f t="shared" si="10"/>
        <v>5</v>
      </c>
      <c r="B79" s="2264" t="s">
        <v>6654</v>
      </c>
      <c r="C79" s="179">
        <v>307663476060</v>
      </c>
      <c r="D79" s="2264" t="s">
        <v>6654</v>
      </c>
      <c r="E79" s="179" t="s">
        <v>6671</v>
      </c>
      <c r="F79" s="1536" t="s">
        <v>4422</v>
      </c>
      <c r="G79" s="693" t="s">
        <v>210</v>
      </c>
      <c r="H79" s="167">
        <v>1</v>
      </c>
      <c r="I79" s="167"/>
      <c r="J79" s="167"/>
      <c r="K79" s="86" t="s">
        <v>210</v>
      </c>
      <c r="L79" s="154" t="s">
        <v>6627</v>
      </c>
      <c r="M79" s="1913" t="s">
        <v>6665</v>
      </c>
      <c r="N79" s="1516" t="s">
        <v>6628</v>
      </c>
      <c r="O79" s="1516" t="s">
        <v>6666</v>
      </c>
      <c r="P79" s="1492"/>
      <c r="Q79" s="2596" t="s">
        <v>287</v>
      </c>
      <c r="R79" s="1565" t="s">
        <v>4912</v>
      </c>
      <c r="S79" s="1340">
        <v>760000</v>
      </c>
      <c r="T79" s="734"/>
      <c r="U79" s="1453"/>
      <c r="V79" s="733"/>
      <c r="W79" s="2576">
        <v>1000000</v>
      </c>
      <c r="X79" s="2576">
        <v>497000</v>
      </c>
      <c r="Y79" s="733"/>
      <c r="Z79" s="2646">
        <v>250000</v>
      </c>
      <c r="AA79" s="733"/>
      <c r="AB79" s="1251"/>
      <c r="AC79" s="1339">
        <f t="shared" si="14"/>
        <v>1747000</v>
      </c>
      <c r="AD79" s="736"/>
      <c r="AE79" s="1340">
        <f t="shared" si="12"/>
        <v>5940000</v>
      </c>
      <c r="AF79" s="1341">
        <f t="shared" si="13"/>
        <v>7687000</v>
      </c>
      <c r="AG79" s="1256"/>
      <c r="AI79" s="13"/>
    </row>
    <row r="80" spans="1:36" s="5" customFormat="1" ht="27">
      <c r="A80" s="1503">
        <f t="shared" si="10"/>
        <v>6</v>
      </c>
      <c r="B80" s="1419" t="s">
        <v>6721</v>
      </c>
      <c r="C80" s="179">
        <v>307688228800</v>
      </c>
      <c r="D80" s="2264" t="s">
        <v>6721</v>
      </c>
      <c r="E80" s="179" t="s">
        <v>6775</v>
      </c>
      <c r="F80" s="1536" t="s">
        <v>4432</v>
      </c>
      <c r="G80" s="693" t="s">
        <v>210</v>
      </c>
      <c r="H80" s="167">
        <v>1</v>
      </c>
      <c r="I80" s="1642"/>
      <c r="J80" s="1642"/>
      <c r="K80" s="86" t="s">
        <v>210</v>
      </c>
      <c r="L80" s="154" t="s">
        <v>6738</v>
      </c>
      <c r="M80" s="692" t="s">
        <v>6768</v>
      </c>
      <c r="N80" s="170" t="s">
        <v>6739</v>
      </c>
      <c r="O80" s="2394" t="s">
        <v>6759</v>
      </c>
      <c r="P80" s="577"/>
      <c r="Q80" s="2596" t="s">
        <v>287</v>
      </c>
      <c r="R80" s="1565" t="s">
        <v>5489</v>
      </c>
      <c r="S80" s="1340">
        <v>760000</v>
      </c>
      <c r="T80" s="734"/>
      <c r="U80" s="1453"/>
      <c r="V80" s="733"/>
      <c r="W80" s="2576">
        <v>900000</v>
      </c>
      <c r="X80" s="2576">
        <v>497000</v>
      </c>
      <c r="Y80" s="733"/>
      <c r="Z80" s="2646">
        <v>250000</v>
      </c>
      <c r="AA80" s="733"/>
      <c r="AB80" s="1251"/>
      <c r="AC80" s="1339">
        <f t="shared" si="14"/>
        <v>1647000</v>
      </c>
      <c r="AD80" s="736"/>
      <c r="AE80" s="1340">
        <f t="shared" si="12"/>
        <v>5940000</v>
      </c>
      <c r="AF80" s="1341">
        <f t="shared" si="13"/>
        <v>7587000</v>
      </c>
      <c r="AG80" s="1256"/>
      <c r="AI80" s="13"/>
    </row>
    <row r="81" spans="1:36" s="5" customFormat="1" ht="27">
      <c r="A81" s="1503">
        <f t="shared" si="10"/>
        <v>7</v>
      </c>
      <c r="B81" s="2264" t="s">
        <v>6694</v>
      </c>
      <c r="C81" s="166">
        <v>107462368161</v>
      </c>
      <c r="D81" s="386" t="s">
        <v>6663</v>
      </c>
      <c r="E81" s="179" t="s">
        <v>6756</v>
      </c>
      <c r="F81" s="1346" t="s">
        <v>6757</v>
      </c>
      <c r="G81" s="2804" t="s">
        <v>6769</v>
      </c>
      <c r="H81" s="167">
        <v>1</v>
      </c>
      <c r="I81" s="1642"/>
      <c r="J81" s="1504"/>
      <c r="K81" s="2243" t="s">
        <v>123</v>
      </c>
      <c r="L81" s="154" t="s">
        <v>6754</v>
      </c>
      <c r="M81" s="692" t="s">
        <v>6755</v>
      </c>
      <c r="N81" s="170" t="s">
        <v>6642</v>
      </c>
      <c r="O81" s="2394" t="s">
        <v>6246</v>
      </c>
      <c r="P81" s="577" t="s">
        <v>6826</v>
      </c>
      <c r="Q81" s="2596" t="s">
        <v>287</v>
      </c>
      <c r="R81" s="1565"/>
      <c r="S81" s="1594"/>
      <c r="T81" s="734"/>
      <c r="U81" s="1453"/>
      <c r="V81" s="733"/>
      <c r="W81" s="2015">
        <v>727000</v>
      </c>
      <c r="X81" s="733"/>
      <c r="Y81" s="2646">
        <v>18403600</v>
      </c>
      <c r="Z81" s="2015">
        <v>2200000</v>
      </c>
      <c r="AA81" s="733"/>
      <c r="AB81" s="1251"/>
      <c r="AC81" s="1339">
        <f t="shared" si="14"/>
        <v>21330600</v>
      </c>
      <c r="AD81" s="736"/>
      <c r="AE81" s="1340">
        <f>(H81*5700000+I81*5700000)*1.08+(T81*1.08)+(S81*1.08)+(U81*1.08)</f>
        <v>6156000</v>
      </c>
      <c r="AF81" s="1341">
        <f t="shared" si="13"/>
        <v>27486600</v>
      </c>
      <c r="AG81" s="1256"/>
      <c r="AI81" s="13"/>
    </row>
    <row r="82" spans="1:36" s="5" customFormat="1" ht="40.200000000000003">
      <c r="A82" s="1503">
        <f t="shared" si="10"/>
        <v>8</v>
      </c>
      <c r="B82" s="2264" t="s">
        <v>6694</v>
      </c>
      <c r="C82" s="166">
        <v>107462499320</v>
      </c>
      <c r="D82" s="386" t="s">
        <v>6663</v>
      </c>
      <c r="E82" s="179" t="s">
        <v>6772</v>
      </c>
      <c r="F82" s="2812" t="s">
        <v>6773</v>
      </c>
      <c r="G82" s="693" t="s">
        <v>206</v>
      </c>
      <c r="H82" s="167">
        <v>1</v>
      </c>
      <c r="I82" s="445"/>
      <c r="J82" s="445"/>
      <c r="K82" s="2243" t="s">
        <v>123</v>
      </c>
      <c r="L82" s="154" t="s">
        <v>6771</v>
      </c>
      <c r="M82" s="692" t="s">
        <v>6770</v>
      </c>
      <c r="N82" s="170" t="s">
        <v>6643</v>
      </c>
      <c r="O82" s="2394" t="s">
        <v>6246</v>
      </c>
      <c r="P82" s="577" t="s">
        <v>6825</v>
      </c>
      <c r="Q82" s="2596" t="s">
        <v>287</v>
      </c>
      <c r="R82" s="1565"/>
      <c r="S82" s="1594"/>
      <c r="T82" s="734"/>
      <c r="U82" s="1453"/>
      <c r="V82" s="733"/>
      <c r="W82" s="2015">
        <v>497000</v>
      </c>
      <c r="X82" s="733"/>
      <c r="Y82" s="2646">
        <v>6284000</v>
      </c>
      <c r="Z82" s="2015">
        <v>250000</v>
      </c>
      <c r="AA82" s="733"/>
      <c r="AB82" s="1251"/>
      <c r="AC82" s="1339">
        <f t="shared" si="14"/>
        <v>7031000</v>
      </c>
      <c r="AD82" s="736"/>
      <c r="AE82" s="1340">
        <f t="shared" ref="AE82:AE83" si="15">(H82*4740000+I82*4840000)*1.08+(T82*1.08)+(S82*1.08)+(U82*1.08)</f>
        <v>5119200</v>
      </c>
      <c r="AF82" s="1341">
        <f t="shared" ref="AF82:AF83" si="16">+AC82+AE82</f>
        <v>12150200</v>
      </c>
      <c r="AG82" s="1256"/>
      <c r="AI82" s="13"/>
    </row>
    <row r="83" spans="1:36" s="5" customFormat="1" ht="15.6">
      <c r="A83" s="1503">
        <f t="shared" si="10"/>
        <v>9</v>
      </c>
      <c r="B83" s="2062" t="s">
        <v>6859</v>
      </c>
      <c r="C83" s="166">
        <v>107462696240</v>
      </c>
      <c r="D83" s="386" t="s">
        <v>6663</v>
      </c>
      <c r="E83" s="179" t="s">
        <v>6777</v>
      </c>
      <c r="F83" s="1346" t="s">
        <v>6781</v>
      </c>
      <c r="G83" s="693" t="s">
        <v>206</v>
      </c>
      <c r="H83" s="167">
        <v>1</v>
      </c>
      <c r="I83" s="167"/>
      <c r="J83" s="167"/>
      <c r="K83" s="86" t="s">
        <v>210</v>
      </c>
      <c r="L83" s="154" t="s">
        <v>6776</v>
      </c>
      <c r="M83" s="692" t="s">
        <v>6778</v>
      </c>
      <c r="N83" s="170" t="s">
        <v>6838</v>
      </c>
      <c r="O83" s="2394" t="s">
        <v>6593</v>
      </c>
      <c r="P83" s="577"/>
      <c r="Q83" s="2596" t="s">
        <v>287</v>
      </c>
      <c r="R83" s="1565"/>
      <c r="S83" s="1327"/>
      <c r="T83" s="734"/>
      <c r="U83" s="1453"/>
      <c r="V83" s="733"/>
      <c r="W83" s="2015">
        <v>497000</v>
      </c>
      <c r="X83" s="2576">
        <v>999000</v>
      </c>
      <c r="Y83" s="2646">
        <v>7561382</v>
      </c>
      <c r="Z83" s="2015">
        <v>250000</v>
      </c>
      <c r="AA83" s="733"/>
      <c r="AB83" s="1251"/>
      <c r="AC83" s="1339">
        <f t="shared" si="14"/>
        <v>9307382</v>
      </c>
      <c r="AD83" s="736" t="s">
        <v>7237</v>
      </c>
      <c r="AE83" s="1340">
        <f t="shared" si="15"/>
        <v>5119200</v>
      </c>
      <c r="AF83" s="1341">
        <f t="shared" si="16"/>
        <v>14426582</v>
      </c>
      <c r="AG83" s="1256"/>
      <c r="AI83" s="13"/>
    </row>
    <row r="84" spans="1:36" ht="15.6">
      <c r="A84" s="3582" t="s">
        <v>6848</v>
      </c>
      <c r="B84" s="3583"/>
      <c r="C84" s="3583"/>
      <c r="D84" s="3583"/>
      <c r="E84" s="3583"/>
      <c r="F84" s="3583"/>
      <c r="G84" s="3583"/>
      <c r="H84" s="3583"/>
      <c r="I84" s="3583"/>
      <c r="J84" s="3583"/>
      <c r="K84" s="3583"/>
      <c r="L84" s="3584"/>
      <c r="M84" s="1440"/>
      <c r="N84" s="1278"/>
      <c r="O84" s="1607"/>
      <c r="P84" s="1278"/>
      <c r="Q84" s="1279"/>
      <c r="R84" s="1867"/>
      <c r="S84" s="1326"/>
      <c r="T84" s="1281"/>
      <c r="U84" s="1450"/>
      <c r="V84" s="1280"/>
      <c r="W84" s="1279"/>
      <c r="X84" s="1279"/>
      <c r="Y84" s="1279"/>
      <c r="Z84" s="1281"/>
      <c r="AA84" s="1279"/>
      <c r="AB84" s="1282"/>
      <c r="AC84" s="1282"/>
      <c r="AD84" s="1283"/>
      <c r="AE84" s="1284">
        <f>SUM(AE76:AE83)</f>
        <v>51753600</v>
      </c>
      <c r="AF84" s="1284">
        <f>SUM(AF76:AF83)</f>
        <v>106832792</v>
      </c>
      <c r="AG84" s="1284"/>
      <c r="AH84" s="6"/>
      <c r="AI84" s="6"/>
      <c r="AJ84" s="5"/>
    </row>
    <row r="85" spans="1:36" s="5" customFormat="1" ht="27">
      <c r="A85" s="1503">
        <v>1</v>
      </c>
      <c r="B85" s="2264" t="s">
        <v>6901</v>
      </c>
      <c r="C85" s="2029">
        <v>307737441120</v>
      </c>
      <c r="D85" s="2264" t="s">
        <v>6901</v>
      </c>
      <c r="E85" s="179" t="s">
        <v>6928</v>
      </c>
      <c r="F85" s="1536" t="s">
        <v>4432</v>
      </c>
      <c r="G85" s="693" t="s">
        <v>210</v>
      </c>
      <c r="H85" s="167">
        <v>2</v>
      </c>
      <c r="I85" s="167"/>
      <c r="J85" s="167"/>
      <c r="K85" s="86" t="s">
        <v>210</v>
      </c>
      <c r="L85" s="154" t="s">
        <v>6856</v>
      </c>
      <c r="M85" s="1522" t="s">
        <v>6919</v>
      </c>
      <c r="N85" s="170" t="s">
        <v>6888</v>
      </c>
      <c r="O85" s="2394" t="s">
        <v>6487</v>
      </c>
      <c r="P85" s="577"/>
      <c r="Q85" s="2596" t="s">
        <v>287</v>
      </c>
      <c r="R85" s="1565" t="s">
        <v>5489</v>
      </c>
      <c r="S85" s="1340">
        <v>760000</v>
      </c>
      <c r="T85" s="734"/>
      <c r="U85" s="1453"/>
      <c r="V85" s="733"/>
      <c r="W85" s="2576">
        <f>900000*2</f>
        <v>1800000</v>
      </c>
      <c r="X85" s="2576">
        <v>994000</v>
      </c>
      <c r="Y85" s="733"/>
      <c r="Z85" s="2646">
        <v>500000</v>
      </c>
      <c r="AA85" s="733"/>
      <c r="AB85" s="1251"/>
      <c r="AC85" s="1339">
        <f t="shared" ref="AC85" si="17">+SUM(V85:AB85)</f>
        <v>3294000</v>
      </c>
      <c r="AD85" s="736"/>
      <c r="AE85" s="1340">
        <f>(H85*4740000+I85*4840000)*1.08+(T85*1.08)+(S85*1.08)+(U85*1.08)</f>
        <v>11059200</v>
      </c>
      <c r="AF85" s="1341">
        <f t="shared" ref="AF85" si="18">+AC85+AE85</f>
        <v>14353200</v>
      </c>
      <c r="AG85" s="1256"/>
      <c r="AI85" s="13"/>
    </row>
    <row r="86" spans="1:36" s="5" customFormat="1" ht="27">
      <c r="A86" s="1503">
        <f t="shared" si="10"/>
        <v>2</v>
      </c>
      <c r="B86" s="2264" t="s">
        <v>6957</v>
      </c>
      <c r="C86" s="166">
        <v>107503575540</v>
      </c>
      <c r="D86" s="2264" t="s">
        <v>6901</v>
      </c>
      <c r="E86" s="179" t="s">
        <v>6906</v>
      </c>
      <c r="F86" s="1346" t="s">
        <v>6781</v>
      </c>
      <c r="G86" s="693" t="s">
        <v>1300</v>
      </c>
      <c r="H86" s="167"/>
      <c r="I86" s="167">
        <v>1</v>
      </c>
      <c r="J86" s="167"/>
      <c r="K86" s="86" t="s">
        <v>210</v>
      </c>
      <c r="L86" s="154" t="s">
        <v>6904</v>
      </c>
      <c r="M86" s="692" t="s">
        <v>6905</v>
      </c>
      <c r="N86" s="170" t="s">
        <v>6829</v>
      </c>
      <c r="O86" s="2394" t="s">
        <v>6543</v>
      </c>
      <c r="P86" s="577" t="s">
        <v>6957</v>
      </c>
      <c r="Q86" s="2596" t="s">
        <v>287</v>
      </c>
      <c r="R86" s="1565"/>
      <c r="S86" s="1327"/>
      <c r="T86" s="734"/>
      <c r="U86" s="1453"/>
      <c r="V86" s="733"/>
      <c r="W86" s="2015">
        <v>1509000</v>
      </c>
      <c r="X86" s="2576">
        <v>1500000</v>
      </c>
      <c r="Y86" s="2646">
        <v>11681366</v>
      </c>
      <c r="Z86" s="2646">
        <v>500000</v>
      </c>
      <c r="AA86" s="733"/>
      <c r="AB86" s="1251"/>
      <c r="AC86" s="1339">
        <f t="shared" ref="AC86:AC97" si="19">+SUM(V86:AB86)</f>
        <v>15190366</v>
      </c>
      <c r="AD86" s="736"/>
      <c r="AE86" s="1340">
        <f t="shared" ref="AE86" si="20">(H86*4740000+I86*4840000)*1.08+(T86*1.08)+(S86*1.08)+(U86*1.08)</f>
        <v>5227200</v>
      </c>
      <c r="AF86" s="1341">
        <f t="shared" ref="AF86:AF93" si="21">+AC86+AE86</f>
        <v>20417566</v>
      </c>
      <c r="AG86" s="1256"/>
      <c r="AI86" s="13"/>
    </row>
    <row r="87" spans="1:36" s="5" customFormat="1" ht="27">
      <c r="A87" s="1503">
        <f t="shared" si="10"/>
        <v>3</v>
      </c>
      <c r="B87" s="2264" t="s">
        <v>7031</v>
      </c>
      <c r="C87" s="2029">
        <v>307769149501</v>
      </c>
      <c r="D87" s="2016" t="s">
        <v>7040</v>
      </c>
      <c r="E87" s="179" t="s">
        <v>7056</v>
      </c>
      <c r="F87" s="1536" t="s">
        <v>4432</v>
      </c>
      <c r="G87" s="2888" t="s">
        <v>6958</v>
      </c>
      <c r="H87" s="167">
        <v>1</v>
      </c>
      <c r="I87" s="167"/>
      <c r="J87" s="167"/>
      <c r="K87" s="2914" t="s">
        <v>136</v>
      </c>
      <c r="L87" s="154" t="s">
        <v>6959</v>
      </c>
      <c r="M87" s="692" t="s">
        <v>7041</v>
      </c>
      <c r="N87" s="170" t="s">
        <v>7042</v>
      </c>
      <c r="O87" s="2394" t="s">
        <v>6543</v>
      </c>
      <c r="P87" s="577"/>
      <c r="Q87" s="2596" t="s">
        <v>287</v>
      </c>
      <c r="R87" s="1565"/>
      <c r="S87" s="1327"/>
      <c r="T87" s="734"/>
      <c r="U87" s="1453"/>
      <c r="V87" s="733"/>
      <c r="W87" s="2576">
        <v>900000</v>
      </c>
      <c r="X87" s="2576">
        <v>497000</v>
      </c>
      <c r="Y87" s="733"/>
      <c r="Z87" s="1252"/>
      <c r="AA87" s="733"/>
      <c r="AB87" s="1251"/>
      <c r="AC87" s="1339">
        <f t="shared" si="19"/>
        <v>1397000</v>
      </c>
      <c r="AD87" s="736"/>
      <c r="AE87" s="1340">
        <f>(H87*5700000+I87*5700000)*1.08+(T87*1.08)+(S87*1.08)+(U87*1.08)</f>
        <v>6156000</v>
      </c>
      <c r="AF87" s="1341">
        <f t="shared" si="21"/>
        <v>7553000</v>
      </c>
      <c r="AG87" s="1256"/>
      <c r="AI87" s="13"/>
    </row>
    <row r="88" spans="1:36" s="5" customFormat="1" ht="15.6">
      <c r="A88" s="1503">
        <f t="shared" si="10"/>
        <v>4</v>
      </c>
      <c r="B88" s="2264" t="s">
        <v>7031</v>
      </c>
      <c r="C88" s="166">
        <v>107529440210</v>
      </c>
      <c r="D88" s="386" t="s">
        <v>6988</v>
      </c>
      <c r="E88" s="179" t="s">
        <v>7046</v>
      </c>
      <c r="F88" s="1346" t="s">
        <v>4736</v>
      </c>
      <c r="G88" s="693" t="s">
        <v>1300</v>
      </c>
      <c r="H88" s="167"/>
      <c r="I88" s="167"/>
      <c r="J88" s="167" t="s">
        <v>128</v>
      </c>
      <c r="K88" s="2243" t="s">
        <v>123</v>
      </c>
      <c r="L88" s="154" t="s">
        <v>7007</v>
      </c>
      <c r="M88" s="692" t="s">
        <v>7106</v>
      </c>
      <c r="N88" s="1472"/>
      <c r="O88" s="2394" t="s">
        <v>5948</v>
      </c>
      <c r="P88" s="577"/>
      <c r="Q88" s="150" t="s">
        <v>5026</v>
      </c>
      <c r="R88" s="1565"/>
      <c r="S88" s="1327"/>
      <c r="T88" s="734"/>
      <c r="U88" s="1453"/>
      <c r="V88" s="2015">
        <v>324000</v>
      </c>
      <c r="W88" s="733"/>
      <c r="X88" s="733"/>
      <c r="Y88" s="733"/>
      <c r="Z88" s="1252"/>
      <c r="AA88" s="733"/>
      <c r="AB88" s="1251"/>
      <c r="AC88" s="1339">
        <f t="shared" si="19"/>
        <v>324000</v>
      </c>
      <c r="AD88" s="736"/>
      <c r="AE88" s="1340">
        <f>+(1100000+1480000)*1.08+(T88*1.08)+(S88*1.08)+(U88*1.08)</f>
        <v>2786400</v>
      </c>
      <c r="AF88" s="1341">
        <f t="shared" si="21"/>
        <v>3110400</v>
      </c>
      <c r="AG88" s="1256"/>
      <c r="AI88" s="13"/>
    </row>
    <row r="89" spans="1:36" s="5" customFormat="1" ht="27">
      <c r="A89" s="1503">
        <f t="shared" si="10"/>
        <v>5</v>
      </c>
      <c r="B89" s="2264" t="s">
        <v>7080</v>
      </c>
      <c r="C89" s="179">
        <v>307791726450</v>
      </c>
      <c r="D89" s="386" t="s">
        <v>7080</v>
      </c>
      <c r="E89" s="179" t="s">
        <v>7103</v>
      </c>
      <c r="F89" s="1346"/>
      <c r="G89" s="693" t="s">
        <v>210</v>
      </c>
      <c r="H89" s="167"/>
      <c r="I89" s="167"/>
      <c r="J89" s="167">
        <v>1</v>
      </c>
      <c r="K89" s="86" t="s">
        <v>210</v>
      </c>
      <c r="L89" s="154" t="s">
        <v>7090</v>
      </c>
      <c r="M89" s="692" t="s">
        <v>7105</v>
      </c>
      <c r="N89" s="170" t="s">
        <v>7091</v>
      </c>
      <c r="O89" s="2394" t="s">
        <v>7102</v>
      </c>
      <c r="P89" s="577"/>
      <c r="Q89" s="2925" t="s">
        <v>6964</v>
      </c>
      <c r="R89" s="1565" t="s">
        <v>5491</v>
      </c>
      <c r="S89" s="1340">
        <v>760000</v>
      </c>
      <c r="T89" s="734"/>
      <c r="U89" s="2768">
        <v>200000</v>
      </c>
      <c r="V89" s="733"/>
      <c r="W89" s="733"/>
      <c r="X89" s="733"/>
      <c r="Y89" s="733"/>
      <c r="Z89" s="2646">
        <v>43343</v>
      </c>
      <c r="AA89" s="733"/>
      <c r="AB89" s="1251"/>
      <c r="AC89" s="1339">
        <f>+SUM(V89:AB89)</f>
        <v>43343</v>
      </c>
      <c r="AD89" s="736"/>
      <c r="AE89" s="1340">
        <f>+(1100000+2230000)*1.08+(T89*1.08)+(S89*1.08)+(U89*1.08)</f>
        <v>4633200</v>
      </c>
      <c r="AF89" s="1341">
        <f>+AC89+AE89</f>
        <v>4676543</v>
      </c>
      <c r="AG89" s="1256"/>
      <c r="AI89" s="13"/>
    </row>
    <row r="90" spans="1:36" s="5" customFormat="1" ht="27">
      <c r="A90" s="1503">
        <f>+A89+1</f>
        <v>6</v>
      </c>
      <c r="B90" s="2264" t="s">
        <v>7108</v>
      </c>
      <c r="C90" s="1361" t="s">
        <v>7131</v>
      </c>
      <c r="D90" s="2264" t="s">
        <v>7108</v>
      </c>
      <c r="E90" s="179" t="s">
        <v>7132</v>
      </c>
      <c r="F90" s="1536" t="s">
        <v>4432</v>
      </c>
      <c r="G90" s="693" t="s">
        <v>210</v>
      </c>
      <c r="H90" s="167">
        <v>2</v>
      </c>
      <c r="I90" s="1504"/>
      <c r="J90" s="710"/>
      <c r="K90" s="86" t="s">
        <v>210</v>
      </c>
      <c r="L90" s="154" t="s">
        <v>7113</v>
      </c>
      <c r="M90" s="1522" t="s">
        <v>7128</v>
      </c>
      <c r="N90" s="740" t="s">
        <v>7097</v>
      </c>
      <c r="O90" s="2394" t="s">
        <v>7129</v>
      </c>
      <c r="P90" s="577"/>
      <c r="Q90" s="2533" t="s">
        <v>2966</v>
      </c>
      <c r="R90" s="1868" t="s">
        <v>7130</v>
      </c>
      <c r="S90" s="1340">
        <f>760000*2</f>
        <v>1520000</v>
      </c>
      <c r="T90" s="1340">
        <v>300000</v>
      </c>
      <c r="U90" s="1453"/>
      <c r="V90" s="733"/>
      <c r="W90" s="2576">
        <f>900000*2</f>
        <v>1800000</v>
      </c>
      <c r="X90" s="2576">
        <v>994000</v>
      </c>
      <c r="Y90" s="733"/>
      <c r="Z90" s="2015">
        <v>500000</v>
      </c>
      <c r="AA90" s="733"/>
      <c r="AB90" s="1251"/>
      <c r="AC90" s="1339">
        <f t="shared" si="19"/>
        <v>3294000</v>
      </c>
      <c r="AD90" s="736"/>
      <c r="AE90" s="1340">
        <f>(H90*4740000+I90*4840000)*1.08+(T90*1.08)+(S90*1.08)+(U90*1.08)</f>
        <v>12204000</v>
      </c>
      <c r="AF90" s="1341">
        <f t="shared" ref="AF90:AF91" si="22">+AC90+AE90</f>
        <v>15498000</v>
      </c>
      <c r="AG90" s="1256"/>
      <c r="AI90" s="13"/>
    </row>
    <row r="91" spans="1:36" s="5" customFormat="1" ht="27">
      <c r="A91" s="1503">
        <f>+A90+1</f>
        <v>7</v>
      </c>
      <c r="B91" s="2264" t="s">
        <v>7112</v>
      </c>
      <c r="C91" s="179">
        <v>307807942210</v>
      </c>
      <c r="D91" s="386" t="s">
        <v>7112</v>
      </c>
      <c r="E91" s="179" t="s">
        <v>7158</v>
      </c>
      <c r="F91" s="1536" t="s">
        <v>4432</v>
      </c>
      <c r="G91" s="693" t="s">
        <v>210</v>
      </c>
      <c r="H91" s="167">
        <v>2</v>
      </c>
      <c r="I91" s="1504"/>
      <c r="J91" s="710"/>
      <c r="K91" s="86" t="s">
        <v>210</v>
      </c>
      <c r="L91" s="154" t="s">
        <v>7127</v>
      </c>
      <c r="M91" s="1522" t="s">
        <v>7157</v>
      </c>
      <c r="N91" s="740" t="s">
        <v>7143</v>
      </c>
      <c r="O91" s="2394" t="s">
        <v>6152</v>
      </c>
      <c r="P91" s="577"/>
      <c r="Q91" s="2533" t="s">
        <v>2966</v>
      </c>
      <c r="R91" s="1565" t="s">
        <v>5489</v>
      </c>
      <c r="S91" s="1340">
        <v>760000</v>
      </c>
      <c r="T91" s="734"/>
      <c r="U91" s="1453"/>
      <c r="V91" s="733"/>
      <c r="W91" s="2576">
        <f>900000*2</f>
        <v>1800000</v>
      </c>
      <c r="X91" s="2576">
        <v>994000</v>
      </c>
      <c r="Y91" s="733"/>
      <c r="Z91" s="2015">
        <v>500000</v>
      </c>
      <c r="AA91" s="733"/>
      <c r="AB91" s="1251"/>
      <c r="AC91" s="1339">
        <f t="shared" si="19"/>
        <v>3294000</v>
      </c>
      <c r="AD91" s="736"/>
      <c r="AE91" s="1340">
        <f>(H91*4740000+I91*4840000)*1.08+(T91*1.08)+(S91*1.08)+(U91*1.08)</f>
        <v>11059200</v>
      </c>
      <c r="AF91" s="1341">
        <f t="shared" si="22"/>
        <v>14353200</v>
      </c>
      <c r="AG91" s="1256"/>
      <c r="AI91" s="13"/>
    </row>
    <row r="92" spans="1:36" ht="15.6">
      <c r="A92" s="3388" t="s">
        <v>7096</v>
      </c>
      <c r="B92" s="3679"/>
      <c r="C92" s="3679"/>
      <c r="D92" s="3679"/>
      <c r="E92" s="3679"/>
      <c r="F92" s="3679"/>
      <c r="G92" s="3679"/>
      <c r="H92" s="3679"/>
      <c r="I92" s="3679"/>
      <c r="J92" s="3679"/>
      <c r="K92" s="3679"/>
      <c r="L92" s="3680"/>
      <c r="M92" s="1440"/>
      <c r="N92" s="1278"/>
      <c r="O92" s="1607"/>
      <c r="P92" s="1278"/>
      <c r="Q92" s="1279"/>
      <c r="R92" s="1867"/>
      <c r="S92" s="1326"/>
      <c r="T92" s="1281"/>
      <c r="U92" s="1450"/>
      <c r="V92" s="1280"/>
      <c r="W92" s="1279"/>
      <c r="X92" s="1279"/>
      <c r="Y92" s="1279"/>
      <c r="Z92" s="1279"/>
      <c r="AA92" s="1279"/>
      <c r="AB92" s="1282"/>
      <c r="AC92" s="1282"/>
      <c r="AD92" s="1283"/>
      <c r="AE92" s="1284">
        <f>SUM(AE82:AE89)</f>
        <v>91854000</v>
      </c>
      <c r="AF92" s="1284">
        <f>SUM(AF82:AF89)</f>
        <v>183520283</v>
      </c>
      <c r="AG92" s="1284"/>
      <c r="AH92" s="6"/>
      <c r="AI92" s="6"/>
      <c r="AJ92" s="5"/>
    </row>
    <row r="93" spans="1:36" s="5" customFormat="1" ht="27">
      <c r="A93" s="1503">
        <v>1</v>
      </c>
      <c r="B93" s="1329" t="s">
        <v>7203</v>
      </c>
      <c r="C93" s="179">
        <v>307822029340</v>
      </c>
      <c r="D93" s="386" t="s">
        <v>7203</v>
      </c>
      <c r="E93" s="179" t="s">
        <v>7260</v>
      </c>
      <c r="F93" s="1536" t="s">
        <v>4432</v>
      </c>
      <c r="G93" s="693" t="s">
        <v>210</v>
      </c>
      <c r="H93" s="167">
        <v>2</v>
      </c>
      <c r="I93" s="167"/>
      <c r="J93" s="167"/>
      <c r="K93" s="86" t="s">
        <v>210</v>
      </c>
      <c r="L93" s="154" t="s">
        <v>7141</v>
      </c>
      <c r="M93" s="1522" t="s">
        <v>7217</v>
      </c>
      <c r="N93" s="170" t="s">
        <v>7142</v>
      </c>
      <c r="O93" s="2394" t="s">
        <v>7202</v>
      </c>
      <c r="P93" s="577"/>
      <c r="Q93" s="150" t="s">
        <v>287</v>
      </c>
      <c r="R93" s="1565" t="s">
        <v>5489</v>
      </c>
      <c r="S93" s="1340">
        <v>760000</v>
      </c>
      <c r="T93" s="734"/>
      <c r="U93" s="1453"/>
      <c r="V93" s="733"/>
      <c r="W93" s="2008">
        <f>900000*2</f>
        <v>1800000</v>
      </c>
      <c r="X93" s="2008">
        <v>994000</v>
      </c>
      <c r="Y93" s="733"/>
      <c r="Z93" s="1416">
        <v>500000</v>
      </c>
      <c r="AA93" s="733"/>
      <c r="AB93" s="1251"/>
      <c r="AC93" s="1339">
        <f t="shared" si="19"/>
        <v>3294000</v>
      </c>
      <c r="AD93" s="736"/>
      <c r="AE93" s="1340">
        <f>(H93*4740000+I93*4840000)*1.08+(T93*1.08)+(S93*1.08)+(U93*1.08)</f>
        <v>11059200</v>
      </c>
      <c r="AF93" s="1341">
        <f t="shared" si="21"/>
        <v>14353200</v>
      </c>
      <c r="AG93" s="1256"/>
      <c r="AI93" s="13"/>
    </row>
    <row r="94" spans="1:36" s="5" customFormat="1" ht="27">
      <c r="A94" s="1503">
        <f t="shared" si="10"/>
        <v>2</v>
      </c>
      <c r="B94" s="2264" t="s">
        <v>7109</v>
      </c>
      <c r="C94" s="1361" t="s">
        <v>7275</v>
      </c>
      <c r="D94" s="2264" t="s">
        <v>7109</v>
      </c>
      <c r="E94" s="179" t="s">
        <v>7285</v>
      </c>
      <c r="F94" s="1536" t="s">
        <v>4976</v>
      </c>
      <c r="G94" s="693" t="s">
        <v>210</v>
      </c>
      <c r="H94" s="167">
        <v>1</v>
      </c>
      <c r="I94" s="167"/>
      <c r="J94" s="167"/>
      <c r="K94" s="86" t="s">
        <v>210</v>
      </c>
      <c r="L94" s="154" t="s">
        <v>7231</v>
      </c>
      <c r="M94" s="1522" t="s">
        <v>7274</v>
      </c>
      <c r="N94" s="170" t="s">
        <v>7232</v>
      </c>
      <c r="O94" s="2394" t="s">
        <v>6543</v>
      </c>
      <c r="P94" s="577"/>
      <c r="Q94" s="150" t="s">
        <v>2966</v>
      </c>
      <c r="R94" s="1868" t="s">
        <v>7467</v>
      </c>
      <c r="S94" s="1340">
        <f>760000*2</f>
        <v>1520000</v>
      </c>
      <c r="T94" s="1340">
        <v>300000</v>
      </c>
      <c r="U94" s="1453"/>
      <c r="V94" s="733"/>
      <c r="W94" s="2008">
        <v>900000</v>
      </c>
      <c r="X94" s="2008">
        <v>497000</v>
      </c>
      <c r="Y94" s="733"/>
      <c r="Z94" s="1416">
        <v>250000</v>
      </c>
      <c r="AA94" s="1608"/>
      <c r="AB94" s="1251"/>
      <c r="AC94" s="1339">
        <f t="shared" si="19"/>
        <v>1647000</v>
      </c>
      <c r="AD94" s="736"/>
      <c r="AE94" s="1340">
        <f t="shared" ref="AE94:AE97" si="23">(H94*4740000+I94*4840000)*1.08+(T94*1.08)+(S94*1.08)+(U94*1.08)</f>
        <v>7084800</v>
      </c>
      <c r="AF94" s="1341">
        <f t="shared" ref="AF94:AF97" si="24">+AC94+AE94</f>
        <v>8731800</v>
      </c>
      <c r="AG94" s="1256"/>
      <c r="AI94" s="13"/>
    </row>
    <row r="95" spans="1:36" s="5" customFormat="1" ht="15.6">
      <c r="A95" s="1503">
        <f t="shared" si="10"/>
        <v>3</v>
      </c>
      <c r="B95" s="2264" t="s">
        <v>7168</v>
      </c>
      <c r="C95" s="166">
        <v>107586202400</v>
      </c>
      <c r="D95" s="386" t="s">
        <v>7224</v>
      </c>
      <c r="E95" s="179" t="s">
        <v>7246</v>
      </c>
      <c r="F95" s="2966" t="s">
        <v>4423</v>
      </c>
      <c r="G95" s="693" t="s">
        <v>1300</v>
      </c>
      <c r="H95" s="167">
        <v>1</v>
      </c>
      <c r="I95" s="167"/>
      <c r="J95" s="167"/>
      <c r="K95" s="86" t="s">
        <v>210</v>
      </c>
      <c r="L95" s="5" t="s">
        <v>7247</v>
      </c>
      <c r="M95" s="692" t="s">
        <v>7248</v>
      </c>
      <c r="N95" s="151"/>
      <c r="O95" s="2394" t="s">
        <v>7468</v>
      </c>
      <c r="P95" s="577" t="s">
        <v>7279</v>
      </c>
      <c r="Q95" s="150" t="s">
        <v>287</v>
      </c>
      <c r="R95" s="1565"/>
      <c r="S95" s="1327"/>
      <c r="T95" s="734"/>
      <c r="U95" s="1453"/>
      <c r="V95" s="733"/>
      <c r="W95" s="2981">
        <v>497000</v>
      </c>
      <c r="X95" s="2008">
        <v>1000000</v>
      </c>
      <c r="Y95" s="2646">
        <v>5880280</v>
      </c>
      <c r="Z95" s="1416">
        <v>250000</v>
      </c>
      <c r="AA95" s="733"/>
      <c r="AB95" s="1251"/>
      <c r="AC95" s="1339">
        <f t="shared" si="19"/>
        <v>7627280</v>
      </c>
      <c r="AD95" s="736" t="s">
        <v>7249</v>
      </c>
      <c r="AE95" s="1340">
        <f t="shared" si="23"/>
        <v>5119200</v>
      </c>
      <c r="AF95" s="1341">
        <f t="shared" si="24"/>
        <v>12746480</v>
      </c>
      <c r="AG95" s="1256"/>
      <c r="AI95" s="13"/>
    </row>
    <row r="96" spans="1:36" s="5" customFormat="1" ht="15.6">
      <c r="A96" s="1503">
        <f t="shared" si="10"/>
        <v>4</v>
      </c>
      <c r="B96" s="2264" t="s">
        <v>7262</v>
      </c>
      <c r="C96" s="166">
        <v>107591924860</v>
      </c>
      <c r="D96" s="386" t="s">
        <v>7109</v>
      </c>
      <c r="E96" s="179" t="s">
        <v>7286</v>
      </c>
      <c r="F96" s="1346" t="s">
        <v>4736</v>
      </c>
      <c r="G96" s="693" t="s">
        <v>1300</v>
      </c>
      <c r="H96" s="167"/>
      <c r="I96" s="167"/>
      <c r="J96" s="167" t="s">
        <v>128</v>
      </c>
      <c r="K96" s="2243" t="s">
        <v>123</v>
      </c>
      <c r="L96" s="154" t="s">
        <v>7265</v>
      </c>
      <c r="M96" s="2943" t="s">
        <v>7270</v>
      </c>
      <c r="N96" s="170" t="s">
        <v>7266</v>
      </c>
      <c r="O96" s="2394" t="s">
        <v>6818</v>
      </c>
      <c r="P96" s="577"/>
      <c r="Q96" s="150" t="s">
        <v>5026</v>
      </c>
      <c r="R96" s="1565"/>
      <c r="S96" s="1327"/>
      <c r="T96" s="734"/>
      <c r="U96" s="1453"/>
      <c r="W96" s="2981">
        <v>324000</v>
      </c>
      <c r="X96" s="733"/>
      <c r="Y96" s="733"/>
      <c r="Z96" s="1252"/>
      <c r="AA96" s="733"/>
      <c r="AB96" s="1251"/>
      <c r="AC96" s="1339">
        <f>+SUM(W96:AB96)</f>
        <v>324000</v>
      </c>
      <c r="AD96" s="736"/>
      <c r="AE96" s="1340">
        <f>+(1100000+1480000)*1.08</f>
        <v>2786400</v>
      </c>
      <c r="AF96" s="1341">
        <f t="shared" si="24"/>
        <v>3110400</v>
      </c>
      <c r="AG96" s="1256"/>
      <c r="AI96" s="13"/>
    </row>
    <row r="97" spans="1:36" s="5" customFormat="1" ht="15.6">
      <c r="A97" s="1503">
        <f t="shared" si="10"/>
        <v>5</v>
      </c>
      <c r="B97" s="2264" t="s">
        <v>7279</v>
      </c>
      <c r="C97" s="179">
        <v>307850849850</v>
      </c>
      <c r="D97" s="46">
        <v>45941</v>
      </c>
      <c r="E97" s="179" t="s">
        <v>7344</v>
      </c>
      <c r="F97" s="1536" t="s">
        <v>4976</v>
      </c>
      <c r="G97" s="693" t="s">
        <v>210</v>
      </c>
      <c r="H97" s="167">
        <v>1</v>
      </c>
      <c r="I97" s="167"/>
      <c r="J97" s="167"/>
      <c r="K97" s="86" t="s">
        <v>210</v>
      </c>
      <c r="L97" s="154" t="s">
        <v>7302</v>
      </c>
      <c r="M97" s="1522" t="s">
        <v>7317</v>
      </c>
      <c r="N97" s="151"/>
      <c r="O97" s="2394" t="s">
        <v>7468</v>
      </c>
      <c r="P97" s="577"/>
      <c r="Q97" s="150" t="s">
        <v>287</v>
      </c>
      <c r="R97" s="1565" t="s">
        <v>5489</v>
      </c>
      <c r="S97" s="1340">
        <v>760000</v>
      </c>
      <c r="T97" s="734"/>
      <c r="U97" s="1453"/>
      <c r="V97" s="733"/>
      <c r="W97" s="2008">
        <v>900000</v>
      </c>
      <c r="X97" s="2008">
        <v>497000</v>
      </c>
      <c r="Y97" s="733"/>
      <c r="Z97" s="1416">
        <v>250000</v>
      </c>
      <c r="AA97" s="733"/>
      <c r="AB97" s="1251"/>
      <c r="AC97" s="1339">
        <f t="shared" si="19"/>
        <v>1647000</v>
      </c>
      <c r="AD97" s="736"/>
      <c r="AE97" s="1340">
        <f t="shared" si="23"/>
        <v>5940000</v>
      </c>
      <c r="AF97" s="1341">
        <f t="shared" si="24"/>
        <v>7587000</v>
      </c>
      <c r="AG97" s="1256"/>
      <c r="AI97" s="13"/>
    </row>
    <row r="98" spans="1:36" s="5" customFormat="1" ht="27">
      <c r="A98" s="1503">
        <f t="shared" si="10"/>
        <v>6</v>
      </c>
      <c r="B98" s="2264" t="s">
        <v>7393</v>
      </c>
      <c r="C98" s="179">
        <v>307881980250</v>
      </c>
      <c r="D98" s="2264" t="s">
        <v>7393</v>
      </c>
      <c r="E98" s="179" t="s">
        <v>7460</v>
      </c>
      <c r="F98" s="1536" t="s">
        <v>4976</v>
      </c>
      <c r="G98" s="693" t="s">
        <v>210</v>
      </c>
      <c r="H98" s="167">
        <v>2</v>
      </c>
      <c r="I98" s="167"/>
      <c r="J98" s="167"/>
      <c r="K98" s="86" t="s">
        <v>210</v>
      </c>
      <c r="L98" s="154" t="s">
        <v>7380</v>
      </c>
      <c r="M98" s="1522" t="s">
        <v>7454</v>
      </c>
      <c r="N98" s="170" t="s">
        <v>7381</v>
      </c>
      <c r="O98" s="2394" t="s">
        <v>7451</v>
      </c>
      <c r="P98" s="577"/>
      <c r="Q98" s="150" t="s">
        <v>2966</v>
      </c>
      <c r="R98" s="1565" t="s">
        <v>5489</v>
      </c>
      <c r="S98" s="1340">
        <v>760000</v>
      </c>
      <c r="T98" s="734"/>
      <c r="U98" s="1453"/>
      <c r="V98" s="733"/>
      <c r="W98" s="2008">
        <v>900000</v>
      </c>
      <c r="X98" s="2008">
        <f>497000*2</f>
        <v>994000</v>
      </c>
      <c r="Y98" s="733"/>
      <c r="Z98" s="1416">
        <v>500000</v>
      </c>
      <c r="AA98" s="733"/>
      <c r="AB98" s="1251"/>
      <c r="AC98" s="1339">
        <f t="shared" ref="AC98:AC117" si="25">+SUM(V98:AB98)</f>
        <v>2394000</v>
      </c>
      <c r="AD98" s="736"/>
      <c r="AE98" s="1340">
        <f>(H98*4740000+I98*4840000)*1.08+(T98*1.08)+(S98*1.08)+(U98*1.08)-816666.67*1.08</f>
        <v>10177199.996400001</v>
      </c>
      <c r="AF98" s="1341">
        <f t="shared" ref="AF98" si="26">+AC98+AE98</f>
        <v>12571199.996400001</v>
      </c>
      <c r="AG98" s="1256"/>
      <c r="AI98" s="13"/>
    </row>
    <row r="99" spans="1:36" s="5" customFormat="1" ht="27">
      <c r="A99" s="1503">
        <f t="shared" si="10"/>
        <v>7</v>
      </c>
      <c r="B99" s="2264" t="s">
        <v>7444</v>
      </c>
      <c r="C99" s="179">
        <v>307882025420</v>
      </c>
      <c r="D99" s="2264" t="s">
        <v>7393</v>
      </c>
      <c r="E99" s="179" t="s">
        <v>7461</v>
      </c>
      <c r="F99" s="1536" t="s">
        <v>7462</v>
      </c>
      <c r="G99" s="693" t="s">
        <v>210</v>
      </c>
      <c r="H99" s="167"/>
      <c r="I99" s="167"/>
      <c r="J99" s="167" t="s">
        <v>102</v>
      </c>
      <c r="K99" s="86" t="s">
        <v>210</v>
      </c>
      <c r="L99" s="154" t="s">
        <v>7446</v>
      </c>
      <c r="M99" s="1913" t="s">
        <v>7458</v>
      </c>
      <c r="N99" s="1627" t="s">
        <v>7463</v>
      </c>
      <c r="O99" s="1516" t="s">
        <v>6022</v>
      </c>
      <c r="P99" s="522"/>
      <c r="Q99" s="617" t="s">
        <v>3152</v>
      </c>
      <c r="R99" s="1565" t="s">
        <v>5489</v>
      </c>
      <c r="S99" s="1340">
        <v>760000</v>
      </c>
      <c r="T99" s="734"/>
      <c r="U99" s="1453"/>
      <c r="V99" s="733"/>
      <c r="W99" s="733"/>
      <c r="X99" s="733"/>
      <c r="Y99" s="733"/>
      <c r="Z99" s="1416">
        <v>2606</v>
      </c>
      <c r="AA99" s="733"/>
      <c r="AB99" s="1251"/>
      <c r="AC99" s="1339">
        <f t="shared" si="25"/>
        <v>2606</v>
      </c>
      <c r="AD99" s="736"/>
      <c r="AE99" s="1340">
        <f>+(1100000+1480000)*1.08+(T99*1.08)+(S99*1.08)+(U99*1.08)</f>
        <v>3607200</v>
      </c>
      <c r="AF99" s="1341">
        <f t="shared" ref="AF99:AF100" si="27">+AC99+AE99</f>
        <v>3609806</v>
      </c>
      <c r="AG99" s="1256"/>
      <c r="AI99" s="13"/>
    </row>
    <row r="100" spans="1:36" s="5" customFormat="1" ht="15.6">
      <c r="A100" s="1503">
        <f t="shared" si="10"/>
        <v>8</v>
      </c>
      <c r="B100" s="2264" t="s">
        <v>7508</v>
      </c>
      <c r="C100" s="166">
        <v>107644359760</v>
      </c>
      <c r="D100" s="386" t="s">
        <v>7472</v>
      </c>
      <c r="E100" s="179" t="s">
        <v>7498</v>
      </c>
      <c r="F100" s="1346" t="s">
        <v>6315</v>
      </c>
      <c r="G100" s="693" t="s">
        <v>1300</v>
      </c>
      <c r="H100" s="3012" t="s">
        <v>973</v>
      </c>
      <c r="I100" s="1472"/>
      <c r="J100" s="1472"/>
      <c r="K100" s="86" t="s">
        <v>210</v>
      </c>
      <c r="L100" s="154" t="s">
        <v>7496</v>
      </c>
      <c r="M100" s="1522" t="s">
        <v>7497</v>
      </c>
      <c r="N100" s="1627" t="s">
        <v>7499</v>
      </c>
      <c r="O100" s="1516" t="s">
        <v>6626</v>
      </c>
      <c r="P100" s="1472"/>
      <c r="Q100" s="150" t="s">
        <v>287</v>
      </c>
      <c r="R100" s="1565"/>
      <c r="S100" s="1327"/>
      <c r="T100" s="734"/>
      <c r="U100" s="1453"/>
      <c r="V100" s="733"/>
      <c r="W100" s="2981">
        <v>497000</v>
      </c>
      <c r="X100" s="2008">
        <v>999000</v>
      </c>
      <c r="Y100" s="2646">
        <v>7968844</v>
      </c>
      <c r="Z100" s="2981">
        <v>250000</v>
      </c>
      <c r="AA100" s="733"/>
      <c r="AB100" s="1251"/>
      <c r="AC100" s="1339">
        <f t="shared" si="25"/>
        <v>9714844</v>
      </c>
      <c r="AD100" s="736"/>
      <c r="AE100" s="1340">
        <f t="shared" ref="AE100" si="28">(H100*4740000+I100*4840000)*1.08+(T100*1.08)+(S100*1.08)+(U100*1.08)</f>
        <v>5119200</v>
      </c>
      <c r="AF100" s="1341">
        <f t="shared" si="27"/>
        <v>14834044</v>
      </c>
      <c r="AG100" s="1256"/>
      <c r="AI100" s="13"/>
    </row>
    <row r="101" spans="1:36" ht="15.6">
      <c r="A101" s="3677" t="s">
        <v>7545</v>
      </c>
      <c r="B101" s="3406"/>
      <c r="C101" s="3406"/>
      <c r="D101" s="3406"/>
      <c r="E101" s="3406"/>
      <c r="F101" s="3406"/>
      <c r="G101" s="3406"/>
      <c r="H101" s="3406"/>
      <c r="I101" s="3406"/>
      <c r="J101" s="3406"/>
      <c r="K101" s="3406"/>
      <c r="L101" s="3678"/>
      <c r="M101" s="1440"/>
      <c r="N101" s="1278"/>
      <c r="O101" s="1607"/>
      <c r="P101" s="1278"/>
      <c r="Q101" s="1279"/>
      <c r="R101" s="1867"/>
      <c r="S101" s="1326"/>
      <c r="T101" s="1281"/>
      <c r="U101" s="1450"/>
      <c r="V101" s="1280"/>
      <c r="W101" s="1279"/>
      <c r="X101" s="1279"/>
      <c r="Y101" s="1279"/>
      <c r="Z101" s="1279"/>
      <c r="AA101" s="1279"/>
      <c r="AB101" s="1282"/>
      <c r="AC101" s="1282"/>
      <c r="AD101" s="1283"/>
      <c r="AE101" s="1284"/>
      <c r="AF101" s="1284"/>
      <c r="AG101" s="1284"/>
      <c r="AH101" s="6"/>
      <c r="AI101" s="6"/>
      <c r="AJ101" s="5"/>
    </row>
    <row r="102" spans="1:36" s="5" customFormat="1" ht="15.6">
      <c r="A102" s="1057">
        <v>1</v>
      </c>
      <c r="B102" s="2511" t="s">
        <v>7224</v>
      </c>
      <c r="C102" s="1242">
        <v>107661494030</v>
      </c>
      <c r="D102" s="795" t="s">
        <v>7394</v>
      </c>
      <c r="E102" s="779" t="s">
        <v>7563</v>
      </c>
      <c r="F102" s="660" t="s">
        <v>7562</v>
      </c>
      <c r="G102" s="1245" t="s">
        <v>1300</v>
      </c>
      <c r="H102" s="445">
        <v>1</v>
      </c>
      <c r="I102" s="445"/>
      <c r="J102" s="445"/>
      <c r="K102" s="685" t="s">
        <v>210</v>
      </c>
      <c r="L102" s="1099" t="s">
        <v>7559</v>
      </c>
      <c r="M102" s="692" t="s">
        <v>7560</v>
      </c>
      <c r="N102" s="1516" t="s">
        <v>7561</v>
      </c>
      <c r="O102" s="2394" t="s">
        <v>8028</v>
      </c>
      <c r="P102" s="577" t="s">
        <v>7631</v>
      </c>
      <c r="Q102" s="150" t="s">
        <v>287</v>
      </c>
      <c r="R102" s="1565"/>
      <c r="S102" s="1327"/>
      <c r="T102" s="734"/>
      <c r="U102" s="1453"/>
      <c r="V102" s="733"/>
      <c r="W102" s="2981">
        <v>497000</v>
      </c>
      <c r="X102" s="2008">
        <v>1000000</v>
      </c>
      <c r="Y102" s="2646">
        <v>8120000</v>
      </c>
      <c r="Z102" s="1416">
        <v>250000</v>
      </c>
      <c r="AA102" s="733"/>
      <c r="AB102" s="1251"/>
      <c r="AC102" s="1339">
        <f t="shared" si="25"/>
        <v>9867000</v>
      </c>
      <c r="AD102" s="736"/>
      <c r="AE102" s="1340">
        <f t="shared" ref="AE102" si="29">(H102*4740000+I102*4840000)*1.08+(T102*1.08)+(S102*1.08)+(U102*1.08)</f>
        <v>5119200</v>
      </c>
      <c r="AF102" s="1341">
        <f t="shared" ref="AF102" si="30">+AC102+AE102</f>
        <v>14986200</v>
      </c>
      <c r="AG102" s="1256"/>
      <c r="AI102" s="13"/>
    </row>
    <row r="103" spans="1:36" s="5" customFormat="1" ht="15.6">
      <c r="A103" s="1503">
        <f t="shared" si="10"/>
        <v>2</v>
      </c>
      <c r="B103" s="2264" t="s">
        <v>7690</v>
      </c>
      <c r="C103" s="2029">
        <v>307937348630</v>
      </c>
      <c r="D103" s="3055" t="s">
        <v>7700</v>
      </c>
      <c r="E103" s="179" t="s">
        <v>7733</v>
      </c>
      <c r="F103" s="1536" t="s">
        <v>4422</v>
      </c>
      <c r="G103" s="693" t="s">
        <v>210</v>
      </c>
      <c r="H103" s="167">
        <v>1</v>
      </c>
      <c r="I103" s="167"/>
      <c r="J103" s="167"/>
      <c r="K103" s="685" t="s">
        <v>210</v>
      </c>
      <c r="L103" s="3032" t="s">
        <v>7564</v>
      </c>
      <c r="M103" s="692" t="s">
        <v>7712</v>
      </c>
      <c r="N103" s="170" t="s">
        <v>7713</v>
      </c>
      <c r="O103" s="2394" t="s">
        <v>6487</v>
      </c>
      <c r="P103" s="577"/>
      <c r="Q103" s="150" t="s">
        <v>287</v>
      </c>
      <c r="R103" s="1565" t="s">
        <v>5491</v>
      </c>
      <c r="S103" s="1340">
        <v>760000</v>
      </c>
      <c r="T103" s="734"/>
      <c r="U103" s="1340">
        <v>200000</v>
      </c>
      <c r="V103" s="733"/>
      <c r="W103" s="2008">
        <v>1000000</v>
      </c>
      <c r="X103" s="2008">
        <v>497000</v>
      </c>
      <c r="Y103" s="733"/>
      <c r="Z103" s="1416">
        <v>250000</v>
      </c>
      <c r="AA103" s="733"/>
      <c r="AB103" s="1251"/>
      <c r="AC103" s="1339">
        <f t="shared" si="25"/>
        <v>1747000</v>
      </c>
      <c r="AD103" s="736"/>
      <c r="AE103" s="1340">
        <f t="shared" ref="AE103:AE109" si="31">(H103*4740000+I103*4840000)*1.08+(T103*1.08)+(S103*1.08)+(U103*1.08)</f>
        <v>6156000</v>
      </c>
      <c r="AF103" s="1341">
        <f t="shared" ref="AF103:AF109" si="32">+AC103+AE103</f>
        <v>7903000</v>
      </c>
      <c r="AG103" s="1256"/>
      <c r="AI103" s="13"/>
    </row>
    <row r="104" spans="1:36" s="5" customFormat="1" ht="27">
      <c r="A104" s="1503">
        <f t="shared" si="10"/>
        <v>3</v>
      </c>
      <c r="B104" s="2264" t="s">
        <v>7690</v>
      </c>
      <c r="C104" s="2065" t="s">
        <v>7706</v>
      </c>
      <c r="D104" s="1520" t="s">
        <v>7690</v>
      </c>
      <c r="E104" s="179" t="s">
        <v>7734</v>
      </c>
      <c r="F104" s="1536" t="s">
        <v>4976</v>
      </c>
      <c r="G104" s="693" t="s">
        <v>210</v>
      </c>
      <c r="H104" s="167">
        <v>1</v>
      </c>
      <c r="I104" s="167"/>
      <c r="J104" s="167"/>
      <c r="K104" s="86" t="s">
        <v>210</v>
      </c>
      <c r="L104" s="3032" t="s">
        <v>7571</v>
      </c>
      <c r="M104" s="692" t="s">
        <v>7707</v>
      </c>
      <c r="N104" s="170" t="s">
        <v>7565</v>
      </c>
      <c r="O104" s="2394" t="s">
        <v>6487</v>
      </c>
      <c r="P104" s="577"/>
      <c r="Q104" s="617" t="s">
        <v>7735</v>
      </c>
      <c r="R104" s="1868" t="s">
        <v>7130</v>
      </c>
      <c r="S104" s="1340">
        <f>760000*2</f>
        <v>1520000</v>
      </c>
      <c r="T104" s="734"/>
      <c r="U104" s="1453"/>
      <c r="V104" s="733"/>
      <c r="W104" s="2008">
        <v>900000</v>
      </c>
      <c r="X104" s="2008">
        <v>497000</v>
      </c>
      <c r="Y104" s="733"/>
      <c r="Z104" s="1416">
        <v>250000</v>
      </c>
      <c r="AA104" s="733"/>
      <c r="AB104" s="1251"/>
      <c r="AC104" s="1339">
        <f t="shared" si="25"/>
        <v>1647000</v>
      </c>
      <c r="AD104" s="736"/>
      <c r="AE104" s="1340">
        <f t="shared" si="31"/>
        <v>6760800</v>
      </c>
      <c r="AF104" s="1341">
        <f t="shared" si="32"/>
        <v>8407800</v>
      </c>
      <c r="AG104" s="1256"/>
      <c r="AI104" s="13"/>
    </row>
    <row r="105" spans="1:36" s="5" customFormat="1" ht="15.6">
      <c r="A105" s="1503">
        <f t="shared" si="10"/>
        <v>4</v>
      </c>
      <c r="B105" s="656" t="s">
        <v>7776</v>
      </c>
      <c r="C105" s="166">
        <v>107686983240</v>
      </c>
      <c r="D105" s="386" t="s">
        <v>7700</v>
      </c>
      <c r="E105" s="179" t="s">
        <v>7725</v>
      </c>
      <c r="F105" s="1346" t="s">
        <v>4423</v>
      </c>
      <c r="G105" s="1245" t="s">
        <v>1300</v>
      </c>
      <c r="H105" s="167">
        <v>1</v>
      </c>
      <c r="I105" s="167"/>
      <c r="J105" s="167"/>
      <c r="K105" s="86" t="s">
        <v>210</v>
      </c>
      <c r="L105" s="3032" t="s">
        <v>7723</v>
      </c>
      <c r="M105" s="692" t="s">
        <v>7724</v>
      </c>
      <c r="N105" s="170" t="s">
        <v>7742</v>
      </c>
      <c r="O105" s="2394" t="s">
        <v>6487</v>
      </c>
      <c r="P105" s="577" t="s">
        <v>7770</v>
      </c>
      <c r="Q105" s="150" t="s">
        <v>287</v>
      </c>
      <c r="R105" s="1565"/>
      <c r="S105" s="1327"/>
      <c r="T105" s="734"/>
      <c r="U105" s="1453"/>
      <c r="V105" s="733"/>
      <c r="W105" s="2981">
        <v>497000</v>
      </c>
      <c r="X105" s="2008">
        <v>1000000</v>
      </c>
      <c r="Y105" s="2646">
        <v>6093825</v>
      </c>
      <c r="Z105" s="1416">
        <v>250000</v>
      </c>
      <c r="AA105" s="733"/>
      <c r="AB105" s="1251"/>
      <c r="AC105" s="1339">
        <f t="shared" si="25"/>
        <v>7840825</v>
      </c>
      <c r="AD105" s="736"/>
      <c r="AE105" s="1340">
        <f t="shared" si="31"/>
        <v>5119200</v>
      </c>
      <c r="AF105" s="1341">
        <f t="shared" si="32"/>
        <v>12960025</v>
      </c>
      <c r="AG105" s="1256"/>
      <c r="AI105" s="13"/>
    </row>
    <row r="106" spans="1:36" s="5" customFormat="1" ht="24.75" customHeight="1">
      <c r="A106" s="1503">
        <f t="shared" si="10"/>
        <v>5</v>
      </c>
      <c r="B106" s="2042" t="s">
        <v>7820</v>
      </c>
      <c r="C106" s="166">
        <v>107715243900</v>
      </c>
      <c r="D106" s="46" t="s">
        <v>7813</v>
      </c>
      <c r="E106" s="179" t="s">
        <v>7835</v>
      </c>
      <c r="F106" s="2812" t="s">
        <v>7834</v>
      </c>
      <c r="G106" s="1245" t="s">
        <v>1300</v>
      </c>
      <c r="H106" s="1642"/>
      <c r="I106" s="1642"/>
      <c r="J106" s="710">
        <v>1</v>
      </c>
      <c r="K106" s="86" t="s">
        <v>210</v>
      </c>
      <c r="L106" s="3032" t="s">
        <v>7833</v>
      </c>
      <c r="M106" s="1522" t="s">
        <v>7836</v>
      </c>
      <c r="N106" s="170" t="s">
        <v>7696</v>
      </c>
      <c r="O106" s="3100" t="s">
        <v>7916</v>
      </c>
      <c r="P106" s="3053"/>
      <c r="Q106" s="150" t="s">
        <v>6964</v>
      </c>
      <c r="R106" s="1565"/>
      <c r="S106" s="1327"/>
      <c r="T106" s="734"/>
      <c r="U106" s="1453"/>
      <c r="V106" s="733"/>
      <c r="W106" s="733"/>
      <c r="X106" s="733"/>
      <c r="Y106" s="2646">
        <v>18258821</v>
      </c>
      <c r="Z106" s="1416">
        <v>49461</v>
      </c>
      <c r="AA106" s="733"/>
      <c r="AB106" s="1251"/>
      <c r="AC106" s="1339">
        <f t="shared" si="25"/>
        <v>18308282</v>
      </c>
      <c r="AD106" s="736"/>
      <c r="AE106" s="1340">
        <f>+(1100000+2230000)*1.08</f>
        <v>3596400.0000000005</v>
      </c>
      <c r="AF106" s="1341">
        <f t="shared" si="32"/>
        <v>21904682</v>
      </c>
      <c r="AG106" s="1256"/>
      <c r="AI106" s="13"/>
    </row>
    <row r="107" spans="1:36" s="5" customFormat="1" ht="24.75" customHeight="1">
      <c r="A107" s="1503">
        <f t="shared" si="10"/>
        <v>6</v>
      </c>
      <c r="B107" s="1936" t="s">
        <v>7784</v>
      </c>
      <c r="C107" s="2029">
        <v>307989553820</v>
      </c>
      <c r="D107" s="386" t="s">
        <v>7784</v>
      </c>
      <c r="E107" s="2029" t="s">
        <v>7965</v>
      </c>
      <c r="F107" s="2067" t="s">
        <v>7462</v>
      </c>
      <c r="G107" s="693" t="s">
        <v>210</v>
      </c>
      <c r="H107" s="445"/>
      <c r="I107" s="445"/>
      <c r="J107" s="167">
        <v>1</v>
      </c>
      <c r="K107" s="86" t="s">
        <v>210</v>
      </c>
      <c r="L107" s="3032" t="s">
        <v>7902</v>
      </c>
      <c r="M107" s="1522" t="s">
        <v>7932</v>
      </c>
      <c r="N107" s="1516" t="s">
        <v>7933</v>
      </c>
      <c r="O107" s="1516" t="s">
        <v>6288</v>
      </c>
      <c r="P107" s="3053"/>
      <c r="Q107" s="617" t="s">
        <v>3152</v>
      </c>
      <c r="R107" s="1565" t="s">
        <v>5491</v>
      </c>
      <c r="S107" s="1340">
        <v>760000</v>
      </c>
      <c r="T107" s="2240"/>
      <c r="U107" s="2240"/>
      <c r="V107" s="1461"/>
      <c r="W107" s="1461"/>
      <c r="X107" s="1461"/>
      <c r="Y107" s="1664"/>
      <c r="Z107" s="3179">
        <v>5412</v>
      </c>
      <c r="AA107" s="1461"/>
      <c r="AB107" s="1461"/>
      <c r="AC107" s="1339">
        <f t="shared" si="25"/>
        <v>5412</v>
      </c>
      <c r="AD107" s="1662"/>
      <c r="AE107" s="1340">
        <f>+(1100000+1480000)*1.08+S107*1.08</f>
        <v>3607200</v>
      </c>
      <c r="AF107" s="1341">
        <f t="shared" si="32"/>
        <v>3612612</v>
      </c>
      <c r="AG107" s="2578"/>
      <c r="AI107" s="13"/>
    </row>
    <row r="108" spans="1:36" s="5" customFormat="1" ht="26.25" customHeight="1">
      <c r="A108" s="1503">
        <f t="shared" si="10"/>
        <v>7</v>
      </c>
      <c r="B108" s="1936" t="s">
        <v>7784</v>
      </c>
      <c r="C108" s="179">
        <v>307989744920</v>
      </c>
      <c r="D108" s="386" t="s">
        <v>7784</v>
      </c>
      <c r="E108" s="179" t="s">
        <v>7966</v>
      </c>
      <c r="F108" s="1536" t="s">
        <v>4976</v>
      </c>
      <c r="G108" s="693" t="s">
        <v>210</v>
      </c>
      <c r="H108" s="167">
        <v>1</v>
      </c>
      <c r="I108" s="167"/>
      <c r="J108" s="167"/>
      <c r="K108" s="86" t="s">
        <v>210</v>
      </c>
      <c r="L108" s="3032" t="s">
        <v>7841</v>
      </c>
      <c r="M108" s="661" t="s">
        <v>7931</v>
      </c>
      <c r="N108" s="170" t="s">
        <v>7901</v>
      </c>
      <c r="O108" s="1516" t="s">
        <v>6246</v>
      </c>
      <c r="P108" s="3053"/>
      <c r="Q108" s="150" t="s">
        <v>287</v>
      </c>
      <c r="R108" s="1565" t="s">
        <v>5489</v>
      </c>
      <c r="S108" s="1340">
        <v>760000</v>
      </c>
      <c r="T108" s="734"/>
      <c r="U108" s="1453"/>
      <c r="V108" s="733"/>
      <c r="W108" s="2008">
        <v>900000</v>
      </c>
      <c r="X108" s="2008">
        <v>497000</v>
      </c>
      <c r="Y108" s="733"/>
      <c r="Z108" s="3180">
        <v>250000</v>
      </c>
      <c r="AA108" s="733"/>
      <c r="AB108" s="1251"/>
      <c r="AC108" s="1339">
        <f>+SUM(V108:AB108)</f>
        <v>1647000</v>
      </c>
      <c r="AD108" s="736"/>
      <c r="AE108" s="1340">
        <f t="shared" si="31"/>
        <v>5940000</v>
      </c>
      <c r="AF108" s="1341">
        <f t="shared" si="32"/>
        <v>7587000</v>
      </c>
      <c r="AG108" s="1256"/>
      <c r="AI108" s="13"/>
    </row>
    <row r="109" spans="1:36" s="5" customFormat="1" ht="30" customHeight="1">
      <c r="A109" s="1503">
        <f t="shared" si="10"/>
        <v>8</v>
      </c>
      <c r="B109" s="1936" t="s">
        <v>7955</v>
      </c>
      <c r="C109" s="1361" t="s">
        <v>8025</v>
      </c>
      <c r="D109" s="386" t="s">
        <v>7955</v>
      </c>
      <c r="E109" s="179" t="s">
        <v>8027</v>
      </c>
      <c r="F109" s="1536" t="s">
        <v>4976</v>
      </c>
      <c r="G109" s="693" t="s">
        <v>210</v>
      </c>
      <c r="H109" s="167">
        <v>2</v>
      </c>
      <c r="I109" s="167"/>
      <c r="J109" s="167"/>
      <c r="K109" s="86" t="s">
        <v>210</v>
      </c>
      <c r="L109" s="3032" t="s">
        <v>7842</v>
      </c>
      <c r="M109" s="3100" t="s">
        <v>8026</v>
      </c>
      <c r="N109" s="170" t="s">
        <v>7901</v>
      </c>
      <c r="O109" s="1516" t="s">
        <v>8008</v>
      </c>
      <c r="P109" s="3053"/>
      <c r="Q109" s="150" t="s">
        <v>287</v>
      </c>
      <c r="R109" s="1868" t="s">
        <v>7130</v>
      </c>
      <c r="S109" s="1340">
        <f>760000*2</f>
        <v>1520000</v>
      </c>
      <c r="T109" s="734"/>
      <c r="U109" s="1453"/>
      <c r="V109" s="733"/>
      <c r="W109" s="2008">
        <v>1800000</v>
      </c>
      <c r="X109" s="2008">
        <v>994000</v>
      </c>
      <c r="Y109" s="733"/>
      <c r="Z109" s="3180">
        <v>500000</v>
      </c>
      <c r="AA109" s="733"/>
      <c r="AB109" s="1251"/>
      <c r="AC109" s="1339">
        <f t="shared" si="25"/>
        <v>3294000</v>
      </c>
      <c r="AD109" s="736"/>
      <c r="AE109" s="1340">
        <f t="shared" si="31"/>
        <v>11880000</v>
      </c>
      <c r="AF109" s="1341">
        <f t="shared" si="32"/>
        <v>15174000</v>
      </c>
      <c r="AG109" s="1256"/>
      <c r="AI109" s="13"/>
    </row>
    <row r="110" spans="1:36" ht="15.6">
      <c r="A110" s="3677" t="s">
        <v>7970</v>
      </c>
      <c r="B110" s="3406"/>
      <c r="C110" s="3406"/>
      <c r="D110" s="3406"/>
      <c r="E110" s="3406"/>
      <c r="F110" s="3406"/>
      <c r="G110" s="3406"/>
      <c r="H110" s="3406"/>
      <c r="I110" s="3406"/>
      <c r="J110" s="3406"/>
      <c r="K110" s="3406"/>
      <c r="L110" s="3678"/>
      <c r="M110" s="1440"/>
      <c r="N110" s="1278"/>
      <c r="O110" s="1607"/>
      <c r="P110" s="1278"/>
      <c r="Q110" s="1279"/>
      <c r="R110" s="1867"/>
      <c r="S110" s="1326"/>
      <c r="T110" s="1281"/>
      <c r="U110" s="1450"/>
      <c r="V110" s="1280"/>
      <c r="W110" s="1279"/>
      <c r="X110" s="1279"/>
      <c r="Y110" s="1279"/>
      <c r="Z110" s="1279"/>
      <c r="AA110" s="1279"/>
      <c r="AB110" s="1282"/>
      <c r="AC110" s="1282"/>
      <c r="AD110" s="1283"/>
      <c r="AE110" s="1284"/>
      <c r="AF110" s="1284"/>
      <c r="AG110" s="1284"/>
      <c r="AH110" s="6"/>
      <c r="AI110" s="6"/>
      <c r="AJ110" s="5"/>
    </row>
    <row r="111" spans="1:36" s="1245" customFormat="1" ht="32.25" customHeight="1">
      <c r="A111" s="1503">
        <v>1</v>
      </c>
      <c r="B111" s="2571" t="s">
        <v>7992</v>
      </c>
      <c r="C111" s="1245">
        <v>107730096130</v>
      </c>
      <c r="D111" s="661" t="s">
        <v>7844</v>
      </c>
      <c r="E111" s="1622" t="s">
        <v>7910</v>
      </c>
      <c r="F111" s="1245" t="s">
        <v>6315</v>
      </c>
      <c r="G111" s="1245" t="s">
        <v>1300</v>
      </c>
      <c r="H111" s="1505">
        <v>1</v>
      </c>
      <c r="I111" s="2239"/>
      <c r="J111" s="710"/>
      <c r="K111" s="86" t="s">
        <v>210</v>
      </c>
      <c r="L111" s="1245" t="s">
        <v>7906</v>
      </c>
      <c r="M111" s="661" t="s">
        <v>7907</v>
      </c>
      <c r="N111" s="3162" t="s">
        <v>7820</v>
      </c>
      <c r="O111" s="1504" t="s">
        <v>8068</v>
      </c>
      <c r="P111" s="3132" t="s">
        <v>7940</v>
      </c>
      <c r="Q111" s="1564" t="s">
        <v>6964</v>
      </c>
      <c r="W111" s="2981">
        <v>1370000</v>
      </c>
      <c r="Y111" s="1719">
        <v>7980940</v>
      </c>
      <c r="Z111" s="2254">
        <v>250000</v>
      </c>
      <c r="AC111" s="1339">
        <f>+SUM(V111:AB111)</f>
        <v>9600940</v>
      </c>
      <c r="AE111" s="1340">
        <f>(H111*4740000+I111*4840000)*1.08+(T111*1.08)+(S111*1.08)+(U111*1.08)</f>
        <v>5119200</v>
      </c>
      <c r="AF111" s="1341">
        <f>+AC111+AE111</f>
        <v>14720140</v>
      </c>
    </row>
    <row r="112" spans="1:36" s="5" customFormat="1" ht="39" customHeight="1">
      <c r="A112" s="1503">
        <v>2</v>
      </c>
      <c r="B112" s="2264" t="s">
        <v>7985</v>
      </c>
      <c r="C112" s="166">
        <v>107752390210</v>
      </c>
      <c r="D112" s="46" t="s">
        <v>7955</v>
      </c>
      <c r="E112" s="179" t="s">
        <v>8005</v>
      </c>
      <c r="F112" s="1346" t="s">
        <v>4423</v>
      </c>
      <c r="G112" s="693" t="s">
        <v>1300</v>
      </c>
      <c r="H112" s="167">
        <v>1</v>
      </c>
      <c r="I112" s="167"/>
      <c r="J112" s="167"/>
      <c r="K112" s="86" t="s">
        <v>210</v>
      </c>
      <c r="L112" s="3032" t="s">
        <v>8002</v>
      </c>
      <c r="M112" s="661" t="s">
        <v>8003</v>
      </c>
      <c r="N112" s="3162" t="s">
        <v>8004</v>
      </c>
      <c r="O112" s="1504" t="s">
        <v>6246</v>
      </c>
      <c r="P112" s="3053"/>
      <c r="Q112" s="1564" t="s">
        <v>287</v>
      </c>
      <c r="R112" s="1565"/>
      <c r="S112" s="1327"/>
      <c r="T112" s="734"/>
      <c r="U112" s="1453"/>
      <c r="V112" s="733"/>
      <c r="W112" s="2981">
        <v>497000</v>
      </c>
      <c r="X112" s="733"/>
      <c r="Y112" s="1719">
        <v>6265000</v>
      </c>
      <c r="Z112" s="1719">
        <v>4000000</v>
      </c>
      <c r="AA112" s="733"/>
      <c r="AB112" s="1251"/>
      <c r="AC112" s="1339">
        <f t="shared" si="25"/>
        <v>10762000</v>
      </c>
      <c r="AD112" s="736" t="s">
        <v>8082</v>
      </c>
      <c r="AE112" s="1340">
        <f t="shared" ref="AE112" si="33">(H112*4740000+I112*4840000)*1.08+(T112*1.08)+(S112*1.08)+(U112*1.08)</f>
        <v>5119200</v>
      </c>
      <c r="AF112" s="1341">
        <f t="shared" ref="AF112" si="34">+AC112+AE112</f>
        <v>15881200</v>
      </c>
      <c r="AG112" s="1256"/>
      <c r="AI112" s="13"/>
    </row>
    <row r="113" spans="1:35" s="1303" customFormat="1" ht="105.6">
      <c r="A113" s="1639">
        <f t="shared" si="10"/>
        <v>3</v>
      </c>
      <c r="B113" s="3222" t="s">
        <v>7940</v>
      </c>
      <c r="C113" s="594">
        <v>107757354502</v>
      </c>
      <c r="D113" s="3161" t="s">
        <v>7992</v>
      </c>
      <c r="E113" s="389" t="s">
        <v>8091</v>
      </c>
      <c r="F113" s="3154" t="s">
        <v>8006</v>
      </c>
      <c r="G113" s="2595" t="s">
        <v>1300</v>
      </c>
      <c r="H113" s="431"/>
      <c r="I113" s="431">
        <v>8</v>
      </c>
      <c r="J113" s="431"/>
      <c r="K113" s="705" t="s">
        <v>136</v>
      </c>
      <c r="L113" s="3218">
        <v>1069526064</v>
      </c>
      <c r="M113" s="3155" t="s">
        <v>8123</v>
      </c>
      <c r="N113" s="3163" t="s">
        <v>8037</v>
      </c>
      <c r="O113" s="2725" t="s">
        <v>8124</v>
      </c>
      <c r="P113" s="1379"/>
      <c r="Q113" s="3251" t="s">
        <v>8007</v>
      </c>
      <c r="R113" s="2597"/>
      <c r="S113" s="3156"/>
      <c r="T113" s="734"/>
      <c r="U113" s="1453"/>
      <c r="V113" s="733"/>
      <c r="W113" s="2981">
        <f>2748000+2748000</f>
        <v>5496000</v>
      </c>
      <c r="X113" s="733"/>
      <c r="Y113" s="733"/>
      <c r="Z113" s="1719">
        <v>4000000</v>
      </c>
      <c r="AA113" s="733"/>
      <c r="AB113" s="1251"/>
      <c r="AC113" s="1261">
        <f t="shared" si="25"/>
        <v>9496000</v>
      </c>
      <c r="AD113" s="1592" t="s">
        <v>8131</v>
      </c>
      <c r="AE113" s="2520">
        <f>(H113*5240000+I113*5340000)*1.08+(T113*1.08)+(S113*1.08)+(U113*1.08)+(49440*1.08)+(1000000*6*1.08)+(2000000*2*1.08)+(49440000*1.08)</f>
        <v>110386195.2</v>
      </c>
      <c r="AF113" s="2590">
        <f t="shared" ref="AF113" si="35">+AC113+AE113</f>
        <v>119882195.2</v>
      </c>
      <c r="AG113" s="1256"/>
      <c r="AI113" s="1801"/>
    </row>
    <row r="114" spans="1:35" s="5" customFormat="1" ht="26.4">
      <c r="A114" s="1503">
        <f t="shared" si="10"/>
        <v>4</v>
      </c>
      <c r="B114" s="2264" t="s">
        <v>7940</v>
      </c>
      <c r="C114" s="179">
        <v>308028372430</v>
      </c>
      <c r="D114" s="386" t="s">
        <v>7940</v>
      </c>
      <c r="E114" s="179" t="s">
        <v>8111</v>
      </c>
      <c r="F114" s="1536" t="s">
        <v>4976</v>
      </c>
      <c r="G114" s="693" t="s">
        <v>210</v>
      </c>
      <c r="H114" s="167">
        <v>1</v>
      </c>
      <c r="I114" s="167"/>
      <c r="J114" s="167"/>
      <c r="K114" s="86" t="s">
        <v>210</v>
      </c>
      <c r="L114" s="3196" t="s">
        <v>8081</v>
      </c>
      <c r="M114" s="661" t="s">
        <v>8108</v>
      </c>
      <c r="N114" s="3163" t="s">
        <v>8109</v>
      </c>
      <c r="O114" s="1504" t="s">
        <v>8110</v>
      </c>
      <c r="P114" s="577"/>
      <c r="Q114" s="1564" t="s">
        <v>7735</v>
      </c>
      <c r="R114" s="1565"/>
      <c r="S114" s="1327"/>
      <c r="T114" s="734"/>
      <c r="U114" s="1453"/>
      <c r="V114" s="733"/>
      <c r="W114" s="733"/>
      <c r="X114" s="733"/>
      <c r="Y114" s="733"/>
      <c r="Z114" s="1719">
        <v>250000</v>
      </c>
      <c r="AA114" s="733"/>
      <c r="AB114" s="1251"/>
      <c r="AC114" s="1261">
        <f t="shared" si="25"/>
        <v>250000</v>
      </c>
      <c r="AD114" s="736"/>
      <c r="AE114" s="2520">
        <f>(H114*5240000+I114*5340000)*1.08+(T114*1.08)+(S114*1.08)+(U114*1.08)+(49440*1.08)+(1000000*6*1.08)+(2000000*2*1.08)</f>
        <v>16512595.199999999</v>
      </c>
      <c r="AF114" s="2590">
        <f t="shared" ref="AF114" si="36">+AC114+AE114</f>
        <v>16762595.199999999</v>
      </c>
      <c r="AG114" s="1256"/>
      <c r="AI114" s="13"/>
    </row>
    <row r="115" spans="1:35" s="5" customFormat="1" ht="26.4">
      <c r="A115" s="1503">
        <f t="shared" si="10"/>
        <v>5</v>
      </c>
      <c r="B115" s="2264" t="s">
        <v>8249</v>
      </c>
      <c r="C115" s="1361" t="s">
        <v>8299</v>
      </c>
      <c r="D115" s="386" t="s">
        <v>8249</v>
      </c>
      <c r="E115" s="179" t="s">
        <v>8358</v>
      </c>
      <c r="F115" s="1536" t="s">
        <v>4976</v>
      </c>
      <c r="G115" s="693" t="s">
        <v>210</v>
      </c>
      <c r="H115" s="167">
        <v>2</v>
      </c>
      <c r="I115" s="167"/>
      <c r="J115" s="167"/>
      <c r="K115" s="86" t="s">
        <v>210</v>
      </c>
      <c r="L115" s="1099" t="s">
        <v>8220</v>
      </c>
      <c r="M115" s="3100" t="s">
        <v>8300</v>
      </c>
      <c r="N115" s="3163" t="s">
        <v>8222</v>
      </c>
      <c r="O115" s="2725" t="s">
        <v>8319</v>
      </c>
      <c r="P115" s="577"/>
      <c r="Q115" s="1564" t="s">
        <v>287</v>
      </c>
      <c r="R115" s="1565"/>
      <c r="S115" s="1327"/>
      <c r="T115" s="734"/>
      <c r="U115" s="1453"/>
      <c r="V115" s="733"/>
      <c r="W115" s="733"/>
      <c r="X115" s="733"/>
      <c r="Y115" s="733"/>
      <c r="Z115" s="1252"/>
      <c r="AA115" s="733"/>
      <c r="AB115" s="1251"/>
      <c r="AC115" s="1261">
        <f t="shared" si="25"/>
        <v>0</v>
      </c>
      <c r="AD115" s="736" t="s">
        <v>8301</v>
      </c>
      <c r="AE115" s="2520">
        <f t="shared" ref="AE115:AE117" si="37">(H115*5240000+I115*5340000)*1.08+(T115*1.08)+(S115*1.08)+(U115*1.08)+(49440*1.08)+(1000000*6*1.08)+(2000000*2*1.08)</f>
        <v>22171795.199999999</v>
      </c>
      <c r="AF115" s="2590">
        <f t="shared" ref="AF115:AF117" si="38">+AC115+AE115</f>
        <v>22171795.199999999</v>
      </c>
      <c r="AG115" s="1256"/>
      <c r="AI115" s="13"/>
    </row>
    <row r="116" spans="1:35" s="5" customFormat="1" ht="26.4">
      <c r="A116" s="1503">
        <f t="shared" si="10"/>
        <v>6</v>
      </c>
      <c r="B116" s="2264" t="s">
        <v>8292</v>
      </c>
      <c r="C116" s="1361">
        <v>308085977160</v>
      </c>
      <c r="D116" s="2016" t="s">
        <v>8292</v>
      </c>
      <c r="E116" s="179" t="s">
        <v>8359</v>
      </c>
      <c r="F116" s="1536" t="s">
        <v>4422</v>
      </c>
      <c r="G116" s="693" t="s">
        <v>210</v>
      </c>
      <c r="H116" s="167">
        <v>1</v>
      </c>
      <c r="I116" s="167"/>
      <c r="J116" s="167"/>
      <c r="K116" s="86" t="s">
        <v>210</v>
      </c>
      <c r="L116" s="1099" t="s">
        <v>8221</v>
      </c>
      <c r="M116" s="692" t="s">
        <v>8347</v>
      </c>
      <c r="N116" s="740" t="s">
        <v>8350</v>
      </c>
      <c r="O116" s="2394" t="s">
        <v>6759</v>
      </c>
      <c r="P116" s="577"/>
      <c r="Q116" s="1564" t="s">
        <v>287</v>
      </c>
      <c r="R116" s="1565"/>
      <c r="S116" s="1327"/>
      <c r="T116" s="734"/>
      <c r="U116" s="1453"/>
      <c r="V116" s="733"/>
      <c r="W116" s="733"/>
      <c r="X116" s="733"/>
      <c r="Y116" s="733"/>
      <c r="Z116" s="1252"/>
      <c r="AA116" s="733"/>
      <c r="AB116" s="1251"/>
      <c r="AC116" s="1261">
        <f t="shared" si="25"/>
        <v>0</v>
      </c>
      <c r="AD116" s="736"/>
      <c r="AE116" s="2520">
        <f t="shared" si="37"/>
        <v>16512595.199999999</v>
      </c>
      <c r="AF116" s="2590">
        <f t="shared" si="38"/>
        <v>16512595.199999999</v>
      </c>
      <c r="AG116" s="1256"/>
      <c r="AI116" s="13"/>
    </row>
    <row r="117" spans="1:35" s="5" customFormat="1" ht="26.4">
      <c r="A117" s="1503">
        <f t="shared" si="10"/>
        <v>7</v>
      </c>
      <c r="B117" s="656" t="s">
        <v>8321</v>
      </c>
      <c r="C117" s="166">
        <v>107806399410</v>
      </c>
      <c r="D117" s="386" t="s">
        <v>8223</v>
      </c>
      <c r="E117" s="179" t="s">
        <v>8240</v>
      </c>
      <c r="F117" s="1346" t="s">
        <v>8239</v>
      </c>
      <c r="G117" s="693" t="s">
        <v>1300</v>
      </c>
      <c r="H117" s="167"/>
      <c r="I117" s="167"/>
      <c r="J117" s="167">
        <v>1</v>
      </c>
      <c r="K117" s="86" t="s">
        <v>210</v>
      </c>
      <c r="L117" s="3032" t="s">
        <v>8236</v>
      </c>
      <c r="M117" s="692" t="s">
        <v>8237</v>
      </c>
      <c r="N117" s="170" t="s">
        <v>8155</v>
      </c>
      <c r="O117" s="2421"/>
      <c r="P117" s="577"/>
      <c r="Q117" s="1564" t="s">
        <v>8238</v>
      </c>
      <c r="R117" s="1565"/>
      <c r="S117" s="1327"/>
      <c r="T117" s="734"/>
      <c r="U117" s="1453"/>
      <c r="V117" s="733"/>
      <c r="W117" s="733"/>
      <c r="X117" s="733"/>
      <c r="Y117" s="1719">
        <v>4990545</v>
      </c>
      <c r="Z117" s="1252"/>
      <c r="AA117" s="733"/>
      <c r="AB117" s="1251"/>
      <c r="AC117" s="1261">
        <f t="shared" si="25"/>
        <v>4990545</v>
      </c>
      <c r="AD117" s="736"/>
      <c r="AE117" s="2520">
        <f t="shared" si="37"/>
        <v>10853395.199999999</v>
      </c>
      <c r="AF117" s="2590">
        <f t="shared" si="38"/>
        <v>15843940.199999999</v>
      </c>
      <c r="AG117" s="1256"/>
      <c r="AI117" s="13"/>
    </row>
    <row r="118" spans="1:35" s="5" customFormat="1" ht="26.4">
      <c r="A118" s="1503">
        <f t="shared" si="10"/>
        <v>8</v>
      </c>
      <c r="B118" s="3266" t="s">
        <v>8274</v>
      </c>
      <c r="C118" s="166"/>
      <c r="D118" s="46"/>
      <c r="E118" s="179"/>
      <c r="F118" s="1536" t="s">
        <v>4976</v>
      </c>
      <c r="G118" s="693" t="s">
        <v>210</v>
      </c>
      <c r="H118" s="167">
        <v>1</v>
      </c>
      <c r="I118" s="167"/>
      <c r="J118" s="167"/>
      <c r="K118" s="79"/>
      <c r="L118" s="3032" t="s">
        <v>8331</v>
      </c>
      <c r="M118" s="692"/>
      <c r="N118" s="692" t="s">
        <v>8332</v>
      </c>
      <c r="O118" s="2421"/>
      <c r="P118" s="577"/>
      <c r="Q118" s="1564" t="s">
        <v>7735</v>
      </c>
      <c r="R118" s="1565"/>
      <c r="S118" s="1327"/>
      <c r="T118" s="734"/>
      <c r="U118" s="1453"/>
      <c r="V118" s="733"/>
      <c r="W118" s="733"/>
      <c r="X118" s="733"/>
      <c r="Y118" s="733"/>
      <c r="Z118" s="1252"/>
      <c r="AA118" s="733"/>
      <c r="AB118" s="1251"/>
      <c r="AC118" s="733"/>
      <c r="AD118" s="736"/>
      <c r="AE118" s="737"/>
      <c r="AF118" s="738"/>
      <c r="AG118" s="1256"/>
      <c r="AI118" s="13"/>
    </row>
    <row r="119" spans="1:35" s="5" customFormat="1">
      <c r="A119" s="1503">
        <f t="shared" ref="A119:A129" si="39">+A118+1</f>
        <v>9</v>
      </c>
      <c r="B119" s="295"/>
      <c r="C119" s="166"/>
      <c r="D119" s="46"/>
      <c r="E119" s="179"/>
      <c r="F119" s="1346"/>
      <c r="G119" s="693" t="s">
        <v>210</v>
      </c>
      <c r="H119" s="167"/>
      <c r="I119" s="167"/>
      <c r="J119" s="167"/>
      <c r="K119" s="79"/>
      <c r="L119" s="154"/>
      <c r="M119" s="1522"/>
      <c r="N119" s="692"/>
      <c r="O119" s="2421"/>
      <c r="P119" s="577"/>
      <c r="Q119" s="150"/>
      <c r="R119" s="1565"/>
      <c r="S119" s="1327"/>
      <c r="T119" s="734"/>
      <c r="U119" s="1453"/>
      <c r="V119" s="733"/>
      <c r="W119" s="733"/>
      <c r="X119" s="733"/>
      <c r="Y119" s="733"/>
      <c r="Z119" s="1252"/>
      <c r="AA119" s="733"/>
      <c r="AB119" s="1251"/>
      <c r="AC119" s="733"/>
      <c r="AD119" s="736"/>
      <c r="AE119" s="737"/>
      <c r="AF119" s="738"/>
      <c r="AG119" s="1256"/>
      <c r="AI119" s="13"/>
    </row>
    <row r="120" spans="1:35" s="5" customFormat="1">
      <c r="A120" s="1503">
        <f t="shared" si="39"/>
        <v>10</v>
      </c>
      <c r="B120" s="295"/>
      <c r="C120" s="166"/>
      <c r="D120" s="46"/>
      <c r="E120" s="179"/>
      <c r="F120" s="1346"/>
      <c r="G120" s="693"/>
      <c r="H120" s="167"/>
      <c r="I120" s="167"/>
      <c r="J120" s="167"/>
      <c r="K120" s="79"/>
      <c r="L120" s="154"/>
      <c r="M120" s="1472"/>
      <c r="N120" s="1472"/>
      <c r="O120" s="1472"/>
      <c r="P120" s="577"/>
      <c r="Q120" s="150"/>
      <c r="R120" s="1565"/>
      <c r="S120" s="1327"/>
      <c r="T120" s="734"/>
      <c r="U120" s="1453"/>
      <c r="V120" s="733"/>
      <c r="W120" s="733"/>
      <c r="X120" s="733"/>
      <c r="Y120" s="733"/>
      <c r="Z120" s="1252"/>
      <c r="AA120" s="733"/>
      <c r="AB120" s="1251"/>
      <c r="AC120" s="733"/>
      <c r="AD120" s="736"/>
      <c r="AE120" s="737"/>
      <c r="AF120" s="738"/>
      <c r="AG120" s="1256"/>
      <c r="AI120" s="13"/>
    </row>
    <row r="121" spans="1:35" s="5" customFormat="1">
      <c r="A121" s="1503">
        <f t="shared" si="39"/>
        <v>11</v>
      </c>
      <c r="B121" s="295"/>
      <c r="C121" s="166"/>
      <c r="D121" s="46"/>
      <c r="E121" s="179"/>
      <c r="F121" s="1346"/>
      <c r="G121" s="693"/>
      <c r="H121" s="167"/>
      <c r="I121" s="167"/>
      <c r="J121" s="167"/>
      <c r="K121" s="79"/>
      <c r="L121" s="154"/>
      <c r="M121" s="1472"/>
      <c r="N121" s="1472"/>
      <c r="O121" s="1472"/>
      <c r="P121" s="577"/>
      <c r="Q121" s="150"/>
      <c r="R121" s="1565"/>
      <c r="S121" s="1327"/>
      <c r="T121" s="734"/>
      <c r="U121" s="1453"/>
      <c r="V121" s="733"/>
      <c r="W121" s="733"/>
      <c r="X121" s="733"/>
      <c r="Y121" s="733"/>
      <c r="Z121" s="1252"/>
      <c r="AA121" s="733"/>
      <c r="AB121" s="1251"/>
      <c r="AC121" s="733"/>
      <c r="AD121" s="736"/>
      <c r="AE121" s="737"/>
      <c r="AF121" s="738"/>
      <c r="AG121" s="1256"/>
      <c r="AI121" s="13"/>
    </row>
    <row r="122" spans="1:35" s="5" customFormat="1">
      <c r="A122" s="1503">
        <f t="shared" si="39"/>
        <v>12</v>
      </c>
      <c r="B122" s="295"/>
      <c r="C122" s="166"/>
      <c r="D122" s="46"/>
      <c r="E122" s="179"/>
      <c r="F122" s="1346"/>
      <c r="G122" s="693"/>
      <c r="H122" s="167"/>
      <c r="I122" s="167"/>
      <c r="J122" s="167"/>
      <c r="K122" s="79"/>
      <c r="L122" s="154"/>
      <c r="M122" s="692"/>
      <c r="N122" s="580"/>
      <c r="O122" s="2421"/>
      <c r="P122" s="577"/>
      <c r="Q122" s="150"/>
      <c r="R122" s="1565"/>
      <c r="S122" s="1327"/>
      <c r="T122" s="734"/>
      <c r="U122" s="1453"/>
      <c r="V122" s="733"/>
      <c r="W122" s="733"/>
      <c r="X122" s="733"/>
      <c r="Y122" s="733"/>
      <c r="Z122" s="1252"/>
      <c r="AA122" s="733"/>
      <c r="AB122" s="1251"/>
      <c r="AC122" s="733"/>
      <c r="AD122" s="736"/>
      <c r="AE122" s="737"/>
      <c r="AF122" s="738"/>
      <c r="AG122" s="1256"/>
      <c r="AI122" s="13"/>
    </row>
    <row r="123" spans="1:35" s="5" customFormat="1">
      <c r="A123" s="1503">
        <f t="shared" si="39"/>
        <v>13</v>
      </c>
      <c r="B123" s="295"/>
      <c r="C123" s="166"/>
      <c r="D123" s="46"/>
      <c r="E123" s="179"/>
      <c r="F123" s="1346"/>
      <c r="G123" s="693"/>
      <c r="H123" s="167"/>
      <c r="I123" s="167"/>
      <c r="J123" s="167"/>
      <c r="K123" s="79"/>
      <c r="L123" s="154"/>
      <c r="M123" s="692"/>
      <c r="N123" s="151"/>
      <c r="O123" s="2421"/>
      <c r="P123" s="577"/>
      <c r="Q123" s="150"/>
      <c r="R123" s="1565"/>
      <c r="S123" s="1327"/>
      <c r="T123" s="734"/>
      <c r="U123" s="1453"/>
      <c r="V123" s="733"/>
      <c r="W123" s="733"/>
      <c r="X123" s="733"/>
      <c r="Y123" s="733"/>
      <c r="Z123" s="1252"/>
      <c r="AA123" s="733"/>
      <c r="AB123" s="1251"/>
      <c r="AC123" s="733"/>
      <c r="AD123" s="736"/>
      <c r="AE123" s="737"/>
      <c r="AF123" s="738"/>
      <c r="AG123" s="1256"/>
      <c r="AI123" s="13"/>
    </row>
    <row r="124" spans="1:35" s="5" customFormat="1">
      <c r="A124" s="1503">
        <f t="shared" si="39"/>
        <v>14</v>
      </c>
      <c r="B124" s="295"/>
      <c r="C124" s="166"/>
      <c r="D124" s="46"/>
      <c r="E124" s="179"/>
      <c r="F124" s="1346"/>
      <c r="G124" s="693"/>
      <c r="H124" s="167"/>
      <c r="I124" s="167"/>
      <c r="J124" s="167"/>
      <c r="K124" s="79"/>
      <c r="L124" s="154"/>
      <c r="M124" s="692"/>
      <c r="N124" s="151"/>
      <c r="O124" s="2421"/>
      <c r="P124" s="577"/>
      <c r="Q124" s="150"/>
      <c r="R124" s="1565"/>
      <c r="S124" s="1327"/>
      <c r="T124" s="734"/>
      <c r="U124" s="1453"/>
      <c r="V124" s="733"/>
      <c r="W124" s="733"/>
      <c r="X124" s="733"/>
      <c r="Y124" s="733"/>
      <c r="Z124" s="1252"/>
      <c r="AA124" s="733"/>
      <c r="AB124" s="1251"/>
      <c r="AC124" s="733"/>
      <c r="AD124" s="736"/>
      <c r="AE124" s="737"/>
      <c r="AF124" s="738"/>
      <c r="AG124" s="1256"/>
      <c r="AI124" s="13"/>
    </row>
    <row r="125" spans="1:35" s="5" customFormat="1">
      <c r="A125" s="1503">
        <f t="shared" si="39"/>
        <v>15</v>
      </c>
      <c r="B125" s="295"/>
      <c r="C125" s="166"/>
      <c r="D125" s="46"/>
      <c r="E125" s="179"/>
      <c r="F125" s="1346"/>
      <c r="G125" s="693"/>
      <c r="H125" s="167"/>
      <c r="I125" s="167"/>
      <c r="J125" s="167"/>
      <c r="K125" s="79"/>
      <c r="L125" s="154"/>
      <c r="M125" s="692"/>
      <c r="N125" s="151"/>
      <c r="O125" s="2421"/>
      <c r="P125" s="577"/>
      <c r="Q125" s="150"/>
      <c r="R125" s="1565"/>
      <c r="S125" s="1327"/>
      <c r="T125" s="734"/>
      <c r="U125" s="1453"/>
      <c r="V125" s="733"/>
      <c r="W125" s="733"/>
      <c r="X125" s="733"/>
      <c r="Y125" s="733"/>
      <c r="Z125" s="1252"/>
      <c r="AA125" s="733"/>
      <c r="AB125" s="1251"/>
      <c r="AC125" s="733"/>
      <c r="AD125" s="736"/>
      <c r="AE125" s="737"/>
      <c r="AF125" s="738"/>
      <c r="AG125" s="1256"/>
      <c r="AI125" s="13"/>
    </row>
    <row r="126" spans="1:35" s="5" customFormat="1">
      <c r="A126" s="1503">
        <f t="shared" si="39"/>
        <v>16</v>
      </c>
      <c r="B126" s="295"/>
      <c r="C126" s="166"/>
      <c r="D126" s="46"/>
      <c r="E126" s="179"/>
      <c r="F126" s="1346"/>
      <c r="G126" s="693"/>
      <c r="H126" s="167"/>
      <c r="I126" s="167"/>
      <c r="J126" s="167"/>
      <c r="K126" s="79"/>
      <c r="L126" s="154"/>
      <c r="M126" s="692"/>
      <c r="N126" s="151"/>
      <c r="O126" s="2421"/>
      <c r="P126" s="577"/>
      <c r="Q126" s="150"/>
      <c r="R126" s="1565"/>
      <c r="S126" s="1327"/>
      <c r="T126" s="734"/>
      <c r="U126" s="1453"/>
      <c r="V126" s="733"/>
      <c r="W126" s="733"/>
      <c r="X126" s="733"/>
      <c r="Y126" s="733"/>
      <c r="Z126" s="1252"/>
      <c r="AA126" s="733"/>
      <c r="AB126" s="1251"/>
      <c r="AC126" s="733"/>
      <c r="AD126" s="736"/>
      <c r="AE126" s="737"/>
      <c r="AF126" s="738"/>
      <c r="AG126" s="1256"/>
      <c r="AI126" s="13"/>
    </row>
    <row r="127" spans="1:35" s="5" customFormat="1">
      <c r="A127" s="1503">
        <f t="shared" si="39"/>
        <v>17</v>
      </c>
      <c r="B127" s="295"/>
      <c r="C127" s="166"/>
      <c r="D127" s="46"/>
      <c r="E127" s="179"/>
      <c r="F127" s="1346"/>
      <c r="G127" s="693"/>
      <c r="H127" s="167"/>
      <c r="I127" s="167"/>
      <c r="J127" s="167"/>
      <c r="K127" s="79"/>
      <c r="L127" s="154"/>
      <c r="M127" s="692"/>
      <c r="N127" s="151"/>
      <c r="O127" s="2421"/>
      <c r="P127" s="577"/>
      <c r="Q127" s="150"/>
      <c r="R127" s="1565"/>
      <c r="S127" s="1327"/>
      <c r="T127" s="734"/>
      <c r="U127" s="1453"/>
      <c r="V127" s="733"/>
      <c r="W127" s="733"/>
      <c r="X127" s="733"/>
      <c r="Y127" s="733"/>
      <c r="Z127" s="1252"/>
      <c r="AA127" s="733"/>
      <c r="AB127" s="1251"/>
      <c r="AC127" s="733"/>
      <c r="AD127" s="736"/>
      <c r="AE127" s="737"/>
      <c r="AF127" s="738"/>
      <c r="AG127" s="1256"/>
      <c r="AI127" s="13"/>
    </row>
    <row r="128" spans="1:35" s="5" customFormat="1">
      <c r="A128" s="1503">
        <f t="shared" si="39"/>
        <v>18</v>
      </c>
      <c r="B128" s="295"/>
      <c r="C128" s="166"/>
      <c r="D128" s="46"/>
      <c r="E128" s="179"/>
      <c r="F128" s="1346"/>
      <c r="G128" s="693"/>
      <c r="H128" s="167"/>
      <c r="I128" s="167"/>
      <c r="J128" s="167"/>
      <c r="K128" s="79"/>
      <c r="L128" s="154"/>
      <c r="M128" s="692"/>
      <c r="N128" s="151"/>
      <c r="O128" s="2421"/>
      <c r="P128" s="577"/>
      <c r="Q128" s="150"/>
      <c r="R128" s="1565"/>
      <c r="S128" s="1327"/>
      <c r="T128" s="734"/>
      <c r="U128" s="1453"/>
      <c r="V128" s="733"/>
      <c r="W128" s="733"/>
      <c r="X128" s="733"/>
      <c r="Y128" s="733"/>
      <c r="Z128" s="1252"/>
      <c r="AA128" s="733"/>
      <c r="AB128" s="1251"/>
      <c r="AC128" s="733"/>
      <c r="AD128" s="736"/>
      <c r="AE128" s="737"/>
      <c r="AF128" s="738"/>
      <c r="AG128" s="1256"/>
      <c r="AI128" s="13"/>
    </row>
    <row r="129" spans="1:35" s="5" customFormat="1">
      <c r="A129" s="1503">
        <f t="shared" si="39"/>
        <v>19</v>
      </c>
      <c r="B129" s="295"/>
      <c r="C129" s="166"/>
      <c r="D129" s="46"/>
      <c r="E129" s="179"/>
      <c r="F129" s="1346"/>
      <c r="G129" s="693"/>
      <c r="H129" s="167"/>
      <c r="I129" s="167"/>
      <c r="J129" s="167"/>
      <c r="K129" s="79"/>
      <c r="L129" s="154"/>
      <c r="M129" s="692"/>
      <c r="N129" s="151"/>
      <c r="O129" s="2421"/>
      <c r="P129" s="577"/>
      <c r="Q129" s="150"/>
      <c r="R129" s="1565"/>
      <c r="S129" s="1327"/>
      <c r="T129" s="734"/>
      <c r="U129" s="1453"/>
      <c r="V129" s="733"/>
      <c r="W129" s="733"/>
      <c r="X129" s="733"/>
      <c r="Y129" s="733"/>
      <c r="Z129" s="1252"/>
      <c r="AA129" s="733"/>
      <c r="AB129" s="1251"/>
      <c r="AC129" s="733"/>
      <c r="AD129" s="736"/>
      <c r="AE129" s="737"/>
      <c r="AF129" s="738"/>
      <c r="AG129" s="1256"/>
      <c r="AI129" s="13"/>
    </row>
    <row r="130" spans="1:35" s="5" customFormat="1">
      <c r="A130" s="1503">
        <v>87</v>
      </c>
      <c r="B130" s="295"/>
      <c r="C130" s="166"/>
      <c r="D130" s="46"/>
      <c r="E130" s="179"/>
      <c r="F130" s="1346"/>
      <c r="G130" s="693"/>
      <c r="H130" s="167"/>
      <c r="I130" s="167"/>
      <c r="J130" s="167"/>
      <c r="K130" s="1236"/>
      <c r="L130" s="154"/>
      <c r="M130" s="692"/>
      <c r="N130" s="151"/>
      <c r="O130" s="2421"/>
      <c r="P130" s="577"/>
      <c r="Q130" s="150"/>
      <c r="R130" s="1565"/>
      <c r="S130" s="1327"/>
      <c r="T130" s="1252"/>
      <c r="U130" s="1453"/>
      <c r="V130" s="1251"/>
      <c r="W130" s="1251"/>
      <c r="X130" s="1251"/>
      <c r="Y130" s="1251"/>
      <c r="Z130" s="1252"/>
      <c r="AA130" s="1251"/>
      <c r="AB130" s="1251"/>
      <c r="AC130" s="1251"/>
      <c r="AD130" s="1253"/>
      <c r="AE130" s="1254"/>
      <c r="AF130" s="1255"/>
      <c r="AG130" s="1256"/>
      <c r="AI130" s="13"/>
    </row>
    <row r="131" spans="1:35" s="5" customFormat="1">
      <c r="A131" s="1503">
        <v>88</v>
      </c>
      <c r="B131" s="1289"/>
      <c r="C131" s="166"/>
      <c r="D131" s="46"/>
      <c r="E131" s="179"/>
      <c r="F131" s="1346"/>
      <c r="G131" s="693"/>
      <c r="H131" s="1257"/>
      <c r="I131" s="1257"/>
      <c r="J131" s="1257"/>
      <c r="K131" s="1250"/>
      <c r="L131" s="154"/>
      <c r="M131" s="692"/>
      <c r="N131" s="151"/>
      <c r="O131" s="2421"/>
      <c r="P131" s="577"/>
      <c r="Q131" s="150"/>
      <c r="R131" s="1565"/>
      <c r="S131" s="1327"/>
      <c r="T131" s="1252"/>
      <c r="U131" s="1453"/>
      <c r="V131" s="1251"/>
      <c r="W131" s="1251"/>
      <c r="X131" s="1251"/>
      <c r="Y131" s="1251"/>
      <c r="Z131" s="1252"/>
      <c r="AA131" s="1251"/>
      <c r="AB131" s="1251"/>
      <c r="AC131" s="1251"/>
      <c r="AD131" s="1253"/>
      <c r="AE131" s="1254"/>
      <c r="AF131" s="1255"/>
      <c r="AG131" s="1256"/>
      <c r="AI131" s="13"/>
    </row>
    <row r="132" spans="1:35" s="5" customFormat="1">
      <c r="A132" s="1"/>
      <c r="B132" s="6"/>
      <c r="C132" s="4"/>
      <c r="D132" s="3"/>
      <c r="E132" s="4"/>
      <c r="F132" s="4"/>
      <c r="G132" s="4"/>
      <c r="H132" s="6"/>
      <c r="I132" s="6"/>
      <c r="J132" s="6"/>
      <c r="K132" s="11"/>
      <c r="N132" s="7"/>
      <c r="O132" s="7"/>
      <c r="Q132" s="6"/>
      <c r="R132" s="1"/>
      <c r="S132" s="6"/>
      <c r="T132" s="725"/>
      <c r="U132" s="725"/>
      <c r="V132" s="724"/>
      <c r="W132" s="724"/>
      <c r="X132" s="724"/>
      <c r="Y132" s="724"/>
      <c r="Z132" s="725"/>
      <c r="AA132" s="724"/>
      <c r="AB132" s="724"/>
      <c r="AC132" s="724"/>
      <c r="AD132" s="727"/>
      <c r="AE132" s="728"/>
      <c r="AF132" s="729"/>
      <c r="AG132" s="730"/>
      <c r="AI132" s="13"/>
    </row>
    <row r="133" spans="1:35" s="5" customFormat="1">
      <c r="A133" s="1"/>
      <c r="B133" s="6"/>
      <c r="C133" s="4"/>
      <c r="D133" s="3"/>
      <c r="E133" s="4"/>
      <c r="F133" s="4"/>
      <c r="G133" s="4"/>
      <c r="H133" s="6"/>
      <c r="I133" s="6"/>
      <c r="J133" s="6"/>
      <c r="K133" s="11"/>
      <c r="N133" s="7"/>
      <c r="O133" s="7"/>
      <c r="Q133" s="6"/>
      <c r="R133" s="1"/>
      <c r="S133" s="6"/>
      <c r="T133" s="725"/>
      <c r="U133" s="725"/>
      <c r="V133" s="724"/>
      <c r="W133" s="724"/>
      <c r="X133" s="724"/>
      <c r="Y133" s="724"/>
      <c r="Z133" s="725"/>
      <c r="AA133" s="724"/>
      <c r="AB133" s="724"/>
      <c r="AC133" s="724"/>
      <c r="AD133" s="727"/>
      <c r="AE133" s="728"/>
      <c r="AF133" s="729"/>
      <c r="AG133" s="730"/>
      <c r="AI133" s="13"/>
    </row>
    <row r="134" spans="1:35" s="5" customFormat="1">
      <c r="A134" s="1"/>
      <c r="B134" s="6"/>
      <c r="C134" s="4"/>
      <c r="D134" s="3"/>
      <c r="E134" s="4"/>
      <c r="F134" s="4"/>
      <c r="G134" s="4"/>
      <c r="H134" s="6"/>
      <c r="I134" s="6"/>
      <c r="J134" s="6"/>
      <c r="K134" s="11"/>
      <c r="N134" s="7"/>
      <c r="O134" s="7"/>
      <c r="Q134" s="6"/>
      <c r="R134" s="1"/>
      <c r="S134" s="6"/>
      <c r="T134" s="725"/>
      <c r="U134" s="725"/>
      <c r="V134" s="724"/>
      <c r="W134" s="724"/>
      <c r="X134" s="724"/>
      <c r="Y134" s="724"/>
      <c r="Z134" s="725"/>
      <c r="AA134" s="724"/>
      <c r="AB134" s="724"/>
      <c r="AC134" s="724"/>
      <c r="AD134" s="727"/>
      <c r="AE134" s="728"/>
      <c r="AF134" s="729"/>
      <c r="AG134" s="730"/>
      <c r="AI134" s="13"/>
    </row>
    <row r="135" spans="1:35" s="5" customFormat="1">
      <c r="A135" s="1"/>
      <c r="B135" s="6"/>
      <c r="C135" s="4"/>
      <c r="D135" s="3"/>
      <c r="E135" s="4"/>
      <c r="F135" s="4"/>
      <c r="G135" s="4"/>
      <c r="H135" s="6"/>
      <c r="I135" s="6"/>
      <c r="J135" s="6"/>
      <c r="K135" s="11"/>
      <c r="N135" s="7"/>
      <c r="O135" s="7"/>
      <c r="Q135" s="6"/>
      <c r="R135" s="1"/>
      <c r="S135" s="6"/>
      <c r="T135" s="725"/>
      <c r="U135" s="725"/>
      <c r="V135" s="724"/>
      <c r="W135" s="724"/>
      <c r="X135" s="724"/>
      <c r="Y135" s="724"/>
      <c r="Z135" s="725"/>
      <c r="AA135" s="724"/>
      <c r="AB135" s="724"/>
      <c r="AC135" s="724"/>
      <c r="AD135" s="727"/>
      <c r="AE135" s="728"/>
      <c r="AF135" s="729"/>
      <c r="AG135" s="730"/>
      <c r="AI135" s="13"/>
    </row>
    <row r="136" spans="1:35" s="5" customFormat="1">
      <c r="A136" s="1"/>
      <c r="B136" s="6"/>
      <c r="C136" s="4"/>
      <c r="D136" s="3"/>
      <c r="E136" s="4"/>
      <c r="F136" s="4"/>
      <c r="G136" s="4"/>
      <c r="H136" s="6"/>
      <c r="I136" s="6"/>
      <c r="J136" s="6"/>
      <c r="K136" s="11"/>
      <c r="N136" s="7"/>
      <c r="O136" s="7"/>
      <c r="Q136" s="6"/>
      <c r="R136" s="1"/>
      <c r="S136" s="6"/>
      <c r="T136" s="725"/>
      <c r="U136" s="725"/>
      <c r="V136" s="724"/>
      <c r="W136" s="724"/>
      <c r="X136" s="724"/>
      <c r="Y136" s="724"/>
      <c r="Z136" s="725"/>
      <c r="AA136" s="724"/>
      <c r="AB136" s="724"/>
      <c r="AC136" s="724"/>
      <c r="AD136" s="727"/>
      <c r="AE136" s="728"/>
      <c r="AF136" s="729"/>
      <c r="AG136" s="730"/>
      <c r="AI136" s="13"/>
    </row>
    <row r="137" spans="1:35" s="5" customFormat="1">
      <c r="A137" s="1"/>
      <c r="B137" s="6"/>
      <c r="C137" s="4"/>
      <c r="D137" s="3"/>
      <c r="E137" s="4"/>
      <c r="F137" s="4"/>
      <c r="G137" s="4"/>
      <c r="H137" s="6"/>
      <c r="I137" s="6"/>
      <c r="J137" s="6"/>
      <c r="K137" s="11"/>
      <c r="N137" s="7"/>
      <c r="O137" s="7"/>
      <c r="Q137" s="6"/>
      <c r="R137" s="1"/>
      <c r="S137" s="6"/>
      <c r="T137" s="725"/>
      <c r="U137" s="725"/>
      <c r="V137" s="724"/>
      <c r="W137" s="724"/>
      <c r="X137" s="724"/>
      <c r="Y137" s="724"/>
      <c r="Z137" s="725"/>
      <c r="AA137" s="724"/>
      <c r="AB137" s="724"/>
      <c r="AC137" s="724"/>
      <c r="AD137" s="727"/>
      <c r="AE137" s="728"/>
      <c r="AF137" s="729"/>
      <c r="AG137" s="730"/>
      <c r="AI137" s="13"/>
    </row>
    <row r="138" spans="1:35" s="5" customFormat="1">
      <c r="A138" s="1"/>
      <c r="B138" s="6"/>
      <c r="C138" s="4"/>
      <c r="D138" s="3"/>
      <c r="E138" s="4"/>
      <c r="F138" s="4"/>
      <c r="G138" s="4"/>
      <c r="H138" s="6"/>
      <c r="I138" s="6"/>
      <c r="J138" s="6"/>
      <c r="K138" s="11"/>
      <c r="N138" s="7"/>
      <c r="O138" s="7"/>
      <c r="Q138" s="6"/>
      <c r="R138" s="1"/>
      <c r="S138" s="6"/>
      <c r="T138" s="725"/>
      <c r="U138" s="725"/>
      <c r="V138" s="724"/>
      <c r="W138" s="724"/>
      <c r="X138" s="724"/>
      <c r="Y138" s="724"/>
      <c r="Z138" s="725"/>
      <c r="AA138" s="724"/>
      <c r="AB138" s="724"/>
      <c r="AC138" s="724"/>
      <c r="AD138" s="727"/>
      <c r="AE138" s="728"/>
      <c r="AF138" s="729"/>
      <c r="AG138" s="730"/>
      <c r="AI138" s="13"/>
    </row>
    <row r="139" spans="1:35" s="5" customFormat="1">
      <c r="A139" s="1"/>
      <c r="B139" s="6"/>
      <c r="C139" s="4"/>
      <c r="D139" s="3"/>
      <c r="E139" s="4"/>
      <c r="F139" s="4"/>
      <c r="G139" s="4"/>
      <c r="H139" s="6"/>
      <c r="I139" s="6"/>
      <c r="J139" s="6"/>
      <c r="K139" s="11"/>
      <c r="N139" s="7"/>
      <c r="O139" s="7"/>
      <c r="Q139" s="6"/>
      <c r="R139" s="1"/>
      <c r="S139" s="6"/>
      <c r="T139" s="725"/>
      <c r="U139" s="725"/>
      <c r="V139" s="724"/>
      <c r="W139" s="724"/>
      <c r="X139" s="724"/>
      <c r="Y139" s="724"/>
      <c r="Z139" s="725"/>
      <c r="AA139" s="724"/>
      <c r="AB139" s="724"/>
      <c r="AC139" s="724"/>
      <c r="AD139" s="727"/>
      <c r="AE139" s="728"/>
      <c r="AF139" s="729"/>
      <c r="AG139" s="730"/>
      <c r="AI139" s="13"/>
    </row>
    <row r="140" spans="1:35" s="5" customFormat="1">
      <c r="A140" s="1"/>
      <c r="B140" s="6"/>
      <c r="C140" s="4"/>
      <c r="D140" s="3"/>
      <c r="E140" s="4"/>
      <c r="F140" s="4"/>
      <c r="G140" s="4"/>
      <c r="H140" s="6"/>
      <c r="I140" s="6"/>
      <c r="J140" s="6"/>
      <c r="K140" s="11"/>
      <c r="N140" s="7"/>
      <c r="O140" s="7"/>
      <c r="Q140" s="6"/>
      <c r="R140" s="1"/>
      <c r="S140" s="6"/>
      <c r="T140" s="725"/>
      <c r="U140" s="725"/>
      <c r="V140" s="724"/>
      <c r="W140" s="724"/>
      <c r="X140" s="724"/>
      <c r="Y140" s="724"/>
      <c r="Z140" s="725"/>
      <c r="AA140" s="724"/>
      <c r="AB140" s="724"/>
      <c r="AC140" s="724"/>
      <c r="AD140" s="727"/>
      <c r="AE140" s="728"/>
      <c r="AF140" s="729"/>
      <c r="AG140" s="730"/>
      <c r="AI140" s="13"/>
    </row>
    <row r="141" spans="1:35" s="5" customFormat="1">
      <c r="A141" s="1"/>
      <c r="B141" s="6"/>
      <c r="C141" s="4"/>
      <c r="D141" s="3"/>
      <c r="E141" s="4"/>
      <c r="F141" s="4"/>
      <c r="G141" s="4"/>
      <c r="H141" s="6"/>
      <c r="I141" s="6"/>
      <c r="J141" s="6"/>
      <c r="K141" s="11"/>
      <c r="N141" s="7"/>
      <c r="O141" s="7"/>
      <c r="Q141" s="6"/>
      <c r="R141" s="1"/>
      <c r="S141" s="6"/>
      <c r="T141" s="725"/>
      <c r="U141" s="725"/>
      <c r="V141" s="724"/>
      <c r="W141" s="724"/>
      <c r="X141" s="724"/>
      <c r="Y141" s="724"/>
      <c r="Z141" s="725"/>
      <c r="AA141" s="724"/>
      <c r="AB141" s="724"/>
      <c r="AC141" s="724"/>
      <c r="AD141" s="727"/>
      <c r="AE141" s="728"/>
      <c r="AF141" s="729"/>
      <c r="AG141" s="730"/>
      <c r="AI141" s="13"/>
    </row>
    <row r="142" spans="1:35" s="5" customFormat="1">
      <c r="A142" s="1"/>
      <c r="B142" s="6"/>
      <c r="C142" s="4"/>
      <c r="D142" s="3"/>
      <c r="E142" s="4"/>
      <c r="F142" s="4"/>
      <c r="G142" s="4"/>
      <c r="H142" s="6"/>
      <c r="I142" s="6"/>
      <c r="J142" s="6"/>
      <c r="K142" s="11"/>
      <c r="N142" s="7"/>
      <c r="O142" s="7"/>
      <c r="Q142" s="6"/>
      <c r="R142" s="1"/>
      <c r="S142" s="6"/>
      <c r="T142" s="725"/>
      <c r="U142" s="725"/>
      <c r="V142" s="724"/>
      <c r="W142" s="724"/>
      <c r="X142" s="724"/>
      <c r="Y142" s="724"/>
      <c r="Z142" s="725"/>
      <c r="AA142" s="724"/>
      <c r="AB142" s="724"/>
      <c r="AC142" s="724"/>
      <c r="AD142" s="727"/>
      <c r="AE142" s="728"/>
      <c r="AF142" s="729"/>
      <c r="AG142" s="730"/>
      <c r="AI142" s="13"/>
    </row>
    <row r="143" spans="1:35" s="5" customFormat="1">
      <c r="A143" s="1"/>
      <c r="B143" s="6"/>
      <c r="C143" s="4"/>
      <c r="D143" s="3"/>
      <c r="E143" s="4"/>
      <c r="F143" s="4"/>
      <c r="G143" s="4"/>
      <c r="H143" s="6"/>
      <c r="I143" s="6"/>
      <c r="J143" s="6"/>
      <c r="K143" s="11"/>
      <c r="N143" s="7"/>
      <c r="O143" s="7"/>
      <c r="Q143" s="6"/>
      <c r="R143" s="1"/>
      <c r="S143" s="6"/>
      <c r="T143" s="725"/>
      <c r="U143" s="725"/>
      <c r="V143" s="724"/>
      <c r="W143" s="724"/>
      <c r="X143" s="724"/>
      <c r="Y143" s="724"/>
      <c r="Z143" s="725"/>
      <c r="AA143" s="724"/>
      <c r="AB143" s="724"/>
      <c r="AC143" s="724"/>
      <c r="AD143" s="727"/>
      <c r="AE143" s="728"/>
      <c r="AF143" s="729"/>
      <c r="AG143" s="730"/>
      <c r="AI143" s="13"/>
    </row>
    <row r="144" spans="1:35" s="5" customFormat="1">
      <c r="A144" s="1"/>
      <c r="B144" s="6"/>
      <c r="C144" s="4"/>
      <c r="D144" s="3"/>
      <c r="E144" s="4"/>
      <c r="F144" s="4"/>
      <c r="G144" s="4"/>
      <c r="H144" s="6"/>
      <c r="I144" s="6"/>
      <c r="J144" s="6"/>
      <c r="K144" s="11"/>
      <c r="N144" s="7"/>
      <c r="O144" s="7"/>
      <c r="Q144" s="6"/>
      <c r="R144" s="1"/>
      <c r="S144" s="6"/>
      <c r="T144" s="725"/>
      <c r="U144" s="725"/>
      <c r="V144" s="724"/>
      <c r="W144" s="724"/>
      <c r="X144" s="724"/>
      <c r="Y144" s="724"/>
      <c r="Z144" s="725"/>
      <c r="AA144" s="724"/>
      <c r="AB144" s="724"/>
      <c r="AC144" s="724"/>
      <c r="AD144" s="727"/>
      <c r="AE144" s="728"/>
      <c r="AF144" s="729"/>
      <c r="AG144" s="730"/>
      <c r="AI144" s="13"/>
    </row>
    <row r="145" spans="1:35" s="5" customFormat="1">
      <c r="A145" s="1"/>
      <c r="B145" s="6"/>
      <c r="C145" s="4"/>
      <c r="D145" s="3"/>
      <c r="E145" s="4"/>
      <c r="F145" s="4"/>
      <c r="G145" s="4"/>
      <c r="H145" s="6"/>
      <c r="I145" s="6"/>
      <c r="J145" s="6"/>
      <c r="K145" s="11"/>
      <c r="N145" s="7"/>
      <c r="O145" s="7"/>
      <c r="Q145" s="6"/>
      <c r="R145" s="1"/>
      <c r="S145" s="6"/>
      <c r="T145" s="725"/>
      <c r="U145" s="725"/>
      <c r="V145" s="724"/>
      <c r="W145" s="724"/>
      <c r="X145" s="724"/>
      <c r="Y145" s="724"/>
      <c r="Z145" s="725"/>
      <c r="AA145" s="724"/>
      <c r="AB145" s="724"/>
      <c r="AC145" s="724"/>
      <c r="AD145" s="727"/>
      <c r="AE145" s="728"/>
      <c r="AF145" s="729"/>
      <c r="AG145" s="730"/>
      <c r="AI145" s="13"/>
    </row>
    <row r="146" spans="1:35" s="5" customFormat="1">
      <c r="A146" s="1"/>
      <c r="B146" s="6"/>
      <c r="C146" s="4"/>
      <c r="D146" s="3"/>
      <c r="E146" s="4"/>
      <c r="F146" s="4"/>
      <c r="G146" s="4"/>
      <c r="H146" s="6"/>
      <c r="I146" s="6"/>
      <c r="J146" s="6"/>
      <c r="K146" s="11"/>
      <c r="N146" s="7"/>
      <c r="O146" s="7"/>
      <c r="Q146" s="6"/>
      <c r="R146" s="1"/>
      <c r="S146" s="6"/>
      <c r="T146" s="725"/>
      <c r="U146" s="725"/>
      <c r="V146" s="724"/>
      <c r="W146" s="724"/>
      <c r="X146" s="724"/>
      <c r="Y146" s="724"/>
      <c r="Z146" s="725"/>
      <c r="AA146" s="724"/>
      <c r="AB146" s="724"/>
      <c r="AC146" s="724"/>
      <c r="AD146" s="727"/>
      <c r="AE146" s="728"/>
      <c r="AF146" s="729"/>
      <c r="AG146" s="730"/>
      <c r="AI146" s="13"/>
    </row>
    <row r="147" spans="1:35" s="5" customFormat="1">
      <c r="A147" s="1"/>
      <c r="B147" s="6"/>
      <c r="C147" s="4"/>
      <c r="D147" s="3"/>
      <c r="E147" s="4"/>
      <c r="F147" s="4"/>
      <c r="G147" s="4"/>
      <c r="H147" s="6"/>
      <c r="I147" s="6"/>
      <c r="J147" s="6"/>
      <c r="K147" s="11"/>
      <c r="N147" s="7"/>
      <c r="O147" s="7"/>
      <c r="Q147" s="6"/>
      <c r="R147" s="1"/>
      <c r="S147" s="6"/>
      <c r="T147" s="725"/>
      <c r="U147" s="725"/>
      <c r="V147" s="724"/>
      <c r="W147" s="724"/>
      <c r="X147" s="724"/>
      <c r="Y147" s="724"/>
      <c r="Z147" s="725"/>
      <c r="AA147" s="724"/>
      <c r="AB147" s="724"/>
      <c r="AC147" s="724"/>
      <c r="AD147" s="727"/>
      <c r="AE147" s="728"/>
      <c r="AF147" s="729"/>
      <c r="AG147" s="730"/>
      <c r="AI147" s="13"/>
    </row>
    <row r="148" spans="1:35" s="5" customFormat="1">
      <c r="A148" s="1"/>
      <c r="B148" s="6"/>
      <c r="C148" s="4"/>
      <c r="D148" s="3"/>
      <c r="E148" s="4"/>
      <c r="F148" s="4"/>
      <c r="G148" s="4"/>
      <c r="H148" s="6"/>
      <c r="I148" s="6"/>
      <c r="J148" s="6"/>
      <c r="K148" s="11"/>
      <c r="N148" s="7"/>
      <c r="O148" s="7"/>
      <c r="Q148" s="6"/>
      <c r="R148" s="1"/>
      <c r="S148" s="6"/>
      <c r="T148" s="725"/>
      <c r="U148" s="725"/>
      <c r="V148" s="724"/>
      <c r="W148" s="724"/>
      <c r="X148" s="724"/>
      <c r="Y148" s="724"/>
      <c r="Z148" s="725"/>
      <c r="AA148" s="724"/>
      <c r="AB148" s="724"/>
      <c r="AC148" s="724"/>
      <c r="AD148" s="727"/>
      <c r="AE148" s="728"/>
      <c r="AF148" s="729"/>
      <c r="AG148" s="730"/>
      <c r="AI148" s="13"/>
    </row>
    <row r="149" spans="1:35" s="5" customFormat="1">
      <c r="A149" s="1"/>
      <c r="B149" s="6"/>
      <c r="C149" s="4"/>
      <c r="D149" s="3"/>
      <c r="E149" s="4"/>
      <c r="F149" s="4"/>
      <c r="G149" s="4"/>
      <c r="H149" s="6"/>
      <c r="I149" s="6"/>
      <c r="J149" s="6"/>
      <c r="K149" s="11"/>
      <c r="N149" s="7"/>
      <c r="O149" s="7"/>
      <c r="Q149" s="6"/>
      <c r="R149" s="1"/>
      <c r="S149" s="6"/>
      <c r="T149" s="725"/>
      <c r="U149" s="725"/>
      <c r="V149" s="724"/>
      <c r="W149" s="724"/>
      <c r="X149" s="724"/>
      <c r="Y149" s="724"/>
      <c r="Z149" s="725"/>
      <c r="AA149" s="724"/>
      <c r="AB149" s="724"/>
      <c r="AC149" s="724"/>
      <c r="AD149" s="727"/>
      <c r="AE149" s="728"/>
      <c r="AF149" s="729"/>
      <c r="AG149" s="730"/>
      <c r="AI149" s="13"/>
    </row>
    <row r="150" spans="1:35" s="5" customFormat="1">
      <c r="A150" s="1"/>
      <c r="B150" s="6"/>
      <c r="C150" s="4"/>
      <c r="D150" s="3"/>
      <c r="E150" s="4"/>
      <c r="F150" s="4"/>
      <c r="G150" s="4"/>
      <c r="H150" s="6"/>
      <c r="I150" s="6"/>
      <c r="J150" s="6"/>
      <c r="K150" s="11"/>
      <c r="N150" s="7"/>
      <c r="O150" s="7"/>
      <c r="Q150" s="6"/>
      <c r="R150" s="1"/>
      <c r="S150" s="6"/>
      <c r="T150" s="725"/>
      <c r="U150" s="725"/>
      <c r="V150" s="724"/>
      <c r="W150" s="724"/>
      <c r="X150" s="724"/>
      <c r="Y150" s="724"/>
      <c r="Z150" s="725"/>
      <c r="AA150" s="724"/>
      <c r="AB150" s="724"/>
      <c r="AC150" s="724"/>
      <c r="AD150" s="727"/>
      <c r="AE150" s="728"/>
      <c r="AF150" s="729"/>
      <c r="AG150" s="730"/>
      <c r="AI150" s="13"/>
    </row>
    <row r="151" spans="1:35" s="5" customFormat="1">
      <c r="A151" s="1"/>
      <c r="B151" s="6"/>
      <c r="C151" s="4"/>
      <c r="D151" s="3"/>
      <c r="E151" s="4"/>
      <c r="F151" s="4"/>
      <c r="G151" s="4"/>
      <c r="H151" s="6"/>
      <c r="I151" s="6"/>
      <c r="J151" s="6"/>
      <c r="K151" s="11"/>
      <c r="N151" s="7"/>
      <c r="O151" s="7"/>
      <c r="Q151" s="6"/>
      <c r="R151" s="1"/>
      <c r="S151" s="6"/>
      <c r="T151" s="725"/>
      <c r="U151" s="725"/>
      <c r="V151" s="724"/>
      <c r="W151" s="724"/>
      <c r="X151" s="724"/>
      <c r="Y151" s="724"/>
      <c r="Z151" s="725"/>
      <c r="AA151" s="724"/>
      <c r="AB151" s="724"/>
      <c r="AC151" s="724"/>
      <c r="AD151" s="727"/>
      <c r="AE151" s="728"/>
      <c r="AF151" s="729"/>
      <c r="AG151" s="730"/>
      <c r="AI151" s="13"/>
    </row>
    <row r="152" spans="1:35" s="5" customFormat="1">
      <c r="A152" s="1"/>
      <c r="B152" s="6"/>
      <c r="C152" s="4"/>
      <c r="D152" s="3"/>
      <c r="E152" s="4"/>
      <c r="F152" s="4"/>
      <c r="G152" s="4"/>
      <c r="H152" s="6"/>
      <c r="I152" s="6"/>
      <c r="J152" s="6"/>
      <c r="K152" s="11"/>
      <c r="N152" s="7"/>
      <c r="O152" s="7"/>
      <c r="Q152" s="6"/>
      <c r="R152" s="1"/>
      <c r="S152" s="6"/>
      <c r="T152" s="725"/>
      <c r="U152" s="725"/>
      <c r="V152" s="724"/>
      <c r="W152" s="724"/>
      <c r="X152" s="724"/>
      <c r="Y152" s="724"/>
      <c r="Z152" s="725"/>
      <c r="AA152" s="724"/>
      <c r="AB152" s="724"/>
      <c r="AC152" s="724"/>
      <c r="AD152" s="727"/>
      <c r="AE152" s="728"/>
      <c r="AF152" s="729"/>
      <c r="AG152" s="730"/>
      <c r="AI152" s="13"/>
    </row>
    <row r="153" spans="1:35" s="5" customFormat="1">
      <c r="A153" s="1"/>
      <c r="B153" s="6"/>
      <c r="C153" s="4"/>
      <c r="D153" s="3"/>
      <c r="E153" s="4"/>
      <c r="F153" s="4"/>
      <c r="G153" s="4"/>
      <c r="H153" s="6"/>
      <c r="I153" s="6"/>
      <c r="J153" s="6"/>
      <c r="K153" s="11"/>
      <c r="N153" s="7"/>
      <c r="O153" s="7"/>
      <c r="Q153" s="6"/>
      <c r="R153" s="1"/>
      <c r="S153" s="6"/>
      <c r="T153" s="725"/>
      <c r="U153" s="725"/>
      <c r="V153" s="724"/>
      <c r="W153" s="724"/>
      <c r="X153" s="724"/>
      <c r="Y153" s="724"/>
      <c r="Z153" s="725"/>
      <c r="AA153" s="724"/>
      <c r="AB153" s="724"/>
      <c r="AC153" s="724"/>
      <c r="AD153" s="727"/>
      <c r="AE153" s="728"/>
      <c r="AF153" s="729"/>
      <c r="AG153" s="730"/>
      <c r="AI153" s="13"/>
    </row>
    <row r="154" spans="1:35" s="5" customFormat="1">
      <c r="A154" s="1"/>
      <c r="B154" s="6"/>
      <c r="C154" s="4"/>
      <c r="D154" s="3"/>
      <c r="E154" s="4"/>
      <c r="F154" s="4"/>
      <c r="G154" s="4"/>
      <c r="H154" s="6"/>
      <c r="I154" s="6"/>
      <c r="J154" s="6"/>
      <c r="K154" s="11"/>
      <c r="N154" s="7"/>
      <c r="O154" s="7"/>
      <c r="Q154" s="6"/>
      <c r="R154" s="1"/>
      <c r="S154" s="6"/>
      <c r="T154" s="725"/>
      <c r="U154" s="725"/>
      <c r="V154" s="724"/>
      <c r="W154" s="724"/>
      <c r="X154" s="724"/>
      <c r="Y154" s="724"/>
      <c r="Z154" s="725"/>
      <c r="AA154" s="724"/>
      <c r="AB154" s="724"/>
      <c r="AC154" s="724"/>
      <c r="AD154" s="727"/>
      <c r="AE154" s="728"/>
      <c r="AF154" s="729"/>
      <c r="AG154" s="730"/>
      <c r="AI154" s="13"/>
    </row>
    <row r="155" spans="1:35" s="5" customFormat="1">
      <c r="A155" s="1"/>
      <c r="B155" s="6"/>
      <c r="C155" s="4"/>
      <c r="D155" s="3"/>
      <c r="E155" s="4"/>
      <c r="F155" s="4"/>
      <c r="G155" s="4"/>
      <c r="H155" s="6"/>
      <c r="I155" s="6"/>
      <c r="J155" s="6"/>
      <c r="K155" s="11"/>
      <c r="N155" s="7"/>
      <c r="O155" s="7"/>
      <c r="Q155" s="6"/>
      <c r="R155" s="1"/>
      <c r="S155" s="6"/>
      <c r="T155" s="725"/>
      <c r="U155" s="725"/>
      <c r="V155" s="724"/>
      <c r="W155" s="724"/>
      <c r="X155" s="724"/>
      <c r="Y155" s="724"/>
      <c r="Z155" s="725"/>
      <c r="AA155" s="724"/>
      <c r="AB155" s="724"/>
      <c r="AC155" s="724"/>
      <c r="AD155" s="727"/>
      <c r="AE155" s="728"/>
      <c r="AF155" s="729"/>
      <c r="AG155" s="730"/>
      <c r="AI155" s="13"/>
    </row>
    <row r="156" spans="1:35" s="5" customFormat="1">
      <c r="A156" s="1"/>
      <c r="B156" s="6"/>
      <c r="C156" s="4"/>
      <c r="D156" s="3"/>
      <c r="E156" s="4"/>
      <c r="F156" s="4"/>
      <c r="G156" s="4"/>
      <c r="H156" s="6"/>
      <c r="I156" s="6"/>
      <c r="J156" s="6"/>
      <c r="K156" s="11"/>
      <c r="N156" s="7"/>
      <c r="O156" s="7"/>
      <c r="Q156" s="6"/>
      <c r="R156" s="1"/>
      <c r="S156" s="6"/>
      <c r="T156" s="725"/>
      <c r="U156" s="725"/>
      <c r="V156" s="724"/>
      <c r="W156" s="724"/>
      <c r="X156" s="724"/>
      <c r="Y156" s="724"/>
      <c r="Z156" s="725"/>
      <c r="AA156" s="724"/>
      <c r="AB156" s="724"/>
      <c r="AC156" s="724"/>
      <c r="AD156" s="727"/>
      <c r="AE156" s="728"/>
      <c r="AF156" s="729"/>
      <c r="AG156" s="730"/>
      <c r="AI156" s="13"/>
    </row>
    <row r="157" spans="1:35" s="5" customFormat="1">
      <c r="A157" s="1"/>
      <c r="B157" s="6"/>
      <c r="C157" s="4"/>
      <c r="D157" s="3"/>
      <c r="E157" s="4"/>
      <c r="F157" s="4"/>
      <c r="G157" s="4"/>
      <c r="H157" s="6"/>
      <c r="I157" s="6"/>
      <c r="J157" s="6"/>
      <c r="K157" s="11"/>
      <c r="N157" s="7"/>
      <c r="O157" s="7"/>
      <c r="Q157" s="6"/>
      <c r="R157" s="1"/>
      <c r="S157" s="6"/>
      <c r="T157" s="725"/>
      <c r="U157" s="725"/>
      <c r="V157" s="724"/>
      <c r="W157" s="724"/>
      <c r="X157" s="724"/>
      <c r="Y157" s="724"/>
      <c r="Z157" s="725"/>
      <c r="AA157" s="724"/>
      <c r="AB157" s="724"/>
      <c r="AC157" s="724"/>
      <c r="AD157" s="727"/>
      <c r="AE157" s="728"/>
      <c r="AF157" s="729"/>
      <c r="AG157" s="730"/>
      <c r="AI157" s="13"/>
    </row>
    <row r="158" spans="1:35" s="5" customFormat="1">
      <c r="A158" s="1"/>
      <c r="B158" s="6"/>
      <c r="C158" s="4"/>
      <c r="D158" s="3"/>
      <c r="E158" s="4"/>
      <c r="F158" s="4"/>
      <c r="G158" s="4"/>
      <c r="H158" s="6"/>
      <c r="I158" s="6"/>
      <c r="J158" s="6"/>
      <c r="K158" s="11"/>
      <c r="N158" s="7"/>
      <c r="O158" s="7"/>
      <c r="Q158" s="6"/>
      <c r="R158" s="1"/>
      <c r="S158" s="6"/>
      <c r="T158" s="725"/>
      <c r="U158" s="725"/>
      <c r="V158" s="724"/>
      <c r="W158" s="724"/>
      <c r="X158" s="724"/>
      <c r="Y158" s="724"/>
      <c r="Z158" s="725"/>
      <c r="AA158" s="724"/>
      <c r="AB158" s="724"/>
      <c r="AC158" s="724"/>
      <c r="AD158" s="727"/>
      <c r="AE158" s="728"/>
      <c r="AF158" s="729"/>
      <c r="AG158" s="730"/>
      <c r="AI158" s="13"/>
    </row>
    <row r="159" spans="1:35" s="5" customFormat="1">
      <c r="A159" s="1"/>
      <c r="B159" s="6"/>
      <c r="C159" s="4"/>
      <c r="D159" s="3"/>
      <c r="E159" s="4"/>
      <c r="F159" s="4"/>
      <c r="G159" s="4"/>
      <c r="H159" s="6"/>
      <c r="I159" s="6"/>
      <c r="J159" s="6"/>
      <c r="K159" s="11"/>
      <c r="N159" s="7"/>
      <c r="O159" s="7"/>
      <c r="Q159" s="6"/>
      <c r="R159" s="1"/>
      <c r="S159" s="6"/>
      <c r="T159" s="725"/>
      <c r="U159" s="725"/>
      <c r="V159" s="724"/>
      <c r="W159" s="724"/>
      <c r="X159" s="724"/>
      <c r="Y159" s="724"/>
      <c r="Z159" s="725"/>
      <c r="AA159" s="724"/>
      <c r="AB159" s="724"/>
      <c r="AC159" s="724"/>
      <c r="AD159" s="727"/>
      <c r="AE159" s="728"/>
      <c r="AF159" s="729"/>
      <c r="AG159" s="730"/>
      <c r="AI159" s="13"/>
    </row>
    <row r="160" spans="1:35" s="5" customFormat="1">
      <c r="A160" s="1"/>
      <c r="B160" s="6"/>
      <c r="C160" s="4"/>
      <c r="D160" s="3"/>
      <c r="E160" s="4"/>
      <c r="F160" s="4"/>
      <c r="G160" s="4"/>
      <c r="H160" s="6"/>
      <c r="I160" s="6"/>
      <c r="J160" s="6"/>
      <c r="K160" s="11"/>
      <c r="N160" s="7"/>
      <c r="O160" s="7"/>
      <c r="Q160" s="6"/>
      <c r="R160" s="1"/>
      <c r="S160" s="6"/>
      <c r="T160" s="725"/>
      <c r="U160" s="725"/>
      <c r="V160" s="724"/>
      <c r="W160" s="724"/>
      <c r="X160" s="724"/>
      <c r="Y160" s="724"/>
      <c r="Z160" s="725"/>
      <c r="AA160" s="724"/>
      <c r="AB160" s="724"/>
      <c r="AC160" s="724"/>
      <c r="AD160" s="727"/>
      <c r="AE160" s="728"/>
      <c r="AF160" s="729"/>
      <c r="AG160" s="730"/>
      <c r="AI160" s="13"/>
    </row>
    <row r="161" spans="1:35" s="5" customFormat="1">
      <c r="A161" s="1"/>
      <c r="B161" s="6"/>
      <c r="C161" s="4"/>
      <c r="D161" s="3"/>
      <c r="E161" s="4"/>
      <c r="F161" s="4"/>
      <c r="G161" s="4"/>
      <c r="H161" s="6"/>
      <c r="I161" s="6"/>
      <c r="J161" s="6"/>
      <c r="K161" s="11"/>
      <c r="N161" s="7"/>
      <c r="O161" s="7"/>
      <c r="Q161" s="6"/>
      <c r="R161" s="1"/>
      <c r="S161" s="6"/>
      <c r="T161" s="725"/>
      <c r="U161" s="725"/>
      <c r="V161" s="724"/>
      <c r="W161" s="724"/>
      <c r="X161" s="724"/>
      <c r="Y161" s="724"/>
      <c r="Z161" s="725"/>
      <c r="AA161" s="724"/>
      <c r="AB161" s="724"/>
      <c r="AC161" s="724"/>
      <c r="AD161" s="727"/>
      <c r="AE161" s="728"/>
      <c r="AF161" s="729"/>
      <c r="AG161" s="730"/>
      <c r="AI161" s="13"/>
    </row>
    <row r="162" spans="1:35" s="5" customFormat="1">
      <c r="A162" s="1"/>
      <c r="B162" s="6"/>
      <c r="C162" s="4"/>
      <c r="D162" s="3"/>
      <c r="E162" s="4"/>
      <c r="F162" s="4"/>
      <c r="G162" s="4"/>
      <c r="H162" s="6"/>
      <c r="I162" s="6"/>
      <c r="J162" s="6"/>
      <c r="K162" s="11"/>
      <c r="N162" s="7"/>
      <c r="O162" s="7"/>
      <c r="Q162" s="6"/>
      <c r="R162" s="1"/>
      <c r="S162" s="6"/>
      <c r="T162" s="725"/>
      <c r="U162" s="725"/>
      <c r="V162" s="724"/>
      <c r="W162" s="724"/>
      <c r="X162" s="724"/>
      <c r="Y162" s="724"/>
      <c r="Z162" s="725"/>
      <c r="AA162" s="724"/>
      <c r="AB162" s="724"/>
      <c r="AC162" s="724"/>
      <c r="AD162" s="727"/>
      <c r="AE162" s="728"/>
      <c r="AF162" s="729"/>
      <c r="AG162" s="730"/>
      <c r="AI162" s="13"/>
    </row>
    <row r="163" spans="1:35" s="5" customFormat="1">
      <c r="A163" s="1"/>
      <c r="B163" s="6"/>
      <c r="C163" s="4"/>
      <c r="D163" s="3"/>
      <c r="E163" s="4"/>
      <c r="F163" s="4"/>
      <c r="G163" s="4"/>
      <c r="H163" s="6"/>
      <c r="I163" s="6"/>
      <c r="J163" s="6"/>
      <c r="K163" s="11"/>
      <c r="N163" s="7"/>
      <c r="O163" s="7"/>
      <c r="Q163" s="6"/>
      <c r="R163" s="1"/>
      <c r="S163" s="6"/>
      <c r="T163" s="725"/>
      <c r="U163" s="725"/>
      <c r="V163" s="724"/>
      <c r="W163" s="724"/>
      <c r="X163" s="724"/>
      <c r="Y163" s="724"/>
      <c r="Z163" s="725"/>
      <c r="AA163" s="724"/>
      <c r="AB163" s="724"/>
      <c r="AC163" s="724"/>
      <c r="AD163" s="727"/>
      <c r="AE163" s="728"/>
      <c r="AF163" s="729"/>
      <c r="AG163" s="730"/>
      <c r="AI163" s="13"/>
    </row>
    <row r="164" spans="1:35" s="5" customFormat="1">
      <c r="A164" s="1"/>
      <c r="B164" s="6"/>
      <c r="C164" s="4"/>
      <c r="D164" s="3"/>
      <c r="E164" s="4"/>
      <c r="F164" s="4"/>
      <c r="G164" s="4"/>
      <c r="H164" s="6"/>
      <c r="I164" s="6"/>
      <c r="J164" s="6"/>
      <c r="K164" s="11"/>
      <c r="N164" s="7"/>
      <c r="O164" s="7"/>
      <c r="Q164" s="6"/>
      <c r="R164" s="1"/>
      <c r="S164" s="6"/>
      <c r="T164" s="725"/>
      <c r="U164" s="725"/>
      <c r="V164" s="724"/>
      <c r="W164" s="724"/>
      <c r="X164" s="724"/>
      <c r="Y164" s="724"/>
      <c r="Z164" s="725"/>
      <c r="AA164" s="724"/>
      <c r="AB164" s="724"/>
      <c r="AC164" s="724"/>
      <c r="AD164" s="727"/>
      <c r="AE164" s="728"/>
      <c r="AF164" s="729"/>
      <c r="AG164" s="730"/>
      <c r="AI164" s="13"/>
    </row>
    <row r="165" spans="1:35" s="5" customFormat="1">
      <c r="A165" s="1"/>
      <c r="B165" s="6"/>
      <c r="C165" s="4"/>
      <c r="D165" s="3"/>
      <c r="E165" s="4"/>
      <c r="F165" s="4"/>
      <c r="G165" s="4"/>
      <c r="H165" s="6"/>
      <c r="I165" s="6"/>
      <c r="J165" s="6"/>
      <c r="K165" s="11"/>
      <c r="N165" s="7"/>
      <c r="O165" s="7"/>
      <c r="Q165" s="6"/>
      <c r="R165" s="1"/>
      <c r="S165" s="6"/>
      <c r="T165" s="725"/>
      <c r="U165" s="725"/>
      <c r="V165" s="724"/>
      <c r="W165" s="724"/>
      <c r="X165" s="724"/>
      <c r="Y165" s="724"/>
      <c r="Z165" s="725"/>
      <c r="AA165" s="724"/>
      <c r="AB165" s="724"/>
      <c r="AC165" s="724"/>
      <c r="AD165" s="727"/>
      <c r="AE165" s="728"/>
      <c r="AF165" s="729"/>
      <c r="AG165" s="730"/>
      <c r="AI165" s="13"/>
    </row>
    <row r="166" spans="1:35" s="5" customFormat="1">
      <c r="A166" s="1"/>
      <c r="B166" s="6"/>
      <c r="C166" s="4"/>
      <c r="D166" s="3"/>
      <c r="E166" s="4"/>
      <c r="F166" s="4"/>
      <c r="G166" s="4"/>
      <c r="H166" s="6"/>
      <c r="I166" s="6"/>
      <c r="J166" s="6"/>
      <c r="K166" s="11"/>
      <c r="N166" s="7"/>
      <c r="O166" s="7"/>
      <c r="Q166" s="6"/>
      <c r="R166" s="1"/>
      <c r="S166" s="6"/>
      <c r="T166" s="725"/>
      <c r="U166" s="725"/>
      <c r="V166" s="724"/>
      <c r="W166" s="724"/>
      <c r="X166" s="724"/>
      <c r="Y166" s="724"/>
      <c r="Z166" s="725"/>
      <c r="AA166" s="724"/>
      <c r="AB166" s="724"/>
      <c r="AC166" s="724"/>
      <c r="AD166" s="727"/>
      <c r="AE166" s="728"/>
      <c r="AF166" s="729"/>
      <c r="AG166" s="730"/>
      <c r="AI166" s="13"/>
    </row>
    <row r="167" spans="1:35" s="5" customFormat="1">
      <c r="A167" s="1"/>
      <c r="B167" s="6"/>
      <c r="C167" s="4"/>
      <c r="D167" s="3"/>
      <c r="E167" s="4"/>
      <c r="F167" s="4"/>
      <c r="G167" s="4"/>
      <c r="H167" s="6"/>
      <c r="I167" s="6"/>
      <c r="J167" s="6"/>
      <c r="K167" s="11"/>
      <c r="N167" s="7"/>
      <c r="O167" s="7"/>
      <c r="Q167" s="6"/>
      <c r="R167" s="1"/>
      <c r="S167" s="6"/>
      <c r="T167" s="725"/>
      <c r="U167" s="725"/>
      <c r="V167" s="724"/>
      <c r="W167" s="724"/>
      <c r="X167" s="724"/>
      <c r="Y167" s="724"/>
      <c r="Z167" s="725"/>
      <c r="AA167" s="724"/>
      <c r="AB167" s="724"/>
      <c r="AC167" s="724"/>
      <c r="AD167" s="727"/>
      <c r="AE167" s="728"/>
      <c r="AF167" s="729"/>
      <c r="AG167" s="730"/>
      <c r="AI167" s="13"/>
    </row>
    <row r="168" spans="1:35" s="5" customFormat="1">
      <c r="A168" s="1"/>
      <c r="B168" s="6"/>
      <c r="C168" s="4"/>
      <c r="D168" s="3"/>
      <c r="E168" s="4"/>
      <c r="F168" s="4"/>
      <c r="G168" s="4"/>
      <c r="H168" s="6"/>
      <c r="I168" s="6"/>
      <c r="J168" s="6"/>
      <c r="K168" s="11"/>
      <c r="N168" s="7"/>
      <c r="O168" s="7"/>
      <c r="Q168" s="6"/>
      <c r="R168" s="1"/>
      <c r="S168" s="6"/>
      <c r="T168" s="725"/>
      <c r="U168" s="725"/>
      <c r="V168" s="724"/>
      <c r="W168" s="724"/>
      <c r="X168" s="724"/>
      <c r="Y168" s="724"/>
      <c r="Z168" s="725"/>
      <c r="AA168" s="724"/>
      <c r="AB168" s="724"/>
      <c r="AC168" s="724"/>
      <c r="AD168" s="727"/>
      <c r="AE168" s="728"/>
      <c r="AF168" s="729"/>
      <c r="AG168" s="730"/>
      <c r="AI168" s="13"/>
    </row>
    <row r="169" spans="1:35" s="5" customFormat="1">
      <c r="A169" s="1"/>
      <c r="B169" s="6"/>
      <c r="C169" s="4"/>
      <c r="D169" s="3"/>
      <c r="E169" s="4"/>
      <c r="F169" s="4"/>
      <c r="G169" s="4"/>
      <c r="H169" s="6"/>
      <c r="I169" s="6"/>
      <c r="J169" s="6"/>
      <c r="K169" s="11"/>
      <c r="N169" s="7"/>
      <c r="O169" s="7"/>
      <c r="Q169" s="6"/>
      <c r="R169" s="1"/>
      <c r="S169" s="6"/>
      <c r="T169" s="725"/>
      <c r="U169" s="725"/>
      <c r="V169" s="724"/>
      <c r="W169" s="724"/>
      <c r="X169" s="724"/>
      <c r="Y169" s="724"/>
      <c r="Z169" s="725"/>
      <c r="AA169" s="724"/>
      <c r="AB169" s="724"/>
      <c r="AC169" s="724"/>
      <c r="AD169" s="727"/>
      <c r="AE169" s="728"/>
      <c r="AF169" s="729"/>
      <c r="AG169" s="730"/>
      <c r="AI169" s="13"/>
    </row>
    <row r="170" spans="1:35" s="5" customFormat="1">
      <c r="A170" s="1"/>
      <c r="B170" s="6"/>
      <c r="C170" s="4"/>
      <c r="D170" s="3"/>
      <c r="E170" s="4"/>
      <c r="F170" s="4"/>
      <c r="G170" s="4"/>
      <c r="H170" s="6"/>
      <c r="I170" s="6"/>
      <c r="J170" s="6"/>
      <c r="K170" s="11"/>
      <c r="N170" s="7"/>
      <c r="O170" s="7"/>
      <c r="Q170" s="6"/>
      <c r="R170" s="1"/>
      <c r="S170" s="6"/>
      <c r="T170" s="725"/>
      <c r="U170" s="725"/>
      <c r="V170" s="724"/>
      <c r="W170" s="724"/>
      <c r="X170" s="724"/>
      <c r="Y170" s="724"/>
      <c r="Z170" s="725"/>
      <c r="AA170" s="724"/>
      <c r="AB170" s="724"/>
      <c r="AC170" s="724"/>
      <c r="AD170" s="727"/>
      <c r="AE170" s="728"/>
      <c r="AF170" s="729"/>
      <c r="AG170" s="730"/>
      <c r="AI170" s="13"/>
    </row>
    <row r="171" spans="1:35" s="5" customFormat="1">
      <c r="A171" s="1"/>
      <c r="B171" s="6"/>
      <c r="C171" s="4"/>
      <c r="D171" s="3"/>
      <c r="E171" s="4"/>
      <c r="F171" s="4"/>
      <c r="G171" s="4"/>
      <c r="H171" s="6"/>
      <c r="I171" s="6"/>
      <c r="J171" s="6"/>
      <c r="K171" s="11"/>
      <c r="N171" s="7"/>
      <c r="O171" s="7"/>
      <c r="Q171" s="6"/>
      <c r="R171" s="1"/>
      <c r="S171" s="6"/>
      <c r="T171" s="725"/>
      <c r="U171" s="725"/>
      <c r="V171" s="724"/>
      <c r="W171" s="724"/>
      <c r="X171" s="724"/>
      <c r="Y171" s="724"/>
      <c r="Z171" s="725"/>
      <c r="AA171" s="724"/>
      <c r="AB171" s="724"/>
      <c r="AC171" s="724"/>
      <c r="AD171" s="727"/>
      <c r="AE171" s="728"/>
      <c r="AF171" s="729"/>
      <c r="AG171" s="730"/>
      <c r="AI171" s="13"/>
    </row>
    <row r="172" spans="1:35" s="5" customFormat="1">
      <c r="A172" s="1"/>
      <c r="B172" s="6"/>
      <c r="C172" s="4"/>
      <c r="D172" s="3"/>
      <c r="E172" s="4"/>
      <c r="F172" s="4"/>
      <c r="G172" s="4"/>
      <c r="H172" s="6"/>
      <c r="I172" s="6"/>
      <c r="J172" s="6"/>
      <c r="K172" s="11"/>
      <c r="N172" s="7"/>
      <c r="O172" s="7"/>
      <c r="Q172" s="6"/>
      <c r="R172" s="1"/>
      <c r="S172" s="6"/>
      <c r="T172" s="725"/>
      <c r="U172" s="725"/>
      <c r="V172" s="724"/>
      <c r="W172" s="724"/>
      <c r="X172" s="724"/>
      <c r="Y172" s="724"/>
      <c r="Z172" s="725"/>
      <c r="AA172" s="724"/>
      <c r="AB172" s="724"/>
      <c r="AC172" s="724"/>
      <c r="AD172" s="727"/>
      <c r="AE172" s="728"/>
      <c r="AF172" s="729"/>
      <c r="AG172" s="730"/>
      <c r="AI172" s="13"/>
    </row>
    <row r="173" spans="1:35" s="5" customFormat="1">
      <c r="A173" s="1"/>
      <c r="B173" s="6"/>
      <c r="C173" s="4"/>
      <c r="D173" s="3"/>
      <c r="E173" s="4"/>
      <c r="F173" s="4"/>
      <c r="G173" s="4"/>
      <c r="H173" s="6"/>
      <c r="I173" s="6"/>
      <c r="J173" s="6"/>
      <c r="K173" s="11"/>
      <c r="N173" s="7"/>
      <c r="O173" s="7"/>
      <c r="Q173" s="6"/>
      <c r="R173" s="1"/>
      <c r="S173" s="6"/>
      <c r="T173" s="725"/>
      <c r="U173" s="725"/>
      <c r="V173" s="724"/>
      <c r="W173" s="724"/>
      <c r="X173" s="724"/>
      <c r="Y173" s="724"/>
      <c r="Z173" s="725"/>
      <c r="AA173" s="724"/>
      <c r="AB173" s="724"/>
      <c r="AC173" s="724"/>
      <c r="AD173" s="727"/>
      <c r="AE173" s="728"/>
      <c r="AF173" s="729"/>
      <c r="AG173" s="730"/>
      <c r="AI173" s="13"/>
    </row>
    <row r="174" spans="1:35" s="5" customFormat="1">
      <c r="A174" s="1"/>
      <c r="B174" s="6"/>
      <c r="C174" s="4"/>
      <c r="D174" s="3"/>
      <c r="E174" s="4"/>
      <c r="F174" s="4"/>
      <c r="G174" s="4"/>
      <c r="H174" s="6"/>
      <c r="I174" s="6"/>
      <c r="J174" s="6"/>
      <c r="K174" s="11"/>
      <c r="N174" s="7"/>
      <c r="O174" s="7"/>
      <c r="Q174" s="6"/>
      <c r="R174" s="1"/>
      <c r="S174" s="6"/>
      <c r="T174" s="725"/>
      <c r="U174" s="725"/>
      <c r="V174" s="724"/>
      <c r="W174" s="724"/>
      <c r="X174" s="724"/>
      <c r="Y174" s="724"/>
      <c r="Z174" s="725"/>
      <c r="AA174" s="724"/>
      <c r="AB174" s="724"/>
      <c r="AC174" s="724"/>
      <c r="AD174" s="727"/>
      <c r="AE174" s="728"/>
      <c r="AF174" s="729"/>
      <c r="AG174" s="730"/>
      <c r="AI174" s="13"/>
    </row>
    <row r="175" spans="1:35" s="5" customFormat="1">
      <c r="A175" s="1"/>
      <c r="B175" s="6"/>
      <c r="C175" s="4"/>
      <c r="D175" s="3"/>
      <c r="E175" s="4"/>
      <c r="F175" s="4"/>
      <c r="G175" s="4"/>
      <c r="H175" s="6"/>
      <c r="I175" s="6"/>
      <c r="J175" s="6"/>
      <c r="K175" s="11"/>
      <c r="N175" s="7"/>
      <c r="O175" s="7"/>
      <c r="Q175" s="6"/>
      <c r="R175" s="1"/>
      <c r="S175" s="6"/>
      <c r="T175" s="725"/>
      <c r="U175" s="725"/>
      <c r="V175" s="724"/>
      <c r="W175" s="724"/>
      <c r="X175" s="724"/>
      <c r="Y175" s="724"/>
      <c r="Z175" s="725"/>
      <c r="AA175" s="724"/>
      <c r="AB175" s="724"/>
      <c r="AC175" s="724"/>
      <c r="AD175" s="727"/>
      <c r="AE175" s="728"/>
      <c r="AF175" s="729"/>
      <c r="AG175" s="730"/>
      <c r="AI175" s="13"/>
    </row>
    <row r="176" spans="1:35" s="5" customFormat="1">
      <c r="A176" s="1"/>
      <c r="B176" s="6"/>
      <c r="C176" s="4"/>
      <c r="D176" s="3"/>
      <c r="E176" s="4"/>
      <c r="F176" s="4"/>
      <c r="G176" s="4"/>
      <c r="H176" s="6"/>
      <c r="I176" s="6"/>
      <c r="J176" s="6"/>
      <c r="K176" s="11"/>
      <c r="N176" s="7"/>
      <c r="O176" s="7"/>
      <c r="Q176" s="6"/>
      <c r="R176" s="1"/>
      <c r="S176" s="6"/>
      <c r="T176" s="725"/>
      <c r="U176" s="725"/>
      <c r="V176" s="724"/>
      <c r="W176" s="724"/>
      <c r="X176" s="724"/>
      <c r="Y176" s="724"/>
      <c r="Z176" s="725"/>
      <c r="AA176" s="724"/>
      <c r="AB176" s="724"/>
      <c r="AC176" s="724"/>
      <c r="AD176" s="727"/>
      <c r="AE176" s="728"/>
      <c r="AF176" s="729"/>
      <c r="AG176" s="730"/>
      <c r="AI176" s="13"/>
    </row>
    <row r="177" spans="1:35" s="5" customFormat="1">
      <c r="A177" s="1"/>
      <c r="B177" s="6"/>
      <c r="C177" s="4"/>
      <c r="D177" s="3"/>
      <c r="E177" s="4"/>
      <c r="F177" s="4"/>
      <c r="G177" s="4"/>
      <c r="H177" s="6"/>
      <c r="I177" s="6"/>
      <c r="J177" s="6"/>
      <c r="K177" s="11"/>
      <c r="N177" s="7"/>
      <c r="O177" s="7"/>
      <c r="Q177" s="6"/>
      <c r="R177" s="1"/>
      <c r="S177" s="6"/>
      <c r="T177" s="725"/>
      <c r="U177" s="725"/>
      <c r="V177" s="724"/>
      <c r="W177" s="724"/>
      <c r="X177" s="724"/>
      <c r="Y177" s="724"/>
      <c r="Z177" s="725"/>
      <c r="AA177" s="724"/>
      <c r="AB177" s="724"/>
      <c r="AC177" s="724"/>
      <c r="AD177" s="727"/>
      <c r="AE177" s="728"/>
      <c r="AF177" s="729"/>
      <c r="AG177" s="730"/>
      <c r="AI177" s="13"/>
    </row>
    <row r="178" spans="1:35" s="5" customFormat="1">
      <c r="A178" s="1"/>
      <c r="B178" s="6"/>
      <c r="C178" s="4"/>
      <c r="D178" s="3"/>
      <c r="E178" s="4"/>
      <c r="F178" s="4"/>
      <c r="G178" s="4"/>
      <c r="H178" s="6"/>
      <c r="I178" s="6"/>
      <c r="J178" s="6"/>
      <c r="K178" s="11"/>
      <c r="N178" s="7"/>
      <c r="O178" s="7"/>
      <c r="Q178" s="6"/>
      <c r="R178" s="1"/>
      <c r="S178" s="6"/>
      <c r="T178" s="725"/>
      <c r="U178" s="725"/>
      <c r="V178" s="724"/>
      <c r="W178" s="724"/>
      <c r="X178" s="724"/>
      <c r="Y178" s="724"/>
      <c r="Z178" s="725"/>
      <c r="AA178" s="724"/>
      <c r="AB178" s="724"/>
      <c r="AC178" s="724"/>
      <c r="AD178" s="727"/>
      <c r="AE178" s="728"/>
      <c r="AF178" s="729"/>
      <c r="AG178" s="730"/>
      <c r="AI178" s="13"/>
    </row>
    <row r="179" spans="1:35" s="5" customFormat="1">
      <c r="A179" s="1"/>
      <c r="B179" s="6"/>
      <c r="C179" s="4"/>
      <c r="D179" s="3"/>
      <c r="E179" s="4"/>
      <c r="F179" s="4"/>
      <c r="G179" s="4"/>
      <c r="H179" s="6"/>
      <c r="I179" s="6"/>
      <c r="J179" s="6"/>
      <c r="K179" s="11"/>
      <c r="N179" s="7"/>
      <c r="O179" s="7"/>
      <c r="Q179" s="6"/>
      <c r="R179" s="1"/>
      <c r="S179" s="6"/>
      <c r="T179" s="725"/>
      <c r="U179" s="725"/>
      <c r="V179" s="724"/>
      <c r="W179" s="724"/>
      <c r="X179" s="724"/>
      <c r="Y179" s="724"/>
      <c r="Z179" s="725"/>
      <c r="AA179" s="724"/>
      <c r="AB179" s="724"/>
      <c r="AC179" s="724"/>
      <c r="AD179" s="727"/>
      <c r="AE179" s="728"/>
      <c r="AF179" s="729"/>
      <c r="AG179" s="730"/>
      <c r="AI179" s="13"/>
    </row>
    <row r="180" spans="1:35" s="5" customFormat="1">
      <c r="A180" s="1"/>
      <c r="B180" s="6"/>
      <c r="C180" s="4"/>
      <c r="D180" s="3"/>
      <c r="E180" s="4"/>
      <c r="F180" s="4"/>
      <c r="G180" s="4"/>
      <c r="H180" s="6"/>
      <c r="I180" s="6"/>
      <c r="J180" s="6"/>
      <c r="K180" s="11"/>
      <c r="N180" s="7"/>
      <c r="O180" s="7"/>
      <c r="Q180" s="6"/>
      <c r="R180" s="1"/>
      <c r="S180" s="6"/>
      <c r="T180" s="725"/>
      <c r="U180" s="725"/>
      <c r="V180" s="724"/>
      <c r="W180" s="724"/>
      <c r="X180" s="724"/>
      <c r="Y180" s="724"/>
      <c r="Z180" s="725"/>
      <c r="AA180" s="724"/>
      <c r="AB180" s="724"/>
      <c r="AC180" s="724"/>
      <c r="AD180" s="727"/>
      <c r="AE180" s="728"/>
      <c r="AF180" s="729"/>
      <c r="AG180" s="730"/>
      <c r="AI180" s="13"/>
    </row>
    <row r="181" spans="1:35" s="5" customFormat="1">
      <c r="A181" s="1"/>
      <c r="B181" s="6"/>
      <c r="C181" s="4"/>
      <c r="D181" s="3"/>
      <c r="E181" s="4"/>
      <c r="F181" s="4"/>
      <c r="G181" s="4"/>
      <c r="H181" s="6"/>
      <c r="I181" s="6"/>
      <c r="J181" s="6"/>
      <c r="K181" s="11"/>
      <c r="N181" s="7"/>
      <c r="O181" s="7"/>
      <c r="Q181" s="6"/>
      <c r="R181" s="1"/>
      <c r="S181" s="6"/>
      <c r="T181" s="725"/>
      <c r="U181" s="725"/>
      <c r="V181" s="724"/>
      <c r="W181" s="724"/>
      <c r="X181" s="724"/>
      <c r="Y181" s="724"/>
      <c r="Z181" s="725"/>
      <c r="AA181" s="724"/>
      <c r="AB181" s="724"/>
      <c r="AC181" s="724"/>
      <c r="AD181" s="727"/>
      <c r="AE181" s="728"/>
      <c r="AF181" s="729"/>
      <c r="AG181" s="730"/>
      <c r="AI181" s="13"/>
    </row>
    <row r="182" spans="1:35" s="5" customFormat="1">
      <c r="A182" s="1"/>
      <c r="B182" s="6"/>
      <c r="C182" s="4"/>
      <c r="D182" s="3"/>
      <c r="E182" s="4"/>
      <c r="F182" s="4"/>
      <c r="G182" s="4"/>
      <c r="H182" s="6"/>
      <c r="I182" s="6"/>
      <c r="J182" s="6"/>
      <c r="K182" s="11"/>
      <c r="N182" s="7"/>
      <c r="O182" s="7"/>
      <c r="Q182" s="6"/>
      <c r="R182" s="1"/>
      <c r="S182" s="6"/>
      <c r="T182" s="725"/>
      <c r="U182" s="725"/>
      <c r="V182" s="724"/>
      <c r="W182" s="724"/>
      <c r="X182" s="724"/>
      <c r="Y182" s="724"/>
      <c r="Z182" s="725"/>
      <c r="AA182" s="724"/>
      <c r="AB182" s="724"/>
      <c r="AC182" s="724"/>
      <c r="AD182" s="727"/>
      <c r="AE182" s="728"/>
      <c r="AF182" s="729"/>
      <c r="AG182" s="730"/>
      <c r="AI182" s="13"/>
    </row>
    <row r="183" spans="1:35" s="5" customFormat="1">
      <c r="A183" s="1"/>
      <c r="B183" s="6"/>
      <c r="C183" s="4"/>
      <c r="D183" s="3"/>
      <c r="E183" s="4"/>
      <c r="F183" s="4"/>
      <c r="G183" s="4"/>
      <c r="H183" s="6"/>
      <c r="I183" s="6"/>
      <c r="J183" s="6"/>
      <c r="K183" s="11"/>
      <c r="N183" s="7"/>
      <c r="O183" s="7"/>
      <c r="Q183" s="6"/>
      <c r="R183" s="1"/>
      <c r="S183" s="6"/>
      <c r="T183" s="725"/>
      <c r="U183" s="725"/>
      <c r="V183" s="724"/>
      <c r="W183" s="724"/>
      <c r="X183" s="724"/>
      <c r="Y183" s="724"/>
      <c r="Z183" s="725"/>
      <c r="AA183" s="724"/>
      <c r="AB183" s="724"/>
      <c r="AC183" s="724"/>
      <c r="AD183" s="727"/>
      <c r="AE183" s="728"/>
      <c r="AF183" s="729"/>
      <c r="AG183" s="730"/>
      <c r="AI183" s="13"/>
    </row>
    <row r="184" spans="1:35" s="5" customFormat="1">
      <c r="A184" s="1"/>
      <c r="B184" s="6"/>
      <c r="C184" s="4"/>
      <c r="D184" s="3"/>
      <c r="E184" s="4"/>
      <c r="F184" s="4"/>
      <c r="G184" s="4"/>
      <c r="H184" s="6"/>
      <c r="I184" s="6"/>
      <c r="J184" s="6"/>
      <c r="K184" s="11"/>
      <c r="N184" s="7"/>
      <c r="O184" s="7"/>
      <c r="Q184" s="6"/>
      <c r="R184" s="1"/>
      <c r="S184" s="6"/>
      <c r="T184" s="725"/>
      <c r="U184" s="725"/>
      <c r="V184" s="724"/>
      <c r="W184" s="724"/>
      <c r="X184" s="724"/>
      <c r="Y184" s="724"/>
      <c r="Z184" s="725"/>
      <c r="AA184" s="724"/>
      <c r="AB184" s="724"/>
      <c r="AC184" s="724"/>
      <c r="AD184" s="727"/>
      <c r="AE184" s="728"/>
      <c r="AF184" s="729"/>
      <c r="AG184" s="730"/>
      <c r="AI184" s="13"/>
    </row>
    <row r="185" spans="1:35" s="5" customFormat="1">
      <c r="A185" s="1"/>
      <c r="B185" s="6"/>
      <c r="C185" s="4"/>
      <c r="D185" s="3"/>
      <c r="E185" s="4"/>
      <c r="F185" s="4"/>
      <c r="G185" s="4"/>
      <c r="H185" s="6"/>
      <c r="I185" s="6"/>
      <c r="J185" s="6"/>
      <c r="K185" s="11"/>
      <c r="N185" s="7"/>
      <c r="O185" s="7"/>
      <c r="Q185" s="6"/>
      <c r="R185" s="1"/>
      <c r="S185" s="6"/>
      <c r="T185" s="725"/>
      <c r="U185" s="725"/>
      <c r="V185" s="724"/>
      <c r="W185" s="724"/>
      <c r="X185" s="724"/>
      <c r="Y185" s="724"/>
      <c r="Z185" s="725"/>
      <c r="AA185" s="724"/>
      <c r="AB185" s="724"/>
      <c r="AC185" s="724"/>
      <c r="AD185" s="727"/>
      <c r="AE185" s="728"/>
      <c r="AF185" s="729"/>
      <c r="AG185" s="730"/>
      <c r="AI185" s="13"/>
    </row>
    <row r="186" spans="1:35" s="5" customFormat="1">
      <c r="A186" s="1"/>
      <c r="B186" s="6"/>
      <c r="C186" s="4"/>
      <c r="D186" s="3"/>
      <c r="E186" s="4"/>
      <c r="F186" s="4"/>
      <c r="G186" s="4"/>
      <c r="H186" s="6"/>
      <c r="I186" s="6"/>
      <c r="J186" s="6"/>
      <c r="K186" s="11"/>
      <c r="N186" s="7"/>
      <c r="O186" s="7"/>
      <c r="Q186" s="6"/>
      <c r="R186" s="1"/>
      <c r="S186" s="6"/>
      <c r="T186" s="725"/>
      <c r="U186" s="725"/>
      <c r="V186" s="724"/>
      <c r="W186" s="724"/>
      <c r="X186" s="724"/>
      <c r="Y186" s="724"/>
      <c r="Z186" s="725"/>
      <c r="AA186" s="724"/>
      <c r="AB186" s="724"/>
      <c r="AC186" s="724"/>
      <c r="AD186" s="727"/>
      <c r="AE186" s="728"/>
      <c r="AF186" s="729"/>
      <c r="AG186" s="730"/>
      <c r="AI186" s="13"/>
    </row>
    <row r="187" spans="1:35" s="5" customFormat="1">
      <c r="A187" s="1"/>
      <c r="B187" s="6"/>
      <c r="C187" s="4"/>
      <c r="D187" s="3"/>
      <c r="E187" s="4"/>
      <c r="F187" s="4"/>
      <c r="G187" s="4"/>
      <c r="H187" s="6"/>
      <c r="I187" s="6"/>
      <c r="J187" s="6"/>
      <c r="K187" s="11"/>
      <c r="N187" s="7"/>
      <c r="O187" s="7"/>
      <c r="Q187" s="6"/>
      <c r="R187" s="1"/>
      <c r="S187" s="6"/>
      <c r="T187" s="725"/>
      <c r="U187" s="725"/>
      <c r="V187" s="724"/>
      <c r="W187" s="724"/>
      <c r="X187" s="724"/>
      <c r="Y187" s="724"/>
      <c r="Z187" s="725"/>
      <c r="AA187" s="724"/>
      <c r="AB187" s="724"/>
      <c r="AC187" s="724"/>
      <c r="AD187" s="727"/>
      <c r="AE187" s="728"/>
      <c r="AF187" s="729"/>
      <c r="AG187" s="730"/>
      <c r="AI187" s="13"/>
    </row>
    <row r="188" spans="1:35" s="5" customFormat="1">
      <c r="A188" s="1"/>
      <c r="B188" s="6"/>
      <c r="C188" s="4"/>
      <c r="D188" s="3"/>
      <c r="E188" s="4"/>
      <c r="F188" s="4"/>
      <c r="G188" s="4"/>
      <c r="H188" s="6"/>
      <c r="I188" s="6"/>
      <c r="J188" s="6"/>
      <c r="K188" s="11"/>
      <c r="N188" s="7"/>
      <c r="O188" s="7"/>
      <c r="Q188" s="6"/>
      <c r="R188" s="1"/>
      <c r="S188" s="6"/>
      <c r="T188" s="725"/>
      <c r="U188" s="725"/>
      <c r="V188" s="724"/>
      <c r="W188" s="724"/>
      <c r="X188" s="724"/>
      <c r="Y188" s="724"/>
      <c r="Z188" s="725"/>
      <c r="AA188" s="724"/>
      <c r="AB188" s="724"/>
      <c r="AC188" s="724"/>
      <c r="AD188" s="727"/>
      <c r="AE188" s="728"/>
      <c r="AF188" s="729"/>
      <c r="AG188" s="730"/>
      <c r="AI188" s="13"/>
    </row>
    <row r="189" spans="1:35" s="5" customFormat="1">
      <c r="A189" s="1"/>
      <c r="B189" s="6"/>
      <c r="C189" s="4"/>
      <c r="D189" s="3"/>
      <c r="E189" s="4"/>
      <c r="F189" s="4"/>
      <c r="G189" s="4"/>
      <c r="H189" s="6"/>
      <c r="I189" s="6"/>
      <c r="J189" s="6"/>
      <c r="K189" s="11"/>
      <c r="N189" s="7"/>
      <c r="O189" s="7"/>
      <c r="Q189" s="6"/>
      <c r="R189" s="1"/>
      <c r="S189" s="6"/>
      <c r="T189" s="725"/>
      <c r="U189" s="725"/>
      <c r="V189" s="724"/>
      <c r="W189" s="724"/>
      <c r="X189" s="724"/>
      <c r="Y189" s="724"/>
      <c r="Z189" s="725"/>
      <c r="AA189" s="724"/>
      <c r="AB189" s="724"/>
      <c r="AC189" s="724"/>
      <c r="AD189" s="727"/>
      <c r="AE189" s="728"/>
      <c r="AF189" s="729"/>
      <c r="AG189" s="730"/>
      <c r="AI189" s="13"/>
    </row>
    <row r="190" spans="1:35" s="5" customFormat="1">
      <c r="A190" s="1"/>
      <c r="B190" s="6"/>
      <c r="C190" s="4"/>
      <c r="D190" s="3"/>
      <c r="E190" s="4"/>
      <c r="F190" s="4"/>
      <c r="G190" s="4"/>
      <c r="H190" s="6"/>
      <c r="I190" s="6"/>
      <c r="J190" s="6"/>
      <c r="K190" s="11"/>
      <c r="N190" s="7"/>
      <c r="O190" s="7"/>
      <c r="Q190" s="6"/>
      <c r="R190" s="1"/>
      <c r="S190" s="6"/>
      <c r="T190" s="725"/>
      <c r="U190" s="725"/>
      <c r="V190" s="724"/>
      <c r="W190" s="724"/>
      <c r="X190" s="724"/>
      <c r="Y190" s="724"/>
      <c r="Z190" s="725"/>
      <c r="AA190" s="724"/>
      <c r="AB190" s="724"/>
      <c r="AC190" s="724"/>
      <c r="AD190" s="727"/>
      <c r="AE190" s="728"/>
      <c r="AF190" s="729"/>
      <c r="AG190" s="730"/>
      <c r="AI190" s="13"/>
    </row>
    <row r="191" spans="1:35" s="5" customFormat="1">
      <c r="A191" s="1"/>
      <c r="B191" s="6"/>
      <c r="C191" s="4"/>
      <c r="D191" s="3"/>
      <c r="E191" s="4"/>
      <c r="F191" s="4"/>
      <c r="G191" s="4"/>
      <c r="H191" s="6"/>
      <c r="I191" s="6"/>
      <c r="J191" s="6"/>
      <c r="K191" s="11"/>
      <c r="N191" s="7"/>
      <c r="O191" s="7"/>
      <c r="Q191" s="6"/>
      <c r="R191" s="1"/>
      <c r="S191" s="6"/>
      <c r="T191" s="725"/>
      <c r="U191" s="725"/>
      <c r="V191" s="724"/>
      <c r="W191" s="724"/>
      <c r="X191" s="724"/>
      <c r="Y191" s="724"/>
      <c r="Z191" s="725"/>
      <c r="AA191" s="724"/>
      <c r="AB191" s="724"/>
      <c r="AC191" s="724"/>
      <c r="AD191" s="727"/>
      <c r="AE191" s="728"/>
      <c r="AF191" s="729"/>
      <c r="AG191" s="730"/>
      <c r="AI191" s="13"/>
    </row>
    <row r="192" spans="1:35" s="5" customFormat="1">
      <c r="A192" s="1"/>
      <c r="B192" s="6"/>
      <c r="C192" s="4"/>
      <c r="D192" s="3"/>
      <c r="E192" s="4"/>
      <c r="F192" s="4"/>
      <c r="G192" s="4"/>
      <c r="H192" s="6"/>
      <c r="I192" s="6"/>
      <c r="J192" s="6"/>
      <c r="K192" s="11"/>
      <c r="N192" s="7"/>
      <c r="O192" s="7"/>
      <c r="Q192" s="6"/>
      <c r="R192" s="1"/>
      <c r="S192" s="6"/>
      <c r="T192" s="725"/>
      <c r="U192" s="725"/>
      <c r="V192" s="724"/>
      <c r="W192" s="724"/>
      <c r="X192" s="724"/>
      <c r="Y192" s="724"/>
      <c r="Z192" s="725"/>
      <c r="AA192" s="724"/>
      <c r="AB192" s="724"/>
      <c r="AC192" s="724"/>
      <c r="AD192" s="727"/>
      <c r="AE192" s="728"/>
      <c r="AF192" s="729"/>
      <c r="AG192" s="730"/>
      <c r="AI192" s="13"/>
    </row>
    <row r="193" spans="1:35" s="5" customFormat="1">
      <c r="A193" s="1"/>
      <c r="B193" s="6"/>
      <c r="C193" s="4"/>
      <c r="D193" s="3"/>
      <c r="E193" s="4"/>
      <c r="F193" s="4"/>
      <c r="G193" s="4"/>
      <c r="H193" s="6"/>
      <c r="I193" s="6"/>
      <c r="J193" s="6"/>
      <c r="K193" s="11"/>
      <c r="N193" s="7"/>
      <c r="O193" s="7"/>
      <c r="Q193" s="6"/>
      <c r="R193" s="1"/>
      <c r="S193" s="6"/>
      <c r="T193" s="725"/>
      <c r="U193" s="725"/>
      <c r="V193" s="724"/>
      <c r="W193" s="724"/>
      <c r="X193" s="724"/>
      <c r="Y193" s="724"/>
      <c r="Z193" s="725"/>
      <c r="AA193" s="724"/>
      <c r="AB193" s="724"/>
      <c r="AC193" s="724"/>
      <c r="AD193" s="727"/>
      <c r="AE193" s="728"/>
      <c r="AF193" s="729"/>
      <c r="AG193" s="730"/>
      <c r="AI193" s="13"/>
    </row>
    <row r="194" spans="1:35" s="5" customFormat="1">
      <c r="A194" s="1"/>
      <c r="B194" s="6"/>
      <c r="C194" s="4"/>
      <c r="D194" s="3"/>
      <c r="E194" s="4"/>
      <c r="F194" s="4"/>
      <c r="G194" s="4"/>
      <c r="H194" s="6"/>
      <c r="I194" s="6"/>
      <c r="J194" s="6"/>
      <c r="K194" s="11"/>
      <c r="N194" s="7"/>
      <c r="O194" s="7"/>
      <c r="Q194" s="6"/>
      <c r="R194" s="1"/>
      <c r="S194" s="6"/>
      <c r="T194" s="725"/>
      <c r="U194" s="725"/>
      <c r="V194" s="724"/>
      <c r="W194" s="724"/>
      <c r="X194" s="724"/>
      <c r="Y194" s="724"/>
      <c r="Z194" s="725"/>
      <c r="AA194" s="724"/>
      <c r="AB194" s="724"/>
      <c r="AC194" s="724"/>
      <c r="AD194" s="727"/>
      <c r="AE194" s="728"/>
      <c r="AF194" s="729"/>
      <c r="AG194" s="730"/>
      <c r="AI194" s="13"/>
    </row>
    <row r="195" spans="1:35" s="5" customFormat="1">
      <c r="A195" s="1"/>
      <c r="B195" s="6"/>
      <c r="C195" s="4"/>
      <c r="D195" s="3"/>
      <c r="E195" s="4"/>
      <c r="F195" s="4"/>
      <c r="G195" s="4"/>
      <c r="H195" s="6"/>
      <c r="I195" s="6"/>
      <c r="J195" s="6"/>
      <c r="K195" s="11"/>
      <c r="N195" s="7"/>
      <c r="O195" s="7"/>
      <c r="Q195" s="6"/>
      <c r="R195" s="1"/>
      <c r="S195" s="6"/>
      <c r="T195" s="725"/>
      <c r="U195" s="725"/>
      <c r="V195" s="724"/>
      <c r="W195" s="724"/>
      <c r="X195" s="724"/>
      <c r="Y195" s="724"/>
      <c r="Z195" s="725"/>
      <c r="AA195" s="724"/>
      <c r="AB195" s="724"/>
      <c r="AC195" s="724"/>
      <c r="AD195" s="727"/>
      <c r="AE195" s="728"/>
      <c r="AF195" s="729"/>
      <c r="AG195" s="730"/>
      <c r="AI195" s="13"/>
    </row>
    <row r="196" spans="1:35" s="5" customFormat="1">
      <c r="A196" s="1"/>
      <c r="B196" s="6"/>
      <c r="C196" s="4"/>
      <c r="D196" s="3"/>
      <c r="E196" s="4"/>
      <c r="F196" s="4"/>
      <c r="G196" s="4"/>
      <c r="H196" s="6"/>
      <c r="I196" s="6"/>
      <c r="J196" s="6"/>
      <c r="K196" s="11"/>
      <c r="N196" s="7"/>
      <c r="O196" s="7"/>
      <c r="Q196" s="6"/>
      <c r="R196" s="1"/>
      <c r="S196" s="6"/>
      <c r="T196" s="725"/>
      <c r="U196" s="725"/>
      <c r="V196" s="724"/>
      <c r="W196" s="724"/>
      <c r="X196" s="724"/>
      <c r="Y196" s="724"/>
      <c r="Z196" s="725"/>
      <c r="AA196" s="724"/>
      <c r="AB196" s="724"/>
      <c r="AC196" s="724"/>
      <c r="AD196" s="727"/>
      <c r="AE196" s="728"/>
      <c r="AF196" s="729"/>
      <c r="AG196" s="730"/>
      <c r="AI196" s="13"/>
    </row>
    <row r="197" spans="1:35" s="5" customFormat="1">
      <c r="A197" s="1"/>
      <c r="B197" s="6"/>
      <c r="C197" s="4"/>
      <c r="D197" s="3"/>
      <c r="E197" s="4"/>
      <c r="F197" s="4"/>
      <c r="G197" s="4"/>
      <c r="H197" s="6"/>
      <c r="I197" s="6"/>
      <c r="J197" s="6"/>
      <c r="K197" s="11"/>
      <c r="N197" s="7"/>
      <c r="O197" s="7"/>
      <c r="Q197" s="6"/>
      <c r="R197" s="1"/>
      <c r="S197" s="6"/>
      <c r="T197" s="725"/>
      <c r="U197" s="725"/>
      <c r="V197" s="724"/>
      <c r="W197" s="724"/>
      <c r="X197" s="724"/>
      <c r="Y197" s="724"/>
      <c r="Z197" s="725"/>
      <c r="AA197" s="724"/>
      <c r="AB197" s="724"/>
      <c r="AC197" s="724"/>
      <c r="AD197" s="727"/>
      <c r="AE197" s="728"/>
      <c r="AF197" s="729"/>
      <c r="AG197" s="730"/>
      <c r="AI197" s="13"/>
    </row>
    <row r="198" spans="1:35" s="5" customFormat="1">
      <c r="A198" s="1"/>
      <c r="B198" s="6"/>
      <c r="C198" s="4"/>
      <c r="D198" s="3"/>
      <c r="E198" s="4"/>
      <c r="F198" s="4"/>
      <c r="G198" s="4"/>
      <c r="H198" s="6"/>
      <c r="I198" s="6"/>
      <c r="J198" s="6"/>
      <c r="K198" s="11"/>
      <c r="N198" s="7"/>
      <c r="O198" s="7"/>
      <c r="Q198" s="6"/>
      <c r="R198" s="1"/>
      <c r="S198" s="6"/>
      <c r="T198" s="725"/>
      <c r="U198" s="725"/>
      <c r="V198" s="724"/>
      <c r="W198" s="724"/>
      <c r="X198" s="724"/>
      <c r="Y198" s="724"/>
      <c r="Z198" s="725"/>
      <c r="AA198" s="724"/>
      <c r="AB198" s="724"/>
      <c r="AC198" s="724"/>
      <c r="AD198" s="727"/>
      <c r="AE198" s="728"/>
      <c r="AF198" s="729"/>
      <c r="AG198" s="730"/>
      <c r="AI198" s="13"/>
    </row>
    <row r="199" spans="1:35" s="5" customFormat="1">
      <c r="A199" s="1"/>
      <c r="B199" s="6"/>
      <c r="C199" s="4"/>
      <c r="D199" s="3"/>
      <c r="E199" s="4"/>
      <c r="F199" s="4"/>
      <c r="G199" s="4"/>
      <c r="H199" s="6"/>
      <c r="I199" s="6"/>
      <c r="J199" s="6"/>
      <c r="K199" s="11"/>
      <c r="N199" s="7"/>
      <c r="O199" s="7"/>
      <c r="Q199" s="6"/>
      <c r="R199" s="1"/>
      <c r="S199" s="6"/>
      <c r="T199" s="725"/>
      <c r="U199" s="725"/>
      <c r="V199" s="724"/>
      <c r="W199" s="724"/>
      <c r="X199" s="724"/>
      <c r="Y199" s="724"/>
      <c r="Z199" s="725"/>
      <c r="AA199" s="724"/>
      <c r="AB199" s="724"/>
      <c r="AC199" s="724"/>
      <c r="AD199" s="727"/>
      <c r="AE199" s="728"/>
      <c r="AF199" s="729"/>
      <c r="AG199" s="730"/>
      <c r="AI199" s="13"/>
    </row>
    <row r="200" spans="1:35" s="5" customFormat="1">
      <c r="A200" s="1"/>
      <c r="B200" s="6"/>
      <c r="C200" s="4"/>
      <c r="D200" s="3"/>
      <c r="E200" s="4"/>
      <c r="F200" s="4"/>
      <c r="G200" s="4"/>
      <c r="H200" s="6"/>
      <c r="I200" s="6"/>
      <c r="J200" s="6"/>
      <c r="K200" s="11"/>
      <c r="N200" s="7"/>
      <c r="O200" s="7"/>
      <c r="Q200" s="6"/>
      <c r="R200" s="1"/>
      <c r="S200" s="6"/>
      <c r="T200" s="725"/>
      <c r="U200" s="725"/>
      <c r="V200" s="724"/>
      <c r="W200" s="724"/>
      <c r="X200" s="724"/>
      <c r="Y200" s="724"/>
      <c r="Z200" s="725"/>
      <c r="AA200" s="724"/>
      <c r="AB200" s="724"/>
      <c r="AC200" s="724"/>
      <c r="AD200" s="727"/>
      <c r="AE200" s="728"/>
      <c r="AF200" s="729"/>
      <c r="AG200" s="730"/>
      <c r="AI200" s="13"/>
    </row>
    <row r="201" spans="1:35" s="5" customFormat="1">
      <c r="A201" s="1"/>
      <c r="B201" s="6"/>
      <c r="C201" s="4"/>
      <c r="D201" s="3"/>
      <c r="E201" s="4"/>
      <c r="F201" s="4"/>
      <c r="G201" s="4"/>
      <c r="H201" s="6"/>
      <c r="I201" s="6"/>
      <c r="J201" s="6"/>
      <c r="K201" s="11"/>
      <c r="N201" s="7"/>
      <c r="O201" s="7"/>
      <c r="Q201" s="6"/>
      <c r="R201" s="1"/>
      <c r="S201" s="6"/>
      <c r="T201" s="725"/>
      <c r="U201" s="725"/>
      <c r="V201" s="724"/>
      <c r="W201" s="724"/>
      <c r="X201" s="724"/>
      <c r="Y201" s="724"/>
      <c r="Z201" s="725"/>
      <c r="AA201" s="724"/>
      <c r="AB201" s="724"/>
      <c r="AC201" s="724"/>
      <c r="AD201" s="727"/>
      <c r="AE201" s="728"/>
      <c r="AF201" s="729"/>
      <c r="AG201" s="730"/>
      <c r="AI201" s="13"/>
    </row>
    <row r="202" spans="1:35" s="5" customFormat="1">
      <c r="A202" s="1"/>
      <c r="B202" s="6"/>
      <c r="C202" s="4"/>
      <c r="D202" s="3"/>
      <c r="E202" s="4"/>
      <c r="F202" s="4"/>
      <c r="G202" s="4"/>
      <c r="H202" s="6"/>
      <c r="I202" s="6"/>
      <c r="J202" s="6"/>
      <c r="K202" s="11"/>
      <c r="N202" s="7"/>
      <c r="O202" s="7"/>
      <c r="Q202" s="6"/>
      <c r="R202" s="1"/>
      <c r="S202" s="6"/>
      <c r="T202" s="725"/>
      <c r="U202" s="725"/>
      <c r="V202" s="724"/>
      <c r="W202" s="724"/>
      <c r="X202" s="724"/>
      <c r="Y202" s="724"/>
      <c r="Z202" s="725"/>
      <c r="AA202" s="724"/>
      <c r="AB202" s="724"/>
      <c r="AC202" s="724"/>
      <c r="AD202" s="727"/>
      <c r="AE202" s="728"/>
      <c r="AF202" s="729"/>
      <c r="AG202" s="730"/>
      <c r="AI202" s="13"/>
    </row>
    <row r="203" spans="1:35" s="5" customFormat="1">
      <c r="A203" s="1"/>
      <c r="B203" s="6"/>
      <c r="C203" s="4"/>
      <c r="D203" s="3"/>
      <c r="E203" s="4"/>
      <c r="F203" s="4"/>
      <c r="G203" s="4"/>
      <c r="H203" s="6"/>
      <c r="I203" s="6"/>
      <c r="J203" s="6"/>
      <c r="K203" s="11"/>
      <c r="N203" s="7"/>
      <c r="O203" s="7"/>
      <c r="Q203" s="6"/>
      <c r="R203" s="1"/>
      <c r="S203" s="6"/>
      <c r="T203" s="725"/>
      <c r="U203" s="725"/>
      <c r="V203" s="724"/>
      <c r="W203" s="724"/>
      <c r="X203" s="724"/>
      <c r="Y203" s="724"/>
      <c r="Z203" s="725"/>
      <c r="AA203" s="724"/>
      <c r="AB203" s="724"/>
      <c r="AC203" s="724"/>
      <c r="AD203" s="727"/>
      <c r="AE203" s="728"/>
      <c r="AF203" s="729"/>
      <c r="AG203" s="730"/>
      <c r="AI203" s="13"/>
    </row>
    <row r="204" spans="1:35" s="5" customFormat="1">
      <c r="A204" s="1"/>
      <c r="B204" s="6"/>
      <c r="C204" s="4"/>
      <c r="D204" s="3"/>
      <c r="E204" s="4"/>
      <c r="F204" s="4"/>
      <c r="G204" s="4"/>
      <c r="H204" s="6"/>
      <c r="I204" s="6"/>
      <c r="J204" s="6"/>
      <c r="K204" s="11"/>
      <c r="N204" s="7"/>
      <c r="O204" s="7"/>
      <c r="Q204" s="6"/>
      <c r="R204" s="1"/>
      <c r="S204" s="6"/>
      <c r="T204" s="725"/>
      <c r="U204" s="725"/>
      <c r="V204" s="724"/>
      <c r="W204" s="724"/>
      <c r="X204" s="724"/>
      <c r="Y204" s="724"/>
      <c r="Z204" s="725"/>
      <c r="AA204" s="724"/>
      <c r="AB204" s="724"/>
      <c r="AC204" s="724"/>
      <c r="AD204" s="727"/>
      <c r="AE204" s="728"/>
      <c r="AF204" s="729"/>
      <c r="AG204" s="730"/>
      <c r="AI204" s="13"/>
    </row>
    <row r="205" spans="1:35" s="5" customFormat="1">
      <c r="A205" s="1"/>
      <c r="B205" s="6"/>
      <c r="C205" s="4"/>
      <c r="D205" s="3"/>
      <c r="E205" s="4"/>
      <c r="F205" s="4"/>
      <c r="G205" s="4"/>
      <c r="H205" s="6"/>
      <c r="I205" s="6"/>
      <c r="J205" s="6"/>
      <c r="K205" s="11"/>
      <c r="N205" s="7"/>
      <c r="O205" s="7"/>
      <c r="Q205" s="6"/>
      <c r="R205" s="1"/>
      <c r="S205" s="6"/>
      <c r="T205" s="725"/>
      <c r="U205" s="725"/>
      <c r="V205" s="724"/>
      <c r="W205" s="724"/>
      <c r="X205" s="724"/>
      <c r="Y205" s="724"/>
      <c r="Z205" s="725"/>
      <c r="AA205" s="724"/>
      <c r="AB205" s="724"/>
      <c r="AC205" s="724"/>
      <c r="AD205" s="727"/>
      <c r="AE205" s="728"/>
      <c r="AF205" s="729"/>
      <c r="AG205" s="730"/>
      <c r="AI205" s="13"/>
    </row>
    <row r="206" spans="1:35" s="5" customFormat="1">
      <c r="A206" s="1"/>
      <c r="B206" s="6"/>
      <c r="C206" s="4"/>
      <c r="D206" s="3"/>
      <c r="E206" s="4"/>
      <c r="F206" s="4"/>
      <c r="G206" s="4"/>
      <c r="H206" s="6"/>
      <c r="I206" s="6"/>
      <c r="J206" s="6"/>
      <c r="K206" s="11"/>
      <c r="N206" s="7"/>
      <c r="O206" s="7"/>
      <c r="Q206" s="6"/>
      <c r="R206" s="1"/>
      <c r="S206" s="6"/>
      <c r="T206" s="725"/>
      <c r="U206" s="725"/>
      <c r="V206" s="724"/>
      <c r="W206" s="724"/>
      <c r="X206" s="724"/>
      <c r="Y206" s="724"/>
      <c r="Z206" s="725"/>
      <c r="AA206" s="724"/>
      <c r="AB206" s="724"/>
      <c r="AC206" s="724"/>
      <c r="AD206" s="727"/>
      <c r="AE206" s="728"/>
      <c r="AF206" s="729"/>
      <c r="AG206" s="730"/>
      <c r="AI206" s="13"/>
    </row>
    <row r="207" spans="1:35" s="5" customFormat="1">
      <c r="A207" s="1"/>
      <c r="B207" s="6"/>
      <c r="C207" s="4"/>
      <c r="D207" s="3"/>
      <c r="E207" s="4"/>
      <c r="F207" s="4"/>
      <c r="G207" s="4"/>
      <c r="H207" s="6"/>
      <c r="I207" s="6"/>
      <c r="J207" s="6"/>
      <c r="K207" s="11"/>
      <c r="N207" s="7"/>
      <c r="O207" s="7"/>
      <c r="Q207" s="6"/>
      <c r="R207" s="1"/>
      <c r="S207" s="6"/>
      <c r="T207" s="725"/>
      <c r="U207" s="725"/>
      <c r="V207" s="724"/>
      <c r="W207" s="724"/>
      <c r="X207" s="724"/>
      <c r="Y207" s="724"/>
      <c r="Z207" s="725"/>
      <c r="AA207" s="724"/>
      <c r="AB207" s="724"/>
      <c r="AC207" s="724"/>
      <c r="AD207" s="727"/>
      <c r="AE207" s="728"/>
      <c r="AF207" s="729"/>
      <c r="AG207" s="730"/>
      <c r="AI207" s="13"/>
    </row>
    <row r="208" spans="1:35" s="5" customFormat="1">
      <c r="A208" s="1"/>
      <c r="B208" s="6"/>
      <c r="C208" s="4"/>
      <c r="D208" s="3"/>
      <c r="E208" s="4"/>
      <c r="F208" s="4"/>
      <c r="G208" s="4"/>
      <c r="H208" s="6"/>
      <c r="I208" s="6"/>
      <c r="J208" s="6"/>
      <c r="K208" s="11"/>
      <c r="N208" s="7"/>
      <c r="O208" s="7"/>
      <c r="Q208" s="6"/>
      <c r="R208" s="1"/>
      <c r="S208" s="6"/>
      <c r="T208" s="725"/>
      <c r="U208" s="725"/>
      <c r="V208" s="724"/>
      <c r="W208" s="724"/>
      <c r="X208" s="724"/>
      <c r="Y208" s="724"/>
      <c r="Z208" s="725"/>
      <c r="AA208" s="724"/>
      <c r="AB208" s="724"/>
      <c r="AC208" s="724"/>
      <c r="AD208" s="727"/>
      <c r="AE208" s="728"/>
      <c r="AF208" s="729"/>
      <c r="AG208" s="730"/>
      <c r="AI208" s="13"/>
    </row>
    <row r="209" spans="1:35" s="5" customFormat="1">
      <c r="A209" s="1"/>
      <c r="B209" s="6"/>
      <c r="C209" s="4"/>
      <c r="D209" s="3"/>
      <c r="E209" s="4"/>
      <c r="F209" s="4"/>
      <c r="G209" s="4"/>
      <c r="H209" s="6"/>
      <c r="I209" s="6"/>
      <c r="J209" s="6"/>
      <c r="K209" s="11"/>
      <c r="N209" s="7"/>
      <c r="O209" s="7"/>
      <c r="Q209" s="6"/>
      <c r="R209" s="1"/>
      <c r="S209" s="6"/>
      <c r="T209" s="725"/>
      <c r="U209" s="725"/>
      <c r="V209" s="724"/>
      <c r="W209" s="724"/>
      <c r="X209" s="724"/>
      <c r="Y209" s="724"/>
      <c r="Z209" s="725"/>
      <c r="AA209" s="724"/>
      <c r="AB209" s="724"/>
      <c r="AC209" s="724"/>
      <c r="AD209" s="727"/>
      <c r="AE209" s="728"/>
      <c r="AF209" s="729"/>
      <c r="AG209" s="730"/>
      <c r="AI209" s="13"/>
    </row>
    <row r="210" spans="1:35" s="5" customFormat="1">
      <c r="A210" s="1"/>
      <c r="B210" s="6"/>
      <c r="C210" s="4"/>
      <c r="D210" s="3"/>
      <c r="E210" s="4"/>
      <c r="F210" s="4"/>
      <c r="G210" s="4"/>
      <c r="H210" s="6"/>
      <c r="I210" s="6"/>
      <c r="J210" s="6"/>
      <c r="K210" s="11"/>
      <c r="N210" s="7"/>
      <c r="O210" s="7"/>
      <c r="Q210" s="6"/>
      <c r="R210" s="1"/>
      <c r="S210" s="6"/>
      <c r="T210" s="725"/>
      <c r="U210" s="725"/>
      <c r="V210" s="724"/>
      <c r="W210" s="724"/>
      <c r="X210" s="724"/>
      <c r="Y210" s="724"/>
      <c r="Z210" s="725"/>
      <c r="AA210" s="724"/>
      <c r="AB210" s="724"/>
      <c r="AC210" s="724"/>
      <c r="AD210" s="727"/>
      <c r="AE210" s="728"/>
      <c r="AF210" s="729"/>
      <c r="AG210" s="730"/>
      <c r="AI210" s="13"/>
    </row>
    <row r="211" spans="1:35" s="5" customFormat="1">
      <c r="A211" s="1"/>
      <c r="B211" s="6"/>
      <c r="C211" s="4"/>
      <c r="D211" s="3"/>
      <c r="E211" s="4"/>
      <c r="F211" s="4"/>
      <c r="G211" s="4"/>
      <c r="H211" s="6"/>
      <c r="I211" s="6"/>
      <c r="J211" s="6"/>
      <c r="K211" s="11"/>
      <c r="N211" s="7"/>
      <c r="O211" s="7"/>
      <c r="Q211" s="6"/>
      <c r="R211" s="1"/>
      <c r="S211" s="6"/>
      <c r="T211" s="725"/>
      <c r="U211" s="725"/>
      <c r="V211" s="724"/>
      <c r="W211" s="724"/>
      <c r="X211" s="724"/>
      <c r="Y211" s="724"/>
      <c r="Z211" s="725"/>
      <c r="AA211" s="724"/>
      <c r="AB211" s="724"/>
      <c r="AC211" s="724"/>
      <c r="AD211" s="727"/>
      <c r="AE211" s="728"/>
      <c r="AF211" s="729"/>
      <c r="AG211" s="730"/>
      <c r="AI211" s="13"/>
    </row>
    <row r="212" spans="1:35" s="5" customFormat="1">
      <c r="A212" s="1"/>
      <c r="B212" s="6"/>
      <c r="C212" s="4"/>
      <c r="D212" s="3"/>
      <c r="E212" s="4"/>
      <c r="F212" s="4"/>
      <c r="G212" s="4"/>
      <c r="H212" s="6"/>
      <c r="I212" s="6"/>
      <c r="J212" s="6"/>
      <c r="K212" s="11"/>
      <c r="N212" s="7"/>
      <c r="O212" s="7"/>
      <c r="Q212" s="6"/>
      <c r="R212" s="1"/>
      <c r="S212" s="6"/>
      <c r="T212" s="725"/>
      <c r="U212" s="725"/>
      <c r="V212" s="724"/>
      <c r="W212" s="724"/>
      <c r="X212" s="724"/>
      <c r="Y212" s="724"/>
      <c r="Z212" s="725"/>
      <c r="AA212" s="724"/>
      <c r="AB212" s="724"/>
      <c r="AC212" s="724"/>
      <c r="AD212" s="727"/>
      <c r="AE212" s="728"/>
      <c r="AF212" s="729"/>
      <c r="AG212" s="730"/>
      <c r="AI212" s="13"/>
    </row>
    <row r="213" spans="1:35" s="5" customFormat="1">
      <c r="A213" s="1"/>
      <c r="B213" s="6"/>
      <c r="C213" s="4"/>
      <c r="D213" s="3"/>
      <c r="E213" s="4"/>
      <c r="F213" s="4"/>
      <c r="G213" s="4"/>
      <c r="H213" s="6"/>
      <c r="I213" s="6"/>
      <c r="J213" s="6"/>
      <c r="K213" s="11"/>
      <c r="N213" s="7"/>
      <c r="O213" s="7"/>
      <c r="Q213" s="6"/>
      <c r="R213" s="1"/>
      <c r="S213" s="6"/>
      <c r="T213" s="725"/>
      <c r="U213" s="725"/>
      <c r="V213" s="724"/>
      <c r="W213" s="724"/>
      <c r="X213" s="724"/>
      <c r="Y213" s="724"/>
      <c r="Z213" s="725"/>
      <c r="AA213" s="724"/>
      <c r="AB213" s="724"/>
      <c r="AC213" s="724"/>
      <c r="AD213" s="727"/>
      <c r="AE213" s="728"/>
      <c r="AF213" s="729"/>
      <c r="AG213" s="730"/>
      <c r="AI213" s="13"/>
    </row>
    <row r="214" spans="1:35" s="5" customFormat="1">
      <c r="A214" s="1"/>
      <c r="B214" s="6"/>
      <c r="C214" s="4"/>
      <c r="D214" s="3"/>
      <c r="E214" s="4"/>
      <c r="F214" s="4"/>
      <c r="G214" s="4"/>
      <c r="H214" s="6"/>
      <c r="I214" s="6"/>
      <c r="J214" s="6"/>
      <c r="K214" s="11"/>
      <c r="N214" s="7"/>
      <c r="O214" s="7"/>
      <c r="Q214" s="6"/>
      <c r="R214" s="1"/>
      <c r="S214" s="6"/>
      <c r="T214" s="725"/>
      <c r="U214" s="725"/>
      <c r="V214" s="724"/>
      <c r="W214" s="724"/>
      <c r="X214" s="724"/>
      <c r="Y214" s="724"/>
      <c r="Z214" s="725"/>
      <c r="AA214" s="724"/>
      <c r="AB214" s="724"/>
      <c r="AC214" s="724"/>
      <c r="AD214" s="727"/>
      <c r="AE214" s="728"/>
      <c r="AF214" s="729"/>
      <c r="AG214" s="730"/>
      <c r="AI214" s="13"/>
    </row>
    <row r="215" spans="1:35" s="5" customFormat="1">
      <c r="A215" s="1"/>
      <c r="B215" s="6"/>
      <c r="C215" s="4"/>
      <c r="D215" s="3"/>
      <c r="E215" s="4"/>
      <c r="F215" s="4"/>
      <c r="G215" s="4"/>
      <c r="H215" s="6"/>
      <c r="I215" s="6"/>
      <c r="J215" s="6"/>
      <c r="K215" s="11"/>
      <c r="N215" s="7"/>
      <c r="O215" s="7"/>
      <c r="Q215" s="6"/>
      <c r="R215" s="1"/>
      <c r="S215" s="6"/>
      <c r="T215" s="725"/>
      <c r="U215" s="725"/>
      <c r="V215" s="724"/>
      <c r="W215" s="724"/>
      <c r="X215" s="724"/>
      <c r="Y215" s="724"/>
      <c r="Z215" s="725"/>
      <c r="AA215" s="724"/>
      <c r="AB215" s="724"/>
      <c r="AC215" s="724"/>
      <c r="AD215" s="727"/>
      <c r="AE215" s="728"/>
      <c r="AF215" s="729"/>
      <c r="AG215" s="730"/>
      <c r="AI215" s="13"/>
    </row>
    <row r="216" spans="1:35" s="5" customFormat="1">
      <c r="A216" s="1"/>
      <c r="B216" s="6"/>
      <c r="C216" s="4"/>
      <c r="D216" s="3"/>
      <c r="E216" s="4"/>
      <c r="F216" s="4"/>
      <c r="G216" s="4"/>
      <c r="H216" s="6"/>
      <c r="I216" s="6"/>
      <c r="J216" s="6"/>
      <c r="K216" s="11"/>
      <c r="N216" s="7"/>
      <c r="O216" s="7"/>
      <c r="Q216" s="6"/>
      <c r="R216" s="1"/>
      <c r="S216" s="6"/>
      <c r="T216" s="725"/>
      <c r="U216" s="725"/>
      <c r="V216" s="724"/>
      <c r="W216" s="724"/>
      <c r="X216" s="724"/>
      <c r="Y216" s="724"/>
      <c r="Z216" s="725"/>
      <c r="AA216" s="724"/>
      <c r="AB216" s="724"/>
      <c r="AC216" s="724"/>
      <c r="AD216" s="727"/>
      <c r="AE216" s="728"/>
      <c r="AF216" s="729"/>
      <c r="AG216" s="730"/>
      <c r="AI216" s="13"/>
    </row>
    <row r="217" spans="1:35" s="5" customFormat="1">
      <c r="A217" s="1"/>
      <c r="B217" s="6"/>
      <c r="C217" s="4"/>
      <c r="D217" s="3"/>
      <c r="E217" s="4"/>
      <c r="F217" s="4"/>
      <c r="G217" s="4"/>
      <c r="H217" s="6"/>
      <c r="I217" s="6"/>
      <c r="J217" s="6"/>
      <c r="K217" s="11"/>
      <c r="N217" s="7"/>
      <c r="O217" s="7"/>
      <c r="Q217" s="6"/>
      <c r="R217" s="1"/>
      <c r="S217" s="6"/>
      <c r="T217" s="725"/>
      <c r="U217" s="725"/>
      <c r="V217" s="724"/>
      <c r="W217" s="724"/>
      <c r="X217" s="724"/>
      <c r="Y217" s="724"/>
      <c r="Z217" s="725"/>
      <c r="AA217" s="724"/>
      <c r="AB217" s="724"/>
      <c r="AC217" s="724"/>
      <c r="AD217" s="727"/>
      <c r="AE217" s="728"/>
      <c r="AF217" s="729"/>
      <c r="AG217" s="730"/>
      <c r="AI217" s="13"/>
    </row>
    <row r="218" spans="1:35" s="5" customFormat="1">
      <c r="A218" s="1"/>
      <c r="B218" s="6"/>
      <c r="C218" s="4"/>
      <c r="D218" s="3"/>
      <c r="E218" s="4"/>
      <c r="F218" s="4"/>
      <c r="G218" s="4"/>
      <c r="H218" s="6"/>
      <c r="I218" s="6"/>
      <c r="J218" s="6"/>
      <c r="K218" s="11"/>
      <c r="N218" s="7"/>
      <c r="O218" s="7"/>
      <c r="Q218" s="6"/>
      <c r="R218" s="1"/>
      <c r="S218" s="6"/>
      <c r="T218" s="725"/>
      <c r="U218" s="725"/>
      <c r="V218" s="724"/>
      <c r="W218" s="724"/>
      <c r="X218" s="724"/>
      <c r="Y218" s="724"/>
      <c r="Z218" s="725"/>
      <c r="AA218" s="724"/>
      <c r="AB218" s="724"/>
      <c r="AC218" s="724"/>
      <c r="AD218" s="727"/>
      <c r="AE218" s="728"/>
      <c r="AF218" s="729"/>
      <c r="AG218" s="730"/>
      <c r="AI218" s="13"/>
    </row>
    <row r="219" spans="1:35" s="5" customFormat="1">
      <c r="A219" s="1"/>
      <c r="B219" s="6"/>
      <c r="C219" s="4"/>
      <c r="D219" s="3"/>
      <c r="E219" s="4"/>
      <c r="F219" s="4"/>
      <c r="G219" s="4"/>
      <c r="H219" s="6"/>
      <c r="I219" s="6"/>
      <c r="J219" s="6"/>
      <c r="K219" s="11"/>
      <c r="N219" s="7"/>
      <c r="O219" s="7"/>
      <c r="Q219" s="6"/>
      <c r="R219" s="1"/>
      <c r="S219" s="6"/>
      <c r="T219" s="725"/>
      <c r="U219" s="725"/>
      <c r="V219" s="724"/>
      <c r="W219" s="724"/>
      <c r="X219" s="724"/>
      <c r="Y219" s="724"/>
      <c r="Z219" s="725"/>
      <c r="AA219" s="724"/>
      <c r="AB219" s="724"/>
      <c r="AC219" s="724"/>
      <c r="AD219" s="727"/>
      <c r="AE219" s="728"/>
      <c r="AF219" s="729"/>
      <c r="AG219" s="730"/>
      <c r="AI219" s="13"/>
    </row>
    <row r="220" spans="1:35" s="5" customFormat="1">
      <c r="A220" s="1"/>
      <c r="B220" s="6"/>
      <c r="C220" s="4"/>
      <c r="D220" s="3"/>
      <c r="E220" s="4"/>
      <c r="F220" s="4"/>
      <c r="G220" s="4"/>
      <c r="H220" s="6"/>
      <c r="I220" s="6"/>
      <c r="J220" s="6"/>
      <c r="K220" s="11"/>
      <c r="N220" s="7"/>
      <c r="O220" s="7"/>
      <c r="Q220" s="6"/>
      <c r="R220" s="1"/>
      <c r="S220" s="6"/>
      <c r="T220" s="725"/>
      <c r="U220" s="725"/>
      <c r="V220" s="724"/>
      <c r="W220" s="724"/>
      <c r="X220" s="724"/>
      <c r="Y220" s="724"/>
      <c r="Z220" s="725"/>
      <c r="AA220" s="724"/>
      <c r="AB220" s="724"/>
      <c r="AC220" s="724"/>
      <c r="AD220" s="727"/>
      <c r="AE220" s="728"/>
      <c r="AF220" s="729"/>
      <c r="AG220" s="730"/>
      <c r="AI220" s="13"/>
    </row>
    <row r="221" spans="1:35" s="5" customFormat="1">
      <c r="A221" s="1"/>
      <c r="B221" s="6"/>
      <c r="C221" s="4"/>
      <c r="D221" s="3"/>
      <c r="E221" s="4"/>
      <c r="F221" s="4"/>
      <c r="G221" s="4"/>
      <c r="H221" s="6"/>
      <c r="I221" s="6"/>
      <c r="J221" s="6"/>
      <c r="K221" s="11"/>
      <c r="N221" s="7"/>
      <c r="O221" s="7"/>
      <c r="Q221" s="6"/>
      <c r="R221" s="1"/>
      <c r="S221" s="6"/>
      <c r="T221" s="725"/>
      <c r="U221" s="725"/>
      <c r="V221" s="724"/>
      <c r="W221" s="724"/>
      <c r="X221" s="724"/>
      <c r="Y221" s="724"/>
      <c r="Z221" s="725"/>
      <c r="AA221" s="724"/>
      <c r="AB221" s="724"/>
      <c r="AC221" s="724"/>
      <c r="AD221" s="727"/>
      <c r="AE221" s="728"/>
      <c r="AF221" s="729"/>
      <c r="AG221" s="730"/>
      <c r="AI221" s="13"/>
    </row>
    <row r="222" spans="1:35" s="5" customFormat="1">
      <c r="A222" s="1"/>
      <c r="B222" s="6"/>
      <c r="C222" s="4"/>
      <c r="D222" s="3"/>
      <c r="E222" s="4"/>
      <c r="F222" s="4"/>
      <c r="G222" s="4"/>
      <c r="H222" s="6"/>
      <c r="I222" s="6"/>
      <c r="J222" s="6"/>
      <c r="K222" s="11"/>
      <c r="N222" s="7"/>
      <c r="O222" s="7"/>
      <c r="Q222" s="6"/>
      <c r="R222" s="1"/>
      <c r="S222" s="6"/>
      <c r="T222" s="725"/>
      <c r="U222" s="725"/>
      <c r="V222" s="724"/>
      <c r="W222" s="724"/>
      <c r="X222" s="724"/>
      <c r="Y222" s="724"/>
      <c r="Z222" s="725"/>
      <c r="AA222" s="724"/>
      <c r="AB222" s="724"/>
      <c r="AC222" s="724"/>
      <c r="AD222" s="727"/>
      <c r="AE222" s="728"/>
      <c r="AF222" s="729"/>
      <c r="AG222" s="730"/>
      <c r="AI222" s="13"/>
    </row>
    <row r="223" spans="1:35" s="5" customFormat="1">
      <c r="A223" s="1"/>
      <c r="B223" s="6"/>
      <c r="C223" s="4"/>
      <c r="D223" s="3"/>
      <c r="E223" s="4"/>
      <c r="F223" s="4"/>
      <c r="G223" s="4"/>
      <c r="H223" s="6"/>
      <c r="I223" s="6"/>
      <c r="J223" s="6"/>
      <c r="K223" s="11"/>
      <c r="N223" s="7"/>
      <c r="O223" s="7"/>
      <c r="Q223" s="6"/>
      <c r="R223" s="1"/>
      <c r="S223" s="6"/>
      <c r="T223" s="725"/>
      <c r="U223" s="725"/>
      <c r="V223" s="724"/>
      <c r="W223" s="724"/>
      <c r="X223" s="724"/>
      <c r="Y223" s="724"/>
      <c r="Z223" s="725"/>
      <c r="AA223" s="724"/>
      <c r="AB223" s="724"/>
      <c r="AC223" s="724"/>
      <c r="AD223" s="727"/>
      <c r="AE223" s="728"/>
      <c r="AF223" s="729"/>
      <c r="AG223" s="730"/>
      <c r="AI223" s="13"/>
    </row>
    <row r="224" spans="1:35" s="5" customFormat="1">
      <c r="A224" s="1"/>
      <c r="B224" s="6"/>
      <c r="C224" s="4"/>
      <c r="D224" s="3"/>
      <c r="E224" s="4"/>
      <c r="F224" s="4"/>
      <c r="G224" s="4"/>
      <c r="H224" s="6"/>
      <c r="I224" s="6"/>
      <c r="J224" s="6"/>
      <c r="K224" s="11"/>
      <c r="N224" s="7"/>
      <c r="O224" s="7"/>
      <c r="Q224" s="6"/>
      <c r="R224" s="1"/>
      <c r="S224" s="6"/>
      <c r="T224" s="725"/>
      <c r="U224" s="725"/>
      <c r="V224" s="724"/>
      <c r="W224" s="724"/>
      <c r="X224" s="724"/>
      <c r="Y224" s="724"/>
      <c r="Z224" s="725"/>
      <c r="AA224" s="724"/>
      <c r="AB224" s="724"/>
      <c r="AC224" s="724"/>
      <c r="AD224" s="727"/>
      <c r="AE224" s="728"/>
      <c r="AF224" s="729"/>
      <c r="AG224" s="730"/>
      <c r="AI224" s="13"/>
    </row>
    <row r="225" spans="1:35" s="5" customFormat="1">
      <c r="A225" s="1"/>
      <c r="B225" s="6"/>
      <c r="C225" s="4"/>
      <c r="D225" s="3"/>
      <c r="E225" s="4"/>
      <c r="F225" s="4"/>
      <c r="G225" s="4"/>
      <c r="H225" s="6"/>
      <c r="I225" s="6"/>
      <c r="J225" s="6"/>
      <c r="K225" s="11"/>
      <c r="N225" s="7"/>
      <c r="O225" s="7"/>
      <c r="Q225" s="6"/>
      <c r="R225" s="1"/>
      <c r="S225" s="6"/>
      <c r="T225" s="725"/>
      <c r="U225" s="725"/>
      <c r="V225" s="724"/>
      <c r="W225" s="724"/>
      <c r="X225" s="724"/>
      <c r="Y225" s="724"/>
      <c r="Z225" s="725"/>
      <c r="AA225" s="724"/>
      <c r="AB225" s="724"/>
      <c r="AC225" s="724"/>
      <c r="AD225" s="727"/>
      <c r="AE225" s="728"/>
      <c r="AF225" s="729"/>
      <c r="AG225" s="730"/>
      <c r="AI225" s="13"/>
    </row>
    <row r="226" spans="1:35" s="5" customFormat="1">
      <c r="A226" s="1"/>
      <c r="B226" s="6"/>
      <c r="C226" s="4"/>
      <c r="D226" s="3"/>
      <c r="E226" s="4"/>
      <c r="F226" s="4"/>
      <c r="G226" s="4"/>
      <c r="H226" s="6"/>
      <c r="I226" s="6"/>
      <c r="J226" s="6"/>
      <c r="K226" s="11"/>
      <c r="N226" s="7"/>
      <c r="O226" s="7"/>
      <c r="Q226" s="6"/>
      <c r="R226" s="1"/>
      <c r="S226" s="6"/>
      <c r="T226" s="725"/>
      <c r="U226" s="725"/>
      <c r="V226" s="724"/>
      <c r="W226" s="724"/>
      <c r="X226" s="724"/>
      <c r="Y226" s="724"/>
      <c r="Z226" s="725"/>
      <c r="AA226" s="724"/>
      <c r="AB226" s="724"/>
      <c r="AC226" s="724"/>
      <c r="AD226" s="727"/>
      <c r="AE226" s="728"/>
      <c r="AF226" s="729"/>
      <c r="AG226" s="730"/>
      <c r="AI226" s="13"/>
    </row>
    <row r="227" spans="1:35" s="5" customFormat="1">
      <c r="A227" s="1"/>
      <c r="B227" s="6"/>
      <c r="C227" s="4"/>
      <c r="D227" s="3"/>
      <c r="E227" s="4"/>
      <c r="F227" s="4"/>
      <c r="G227" s="4"/>
      <c r="H227" s="6"/>
      <c r="I227" s="6"/>
      <c r="J227" s="6"/>
      <c r="K227" s="11"/>
      <c r="N227" s="7"/>
      <c r="O227" s="7"/>
      <c r="Q227" s="6"/>
      <c r="R227" s="1"/>
      <c r="S227" s="6"/>
      <c r="T227" s="725"/>
      <c r="U227" s="725"/>
      <c r="V227" s="724"/>
      <c r="W227" s="724"/>
      <c r="X227" s="724"/>
      <c r="Y227" s="724"/>
      <c r="Z227" s="725"/>
      <c r="AA227" s="724"/>
      <c r="AB227" s="724"/>
      <c r="AC227" s="724"/>
      <c r="AD227" s="727"/>
      <c r="AE227" s="728"/>
      <c r="AF227" s="729"/>
      <c r="AG227" s="730"/>
      <c r="AI227" s="13"/>
    </row>
    <row r="228" spans="1:35" s="5" customFormat="1">
      <c r="A228" s="1"/>
      <c r="B228" s="6"/>
      <c r="C228" s="4"/>
      <c r="D228" s="3"/>
      <c r="E228" s="4"/>
      <c r="F228" s="4"/>
      <c r="G228" s="4"/>
      <c r="H228" s="6"/>
      <c r="I228" s="6"/>
      <c r="J228" s="6"/>
      <c r="K228" s="11"/>
      <c r="N228" s="7"/>
      <c r="O228" s="7"/>
      <c r="Q228" s="6"/>
      <c r="R228" s="1"/>
      <c r="S228" s="6"/>
      <c r="T228" s="725"/>
      <c r="U228" s="725"/>
      <c r="V228" s="724"/>
      <c r="W228" s="724"/>
      <c r="X228" s="724"/>
      <c r="Y228" s="724"/>
      <c r="Z228" s="725"/>
      <c r="AA228" s="724"/>
      <c r="AB228" s="724"/>
      <c r="AC228" s="724"/>
      <c r="AD228" s="727"/>
      <c r="AE228" s="728"/>
      <c r="AF228" s="729"/>
      <c r="AG228" s="730"/>
      <c r="AI228" s="13"/>
    </row>
    <row r="229" spans="1:35" s="5" customFormat="1">
      <c r="A229" s="1"/>
      <c r="B229" s="6"/>
      <c r="C229" s="4"/>
      <c r="D229" s="3"/>
      <c r="E229" s="4"/>
      <c r="F229" s="4"/>
      <c r="G229" s="4"/>
      <c r="H229" s="6"/>
      <c r="I229" s="6"/>
      <c r="J229" s="6"/>
      <c r="K229" s="11"/>
      <c r="N229" s="7"/>
      <c r="O229" s="7"/>
      <c r="Q229" s="6"/>
      <c r="R229" s="1"/>
      <c r="S229" s="6"/>
      <c r="T229" s="725"/>
      <c r="U229" s="725"/>
      <c r="V229" s="724"/>
      <c r="W229" s="724"/>
      <c r="X229" s="724"/>
      <c r="Y229" s="724"/>
      <c r="Z229" s="725"/>
      <c r="AA229" s="724"/>
      <c r="AB229" s="724"/>
      <c r="AC229" s="724"/>
      <c r="AD229" s="727"/>
      <c r="AE229" s="728"/>
      <c r="AF229" s="729"/>
      <c r="AG229" s="730"/>
      <c r="AI229" s="13"/>
    </row>
    <row r="230" spans="1:35" s="5" customFormat="1">
      <c r="A230" s="1"/>
      <c r="B230" s="6"/>
      <c r="C230" s="4"/>
      <c r="D230" s="3"/>
      <c r="E230" s="4"/>
      <c r="F230" s="4"/>
      <c r="G230" s="4"/>
      <c r="H230" s="6"/>
      <c r="I230" s="6"/>
      <c r="J230" s="6"/>
      <c r="K230" s="11"/>
      <c r="N230" s="7"/>
      <c r="O230" s="7"/>
      <c r="Q230" s="6"/>
      <c r="R230" s="1"/>
      <c r="S230" s="6"/>
      <c r="T230" s="725"/>
      <c r="U230" s="725"/>
      <c r="V230" s="724"/>
      <c r="W230" s="724"/>
      <c r="X230" s="724"/>
      <c r="Y230" s="724"/>
      <c r="Z230" s="725"/>
      <c r="AA230" s="724"/>
      <c r="AB230" s="724"/>
      <c r="AC230" s="724"/>
      <c r="AD230" s="727"/>
      <c r="AE230" s="728"/>
      <c r="AF230" s="729"/>
      <c r="AG230" s="730"/>
      <c r="AI230" s="13"/>
    </row>
    <row r="231" spans="1:35" s="5" customFormat="1">
      <c r="A231" s="1"/>
      <c r="B231" s="6"/>
      <c r="C231" s="4"/>
      <c r="D231" s="3"/>
      <c r="E231" s="4"/>
      <c r="F231" s="4"/>
      <c r="G231" s="4"/>
      <c r="H231" s="6"/>
      <c r="I231" s="6"/>
      <c r="J231" s="6"/>
      <c r="K231" s="11"/>
      <c r="N231" s="7"/>
      <c r="O231" s="7"/>
      <c r="Q231" s="6"/>
      <c r="R231" s="1"/>
      <c r="S231" s="6"/>
      <c r="T231" s="725"/>
      <c r="U231" s="725"/>
      <c r="V231" s="724"/>
      <c r="W231" s="724"/>
      <c r="X231" s="724"/>
      <c r="Y231" s="724"/>
      <c r="Z231" s="725"/>
      <c r="AA231" s="724"/>
      <c r="AB231" s="724"/>
      <c r="AC231" s="724"/>
      <c r="AD231" s="727"/>
      <c r="AE231" s="728"/>
      <c r="AF231" s="729"/>
      <c r="AG231" s="730"/>
      <c r="AI231" s="13"/>
    </row>
    <row r="232" spans="1:35" s="5" customFormat="1">
      <c r="A232" s="1"/>
      <c r="B232" s="6"/>
      <c r="C232" s="4"/>
      <c r="D232" s="3"/>
      <c r="E232" s="4"/>
      <c r="F232" s="4"/>
      <c r="G232" s="4"/>
      <c r="H232" s="6"/>
      <c r="I232" s="6"/>
      <c r="J232" s="6"/>
      <c r="K232" s="11"/>
      <c r="N232" s="7"/>
      <c r="O232" s="7"/>
      <c r="Q232" s="6"/>
      <c r="R232" s="1"/>
      <c r="S232" s="6"/>
      <c r="T232" s="725"/>
      <c r="U232" s="725"/>
      <c r="V232" s="724"/>
      <c r="W232" s="724"/>
      <c r="X232" s="724"/>
      <c r="Y232" s="724"/>
      <c r="Z232" s="725"/>
      <c r="AA232" s="724"/>
      <c r="AB232" s="724"/>
      <c r="AC232" s="724"/>
      <c r="AD232" s="727"/>
      <c r="AE232" s="728"/>
      <c r="AF232" s="729"/>
      <c r="AG232" s="730"/>
      <c r="AI232" s="13"/>
    </row>
    <row r="233" spans="1:35" s="5" customFormat="1">
      <c r="A233" s="1"/>
      <c r="B233" s="6"/>
      <c r="C233" s="4"/>
      <c r="D233" s="3"/>
      <c r="E233" s="4"/>
      <c r="F233" s="4"/>
      <c r="G233" s="4"/>
      <c r="H233" s="6"/>
      <c r="I233" s="6"/>
      <c r="J233" s="6"/>
      <c r="K233" s="11"/>
      <c r="N233" s="7"/>
      <c r="O233" s="7"/>
      <c r="Q233" s="6"/>
      <c r="R233" s="1"/>
      <c r="S233" s="6"/>
      <c r="T233" s="725"/>
      <c r="U233" s="725"/>
      <c r="V233" s="724"/>
      <c r="W233" s="724"/>
      <c r="X233" s="724"/>
      <c r="Y233" s="724"/>
      <c r="Z233" s="725"/>
      <c r="AA233" s="724"/>
      <c r="AB233" s="724"/>
      <c r="AC233" s="724"/>
      <c r="AD233" s="727"/>
      <c r="AE233" s="728"/>
      <c r="AF233" s="729"/>
      <c r="AG233" s="730"/>
      <c r="AI233" s="13"/>
    </row>
    <row r="234" spans="1:35" s="5" customFormat="1">
      <c r="A234" s="1"/>
      <c r="B234" s="6"/>
      <c r="C234" s="4"/>
      <c r="D234" s="3"/>
      <c r="E234" s="4"/>
      <c r="F234" s="4"/>
      <c r="G234" s="4"/>
      <c r="H234" s="6"/>
      <c r="I234" s="6"/>
      <c r="J234" s="6"/>
      <c r="K234" s="11"/>
      <c r="N234" s="7"/>
      <c r="O234" s="7"/>
      <c r="Q234" s="6"/>
      <c r="R234" s="1"/>
      <c r="S234" s="6"/>
      <c r="T234" s="725"/>
      <c r="U234" s="725"/>
      <c r="V234" s="724"/>
      <c r="W234" s="724"/>
      <c r="X234" s="724"/>
      <c r="Y234" s="724"/>
      <c r="Z234" s="725"/>
      <c r="AA234" s="724"/>
      <c r="AB234" s="724"/>
      <c r="AC234" s="724"/>
      <c r="AD234" s="727"/>
      <c r="AE234" s="728"/>
      <c r="AF234" s="729"/>
      <c r="AG234" s="730"/>
      <c r="AI234" s="13"/>
    </row>
    <row r="235" spans="1:35" s="5" customFormat="1">
      <c r="A235" s="1"/>
      <c r="B235" s="6"/>
      <c r="C235" s="4"/>
      <c r="D235" s="3"/>
      <c r="E235" s="4"/>
      <c r="F235" s="4"/>
      <c r="G235" s="4"/>
      <c r="H235" s="6"/>
      <c r="I235" s="6"/>
      <c r="J235" s="6"/>
      <c r="K235" s="11"/>
      <c r="N235" s="7"/>
      <c r="O235" s="7"/>
      <c r="Q235" s="6"/>
      <c r="R235" s="1"/>
      <c r="S235" s="6"/>
      <c r="T235" s="725"/>
      <c r="U235" s="725"/>
      <c r="V235" s="724"/>
      <c r="W235" s="724"/>
      <c r="X235" s="724"/>
      <c r="Y235" s="724"/>
      <c r="Z235" s="725"/>
      <c r="AA235" s="724"/>
      <c r="AB235" s="724"/>
      <c r="AC235" s="724"/>
      <c r="AD235" s="727"/>
      <c r="AE235" s="728"/>
      <c r="AF235" s="729"/>
      <c r="AG235" s="730"/>
      <c r="AI235" s="13"/>
    </row>
    <row r="236" spans="1:35" s="5" customFormat="1">
      <c r="A236" s="1"/>
      <c r="B236" s="6"/>
      <c r="C236" s="4"/>
      <c r="D236" s="3"/>
      <c r="E236" s="4"/>
      <c r="F236" s="4"/>
      <c r="G236" s="4"/>
      <c r="H236" s="6"/>
      <c r="I236" s="6"/>
      <c r="J236" s="6"/>
      <c r="K236" s="11"/>
      <c r="N236" s="7"/>
      <c r="O236" s="7"/>
      <c r="Q236" s="6"/>
      <c r="R236" s="1"/>
      <c r="S236" s="6"/>
      <c r="T236" s="725"/>
      <c r="U236" s="725"/>
      <c r="V236" s="724"/>
      <c r="W236" s="724"/>
      <c r="X236" s="724"/>
      <c r="Y236" s="724"/>
      <c r="Z236" s="725"/>
      <c r="AA236" s="724"/>
      <c r="AB236" s="724"/>
      <c r="AC236" s="724"/>
      <c r="AD236" s="727"/>
      <c r="AE236" s="728"/>
      <c r="AF236" s="729"/>
      <c r="AG236" s="730"/>
      <c r="AI236" s="13"/>
    </row>
    <row r="237" spans="1:35" s="5" customFormat="1">
      <c r="A237" s="1"/>
      <c r="B237" s="6"/>
      <c r="C237" s="4"/>
      <c r="D237" s="3"/>
      <c r="E237" s="4"/>
      <c r="F237" s="4"/>
      <c r="G237" s="4"/>
      <c r="H237" s="6"/>
      <c r="I237" s="6"/>
      <c r="J237" s="6"/>
      <c r="K237" s="11"/>
      <c r="N237" s="7"/>
      <c r="O237" s="7"/>
      <c r="Q237" s="6"/>
      <c r="R237" s="1"/>
      <c r="S237" s="6"/>
      <c r="T237" s="725"/>
      <c r="U237" s="725"/>
      <c r="V237" s="724"/>
      <c r="W237" s="724"/>
      <c r="X237" s="724"/>
      <c r="Y237" s="724"/>
      <c r="Z237" s="725"/>
      <c r="AA237" s="724"/>
      <c r="AB237" s="724"/>
      <c r="AC237" s="724"/>
      <c r="AD237" s="727"/>
      <c r="AE237" s="728"/>
      <c r="AF237" s="729"/>
      <c r="AG237" s="730"/>
      <c r="AI237" s="13"/>
    </row>
    <row r="238" spans="1:35" s="5" customFormat="1">
      <c r="A238" s="1"/>
      <c r="B238" s="6"/>
      <c r="C238" s="4"/>
      <c r="D238" s="3"/>
      <c r="E238" s="4"/>
      <c r="F238" s="4"/>
      <c r="G238" s="4"/>
      <c r="H238" s="6"/>
      <c r="I238" s="6"/>
      <c r="J238" s="6"/>
      <c r="K238" s="11"/>
      <c r="N238" s="7"/>
      <c r="O238" s="7"/>
      <c r="Q238" s="6"/>
      <c r="R238" s="1"/>
      <c r="S238" s="6"/>
      <c r="T238" s="725"/>
      <c r="U238" s="725"/>
      <c r="V238" s="724"/>
      <c r="W238" s="724"/>
      <c r="X238" s="724"/>
      <c r="Y238" s="724"/>
      <c r="Z238" s="725"/>
      <c r="AA238" s="724"/>
      <c r="AB238" s="724"/>
      <c r="AC238" s="724"/>
      <c r="AD238" s="727"/>
      <c r="AE238" s="728"/>
      <c r="AF238" s="729"/>
      <c r="AG238" s="730"/>
      <c r="AI238" s="13"/>
    </row>
    <row r="239" spans="1:35" s="5" customFormat="1">
      <c r="A239" s="1"/>
      <c r="B239" s="6"/>
      <c r="C239" s="4"/>
      <c r="D239" s="3"/>
      <c r="E239" s="4"/>
      <c r="F239" s="4"/>
      <c r="G239" s="4"/>
      <c r="H239" s="6"/>
      <c r="I239" s="6"/>
      <c r="J239" s="6"/>
      <c r="K239" s="11"/>
      <c r="N239" s="7"/>
      <c r="O239" s="7"/>
      <c r="Q239" s="6"/>
      <c r="R239" s="1"/>
      <c r="S239" s="6"/>
      <c r="T239" s="725"/>
      <c r="U239" s="725"/>
      <c r="V239" s="724"/>
      <c r="W239" s="724"/>
      <c r="X239" s="724"/>
      <c r="Y239" s="724"/>
      <c r="Z239" s="725"/>
      <c r="AA239" s="724"/>
      <c r="AB239" s="724"/>
      <c r="AC239" s="724"/>
      <c r="AD239" s="727"/>
      <c r="AE239" s="728"/>
      <c r="AF239" s="729"/>
      <c r="AG239" s="730"/>
      <c r="AI239" s="13"/>
    </row>
    <row r="240" spans="1:35" s="5" customFormat="1">
      <c r="A240" s="1"/>
      <c r="B240" s="6"/>
      <c r="C240" s="4"/>
      <c r="D240" s="3"/>
      <c r="E240" s="4"/>
      <c r="F240" s="4"/>
      <c r="G240" s="4"/>
      <c r="H240" s="6"/>
      <c r="I240" s="6"/>
      <c r="J240" s="6"/>
      <c r="K240" s="11"/>
      <c r="N240" s="7"/>
      <c r="O240" s="7"/>
      <c r="Q240" s="6"/>
      <c r="R240" s="1"/>
      <c r="S240" s="6"/>
      <c r="T240" s="725"/>
      <c r="U240" s="725"/>
      <c r="V240" s="724"/>
      <c r="W240" s="724"/>
      <c r="X240" s="724"/>
      <c r="Y240" s="724"/>
      <c r="Z240" s="725"/>
      <c r="AA240" s="724"/>
      <c r="AB240" s="724"/>
      <c r="AC240" s="724"/>
      <c r="AD240" s="727"/>
      <c r="AE240" s="728"/>
      <c r="AF240" s="729"/>
      <c r="AG240" s="730"/>
      <c r="AI240" s="13"/>
    </row>
    <row r="241" spans="1:35" s="5" customFormat="1">
      <c r="A241" s="1"/>
      <c r="B241" s="6"/>
      <c r="C241" s="4"/>
      <c r="D241" s="3"/>
      <c r="E241" s="4"/>
      <c r="F241" s="4"/>
      <c r="G241" s="4"/>
      <c r="H241" s="6"/>
      <c r="I241" s="6"/>
      <c r="J241" s="6"/>
      <c r="K241" s="11"/>
      <c r="N241" s="7"/>
      <c r="O241" s="7"/>
      <c r="Q241" s="6"/>
      <c r="R241" s="1"/>
      <c r="S241" s="6"/>
      <c r="T241" s="725"/>
      <c r="U241" s="725"/>
      <c r="V241" s="724"/>
      <c r="W241" s="724"/>
      <c r="X241" s="724"/>
      <c r="Y241" s="724"/>
      <c r="Z241" s="725"/>
      <c r="AA241" s="724"/>
      <c r="AB241" s="724"/>
      <c r="AC241" s="724"/>
      <c r="AD241" s="727"/>
      <c r="AE241" s="728"/>
      <c r="AF241" s="729"/>
      <c r="AG241" s="730"/>
      <c r="AI241" s="13"/>
    </row>
    <row r="242" spans="1:35" s="5" customFormat="1">
      <c r="A242" s="1"/>
      <c r="B242" s="6"/>
      <c r="C242" s="4"/>
      <c r="D242" s="3"/>
      <c r="E242" s="4"/>
      <c r="F242" s="4"/>
      <c r="G242" s="4"/>
      <c r="H242" s="6"/>
      <c r="I242" s="6"/>
      <c r="J242" s="6"/>
      <c r="K242" s="11"/>
      <c r="N242" s="7"/>
      <c r="O242" s="7"/>
      <c r="Q242" s="6"/>
      <c r="R242" s="1"/>
      <c r="S242" s="6"/>
      <c r="T242" s="725"/>
      <c r="U242" s="725"/>
      <c r="V242" s="724"/>
      <c r="W242" s="724"/>
      <c r="X242" s="724"/>
      <c r="Y242" s="724"/>
      <c r="Z242" s="725"/>
      <c r="AA242" s="724"/>
      <c r="AB242" s="724"/>
      <c r="AC242" s="724"/>
      <c r="AD242" s="727"/>
      <c r="AE242" s="728"/>
      <c r="AF242" s="729"/>
      <c r="AG242" s="730"/>
      <c r="AI242" s="13"/>
    </row>
    <row r="243" spans="1:35" s="5" customFormat="1">
      <c r="A243" s="1"/>
      <c r="B243" s="6"/>
      <c r="C243" s="4"/>
      <c r="D243" s="3"/>
      <c r="E243" s="4"/>
      <c r="F243" s="4"/>
      <c r="G243" s="4"/>
      <c r="H243" s="6"/>
      <c r="I243" s="6"/>
      <c r="J243" s="6"/>
      <c r="K243" s="11"/>
      <c r="N243" s="7"/>
      <c r="O243" s="7"/>
      <c r="Q243" s="6"/>
      <c r="R243" s="1"/>
      <c r="S243" s="6"/>
      <c r="T243" s="725"/>
      <c r="U243" s="725"/>
      <c r="V243" s="724"/>
      <c r="W243" s="724"/>
      <c r="X243" s="724"/>
      <c r="Y243" s="724"/>
      <c r="Z243" s="725"/>
      <c r="AA243" s="724"/>
      <c r="AB243" s="724"/>
      <c r="AC243" s="724"/>
      <c r="AD243" s="727"/>
      <c r="AE243" s="728"/>
      <c r="AF243" s="729"/>
      <c r="AG243" s="730"/>
      <c r="AI243" s="13"/>
    </row>
    <row r="244" spans="1:35" s="5" customFormat="1">
      <c r="A244" s="1"/>
      <c r="B244" s="6"/>
      <c r="C244" s="4"/>
      <c r="D244" s="3"/>
      <c r="E244" s="4"/>
      <c r="F244" s="4"/>
      <c r="G244" s="4"/>
      <c r="H244" s="6"/>
      <c r="I244" s="6"/>
      <c r="J244" s="6"/>
      <c r="K244" s="11"/>
      <c r="N244" s="7"/>
      <c r="O244" s="7"/>
      <c r="Q244" s="6"/>
      <c r="R244" s="1"/>
      <c r="S244" s="6"/>
      <c r="T244" s="725"/>
      <c r="U244" s="725"/>
      <c r="V244" s="724"/>
      <c r="W244" s="724"/>
      <c r="X244" s="724"/>
      <c r="Y244" s="724"/>
      <c r="Z244" s="725"/>
      <c r="AA244" s="724"/>
      <c r="AB244" s="724"/>
      <c r="AC244" s="724"/>
      <c r="AD244" s="727"/>
      <c r="AE244" s="728"/>
      <c r="AF244" s="729"/>
      <c r="AG244" s="730"/>
      <c r="AI244" s="13"/>
    </row>
    <row r="245" spans="1:35" s="5" customFormat="1">
      <c r="A245" s="1"/>
      <c r="B245" s="6"/>
      <c r="C245" s="4"/>
      <c r="D245" s="3"/>
      <c r="E245" s="4"/>
      <c r="F245" s="4"/>
      <c r="G245" s="4"/>
      <c r="H245" s="6"/>
      <c r="I245" s="6"/>
      <c r="J245" s="6"/>
      <c r="K245" s="11"/>
      <c r="N245" s="7"/>
      <c r="O245" s="7"/>
      <c r="Q245" s="6"/>
      <c r="R245" s="1"/>
      <c r="S245" s="6"/>
      <c r="T245" s="725"/>
      <c r="U245" s="725"/>
      <c r="V245" s="724"/>
      <c r="W245" s="724"/>
      <c r="X245" s="724"/>
      <c r="Y245" s="724"/>
      <c r="Z245" s="725"/>
      <c r="AA245" s="724"/>
      <c r="AB245" s="724"/>
      <c r="AC245" s="724"/>
      <c r="AD245" s="727"/>
      <c r="AE245" s="728"/>
      <c r="AF245" s="729"/>
      <c r="AG245" s="730"/>
      <c r="AI245" s="13"/>
    </row>
    <row r="246" spans="1:35" s="5" customFormat="1">
      <c r="A246" s="1"/>
      <c r="B246" s="6"/>
      <c r="C246" s="4"/>
      <c r="D246" s="3"/>
      <c r="E246" s="4"/>
      <c r="F246" s="4"/>
      <c r="G246" s="4"/>
      <c r="H246" s="6"/>
      <c r="I246" s="6"/>
      <c r="J246" s="6"/>
      <c r="K246" s="11"/>
      <c r="N246" s="7"/>
      <c r="O246" s="7"/>
      <c r="Q246" s="6"/>
      <c r="R246" s="1"/>
      <c r="S246" s="6"/>
      <c r="T246" s="725"/>
      <c r="U246" s="725"/>
      <c r="V246" s="724"/>
      <c r="W246" s="724"/>
      <c r="X246" s="724"/>
      <c r="Y246" s="724"/>
      <c r="Z246" s="725"/>
      <c r="AA246" s="724"/>
      <c r="AB246" s="724"/>
      <c r="AC246" s="724"/>
      <c r="AD246" s="727"/>
      <c r="AE246" s="728"/>
      <c r="AF246" s="729"/>
      <c r="AG246" s="730"/>
      <c r="AI246" s="13"/>
    </row>
    <row r="247" spans="1:35" s="5" customFormat="1">
      <c r="A247" s="1"/>
      <c r="B247" s="6"/>
      <c r="C247" s="4"/>
      <c r="D247" s="3"/>
      <c r="E247" s="4"/>
      <c r="F247" s="4"/>
      <c r="G247" s="4"/>
      <c r="H247" s="6"/>
      <c r="I247" s="6"/>
      <c r="J247" s="6"/>
      <c r="K247" s="11"/>
      <c r="N247" s="7"/>
      <c r="O247" s="7"/>
      <c r="Q247" s="6"/>
      <c r="R247" s="1"/>
      <c r="S247" s="6"/>
      <c r="T247" s="725"/>
      <c r="U247" s="725"/>
      <c r="V247" s="724"/>
      <c r="W247" s="724"/>
      <c r="X247" s="724"/>
      <c r="Y247" s="724"/>
      <c r="Z247" s="725"/>
      <c r="AA247" s="724"/>
      <c r="AB247" s="724"/>
      <c r="AC247" s="724"/>
      <c r="AD247" s="727"/>
      <c r="AE247" s="728"/>
      <c r="AF247" s="729"/>
      <c r="AG247" s="730"/>
      <c r="AI247" s="13"/>
    </row>
    <row r="248" spans="1:35" s="5" customFormat="1">
      <c r="A248" s="1"/>
      <c r="B248" s="6"/>
      <c r="C248" s="4"/>
      <c r="D248" s="3"/>
      <c r="E248" s="4"/>
      <c r="F248" s="4"/>
      <c r="G248" s="4"/>
      <c r="H248" s="6"/>
      <c r="I248" s="6"/>
      <c r="J248" s="6"/>
      <c r="K248" s="11"/>
      <c r="N248" s="7"/>
      <c r="O248" s="7"/>
      <c r="Q248" s="6"/>
      <c r="R248" s="1"/>
      <c r="S248" s="6"/>
      <c r="T248" s="725"/>
      <c r="U248" s="725"/>
      <c r="V248" s="724"/>
      <c r="W248" s="724"/>
      <c r="X248" s="724"/>
      <c r="Y248" s="724"/>
      <c r="Z248" s="725"/>
      <c r="AA248" s="724"/>
      <c r="AB248" s="724"/>
      <c r="AC248" s="724"/>
      <c r="AD248" s="727"/>
      <c r="AE248" s="728"/>
      <c r="AF248" s="729"/>
      <c r="AG248" s="730"/>
      <c r="AI248" s="13"/>
    </row>
    <row r="249" spans="1:35" s="5" customFormat="1">
      <c r="A249" s="1"/>
      <c r="B249" s="6"/>
      <c r="C249" s="4"/>
      <c r="D249" s="3"/>
      <c r="E249" s="4"/>
      <c r="F249" s="4"/>
      <c r="G249" s="4"/>
      <c r="H249" s="6"/>
      <c r="I249" s="6"/>
      <c r="J249" s="6"/>
      <c r="K249" s="11"/>
      <c r="N249" s="7"/>
      <c r="O249" s="7"/>
      <c r="Q249" s="6"/>
      <c r="R249" s="1"/>
      <c r="S249" s="6"/>
      <c r="T249" s="725"/>
      <c r="U249" s="725"/>
      <c r="V249" s="724"/>
      <c r="W249" s="724"/>
      <c r="X249" s="724"/>
      <c r="Y249" s="724"/>
      <c r="Z249" s="725"/>
      <c r="AA249" s="724"/>
      <c r="AB249" s="724"/>
      <c r="AC249" s="724"/>
      <c r="AD249" s="727"/>
      <c r="AE249" s="728"/>
      <c r="AF249" s="729"/>
      <c r="AG249" s="730"/>
      <c r="AI249" s="13"/>
    </row>
    <row r="250" spans="1:35" s="5" customFormat="1">
      <c r="A250" s="1"/>
      <c r="B250" s="6"/>
      <c r="C250" s="4"/>
      <c r="D250" s="3"/>
      <c r="E250" s="4"/>
      <c r="F250" s="4"/>
      <c r="G250" s="4"/>
      <c r="H250" s="6"/>
      <c r="I250" s="6"/>
      <c r="J250" s="6"/>
      <c r="K250" s="11"/>
      <c r="N250" s="7"/>
      <c r="O250" s="7"/>
      <c r="Q250" s="6"/>
      <c r="R250" s="1"/>
      <c r="S250" s="6"/>
      <c r="T250" s="725"/>
      <c r="U250" s="725"/>
      <c r="V250" s="724"/>
      <c r="W250" s="724"/>
      <c r="X250" s="724"/>
      <c r="Y250" s="724"/>
      <c r="Z250" s="725"/>
      <c r="AA250" s="724"/>
      <c r="AB250" s="724"/>
      <c r="AC250" s="724"/>
      <c r="AD250" s="727"/>
      <c r="AE250" s="728"/>
      <c r="AF250" s="729"/>
      <c r="AG250" s="730"/>
      <c r="AI250" s="13"/>
    </row>
    <row r="251" spans="1:35" s="5" customFormat="1">
      <c r="A251" s="1"/>
      <c r="B251" s="6"/>
      <c r="C251" s="4"/>
      <c r="D251" s="3"/>
      <c r="E251" s="4"/>
      <c r="F251" s="4"/>
      <c r="G251" s="4"/>
      <c r="H251" s="6"/>
      <c r="I251" s="6"/>
      <c r="J251" s="6"/>
      <c r="K251" s="11"/>
      <c r="N251" s="7"/>
      <c r="O251" s="7"/>
      <c r="Q251" s="6"/>
      <c r="R251" s="1"/>
      <c r="S251" s="6"/>
      <c r="T251" s="725"/>
      <c r="U251" s="725"/>
      <c r="V251" s="724"/>
      <c r="W251" s="724"/>
      <c r="X251" s="724"/>
      <c r="Y251" s="724"/>
      <c r="Z251" s="725"/>
      <c r="AA251" s="724"/>
      <c r="AB251" s="724"/>
      <c r="AC251" s="724"/>
      <c r="AD251" s="727"/>
      <c r="AE251" s="728"/>
      <c r="AF251" s="729"/>
      <c r="AG251" s="730"/>
      <c r="AI251" s="13"/>
    </row>
    <row r="252" spans="1:35" s="5" customFormat="1">
      <c r="A252" s="1"/>
      <c r="B252" s="6"/>
      <c r="C252" s="4"/>
      <c r="D252" s="3"/>
      <c r="E252" s="4"/>
      <c r="F252" s="4"/>
      <c r="G252" s="4"/>
      <c r="H252" s="6"/>
      <c r="I252" s="6"/>
      <c r="J252" s="6"/>
      <c r="K252" s="11"/>
      <c r="N252" s="7"/>
      <c r="O252" s="7"/>
      <c r="Q252" s="6"/>
      <c r="R252" s="1"/>
      <c r="S252" s="6"/>
      <c r="T252" s="725"/>
      <c r="U252" s="725"/>
      <c r="V252" s="724"/>
      <c r="W252" s="724"/>
      <c r="X252" s="724"/>
      <c r="Y252" s="724"/>
      <c r="Z252" s="725"/>
      <c r="AA252" s="724"/>
      <c r="AB252" s="724"/>
      <c r="AC252" s="724"/>
      <c r="AD252" s="727"/>
      <c r="AE252" s="728"/>
      <c r="AF252" s="729"/>
      <c r="AG252" s="730"/>
      <c r="AI252" s="13"/>
    </row>
    <row r="253" spans="1:35" s="5" customFormat="1">
      <c r="A253" s="1"/>
      <c r="B253" s="6"/>
      <c r="C253" s="4"/>
      <c r="D253" s="3"/>
      <c r="E253" s="4"/>
      <c r="F253" s="4"/>
      <c r="G253" s="4"/>
      <c r="H253" s="6"/>
      <c r="I253" s="6"/>
      <c r="J253" s="6"/>
      <c r="K253" s="11"/>
      <c r="N253" s="7"/>
      <c r="O253" s="7"/>
      <c r="Q253" s="6"/>
      <c r="R253" s="1"/>
      <c r="S253" s="6"/>
      <c r="T253" s="725"/>
      <c r="U253" s="725"/>
      <c r="V253" s="724"/>
      <c r="W253" s="724"/>
      <c r="X253" s="724"/>
      <c r="Y253" s="724"/>
      <c r="Z253" s="725"/>
      <c r="AA253" s="724"/>
      <c r="AB253" s="724"/>
      <c r="AC253" s="724"/>
      <c r="AD253" s="727"/>
      <c r="AE253" s="728"/>
      <c r="AF253" s="729"/>
      <c r="AG253" s="730"/>
      <c r="AI253" s="13"/>
    </row>
    <row r="254" spans="1:35" s="5" customFormat="1">
      <c r="A254" s="1"/>
      <c r="B254" s="6"/>
      <c r="C254" s="4"/>
      <c r="D254" s="3"/>
      <c r="E254" s="4"/>
      <c r="F254" s="4"/>
      <c r="G254" s="4"/>
      <c r="H254" s="6"/>
      <c r="I254" s="6"/>
      <c r="J254" s="6"/>
      <c r="K254" s="11"/>
      <c r="N254" s="7"/>
      <c r="O254" s="7"/>
      <c r="Q254" s="6"/>
      <c r="R254" s="1"/>
      <c r="S254" s="6"/>
      <c r="T254" s="725"/>
      <c r="U254" s="725"/>
      <c r="V254" s="724"/>
      <c r="W254" s="724"/>
      <c r="X254" s="724"/>
      <c r="Y254" s="724"/>
      <c r="Z254" s="725"/>
      <c r="AA254" s="724"/>
      <c r="AB254" s="724"/>
      <c r="AC254" s="724"/>
      <c r="AD254" s="727"/>
      <c r="AE254" s="728"/>
      <c r="AF254" s="729"/>
      <c r="AG254" s="730"/>
      <c r="AI254" s="13"/>
    </row>
    <row r="255" spans="1:35" s="5" customFormat="1">
      <c r="A255" s="1"/>
      <c r="B255" s="6"/>
      <c r="C255" s="4"/>
      <c r="D255" s="3"/>
      <c r="E255" s="4"/>
      <c r="F255" s="4"/>
      <c r="G255" s="4"/>
      <c r="H255" s="6"/>
      <c r="I255" s="6"/>
      <c r="J255" s="6"/>
      <c r="K255" s="11"/>
      <c r="N255" s="7"/>
      <c r="O255" s="7"/>
      <c r="Q255" s="6"/>
      <c r="R255" s="1"/>
      <c r="S255" s="6"/>
      <c r="T255" s="725"/>
      <c r="U255" s="725"/>
      <c r="V255" s="724"/>
      <c r="W255" s="724"/>
      <c r="X255" s="724"/>
      <c r="Y255" s="724"/>
      <c r="Z255" s="725"/>
      <c r="AA255" s="724"/>
      <c r="AB255" s="724"/>
      <c r="AC255" s="724"/>
      <c r="AD255" s="727"/>
      <c r="AE255" s="728"/>
      <c r="AF255" s="729"/>
      <c r="AG255" s="730"/>
      <c r="AI255" s="13"/>
    </row>
    <row r="256" spans="1:35" s="5" customFormat="1">
      <c r="A256" s="1"/>
      <c r="B256" s="6"/>
      <c r="C256" s="4"/>
      <c r="D256" s="3"/>
      <c r="E256" s="4"/>
      <c r="F256" s="4"/>
      <c r="G256" s="4"/>
      <c r="H256" s="6"/>
      <c r="I256" s="6"/>
      <c r="J256" s="6"/>
      <c r="K256" s="11"/>
      <c r="N256" s="7"/>
      <c r="O256" s="7"/>
      <c r="Q256" s="6"/>
      <c r="R256" s="1"/>
      <c r="S256" s="6"/>
      <c r="T256" s="725"/>
      <c r="U256" s="725"/>
      <c r="V256" s="724"/>
      <c r="W256" s="724"/>
      <c r="X256" s="724"/>
      <c r="Y256" s="724"/>
      <c r="Z256" s="725"/>
      <c r="AA256" s="724"/>
      <c r="AB256" s="724"/>
      <c r="AC256" s="724"/>
      <c r="AD256" s="727"/>
      <c r="AE256" s="728"/>
      <c r="AF256" s="729"/>
      <c r="AG256" s="730"/>
      <c r="AI256" s="13"/>
    </row>
    <row r="257" spans="1:35" s="5" customFormat="1">
      <c r="A257" s="1"/>
      <c r="B257" s="6"/>
      <c r="C257" s="4"/>
      <c r="D257" s="3"/>
      <c r="E257" s="4"/>
      <c r="F257" s="4"/>
      <c r="G257" s="4"/>
      <c r="H257" s="6"/>
      <c r="I257" s="6"/>
      <c r="J257" s="6"/>
      <c r="K257" s="11"/>
      <c r="N257" s="7"/>
      <c r="O257" s="7"/>
      <c r="Q257" s="6"/>
      <c r="R257" s="1"/>
      <c r="S257" s="6"/>
      <c r="T257" s="725"/>
      <c r="U257" s="725"/>
      <c r="V257" s="724"/>
      <c r="W257" s="724"/>
      <c r="X257" s="724"/>
      <c r="Y257" s="724"/>
      <c r="Z257" s="725"/>
      <c r="AA257" s="724"/>
      <c r="AB257" s="724"/>
      <c r="AC257" s="724"/>
      <c r="AD257" s="727"/>
      <c r="AE257" s="728"/>
      <c r="AF257" s="729"/>
      <c r="AG257" s="730"/>
      <c r="AI257" s="13"/>
    </row>
    <row r="258" spans="1:35" s="5" customFormat="1">
      <c r="A258" s="1"/>
      <c r="B258" s="6"/>
      <c r="C258" s="4"/>
      <c r="D258" s="3"/>
      <c r="E258" s="4"/>
      <c r="F258" s="4"/>
      <c r="G258" s="4"/>
      <c r="H258" s="6"/>
      <c r="I258" s="6"/>
      <c r="J258" s="6"/>
      <c r="K258" s="11"/>
      <c r="N258" s="7"/>
      <c r="O258" s="7"/>
      <c r="Q258" s="6"/>
      <c r="R258" s="1"/>
      <c r="S258" s="6"/>
      <c r="T258" s="725"/>
      <c r="U258" s="725"/>
      <c r="V258" s="724"/>
      <c r="W258" s="724"/>
      <c r="X258" s="724"/>
      <c r="Y258" s="724"/>
      <c r="Z258" s="725"/>
      <c r="AA258" s="724"/>
      <c r="AB258" s="724"/>
      <c r="AC258" s="724"/>
      <c r="AD258" s="727"/>
      <c r="AE258" s="728"/>
      <c r="AF258" s="729"/>
      <c r="AG258" s="730"/>
      <c r="AI258" s="13"/>
    </row>
    <row r="259" spans="1:35" s="5" customFormat="1">
      <c r="A259" s="1"/>
      <c r="B259" s="6"/>
      <c r="C259" s="4"/>
      <c r="D259" s="3"/>
      <c r="E259" s="4"/>
      <c r="F259" s="4"/>
      <c r="G259" s="4"/>
      <c r="H259" s="6"/>
      <c r="I259" s="6"/>
      <c r="J259" s="6"/>
      <c r="K259" s="11"/>
      <c r="N259" s="7"/>
      <c r="O259" s="7"/>
      <c r="Q259" s="6"/>
      <c r="R259" s="1"/>
      <c r="S259" s="6"/>
      <c r="T259" s="725"/>
      <c r="U259" s="725"/>
      <c r="V259" s="724"/>
      <c r="W259" s="724"/>
      <c r="X259" s="724"/>
      <c r="Y259" s="724"/>
      <c r="Z259" s="725"/>
      <c r="AA259" s="724"/>
      <c r="AB259" s="724"/>
      <c r="AC259" s="724"/>
      <c r="AD259" s="727"/>
      <c r="AE259" s="728"/>
      <c r="AF259" s="729"/>
      <c r="AG259" s="730"/>
      <c r="AI259" s="13"/>
    </row>
    <row r="260" spans="1:35" s="5" customFormat="1">
      <c r="A260" s="1"/>
      <c r="B260" s="6"/>
      <c r="C260" s="4"/>
      <c r="D260" s="3"/>
      <c r="E260" s="4"/>
      <c r="F260" s="4"/>
      <c r="G260" s="4"/>
      <c r="H260" s="6"/>
      <c r="I260" s="6"/>
      <c r="J260" s="6"/>
      <c r="K260" s="11"/>
      <c r="N260" s="7"/>
      <c r="O260" s="7"/>
      <c r="Q260" s="6"/>
      <c r="R260" s="1"/>
      <c r="S260" s="6"/>
      <c r="T260" s="725"/>
      <c r="U260" s="725"/>
      <c r="V260" s="724"/>
      <c r="W260" s="724"/>
      <c r="X260" s="724"/>
      <c r="Y260" s="724"/>
      <c r="Z260" s="725"/>
      <c r="AA260" s="724"/>
      <c r="AB260" s="724"/>
      <c r="AC260" s="724"/>
      <c r="AD260" s="727"/>
      <c r="AE260" s="728"/>
      <c r="AF260" s="729"/>
      <c r="AG260" s="730"/>
      <c r="AI260" s="13"/>
    </row>
    <row r="261" spans="1:35" s="5" customFormat="1">
      <c r="A261" s="1"/>
      <c r="B261" s="6"/>
      <c r="C261" s="4"/>
      <c r="D261" s="3"/>
      <c r="E261" s="4"/>
      <c r="F261" s="4"/>
      <c r="G261" s="4"/>
      <c r="H261" s="6"/>
      <c r="I261" s="6"/>
      <c r="J261" s="6"/>
      <c r="K261" s="11"/>
      <c r="N261" s="7"/>
      <c r="O261" s="7"/>
      <c r="Q261" s="6"/>
      <c r="R261" s="1"/>
      <c r="S261" s="6"/>
      <c r="T261" s="725"/>
      <c r="U261" s="725"/>
      <c r="V261" s="724"/>
      <c r="W261" s="724"/>
      <c r="X261" s="724"/>
      <c r="Y261" s="724"/>
      <c r="Z261" s="725"/>
      <c r="AA261" s="724"/>
      <c r="AB261" s="724"/>
      <c r="AC261" s="724"/>
      <c r="AD261" s="727"/>
      <c r="AE261" s="728"/>
      <c r="AF261" s="729"/>
      <c r="AG261" s="730"/>
      <c r="AI261" s="13"/>
    </row>
    <row r="262" spans="1:35" s="5" customFormat="1">
      <c r="A262" s="1"/>
      <c r="B262" s="6"/>
      <c r="C262" s="4"/>
      <c r="D262" s="3"/>
      <c r="E262" s="4"/>
      <c r="F262" s="4"/>
      <c r="G262" s="4"/>
      <c r="H262" s="6"/>
      <c r="I262" s="6"/>
      <c r="J262" s="6"/>
      <c r="K262" s="11"/>
      <c r="N262" s="7"/>
      <c r="O262" s="7"/>
      <c r="Q262" s="6"/>
      <c r="R262" s="1"/>
      <c r="S262" s="6"/>
      <c r="T262" s="725"/>
      <c r="U262" s="725"/>
      <c r="V262" s="724"/>
      <c r="W262" s="724"/>
      <c r="X262" s="724"/>
      <c r="Y262" s="724"/>
      <c r="Z262" s="725"/>
      <c r="AA262" s="724"/>
      <c r="AB262" s="724"/>
      <c r="AC262" s="724"/>
      <c r="AD262" s="727"/>
      <c r="AE262" s="728"/>
      <c r="AF262" s="729"/>
      <c r="AG262" s="730"/>
      <c r="AI262" s="13"/>
    </row>
    <row r="263" spans="1:35" s="5" customFormat="1">
      <c r="A263" s="1"/>
      <c r="B263" s="6"/>
      <c r="C263" s="4"/>
      <c r="D263" s="3"/>
      <c r="E263" s="4"/>
      <c r="F263" s="4"/>
      <c r="G263" s="4"/>
      <c r="H263" s="6"/>
      <c r="I263" s="6"/>
      <c r="J263" s="6"/>
      <c r="K263" s="11"/>
      <c r="N263" s="7"/>
      <c r="O263" s="7"/>
      <c r="Q263" s="6"/>
      <c r="R263" s="1"/>
      <c r="S263" s="6"/>
      <c r="T263" s="725"/>
      <c r="U263" s="725"/>
      <c r="V263" s="724"/>
      <c r="W263" s="724"/>
      <c r="X263" s="724"/>
      <c r="Y263" s="724"/>
      <c r="Z263" s="725"/>
      <c r="AA263" s="724"/>
      <c r="AB263" s="724"/>
      <c r="AC263" s="724"/>
      <c r="AD263" s="727"/>
      <c r="AE263" s="728"/>
      <c r="AF263" s="729"/>
      <c r="AG263" s="730"/>
      <c r="AI263" s="13"/>
    </row>
    <row r="264" spans="1:35" s="5" customFormat="1">
      <c r="A264" s="1"/>
      <c r="B264" s="6"/>
      <c r="C264" s="4"/>
      <c r="D264" s="3"/>
      <c r="E264" s="4"/>
      <c r="F264" s="4"/>
      <c r="G264" s="4"/>
      <c r="H264" s="6"/>
      <c r="I264" s="6"/>
      <c r="J264" s="6"/>
      <c r="K264" s="11"/>
      <c r="N264" s="7"/>
      <c r="O264" s="7"/>
      <c r="Q264" s="6"/>
      <c r="R264" s="1"/>
      <c r="S264" s="6"/>
      <c r="T264" s="725"/>
      <c r="U264" s="725"/>
      <c r="V264" s="724"/>
      <c r="W264" s="724"/>
      <c r="X264" s="724"/>
      <c r="Y264" s="724"/>
      <c r="Z264" s="725"/>
      <c r="AA264" s="724"/>
      <c r="AB264" s="724"/>
      <c r="AC264" s="724"/>
      <c r="AD264" s="727"/>
      <c r="AE264" s="728"/>
      <c r="AF264" s="729"/>
      <c r="AG264" s="730"/>
      <c r="AI264" s="13"/>
    </row>
    <row r="265" spans="1:35" s="5" customFormat="1">
      <c r="A265" s="1"/>
      <c r="B265" s="6"/>
      <c r="C265" s="4"/>
      <c r="D265" s="3"/>
      <c r="E265" s="4"/>
      <c r="F265" s="4"/>
      <c r="G265" s="4"/>
      <c r="H265" s="6"/>
      <c r="I265" s="6"/>
      <c r="J265" s="6"/>
      <c r="K265" s="11"/>
      <c r="N265" s="7"/>
      <c r="O265" s="7"/>
      <c r="Q265" s="6"/>
      <c r="R265" s="1"/>
      <c r="S265" s="6"/>
      <c r="T265" s="725"/>
      <c r="U265" s="725"/>
      <c r="V265" s="724"/>
      <c r="W265" s="724"/>
      <c r="X265" s="724"/>
      <c r="Y265" s="724"/>
      <c r="Z265" s="725"/>
      <c r="AA265" s="724"/>
      <c r="AB265" s="724"/>
      <c r="AC265" s="724"/>
      <c r="AD265" s="727"/>
      <c r="AE265" s="728"/>
      <c r="AF265" s="729"/>
      <c r="AG265" s="730"/>
      <c r="AI265" s="13"/>
    </row>
    <row r="266" spans="1:35" s="5" customFormat="1">
      <c r="A266" s="1"/>
      <c r="B266" s="6"/>
      <c r="C266" s="4"/>
      <c r="D266" s="3"/>
      <c r="E266" s="4"/>
      <c r="F266" s="4"/>
      <c r="G266" s="4"/>
      <c r="H266" s="6"/>
      <c r="I266" s="6"/>
      <c r="J266" s="6"/>
      <c r="K266" s="11"/>
      <c r="N266" s="7"/>
      <c r="O266" s="7"/>
      <c r="Q266" s="6"/>
      <c r="R266" s="1"/>
      <c r="S266" s="6"/>
      <c r="T266" s="725"/>
      <c r="U266" s="725"/>
      <c r="V266" s="724"/>
      <c r="W266" s="724"/>
      <c r="X266" s="724"/>
      <c r="Y266" s="724"/>
      <c r="Z266" s="725"/>
      <c r="AA266" s="724"/>
      <c r="AB266" s="724"/>
      <c r="AC266" s="724"/>
      <c r="AD266" s="727"/>
      <c r="AE266" s="728"/>
      <c r="AF266" s="729"/>
      <c r="AG266" s="730"/>
      <c r="AI266" s="13"/>
    </row>
    <row r="267" spans="1:35" s="5" customFormat="1">
      <c r="A267" s="1"/>
      <c r="B267" s="6"/>
      <c r="C267" s="4"/>
      <c r="D267" s="3"/>
      <c r="E267" s="4"/>
      <c r="F267" s="4"/>
      <c r="G267" s="4"/>
      <c r="H267" s="6"/>
      <c r="I267" s="6"/>
      <c r="J267" s="6"/>
      <c r="K267" s="11"/>
      <c r="N267" s="7"/>
      <c r="O267" s="7"/>
      <c r="Q267" s="6"/>
      <c r="R267" s="1"/>
      <c r="S267" s="6"/>
      <c r="T267" s="725"/>
      <c r="U267" s="725"/>
      <c r="V267" s="724"/>
      <c r="W267" s="724"/>
      <c r="X267" s="724"/>
      <c r="Y267" s="724"/>
      <c r="Z267" s="725"/>
      <c r="AA267" s="724"/>
      <c r="AB267" s="724"/>
      <c r="AC267" s="724"/>
      <c r="AD267" s="727"/>
      <c r="AE267" s="728"/>
      <c r="AF267" s="729"/>
      <c r="AG267" s="730"/>
      <c r="AI267" s="13"/>
    </row>
    <row r="268" spans="1:35" s="5" customFormat="1">
      <c r="A268" s="1"/>
      <c r="B268" s="6"/>
      <c r="C268" s="4"/>
      <c r="D268" s="3"/>
      <c r="E268" s="4"/>
      <c r="F268" s="4"/>
      <c r="G268" s="4"/>
      <c r="H268" s="6"/>
      <c r="I268" s="6"/>
      <c r="J268" s="6"/>
      <c r="K268" s="11"/>
      <c r="N268" s="7"/>
      <c r="O268" s="7"/>
      <c r="Q268" s="6"/>
      <c r="R268" s="1"/>
      <c r="S268" s="6"/>
      <c r="T268" s="725"/>
      <c r="U268" s="725"/>
      <c r="V268" s="724"/>
      <c r="W268" s="724"/>
      <c r="X268" s="724"/>
      <c r="Y268" s="724"/>
      <c r="Z268" s="725"/>
      <c r="AA268" s="724"/>
      <c r="AB268" s="724"/>
      <c r="AC268" s="724"/>
      <c r="AD268" s="727"/>
      <c r="AE268" s="728"/>
      <c r="AF268" s="729"/>
      <c r="AG268" s="730"/>
      <c r="AI268" s="13"/>
    </row>
    <row r="269" spans="1:35" s="5" customFormat="1">
      <c r="A269" s="1"/>
      <c r="B269" s="6"/>
      <c r="C269" s="4"/>
      <c r="D269" s="3"/>
      <c r="E269" s="4"/>
      <c r="F269" s="4"/>
      <c r="G269" s="4"/>
      <c r="H269" s="6"/>
      <c r="I269" s="6"/>
      <c r="J269" s="6"/>
      <c r="K269" s="11"/>
      <c r="N269" s="7"/>
      <c r="O269" s="7"/>
      <c r="Q269" s="6"/>
      <c r="R269" s="1"/>
      <c r="S269" s="6"/>
      <c r="T269" s="725"/>
      <c r="U269" s="725"/>
      <c r="V269" s="724"/>
      <c r="W269" s="724"/>
      <c r="X269" s="724"/>
      <c r="Y269" s="724"/>
      <c r="Z269" s="725"/>
      <c r="AA269" s="724"/>
      <c r="AB269" s="724"/>
      <c r="AC269" s="724"/>
      <c r="AD269" s="727"/>
      <c r="AE269" s="728"/>
      <c r="AF269" s="729"/>
      <c r="AG269" s="730"/>
      <c r="AI269" s="13"/>
    </row>
    <row r="270" spans="1:35" s="5" customFormat="1">
      <c r="A270" s="1"/>
      <c r="B270" s="6"/>
      <c r="C270" s="4"/>
      <c r="D270" s="3"/>
      <c r="E270" s="4"/>
      <c r="F270" s="4"/>
      <c r="G270" s="4"/>
      <c r="H270" s="6"/>
      <c r="I270" s="6"/>
      <c r="J270" s="6"/>
      <c r="K270" s="11"/>
      <c r="N270" s="7"/>
      <c r="O270" s="7"/>
      <c r="Q270" s="6"/>
      <c r="R270" s="1"/>
      <c r="S270" s="6"/>
      <c r="T270" s="725"/>
      <c r="U270" s="725"/>
      <c r="V270" s="724"/>
      <c r="W270" s="724"/>
      <c r="X270" s="724"/>
      <c r="Y270" s="724"/>
      <c r="Z270" s="725"/>
      <c r="AA270" s="724"/>
      <c r="AB270" s="724"/>
      <c r="AC270" s="724"/>
      <c r="AD270" s="727"/>
      <c r="AE270" s="728"/>
      <c r="AF270" s="729"/>
      <c r="AG270" s="730"/>
      <c r="AI270" s="13"/>
    </row>
    <row r="271" spans="1:35" s="5" customFormat="1">
      <c r="A271" s="1"/>
      <c r="B271" s="6"/>
      <c r="C271" s="4"/>
      <c r="D271" s="3"/>
      <c r="E271" s="4"/>
      <c r="F271" s="4"/>
      <c r="G271" s="4"/>
      <c r="H271" s="6"/>
      <c r="I271" s="6"/>
      <c r="J271" s="6"/>
      <c r="K271" s="11"/>
      <c r="N271" s="7"/>
      <c r="O271" s="7"/>
      <c r="Q271" s="6"/>
      <c r="R271" s="1"/>
      <c r="S271" s="6"/>
      <c r="T271" s="725"/>
      <c r="U271" s="725"/>
      <c r="V271" s="724"/>
      <c r="W271" s="724"/>
      <c r="X271" s="724"/>
      <c r="Y271" s="724"/>
      <c r="Z271" s="725"/>
      <c r="AA271" s="724"/>
      <c r="AB271" s="724"/>
      <c r="AC271" s="724"/>
      <c r="AD271" s="727"/>
      <c r="AE271" s="728"/>
      <c r="AF271" s="729"/>
      <c r="AG271" s="730"/>
      <c r="AI271" s="13"/>
    </row>
    <row r="272" spans="1:35" s="5" customFormat="1">
      <c r="A272" s="1"/>
      <c r="B272" s="6"/>
      <c r="C272" s="4"/>
      <c r="D272" s="3"/>
      <c r="E272" s="4"/>
      <c r="F272" s="4"/>
      <c r="G272" s="4"/>
      <c r="H272" s="6"/>
      <c r="I272" s="6"/>
      <c r="J272" s="6"/>
      <c r="K272" s="11"/>
      <c r="N272" s="7"/>
      <c r="O272" s="7"/>
      <c r="Q272" s="6"/>
      <c r="R272" s="1"/>
      <c r="S272" s="6"/>
      <c r="T272" s="725"/>
      <c r="U272" s="725"/>
      <c r="V272" s="724"/>
      <c r="W272" s="724"/>
      <c r="X272" s="724"/>
      <c r="Y272" s="724"/>
      <c r="Z272" s="725"/>
      <c r="AA272" s="724"/>
      <c r="AB272" s="724"/>
      <c r="AC272" s="724"/>
      <c r="AD272" s="727"/>
      <c r="AE272" s="728"/>
      <c r="AF272" s="729"/>
      <c r="AG272" s="730"/>
      <c r="AI272" s="13"/>
    </row>
    <row r="273" spans="1:35" s="5" customFormat="1">
      <c r="A273" s="1"/>
      <c r="B273" s="6"/>
      <c r="C273" s="4"/>
      <c r="D273" s="3"/>
      <c r="E273" s="4"/>
      <c r="F273" s="4"/>
      <c r="G273" s="4"/>
      <c r="H273" s="6"/>
      <c r="I273" s="6"/>
      <c r="J273" s="6"/>
      <c r="K273" s="11"/>
      <c r="N273" s="7"/>
      <c r="O273" s="7"/>
      <c r="Q273" s="6"/>
      <c r="R273" s="1"/>
      <c r="S273" s="6"/>
      <c r="T273" s="725"/>
      <c r="U273" s="725"/>
      <c r="V273" s="724"/>
      <c r="W273" s="724"/>
      <c r="X273" s="724"/>
      <c r="Y273" s="724"/>
      <c r="Z273" s="725"/>
      <c r="AA273" s="724"/>
      <c r="AB273" s="724"/>
      <c r="AC273" s="724"/>
      <c r="AD273" s="727"/>
      <c r="AE273" s="728"/>
      <c r="AF273" s="729"/>
      <c r="AG273" s="730"/>
      <c r="AI273" s="13"/>
    </row>
    <row r="274" spans="1:35" s="5" customFormat="1">
      <c r="A274" s="1"/>
      <c r="B274" s="6"/>
      <c r="C274" s="4"/>
      <c r="D274" s="3"/>
      <c r="E274" s="4"/>
      <c r="F274" s="4"/>
      <c r="G274" s="4"/>
      <c r="H274" s="6"/>
      <c r="I274" s="6"/>
      <c r="J274" s="6"/>
      <c r="K274" s="11"/>
      <c r="N274" s="7"/>
      <c r="O274" s="7"/>
      <c r="Q274" s="6"/>
      <c r="R274" s="1"/>
      <c r="S274" s="6"/>
      <c r="T274" s="725"/>
      <c r="U274" s="725"/>
      <c r="V274" s="724"/>
      <c r="W274" s="724"/>
      <c r="X274" s="724"/>
      <c r="Y274" s="724"/>
      <c r="Z274" s="725"/>
      <c r="AA274" s="724"/>
      <c r="AB274" s="724"/>
      <c r="AC274" s="724"/>
      <c r="AD274" s="727"/>
      <c r="AE274" s="728"/>
      <c r="AF274" s="729"/>
      <c r="AG274" s="730"/>
      <c r="AI274" s="13"/>
    </row>
    <row r="275" spans="1:35" s="5" customFormat="1">
      <c r="A275" s="1"/>
      <c r="B275" s="6"/>
      <c r="C275" s="4"/>
      <c r="D275" s="3"/>
      <c r="E275" s="4"/>
      <c r="F275" s="4"/>
      <c r="G275" s="4"/>
      <c r="H275" s="6"/>
      <c r="I275" s="6"/>
      <c r="J275" s="6"/>
      <c r="K275" s="11"/>
      <c r="N275" s="7"/>
      <c r="O275" s="7"/>
      <c r="Q275" s="6"/>
      <c r="R275" s="1"/>
      <c r="S275" s="6"/>
      <c r="T275" s="725"/>
      <c r="U275" s="725"/>
      <c r="V275" s="724"/>
      <c r="W275" s="724"/>
      <c r="X275" s="724"/>
      <c r="Y275" s="724"/>
      <c r="Z275" s="725"/>
      <c r="AA275" s="724"/>
      <c r="AB275" s="724"/>
      <c r="AC275" s="724"/>
      <c r="AD275" s="727"/>
      <c r="AE275" s="728"/>
      <c r="AF275" s="729"/>
      <c r="AG275" s="730"/>
      <c r="AI275" s="13"/>
    </row>
    <row r="276" spans="1:35" s="5" customFormat="1">
      <c r="A276" s="1"/>
      <c r="B276" s="6"/>
      <c r="C276" s="4"/>
      <c r="D276" s="3"/>
      <c r="E276" s="4"/>
      <c r="F276" s="4"/>
      <c r="G276" s="4"/>
      <c r="H276" s="6"/>
      <c r="I276" s="6"/>
      <c r="J276" s="6"/>
      <c r="K276" s="11"/>
      <c r="N276" s="7"/>
      <c r="O276" s="7"/>
      <c r="Q276" s="6"/>
      <c r="R276" s="1"/>
      <c r="S276" s="6"/>
      <c r="T276" s="725"/>
      <c r="U276" s="725"/>
      <c r="V276" s="724"/>
      <c r="W276" s="724"/>
      <c r="X276" s="724"/>
      <c r="Y276" s="724"/>
      <c r="Z276" s="725"/>
      <c r="AA276" s="724"/>
      <c r="AB276" s="724"/>
      <c r="AC276" s="724"/>
      <c r="AD276" s="727"/>
      <c r="AE276" s="728"/>
      <c r="AF276" s="729"/>
      <c r="AG276" s="730"/>
      <c r="AI276" s="13"/>
    </row>
    <row r="277" spans="1:35" s="5" customFormat="1">
      <c r="A277" s="1"/>
      <c r="B277" s="6"/>
      <c r="C277" s="4"/>
      <c r="D277" s="3"/>
      <c r="E277" s="4"/>
      <c r="F277" s="4"/>
      <c r="G277" s="4"/>
      <c r="H277" s="6"/>
      <c r="I277" s="6"/>
      <c r="J277" s="6"/>
      <c r="K277" s="11"/>
      <c r="N277" s="7"/>
      <c r="O277" s="7"/>
      <c r="Q277" s="6"/>
      <c r="R277" s="1"/>
      <c r="S277" s="6"/>
      <c r="T277" s="725"/>
      <c r="U277" s="725"/>
      <c r="V277" s="724"/>
      <c r="W277" s="724"/>
      <c r="X277" s="724"/>
      <c r="Y277" s="724"/>
      <c r="Z277" s="725"/>
      <c r="AA277" s="724"/>
      <c r="AB277" s="724"/>
      <c r="AC277" s="724"/>
      <c r="AD277" s="727"/>
      <c r="AE277" s="728"/>
      <c r="AF277" s="729"/>
      <c r="AG277" s="730"/>
      <c r="AI277" s="13"/>
    </row>
    <row r="278" spans="1:35" s="5" customFormat="1">
      <c r="A278" s="1"/>
      <c r="B278" s="6"/>
      <c r="C278" s="4"/>
      <c r="D278" s="3"/>
      <c r="E278" s="4"/>
      <c r="F278" s="4"/>
      <c r="G278" s="4"/>
      <c r="H278" s="6"/>
      <c r="I278" s="6"/>
      <c r="J278" s="6"/>
      <c r="K278" s="11"/>
      <c r="N278" s="7"/>
      <c r="O278" s="7"/>
      <c r="Q278" s="6"/>
      <c r="R278" s="1"/>
      <c r="S278" s="6"/>
      <c r="T278" s="725"/>
      <c r="U278" s="725"/>
      <c r="V278" s="724"/>
      <c r="W278" s="724"/>
      <c r="X278" s="724"/>
      <c r="Y278" s="724"/>
      <c r="Z278" s="725"/>
      <c r="AA278" s="724"/>
      <c r="AB278" s="724"/>
      <c r="AC278" s="724"/>
      <c r="AD278" s="727"/>
      <c r="AE278" s="728"/>
      <c r="AF278" s="729"/>
      <c r="AG278" s="730"/>
      <c r="AI278" s="13"/>
    </row>
    <row r="279" spans="1:35" s="5" customFormat="1">
      <c r="A279" s="1"/>
      <c r="B279" s="6"/>
      <c r="C279" s="4"/>
      <c r="D279" s="3"/>
      <c r="E279" s="4"/>
      <c r="F279" s="4"/>
      <c r="G279" s="4"/>
      <c r="H279" s="6"/>
      <c r="I279" s="6"/>
      <c r="J279" s="6"/>
      <c r="K279" s="11"/>
      <c r="N279" s="7"/>
      <c r="O279" s="7"/>
      <c r="Q279" s="6"/>
      <c r="R279" s="1"/>
      <c r="S279" s="6"/>
      <c r="T279" s="725"/>
      <c r="U279" s="725"/>
      <c r="V279" s="724"/>
      <c r="W279" s="724"/>
      <c r="X279" s="724"/>
      <c r="Y279" s="724"/>
      <c r="Z279" s="725"/>
      <c r="AA279" s="724"/>
      <c r="AB279" s="724"/>
      <c r="AC279" s="724"/>
      <c r="AD279" s="727"/>
      <c r="AE279" s="728"/>
      <c r="AF279" s="729"/>
      <c r="AG279" s="730"/>
      <c r="AI279" s="13"/>
    </row>
    <row r="280" spans="1:35" s="5" customFormat="1">
      <c r="A280" s="1"/>
      <c r="B280" s="6"/>
      <c r="C280" s="4"/>
      <c r="D280" s="3"/>
      <c r="E280" s="4"/>
      <c r="F280" s="4"/>
      <c r="G280" s="4"/>
      <c r="H280" s="6"/>
      <c r="I280" s="6"/>
      <c r="J280" s="6"/>
      <c r="K280" s="11"/>
      <c r="N280" s="7"/>
      <c r="O280" s="7"/>
      <c r="Q280" s="6"/>
      <c r="R280" s="1"/>
      <c r="S280" s="6"/>
      <c r="T280" s="725"/>
      <c r="U280" s="725"/>
      <c r="V280" s="724"/>
      <c r="W280" s="724"/>
      <c r="X280" s="724"/>
      <c r="Y280" s="724"/>
      <c r="Z280" s="725"/>
      <c r="AA280" s="724"/>
      <c r="AB280" s="724"/>
      <c r="AC280" s="724"/>
      <c r="AD280" s="727"/>
      <c r="AE280" s="728"/>
      <c r="AF280" s="729"/>
      <c r="AG280" s="730"/>
      <c r="AI280" s="13"/>
    </row>
    <row r="281" spans="1:35" s="5" customFormat="1">
      <c r="A281" s="1"/>
      <c r="B281" s="6"/>
      <c r="C281" s="4"/>
      <c r="D281" s="3"/>
      <c r="E281" s="4"/>
      <c r="F281" s="4"/>
      <c r="G281" s="4"/>
      <c r="H281" s="6"/>
      <c r="I281" s="6"/>
      <c r="J281" s="6"/>
      <c r="K281" s="11"/>
      <c r="N281" s="7"/>
      <c r="O281" s="7"/>
      <c r="Q281" s="6"/>
      <c r="R281" s="1"/>
      <c r="S281" s="6"/>
      <c r="T281" s="725"/>
      <c r="U281" s="725"/>
      <c r="V281" s="724"/>
      <c r="W281" s="724"/>
      <c r="X281" s="724"/>
      <c r="Y281" s="724"/>
      <c r="Z281" s="725"/>
      <c r="AA281" s="724"/>
      <c r="AB281" s="724"/>
      <c r="AC281" s="724"/>
      <c r="AD281" s="727"/>
      <c r="AE281" s="728"/>
      <c r="AF281" s="729"/>
      <c r="AG281" s="730"/>
      <c r="AI281" s="13"/>
    </row>
    <row r="282" spans="1:35" s="5" customFormat="1">
      <c r="A282" s="1"/>
      <c r="B282" s="6"/>
      <c r="C282" s="4"/>
      <c r="D282" s="3"/>
      <c r="E282" s="4"/>
      <c r="F282" s="4"/>
      <c r="G282" s="4"/>
      <c r="H282" s="6"/>
      <c r="I282" s="6"/>
      <c r="J282" s="6"/>
      <c r="K282" s="11"/>
      <c r="N282" s="7"/>
      <c r="O282" s="7"/>
      <c r="Q282" s="6"/>
      <c r="R282" s="1"/>
      <c r="S282" s="6"/>
      <c r="T282" s="725"/>
      <c r="U282" s="725"/>
      <c r="V282" s="724"/>
      <c r="W282" s="724"/>
      <c r="X282" s="724"/>
      <c r="Y282" s="724"/>
      <c r="Z282" s="725"/>
      <c r="AA282" s="724"/>
      <c r="AB282" s="724"/>
      <c r="AC282" s="724"/>
      <c r="AD282" s="727"/>
      <c r="AE282" s="728"/>
      <c r="AF282" s="729"/>
      <c r="AG282" s="730"/>
      <c r="AI282" s="13"/>
    </row>
    <row r="283" spans="1:35" s="5" customFormat="1">
      <c r="A283" s="1"/>
      <c r="B283" s="6"/>
      <c r="C283" s="4"/>
      <c r="D283" s="3"/>
      <c r="E283" s="4"/>
      <c r="F283" s="4"/>
      <c r="G283" s="4"/>
      <c r="H283" s="6"/>
      <c r="I283" s="6"/>
      <c r="J283" s="6"/>
      <c r="K283" s="11"/>
      <c r="N283" s="7"/>
      <c r="O283" s="7"/>
      <c r="Q283" s="6"/>
      <c r="R283" s="1"/>
      <c r="S283" s="6"/>
      <c r="T283" s="725"/>
      <c r="U283" s="725"/>
      <c r="V283" s="724"/>
      <c r="W283" s="724"/>
      <c r="X283" s="724"/>
      <c r="Y283" s="724"/>
      <c r="Z283" s="725"/>
      <c r="AA283" s="724"/>
      <c r="AB283" s="724"/>
      <c r="AC283" s="724"/>
      <c r="AD283" s="727"/>
      <c r="AE283" s="728"/>
      <c r="AF283" s="729"/>
      <c r="AG283" s="730"/>
      <c r="AI283" s="13"/>
    </row>
    <row r="284" spans="1:35" s="5" customFormat="1">
      <c r="A284" s="1"/>
      <c r="B284" s="6"/>
      <c r="C284" s="4"/>
      <c r="D284" s="3"/>
      <c r="E284" s="4"/>
      <c r="F284" s="4"/>
      <c r="G284" s="4"/>
      <c r="H284" s="6"/>
      <c r="I284" s="6"/>
      <c r="J284" s="6"/>
      <c r="K284" s="11"/>
      <c r="N284" s="7"/>
      <c r="O284" s="7"/>
      <c r="Q284" s="6"/>
      <c r="R284" s="1"/>
      <c r="S284" s="6"/>
      <c r="T284" s="725"/>
      <c r="U284" s="725"/>
      <c r="V284" s="724"/>
      <c r="W284" s="724"/>
      <c r="X284" s="724"/>
      <c r="Y284" s="724"/>
      <c r="Z284" s="725"/>
      <c r="AA284" s="724"/>
      <c r="AB284" s="724"/>
      <c r="AC284" s="724"/>
      <c r="AD284" s="727"/>
      <c r="AE284" s="728"/>
      <c r="AF284" s="729"/>
      <c r="AG284" s="730"/>
      <c r="AI284" s="13"/>
    </row>
    <row r="285" spans="1:35" s="5" customFormat="1">
      <c r="A285" s="1"/>
      <c r="B285" s="6"/>
      <c r="C285" s="4"/>
      <c r="D285" s="3"/>
      <c r="E285" s="4"/>
      <c r="F285" s="4"/>
      <c r="G285" s="4"/>
      <c r="H285" s="6"/>
      <c r="I285" s="6"/>
      <c r="J285" s="6"/>
      <c r="K285" s="11"/>
      <c r="N285" s="7"/>
      <c r="O285" s="7"/>
      <c r="Q285" s="6"/>
      <c r="R285" s="1"/>
      <c r="S285" s="6"/>
      <c r="T285" s="725"/>
      <c r="U285" s="725"/>
      <c r="V285" s="724"/>
      <c r="W285" s="724"/>
      <c r="X285" s="724"/>
      <c r="Y285" s="724"/>
      <c r="Z285" s="725"/>
      <c r="AA285" s="724"/>
      <c r="AB285" s="724"/>
      <c r="AC285" s="724"/>
      <c r="AD285" s="727"/>
      <c r="AE285" s="728"/>
      <c r="AF285" s="729"/>
      <c r="AG285" s="730"/>
      <c r="AI285" s="13"/>
    </row>
    <row r="286" spans="1:35" s="5" customFormat="1">
      <c r="A286" s="1"/>
      <c r="B286" s="6"/>
      <c r="C286" s="4"/>
      <c r="D286" s="3"/>
      <c r="E286" s="4"/>
      <c r="F286" s="4"/>
      <c r="G286" s="4"/>
      <c r="H286" s="6"/>
      <c r="I286" s="6"/>
      <c r="J286" s="6"/>
      <c r="K286" s="11"/>
      <c r="N286" s="7"/>
      <c r="O286" s="7"/>
      <c r="Q286" s="6"/>
      <c r="R286" s="1"/>
      <c r="S286" s="6"/>
      <c r="T286" s="725"/>
      <c r="U286" s="725"/>
      <c r="V286" s="724"/>
      <c r="W286" s="724"/>
      <c r="X286" s="724"/>
      <c r="Y286" s="724"/>
      <c r="Z286" s="725"/>
      <c r="AA286" s="724"/>
      <c r="AB286" s="724"/>
      <c r="AC286" s="724"/>
      <c r="AD286" s="727"/>
      <c r="AE286" s="728"/>
      <c r="AF286" s="729"/>
      <c r="AG286" s="730"/>
      <c r="AI286" s="13"/>
    </row>
    <row r="287" spans="1:35" s="5" customFormat="1">
      <c r="A287" s="1"/>
      <c r="B287" s="6"/>
      <c r="C287" s="4"/>
      <c r="D287" s="3"/>
      <c r="E287" s="4"/>
      <c r="F287" s="4"/>
      <c r="G287" s="4"/>
      <c r="H287" s="6"/>
      <c r="I287" s="6"/>
      <c r="J287" s="6"/>
      <c r="K287" s="11"/>
      <c r="N287" s="7"/>
      <c r="O287" s="7"/>
      <c r="Q287" s="6"/>
      <c r="R287" s="1"/>
      <c r="S287" s="6"/>
      <c r="T287" s="725"/>
      <c r="U287" s="725"/>
      <c r="V287" s="724"/>
      <c r="W287" s="724"/>
      <c r="X287" s="724"/>
      <c r="Y287" s="724"/>
      <c r="Z287" s="725"/>
      <c r="AA287" s="724"/>
      <c r="AB287" s="724"/>
      <c r="AC287" s="724"/>
      <c r="AD287" s="727"/>
      <c r="AE287" s="728"/>
      <c r="AF287" s="729"/>
      <c r="AG287" s="730"/>
      <c r="AI287" s="13"/>
    </row>
    <row r="288" spans="1:35" s="5" customFormat="1">
      <c r="A288" s="1"/>
      <c r="B288" s="6"/>
      <c r="C288" s="4"/>
      <c r="D288" s="3"/>
      <c r="E288" s="4"/>
      <c r="F288" s="4"/>
      <c r="G288" s="4"/>
      <c r="H288" s="6"/>
      <c r="I288" s="6"/>
      <c r="J288" s="6"/>
      <c r="K288" s="11"/>
      <c r="N288" s="7"/>
      <c r="O288" s="7"/>
      <c r="Q288" s="6"/>
      <c r="R288" s="1"/>
      <c r="S288" s="6"/>
      <c r="T288" s="725"/>
      <c r="U288" s="725"/>
      <c r="V288" s="724"/>
      <c r="W288" s="724"/>
      <c r="X288" s="724"/>
      <c r="Y288" s="724"/>
      <c r="Z288" s="725"/>
      <c r="AA288" s="724"/>
      <c r="AB288" s="724"/>
      <c r="AC288" s="724"/>
      <c r="AD288" s="727"/>
      <c r="AE288" s="728"/>
      <c r="AF288" s="729"/>
      <c r="AG288" s="730"/>
      <c r="AI288" s="13"/>
    </row>
    <row r="289" spans="1:35" s="5" customFormat="1">
      <c r="A289" s="1"/>
      <c r="B289" s="6"/>
      <c r="C289" s="4"/>
      <c r="D289" s="3"/>
      <c r="E289" s="4"/>
      <c r="F289" s="4"/>
      <c r="G289" s="4"/>
      <c r="H289" s="6"/>
      <c r="I289" s="6"/>
      <c r="J289" s="6"/>
      <c r="K289" s="11"/>
      <c r="N289" s="7"/>
      <c r="O289" s="7"/>
      <c r="Q289" s="6"/>
      <c r="R289" s="1"/>
      <c r="S289" s="6"/>
      <c r="T289" s="725"/>
      <c r="U289" s="725"/>
      <c r="V289" s="724"/>
      <c r="W289" s="724"/>
      <c r="X289" s="724"/>
      <c r="Y289" s="724"/>
      <c r="Z289" s="725"/>
      <c r="AA289" s="724"/>
      <c r="AB289" s="724"/>
      <c r="AC289" s="724"/>
      <c r="AD289" s="727"/>
      <c r="AE289" s="728"/>
      <c r="AF289" s="729"/>
      <c r="AG289" s="730"/>
      <c r="AI289" s="13"/>
    </row>
    <row r="290" spans="1:35" s="5" customFormat="1">
      <c r="A290" s="1"/>
      <c r="B290" s="6"/>
      <c r="C290" s="4"/>
      <c r="D290" s="3"/>
      <c r="E290" s="4"/>
      <c r="F290" s="4"/>
      <c r="G290" s="4"/>
      <c r="H290" s="6"/>
      <c r="I290" s="6"/>
      <c r="J290" s="6"/>
      <c r="K290" s="11"/>
      <c r="N290" s="7"/>
      <c r="O290" s="7"/>
      <c r="Q290" s="6"/>
      <c r="R290" s="1"/>
      <c r="S290" s="6"/>
      <c r="T290" s="725"/>
      <c r="U290" s="725"/>
      <c r="V290" s="724"/>
      <c r="W290" s="724"/>
      <c r="X290" s="724"/>
      <c r="Y290" s="724"/>
      <c r="Z290" s="725"/>
      <c r="AA290" s="724"/>
      <c r="AB290" s="724"/>
      <c r="AC290" s="724"/>
      <c r="AD290" s="727"/>
      <c r="AE290" s="728"/>
      <c r="AF290" s="729"/>
      <c r="AG290" s="730"/>
      <c r="AI290" s="13"/>
    </row>
    <row r="291" spans="1:35" s="5" customFormat="1">
      <c r="A291" s="1"/>
      <c r="B291" s="6"/>
      <c r="C291" s="4"/>
      <c r="D291" s="3"/>
      <c r="E291" s="4"/>
      <c r="F291" s="4"/>
      <c r="G291" s="4"/>
      <c r="H291" s="6"/>
      <c r="I291" s="6"/>
      <c r="J291" s="6"/>
      <c r="K291" s="11"/>
      <c r="N291" s="7"/>
      <c r="O291" s="7"/>
      <c r="Q291" s="6"/>
      <c r="R291" s="1"/>
      <c r="S291" s="6"/>
      <c r="T291" s="725"/>
      <c r="U291" s="725"/>
      <c r="V291" s="724"/>
      <c r="W291" s="724"/>
      <c r="X291" s="724"/>
      <c r="Y291" s="724"/>
      <c r="Z291" s="725"/>
      <c r="AA291" s="724"/>
      <c r="AB291" s="724"/>
      <c r="AC291" s="724"/>
      <c r="AD291" s="727"/>
      <c r="AE291" s="728"/>
      <c r="AF291" s="729"/>
      <c r="AG291" s="730"/>
      <c r="AI291" s="13"/>
    </row>
    <row r="292" spans="1:35" s="5" customFormat="1">
      <c r="A292" s="1"/>
      <c r="B292" s="6"/>
      <c r="C292" s="4"/>
      <c r="D292" s="3"/>
      <c r="E292" s="4"/>
      <c r="F292" s="4"/>
      <c r="G292" s="4"/>
      <c r="H292" s="6"/>
      <c r="I292" s="6"/>
      <c r="J292" s="6"/>
      <c r="K292" s="11"/>
      <c r="N292" s="7"/>
      <c r="O292" s="7"/>
      <c r="Q292" s="6"/>
      <c r="R292" s="1"/>
      <c r="S292" s="6"/>
      <c r="T292" s="725"/>
      <c r="U292" s="725"/>
      <c r="V292" s="724"/>
      <c r="W292" s="724"/>
      <c r="X292" s="724"/>
      <c r="Y292" s="724"/>
      <c r="Z292" s="725"/>
      <c r="AA292" s="724"/>
      <c r="AB292" s="724"/>
      <c r="AC292" s="724"/>
      <c r="AD292" s="727"/>
      <c r="AE292" s="728"/>
      <c r="AF292" s="729"/>
      <c r="AG292" s="730"/>
      <c r="AI292" s="13"/>
    </row>
    <row r="293" spans="1:35" s="5" customFormat="1">
      <c r="A293" s="1"/>
      <c r="B293" s="6"/>
      <c r="C293" s="4"/>
      <c r="D293" s="3"/>
      <c r="E293" s="4"/>
      <c r="F293" s="4"/>
      <c r="G293" s="4"/>
      <c r="H293" s="6"/>
      <c r="I293" s="6"/>
      <c r="J293" s="6"/>
      <c r="K293" s="11"/>
      <c r="N293" s="7"/>
      <c r="O293" s="7"/>
      <c r="Q293" s="6"/>
      <c r="R293" s="1"/>
      <c r="S293" s="6"/>
      <c r="T293" s="725"/>
      <c r="U293" s="725"/>
      <c r="V293" s="724"/>
      <c r="W293" s="724"/>
      <c r="X293" s="724"/>
      <c r="Y293" s="724"/>
      <c r="Z293" s="725"/>
      <c r="AA293" s="724"/>
      <c r="AB293" s="724"/>
      <c r="AC293" s="724"/>
      <c r="AD293" s="727"/>
      <c r="AE293" s="728"/>
      <c r="AF293" s="729"/>
      <c r="AG293" s="730"/>
      <c r="AI293" s="13"/>
    </row>
    <row r="294" spans="1:35" s="5" customFormat="1">
      <c r="A294" s="1"/>
      <c r="B294" s="6"/>
      <c r="C294" s="4"/>
      <c r="D294" s="3"/>
      <c r="E294" s="4"/>
      <c r="F294" s="4"/>
      <c r="G294" s="4"/>
      <c r="H294" s="6"/>
      <c r="I294" s="6"/>
      <c r="J294" s="6"/>
      <c r="K294" s="11"/>
      <c r="N294" s="7"/>
      <c r="O294" s="7"/>
      <c r="Q294" s="6"/>
      <c r="R294" s="1"/>
      <c r="S294" s="6"/>
      <c r="T294" s="725"/>
      <c r="U294" s="725"/>
      <c r="V294" s="724"/>
      <c r="W294" s="724"/>
      <c r="X294" s="724"/>
      <c r="Y294" s="724"/>
      <c r="Z294" s="725"/>
      <c r="AA294" s="724"/>
      <c r="AB294" s="724"/>
      <c r="AC294" s="724"/>
      <c r="AD294" s="727"/>
      <c r="AE294" s="728"/>
      <c r="AF294" s="729"/>
      <c r="AG294" s="730"/>
      <c r="AI294" s="13"/>
    </row>
    <row r="295" spans="1:35" s="5" customFormat="1">
      <c r="A295" s="1"/>
      <c r="B295" s="6"/>
      <c r="C295" s="4"/>
      <c r="D295" s="3"/>
      <c r="E295" s="4"/>
      <c r="F295" s="4"/>
      <c r="G295" s="4"/>
      <c r="H295" s="6"/>
      <c r="I295" s="6"/>
      <c r="J295" s="6"/>
      <c r="K295" s="11"/>
      <c r="N295" s="7"/>
      <c r="O295" s="7"/>
      <c r="Q295" s="6"/>
      <c r="R295" s="1"/>
      <c r="S295" s="6"/>
      <c r="T295" s="725"/>
      <c r="U295" s="725"/>
      <c r="V295" s="724"/>
      <c r="W295" s="724"/>
      <c r="X295" s="724"/>
      <c r="Y295" s="724"/>
      <c r="Z295" s="725"/>
      <c r="AA295" s="724"/>
      <c r="AB295" s="724"/>
      <c r="AC295" s="724"/>
      <c r="AD295" s="727"/>
      <c r="AE295" s="728"/>
      <c r="AF295" s="729"/>
      <c r="AG295" s="730"/>
      <c r="AI295" s="13"/>
    </row>
    <row r="296" spans="1:35" s="5" customFormat="1">
      <c r="A296" s="1"/>
      <c r="B296" s="6"/>
      <c r="C296" s="4"/>
      <c r="D296" s="3"/>
      <c r="E296" s="4"/>
      <c r="F296" s="4"/>
      <c r="G296" s="4"/>
      <c r="H296" s="6"/>
      <c r="I296" s="6"/>
      <c r="J296" s="6"/>
      <c r="K296" s="11"/>
      <c r="N296" s="7"/>
      <c r="O296" s="7"/>
      <c r="Q296" s="6"/>
      <c r="R296" s="1"/>
      <c r="S296" s="6"/>
      <c r="T296" s="725"/>
      <c r="U296" s="725"/>
      <c r="V296" s="724"/>
      <c r="W296" s="724"/>
      <c r="X296" s="724"/>
      <c r="Y296" s="724"/>
      <c r="Z296" s="725"/>
      <c r="AA296" s="724"/>
      <c r="AB296" s="724"/>
      <c r="AC296" s="724"/>
      <c r="AD296" s="727"/>
      <c r="AE296" s="728"/>
      <c r="AF296" s="729"/>
      <c r="AG296" s="730"/>
      <c r="AI296" s="13"/>
    </row>
    <row r="297" spans="1:35" s="5" customFormat="1">
      <c r="A297" s="1"/>
      <c r="B297" s="6"/>
      <c r="C297" s="4"/>
      <c r="D297" s="3"/>
      <c r="E297" s="4"/>
      <c r="F297" s="4"/>
      <c r="G297" s="4"/>
      <c r="H297" s="6"/>
      <c r="I297" s="6"/>
      <c r="J297" s="6"/>
      <c r="K297" s="11"/>
      <c r="N297" s="7"/>
      <c r="O297" s="7"/>
      <c r="Q297" s="6"/>
      <c r="R297" s="1"/>
      <c r="S297" s="6"/>
      <c r="T297" s="725"/>
      <c r="U297" s="725"/>
      <c r="V297" s="724"/>
      <c r="W297" s="724"/>
      <c r="X297" s="724"/>
      <c r="Y297" s="724"/>
      <c r="Z297" s="725"/>
      <c r="AA297" s="724"/>
      <c r="AB297" s="724"/>
      <c r="AC297" s="724"/>
      <c r="AD297" s="727"/>
      <c r="AE297" s="728"/>
      <c r="AF297" s="729"/>
      <c r="AG297" s="730"/>
      <c r="AI297" s="13"/>
    </row>
    <row r="298" spans="1:35" s="5" customFormat="1">
      <c r="A298" s="1"/>
      <c r="B298" s="6"/>
      <c r="C298" s="4"/>
      <c r="D298" s="3"/>
      <c r="E298" s="4"/>
      <c r="F298" s="4"/>
      <c r="G298" s="4"/>
      <c r="H298" s="6"/>
      <c r="I298" s="6"/>
      <c r="J298" s="6"/>
      <c r="K298" s="11"/>
      <c r="N298" s="7"/>
      <c r="O298" s="7"/>
      <c r="Q298" s="6"/>
      <c r="R298" s="1"/>
      <c r="S298" s="6"/>
      <c r="T298" s="725"/>
      <c r="U298" s="725"/>
      <c r="V298" s="724"/>
      <c r="W298" s="724"/>
      <c r="X298" s="724"/>
      <c r="Y298" s="724"/>
      <c r="Z298" s="725"/>
      <c r="AA298" s="724"/>
      <c r="AB298" s="724"/>
      <c r="AC298" s="724"/>
      <c r="AD298" s="727"/>
      <c r="AE298" s="728"/>
      <c r="AF298" s="729"/>
      <c r="AG298" s="730"/>
      <c r="AI298" s="13"/>
    </row>
    <row r="299" spans="1:35" s="5" customFormat="1">
      <c r="A299" s="1"/>
      <c r="B299" s="6"/>
      <c r="C299" s="4"/>
      <c r="D299" s="3"/>
      <c r="E299" s="4"/>
      <c r="F299" s="4"/>
      <c r="G299" s="4"/>
      <c r="H299" s="6"/>
      <c r="I299" s="6"/>
      <c r="J299" s="6"/>
      <c r="K299" s="11"/>
      <c r="N299" s="7"/>
      <c r="O299" s="7"/>
      <c r="Q299" s="6"/>
      <c r="R299" s="1"/>
      <c r="S299" s="6"/>
      <c r="T299" s="725"/>
      <c r="U299" s="725"/>
      <c r="V299" s="724"/>
      <c r="W299" s="724"/>
      <c r="X299" s="724"/>
      <c r="Y299" s="724"/>
      <c r="Z299" s="725"/>
      <c r="AA299" s="724"/>
      <c r="AB299" s="724"/>
      <c r="AC299" s="724"/>
      <c r="AD299" s="727"/>
      <c r="AE299" s="728"/>
      <c r="AF299" s="729"/>
      <c r="AG299" s="730"/>
      <c r="AI299" s="13"/>
    </row>
    <row r="300" spans="1:35" s="5" customFormat="1">
      <c r="A300" s="1"/>
      <c r="B300" s="6"/>
      <c r="C300" s="4"/>
      <c r="D300" s="3"/>
      <c r="E300" s="4"/>
      <c r="F300" s="4"/>
      <c r="G300" s="4"/>
      <c r="H300" s="6"/>
      <c r="I300" s="6"/>
      <c r="J300" s="6"/>
      <c r="K300" s="11"/>
      <c r="N300" s="7"/>
      <c r="O300" s="7"/>
      <c r="Q300" s="6"/>
      <c r="R300" s="1"/>
      <c r="S300" s="6"/>
      <c r="T300" s="725"/>
      <c r="U300" s="725"/>
      <c r="V300" s="724"/>
      <c r="W300" s="724"/>
      <c r="X300" s="724"/>
      <c r="Y300" s="724"/>
      <c r="Z300" s="725"/>
      <c r="AA300" s="724"/>
      <c r="AB300" s="724"/>
      <c r="AC300" s="724"/>
      <c r="AD300" s="727"/>
      <c r="AE300" s="728"/>
      <c r="AF300" s="729"/>
      <c r="AG300" s="730"/>
      <c r="AI300" s="13"/>
    </row>
    <row r="301" spans="1:35" s="5" customFormat="1">
      <c r="A301" s="1"/>
      <c r="B301" s="6"/>
      <c r="C301" s="4"/>
      <c r="D301" s="3"/>
      <c r="E301" s="4"/>
      <c r="F301" s="4"/>
      <c r="G301" s="4"/>
      <c r="H301" s="6"/>
      <c r="I301" s="6"/>
      <c r="J301" s="6"/>
      <c r="K301" s="11"/>
      <c r="N301" s="7"/>
      <c r="O301" s="7"/>
      <c r="Q301" s="6"/>
      <c r="R301" s="1"/>
      <c r="S301" s="6"/>
      <c r="T301" s="725"/>
      <c r="U301" s="725"/>
      <c r="V301" s="724"/>
      <c r="W301" s="724"/>
      <c r="X301" s="724"/>
      <c r="Y301" s="724"/>
      <c r="Z301" s="725"/>
      <c r="AA301" s="724"/>
      <c r="AB301" s="724"/>
      <c r="AC301" s="724"/>
      <c r="AD301" s="727"/>
      <c r="AE301" s="728"/>
      <c r="AF301" s="729"/>
      <c r="AG301" s="730"/>
      <c r="AI301" s="13"/>
    </row>
    <row r="302" spans="1:35" s="5" customFormat="1">
      <c r="A302" s="1"/>
      <c r="B302" s="6"/>
      <c r="C302" s="4"/>
      <c r="D302" s="3"/>
      <c r="E302" s="4"/>
      <c r="F302" s="4"/>
      <c r="G302" s="4"/>
      <c r="H302" s="6"/>
      <c r="I302" s="6"/>
      <c r="J302" s="6"/>
      <c r="K302" s="11"/>
      <c r="N302" s="7"/>
      <c r="O302" s="7"/>
      <c r="Q302" s="6"/>
      <c r="R302" s="1"/>
      <c r="S302" s="6"/>
      <c r="T302" s="725"/>
      <c r="U302" s="725"/>
      <c r="V302" s="724"/>
      <c r="W302" s="724"/>
      <c r="X302" s="724"/>
      <c r="Y302" s="724"/>
      <c r="Z302" s="725"/>
      <c r="AA302" s="724"/>
      <c r="AB302" s="724"/>
      <c r="AC302" s="724"/>
      <c r="AD302" s="727"/>
      <c r="AE302" s="728"/>
      <c r="AF302" s="729"/>
      <c r="AG302" s="730"/>
      <c r="AI302" s="13"/>
    </row>
    <row r="303" spans="1:35" s="5" customFormat="1">
      <c r="A303" s="1"/>
      <c r="B303" s="6"/>
      <c r="C303" s="4"/>
      <c r="D303" s="3"/>
      <c r="E303" s="4"/>
      <c r="F303" s="4"/>
      <c r="G303" s="4"/>
      <c r="H303" s="6"/>
      <c r="I303" s="6"/>
      <c r="J303" s="6"/>
      <c r="K303" s="11"/>
      <c r="N303" s="7"/>
      <c r="O303" s="7"/>
      <c r="Q303" s="6"/>
      <c r="R303" s="1"/>
      <c r="S303" s="6"/>
      <c r="T303" s="725"/>
      <c r="U303" s="725"/>
      <c r="V303" s="724"/>
      <c r="W303" s="724"/>
      <c r="X303" s="724"/>
      <c r="Y303" s="724"/>
      <c r="Z303" s="725"/>
      <c r="AA303" s="724"/>
      <c r="AB303" s="724"/>
      <c r="AC303" s="724"/>
      <c r="AD303" s="727"/>
      <c r="AE303" s="728"/>
      <c r="AF303" s="729"/>
      <c r="AG303" s="730"/>
      <c r="AI303" s="13"/>
    </row>
    <row r="304" spans="1:35" s="5" customFormat="1">
      <c r="A304" s="1"/>
      <c r="B304" s="6"/>
      <c r="C304" s="4"/>
      <c r="D304" s="3"/>
      <c r="E304" s="4"/>
      <c r="F304" s="4"/>
      <c r="G304" s="4"/>
      <c r="H304" s="6"/>
      <c r="I304" s="6"/>
      <c r="J304" s="6"/>
      <c r="K304" s="11"/>
      <c r="N304" s="7"/>
      <c r="O304" s="7"/>
      <c r="Q304" s="6"/>
      <c r="R304" s="1"/>
      <c r="S304" s="6"/>
      <c r="T304" s="725"/>
      <c r="U304" s="725"/>
      <c r="V304" s="724"/>
      <c r="W304" s="724"/>
      <c r="X304" s="724"/>
      <c r="Y304" s="724"/>
      <c r="Z304" s="725"/>
      <c r="AA304" s="724"/>
      <c r="AB304" s="724"/>
      <c r="AC304" s="724"/>
      <c r="AD304" s="727"/>
      <c r="AE304" s="728"/>
      <c r="AF304" s="729"/>
      <c r="AG304" s="730"/>
      <c r="AI304" s="13"/>
    </row>
    <row r="305" spans="1:35" s="5" customFormat="1">
      <c r="A305" s="1"/>
      <c r="B305" s="6"/>
      <c r="C305" s="4"/>
      <c r="D305" s="3"/>
      <c r="E305" s="4"/>
      <c r="F305" s="4"/>
      <c r="G305" s="4"/>
      <c r="H305" s="6"/>
      <c r="I305" s="6"/>
      <c r="J305" s="6"/>
      <c r="K305" s="11"/>
      <c r="N305" s="7"/>
      <c r="O305" s="7"/>
      <c r="Q305" s="6"/>
      <c r="R305" s="1"/>
      <c r="S305" s="6"/>
      <c r="T305" s="725"/>
      <c r="U305" s="725"/>
      <c r="V305" s="724"/>
      <c r="W305" s="724"/>
      <c r="X305" s="724"/>
      <c r="Y305" s="724"/>
      <c r="Z305" s="725"/>
      <c r="AA305" s="724"/>
      <c r="AB305" s="724"/>
      <c r="AC305" s="724"/>
      <c r="AD305" s="727"/>
      <c r="AE305" s="728"/>
      <c r="AF305" s="729"/>
      <c r="AG305" s="730"/>
      <c r="AI305" s="13"/>
    </row>
    <row r="306" spans="1:35" s="5" customFormat="1">
      <c r="A306" s="1"/>
      <c r="B306" s="6"/>
      <c r="C306" s="4"/>
      <c r="D306" s="3"/>
      <c r="E306" s="4"/>
      <c r="F306" s="4"/>
      <c r="G306" s="4"/>
      <c r="H306" s="6"/>
      <c r="I306" s="6"/>
      <c r="J306" s="6"/>
      <c r="K306" s="11"/>
      <c r="N306" s="7"/>
      <c r="O306" s="7"/>
      <c r="Q306" s="6"/>
      <c r="R306" s="1"/>
      <c r="S306" s="6"/>
      <c r="T306" s="725"/>
      <c r="U306" s="725"/>
      <c r="V306" s="724"/>
      <c r="W306" s="724"/>
      <c r="X306" s="724"/>
      <c r="Y306" s="724"/>
      <c r="Z306" s="725"/>
      <c r="AA306" s="724"/>
      <c r="AB306" s="724"/>
      <c r="AC306" s="724"/>
      <c r="AD306" s="727"/>
      <c r="AE306" s="728"/>
      <c r="AF306" s="729"/>
      <c r="AG306" s="730"/>
      <c r="AI306" s="13"/>
    </row>
    <row r="307" spans="1:35" s="5" customFormat="1">
      <c r="A307" s="1"/>
      <c r="B307" s="6"/>
      <c r="C307" s="4"/>
      <c r="D307" s="3"/>
      <c r="E307" s="4"/>
      <c r="F307" s="4"/>
      <c r="G307" s="4"/>
      <c r="H307" s="6"/>
      <c r="I307" s="6"/>
      <c r="J307" s="6"/>
      <c r="K307" s="11"/>
      <c r="N307" s="7"/>
      <c r="O307" s="7"/>
      <c r="Q307" s="6"/>
      <c r="R307" s="1"/>
      <c r="S307" s="6"/>
      <c r="T307" s="725"/>
      <c r="U307" s="725"/>
      <c r="V307" s="724"/>
      <c r="W307" s="724"/>
      <c r="X307" s="724"/>
      <c r="Y307" s="724"/>
      <c r="Z307" s="725"/>
      <c r="AA307" s="724"/>
      <c r="AB307" s="724"/>
      <c r="AC307" s="724"/>
      <c r="AD307" s="727"/>
      <c r="AE307" s="728"/>
      <c r="AF307" s="729"/>
      <c r="AG307" s="730"/>
      <c r="AI307" s="13"/>
    </row>
    <row r="308" spans="1:35" s="5" customFormat="1">
      <c r="A308" s="1"/>
      <c r="B308" s="6"/>
      <c r="C308" s="4"/>
      <c r="D308" s="3"/>
      <c r="E308" s="4"/>
      <c r="F308" s="4"/>
      <c r="G308" s="4"/>
      <c r="H308" s="6"/>
      <c r="I308" s="6"/>
      <c r="J308" s="6"/>
      <c r="K308" s="11"/>
      <c r="N308" s="7"/>
      <c r="O308" s="7"/>
      <c r="Q308" s="6"/>
      <c r="R308" s="1"/>
      <c r="S308" s="6"/>
      <c r="T308" s="725"/>
      <c r="U308" s="725"/>
      <c r="V308" s="724"/>
      <c r="W308" s="724"/>
      <c r="X308" s="724"/>
      <c r="Y308" s="724"/>
      <c r="Z308" s="725"/>
      <c r="AA308" s="724"/>
      <c r="AB308" s="724"/>
      <c r="AC308" s="724"/>
      <c r="AD308" s="727"/>
      <c r="AE308" s="728"/>
      <c r="AF308" s="729"/>
      <c r="AG308" s="730"/>
      <c r="AI308" s="13"/>
    </row>
    <row r="309" spans="1:35" s="5" customFormat="1">
      <c r="A309" s="1"/>
      <c r="B309" s="6"/>
      <c r="C309" s="4"/>
      <c r="D309" s="3"/>
      <c r="E309" s="4"/>
      <c r="F309" s="4"/>
      <c r="G309" s="4"/>
      <c r="H309" s="6"/>
      <c r="I309" s="6"/>
      <c r="J309" s="6"/>
      <c r="K309" s="11"/>
      <c r="N309" s="7"/>
      <c r="O309" s="7"/>
      <c r="Q309" s="6"/>
      <c r="R309" s="1"/>
      <c r="S309" s="6"/>
      <c r="T309" s="725"/>
      <c r="U309" s="725"/>
      <c r="V309" s="724"/>
      <c r="W309" s="724"/>
      <c r="X309" s="724"/>
      <c r="Y309" s="724"/>
      <c r="Z309" s="725"/>
      <c r="AA309" s="724"/>
      <c r="AB309" s="724"/>
      <c r="AC309" s="724"/>
      <c r="AD309" s="727"/>
      <c r="AE309" s="728"/>
      <c r="AF309" s="729"/>
      <c r="AG309" s="730"/>
      <c r="AI309" s="13"/>
    </row>
    <row r="310" spans="1:35" s="5" customFormat="1">
      <c r="A310" s="1"/>
      <c r="B310" s="6"/>
      <c r="C310" s="4"/>
      <c r="D310" s="3"/>
      <c r="E310" s="4"/>
      <c r="F310" s="4"/>
      <c r="G310" s="4"/>
      <c r="H310" s="6"/>
      <c r="I310" s="6"/>
      <c r="J310" s="6"/>
      <c r="K310" s="11"/>
      <c r="N310" s="7"/>
      <c r="O310" s="7"/>
      <c r="Q310" s="6"/>
      <c r="R310" s="1"/>
      <c r="S310" s="6"/>
      <c r="T310" s="725"/>
      <c r="U310" s="725"/>
      <c r="V310" s="724"/>
      <c r="W310" s="724"/>
      <c r="X310" s="724"/>
      <c r="Y310" s="724"/>
      <c r="Z310" s="725"/>
      <c r="AA310" s="724"/>
      <c r="AB310" s="724"/>
      <c r="AC310" s="724"/>
      <c r="AD310" s="727"/>
      <c r="AE310" s="728"/>
      <c r="AF310" s="729"/>
      <c r="AG310" s="730"/>
      <c r="AI310" s="13"/>
    </row>
    <row r="311" spans="1:35" s="5" customFormat="1">
      <c r="A311" s="1"/>
      <c r="B311" s="6"/>
      <c r="C311" s="4"/>
      <c r="D311" s="3"/>
      <c r="E311" s="4"/>
      <c r="F311" s="4"/>
      <c r="G311" s="4"/>
      <c r="H311" s="6"/>
      <c r="I311" s="6"/>
      <c r="J311" s="6"/>
      <c r="K311" s="11"/>
      <c r="N311" s="7"/>
      <c r="O311" s="7"/>
      <c r="Q311" s="6"/>
      <c r="R311" s="1"/>
      <c r="S311" s="6"/>
      <c r="T311" s="725"/>
      <c r="U311" s="725"/>
      <c r="V311" s="724"/>
      <c r="W311" s="724"/>
      <c r="X311" s="724"/>
      <c r="Y311" s="724"/>
      <c r="Z311" s="725"/>
      <c r="AA311" s="724"/>
      <c r="AB311" s="724"/>
      <c r="AC311" s="724"/>
      <c r="AD311" s="727"/>
      <c r="AE311" s="728"/>
      <c r="AF311" s="729"/>
      <c r="AG311" s="730"/>
      <c r="AI311" s="13"/>
    </row>
    <row r="312" spans="1:35" s="5" customFormat="1">
      <c r="A312" s="1"/>
      <c r="B312" s="6"/>
      <c r="C312" s="4"/>
      <c r="D312" s="3"/>
      <c r="E312" s="4"/>
      <c r="F312" s="4"/>
      <c r="G312" s="4"/>
      <c r="H312" s="6"/>
      <c r="I312" s="6"/>
      <c r="J312" s="6"/>
      <c r="K312" s="11"/>
      <c r="N312" s="7"/>
      <c r="O312" s="7"/>
      <c r="Q312" s="6"/>
      <c r="R312" s="1"/>
      <c r="S312" s="6"/>
      <c r="T312" s="725"/>
      <c r="U312" s="725"/>
      <c r="V312" s="724"/>
      <c r="W312" s="724"/>
      <c r="X312" s="724"/>
      <c r="Y312" s="724"/>
      <c r="Z312" s="725"/>
      <c r="AA312" s="724"/>
      <c r="AB312" s="724"/>
      <c r="AC312" s="724"/>
      <c r="AD312" s="727"/>
      <c r="AE312" s="728"/>
      <c r="AF312" s="729"/>
      <c r="AG312" s="730"/>
      <c r="AI312" s="13"/>
    </row>
    <row r="313" spans="1:35" s="5" customFormat="1">
      <c r="A313" s="1"/>
      <c r="B313" s="6"/>
      <c r="C313" s="4"/>
      <c r="D313" s="3"/>
      <c r="E313" s="4"/>
      <c r="F313" s="4"/>
      <c r="G313" s="4"/>
      <c r="H313" s="6"/>
      <c r="I313" s="6"/>
      <c r="J313" s="6"/>
      <c r="K313" s="11"/>
      <c r="N313" s="7"/>
      <c r="O313" s="7"/>
      <c r="Q313" s="6"/>
      <c r="R313" s="1"/>
      <c r="S313" s="6"/>
      <c r="T313" s="725"/>
      <c r="U313" s="725"/>
      <c r="V313" s="724"/>
      <c r="W313" s="724"/>
      <c r="X313" s="724"/>
      <c r="Y313" s="724"/>
      <c r="Z313" s="725"/>
      <c r="AA313" s="724"/>
      <c r="AB313" s="724"/>
      <c r="AC313" s="724"/>
      <c r="AD313" s="727"/>
      <c r="AE313" s="728"/>
      <c r="AF313" s="729"/>
      <c r="AG313" s="730"/>
      <c r="AI313" s="13"/>
    </row>
    <row r="314" spans="1:35" s="5" customFormat="1">
      <c r="A314" s="1"/>
      <c r="B314" s="6"/>
      <c r="C314" s="4"/>
      <c r="D314" s="3"/>
      <c r="E314" s="4"/>
      <c r="F314" s="4"/>
      <c r="G314" s="4"/>
      <c r="H314" s="6"/>
      <c r="I314" s="6"/>
      <c r="J314" s="6"/>
      <c r="K314" s="11"/>
      <c r="N314" s="7"/>
      <c r="O314" s="7"/>
      <c r="Q314" s="6"/>
      <c r="R314" s="1"/>
      <c r="S314" s="6"/>
      <c r="T314" s="725"/>
      <c r="U314" s="725"/>
      <c r="V314" s="724"/>
      <c r="W314" s="724"/>
      <c r="X314" s="724"/>
      <c r="Y314" s="724"/>
      <c r="Z314" s="725"/>
      <c r="AA314" s="724"/>
      <c r="AB314" s="724"/>
      <c r="AC314" s="724"/>
      <c r="AD314" s="727"/>
      <c r="AE314" s="728"/>
      <c r="AF314" s="729"/>
      <c r="AG314" s="730"/>
      <c r="AI314" s="13"/>
    </row>
    <row r="315" spans="1:35" s="5" customFormat="1">
      <c r="A315" s="1"/>
      <c r="B315" s="6"/>
      <c r="C315" s="4"/>
      <c r="D315" s="3"/>
      <c r="E315" s="4"/>
      <c r="F315" s="4"/>
      <c r="G315" s="4"/>
      <c r="H315" s="6"/>
      <c r="I315" s="6"/>
      <c r="J315" s="6"/>
      <c r="K315" s="11"/>
      <c r="N315" s="7"/>
      <c r="O315" s="7"/>
      <c r="Q315" s="6"/>
      <c r="R315" s="1"/>
      <c r="S315" s="6"/>
      <c r="T315" s="725"/>
      <c r="U315" s="725"/>
      <c r="V315" s="724"/>
      <c r="W315" s="724"/>
      <c r="X315" s="724"/>
      <c r="Y315" s="724"/>
      <c r="Z315" s="725"/>
      <c r="AA315" s="724"/>
      <c r="AB315" s="724"/>
      <c r="AC315" s="724"/>
      <c r="AD315" s="727"/>
      <c r="AE315" s="728"/>
      <c r="AF315" s="729"/>
      <c r="AG315" s="730"/>
      <c r="AI315" s="13"/>
    </row>
    <row r="316" spans="1:35" s="5" customFormat="1">
      <c r="A316" s="1"/>
      <c r="B316" s="6"/>
      <c r="C316" s="4"/>
      <c r="D316" s="3"/>
      <c r="E316" s="4"/>
      <c r="F316" s="4"/>
      <c r="G316" s="4"/>
      <c r="H316" s="6"/>
      <c r="I316" s="6"/>
      <c r="J316" s="6"/>
      <c r="K316" s="11"/>
      <c r="N316" s="7"/>
      <c r="O316" s="7"/>
      <c r="Q316" s="6"/>
      <c r="R316" s="1"/>
      <c r="S316" s="6"/>
      <c r="T316" s="725"/>
      <c r="U316" s="725"/>
      <c r="V316" s="724"/>
      <c r="W316" s="724"/>
      <c r="X316" s="724"/>
      <c r="Y316" s="724"/>
      <c r="Z316" s="725"/>
      <c r="AA316" s="724"/>
      <c r="AB316" s="724"/>
      <c r="AC316" s="724"/>
      <c r="AD316" s="727"/>
      <c r="AE316" s="728"/>
      <c r="AF316" s="729"/>
      <c r="AG316" s="730"/>
      <c r="AI316" s="13"/>
    </row>
    <row r="317" spans="1:35" s="5" customFormat="1">
      <c r="A317" s="1"/>
      <c r="B317" s="6"/>
      <c r="C317" s="4"/>
      <c r="D317" s="3"/>
      <c r="E317" s="4"/>
      <c r="F317" s="4"/>
      <c r="G317" s="4"/>
      <c r="H317" s="6"/>
      <c r="I317" s="6"/>
      <c r="J317" s="6"/>
      <c r="K317" s="11"/>
      <c r="N317" s="7"/>
      <c r="O317" s="7"/>
      <c r="Q317" s="6"/>
      <c r="R317" s="1"/>
      <c r="S317" s="6"/>
      <c r="T317" s="725"/>
      <c r="U317" s="725"/>
      <c r="V317" s="724"/>
      <c r="W317" s="724"/>
      <c r="X317" s="724"/>
      <c r="Y317" s="724"/>
      <c r="Z317" s="725"/>
      <c r="AA317" s="724"/>
      <c r="AB317" s="724"/>
      <c r="AC317" s="724"/>
      <c r="AD317" s="727"/>
      <c r="AE317" s="728"/>
      <c r="AF317" s="729"/>
      <c r="AG317" s="730"/>
      <c r="AI317" s="13"/>
    </row>
    <row r="318" spans="1:35" s="5" customFormat="1">
      <c r="A318" s="1"/>
      <c r="B318" s="6"/>
      <c r="C318" s="4"/>
      <c r="D318" s="3"/>
      <c r="E318" s="4"/>
      <c r="F318" s="4"/>
      <c r="G318" s="4"/>
      <c r="H318" s="6"/>
      <c r="I318" s="6"/>
      <c r="J318" s="6"/>
      <c r="K318" s="11"/>
      <c r="N318" s="7"/>
      <c r="O318" s="7"/>
      <c r="Q318" s="6"/>
      <c r="R318" s="1"/>
      <c r="S318" s="6"/>
      <c r="T318" s="725"/>
      <c r="U318" s="725"/>
      <c r="V318" s="724"/>
      <c r="W318" s="724"/>
      <c r="X318" s="724"/>
      <c r="Y318" s="724"/>
      <c r="Z318" s="725"/>
      <c r="AA318" s="724"/>
      <c r="AB318" s="724"/>
      <c r="AC318" s="724"/>
      <c r="AD318" s="727"/>
      <c r="AE318" s="728"/>
      <c r="AF318" s="729"/>
      <c r="AG318" s="730"/>
      <c r="AI318" s="13"/>
    </row>
    <row r="319" spans="1:35" s="5" customFormat="1">
      <c r="A319" s="1"/>
      <c r="B319" s="6"/>
      <c r="C319" s="4"/>
      <c r="D319" s="3"/>
      <c r="E319" s="4"/>
      <c r="F319" s="4"/>
      <c r="G319" s="4"/>
      <c r="H319" s="6"/>
      <c r="I319" s="6"/>
      <c r="J319" s="6"/>
      <c r="K319" s="11"/>
      <c r="N319" s="7"/>
      <c r="O319" s="7"/>
      <c r="Q319" s="6"/>
      <c r="R319" s="1"/>
      <c r="S319" s="6"/>
      <c r="T319" s="725"/>
      <c r="U319" s="725"/>
      <c r="V319" s="724"/>
      <c r="W319" s="724"/>
      <c r="X319" s="724"/>
      <c r="Y319" s="724"/>
      <c r="Z319" s="725"/>
      <c r="AA319" s="724"/>
      <c r="AB319" s="724"/>
      <c r="AC319" s="724"/>
      <c r="AD319" s="727"/>
      <c r="AE319" s="728"/>
      <c r="AF319" s="729"/>
      <c r="AG319" s="730"/>
      <c r="AI319" s="13"/>
    </row>
    <row r="320" spans="1:35" s="5" customFormat="1">
      <c r="A320" s="1"/>
      <c r="B320" s="6"/>
      <c r="C320" s="4"/>
      <c r="D320" s="3"/>
      <c r="E320" s="4"/>
      <c r="F320" s="4"/>
      <c r="G320" s="4"/>
      <c r="H320" s="6"/>
      <c r="I320" s="6"/>
      <c r="J320" s="6"/>
      <c r="K320" s="11"/>
      <c r="N320" s="7"/>
      <c r="O320" s="7"/>
      <c r="Q320" s="6"/>
      <c r="R320" s="1"/>
      <c r="S320" s="6"/>
      <c r="T320" s="725"/>
      <c r="U320" s="725"/>
      <c r="V320" s="724"/>
      <c r="W320" s="724"/>
      <c r="X320" s="724"/>
      <c r="Y320" s="724"/>
      <c r="Z320" s="725"/>
      <c r="AA320" s="724"/>
      <c r="AB320" s="724"/>
      <c r="AC320" s="724"/>
      <c r="AD320" s="727"/>
      <c r="AE320" s="728"/>
      <c r="AF320" s="729"/>
      <c r="AG320" s="730"/>
      <c r="AI320" s="13"/>
    </row>
    <row r="321" spans="1:35" s="5" customFormat="1">
      <c r="A321" s="1"/>
      <c r="B321" s="6"/>
      <c r="C321" s="4"/>
      <c r="D321" s="3"/>
      <c r="E321" s="4"/>
      <c r="F321" s="4"/>
      <c r="G321" s="4"/>
      <c r="H321" s="6"/>
      <c r="I321" s="6"/>
      <c r="J321" s="6"/>
      <c r="K321" s="11"/>
      <c r="N321" s="7"/>
      <c r="O321" s="7"/>
      <c r="Q321" s="6"/>
      <c r="R321" s="1"/>
      <c r="S321" s="6"/>
      <c r="T321" s="725"/>
      <c r="U321" s="725"/>
      <c r="V321" s="724"/>
      <c r="W321" s="724"/>
      <c r="X321" s="724"/>
      <c r="Y321" s="724"/>
      <c r="Z321" s="725"/>
      <c r="AA321" s="724"/>
      <c r="AB321" s="724"/>
      <c r="AC321" s="724"/>
      <c r="AD321" s="727"/>
      <c r="AE321" s="728"/>
      <c r="AF321" s="729"/>
      <c r="AG321" s="730"/>
      <c r="AI321" s="13"/>
    </row>
    <row r="322" spans="1:35" s="5" customFormat="1">
      <c r="A322" s="1"/>
      <c r="B322" s="6"/>
      <c r="C322" s="4"/>
      <c r="D322" s="3"/>
      <c r="E322" s="4"/>
      <c r="F322" s="4"/>
      <c r="G322" s="4"/>
      <c r="H322" s="6"/>
      <c r="I322" s="6"/>
      <c r="J322" s="6"/>
      <c r="K322" s="11"/>
      <c r="N322" s="7"/>
      <c r="O322" s="7"/>
      <c r="Q322" s="6"/>
      <c r="R322" s="1"/>
      <c r="S322" s="6"/>
      <c r="T322" s="725"/>
      <c r="U322" s="725"/>
      <c r="V322" s="724"/>
      <c r="W322" s="724"/>
      <c r="X322" s="724"/>
      <c r="Y322" s="724"/>
      <c r="Z322" s="725"/>
      <c r="AA322" s="724"/>
      <c r="AB322" s="724"/>
      <c r="AC322" s="724"/>
      <c r="AD322" s="727"/>
      <c r="AE322" s="728"/>
      <c r="AF322" s="729"/>
      <c r="AG322" s="730"/>
      <c r="AI322" s="13"/>
    </row>
  </sheetData>
  <mergeCells count="14">
    <mergeCell ref="A110:L110"/>
    <mergeCell ref="A101:L101"/>
    <mergeCell ref="A92:L92"/>
    <mergeCell ref="A37:L37"/>
    <mergeCell ref="A84:L84"/>
    <mergeCell ref="A74:L74"/>
    <mergeCell ref="A65:L65"/>
    <mergeCell ref="A58:L58"/>
    <mergeCell ref="A46:L46"/>
    <mergeCell ref="A2:P2"/>
    <mergeCell ref="D3:L3"/>
    <mergeCell ref="A5:L5"/>
    <mergeCell ref="A13:L13"/>
    <mergeCell ref="A25:L25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D922D-3F34-431A-BC80-601CDF6AEB93}">
  <dimension ref="A1:AI167"/>
  <sheetViews>
    <sheetView zoomScale="115" zoomScaleNormal="115" workbookViewId="0">
      <pane xSplit="9" ySplit="4" topLeftCell="J118" activePane="bottomRight" state="frozen"/>
      <selection activeCell="D17" sqref="D17"/>
      <selection pane="topRight" activeCell="D17" sqref="D17"/>
      <selection pane="bottomLeft" activeCell="D17" sqref="D17"/>
      <selection pane="bottomRight" activeCell="C123" sqref="C123"/>
    </sheetView>
  </sheetViews>
  <sheetFormatPr defaultColWidth="10.33203125" defaultRowHeight="15.6"/>
  <cols>
    <col min="1" max="1" width="7" style="1" customWidth="1"/>
    <col min="2" max="2" width="15.5546875" style="6" hidden="1" customWidth="1"/>
    <col min="3" max="3" width="19.109375" style="2" customWidth="1"/>
    <col min="4" max="4" width="14.109375" style="3" customWidth="1"/>
    <col min="5" max="5" width="13.33203125" style="4" customWidth="1"/>
    <col min="6" max="6" width="6.33203125" style="4" customWidth="1"/>
    <col min="7" max="8" width="5.109375" style="6" hidden="1" customWidth="1"/>
    <col min="9" max="9" width="43.88671875" style="5" customWidth="1"/>
    <col min="10" max="10" width="10.109375" style="3061" customWidth="1"/>
    <col min="11" max="11" width="18.33203125" style="7" customWidth="1"/>
    <col min="12" max="12" width="7.5546875" style="3061" customWidth="1"/>
    <col min="13" max="13" width="9.5546875" style="11" customWidth="1"/>
    <col min="14" max="14" width="19.109375" style="6" hidden="1" customWidth="1"/>
    <col min="15" max="15" width="17.33203125" style="6" hidden="1" customWidth="1"/>
    <col min="16" max="16" width="11.88671875" style="268" hidden="1" customWidth="1"/>
    <col min="17" max="17" width="13.109375" style="268" hidden="1" customWidth="1"/>
    <col min="18" max="18" width="13" style="268" hidden="1" customWidth="1"/>
    <col min="19" max="19" width="11.88671875" style="268" hidden="1" customWidth="1"/>
    <col min="20" max="20" width="15.33203125" style="264" hidden="1" customWidth="1"/>
    <col min="21" max="21" width="11.88671875" style="268" hidden="1" customWidth="1"/>
    <col min="22" max="22" width="19.44140625" style="268" hidden="1" customWidth="1"/>
    <col min="23" max="23" width="15.5546875" style="269" hidden="1" customWidth="1"/>
    <col min="24" max="24" width="34.33203125" style="270" customWidth="1"/>
    <col min="25" max="25" width="18.6640625" style="271" customWidth="1"/>
    <col min="26" max="26" width="16.6640625" style="272" customWidth="1"/>
    <col min="27" max="27" width="18.5546875" style="273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35" ht="15" customHeight="1">
      <c r="B1" s="125"/>
      <c r="N1" s="125"/>
      <c r="P1" s="2561"/>
      <c r="Q1" s="2561"/>
      <c r="R1" s="2561"/>
      <c r="S1" s="2561"/>
      <c r="T1" s="2562"/>
      <c r="U1" s="2562"/>
      <c r="V1" s="2562"/>
      <c r="W1" s="2562"/>
      <c r="X1" s="2563"/>
      <c r="Y1" s="2562"/>
      <c r="Z1" s="2562"/>
      <c r="AA1" s="2564"/>
    </row>
    <row r="2" spans="1:35" ht="20.25" customHeight="1">
      <c r="A2" s="3314" t="s">
        <v>6136</v>
      </c>
      <c r="B2" s="3315"/>
      <c r="C2" s="3315"/>
      <c r="D2" s="3315"/>
      <c r="E2" s="3315"/>
      <c r="F2" s="3315"/>
      <c r="G2" s="3315"/>
      <c r="H2" s="3315"/>
      <c r="I2" s="3315"/>
      <c r="J2" s="3315"/>
      <c r="K2" s="3315"/>
      <c r="L2" s="3066"/>
      <c r="N2" s="294"/>
      <c r="O2" s="322"/>
      <c r="P2" s="322"/>
      <c r="Q2" s="322"/>
      <c r="R2" s="322"/>
      <c r="S2" s="322"/>
      <c r="T2" s="322"/>
      <c r="U2" s="322"/>
      <c r="V2" s="322"/>
      <c r="W2" s="322"/>
      <c r="X2" s="322"/>
      <c r="Y2" s="322"/>
      <c r="Z2" s="322"/>
      <c r="AA2" s="322"/>
      <c r="AB2" s="13"/>
    </row>
    <row r="3" spans="1:35" ht="15.75" customHeight="1">
      <c r="B3" s="478"/>
      <c r="C3" s="648" t="s">
        <v>6126</v>
      </c>
      <c r="D3" s="3645" t="s">
        <v>6861</v>
      </c>
      <c r="E3" s="3645"/>
      <c r="F3" s="3645"/>
      <c r="G3" s="3645"/>
      <c r="H3" s="3645"/>
      <c r="I3" s="3645"/>
      <c r="J3" s="3645"/>
      <c r="K3" s="3645"/>
      <c r="L3" s="3645"/>
      <c r="N3" s="478"/>
    </row>
    <row r="4" spans="1:35" s="1801" customFormat="1" ht="39.6">
      <c r="A4" s="33" t="s">
        <v>2</v>
      </c>
      <c r="B4" s="483" t="s">
        <v>2773</v>
      </c>
      <c r="C4" s="3051" t="s">
        <v>3</v>
      </c>
      <c r="D4" s="3052" t="s">
        <v>4</v>
      </c>
      <c r="E4" s="3051" t="s">
        <v>5</v>
      </c>
      <c r="F4" s="3051" t="s">
        <v>401</v>
      </c>
      <c r="G4" s="33" t="s">
        <v>8</v>
      </c>
      <c r="H4" s="33" t="s">
        <v>9</v>
      </c>
      <c r="I4" s="323" t="s">
        <v>2793</v>
      </c>
      <c r="J4" s="3062" t="s">
        <v>2884</v>
      </c>
      <c r="K4" s="323" t="s">
        <v>2791</v>
      </c>
      <c r="L4" s="3062" t="s">
        <v>2883</v>
      </c>
      <c r="M4" s="323" t="s">
        <v>63</v>
      </c>
      <c r="N4" s="33" t="s">
        <v>1583</v>
      </c>
      <c r="O4" s="33" t="s">
        <v>15</v>
      </c>
      <c r="P4" s="1555" t="s">
        <v>1291</v>
      </c>
      <c r="Q4" s="1555" t="s">
        <v>190</v>
      </c>
      <c r="R4" s="1555" t="s">
        <v>191</v>
      </c>
      <c r="S4" s="2565" t="s">
        <v>192</v>
      </c>
      <c r="T4" s="2565" t="s">
        <v>193</v>
      </c>
      <c r="U4" s="2566" t="s">
        <v>194</v>
      </c>
      <c r="V4" s="2566" t="s">
        <v>195</v>
      </c>
      <c r="W4" s="2567" t="s">
        <v>196</v>
      </c>
      <c r="X4" s="2568" t="s">
        <v>197</v>
      </c>
      <c r="Y4" s="2565" t="s">
        <v>198</v>
      </c>
      <c r="Z4" s="2566" t="s">
        <v>199</v>
      </c>
      <c r="AA4" s="2554" t="s">
        <v>200</v>
      </c>
      <c r="AB4" s="3052" t="s">
        <v>204</v>
      </c>
    </row>
    <row r="5" spans="1:35" s="5" customFormat="1">
      <c r="A5" s="3681" t="s">
        <v>6085</v>
      </c>
      <c r="B5" s="3682"/>
      <c r="C5" s="3682"/>
      <c r="D5" s="3682"/>
      <c r="E5" s="3682"/>
      <c r="F5" s="3682"/>
      <c r="G5" s="3682"/>
      <c r="H5" s="3682"/>
      <c r="I5" s="3682"/>
      <c r="J5" s="3682"/>
      <c r="K5" s="3682"/>
      <c r="L5" s="3682"/>
      <c r="M5" s="3683"/>
      <c r="N5" s="2569"/>
      <c r="O5" s="2570"/>
      <c r="P5" s="962"/>
      <c r="Q5" s="962"/>
      <c r="R5" s="906"/>
      <c r="S5" s="906"/>
      <c r="T5" s="925"/>
      <c r="U5" s="906"/>
      <c r="V5" s="962"/>
      <c r="W5" s="966"/>
      <c r="X5" s="967"/>
      <c r="Y5" s="965"/>
      <c r="Z5" s="965"/>
      <c r="AA5" s="1500"/>
      <c r="AB5" s="1504"/>
      <c r="AC5" s="13"/>
      <c r="AD5" s="13"/>
      <c r="AE5" s="13"/>
      <c r="AF5" s="13"/>
      <c r="AG5" s="13"/>
      <c r="AH5" s="13"/>
      <c r="AI5" s="13"/>
    </row>
    <row r="6" spans="1:35" s="5" customFormat="1">
      <c r="A6" s="1503">
        <v>1</v>
      </c>
      <c r="B6" s="1549"/>
      <c r="C6" s="2029">
        <v>307509048840</v>
      </c>
      <c r="D6" s="2016" t="s">
        <v>6033</v>
      </c>
      <c r="E6" s="2700" t="s">
        <v>6446</v>
      </c>
      <c r="F6" s="1915" t="s">
        <v>1299</v>
      </c>
      <c r="G6" s="1549"/>
      <c r="H6" s="1549"/>
      <c r="I6" s="2016" t="s">
        <v>6114</v>
      </c>
      <c r="J6" s="2328" t="s">
        <v>6115</v>
      </c>
      <c r="K6" s="2016" t="s">
        <v>6116</v>
      </c>
      <c r="L6" s="2328" t="s">
        <v>6117</v>
      </c>
      <c r="M6" s="2016" t="s">
        <v>108</v>
      </c>
      <c r="N6" s="1485"/>
      <c r="O6" s="1485"/>
      <c r="P6" s="1485"/>
      <c r="Q6" s="1485"/>
      <c r="R6" s="1485"/>
      <c r="S6" s="1485"/>
      <c r="T6" s="1485"/>
      <c r="U6" s="1485"/>
      <c r="V6" s="1485"/>
      <c r="W6" s="1485"/>
      <c r="X6" s="1485"/>
      <c r="Y6" s="2649">
        <v>550000</v>
      </c>
      <c r="Z6" s="2650">
        <f t="shared" ref="Z6:Z15" si="0">+Y6*1.08</f>
        <v>594000</v>
      </c>
      <c r="AA6" s="1485"/>
      <c r="AB6" s="1485"/>
      <c r="AC6" s="2407"/>
      <c r="AD6" s="1485"/>
      <c r="AE6" s="13"/>
      <c r="AF6" s="13"/>
      <c r="AG6" s="13"/>
      <c r="AH6" s="13"/>
      <c r="AI6" s="13"/>
    </row>
    <row r="7" spans="1:35" s="5" customFormat="1">
      <c r="A7" s="1503">
        <f t="shared" ref="A7:A21" si="1">+A6+1</f>
        <v>2</v>
      </c>
      <c r="B7" s="1549"/>
      <c r="C7" s="2029">
        <v>307517002720</v>
      </c>
      <c r="D7" s="1805" t="s">
        <v>6137</v>
      </c>
      <c r="E7" s="2700" t="s">
        <v>6446</v>
      </c>
      <c r="F7" s="1915" t="s">
        <v>1299</v>
      </c>
      <c r="G7" s="1549"/>
      <c r="H7" s="1549"/>
      <c r="I7" s="2016" t="s">
        <v>6114</v>
      </c>
      <c r="J7" s="2328" t="s">
        <v>6162</v>
      </c>
      <c r="K7" s="2016" t="s">
        <v>6138</v>
      </c>
      <c r="L7" s="2328" t="s">
        <v>6163</v>
      </c>
      <c r="M7" s="2016" t="s">
        <v>108</v>
      </c>
      <c r="N7" s="1485"/>
      <c r="O7" s="1485"/>
      <c r="P7" s="1485"/>
      <c r="Q7" s="1485"/>
      <c r="R7" s="1485"/>
      <c r="S7" s="1485"/>
      <c r="T7" s="1485"/>
      <c r="U7" s="1485"/>
      <c r="V7" s="1485"/>
      <c r="W7" s="1485"/>
      <c r="X7" s="1485"/>
      <c r="Y7" s="2649">
        <v>550000</v>
      </c>
      <c r="Z7" s="2650">
        <f t="shared" si="0"/>
        <v>594000</v>
      </c>
      <c r="AA7" s="1485"/>
      <c r="AB7" s="1485"/>
      <c r="AC7" s="2407"/>
      <c r="AD7" s="1485"/>
      <c r="AE7" s="13"/>
      <c r="AF7" s="13"/>
      <c r="AG7" s="13"/>
      <c r="AH7" s="13"/>
      <c r="AI7" s="13"/>
    </row>
    <row r="8" spans="1:35" s="5" customFormat="1" ht="24" customHeight="1">
      <c r="A8" s="1503">
        <f t="shared" si="1"/>
        <v>3</v>
      </c>
      <c r="B8" s="1549"/>
      <c r="C8" s="1915">
        <v>107299997230</v>
      </c>
      <c r="D8" s="2016" t="s">
        <v>6124</v>
      </c>
      <c r="E8" s="2700" t="s">
        <v>6446</v>
      </c>
      <c r="F8" s="1915" t="s">
        <v>206</v>
      </c>
      <c r="G8" s="1549"/>
      <c r="H8" s="1549"/>
      <c r="I8" s="795" t="s">
        <v>6139</v>
      </c>
      <c r="J8" s="2593"/>
      <c r="K8" s="2571" t="s">
        <v>6140</v>
      </c>
      <c r="L8" s="2593">
        <v>420</v>
      </c>
      <c r="M8" s="2809" t="s">
        <v>123</v>
      </c>
      <c r="N8" s="6"/>
      <c r="O8" s="6"/>
      <c r="P8" s="425"/>
      <c r="Q8" s="425"/>
      <c r="R8" s="425"/>
      <c r="S8" s="425"/>
      <c r="T8" s="426"/>
      <c r="U8" s="425"/>
      <c r="V8" s="425"/>
      <c r="W8" s="427"/>
      <c r="X8" s="398"/>
      <c r="Y8" s="2649">
        <v>550000</v>
      </c>
      <c r="Z8" s="2650">
        <f t="shared" si="0"/>
        <v>594000</v>
      </c>
      <c r="AA8" s="782"/>
      <c r="AB8" s="1504"/>
      <c r="AC8" s="13"/>
      <c r="AD8" s="13"/>
      <c r="AE8" s="13"/>
      <c r="AF8" s="13"/>
      <c r="AG8" s="13"/>
      <c r="AH8" s="13"/>
      <c r="AI8" s="13"/>
    </row>
    <row r="9" spans="1:35" s="5" customFormat="1">
      <c r="A9" s="1503">
        <f t="shared" si="1"/>
        <v>4</v>
      </c>
      <c r="B9" s="1549"/>
      <c r="C9" s="2029">
        <v>307524459600</v>
      </c>
      <c r="D9" s="1805" t="s">
        <v>6122</v>
      </c>
      <c r="E9" s="2700" t="s">
        <v>6446</v>
      </c>
      <c r="F9" s="1915" t="s">
        <v>1299</v>
      </c>
      <c r="G9" s="1549"/>
      <c r="H9" s="1549"/>
      <c r="I9" s="2016" t="s">
        <v>6114</v>
      </c>
      <c r="J9" s="2328" t="s">
        <v>6172</v>
      </c>
      <c r="K9" s="1805" t="s">
        <v>6160</v>
      </c>
      <c r="L9" s="2328" t="s">
        <v>6161</v>
      </c>
      <c r="M9" s="2016" t="s">
        <v>108</v>
      </c>
      <c r="N9" s="6"/>
      <c r="O9" s="6"/>
      <c r="P9" s="1507"/>
      <c r="Q9" s="1507"/>
      <c r="R9" s="1507"/>
      <c r="S9" s="1507"/>
      <c r="T9" s="1508"/>
      <c r="U9" s="1507"/>
      <c r="V9" s="1507"/>
      <c r="W9" s="2572"/>
      <c r="X9" s="1518"/>
      <c r="Y9" s="2649">
        <v>550000</v>
      </c>
      <c r="Z9" s="2650">
        <f t="shared" si="0"/>
        <v>594000</v>
      </c>
      <c r="AA9" s="1510"/>
      <c r="AB9" s="1504"/>
      <c r="AC9" s="13"/>
      <c r="AD9" s="13"/>
      <c r="AE9" s="13"/>
      <c r="AF9" s="13"/>
      <c r="AG9" s="13"/>
      <c r="AH9" s="13"/>
      <c r="AI9" s="13"/>
    </row>
    <row r="10" spans="1:35" s="5" customFormat="1">
      <c r="A10" s="1503">
        <f t="shared" si="1"/>
        <v>5</v>
      </c>
      <c r="B10" s="1549"/>
      <c r="C10" s="2029">
        <v>307529612740</v>
      </c>
      <c r="D10" s="1805" t="s">
        <v>6143</v>
      </c>
      <c r="E10" s="2700" t="s">
        <v>6446</v>
      </c>
      <c r="F10" s="1915" t="s">
        <v>1299</v>
      </c>
      <c r="G10" s="1549"/>
      <c r="H10" s="1549"/>
      <c r="I10" s="2016" t="s">
        <v>6174</v>
      </c>
      <c r="J10" s="2192"/>
      <c r="K10" s="1805" t="s">
        <v>6173</v>
      </c>
      <c r="L10" s="2192">
        <v>6</v>
      </c>
      <c r="M10" s="2016" t="s">
        <v>108</v>
      </c>
      <c r="N10" s="6"/>
      <c r="O10" s="6"/>
      <c r="P10" s="1507"/>
      <c r="Q10" s="1507"/>
      <c r="R10" s="1507"/>
      <c r="S10" s="1507"/>
      <c r="T10" s="1508"/>
      <c r="U10" s="1507"/>
      <c r="V10" s="1507"/>
      <c r="W10" s="2572"/>
      <c r="X10" s="1518"/>
      <c r="Y10" s="2649">
        <v>550000</v>
      </c>
      <c r="Z10" s="2650">
        <f t="shared" si="0"/>
        <v>594000</v>
      </c>
      <c r="AA10" s="1510"/>
      <c r="AB10" s="1504"/>
      <c r="AC10" s="13"/>
      <c r="AD10" s="13"/>
      <c r="AE10" s="13"/>
      <c r="AF10" s="13"/>
      <c r="AG10" s="13"/>
      <c r="AH10" s="13"/>
      <c r="AI10" s="13"/>
    </row>
    <row r="11" spans="1:35" s="5" customFormat="1">
      <c r="A11" s="1503">
        <f t="shared" si="1"/>
        <v>6</v>
      </c>
      <c r="B11" s="6"/>
      <c r="C11" s="2029">
        <v>307533624220</v>
      </c>
      <c r="D11" s="2016" t="s">
        <v>6189</v>
      </c>
      <c r="E11" s="2700" t="s">
        <v>6446</v>
      </c>
      <c r="F11" s="1915" t="s">
        <v>1299</v>
      </c>
      <c r="G11" s="1549"/>
      <c r="H11" s="1549"/>
      <c r="I11" s="2016" t="s">
        <v>6114</v>
      </c>
      <c r="J11" s="2192">
        <v>37</v>
      </c>
      <c r="K11" s="1805" t="s">
        <v>6175</v>
      </c>
      <c r="L11" s="2192">
        <v>1034</v>
      </c>
      <c r="M11" s="2016" t="s">
        <v>108</v>
      </c>
      <c r="N11" s="6"/>
      <c r="O11" s="6"/>
      <c r="P11" s="1507"/>
      <c r="Q11" s="1507"/>
      <c r="R11" s="1507"/>
      <c r="S11" s="1507"/>
      <c r="T11" s="1508"/>
      <c r="U11" s="1507"/>
      <c r="V11" s="1507"/>
      <c r="W11" s="2572"/>
      <c r="X11" s="1518"/>
      <c r="Y11" s="2649">
        <v>550000</v>
      </c>
      <c r="Z11" s="2650">
        <f t="shared" si="0"/>
        <v>594000</v>
      </c>
      <c r="AA11" s="1510"/>
      <c r="AB11" s="1504"/>
      <c r="AC11" s="13"/>
      <c r="AD11" s="13"/>
      <c r="AE11" s="13"/>
      <c r="AF11" s="13"/>
      <c r="AG11" s="13"/>
      <c r="AH11" s="13"/>
      <c r="AI11" s="13"/>
    </row>
    <row r="12" spans="1:35" s="5" customFormat="1">
      <c r="A12" s="1503">
        <f t="shared" si="1"/>
        <v>7</v>
      </c>
      <c r="B12" s="6"/>
      <c r="C12" s="2029">
        <v>307533806440</v>
      </c>
      <c r="D12" s="2016" t="s">
        <v>6189</v>
      </c>
      <c r="E12" s="2700" t="s">
        <v>6446</v>
      </c>
      <c r="F12" s="1915" t="s">
        <v>1299</v>
      </c>
      <c r="G12" s="1549"/>
      <c r="H12" s="1549"/>
      <c r="I12" s="2016" t="s">
        <v>6114</v>
      </c>
      <c r="J12" s="2192">
        <v>38</v>
      </c>
      <c r="K12" s="1805" t="s">
        <v>6175</v>
      </c>
      <c r="L12" s="2192">
        <v>888</v>
      </c>
      <c r="M12" s="2016" t="s">
        <v>108</v>
      </c>
      <c r="N12" s="6"/>
      <c r="O12" s="6"/>
      <c r="P12" s="1507"/>
      <c r="Q12" s="1507"/>
      <c r="R12" s="1507"/>
      <c r="S12" s="1507"/>
      <c r="T12" s="1508"/>
      <c r="U12" s="1507"/>
      <c r="V12" s="1507"/>
      <c r="W12" s="2572"/>
      <c r="X12" s="1518"/>
      <c r="Y12" s="2649">
        <v>550000</v>
      </c>
      <c r="Z12" s="2650">
        <f t="shared" si="0"/>
        <v>594000</v>
      </c>
      <c r="AA12" s="1510"/>
      <c r="AB12" s="1504"/>
      <c r="AC12" s="13"/>
      <c r="AD12" s="13"/>
      <c r="AE12" s="13"/>
      <c r="AF12" s="13"/>
      <c r="AG12" s="13"/>
      <c r="AH12" s="13"/>
      <c r="AI12" s="13"/>
    </row>
    <row r="13" spans="1:35" s="5" customFormat="1">
      <c r="A13" s="1503">
        <f t="shared" si="1"/>
        <v>8</v>
      </c>
      <c r="B13" s="6"/>
      <c r="C13" s="2029">
        <v>307549757560</v>
      </c>
      <c r="D13" s="2016" t="s">
        <v>6208</v>
      </c>
      <c r="E13" s="2700" t="s">
        <v>6446</v>
      </c>
      <c r="F13" s="1915" t="s">
        <v>1299</v>
      </c>
      <c r="G13" s="1549"/>
      <c r="H13" s="1549"/>
      <c r="I13" s="2016" t="s">
        <v>6114</v>
      </c>
      <c r="J13" s="2328" t="s">
        <v>6284</v>
      </c>
      <c r="K13" s="1805" t="s">
        <v>6262</v>
      </c>
      <c r="L13" s="2328" t="s">
        <v>6287</v>
      </c>
      <c r="M13" s="2016" t="s">
        <v>108</v>
      </c>
      <c r="N13" s="6"/>
      <c r="O13" s="6"/>
      <c r="P13" s="1507"/>
      <c r="Q13" s="1507"/>
      <c r="R13" s="1507"/>
      <c r="S13" s="1507"/>
      <c r="T13" s="1508"/>
      <c r="U13" s="1507"/>
      <c r="V13" s="1507"/>
      <c r="W13" s="2572"/>
      <c r="X13" s="1518"/>
      <c r="Y13" s="2649">
        <v>550000</v>
      </c>
      <c r="Z13" s="2650">
        <f t="shared" si="0"/>
        <v>594000</v>
      </c>
      <c r="AA13" s="1510"/>
      <c r="AB13" s="1504"/>
      <c r="AC13" s="13"/>
      <c r="AD13" s="13"/>
      <c r="AE13" s="13"/>
      <c r="AF13" s="13"/>
      <c r="AG13" s="13"/>
      <c r="AH13" s="13"/>
      <c r="AI13" s="13"/>
    </row>
    <row r="14" spans="1:35" s="5" customFormat="1">
      <c r="A14" s="1503">
        <f t="shared" si="1"/>
        <v>9</v>
      </c>
      <c r="B14" s="6"/>
      <c r="C14" s="2029">
        <v>307552232100</v>
      </c>
      <c r="D14" s="2016" t="s">
        <v>6208</v>
      </c>
      <c r="E14" s="2700" t="s">
        <v>6446</v>
      </c>
      <c r="F14" s="1915" t="s">
        <v>1299</v>
      </c>
      <c r="G14" s="1549"/>
      <c r="H14" s="1549"/>
      <c r="I14" s="2016" t="s">
        <v>6114</v>
      </c>
      <c r="J14" s="2328" t="s">
        <v>6286</v>
      </c>
      <c r="K14" s="1805" t="s">
        <v>6285</v>
      </c>
      <c r="L14" s="2192">
        <v>428</v>
      </c>
      <c r="M14" s="2016" t="s">
        <v>108</v>
      </c>
      <c r="N14" s="6"/>
      <c r="O14" s="6"/>
      <c r="P14" s="1507"/>
      <c r="Q14" s="1507"/>
      <c r="R14" s="1507"/>
      <c r="S14" s="1507"/>
      <c r="T14" s="1508"/>
      <c r="U14" s="1507"/>
      <c r="V14" s="1507"/>
      <c r="W14" s="2572"/>
      <c r="X14" s="1518"/>
      <c r="Y14" s="2649">
        <v>550000</v>
      </c>
      <c r="Z14" s="2650">
        <f t="shared" si="0"/>
        <v>594000</v>
      </c>
      <c r="AA14" s="1510"/>
      <c r="AB14" s="1504"/>
      <c r="AC14" s="13"/>
      <c r="AD14" s="13"/>
      <c r="AE14" s="13"/>
      <c r="AF14" s="13"/>
      <c r="AG14" s="13"/>
      <c r="AH14" s="13"/>
      <c r="AI14" s="13"/>
    </row>
    <row r="15" spans="1:35" s="5" customFormat="1">
      <c r="A15" s="1503">
        <f t="shared" si="1"/>
        <v>10</v>
      </c>
      <c r="B15" s="6"/>
      <c r="C15" s="2029">
        <v>307555936020</v>
      </c>
      <c r="D15" s="2016" t="s">
        <v>6244</v>
      </c>
      <c r="E15" s="2700" t="s">
        <v>6446</v>
      </c>
      <c r="F15" s="1915" t="s">
        <v>1299</v>
      </c>
      <c r="G15" s="1549"/>
      <c r="H15" s="1549"/>
      <c r="I15" s="2016" t="s">
        <v>6114</v>
      </c>
      <c r="J15" s="2328" t="s">
        <v>6291</v>
      </c>
      <c r="K15" s="1805" t="s">
        <v>6289</v>
      </c>
      <c r="L15" s="2192">
        <v>3</v>
      </c>
      <c r="M15" s="2016" t="s">
        <v>108</v>
      </c>
      <c r="N15" s="6"/>
      <c r="O15" s="6"/>
      <c r="P15" s="1507"/>
      <c r="Q15" s="1507"/>
      <c r="R15" s="1507"/>
      <c r="S15" s="1507"/>
      <c r="T15" s="1508"/>
      <c r="U15" s="1507"/>
      <c r="V15" s="1507"/>
      <c r="W15" s="2572"/>
      <c r="X15" s="1518"/>
      <c r="Y15" s="2649">
        <v>550000</v>
      </c>
      <c r="Z15" s="2650">
        <f t="shared" si="0"/>
        <v>594000</v>
      </c>
      <c r="AA15" s="1510"/>
      <c r="AB15" s="1504"/>
      <c r="AC15" s="13"/>
      <c r="AD15" s="13"/>
      <c r="AE15" s="13"/>
      <c r="AF15" s="13"/>
      <c r="AG15" s="13"/>
      <c r="AH15" s="13"/>
      <c r="AI15" s="13"/>
    </row>
    <row r="16" spans="1:35" s="5" customFormat="1">
      <c r="A16" s="1503">
        <f t="shared" si="1"/>
        <v>11</v>
      </c>
      <c r="B16" s="6"/>
      <c r="C16" s="2029">
        <v>307563133860</v>
      </c>
      <c r="D16" s="2016" t="s">
        <v>6301</v>
      </c>
      <c r="E16" s="2700" t="s">
        <v>6446</v>
      </c>
      <c r="F16" s="1915" t="s">
        <v>1299</v>
      </c>
      <c r="G16" s="1549"/>
      <c r="H16" s="1549"/>
      <c r="I16" s="2016" t="s">
        <v>6114</v>
      </c>
      <c r="J16" s="2328">
        <v>42</v>
      </c>
      <c r="K16" s="1805" t="s">
        <v>6302</v>
      </c>
      <c r="L16" s="2192">
        <v>400</v>
      </c>
      <c r="M16" s="2016" t="s">
        <v>108</v>
      </c>
      <c r="N16" s="6"/>
      <c r="O16" s="6"/>
      <c r="P16" s="1507"/>
      <c r="Q16" s="1507"/>
      <c r="R16" s="1507"/>
      <c r="S16" s="1507"/>
      <c r="T16" s="1508"/>
      <c r="U16" s="1507"/>
      <c r="V16" s="1507"/>
      <c r="W16" s="2572"/>
      <c r="X16" s="1518"/>
      <c r="Y16" s="2649">
        <v>550000</v>
      </c>
      <c r="Z16" s="2650">
        <f t="shared" ref="Z16:Z26" si="2">+Y16*1.08</f>
        <v>594000</v>
      </c>
      <c r="AA16" s="1510"/>
      <c r="AB16" s="1504"/>
      <c r="AC16" s="13"/>
      <c r="AD16" s="13"/>
      <c r="AE16" s="13"/>
      <c r="AF16" s="13"/>
      <c r="AG16" s="13"/>
      <c r="AH16" s="13"/>
      <c r="AI16" s="13"/>
    </row>
    <row r="17" spans="1:35" s="5" customFormat="1">
      <c r="A17" s="1503">
        <f t="shared" si="1"/>
        <v>12</v>
      </c>
      <c r="B17" s="6"/>
      <c r="C17" s="2029">
        <v>307563160240</v>
      </c>
      <c r="D17" s="2016" t="s">
        <v>6301</v>
      </c>
      <c r="E17" s="2700" t="s">
        <v>6446</v>
      </c>
      <c r="F17" s="1915" t="s">
        <v>1299</v>
      </c>
      <c r="G17" s="1549"/>
      <c r="H17" s="1549"/>
      <c r="I17" s="2016" t="s">
        <v>6114</v>
      </c>
      <c r="J17" s="2192">
        <v>43</v>
      </c>
      <c r="K17" s="1805" t="s">
        <v>6303</v>
      </c>
      <c r="L17" s="2192">
        <v>433</v>
      </c>
      <c r="M17" s="2016" t="s">
        <v>108</v>
      </c>
      <c r="N17" s="6"/>
      <c r="O17" s="6"/>
      <c r="P17" s="1507"/>
      <c r="Q17" s="1507"/>
      <c r="R17" s="1507"/>
      <c r="S17" s="1507"/>
      <c r="T17" s="1508"/>
      <c r="U17" s="1507"/>
      <c r="V17" s="1507"/>
      <c r="W17" s="2572"/>
      <c r="X17" s="1518"/>
      <c r="Y17" s="2649">
        <v>550000</v>
      </c>
      <c r="Z17" s="2650">
        <f t="shared" si="2"/>
        <v>594000</v>
      </c>
      <c r="AA17" s="1510"/>
      <c r="AB17" s="1504"/>
      <c r="AC17" s="13"/>
      <c r="AD17" s="13"/>
      <c r="AE17" s="13"/>
      <c r="AF17" s="13"/>
      <c r="AG17" s="13"/>
      <c r="AH17" s="13"/>
      <c r="AI17" s="13"/>
    </row>
    <row r="18" spans="1:35" s="5" customFormat="1">
      <c r="A18" s="1503">
        <f t="shared" si="1"/>
        <v>13</v>
      </c>
      <c r="B18" s="6"/>
      <c r="C18" s="2029">
        <v>307570004620</v>
      </c>
      <c r="D18" s="2016" t="s">
        <v>6342</v>
      </c>
      <c r="E18" s="2700" t="s">
        <v>6446</v>
      </c>
      <c r="F18" s="1915" t="s">
        <v>1299</v>
      </c>
      <c r="G18" s="1549"/>
      <c r="H18" s="1549"/>
      <c r="I18" s="2016" t="s">
        <v>6114</v>
      </c>
      <c r="J18" s="2192">
        <v>44</v>
      </c>
      <c r="K18" s="1805" t="s">
        <v>6345</v>
      </c>
      <c r="L18" s="2192">
        <v>95</v>
      </c>
      <c r="M18" s="2016" t="s">
        <v>108</v>
      </c>
      <c r="N18" s="6"/>
      <c r="O18" s="6"/>
      <c r="P18" s="1507"/>
      <c r="Q18" s="1507"/>
      <c r="R18" s="1507"/>
      <c r="S18" s="1507"/>
      <c r="T18" s="1508"/>
      <c r="U18" s="1507"/>
      <c r="V18" s="1507"/>
      <c r="W18" s="2572"/>
      <c r="X18" s="1518"/>
      <c r="Y18" s="2649">
        <v>550000</v>
      </c>
      <c r="Z18" s="2650">
        <f t="shared" si="2"/>
        <v>594000</v>
      </c>
      <c r="AA18" s="1510"/>
      <c r="AB18" s="1504"/>
      <c r="AC18" s="13"/>
      <c r="AD18" s="13"/>
      <c r="AE18" s="13"/>
      <c r="AF18" s="13"/>
      <c r="AG18" s="13"/>
      <c r="AH18" s="13"/>
      <c r="AI18" s="13"/>
    </row>
    <row r="19" spans="1:35" s="5" customFormat="1" ht="26.4">
      <c r="A19" s="1503">
        <f t="shared" si="1"/>
        <v>14</v>
      </c>
      <c r="B19" s="6"/>
      <c r="C19" s="1915">
        <v>107350137860</v>
      </c>
      <c r="D19" s="2016" t="s">
        <v>6342</v>
      </c>
      <c r="E19" s="2700" t="s">
        <v>6446</v>
      </c>
      <c r="F19" s="1915" t="s">
        <v>206</v>
      </c>
      <c r="G19" s="1549"/>
      <c r="H19" s="1549"/>
      <c r="I19" s="795" t="s">
        <v>6139</v>
      </c>
      <c r="J19" s="2642"/>
      <c r="K19" s="2690" t="s">
        <v>6382</v>
      </c>
      <c r="L19" s="2642">
        <v>420</v>
      </c>
      <c r="M19" s="2809" t="s">
        <v>123</v>
      </c>
      <c r="N19" s="6"/>
      <c r="O19" s="6"/>
      <c r="P19" s="1497"/>
      <c r="Q19" s="1497"/>
      <c r="R19" s="1507"/>
      <c r="S19" s="1507"/>
      <c r="T19" s="1508"/>
      <c r="U19" s="1507"/>
      <c r="V19" s="1507"/>
      <c r="W19" s="2572"/>
      <c r="X19" s="1518"/>
      <c r="Y19" s="2649">
        <v>550000</v>
      </c>
      <c r="Z19" s="2650">
        <f t="shared" si="2"/>
        <v>594000</v>
      </c>
      <c r="AA19" s="1510"/>
      <c r="AB19" s="1504"/>
      <c r="AC19" s="13"/>
      <c r="AD19" s="13"/>
      <c r="AE19" s="13"/>
      <c r="AF19" s="13"/>
      <c r="AG19" s="13"/>
      <c r="AH19" s="13"/>
      <c r="AI19" s="13"/>
    </row>
    <row r="20" spans="1:35" s="5" customFormat="1">
      <c r="A20" s="1503">
        <f t="shared" si="1"/>
        <v>15</v>
      </c>
      <c r="B20" s="6"/>
      <c r="C20" s="2029">
        <v>307574225140</v>
      </c>
      <c r="D20" s="2016" t="s">
        <v>6342</v>
      </c>
      <c r="E20" s="2700" t="s">
        <v>6446</v>
      </c>
      <c r="F20" s="1915" t="s">
        <v>1299</v>
      </c>
      <c r="G20" s="1549"/>
      <c r="H20" s="1549"/>
      <c r="I20" s="2016" t="s">
        <v>6114</v>
      </c>
      <c r="J20" s="2192">
        <v>45</v>
      </c>
      <c r="K20" s="1805" t="s">
        <v>6380</v>
      </c>
      <c r="L20" s="2192">
        <v>378</v>
      </c>
      <c r="M20" s="2016" t="s">
        <v>108</v>
      </c>
      <c r="N20" s="2643"/>
      <c r="O20" s="2643"/>
      <c r="P20" s="2643"/>
      <c r="Q20" s="2643"/>
      <c r="R20" s="1507"/>
      <c r="S20" s="1507"/>
      <c r="T20" s="1508"/>
      <c r="U20" s="1507"/>
      <c r="V20" s="1507"/>
      <c r="W20" s="2572"/>
      <c r="X20" s="1518"/>
      <c r="Y20" s="2649">
        <v>550000</v>
      </c>
      <c r="Z20" s="2650">
        <f t="shared" si="2"/>
        <v>594000</v>
      </c>
      <c r="AA20" s="1510"/>
      <c r="AB20" s="1504"/>
      <c r="AC20" s="13"/>
      <c r="AD20" s="13"/>
      <c r="AE20" s="13"/>
      <c r="AF20" s="13"/>
      <c r="AG20" s="13"/>
      <c r="AH20" s="13"/>
      <c r="AI20" s="13"/>
    </row>
    <row r="21" spans="1:35" s="5" customFormat="1">
      <c r="A21" s="1503">
        <f t="shared" si="1"/>
        <v>16</v>
      </c>
      <c r="B21" s="6"/>
      <c r="C21" s="2029">
        <v>307574247540</v>
      </c>
      <c r="D21" s="2016" t="s">
        <v>6342</v>
      </c>
      <c r="E21" s="2700" t="s">
        <v>6446</v>
      </c>
      <c r="F21" s="1915" t="s">
        <v>1299</v>
      </c>
      <c r="G21" s="1549"/>
      <c r="H21" s="1549"/>
      <c r="I21" s="2016" t="s">
        <v>6114</v>
      </c>
      <c r="J21" s="2192">
        <v>46</v>
      </c>
      <c r="K21" s="1805" t="s">
        <v>6381</v>
      </c>
      <c r="L21" s="2192">
        <v>608</v>
      </c>
      <c r="M21" s="2016" t="s">
        <v>108</v>
      </c>
      <c r="N21" s="6"/>
      <c r="O21" s="6"/>
      <c r="P21" s="425"/>
      <c r="Q21" s="425"/>
      <c r="R21" s="1507"/>
      <c r="S21" s="1507"/>
      <c r="T21" s="1508"/>
      <c r="U21" s="1507"/>
      <c r="V21" s="1507"/>
      <c r="W21" s="2572"/>
      <c r="X21" s="1518"/>
      <c r="Y21" s="2649">
        <v>550000</v>
      </c>
      <c r="Z21" s="2650">
        <f t="shared" si="2"/>
        <v>594000</v>
      </c>
      <c r="AA21" s="1510"/>
      <c r="AB21" s="1504"/>
      <c r="AC21" s="13"/>
      <c r="AD21" s="13"/>
      <c r="AE21" s="13"/>
      <c r="AF21" s="13"/>
      <c r="AG21" s="13"/>
      <c r="AH21" s="13"/>
      <c r="AI21" s="13"/>
    </row>
    <row r="22" spans="1:35" s="5" customFormat="1">
      <c r="A22" s="1503">
        <f t="shared" ref="A22:A28" si="3">+A21+1</f>
        <v>17</v>
      </c>
      <c r="B22" s="6"/>
      <c r="C22" s="2029">
        <v>307578082510</v>
      </c>
      <c r="D22" s="2016" t="s">
        <v>6373</v>
      </c>
      <c r="E22" s="2700" t="s">
        <v>6446</v>
      </c>
      <c r="F22" s="1915" t="s">
        <v>1299</v>
      </c>
      <c r="G22" s="1549"/>
      <c r="H22" s="1549"/>
      <c r="I22" s="2016" t="s">
        <v>6114</v>
      </c>
      <c r="J22" s="2192">
        <v>47</v>
      </c>
      <c r="K22" s="1805" t="s">
        <v>6389</v>
      </c>
      <c r="L22" s="2192">
        <v>30</v>
      </c>
      <c r="M22" s="2016" t="s">
        <v>108</v>
      </c>
      <c r="N22" s="6"/>
      <c r="O22" s="6"/>
      <c r="P22" s="1507"/>
      <c r="Q22" s="1507"/>
      <c r="R22" s="1507"/>
      <c r="S22" s="1507"/>
      <c r="T22" s="1508"/>
      <c r="U22" s="1507"/>
      <c r="V22" s="1507"/>
      <c r="W22" s="2572"/>
      <c r="X22" s="1518"/>
      <c r="Y22" s="2649">
        <v>550000</v>
      </c>
      <c r="Z22" s="2650">
        <f t="shared" si="2"/>
        <v>594000</v>
      </c>
      <c r="AA22" s="1510"/>
      <c r="AB22" s="1504"/>
      <c r="AC22" s="13"/>
      <c r="AD22" s="13"/>
      <c r="AE22" s="13"/>
      <c r="AF22" s="13"/>
      <c r="AG22" s="13"/>
      <c r="AH22" s="13"/>
      <c r="AI22" s="13"/>
    </row>
    <row r="23" spans="1:35" s="5" customFormat="1">
      <c r="A23" s="1503">
        <f t="shared" si="3"/>
        <v>18</v>
      </c>
      <c r="B23" s="6"/>
      <c r="C23" s="2029">
        <v>307584346000</v>
      </c>
      <c r="D23" s="2016" t="s">
        <v>6375</v>
      </c>
      <c r="E23" s="2700" t="s">
        <v>6446</v>
      </c>
      <c r="F23" s="1915" t="s">
        <v>1299</v>
      </c>
      <c r="G23" s="1549"/>
      <c r="H23" s="1549"/>
      <c r="I23" s="2016" t="s">
        <v>6114</v>
      </c>
      <c r="J23" s="2192">
        <v>48</v>
      </c>
      <c r="K23" s="1805" t="s">
        <v>6403</v>
      </c>
      <c r="L23" s="2192">
        <v>551</v>
      </c>
      <c r="M23" s="2016" t="s">
        <v>108</v>
      </c>
      <c r="N23" s="6"/>
      <c r="O23" s="6"/>
      <c r="P23" s="1507"/>
      <c r="Q23" s="1507"/>
      <c r="R23" s="1507"/>
      <c r="S23" s="1507"/>
      <c r="T23" s="1508"/>
      <c r="U23" s="1507"/>
      <c r="V23" s="1507"/>
      <c r="W23" s="2572"/>
      <c r="X23" s="1518"/>
      <c r="Y23" s="2649">
        <v>550000</v>
      </c>
      <c r="Z23" s="2650">
        <f t="shared" si="2"/>
        <v>594000</v>
      </c>
      <c r="AA23" s="1510"/>
      <c r="AB23" s="1504"/>
      <c r="AC23" s="13"/>
      <c r="AD23" s="13"/>
      <c r="AE23" s="13"/>
      <c r="AF23" s="13"/>
      <c r="AG23" s="13"/>
      <c r="AH23" s="13"/>
      <c r="AI23" s="13"/>
    </row>
    <row r="24" spans="1:35" s="5" customFormat="1">
      <c r="A24" s="1503">
        <f t="shared" si="3"/>
        <v>19</v>
      </c>
      <c r="B24" s="6"/>
      <c r="C24" s="2029">
        <v>307587430200</v>
      </c>
      <c r="D24" s="2016" t="s">
        <v>6400</v>
      </c>
      <c r="E24" s="2700" t="s">
        <v>6446</v>
      </c>
      <c r="F24" s="1915" t="s">
        <v>1299</v>
      </c>
      <c r="G24" s="1549"/>
      <c r="H24" s="1549"/>
      <c r="I24" s="2016" t="s">
        <v>6114</v>
      </c>
      <c r="J24" s="2192">
        <v>49</v>
      </c>
      <c r="K24" s="1805" t="s">
        <v>6422</v>
      </c>
      <c r="L24" s="2192">
        <v>39</v>
      </c>
      <c r="M24" s="2016" t="s">
        <v>108</v>
      </c>
      <c r="N24" s="6"/>
      <c r="O24" s="6"/>
      <c r="P24" s="1507"/>
      <c r="Q24" s="1507"/>
      <c r="R24" s="1507"/>
      <c r="S24" s="1507"/>
      <c r="T24" s="1508"/>
      <c r="U24" s="1507"/>
      <c r="V24" s="1507"/>
      <c r="W24" s="2572"/>
      <c r="X24" s="1518"/>
      <c r="Y24" s="2649">
        <v>550000</v>
      </c>
      <c r="Z24" s="2650">
        <f t="shared" si="2"/>
        <v>594000</v>
      </c>
      <c r="AA24" s="1510"/>
      <c r="AB24" s="1504"/>
      <c r="AC24" s="13"/>
      <c r="AD24" s="13"/>
      <c r="AE24" s="13"/>
      <c r="AF24" s="13"/>
      <c r="AG24" s="13"/>
      <c r="AH24" s="13"/>
      <c r="AI24" s="13"/>
    </row>
    <row r="25" spans="1:35" s="5" customFormat="1">
      <c r="A25" s="1503">
        <f t="shared" si="3"/>
        <v>20</v>
      </c>
      <c r="B25" s="6"/>
      <c r="C25" s="2029">
        <v>307591388220</v>
      </c>
      <c r="D25" s="2016" t="s">
        <v>6435</v>
      </c>
      <c r="E25" s="2700" t="s">
        <v>6446</v>
      </c>
      <c r="F25" s="1915" t="s">
        <v>1299</v>
      </c>
      <c r="G25" s="1549"/>
      <c r="H25" s="1549"/>
      <c r="I25" s="2016" t="s">
        <v>6114</v>
      </c>
      <c r="J25" s="2192">
        <v>50</v>
      </c>
      <c r="K25" s="1805" t="s">
        <v>6427</v>
      </c>
      <c r="L25" s="2192">
        <v>495</v>
      </c>
      <c r="M25" s="2016" t="s">
        <v>108</v>
      </c>
      <c r="N25" s="6"/>
      <c r="O25" s="6"/>
      <c r="P25" s="1507"/>
      <c r="Q25" s="1507"/>
      <c r="R25" s="1507"/>
      <c r="S25" s="1507"/>
      <c r="T25" s="1508"/>
      <c r="U25" s="1507"/>
      <c r="V25" s="1507"/>
      <c r="W25" s="2572"/>
      <c r="X25" s="1518"/>
      <c r="Y25" s="2649">
        <v>550000</v>
      </c>
      <c r="Z25" s="2650">
        <f t="shared" si="2"/>
        <v>594000</v>
      </c>
      <c r="AA25" s="1510"/>
      <c r="AB25" s="1504"/>
      <c r="AC25" s="13"/>
      <c r="AD25" s="13"/>
      <c r="AE25" s="13"/>
      <c r="AF25" s="13"/>
      <c r="AG25" s="13"/>
      <c r="AH25" s="13"/>
      <c r="AI25" s="13"/>
    </row>
    <row r="26" spans="1:35" s="5" customFormat="1">
      <c r="A26" s="1503">
        <f t="shared" si="3"/>
        <v>21</v>
      </c>
      <c r="B26" s="6"/>
      <c r="C26" s="2029">
        <v>307594984930</v>
      </c>
      <c r="D26" s="2016" t="s">
        <v>6435</v>
      </c>
      <c r="E26" s="2700" t="s">
        <v>6446</v>
      </c>
      <c r="F26" s="1915" t="s">
        <v>1299</v>
      </c>
      <c r="G26" s="1549"/>
      <c r="H26" s="1549"/>
      <c r="I26" s="2016" t="s">
        <v>6114</v>
      </c>
      <c r="J26" s="2192">
        <v>51</v>
      </c>
      <c r="K26" s="1805" t="s">
        <v>6438</v>
      </c>
      <c r="L26" s="2192">
        <v>200</v>
      </c>
      <c r="M26" s="2809" t="s">
        <v>123</v>
      </c>
      <c r="N26" s="6"/>
      <c r="O26" s="6"/>
      <c r="P26" s="1507"/>
      <c r="Q26" s="1507"/>
      <c r="R26" s="1507"/>
      <c r="S26" s="1507"/>
      <c r="T26" s="1508"/>
      <c r="U26" s="1507"/>
      <c r="V26" s="1507"/>
      <c r="W26" s="2572"/>
      <c r="X26" s="1518"/>
      <c r="Y26" s="2649">
        <v>550000</v>
      </c>
      <c r="Z26" s="2650">
        <f t="shared" si="2"/>
        <v>594000</v>
      </c>
      <c r="AA26" s="1510"/>
      <c r="AB26" s="1504"/>
      <c r="AC26" s="13"/>
      <c r="AD26" s="13"/>
      <c r="AE26" s="13"/>
      <c r="AF26" s="13"/>
      <c r="AG26" s="13"/>
      <c r="AH26" s="13"/>
      <c r="AI26" s="13"/>
    </row>
    <row r="27" spans="1:35" s="5" customFormat="1">
      <c r="A27" s="1503">
        <f t="shared" si="3"/>
        <v>22</v>
      </c>
      <c r="B27" s="6"/>
      <c r="C27" s="2029">
        <v>307596780650</v>
      </c>
      <c r="D27" s="2016" t="s">
        <v>6449</v>
      </c>
      <c r="E27" s="2700" t="s">
        <v>6446</v>
      </c>
      <c r="F27" s="1915" t="s">
        <v>1299</v>
      </c>
      <c r="G27" s="1549"/>
      <c r="H27" s="1549"/>
      <c r="I27" s="2016" t="s">
        <v>6114</v>
      </c>
      <c r="J27" s="2328" t="s">
        <v>6453</v>
      </c>
      <c r="K27" s="1805" t="s">
        <v>6451</v>
      </c>
      <c r="L27" s="2192">
        <v>300</v>
      </c>
      <c r="M27" s="2016" t="s">
        <v>108</v>
      </c>
      <c r="N27" s="6"/>
      <c r="O27" s="6"/>
      <c r="P27" s="1507"/>
      <c r="Q27" s="1507"/>
      <c r="R27" s="1507"/>
      <c r="S27" s="1507"/>
      <c r="T27" s="1508"/>
      <c r="U27" s="1507"/>
      <c r="V27" s="1507"/>
      <c r="W27" s="2572"/>
      <c r="X27" s="1518"/>
      <c r="Y27" s="2649">
        <v>550000</v>
      </c>
      <c r="Z27" s="2650">
        <f t="shared" ref="Z27:Z33" si="4">+Y27*1.08</f>
        <v>594000</v>
      </c>
      <c r="AA27" s="1510"/>
      <c r="AB27" s="1504"/>
      <c r="AC27" s="13"/>
      <c r="AD27" s="13"/>
      <c r="AE27" s="13"/>
      <c r="AF27" s="13"/>
      <c r="AG27" s="13"/>
      <c r="AH27" s="13"/>
      <c r="AI27" s="13"/>
    </row>
    <row r="28" spans="1:35" s="5" customFormat="1">
      <c r="A28" s="1503">
        <f t="shared" si="3"/>
        <v>23</v>
      </c>
      <c r="B28" s="6"/>
      <c r="C28" s="2029">
        <v>307601871420</v>
      </c>
      <c r="D28" s="2016" t="s">
        <v>6441</v>
      </c>
      <c r="E28" s="2700" t="s">
        <v>6446</v>
      </c>
      <c r="F28" s="1915" t="s">
        <v>1299</v>
      </c>
      <c r="G28" s="1549"/>
      <c r="H28" s="1549"/>
      <c r="I28" s="2016" t="s">
        <v>6174</v>
      </c>
      <c r="J28" s="2192"/>
      <c r="K28" s="1805" t="s">
        <v>6469</v>
      </c>
      <c r="L28" s="2192">
        <v>19</v>
      </c>
      <c r="M28" s="2016" t="s">
        <v>108</v>
      </c>
      <c r="N28" s="6"/>
      <c r="O28" s="6"/>
      <c r="P28" s="1507"/>
      <c r="Q28" s="1507"/>
      <c r="R28" s="1507"/>
      <c r="S28" s="1507"/>
      <c r="T28" s="1508"/>
      <c r="U28" s="1507"/>
      <c r="V28" s="1507"/>
      <c r="W28" s="2572"/>
      <c r="X28" s="1518"/>
      <c r="Y28" s="2649">
        <v>550000</v>
      </c>
      <c r="Z28" s="2650">
        <f t="shared" si="4"/>
        <v>594000</v>
      </c>
      <c r="AA28" s="1510"/>
      <c r="AB28" s="1504"/>
      <c r="AC28" s="13"/>
      <c r="AD28" s="13"/>
      <c r="AE28" s="13"/>
      <c r="AF28" s="13"/>
      <c r="AG28" s="13"/>
      <c r="AH28" s="13"/>
      <c r="AI28" s="13"/>
    </row>
    <row r="29" spans="1:35" s="5" customFormat="1">
      <c r="A29" s="1503">
        <f t="shared" ref="A29:A70" si="5">+A28+1</f>
        <v>24</v>
      </c>
      <c r="B29" s="6"/>
      <c r="C29" s="2029">
        <v>307604848630</v>
      </c>
      <c r="D29" s="2016" t="s">
        <v>6392</v>
      </c>
      <c r="E29" s="2700" t="s">
        <v>6446</v>
      </c>
      <c r="F29" s="1915" t="s">
        <v>1299</v>
      </c>
      <c r="G29" s="1549"/>
      <c r="H29" s="1549"/>
      <c r="I29" s="2016" t="s">
        <v>6470</v>
      </c>
      <c r="J29" s="2192"/>
      <c r="K29" s="1805" t="s">
        <v>6471</v>
      </c>
      <c r="L29" s="2192">
        <v>275</v>
      </c>
      <c r="M29" s="2016" t="s">
        <v>108</v>
      </c>
      <c r="N29" s="6"/>
      <c r="O29" s="6"/>
      <c r="P29" s="1507"/>
      <c r="Q29" s="1507"/>
      <c r="R29" s="1507"/>
      <c r="S29" s="1507"/>
      <c r="T29" s="1508"/>
      <c r="U29" s="1507"/>
      <c r="V29" s="1507"/>
      <c r="W29" s="2572"/>
      <c r="X29" s="1518"/>
      <c r="Y29" s="2649">
        <v>550000</v>
      </c>
      <c r="Z29" s="2650">
        <f t="shared" si="4"/>
        <v>594000</v>
      </c>
      <c r="AA29" s="1510"/>
      <c r="AB29" s="1504"/>
      <c r="AC29" s="13"/>
      <c r="AD29" s="13"/>
      <c r="AE29" s="13"/>
      <c r="AF29" s="13"/>
      <c r="AG29" s="13"/>
      <c r="AH29" s="13"/>
      <c r="AI29" s="13"/>
    </row>
    <row r="30" spans="1:35" s="5" customFormat="1">
      <c r="A30" s="1503">
        <f t="shared" si="5"/>
        <v>25</v>
      </c>
      <c r="B30" s="6"/>
      <c r="C30" s="2029">
        <v>307605000050</v>
      </c>
      <c r="D30" s="2016" t="s">
        <v>6392</v>
      </c>
      <c r="E30" s="2700" t="s">
        <v>6446</v>
      </c>
      <c r="F30" s="1915" t="s">
        <v>1299</v>
      </c>
      <c r="G30" s="1549"/>
      <c r="H30" s="1549"/>
      <c r="I30" s="2016" t="s">
        <v>6114</v>
      </c>
      <c r="J30" s="2328" t="s">
        <v>6488</v>
      </c>
      <c r="K30" s="1805" t="s">
        <v>6472</v>
      </c>
      <c r="L30" s="2192">
        <v>610</v>
      </c>
      <c r="M30" s="2016" t="s">
        <v>108</v>
      </c>
      <c r="N30" s="6"/>
      <c r="O30" s="6"/>
      <c r="P30" s="1507"/>
      <c r="Q30" s="1507"/>
      <c r="R30" s="1507"/>
      <c r="S30" s="1507"/>
      <c r="T30" s="1508"/>
      <c r="U30" s="1507"/>
      <c r="V30" s="1507"/>
      <c r="W30" s="2572"/>
      <c r="X30" s="1518"/>
      <c r="Y30" s="2649">
        <v>550000</v>
      </c>
      <c r="Z30" s="2650">
        <f t="shared" si="4"/>
        <v>594000</v>
      </c>
      <c r="AA30" s="1510"/>
      <c r="AB30" s="1504"/>
      <c r="AC30" s="13"/>
      <c r="AD30" s="13"/>
      <c r="AE30" s="13"/>
      <c r="AF30" s="13"/>
      <c r="AG30" s="13"/>
      <c r="AH30" s="13"/>
      <c r="AI30" s="13"/>
    </row>
    <row r="31" spans="1:35" s="5" customFormat="1">
      <c r="A31" s="1503">
        <f t="shared" si="5"/>
        <v>26</v>
      </c>
      <c r="B31" s="6"/>
      <c r="C31" s="2029">
        <v>307605045920</v>
      </c>
      <c r="D31" s="2016" t="s">
        <v>6441</v>
      </c>
      <c r="E31" s="2700" t="s">
        <v>6446</v>
      </c>
      <c r="F31" s="1915" t="s">
        <v>1299</v>
      </c>
      <c r="G31" s="1549"/>
      <c r="H31" s="1549"/>
      <c r="I31" s="2016" t="s">
        <v>6114</v>
      </c>
      <c r="J31" s="2328" t="s">
        <v>6474</v>
      </c>
      <c r="K31" s="1805" t="s">
        <v>6473</v>
      </c>
      <c r="L31" s="2192">
        <v>150</v>
      </c>
      <c r="M31" s="2016" t="s">
        <v>108</v>
      </c>
      <c r="N31" s="6"/>
      <c r="O31" s="6"/>
      <c r="P31" s="1507"/>
      <c r="Q31" s="1507"/>
      <c r="R31" s="1507"/>
      <c r="S31" s="1507"/>
      <c r="T31" s="1508"/>
      <c r="U31" s="1507"/>
      <c r="V31" s="1507"/>
      <c r="W31" s="2572"/>
      <c r="X31" s="1518"/>
      <c r="Y31" s="2649">
        <v>550000</v>
      </c>
      <c r="Z31" s="2650">
        <f t="shared" si="4"/>
        <v>594000</v>
      </c>
      <c r="AA31" s="1510"/>
      <c r="AB31" s="1504"/>
      <c r="AC31" s="13"/>
      <c r="AD31" s="13"/>
      <c r="AE31" s="13"/>
      <c r="AF31" s="13"/>
      <c r="AG31" s="13"/>
      <c r="AH31" s="13"/>
      <c r="AI31" s="13"/>
    </row>
    <row r="32" spans="1:35" s="5" customFormat="1">
      <c r="A32" s="3681" t="s">
        <v>6481</v>
      </c>
      <c r="B32" s="3682"/>
      <c r="C32" s="3682"/>
      <c r="D32" s="3682"/>
      <c r="E32" s="3682"/>
      <c r="F32" s="3682"/>
      <c r="G32" s="3682"/>
      <c r="H32" s="3682"/>
      <c r="I32" s="3682"/>
      <c r="J32" s="3682"/>
      <c r="K32" s="3682"/>
      <c r="L32" s="3682"/>
      <c r="M32" s="3683"/>
      <c r="N32" s="2569"/>
      <c r="O32" s="2570"/>
      <c r="P32" s="962"/>
      <c r="Q32" s="962"/>
      <c r="R32" s="962"/>
      <c r="S32" s="962"/>
      <c r="T32" s="964"/>
      <c r="U32" s="962"/>
      <c r="V32" s="962"/>
      <c r="W32" s="966"/>
      <c r="X32" s="967"/>
      <c r="Y32" s="965">
        <f>SUM(Y6:Y31)</f>
        <v>14300000</v>
      </c>
      <c r="Z32" s="965">
        <f>SUM(Z6:Z31)</f>
        <v>15444000</v>
      </c>
      <c r="AA32" s="1510"/>
      <c r="AB32" s="1504"/>
      <c r="AC32" s="13"/>
      <c r="AD32" s="13"/>
      <c r="AE32" s="13"/>
      <c r="AF32" s="13"/>
      <c r="AG32" s="13"/>
      <c r="AH32" s="13"/>
      <c r="AI32" s="13"/>
    </row>
    <row r="33" spans="1:35" s="5" customFormat="1" ht="26.4">
      <c r="A33" s="1503">
        <v>1</v>
      </c>
      <c r="B33" s="6"/>
      <c r="C33" s="1915">
        <v>107389287240</v>
      </c>
      <c r="D33" s="2016" t="s">
        <v>6484</v>
      </c>
      <c r="E33" s="2700" t="s">
        <v>6680</v>
      </c>
      <c r="F33" s="1915" t="s">
        <v>206</v>
      </c>
      <c r="G33" s="1549"/>
      <c r="H33" s="1549"/>
      <c r="I33" s="795" t="s">
        <v>6139</v>
      </c>
      <c r="J33" s="2192"/>
      <c r="K33" s="2064" t="s">
        <v>6492</v>
      </c>
      <c r="L33" s="2192">
        <v>340</v>
      </c>
      <c r="M33" s="2809" t="s">
        <v>123</v>
      </c>
      <c r="N33" s="6"/>
      <c r="O33" s="6"/>
      <c r="P33" s="1507"/>
      <c r="Q33" s="1507"/>
      <c r="R33" s="1507"/>
      <c r="S33" s="1507"/>
      <c r="T33" s="1508"/>
      <c r="U33" s="1507"/>
      <c r="V33" s="1507"/>
      <c r="W33" s="2572"/>
      <c r="X33" s="1518"/>
      <c r="Y33" s="2649">
        <v>550000</v>
      </c>
      <c r="Z33" s="2650">
        <f t="shared" si="4"/>
        <v>594000</v>
      </c>
      <c r="AA33" s="1510"/>
      <c r="AB33" s="1504"/>
      <c r="AC33" s="13"/>
      <c r="AD33" s="13"/>
      <c r="AE33" s="13"/>
      <c r="AF33" s="13"/>
      <c r="AG33" s="13"/>
      <c r="AH33" s="13"/>
      <c r="AI33" s="13"/>
    </row>
    <row r="34" spans="1:35" s="5" customFormat="1">
      <c r="A34" s="1503">
        <f t="shared" si="5"/>
        <v>2</v>
      </c>
      <c r="B34" s="6"/>
      <c r="C34" s="2029">
        <v>307619072520</v>
      </c>
      <c r="D34" s="2016" t="s">
        <v>6493</v>
      </c>
      <c r="E34" s="2700" t="s">
        <v>6680</v>
      </c>
      <c r="F34" s="1915" t="s">
        <v>1299</v>
      </c>
      <c r="G34" s="1549"/>
      <c r="H34" s="1549"/>
      <c r="I34" s="2016" t="s">
        <v>6114</v>
      </c>
      <c r="J34" s="2328" t="s">
        <v>6508</v>
      </c>
      <c r="K34" s="1805" t="s">
        <v>6509</v>
      </c>
      <c r="L34" s="2328" t="s">
        <v>6511</v>
      </c>
      <c r="M34" s="2809" t="s">
        <v>123</v>
      </c>
      <c r="N34" s="6"/>
      <c r="O34" s="6"/>
      <c r="P34" s="1507"/>
      <c r="Q34" s="1507"/>
      <c r="R34" s="1507"/>
      <c r="S34" s="1507"/>
      <c r="T34" s="1508"/>
      <c r="U34" s="1507"/>
      <c r="V34" s="1507"/>
      <c r="W34" s="2572"/>
      <c r="X34" s="1518"/>
      <c r="Y34" s="2649">
        <v>550000</v>
      </c>
      <c r="Z34" s="2650">
        <f t="shared" ref="Z34:Z58" si="6">+Y34*1.08</f>
        <v>594000</v>
      </c>
      <c r="AA34" s="1510"/>
      <c r="AB34" s="1504"/>
      <c r="AC34" s="13"/>
      <c r="AD34" s="13"/>
      <c r="AE34" s="13"/>
      <c r="AF34" s="13"/>
      <c r="AG34" s="13"/>
      <c r="AH34" s="13"/>
      <c r="AI34" s="13"/>
    </row>
    <row r="35" spans="1:35" s="5" customFormat="1">
      <c r="A35" s="1503">
        <f t="shared" si="5"/>
        <v>3</v>
      </c>
      <c r="B35" s="6"/>
      <c r="C35" s="2029">
        <v>307620091350</v>
      </c>
      <c r="D35" s="2016" t="s">
        <v>6493</v>
      </c>
      <c r="E35" s="2700" t="s">
        <v>6680</v>
      </c>
      <c r="F35" s="1915" t="s">
        <v>1299</v>
      </c>
      <c r="G35" s="1549"/>
      <c r="H35" s="1549"/>
      <c r="I35" s="1504" t="s">
        <v>6512</v>
      </c>
      <c r="J35" s="2192"/>
      <c r="K35" s="1805" t="s">
        <v>6516</v>
      </c>
      <c r="L35" s="2328" t="s">
        <v>6510</v>
      </c>
      <c r="M35" s="1503" t="s">
        <v>108</v>
      </c>
      <c r="N35" s="6"/>
      <c r="O35" s="6"/>
      <c r="P35" s="1507"/>
      <c r="Q35" s="1507"/>
      <c r="R35" s="1507"/>
      <c r="S35" s="1507"/>
      <c r="T35" s="1508"/>
      <c r="U35" s="1507"/>
      <c r="V35" s="1507"/>
      <c r="W35" s="2572"/>
      <c r="X35" s="1518"/>
      <c r="Y35" s="2649">
        <v>550000</v>
      </c>
      <c r="Z35" s="2650">
        <f t="shared" si="6"/>
        <v>594000</v>
      </c>
      <c r="AA35" s="1510"/>
      <c r="AB35" s="1504"/>
      <c r="AC35" s="13"/>
      <c r="AD35" s="13"/>
      <c r="AE35" s="13"/>
      <c r="AF35" s="13"/>
      <c r="AG35" s="13"/>
      <c r="AH35" s="13"/>
      <c r="AI35" s="13"/>
    </row>
    <row r="36" spans="1:35" s="5" customFormat="1">
      <c r="A36" s="1503">
        <f t="shared" si="5"/>
        <v>4</v>
      </c>
      <c r="B36" s="6"/>
      <c r="C36" s="2029">
        <v>307628152660</v>
      </c>
      <c r="D36" s="2016" t="s">
        <v>6532</v>
      </c>
      <c r="E36" s="2700" t="s">
        <v>6680</v>
      </c>
      <c r="F36" s="1915" t="s">
        <v>1299</v>
      </c>
      <c r="G36" s="1549"/>
      <c r="H36" s="1549"/>
      <c r="I36" s="2016" t="s">
        <v>6114</v>
      </c>
      <c r="J36" s="2328" t="s">
        <v>6533</v>
      </c>
      <c r="K36" s="1805" t="s">
        <v>6531</v>
      </c>
      <c r="L36" s="2328" t="s">
        <v>6534</v>
      </c>
      <c r="M36" s="1503" t="s">
        <v>108</v>
      </c>
      <c r="N36" s="6"/>
      <c r="O36" s="6"/>
      <c r="P36" s="1507"/>
      <c r="Q36" s="1507"/>
      <c r="R36" s="1507"/>
      <c r="S36" s="1507"/>
      <c r="T36" s="1508"/>
      <c r="U36" s="1507"/>
      <c r="V36" s="1507"/>
      <c r="W36" s="2572"/>
      <c r="X36" s="1518"/>
      <c r="Y36" s="2649">
        <v>550000</v>
      </c>
      <c r="Z36" s="2650">
        <f t="shared" si="6"/>
        <v>594000</v>
      </c>
      <c r="AA36" s="1510"/>
      <c r="AB36" s="1504"/>
      <c r="AC36" s="13"/>
      <c r="AD36" s="13"/>
      <c r="AE36" s="13"/>
      <c r="AF36" s="13"/>
      <c r="AG36" s="13"/>
      <c r="AH36" s="13"/>
      <c r="AI36" s="13"/>
    </row>
    <row r="37" spans="1:35" s="5" customFormat="1">
      <c r="A37" s="1503">
        <f t="shared" si="5"/>
        <v>5</v>
      </c>
      <c r="B37" s="6"/>
      <c r="C37" s="2029">
        <v>307631334750</v>
      </c>
      <c r="D37" s="2016" t="s">
        <v>6532</v>
      </c>
      <c r="E37" s="2700" t="s">
        <v>6680</v>
      </c>
      <c r="F37" s="1915" t="s">
        <v>1299</v>
      </c>
      <c r="G37" s="1549"/>
      <c r="H37" s="1549"/>
      <c r="I37" s="2016" t="s">
        <v>6114</v>
      </c>
      <c r="J37" s="2328" t="s">
        <v>6545</v>
      </c>
      <c r="K37" s="1805" t="s">
        <v>6535</v>
      </c>
      <c r="L37" s="2328" t="s">
        <v>6536</v>
      </c>
      <c r="M37" s="2808" t="s">
        <v>123</v>
      </c>
      <c r="N37" s="6"/>
      <c r="O37" s="6"/>
      <c r="P37" s="1507"/>
      <c r="Q37" s="1507"/>
      <c r="R37" s="1507"/>
      <c r="S37" s="1507"/>
      <c r="T37" s="1508"/>
      <c r="U37" s="1507"/>
      <c r="V37" s="1507"/>
      <c r="W37" s="2572"/>
      <c r="X37" s="1518"/>
      <c r="Y37" s="2649">
        <v>550000</v>
      </c>
      <c r="Z37" s="2650">
        <f t="shared" si="6"/>
        <v>594000</v>
      </c>
      <c r="AA37" s="1510"/>
      <c r="AB37" s="1504"/>
      <c r="AC37" s="13"/>
      <c r="AD37" s="13"/>
      <c r="AE37" s="13"/>
      <c r="AF37" s="13"/>
      <c r="AG37" s="13"/>
      <c r="AH37" s="13"/>
      <c r="AI37" s="13"/>
    </row>
    <row r="38" spans="1:35" s="5" customFormat="1">
      <c r="A38" s="1503">
        <f t="shared" si="5"/>
        <v>6</v>
      </c>
      <c r="B38" s="6"/>
      <c r="C38" s="2029">
        <v>307639379960</v>
      </c>
      <c r="D38" s="2016" t="s">
        <v>6575</v>
      </c>
      <c r="E38" s="2700" t="s">
        <v>6680</v>
      </c>
      <c r="F38" s="1915" t="s">
        <v>1299</v>
      </c>
      <c r="G38" s="1549"/>
      <c r="H38" s="1549"/>
      <c r="I38" s="2016" t="s">
        <v>6114</v>
      </c>
      <c r="J38" s="2328" t="s">
        <v>6574</v>
      </c>
      <c r="K38" s="1805" t="s">
        <v>6594</v>
      </c>
      <c r="L38" s="2328" t="s">
        <v>6576</v>
      </c>
      <c r="M38" s="1503" t="s">
        <v>108</v>
      </c>
      <c r="N38" s="6"/>
      <c r="O38" s="6"/>
      <c r="P38" s="1507"/>
      <c r="Q38" s="1507"/>
      <c r="R38" s="1507"/>
      <c r="S38" s="1507"/>
      <c r="T38" s="1508"/>
      <c r="U38" s="1507"/>
      <c r="V38" s="1507"/>
      <c r="W38" s="2572"/>
      <c r="X38" s="1518"/>
      <c r="Y38" s="2649">
        <v>550000</v>
      </c>
      <c r="Z38" s="2650">
        <f t="shared" si="6"/>
        <v>594000</v>
      </c>
      <c r="AA38" s="1510"/>
      <c r="AB38" s="1504"/>
      <c r="AC38" s="13"/>
      <c r="AD38" s="13"/>
      <c r="AE38" s="13"/>
      <c r="AF38" s="13"/>
      <c r="AG38" s="13"/>
      <c r="AH38" s="13"/>
      <c r="AI38" s="13"/>
    </row>
    <row r="39" spans="1:35" s="5" customFormat="1" ht="26.4">
      <c r="A39" s="1503">
        <f t="shared" si="5"/>
        <v>7</v>
      </c>
      <c r="B39" s="6"/>
      <c r="C39" s="1915">
        <v>107420764140</v>
      </c>
      <c r="D39" s="2016" t="s">
        <v>6601</v>
      </c>
      <c r="E39" s="2700" t="s">
        <v>6680</v>
      </c>
      <c r="F39" s="1915" t="s">
        <v>206</v>
      </c>
      <c r="G39" s="1549"/>
      <c r="H39" s="1549"/>
      <c r="I39" s="1504" t="s">
        <v>6600</v>
      </c>
      <c r="J39" s="2192"/>
      <c r="K39" s="2064" t="s">
        <v>6602</v>
      </c>
      <c r="L39" s="2328" t="s">
        <v>6603</v>
      </c>
      <c r="M39" s="2808" t="s">
        <v>123</v>
      </c>
      <c r="N39" s="6"/>
      <c r="O39" s="6"/>
      <c r="P39" s="1497"/>
      <c r="Q39" s="1497"/>
      <c r="R39" s="1497"/>
      <c r="S39" s="1497"/>
      <c r="T39" s="1498"/>
      <c r="U39" s="1497"/>
      <c r="V39" s="1497"/>
      <c r="W39" s="2124"/>
      <c r="X39" s="1499"/>
      <c r="Y39" s="2649">
        <v>550000</v>
      </c>
      <c r="Z39" s="2650">
        <f t="shared" si="6"/>
        <v>594000</v>
      </c>
      <c r="AA39" s="1510"/>
      <c r="AB39" s="1504"/>
      <c r="AC39" s="13"/>
      <c r="AD39" s="13"/>
      <c r="AE39" s="13"/>
      <c r="AF39" s="13"/>
      <c r="AG39" s="13"/>
      <c r="AH39" s="13"/>
      <c r="AI39" s="13"/>
    </row>
    <row r="40" spans="1:35" s="5" customFormat="1" ht="26.4">
      <c r="A40" s="1503">
        <f t="shared" si="5"/>
        <v>8</v>
      </c>
      <c r="B40" s="6"/>
      <c r="C40" s="1915">
        <v>107422663720</v>
      </c>
      <c r="D40" s="2016" t="s">
        <v>6601</v>
      </c>
      <c r="E40" s="2700" t="s">
        <v>6680</v>
      </c>
      <c r="F40" s="1915" t="s">
        <v>206</v>
      </c>
      <c r="G40" s="1549"/>
      <c r="H40" s="1549"/>
      <c r="I40" s="1504" t="s">
        <v>6139</v>
      </c>
      <c r="J40" s="3063"/>
      <c r="K40" s="2064" t="s">
        <v>6623</v>
      </c>
      <c r="L40" s="2328" t="s">
        <v>6510</v>
      </c>
      <c r="M40" s="2808" t="s">
        <v>123</v>
      </c>
      <c r="N40" s="2752"/>
      <c r="O40" s="2752"/>
      <c r="P40" s="2752"/>
      <c r="Q40" s="2752"/>
      <c r="R40" s="2752"/>
      <c r="S40" s="2752"/>
      <c r="T40" s="2752"/>
      <c r="U40" s="2752"/>
      <c r="V40" s="2752"/>
      <c r="W40" s="2752"/>
      <c r="X40" s="2752"/>
      <c r="Y40" s="2649">
        <v>550000</v>
      </c>
      <c r="Z40" s="2650">
        <f t="shared" si="6"/>
        <v>594000</v>
      </c>
      <c r="AA40" s="2752"/>
      <c r="AB40" s="2752"/>
      <c r="AC40" s="2785"/>
      <c r="AD40" s="2785"/>
      <c r="AE40" s="2785"/>
      <c r="AF40" s="2785"/>
      <c r="AG40" s="2785"/>
      <c r="AH40" s="13"/>
      <c r="AI40" s="13"/>
    </row>
    <row r="41" spans="1:35" s="5" customFormat="1">
      <c r="A41" s="1503">
        <f t="shared" si="5"/>
        <v>9</v>
      </c>
      <c r="B41" s="6"/>
      <c r="C41" s="2029">
        <v>307649069400</v>
      </c>
      <c r="D41" s="2016" t="s">
        <v>6601</v>
      </c>
      <c r="E41" s="2700" t="s">
        <v>6680</v>
      </c>
      <c r="F41" s="1915" t="s">
        <v>1299</v>
      </c>
      <c r="G41" s="1549"/>
      <c r="H41" s="1549"/>
      <c r="I41" s="2016" t="s">
        <v>6114</v>
      </c>
      <c r="J41" s="2328" t="s">
        <v>6622</v>
      </c>
      <c r="K41" s="1805" t="s">
        <v>6621</v>
      </c>
      <c r="L41" s="2328" t="s">
        <v>6604</v>
      </c>
      <c r="M41" s="1503" t="s">
        <v>108</v>
      </c>
      <c r="N41" s="6"/>
      <c r="O41" s="6"/>
      <c r="P41" s="425"/>
      <c r="Q41" s="425"/>
      <c r="R41" s="425"/>
      <c r="S41" s="425"/>
      <c r="T41" s="426"/>
      <c r="U41" s="425"/>
      <c r="V41" s="425"/>
      <c r="W41" s="427"/>
      <c r="X41" s="398"/>
      <c r="Y41" s="2649">
        <v>550000</v>
      </c>
      <c r="Z41" s="2650">
        <f t="shared" si="6"/>
        <v>594000</v>
      </c>
      <c r="AA41" s="1510"/>
      <c r="AB41" s="1504"/>
      <c r="AC41" s="13"/>
      <c r="AD41" s="13"/>
      <c r="AE41" s="13"/>
      <c r="AF41" s="13"/>
      <c r="AG41" s="13"/>
      <c r="AH41" s="13"/>
      <c r="AI41" s="13"/>
    </row>
    <row r="42" spans="1:35" s="5" customFormat="1">
      <c r="A42" s="1503">
        <f t="shared" si="5"/>
        <v>10</v>
      </c>
      <c r="B42" s="6"/>
      <c r="C42" s="2029">
        <v>307658791550</v>
      </c>
      <c r="D42" s="2016" t="s">
        <v>6505</v>
      </c>
      <c r="E42" s="2700" t="s">
        <v>6680</v>
      </c>
      <c r="F42" s="1915" t="s">
        <v>1299</v>
      </c>
      <c r="G42" s="1549"/>
      <c r="H42" s="1549"/>
      <c r="I42" s="2016" t="s">
        <v>6114</v>
      </c>
      <c r="J42" s="2328" t="s">
        <v>6648</v>
      </c>
      <c r="K42" s="1805" t="s">
        <v>6649</v>
      </c>
      <c r="L42" s="2328" t="s">
        <v>6650</v>
      </c>
      <c r="M42" s="2808" t="s">
        <v>123</v>
      </c>
      <c r="N42" s="6"/>
      <c r="O42" s="6"/>
      <c r="P42" s="1507"/>
      <c r="Q42" s="1507"/>
      <c r="R42" s="1507"/>
      <c r="S42" s="1507"/>
      <c r="T42" s="1508"/>
      <c r="U42" s="1507"/>
      <c r="V42" s="1507"/>
      <c r="W42" s="2572"/>
      <c r="X42" s="1518"/>
      <c r="Y42" s="2649">
        <v>550000</v>
      </c>
      <c r="Z42" s="2650">
        <f t="shared" si="6"/>
        <v>594000</v>
      </c>
      <c r="AA42" s="1510"/>
      <c r="AB42" s="1504"/>
      <c r="AC42" s="13"/>
      <c r="AD42" s="13"/>
      <c r="AE42" s="13"/>
      <c r="AF42" s="13"/>
      <c r="AG42" s="13"/>
      <c r="AH42" s="13"/>
      <c r="AI42" s="13"/>
    </row>
    <row r="43" spans="1:35" s="5" customFormat="1">
      <c r="A43" s="1503">
        <f t="shared" si="5"/>
        <v>11</v>
      </c>
      <c r="B43" s="6"/>
      <c r="C43" s="2029">
        <v>307673076930</v>
      </c>
      <c r="D43" s="2016" t="s">
        <v>6653</v>
      </c>
      <c r="E43" s="2700" t="s">
        <v>6680</v>
      </c>
      <c r="F43" s="1915" t="s">
        <v>1299</v>
      </c>
      <c r="G43" s="1549"/>
      <c r="H43" s="1549"/>
      <c r="I43" s="2016" t="s">
        <v>6174</v>
      </c>
      <c r="J43" s="2192"/>
      <c r="K43" s="2064" t="s">
        <v>6700</v>
      </c>
      <c r="L43" s="2328" t="s">
        <v>6699</v>
      </c>
      <c r="M43" s="1503" t="s">
        <v>108</v>
      </c>
      <c r="N43" s="6"/>
      <c r="O43" s="6"/>
      <c r="P43" s="1507"/>
      <c r="Q43" s="1507"/>
      <c r="R43" s="1507"/>
      <c r="S43" s="1507"/>
      <c r="T43" s="1508"/>
      <c r="U43" s="1507"/>
      <c r="V43" s="1507"/>
      <c r="W43" s="2572"/>
      <c r="X43" s="1518"/>
      <c r="Y43" s="2649">
        <v>550000</v>
      </c>
      <c r="Z43" s="2650">
        <f t="shared" si="6"/>
        <v>594000</v>
      </c>
      <c r="AA43" s="1510"/>
      <c r="AB43" s="1504"/>
      <c r="AC43" s="13"/>
      <c r="AD43" s="13"/>
      <c r="AE43" s="13"/>
      <c r="AF43" s="13"/>
      <c r="AG43" s="13"/>
      <c r="AH43" s="13"/>
      <c r="AI43" s="13"/>
    </row>
    <row r="44" spans="1:35" s="5" customFormat="1">
      <c r="A44" s="1503">
        <f t="shared" si="5"/>
        <v>12</v>
      </c>
      <c r="B44" s="6"/>
      <c r="C44" s="2029">
        <v>307681337741</v>
      </c>
      <c r="D44" s="2016" t="s">
        <v>6740</v>
      </c>
      <c r="E44" s="2700" t="s">
        <v>6680</v>
      </c>
      <c r="F44" s="1915" t="s">
        <v>1299</v>
      </c>
      <c r="G44" s="1549"/>
      <c r="H44" s="1549"/>
      <c r="I44" s="2016" t="s">
        <v>6174</v>
      </c>
      <c r="J44" s="2192"/>
      <c r="K44" s="2064" t="s">
        <v>6736</v>
      </c>
      <c r="L44" s="2192">
        <v>5</v>
      </c>
      <c r="M44" s="2798" t="s">
        <v>136</v>
      </c>
      <c r="N44" s="6"/>
      <c r="O44" s="6"/>
      <c r="P44" s="1507"/>
      <c r="Q44" s="1507"/>
      <c r="R44" s="1507"/>
      <c r="S44" s="1507"/>
      <c r="T44" s="1508"/>
      <c r="U44" s="1507"/>
      <c r="V44" s="1507"/>
      <c r="W44" s="2572"/>
      <c r="X44" s="1518" t="s">
        <v>1596</v>
      </c>
      <c r="Y44" s="2649">
        <f>550000+400000</f>
        <v>950000</v>
      </c>
      <c r="Z44" s="2650">
        <f t="shared" si="6"/>
        <v>1026000.0000000001</v>
      </c>
      <c r="AA44" s="1510"/>
      <c r="AB44" s="1504"/>
      <c r="AC44" s="13"/>
      <c r="AD44" s="13"/>
      <c r="AE44" s="13"/>
      <c r="AF44" s="13"/>
      <c r="AG44" s="13"/>
      <c r="AH44" s="13"/>
      <c r="AI44" s="13"/>
    </row>
    <row r="45" spans="1:35" s="5" customFormat="1" ht="26.4">
      <c r="A45" s="1503">
        <f t="shared" si="5"/>
        <v>13</v>
      </c>
      <c r="B45" s="6"/>
      <c r="C45" s="1915">
        <v>107457413930</v>
      </c>
      <c r="D45" s="2016" t="s">
        <v>6721</v>
      </c>
      <c r="E45" s="2700" t="s">
        <v>6680</v>
      </c>
      <c r="F45" s="1915" t="s">
        <v>206</v>
      </c>
      <c r="G45" s="1549"/>
      <c r="H45" s="1549"/>
      <c r="I45" s="1504" t="s">
        <v>6139</v>
      </c>
      <c r="J45" s="2192"/>
      <c r="K45" s="2064" t="s">
        <v>6765</v>
      </c>
      <c r="L45" s="2192">
        <v>350</v>
      </c>
      <c r="M45" s="2808" t="s">
        <v>123</v>
      </c>
      <c r="N45" s="6"/>
      <c r="O45" s="6"/>
      <c r="P45" s="1507"/>
      <c r="Q45" s="1507"/>
      <c r="R45" s="1507"/>
      <c r="S45" s="1507"/>
      <c r="T45" s="1508"/>
      <c r="U45" s="1507"/>
      <c r="V45" s="1507"/>
      <c r="W45" s="2572"/>
      <c r="X45" s="1518"/>
      <c r="Y45" s="2649">
        <v>550000</v>
      </c>
      <c r="Z45" s="2650">
        <f t="shared" si="6"/>
        <v>594000</v>
      </c>
      <c r="AA45" s="1510"/>
      <c r="AB45" s="1504"/>
      <c r="AC45" s="13"/>
      <c r="AD45" s="13"/>
      <c r="AE45" s="13"/>
      <c r="AF45" s="13"/>
      <c r="AG45" s="13"/>
      <c r="AH45" s="13"/>
      <c r="AI45" s="13"/>
    </row>
    <row r="46" spans="1:35" s="5" customFormat="1">
      <c r="A46" s="1503">
        <f t="shared" si="5"/>
        <v>14</v>
      </c>
      <c r="B46" s="6"/>
      <c r="C46" s="2029">
        <v>307691220600</v>
      </c>
      <c r="D46" s="2016" t="s">
        <v>6663</v>
      </c>
      <c r="E46" s="2700" t="s">
        <v>6680</v>
      </c>
      <c r="F46" s="1915" t="s">
        <v>1299</v>
      </c>
      <c r="G46" s="1549"/>
      <c r="H46" s="1549"/>
      <c r="I46" s="2016" t="s">
        <v>6114</v>
      </c>
      <c r="J46" s="2328" t="s">
        <v>6784</v>
      </c>
      <c r="K46" s="1805" t="s">
        <v>6782</v>
      </c>
      <c r="L46" s="2328" t="s">
        <v>6783</v>
      </c>
      <c r="M46" s="1503" t="s">
        <v>108</v>
      </c>
      <c r="N46" s="6"/>
      <c r="O46" s="6"/>
      <c r="P46" s="1507"/>
      <c r="Q46" s="1507"/>
      <c r="R46" s="1507"/>
      <c r="S46" s="1507"/>
      <c r="T46" s="1508"/>
      <c r="U46" s="1507"/>
      <c r="V46" s="1507"/>
      <c r="W46" s="2572"/>
      <c r="X46" s="1518"/>
      <c r="Y46" s="2649">
        <v>550000</v>
      </c>
      <c r="Z46" s="2650">
        <f t="shared" si="6"/>
        <v>594000</v>
      </c>
      <c r="AA46" s="1510"/>
      <c r="AB46" s="1504"/>
      <c r="AC46" s="13"/>
      <c r="AD46" s="13"/>
      <c r="AE46" s="13"/>
      <c r="AF46" s="13"/>
      <c r="AG46" s="13"/>
      <c r="AH46" s="13"/>
      <c r="AI46" s="13"/>
    </row>
    <row r="47" spans="1:35" s="5" customFormat="1" ht="26.4">
      <c r="A47" s="2203">
        <f t="shared" si="5"/>
        <v>15</v>
      </c>
      <c r="B47" s="6"/>
      <c r="C47" s="2494">
        <v>107464629050</v>
      </c>
      <c r="D47" s="2817" t="s">
        <v>6642</v>
      </c>
      <c r="E47" s="2818" t="s">
        <v>6680</v>
      </c>
      <c r="F47" s="2494" t="s">
        <v>206</v>
      </c>
      <c r="G47" s="2819"/>
      <c r="H47" s="2819"/>
      <c r="I47" s="1624" t="s">
        <v>6139</v>
      </c>
      <c r="J47" s="2642"/>
      <c r="K47" s="2820" t="s">
        <v>6795</v>
      </c>
      <c r="L47" s="2642">
        <v>80</v>
      </c>
      <c r="M47" s="2809" t="s">
        <v>123</v>
      </c>
      <c r="N47" s="6"/>
      <c r="O47" s="6"/>
      <c r="P47" s="1497"/>
      <c r="Q47" s="1497"/>
      <c r="R47" s="1497"/>
      <c r="S47" s="1497"/>
      <c r="T47" s="1498"/>
      <c r="U47" s="1497"/>
      <c r="V47" s="1497"/>
      <c r="W47" s="2124"/>
      <c r="X47" s="1499"/>
      <c r="Y47" s="2649">
        <v>550000</v>
      </c>
      <c r="Z47" s="2650">
        <f t="shared" si="6"/>
        <v>594000</v>
      </c>
      <c r="AA47" s="1510"/>
      <c r="AB47" s="1504"/>
      <c r="AC47" s="13"/>
      <c r="AD47" s="13"/>
      <c r="AE47" s="13"/>
      <c r="AF47" s="13"/>
      <c r="AG47" s="13"/>
      <c r="AH47" s="13"/>
      <c r="AI47" s="13"/>
    </row>
    <row r="48" spans="1:35" s="5" customFormat="1">
      <c r="A48" s="1503">
        <v>16</v>
      </c>
      <c r="B48" s="1549"/>
      <c r="C48" s="2029">
        <v>307710286130</v>
      </c>
      <c r="D48" s="2016" t="s">
        <v>6694</v>
      </c>
      <c r="E48" s="2700" t="s">
        <v>6680</v>
      </c>
      <c r="F48" s="1915" t="s">
        <v>1299</v>
      </c>
      <c r="G48" s="1549"/>
      <c r="H48" s="1549"/>
      <c r="I48" s="2016" t="s">
        <v>6114</v>
      </c>
      <c r="J48" s="2328" t="s">
        <v>6846</v>
      </c>
      <c r="K48" s="1805" t="s">
        <v>6845</v>
      </c>
      <c r="L48" s="2192">
        <v>332</v>
      </c>
      <c r="M48" s="1503" t="s">
        <v>108</v>
      </c>
      <c r="N48" s="1549"/>
      <c r="O48" s="1549"/>
      <c r="P48" s="1507"/>
      <c r="Q48" s="1507"/>
      <c r="R48" s="1507"/>
      <c r="S48" s="1507"/>
      <c r="T48" s="1508"/>
      <c r="U48" s="1507"/>
      <c r="V48" s="1507"/>
      <c r="W48" s="2572"/>
      <c r="X48" s="1518"/>
      <c r="Y48" s="2649">
        <v>550000</v>
      </c>
      <c r="Z48" s="2650">
        <f t="shared" si="6"/>
        <v>594000</v>
      </c>
      <c r="AA48" s="1510"/>
      <c r="AB48" s="1504"/>
      <c r="AC48" s="13"/>
      <c r="AD48" s="13"/>
      <c r="AE48" s="13"/>
      <c r="AF48" s="13"/>
      <c r="AG48" s="13"/>
      <c r="AH48" s="13"/>
      <c r="AI48" s="13"/>
    </row>
    <row r="49" spans="1:35" s="5" customFormat="1">
      <c r="A49" s="3348" t="s">
        <v>6828</v>
      </c>
      <c r="B49" s="3349"/>
      <c r="C49" s="3349"/>
      <c r="D49" s="3349"/>
      <c r="E49" s="3349"/>
      <c r="F49" s="3349"/>
      <c r="G49" s="3349"/>
      <c r="H49" s="3349"/>
      <c r="I49" s="3349"/>
      <c r="J49" s="3349"/>
      <c r="K49" s="3349"/>
      <c r="L49" s="3349"/>
      <c r="M49" s="3350"/>
      <c r="N49" s="2569"/>
      <c r="O49" s="2570"/>
      <c r="P49" s="962"/>
      <c r="Q49" s="962"/>
      <c r="R49" s="962"/>
      <c r="S49" s="962"/>
      <c r="T49" s="964"/>
      <c r="U49" s="962"/>
      <c r="V49" s="962"/>
      <c r="W49" s="966"/>
      <c r="X49" s="967"/>
      <c r="Y49" s="965">
        <f>SUM(Y33:Y47)</f>
        <v>8650000</v>
      </c>
      <c r="Z49" s="965">
        <f>SUM(Z33:Z47)</f>
        <v>9342000</v>
      </c>
      <c r="AA49" s="1510"/>
      <c r="AB49" s="1504"/>
      <c r="AC49" s="13"/>
      <c r="AD49" s="13"/>
      <c r="AE49" s="13"/>
      <c r="AF49" s="13"/>
      <c r="AG49" s="13"/>
      <c r="AH49" s="13"/>
      <c r="AI49" s="13"/>
    </row>
    <row r="50" spans="1:35" s="5" customFormat="1">
      <c r="A50" s="1503">
        <v>1</v>
      </c>
      <c r="B50" s="6"/>
      <c r="C50" s="2029">
        <v>307717324630</v>
      </c>
      <c r="D50" s="2016" t="s">
        <v>6859</v>
      </c>
      <c r="E50" s="2029" t="s">
        <v>7015</v>
      </c>
      <c r="F50" s="1915" t="s">
        <v>1299</v>
      </c>
      <c r="G50" s="1549"/>
      <c r="H50" s="1549"/>
      <c r="I50" s="1504" t="s">
        <v>6862</v>
      </c>
      <c r="J50" s="2192"/>
      <c r="K50" s="1805" t="s">
        <v>6863</v>
      </c>
      <c r="L50" s="2192">
        <v>101</v>
      </c>
      <c r="M50" s="1503" t="s">
        <v>108</v>
      </c>
      <c r="N50" s="6"/>
      <c r="O50" s="6"/>
      <c r="P50" s="1507"/>
      <c r="Q50" s="1507"/>
      <c r="R50" s="1507"/>
      <c r="S50" s="1507"/>
      <c r="T50" s="1508"/>
      <c r="U50" s="1507"/>
      <c r="V50" s="1507"/>
      <c r="W50" s="2572"/>
      <c r="X50" s="1518"/>
      <c r="Y50" s="2649">
        <v>550000</v>
      </c>
      <c r="Z50" s="2650">
        <f t="shared" si="6"/>
        <v>594000</v>
      </c>
      <c r="AA50" s="1510"/>
      <c r="AB50" s="1504"/>
      <c r="AC50" s="13"/>
      <c r="AD50" s="13"/>
      <c r="AE50" s="13"/>
      <c r="AF50" s="13"/>
      <c r="AG50" s="13"/>
      <c r="AH50" s="13"/>
      <c r="AI50" s="13"/>
    </row>
    <row r="51" spans="1:35" s="5" customFormat="1">
      <c r="A51" s="1503">
        <f t="shared" si="5"/>
        <v>2</v>
      </c>
      <c r="B51" s="6"/>
      <c r="C51" s="2029">
        <v>307719973320</v>
      </c>
      <c r="D51" s="2016" t="s">
        <v>6876</v>
      </c>
      <c r="E51" s="2029" t="s">
        <v>7015</v>
      </c>
      <c r="F51" s="1915" t="s">
        <v>1299</v>
      </c>
      <c r="G51" s="1549"/>
      <c r="H51" s="1549"/>
      <c r="I51" s="2016" t="s">
        <v>6114</v>
      </c>
      <c r="J51" s="2328" t="s">
        <v>6898</v>
      </c>
      <c r="K51" s="1805" t="s">
        <v>6873</v>
      </c>
      <c r="L51" s="2192">
        <v>64</v>
      </c>
      <c r="M51" s="1503" t="s">
        <v>108</v>
      </c>
      <c r="N51" s="6"/>
      <c r="O51" s="6"/>
      <c r="P51" s="1507"/>
      <c r="Q51" s="1507"/>
      <c r="R51" s="1507"/>
      <c r="S51" s="1507"/>
      <c r="T51" s="1508"/>
      <c r="U51" s="1507"/>
      <c r="V51" s="1507"/>
      <c r="W51" s="2572"/>
      <c r="X51" s="1518"/>
      <c r="Y51" s="2649">
        <v>550000</v>
      </c>
      <c r="Z51" s="2650">
        <f t="shared" si="6"/>
        <v>594000</v>
      </c>
      <c r="AA51" s="1510"/>
      <c r="AB51" s="1504"/>
      <c r="AC51" s="13"/>
      <c r="AD51" s="13"/>
      <c r="AE51" s="13"/>
      <c r="AF51" s="13"/>
      <c r="AG51" s="13"/>
      <c r="AH51" s="13"/>
      <c r="AI51" s="13"/>
    </row>
    <row r="52" spans="1:35" s="5" customFormat="1">
      <c r="A52" s="1503">
        <f t="shared" si="5"/>
        <v>3</v>
      </c>
      <c r="B52" s="6"/>
      <c r="C52" s="2029">
        <v>307726819210</v>
      </c>
      <c r="D52" s="2016" t="s">
        <v>6883</v>
      </c>
      <c r="E52" s="2029" t="s">
        <v>7015</v>
      </c>
      <c r="F52" s="1915" t="s">
        <v>1299</v>
      </c>
      <c r="G52" s="1549"/>
      <c r="H52" s="1549"/>
      <c r="I52" s="2016" t="s">
        <v>6114</v>
      </c>
      <c r="J52" s="2328" t="s">
        <v>6897</v>
      </c>
      <c r="K52" s="1805" t="s">
        <v>6886</v>
      </c>
      <c r="L52" s="2192">
        <v>693</v>
      </c>
      <c r="M52" s="1503" t="s">
        <v>108</v>
      </c>
      <c r="N52" s="6"/>
      <c r="O52" s="6"/>
      <c r="P52" s="1507"/>
      <c r="Q52" s="1507"/>
      <c r="R52" s="1507"/>
      <c r="S52" s="1507"/>
      <c r="T52" s="1508"/>
      <c r="U52" s="1507"/>
      <c r="V52" s="1507"/>
      <c r="W52" s="2572"/>
      <c r="X52" s="1518"/>
      <c r="Y52" s="2649">
        <v>550000</v>
      </c>
      <c r="Z52" s="2650">
        <f t="shared" si="6"/>
        <v>594000</v>
      </c>
      <c r="AA52" s="1510"/>
      <c r="AB52" s="1504"/>
      <c r="AC52" s="13"/>
      <c r="AD52" s="13"/>
      <c r="AE52" s="13"/>
      <c r="AF52" s="13"/>
      <c r="AG52" s="13"/>
      <c r="AH52" s="13"/>
      <c r="AI52" s="13"/>
    </row>
    <row r="53" spans="1:35" s="5" customFormat="1">
      <c r="A53" s="1503">
        <f t="shared" si="5"/>
        <v>4</v>
      </c>
      <c r="B53" s="6"/>
      <c r="C53" s="2029">
        <v>307730465400</v>
      </c>
      <c r="D53" s="2016" t="s">
        <v>6889</v>
      </c>
      <c r="E53" s="2029" t="s">
        <v>7015</v>
      </c>
      <c r="F53" s="1915" t="s">
        <v>1299</v>
      </c>
      <c r="G53" s="1549"/>
      <c r="H53" s="1549"/>
      <c r="I53" s="2016" t="s">
        <v>6174</v>
      </c>
      <c r="J53" s="2192"/>
      <c r="K53" s="2064" t="s">
        <v>6899</v>
      </c>
      <c r="L53" s="2192">
        <v>22</v>
      </c>
      <c r="M53" s="1503" t="s">
        <v>108</v>
      </c>
      <c r="N53" s="6"/>
      <c r="O53" s="6"/>
      <c r="P53" s="1507"/>
      <c r="Q53" s="1507"/>
      <c r="R53" s="1507"/>
      <c r="S53" s="1507"/>
      <c r="T53" s="1508"/>
      <c r="U53" s="1507"/>
      <c r="V53" s="1507"/>
      <c r="W53" s="2572"/>
      <c r="X53" s="1518"/>
      <c r="Y53" s="2649">
        <v>550000</v>
      </c>
      <c r="Z53" s="2650">
        <f t="shared" si="6"/>
        <v>594000</v>
      </c>
      <c r="AA53" s="1510"/>
      <c r="AB53" s="1504"/>
      <c r="AC53" s="13"/>
      <c r="AD53" s="13"/>
      <c r="AE53" s="13"/>
      <c r="AF53" s="13"/>
      <c r="AG53" s="13"/>
      <c r="AH53" s="13"/>
      <c r="AI53" s="13"/>
    </row>
    <row r="54" spans="1:35" s="5" customFormat="1">
      <c r="A54" s="1503">
        <f t="shared" si="5"/>
        <v>5</v>
      </c>
      <c r="B54" s="6"/>
      <c r="C54" s="2029">
        <v>307736611950</v>
      </c>
      <c r="D54" s="2016" t="s">
        <v>6901</v>
      </c>
      <c r="E54" s="2029" t="s">
        <v>7015</v>
      </c>
      <c r="F54" s="1915" t="s">
        <v>1299</v>
      </c>
      <c r="G54" s="1549"/>
      <c r="H54" s="1549"/>
      <c r="I54" s="2016" t="s">
        <v>6114</v>
      </c>
      <c r="J54" s="2328" t="s">
        <v>6916</v>
      </c>
      <c r="K54" s="1805" t="s">
        <v>6917</v>
      </c>
      <c r="L54" s="2192">
        <v>408</v>
      </c>
      <c r="M54" s="1503" t="s">
        <v>108</v>
      </c>
      <c r="N54" s="6"/>
      <c r="O54" s="6"/>
      <c r="P54" s="1507"/>
      <c r="Q54" s="1507"/>
      <c r="R54" s="1507"/>
      <c r="S54" s="1507"/>
      <c r="T54" s="1508"/>
      <c r="U54" s="1507"/>
      <c r="V54" s="1507"/>
      <c r="W54" s="2572"/>
      <c r="X54" s="1518"/>
      <c r="Y54" s="2649">
        <v>550000</v>
      </c>
      <c r="Z54" s="2650">
        <f t="shared" si="6"/>
        <v>594000</v>
      </c>
      <c r="AA54" s="1510"/>
      <c r="AB54" s="1504"/>
      <c r="AC54" s="13"/>
      <c r="AD54" s="13"/>
      <c r="AE54" s="13"/>
      <c r="AF54" s="13"/>
      <c r="AG54" s="13"/>
      <c r="AH54" s="13"/>
      <c r="AI54" s="13"/>
    </row>
    <row r="55" spans="1:35" s="5" customFormat="1" ht="26.4">
      <c r="A55" s="1503">
        <f t="shared" si="5"/>
        <v>6</v>
      </c>
      <c r="B55" s="6"/>
      <c r="C55" s="1915">
        <v>107505833520</v>
      </c>
      <c r="D55" s="2016" t="s">
        <v>6829</v>
      </c>
      <c r="E55" s="2029" t="s">
        <v>7015</v>
      </c>
      <c r="F55" s="1915" t="s">
        <v>206</v>
      </c>
      <c r="G55" s="1549"/>
      <c r="H55" s="1549"/>
      <c r="I55" s="1624" t="s">
        <v>6139</v>
      </c>
      <c r="J55" s="2192"/>
      <c r="K55" s="2064" t="s">
        <v>7146</v>
      </c>
      <c r="L55" s="2192">
        <v>400</v>
      </c>
      <c r="M55" s="2809" t="s">
        <v>123</v>
      </c>
      <c r="N55" s="6"/>
      <c r="O55" s="6"/>
      <c r="P55" s="1507"/>
      <c r="Q55" s="1507"/>
      <c r="R55" s="1507"/>
      <c r="S55" s="1507"/>
      <c r="T55" s="1508"/>
      <c r="U55" s="1507"/>
      <c r="V55" s="1507"/>
      <c r="W55" s="2572"/>
      <c r="X55" s="1518"/>
      <c r="Y55" s="2649">
        <v>550000</v>
      </c>
      <c r="Z55" s="2650">
        <f t="shared" si="6"/>
        <v>594000</v>
      </c>
      <c r="AA55" s="1510"/>
      <c r="AB55" s="1504"/>
      <c r="AC55" s="13"/>
      <c r="AD55" s="13"/>
      <c r="AE55" s="13"/>
      <c r="AF55" s="13"/>
      <c r="AG55" s="13"/>
      <c r="AH55" s="13"/>
      <c r="AI55" s="13"/>
    </row>
    <row r="56" spans="1:35" s="5" customFormat="1">
      <c r="A56" s="1503">
        <f t="shared" si="5"/>
        <v>7</v>
      </c>
      <c r="B56" s="6"/>
      <c r="C56" s="2029">
        <v>307751505851</v>
      </c>
      <c r="D56" s="2016" t="s">
        <v>6974</v>
      </c>
      <c r="E56" s="2029" t="s">
        <v>7015</v>
      </c>
      <c r="F56" s="1915" t="s">
        <v>1299</v>
      </c>
      <c r="G56" s="1549"/>
      <c r="H56" s="1549"/>
      <c r="I56" s="2016" t="s">
        <v>6114</v>
      </c>
      <c r="J56" s="2328" t="s">
        <v>7001</v>
      </c>
      <c r="K56" s="1805" t="s">
        <v>6972</v>
      </c>
      <c r="L56" s="2192">
        <v>747</v>
      </c>
      <c r="M56" s="2798" t="s">
        <v>136</v>
      </c>
      <c r="N56" s="6"/>
      <c r="O56" s="6"/>
      <c r="P56" s="1507"/>
      <c r="Q56" s="1507"/>
      <c r="R56" s="1507"/>
      <c r="S56" s="1507"/>
      <c r="T56" s="1508"/>
      <c r="U56" s="1507"/>
      <c r="V56" s="1507"/>
      <c r="W56" s="2572"/>
      <c r="X56" s="1518"/>
      <c r="Y56" s="2649">
        <f>550000+400000</f>
        <v>950000</v>
      </c>
      <c r="Z56" s="2650">
        <f t="shared" si="6"/>
        <v>1026000.0000000001</v>
      </c>
      <c r="AA56" s="1510"/>
      <c r="AB56" s="1504"/>
      <c r="AC56" s="13"/>
      <c r="AD56" s="13"/>
      <c r="AE56" s="13"/>
      <c r="AF56" s="13"/>
      <c r="AG56" s="13"/>
      <c r="AH56" s="13"/>
      <c r="AI56" s="13"/>
    </row>
    <row r="57" spans="1:35" s="5" customFormat="1">
      <c r="A57" s="1503">
        <f t="shared" si="5"/>
        <v>8</v>
      </c>
      <c r="B57" s="6"/>
      <c r="C57" s="2029">
        <v>307751924340</v>
      </c>
      <c r="D57" s="2016" t="s">
        <v>6974</v>
      </c>
      <c r="E57" s="2029" t="s">
        <v>7015</v>
      </c>
      <c r="F57" s="1915" t="s">
        <v>1299</v>
      </c>
      <c r="G57" s="1549"/>
      <c r="H57" s="1549"/>
      <c r="I57" s="2016" t="s">
        <v>6114</v>
      </c>
      <c r="J57" s="2328" t="s">
        <v>7002</v>
      </c>
      <c r="K57" s="1805" t="s">
        <v>6973</v>
      </c>
      <c r="L57" s="2192">
        <v>72</v>
      </c>
      <c r="M57" s="1503" t="s">
        <v>108</v>
      </c>
      <c r="N57" s="6"/>
      <c r="O57" s="6"/>
      <c r="P57" s="1507"/>
      <c r="Q57" s="1507"/>
      <c r="R57" s="1507"/>
      <c r="S57" s="1507"/>
      <c r="T57" s="1508"/>
      <c r="U57" s="1507"/>
      <c r="V57" s="1507"/>
      <c r="W57" s="2572"/>
      <c r="X57" s="1518"/>
      <c r="Y57" s="2649">
        <v>550000</v>
      </c>
      <c r="Z57" s="2650">
        <f t="shared" si="6"/>
        <v>594000</v>
      </c>
      <c r="AA57" s="1510"/>
      <c r="AB57" s="1504"/>
      <c r="AC57" s="13"/>
      <c r="AD57" s="13"/>
      <c r="AE57" s="13"/>
      <c r="AF57" s="13"/>
      <c r="AG57" s="13"/>
      <c r="AH57" s="13"/>
      <c r="AI57" s="13"/>
    </row>
    <row r="58" spans="1:35" s="5" customFormat="1">
      <c r="A58" s="1503">
        <f t="shared" si="5"/>
        <v>9</v>
      </c>
      <c r="B58" s="6"/>
      <c r="C58" s="2029">
        <v>307761340260</v>
      </c>
      <c r="D58" s="2016" t="s">
        <v>7018</v>
      </c>
      <c r="E58" s="2029" t="s">
        <v>7015</v>
      </c>
      <c r="F58" s="1915" t="s">
        <v>1299</v>
      </c>
      <c r="G58" s="1549"/>
      <c r="H58" s="1549"/>
      <c r="I58" s="2016" t="s">
        <v>6114</v>
      </c>
      <c r="J58" s="2328" t="s">
        <v>7019</v>
      </c>
      <c r="K58" s="1805" t="s">
        <v>7014</v>
      </c>
      <c r="L58" s="2192">
        <v>247</v>
      </c>
      <c r="M58" s="1503" t="s">
        <v>108</v>
      </c>
      <c r="N58" s="6"/>
      <c r="O58" s="6"/>
      <c r="P58" s="1507"/>
      <c r="Q58" s="1507"/>
      <c r="R58" s="1507"/>
      <c r="S58" s="1507"/>
      <c r="T58" s="1508"/>
      <c r="U58" s="1507"/>
      <c r="V58" s="1507"/>
      <c r="W58" s="2572"/>
      <c r="X58" s="1518"/>
      <c r="Y58" s="2649">
        <v>550000</v>
      </c>
      <c r="Z58" s="2650">
        <f t="shared" si="6"/>
        <v>594000</v>
      </c>
      <c r="AA58" s="1510"/>
      <c r="AB58" s="1504"/>
      <c r="AC58" s="13"/>
      <c r="AD58" s="13"/>
      <c r="AE58" s="13"/>
      <c r="AF58" s="13"/>
      <c r="AG58" s="13"/>
      <c r="AH58" s="13"/>
      <c r="AI58" s="13"/>
    </row>
    <row r="59" spans="1:35" s="5" customFormat="1">
      <c r="A59" s="1503">
        <f t="shared" si="5"/>
        <v>10</v>
      </c>
      <c r="B59" s="6"/>
      <c r="C59" s="2029">
        <v>307767917940</v>
      </c>
      <c r="D59" s="2016" t="s">
        <v>7031</v>
      </c>
      <c r="E59" s="2029" t="s">
        <v>7015</v>
      </c>
      <c r="F59" s="1915" t="s">
        <v>1299</v>
      </c>
      <c r="G59" s="1549"/>
      <c r="H59" s="1549"/>
      <c r="I59" s="2016" t="s">
        <v>6114</v>
      </c>
      <c r="J59" s="2328" t="s">
        <v>7049</v>
      </c>
      <c r="K59" s="1805" t="s">
        <v>7039</v>
      </c>
      <c r="L59" s="2192">
        <v>667</v>
      </c>
      <c r="M59" s="1503" t="s">
        <v>108</v>
      </c>
      <c r="N59" s="6"/>
      <c r="O59" s="6"/>
      <c r="P59" s="1507"/>
      <c r="Q59" s="1507"/>
      <c r="R59" s="1507"/>
      <c r="S59" s="1507"/>
      <c r="T59" s="1508"/>
      <c r="U59" s="1507"/>
      <c r="V59" s="1507"/>
      <c r="W59" s="2572"/>
      <c r="X59" s="1518"/>
      <c r="Y59" s="2649">
        <v>550000</v>
      </c>
      <c r="Z59" s="2650">
        <f t="shared" ref="Z59:Z64" si="7">+Y59*1.08</f>
        <v>594000</v>
      </c>
      <c r="AA59" s="1510"/>
      <c r="AB59" s="1504"/>
      <c r="AC59" s="13"/>
      <c r="AD59" s="13"/>
      <c r="AE59" s="13"/>
      <c r="AF59" s="13"/>
      <c r="AG59" s="13"/>
      <c r="AH59" s="13"/>
      <c r="AI59" s="13"/>
    </row>
    <row r="60" spans="1:35" s="5" customFormat="1">
      <c r="A60" s="1503">
        <f t="shared" si="5"/>
        <v>11</v>
      </c>
      <c r="B60" s="6"/>
      <c r="C60" s="2029">
        <v>307787207400</v>
      </c>
      <c r="D60" s="2016" t="s">
        <v>7054</v>
      </c>
      <c r="E60" s="2029" t="s">
        <v>7015</v>
      </c>
      <c r="F60" s="1915" t="s">
        <v>1299</v>
      </c>
      <c r="G60" s="1549"/>
      <c r="H60" s="1549"/>
      <c r="I60" s="2016" t="s">
        <v>6114</v>
      </c>
      <c r="J60" s="2328" t="s">
        <v>7092</v>
      </c>
      <c r="K60" s="1805" t="s">
        <v>7083</v>
      </c>
      <c r="L60" s="2192">
        <v>117</v>
      </c>
      <c r="M60" s="1503" t="s">
        <v>108</v>
      </c>
      <c r="N60" s="6"/>
      <c r="O60" s="6"/>
      <c r="P60" s="1507"/>
      <c r="Q60" s="1507"/>
      <c r="R60" s="1507"/>
      <c r="S60" s="1507"/>
      <c r="T60" s="1508"/>
      <c r="U60" s="1507"/>
      <c r="V60" s="1507"/>
      <c r="W60" s="2572"/>
      <c r="X60" s="1518"/>
      <c r="Y60" s="2649">
        <v>550000</v>
      </c>
      <c r="Z60" s="2650">
        <f t="shared" si="7"/>
        <v>594000</v>
      </c>
      <c r="AA60" s="1510"/>
      <c r="AB60" s="1504"/>
      <c r="AC60" s="13"/>
      <c r="AD60" s="13"/>
      <c r="AE60" s="13"/>
      <c r="AF60" s="13"/>
      <c r="AG60" s="13"/>
      <c r="AH60" s="13"/>
      <c r="AI60" s="13"/>
    </row>
    <row r="61" spans="1:35" s="5" customFormat="1">
      <c r="A61" s="1503">
        <f t="shared" si="5"/>
        <v>12</v>
      </c>
      <c r="B61" s="6"/>
      <c r="C61" s="2029">
        <v>307788798940</v>
      </c>
      <c r="D61" s="2016" t="s">
        <v>7080</v>
      </c>
      <c r="E61" s="2029" t="s">
        <v>7015</v>
      </c>
      <c r="F61" s="1915" t="s">
        <v>1299</v>
      </c>
      <c r="G61" s="1549"/>
      <c r="H61" s="1549"/>
      <c r="I61" s="1504" t="s">
        <v>6512</v>
      </c>
      <c r="J61" s="2192"/>
      <c r="K61" s="1805" t="s">
        <v>7093</v>
      </c>
      <c r="L61" s="2192">
        <v>148</v>
      </c>
      <c r="M61" s="1503" t="s">
        <v>108</v>
      </c>
      <c r="N61" s="6"/>
      <c r="O61" s="6"/>
      <c r="P61" s="1507"/>
      <c r="Q61" s="1507"/>
      <c r="R61" s="1507"/>
      <c r="S61" s="1507"/>
      <c r="T61" s="1508"/>
      <c r="U61" s="1507"/>
      <c r="V61" s="1507"/>
      <c r="W61" s="2572"/>
      <c r="X61" s="1518"/>
      <c r="Y61" s="2649">
        <v>550000</v>
      </c>
      <c r="Z61" s="2650">
        <f t="shared" si="7"/>
        <v>594000</v>
      </c>
      <c r="AA61" s="1510"/>
      <c r="AB61" s="1504"/>
      <c r="AC61" s="13"/>
      <c r="AD61" s="13"/>
      <c r="AE61" s="13"/>
      <c r="AF61" s="13"/>
      <c r="AG61" s="13"/>
      <c r="AH61" s="13"/>
      <c r="AI61" s="13"/>
    </row>
    <row r="62" spans="1:35" s="5" customFormat="1">
      <c r="A62" s="1503">
        <f t="shared" si="5"/>
        <v>13</v>
      </c>
      <c r="B62" s="6"/>
      <c r="C62" s="2029">
        <v>307802727760</v>
      </c>
      <c r="D62" s="2016" t="s">
        <v>7088</v>
      </c>
      <c r="E62" s="2029" t="s">
        <v>7015</v>
      </c>
      <c r="F62" s="1915" t="s">
        <v>1299</v>
      </c>
      <c r="G62" s="1549"/>
      <c r="H62" s="1549"/>
      <c r="I62" s="2016" t="s">
        <v>6174</v>
      </c>
      <c r="J62" s="2192"/>
      <c r="K62" s="1805" t="s">
        <v>7137</v>
      </c>
      <c r="L62" s="2192">
        <v>86</v>
      </c>
      <c r="M62" s="1503" t="s">
        <v>108</v>
      </c>
      <c r="N62" s="6"/>
      <c r="O62" s="6"/>
      <c r="P62" s="1507"/>
      <c r="Q62" s="1507"/>
      <c r="R62" s="1507"/>
      <c r="S62" s="1507"/>
      <c r="T62" s="1508"/>
      <c r="U62" s="1507"/>
      <c r="V62" s="1507"/>
      <c r="W62" s="2572"/>
      <c r="X62" s="1518"/>
      <c r="Y62" s="2649">
        <v>550000</v>
      </c>
      <c r="Z62" s="2650">
        <f t="shared" si="7"/>
        <v>594000</v>
      </c>
      <c r="AA62" s="1510"/>
      <c r="AB62" s="1504"/>
      <c r="AC62" s="13"/>
      <c r="AD62" s="13"/>
      <c r="AE62" s="13"/>
      <c r="AF62" s="13"/>
      <c r="AG62" s="13"/>
      <c r="AH62" s="13"/>
      <c r="AI62" s="13"/>
    </row>
    <row r="63" spans="1:35" s="5" customFormat="1">
      <c r="A63" s="1503">
        <f t="shared" si="5"/>
        <v>14</v>
      </c>
      <c r="B63" s="6"/>
      <c r="C63" s="2029">
        <v>307803837630</v>
      </c>
      <c r="D63" s="2016" t="s">
        <v>7088</v>
      </c>
      <c r="E63" s="2029" t="s">
        <v>7015</v>
      </c>
      <c r="F63" s="1915" t="s">
        <v>1299</v>
      </c>
      <c r="G63" s="1549"/>
      <c r="H63" s="1549"/>
      <c r="I63" s="2016" t="s">
        <v>6114</v>
      </c>
      <c r="J63" s="2328" t="s">
        <v>7144</v>
      </c>
      <c r="K63" s="1805" t="s">
        <v>7145</v>
      </c>
      <c r="L63" s="2192">
        <v>293</v>
      </c>
      <c r="M63" s="2798" t="s">
        <v>136</v>
      </c>
      <c r="N63" s="6"/>
      <c r="O63" s="6"/>
      <c r="P63" s="1507"/>
      <c r="Q63" s="1507"/>
      <c r="R63" s="1507"/>
      <c r="S63" s="1507"/>
      <c r="T63" s="1508"/>
      <c r="U63" s="1507"/>
      <c r="V63" s="1507"/>
      <c r="W63" s="2572"/>
      <c r="X63" s="1518"/>
      <c r="Y63" s="2649">
        <f>550000+400000</f>
        <v>950000</v>
      </c>
      <c r="Z63" s="2650">
        <f t="shared" si="7"/>
        <v>1026000.0000000001</v>
      </c>
      <c r="AA63" s="1510"/>
      <c r="AB63" s="1504"/>
      <c r="AC63" s="13"/>
      <c r="AD63" s="13"/>
      <c r="AE63" s="13"/>
      <c r="AF63" s="13"/>
      <c r="AG63" s="13"/>
      <c r="AH63" s="13"/>
      <c r="AI63" s="13"/>
    </row>
    <row r="64" spans="1:35" s="5" customFormat="1" ht="26.4">
      <c r="A64" s="1503">
        <f t="shared" si="5"/>
        <v>15</v>
      </c>
      <c r="B64" s="6"/>
      <c r="C64" s="1915">
        <v>107563843000</v>
      </c>
      <c r="D64" s="2016" t="s">
        <v>7088</v>
      </c>
      <c r="E64" s="2029" t="s">
        <v>7015</v>
      </c>
      <c r="F64" s="1915" t="s">
        <v>206</v>
      </c>
      <c r="G64" s="1549"/>
      <c r="H64" s="1549"/>
      <c r="I64" s="1624" t="s">
        <v>6139</v>
      </c>
      <c r="J64" s="2192"/>
      <c r="K64" s="2064" t="s">
        <v>7147</v>
      </c>
      <c r="L64" s="2192">
        <v>410</v>
      </c>
      <c r="M64" s="2809" t="s">
        <v>123</v>
      </c>
      <c r="N64" s="6"/>
      <c r="O64" s="6"/>
      <c r="P64" s="1507"/>
      <c r="Q64" s="1507"/>
      <c r="R64" s="1507"/>
      <c r="S64" s="1507"/>
      <c r="T64" s="1508"/>
      <c r="U64" s="1507"/>
      <c r="V64" s="1507"/>
      <c r="W64" s="2572"/>
      <c r="X64" s="1518"/>
      <c r="Y64" s="2649">
        <v>550000</v>
      </c>
      <c r="Z64" s="2650">
        <f t="shared" si="7"/>
        <v>594000</v>
      </c>
      <c r="AA64" s="1510"/>
      <c r="AB64" s="1504"/>
      <c r="AC64" s="13"/>
      <c r="AD64" s="13"/>
      <c r="AE64" s="13"/>
      <c r="AF64" s="13"/>
      <c r="AG64" s="13"/>
      <c r="AH64" s="13"/>
      <c r="AI64" s="13"/>
    </row>
    <row r="65" spans="1:35" s="5" customFormat="1">
      <c r="A65" s="1503">
        <f t="shared" si="5"/>
        <v>16</v>
      </c>
      <c r="B65" s="6"/>
      <c r="C65" s="2029">
        <v>307808162560</v>
      </c>
      <c r="D65" s="2016" t="s">
        <v>7139</v>
      </c>
      <c r="E65" s="2029" t="s">
        <v>7015</v>
      </c>
      <c r="F65" s="1915" t="s">
        <v>1299</v>
      </c>
      <c r="G65" s="1549"/>
      <c r="H65" s="1549"/>
      <c r="I65" s="2016" t="s">
        <v>6114</v>
      </c>
      <c r="J65" s="2328" t="s">
        <v>7173</v>
      </c>
      <c r="K65" s="1805" t="s">
        <v>7163</v>
      </c>
      <c r="L65" s="2328" t="s">
        <v>6284</v>
      </c>
      <c r="M65" s="1503" t="s">
        <v>108</v>
      </c>
      <c r="N65" s="6"/>
      <c r="O65" s="6"/>
      <c r="P65" s="1507"/>
      <c r="Q65" s="1507"/>
      <c r="R65" s="1507"/>
      <c r="S65" s="1507"/>
      <c r="T65" s="1508"/>
      <c r="U65" s="1507"/>
      <c r="V65" s="1507"/>
      <c r="W65" s="2572"/>
      <c r="X65" s="1518"/>
      <c r="Y65" s="2649">
        <v>550000</v>
      </c>
      <c r="Z65" s="2650">
        <f t="shared" ref="Z65:Z72" si="8">+Y65*1.08</f>
        <v>594000</v>
      </c>
      <c r="AA65" s="1510"/>
      <c r="AB65" s="1504"/>
      <c r="AC65" s="13"/>
      <c r="AD65" s="13"/>
      <c r="AE65" s="13"/>
      <c r="AF65" s="13"/>
      <c r="AG65" s="13"/>
      <c r="AH65" s="13"/>
      <c r="AI65" s="13"/>
    </row>
    <row r="66" spans="1:35" s="5" customFormat="1">
      <c r="A66" s="3348" t="s">
        <v>7164</v>
      </c>
      <c r="B66" s="3349"/>
      <c r="C66" s="3349"/>
      <c r="D66" s="3349"/>
      <c r="E66" s="3349"/>
      <c r="F66" s="3349"/>
      <c r="G66" s="3349"/>
      <c r="H66" s="3349"/>
      <c r="I66" s="3349"/>
      <c r="J66" s="3349"/>
      <c r="K66" s="3349"/>
      <c r="L66" s="3349"/>
      <c r="M66" s="3350"/>
      <c r="N66" s="2569"/>
      <c r="O66" s="2570"/>
      <c r="P66" s="962"/>
      <c r="Q66" s="962"/>
      <c r="R66" s="962"/>
      <c r="S66" s="962"/>
      <c r="T66" s="964"/>
      <c r="U66" s="962"/>
      <c r="V66" s="962"/>
      <c r="W66" s="966"/>
      <c r="X66" s="967"/>
      <c r="Y66" s="965">
        <f>SUM(Y50:Y65)</f>
        <v>9600000</v>
      </c>
      <c r="Z66" s="965">
        <f>SUM(Z50:Z65)</f>
        <v>10368000</v>
      </c>
      <c r="AA66" s="1510"/>
      <c r="AB66" s="1504"/>
      <c r="AC66" s="13"/>
      <c r="AD66" s="13"/>
      <c r="AE66" s="13"/>
      <c r="AF66" s="13"/>
      <c r="AG66" s="13"/>
      <c r="AH66" s="13"/>
      <c r="AI66" s="13"/>
    </row>
    <row r="67" spans="1:35" s="5" customFormat="1">
      <c r="A67" s="1503">
        <v>1</v>
      </c>
      <c r="B67" s="6"/>
      <c r="C67" s="2029">
        <v>307819502450</v>
      </c>
      <c r="D67" s="2016" t="s">
        <v>7203</v>
      </c>
      <c r="E67" s="2029" t="s">
        <v>7390</v>
      </c>
      <c r="F67" s="1915" t="s">
        <v>1299</v>
      </c>
      <c r="G67" s="1549"/>
      <c r="H67" s="1549"/>
      <c r="I67" s="2016" t="s">
        <v>6114</v>
      </c>
      <c r="J67" s="2328" t="s">
        <v>7211</v>
      </c>
      <c r="K67" s="1805" t="s">
        <v>7212</v>
      </c>
      <c r="L67" s="2328" t="s">
        <v>7213</v>
      </c>
      <c r="M67" s="1503" t="s">
        <v>108</v>
      </c>
      <c r="N67" s="6"/>
      <c r="O67" s="6"/>
      <c r="P67" s="1507"/>
      <c r="Q67" s="1507"/>
      <c r="R67" s="1507"/>
      <c r="S67" s="1507"/>
      <c r="T67" s="1508"/>
      <c r="U67" s="1507"/>
      <c r="V67" s="1507"/>
      <c r="W67" s="2572"/>
      <c r="X67" s="1518"/>
      <c r="Y67" s="2649">
        <v>550000</v>
      </c>
      <c r="Z67" s="2650">
        <f t="shared" si="8"/>
        <v>594000</v>
      </c>
      <c r="AA67" s="1510"/>
      <c r="AB67" s="1504"/>
      <c r="AC67" s="13"/>
      <c r="AD67" s="13"/>
      <c r="AE67" s="13"/>
      <c r="AF67" s="13"/>
      <c r="AG67" s="13"/>
      <c r="AH67" s="13"/>
      <c r="AI67" s="13"/>
    </row>
    <row r="68" spans="1:35" s="5" customFormat="1">
      <c r="A68" s="1503">
        <f t="shared" si="5"/>
        <v>2</v>
      </c>
      <c r="B68" s="6"/>
      <c r="C68" s="2029">
        <v>307823346260</v>
      </c>
      <c r="D68" s="2016" t="s">
        <v>7199</v>
      </c>
      <c r="E68" s="2029" t="s">
        <v>7390</v>
      </c>
      <c r="F68" s="1915" t="s">
        <v>1299</v>
      </c>
      <c r="G68" s="1549"/>
      <c r="H68" s="1549"/>
      <c r="I68" s="2016" t="s">
        <v>6114</v>
      </c>
      <c r="J68" s="2328" t="s">
        <v>7233</v>
      </c>
      <c r="K68" s="1805" t="s">
        <v>7226</v>
      </c>
      <c r="L68" s="2328" t="s">
        <v>7227</v>
      </c>
      <c r="M68" s="2809" t="s">
        <v>123</v>
      </c>
      <c r="N68" s="6"/>
      <c r="O68" s="6"/>
      <c r="P68" s="1507"/>
      <c r="Q68" s="1507"/>
      <c r="R68" s="1507"/>
      <c r="S68" s="1507"/>
      <c r="T68" s="1508"/>
      <c r="U68" s="1507"/>
      <c r="V68" s="1507"/>
      <c r="W68" s="2572"/>
      <c r="X68" s="1518"/>
      <c r="Y68" s="2649">
        <v>550000</v>
      </c>
      <c r="Z68" s="2650">
        <f t="shared" si="8"/>
        <v>594000</v>
      </c>
      <c r="AA68" s="1510"/>
      <c r="AB68" s="1504"/>
      <c r="AC68" s="13"/>
      <c r="AD68" s="13"/>
      <c r="AE68" s="13"/>
      <c r="AF68" s="13"/>
      <c r="AG68" s="13"/>
      <c r="AH68" s="13"/>
      <c r="AI68" s="13"/>
    </row>
    <row r="69" spans="1:35" s="5" customFormat="1">
      <c r="A69" s="1503">
        <f t="shared" si="5"/>
        <v>3</v>
      </c>
      <c r="B69" s="6"/>
      <c r="C69" s="2029">
        <v>307828061460</v>
      </c>
      <c r="D69" s="2016" t="s">
        <v>7167</v>
      </c>
      <c r="E69" s="2029" t="s">
        <v>7390</v>
      </c>
      <c r="F69" s="1915" t="s">
        <v>1299</v>
      </c>
      <c r="G69" s="1549"/>
      <c r="H69" s="1549"/>
      <c r="I69" s="2016" t="s">
        <v>6114</v>
      </c>
      <c r="J69" s="2328" t="s">
        <v>7261</v>
      </c>
      <c r="K69" s="1805" t="s">
        <v>7251</v>
      </c>
      <c r="L69" s="2328" t="s">
        <v>1256</v>
      </c>
      <c r="M69" s="1503" t="s">
        <v>108</v>
      </c>
      <c r="N69" s="6"/>
      <c r="O69" s="6"/>
      <c r="P69" s="1507"/>
      <c r="Q69" s="1507"/>
      <c r="R69" s="1507"/>
      <c r="S69" s="1507"/>
      <c r="T69" s="1508"/>
      <c r="U69" s="1507"/>
      <c r="V69" s="1507"/>
      <c r="W69" s="2572"/>
      <c r="X69" s="1518"/>
      <c r="Y69" s="2649">
        <v>550000</v>
      </c>
      <c r="Z69" s="2650">
        <f t="shared" si="8"/>
        <v>594000</v>
      </c>
      <c r="AA69" s="1510"/>
      <c r="AB69" s="1504"/>
      <c r="AC69" s="13"/>
      <c r="AD69" s="13"/>
      <c r="AE69" s="13"/>
      <c r="AF69" s="13"/>
      <c r="AG69" s="13"/>
      <c r="AH69" s="13"/>
      <c r="AI69" s="13"/>
    </row>
    <row r="70" spans="1:35" s="5" customFormat="1" ht="26.4">
      <c r="A70" s="1503">
        <f t="shared" si="5"/>
        <v>4</v>
      </c>
      <c r="B70" s="6"/>
      <c r="C70" s="1915">
        <v>107591583410</v>
      </c>
      <c r="D70" s="2016" t="s">
        <v>7257</v>
      </c>
      <c r="E70" s="2029" t="s">
        <v>7390</v>
      </c>
      <c r="F70" s="1915" t="s">
        <v>206</v>
      </c>
      <c r="G70" s="1549"/>
      <c r="H70" s="1549"/>
      <c r="I70" s="1504" t="s">
        <v>6600</v>
      </c>
      <c r="J70" s="2192"/>
      <c r="K70" s="2064" t="s">
        <v>7292</v>
      </c>
      <c r="L70" s="2328" t="s">
        <v>6648</v>
      </c>
      <c r="M70" s="2809" t="s">
        <v>123</v>
      </c>
      <c r="N70" s="6"/>
      <c r="O70" s="6"/>
      <c r="P70" s="1507"/>
      <c r="Q70" s="1507"/>
      <c r="R70" s="1507"/>
      <c r="S70" s="1507"/>
      <c r="T70" s="1508"/>
      <c r="U70" s="1507"/>
      <c r="V70" s="1507"/>
      <c r="W70" s="2572"/>
      <c r="X70" s="1518"/>
      <c r="Y70" s="2649">
        <v>550000</v>
      </c>
      <c r="Z70" s="2650">
        <f t="shared" si="8"/>
        <v>594000</v>
      </c>
      <c r="AA70" s="1510"/>
      <c r="AB70" s="1504"/>
      <c r="AC70" s="13"/>
      <c r="AD70" s="13"/>
      <c r="AE70" s="13"/>
      <c r="AF70" s="13"/>
      <c r="AG70" s="13"/>
      <c r="AH70" s="13"/>
      <c r="AI70" s="13"/>
    </row>
    <row r="71" spans="1:35" s="5" customFormat="1">
      <c r="A71" s="1503">
        <f t="shared" ref="A71:A136" si="9">+A70+1</f>
        <v>5</v>
      </c>
      <c r="B71" s="6"/>
      <c r="C71" s="2029">
        <v>307833150610</v>
      </c>
      <c r="D71" s="2016" t="s">
        <v>7257</v>
      </c>
      <c r="E71" s="2029" t="s">
        <v>7390</v>
      </c>
      <c r="F71" s="1915" t="s">
        <v>1299</v>
      </c>
      <c r="G71" s="1549"/>
      <c r="H71" s="1549"/>
      <c r="I71" s="2016" t="s">
        <v>6114</v>
      </c>
      <c r="J71" s="2328" t="s">
        <v>7291</v>
      </c>
      <c r="K71" s="1805" t="s">
        <v>7293</v>
      </c>
      <c r="L71" s="2328" t="s">
        <v>7296</v>
      </c>
      <c r="M71" s="1503" t="s">
        <v>108</v>
      </c>
      <c r="N71" s="6"/>
      <c r="O71" s="6"/>
      <c r="P71" s="1507"/>
      <c r="Q71" s="1507"/>
      <c r="R71" s="1507"/>
      <c r="S71" s="1507"/>
      <c r="T71" s="1508"/>
      <c r="U71" s="1507"/>
      <c r="V71" s="1507"/>
      <c r="W71" s="2572"/>
      <c r="X71" s="1518"/>
      <c r="Y71" s="2649">
        <v>550000</v>
      </c>
      <c r="Z71" s="2650">
        <f t="shared" si="8"/>
        <v>594000</v>
      </c>
      <c r="AA71" s="1510"/>
      <c r="AB71" s="1504"/>
      <c r="AC71" s="13"/>
      <c r="AD71" s="13"/>
      <c r="AE71" s="13"/>
      <c r="AF71" s="13"/>
      <c r="AG71" s="13"/>
      <c r="AH71" s="13"/>
      <c r="AI71" s="13"/>
    </row>
    <row r="72" spans="1:35" s="5" customFormat="1" ht="26.4">
      <c r="A72" s="1503">
        <f t="shared" si="9"/>
        <v>6</v>
      </c>
      <c r="B72" s="6"/>
      <c r="C72" s="1915">
        <v>107594651620</v>
      </c>
      <c r="D72" s="2016" t="s">
        <v>7257</v>
      </c>
      <c r="E72" s="2029" t="s">
        <v>7390</v>
      </c>
      <c r="F72" s="1915" t="s">
        <v>206</v>
      </c>
      <c r="G72" s="1549"/>
      <c r="H72" s="1549"/>
      <c r="I72" s="1624" t="s">
        <v>6139</v>
      </c>
      <c r="J72" s="2192"/>
      <c r="K72" s="2064" t="s">
        <v>7295</v>
      </c>
      <c r="L72" s="2328" t="s">
        <v>7294</v>
      </c>
      <c r="M72" s="2809" t="s">
        <v>123</v>
      </c>
      <c r="N72" s="6"/>
      <c r="O72" s="6"/>
      <c r="P72" s="1507"/>
      <c r="Q72" s="1507"/>
      <c r="R72" s="1507"/>
      <c r="S72" s="1507"/>
      <c r="T72" s="1508"/>
      <c r="U72" s="1507"/>
      <c r="V72" s="1507"/>
      <c r="W72" s="2572"/>
      <c r="X72" s="1518"/>
      <c r="Y72" s="2649">
        <v>550000</v>
      </c>
      <c r="Z72" s="2650">
        <f t="shared" si="8"/>
        <v>594000</v>
      </c>
      <c r="AA72" s="1510"/>
      <c r="AB72" s="1504"/>
      <c r="AC72" s="13"/>
      <c r="AD72" s="13"/>
      <c r="AE72" s="13"/>
      <c r="AF72" s="13"/>
      <c r="AG72" s="13"/>
      <c r="AH72" s="13"/>
      <c r="AI72" s="13"/>
    </row>
    <row r="73" spans="1:35" s="5" customFormat="1">
      <c r="A73" s="1503">
        <f t="shared" si="9"/>
        <v>7</v>
      </c>
      <c r="B73" s="6"/>
      <c r="C73" s="2029">
        <v>307844904530</v>
      </c>
      <c r="D73" s="2016" t="s">
        <v>7279</v>
      </c>
      <c r="E73" s="2029" t="s">
        <v>7390</v>
      </c>
      <c r="F73" s="1915" t="s">
        <v>1299</v>
      </c>
      <c r="G73" s="1549"/>
      <c r="H73" s="1549"/>
      <c r="I73" s="1504" t="s">
        <v>6512</v>
      </c>
      <c r="J73" s="2192"/>
      <c r="K73" s="1805" t="s">
        <v>7322</v>
      </c>
      <c r="L73" s="2328" t="s">
        <v>7323</v>
      </c>
      <c r="M73" s="2809" t="s">
        <v>123</v>
      </c>
      <c r="N73" s="6"/>
      <c r="O73" s="6"/>
      <c r="P73" s="1507"/>
      <c r="Q73" s="1507"/>
      <c r="R73" s="1507"/>
      <c r="S73" s="1507"/>
      <c r="T73" s="1508"/>
      <c r="U73" s="1507"/>
      <c r="V73" s="1507"/>
      <c r="W73" s="2572"/>
      <c r="X73" s="1518"/>
      <c r="Y73" s="2649">
        <v>550000</v>
      </c>
      <c r="Z73" s="2650">
        <f t="shared" ref="Z73:Z76" si="10">+Y73*1.08</f>
        <v>594000</v>
      </c>
      <c r="AA73" s="1510"/>
      <c r="AB73" s="1504"/>
      <c r="AC73" s="13"/>
      <c r="AD73" s="13"/>
      <c r="AE73" s="13"/>
      <c r="AF73" s="13"/>
      <c r="AG73" s="13"/>
      <c r="AH73" s="13"/>
      <c r="AI73" s="13"/>
    </row>
    <row r="74" spans="1:35" s="5" customFormat="1" ht="26.4">
      <c r="A74" s="1503">
        <f t="shared" si="9"/>
        <v>8</v>
      </c>
      <c r="B74" s="6"/>
      <c r="C74" s="1915">
        <v>107605737150</v>
      </c>
      <c r="D74" s="2016" t="s">
        <v>7279</v>
      </c>
      <c r="E74" s="2029" t="s">
        <v>7390</v>
      </c>
      <c r="F74" s="1915" t="s">
        <v>206</v>
      </c>
      <c r="G74" s="1549"/>
      <c r="H74" s="1549"/>
      <c r="I74" s="1504" t="s">
        <v>6600</v>
      </c>
      <c r="J74" s="2192"/>
      <c r="K74" s="2617" t="s">
        <v>7324</v>
      </c>
      <c r="L74" s="2328" t="s">
        <v>7325</v>
      </c>
      <c r="M74" s="2809" t="s">
        <v>123</v>
      </c>
      <c r="N74" s="6"/>
      <c r="O74" s="6"/>
      <c r="P74" s="1507"/>
      <c r="Q74" s="1507"/>
      <c r="R74" s="1507"/>
      <c r="S74" s="1507"/>
      <c r="T74" s="1508"/>
      <c r="U74" s="1507"/>
      <c r="V74" s="1507"/>
      <c r="W74" s="2572"/>
      <c r="X74" s="1518"/>
      <c r="Y74" s="2649">
        <v>550000</v>
      </c>
      <c r="Z74" s="2650">
        <f t="shared" si="10"/>
        <v>594000</v>
      </c>
      <c r="AA74" s="1510"/>
      <c r="AB74" s="1504"/>
      <c r="AC74" s="13"/>
      <c r="AD74" s="13"/>
      <c r="AE74" s="13"/>
      <c r="AF74" s="13"/>
      <c r="AG74" s="13"/>
      <c r="AH74" s="13"/>
      <c r="AI74" s="13"/>
    </row>
    <row r="75" spans="1:35" s="5" customFormat="1">
      <c r="A75" s="1503">
        <f t="shared" si="9"/>
        <v>9</v>
      </c>
      <c r="B75" s="6"/>
      <c r="C75" s="2029">
        <v>307853640900</v>
      </c>
      <c r="D75" s="2016" t="s">
        <v>7263</v>
      </c>
      <c r="E75" s="2029" t="s">
        <v>7390</v>
      </c>
      <c r="F75" s="1915" t="s">
        <v>1299</v>
      </c>
      <c r="G75" s="1549"/>
      <c r="H75" s="1549"/>
      <c r="I75" s="2016" t="s">
        <v>6114</v>
      </c>
      <c r="J75" s="2328" t="s">
        <v>7334</v>
      </c>
      <c r="K75" s="1805" t="s">
        <v>7326</v>
      </c>
      <c r="L75" s="2328" t="s">
        <v>7327</v>
      </c>
      <c r="M75" s="2809" t="s">
        <v>123</v>
      </c>
      <c r="N75" s="6"/>
      <c r="O75" s="6"/>
      <c r="P75" s="1507"/>
      <c r="Q75" s="1507"/>
      <c r="R75" s="1507"/>
      <c r="S75" s="1507"/>
      <c r="T75" s="1508"/>
      <c r="U75" s="1507"/>
      <c r="V75" s="1507"/>
      <c r="W75" s="2572"/>
      <c r="X75" s="1518"/>
      <c r="Y75" s="2649">
        <v>550000</v>
      </c>
      <c r="Z75" s="2650">
        <f t="shared" si="10"/>
        <v>594000</v>
      </c>
      <c r="AA75" s="1510"/>
      <c r="AB75" s="1504"/>
      <c r="AC75" s="13"/>
      <c r="AD75" s="13"/>
      <c r="AE75" s="13"/>
      <c r="AF75" s="13"/>
      <c r="AG75" s="13"/>
      <c r="AH75" s="13"/>
      <c r="AI75" s="13"/>
    </row>
    <row r="76" spans="1:35" s="5" customFormat="1">
      <c r="A76" s="1503">
        <f t="shared" si="9"/>
        <v>10</v>
      </c>
      <c r="B76" s="6"/>
      <c r="C76" s="2029">
        <v>307858698360</v>
      </c>
      <c r="D76" s="2016" t="s">
        <v>7331</v>
      </c>
      <c r="E76" s="2029" t="s">
        <v>7390</v>
      </c>
      <c r="F76" s="1915" t="s">
        <v>1299</v>
      </c>
      <c r="G76" s="1549"/>
      <c r="H76" s="1549"/>
      <c r="I76" s="2016" t="s">
        <v>6114</v>
      </c>
      <c r="J76" s="2328" t="s">
        <v>7369</v>
      </c>
      <c r="K76" s="1805" t="s">
        <v>7355</v>
      </c>
      <c r="L76" s="2328" t="s">
        <v>7356</v>
      </c>
      <c r="M76" s="2809" t="s">
        <v>123</v>
      </c>
      <c r="N76" s="6"/>
      <c r="O76" s="6"/>
      <c r="P76" s="1507"/>
      <c r="Q76" s="1507"/>
      <c r="R76" s="1507"/>
      <c r="S76" s="1507"/>
      <c r="T76" s="1508"/>
      <c r="U76" s="1507"/>
      <c r="V76" s="1507"/>
      <c r="W76" s="2572"/>
      <c r="X76" s="1518"/>
      <c r="Y76" s="2649">
        <v>550000</v>
      </c>
      <c r="Z76" s="2650">
        <f t="shared" si="10"/>
        <v>594000</v>
      </c>
      <c r="AA76" s="1510"/>
      <c r="AB76" s="1504"/>
      <c r="AC76" s="13"/>
      <c r="AD76" s="13"/>
      <c r="AE76" s="13"/>
      <c r="AF76" s="13"/>
      <c r="AG76" s="13"/>
      <c r="AH76" s="13"/>
      <c r="AI76" s="13"/>
    </row>
    <row r="77" spans="1:35" s="5" customFormat="1">
      <c r="A77" s="1503">
        <f t="shared" si="9"/>
        <v>11</v>
      </c>
      <c r="B77" s="6"/>
      <c r="C77" s="2029">
        <v>307862192430</v>
      </c>
      <c r="D77" s="2016" t="s">
        <v>7331</v>
      </c>
      <c r="E77" s="2029" t="s">
        <v>7390</v>
      </c>
      <c r="F77" s="1915" t="s">
        <v>1299</v>
      </c>
      <c r="G77" s="1549"/>
      <c r="H77" s="1549"/>
      <c r="I77" s="2016" t="s">
        <v>6114</v>
      </c>
      <c r="J77" s="2328" t="s">
        <v>7372</v>
      </c>
      <c r="K77" s="1805" t="s">
        <v>7370</v>
      </c>
      <c r="L77" s="2328" t="s">
        <v>7371</v>
      </c>
      <c r="M77" s="2809" t="s">
        <v>123</v>
      </c>
      <c r="N77" s="6"/>
      <c r="O77" s="6"/>
      <c r="P77" s="1507"/>
      <c r="Q77" s="1507"/>
      <c r="R77" s="1507"/>
      <c r="S77" s="1507"/>
      <c r="T77" s="1508"/>
      <c r="U77" s="1507"/>
      <c r="V77" s="1507"/>
      <c r="W77" s="2572"/>
      <c r="X77" s="1518"/>
      <c r="Y77" s="2649">
        <v>550000</v>
      </c>
      <c r="Z77" s="2650">
        <f t="shared" ref="Z77" si="11">+Y77*1.08</f>
        <v>594000</v>
      </c>
      <c r="AA77" s="1510"/>
      <c r="AB77" s="1504"/>
      <c r="AC77" s="13"/>
      <c r="AD77" s="13"/>
      <c r="AE77" s="13"/>
      <c r="AF77" s="13"/>
      <c r="AG77" s="13"/>
      <c r="AH77" s="13"/>
      <c r="AI77" s="13"/>
    </row>
    <row r="78" spans="1:35" s="5" customFormat="1">
      <c r="A78" s="1503">
        <f t="shared" si="9"/>
        <v>12</v>
      </c>
      <c r="B78" s="6"/>
      <c r="C78" s="2029">
        <v>307869585130</v>
      </c>
      <c r="D78" s="2016" t="s">
        <v>7373</v>
      </c>
      <c r="E78" s="2029" t="s">
        <v>7390</v>
      </c>
      <c r="F78" s="1915" t="s">
        <v>1299</v>
      </c>
      <c r="G78" s="1549"/>
      <c r="H78" s="1549"/>
      <c r="I78" s="2016" t="s">
        <v>6114</v>
      </c>
      <c r="J78" s="2328" t="s">
        <v>7412</v>
      </c>
      <c r="K78" s="1805" t="s">
        <v>7408</v>
      </c>
      <c r="L78" s="2328" t="s">
        <v>7411</v>
      </c>
      <c r="M78" s="2809" t="s">
        <v>123</v>
      </c>
      <c r="N78" s="6"/>
      <c r="O78" s="6"/>
      <c r="P78" s="1507"/>
      <c r="Q78" s="1507"/>
      <c r="R78" s="1507"/>
      <c r="S78" s="1507"/>
      <c r="T78" s="1508"/>
      <c r="U78" s="1507"/>
      <c r="V78" s="1507"/>
      <c r="W78" s="2572"/>
      <c r="X78" s="1518"/>
      <c r="Y78" s="2649">
        <v>550000</v>
      </c>
      <c r="Z78" s="2650">
        <f t="shared" ref="Z78:Z81" si="12">+Y78*1.08</f>
        <v>594000</v>
      </c>
      <c r="AA78" s="1510"/>
      <c r="AB78" s="1504"/>
      <c r="AC78" s="13"/>
      <c r="AD78" s="13"/>
      <c r="AE78" s="13"/>
      <c r="AF78" s="13"/>
      <c r="AG78" s="13"/>
      <c r="AH78" s="13"/>
      <c r="AI78" s="13"/>
    </row>
    <row r="79" spans="1:35" s="5" customFormat="1">
      <c r="A79" s="1503">
        <f t="shared" si="9"/>
        <v>13</v>
      </c>
      <c r="B79" s="6"/>
      <c r="C79" s="2029">
        <v>307871642210</v>
      </c>
      <c r="D79" s="2016" t="s">
        <v>7350</v>
      </c>
      <c r="E79" s="2029" t="s">
        <v>7390</v>
      </c>
      <c r="F79" s="1915" t="s">
        <v>1299</v>
      </c>
      <c r="G79" s="1549"/>
      <c r="H79" s="1549"/>
      <c r="I79" s="2016" t="s">
        <v>6114</v>
      </c>
      <c r="J79" s="2328" t="s">
        <v>7410</v>
      </c>
      <c r="K79" s="1805" t="s">
        <v>7409</v>
      </c>
      <c r="L79" s="2328" t="s">
        <v>7356</v>
      </c>
      <c r="M79" s="1503" t="s">
        <v>108</v>
      </c>
      <c r="N79" s="6"/>
      <c r="O79" s="6"/>
      <c r="P79" s="1507"/>
      <c r="Q79" s="1507"/>
      <c r="R79" s="1507"/>
      <c r="S79" s="1507"/>
      <c r="T79" s="1508"/>
      <c r="U79" s="1507"/>
      <c r="V79" s="1507"/>
      <c r="W79" s="2572"/>
      <c r="X79" s="1518"/>
      <c r="Y79" s="2649">
        <v>550000</v>
      </c>
      <c r="Z79" s="2650">
        <f t="shared" si="12"/>
        <v>594000</v>
      </c>
      <c r="AA79" s="1510"/>
      <c r="AB79" s="1504"/>
      <c r="AC79" s="13"/>
      <c r="AD79" s="13"/>
      <c r="AE79" s="13"/>
      <c r="AF79" s="13"/>
      <c r="AG79" s="13"/>
      <c r="AH79" s="13"/>
      <c r="AI79" s="13"/>
    </row>
    <row r="80" spans="1:35" s="5" customFormat="1">
      <c r="A80" s="1503">
        <f t="shared" si="9"/>
        <v>14</v>
      </c>
      <c r="B80" s="6"/>
      <c r="C80" s="2029">
        <v>307876373620</v>
      </c>
      <c r="D80" s="2016" t="s">
        <v>7387</v>
      </c>
      <c r="E80" s="2029" t="s">
        <v>7390</v>
      </c>
      <c r="F80" s="1915" t="s">
        <v>1299</v>
      </c>
      <c r="G80" s="1549"/>
      <c r="H80" s="1549"/>
      <c r="I80" s="1504" t="s">
        <v>6512</v>
      </c>
      <c r="J80" s="2192"/>
      <c r="K80" s="1805" t="s">
        <v>7429</v>
      </c>
      <c r="L80" s="2328" t="s">
        <v>7430</v>
      </c>
      <c r="M80" s="2798" t="s">
        <v>136</v>
      </c>
      <c r="N80" s="6"/>
      <c r="O80" s="6"/>
      <c r="P80" s="1507"/>
      <c r="Q80" s="1507"/>
      <c r="R80" s="1507"/>
      <c r="S80" s="1507"/>
      <c r="T80" s="1508"/>
      <c r="U80" s="1507"/>
      <c r="V80" s="1507"/>
      <c r="W80" s="2572"/>
      <c r="X80" s="1518"/>
      <c r="Y80" s="2649">
        <f>550000+400000</f>
        <v>950000</v>
      </c>
      <c r="Z80" s="2650">
        <f t="shared" si="12"/>
        <v>1026000.0000000001</v>
      </c>
      <c r="AA80" s="1510"/>
      <c r="AB80" s="1504"/>
      <c r="AC80" s="13"/>
      <c r="AD80" s="13"/>
      <c r="AE80" s="13"/>
      <c r="AF80" s="13"/>
      <c r="AG80" s="13"/>
      <c r="AH80" s="13"/>
      <c r="AI80" s="13"/>
    </row>
    <row r="81" spans="1:35" s="5" customFormat="1">
      <c r="A81" s="1503">
        <f t="shared" si="9"/>
        <v>15</v>
      </c>
      <c r="B81" s="6"/>
      <c r="C81" s="2029">
        <v>307888985260</v>
      </c>
      <c r="D81" s="2016" t="s">
        <v>7456</v>
      </c>
      <c r="E81" s="2029" t="s">
        <v>7390</v>
      </c>
      <c r="F81" s="1915" t="s">
        <v>1299</v>
      </c>
      <c r="G81" s="1549"/>
      <c r="H81" s="1549"/>
      <c r="I81" s="2016" t="s">
        <v>6114</v>
      </c>
      <c r="J81" s="2328" t="s">
        <v>7475</v>
      </c>
      <c r="K81" s="1805" t="s">
        <v>7473</v>
      </c>
      <c r="L81" s="2328" t="s">
        <v>7474</v>
      </c>
      <c r="M81" s="1503" t="s">
        <v>108</v>
      </c>
      <c r="N81" s="6"/>
      <c r="O81" s="6"/>
      <c r="P81" s="1507"/>
      <c r="Q81" s="1507"/>
      <c r="R81" s="1507"/>
      <c r="S81" s="1507"/>
      <c r="T81" s="1508"/>
      <c r="U81" s="1507"/>
      <c r="V81" s="1507"/>
      <c r="W81" s="2572"/>
      <c r="X81" s="1518"/>
      <c r="Y81" s="2649">
        <v>550000</v>
      </c>
      <c r="Z81" s="2650">
        <f t="shared" si="12"/>
        <v>594000</v>
      </c>
      <c r="AA81" s="1510"/>
      <c r="AB81" s="1504"/>
      <c r="AC81" s="13"/>
      <c r="AD81" s="13"/>
      <c r="AE81" s="13"/>
      <c r="AF81" s="13"/>
      <c r="AG81" s="13"/>
      <c r="AH81" s="13"/>
      <c r="AI81" s="13"/>
    </row>
    <row r="82" spans="1:35" s="5" customFormat="1" ht="26.4">
      <c r="A82" s="1503">
        <f t="shared" si="9"/>
        <v>16</v>
      </c>
      <c r="B82" s="6"/>
      <c r="C82" s="1915">
        <v>107642870200</v>
      </c>
      <c r="D82" s="2016" t="s">
        <v>7472</v>
      </c>
      <c r="E82" s="2029" t="s">
        <v>7390</v>
      </c>
      <c r="F82" s="1915" t="s">
        <v>206</v>
      </c>
      <c r="G82" s="1549"/>
      <c r="H82" s="1549"/>
      <c r="I82" s="1624" t="s">
        <v>6139</v>
      </c>
      <c r="J82" s="2192"/>
      <c r="K82" s="2064" t="s">
        <v>7486</v>
      </c>
      <c r="L82" s="2328" t="s">
        <v>7487</v>
      </c>
      <c r="M82" s="2809" t="s">
        <v>123</v>
      </c>
      <c r="N82" s="6"/>
      <c r="O82" s="6"/>
      <c r="P82" s="1507"/>
      <c r="Q82" s="1507"/>
      <c r="R82" s="1507"/>
      <c r="S82" s="1507"/>
      <c r="T82" s="1508"/>
      <c r="U82" s="1507"/>
      <c r="V82" s="1507"/>
      <c r="W82" s="2572"/>
      <c r="X82" s="1518"/>
      <c r="Y82" s="2649">
        <v>550000</v>
      </c>
      <c r="Z82" s="2650">
        <f t="shared" ref="Z82:Z86" si="13">+Y82*1.08</f>
        <v>594000</v>
      </c>
      <c r="AA82" s="1510"/>
      <c r="AB82" s="1504"/>
      <c r="AC82" s="13"/>
      <c r="AD82" s="13"/>
      <c r="AE82" s="13"/>
      <c r="AF82" s="13"/>
      <c r="AG82" s="13"/>
      <c r="AH82" s="13"/>
      <c r="AI82" s="13"/>
    </row>
    <row r="83" spans="1:35" s="5" customFormat="1">
      <c r="A83" s="1503">
        <f t="shared" si="9"/>
        <v>17</v>
      </c>
      <c r="B83" s="6"/>
      <c r="C83" s="2029">
        <v>307893658460</v>
      </c>
      <c r="D83" s="2016" t="s">
        <v>7504</v>
      </c>
      <c r="E83" s="2029" t="s">
        <v>7390</v>
      </c>
      <c r="F83" s="1915" t="s">
        <v>1299</v>
      </c>
      <c r="G83" s="1549"/>
      <c r="H83" s="1549"/>
      <c r="I83" s="2016" t="s">
        <v>6114</v>
      </c>
      <c r="J83" s="2328" t="s">
        <v>7510</v>
      </c>
      <c r="K83" s="1805" t="s">
        <v>7502</v>
      </c>
      <c r="L83" s="2328" t="s">
        <v>7512</v>
      </c>
      <c r="M83" s="2809" t="s">
        <v>123</v>
      </c>
      <c r="N83" s="6"/>
      <c r="O83" s="6"/>
      <c r="P83" s="1507"/>
      <c r="Q83" s="1507"/>
      <c r="R83" s="1507"/>
      <c r="S83" s="1507"/>
      <c r="T83" s="1508"/>
      <c r="U83" s="1507"/>
      <c r="V83" s="1507"/>
      <c r="W83" s="2572"/>
      <c r="X83" s="1518"/>
      <c r="Y83" s="2649">
        <v>550000</v>
      </c>
      <c r="Z83" s="2650">
        <f t="shared" si="13"/>
        <v>594000</v>
      </c>
      <c r="AA83" s="1510"/>
      <c r="AB83" s="1504"/>
      <c r="AC83" s="13"/>
      <c r="AD83" s="13"/>
      <c r="AE83" s="13"/>
      <c r="AF83" s="13"/>
      <c r="AG83" s="13"/>
      <c r="AH83" s="13"/>
      <c r="AI83" s="13"/>
    </row>
    <row r="84" spans="1:35" s="5" customFormat="1">
      <c r="A84" s="1503">
        <f t="shared" si="9"/>
        <v>18</v>
      </c>
      <c r="B84" s="6"/>
      <c r="C84" s="2029">
        <v>307908868060</v>
      </c>
      <c r="D84" s="2016" t="s">
        <v>7394</v>
      </c>
      <c r="E84" s="2029" t="s">
        <v>7390</v>
      </c>
      <c r="F84" s="1915" t="s">
        <v>1299</v>
      </c>
      <c r="G84" s="1549"/>
      <c r="H84" s="1549"/>
      <c r="I84" s="2016" t="s">
        <v>6174</v>
      </c>
      <c r="J84" s="2192"/>
      <c r="K84" s="1805" t="s">
        <v>7592</v>
      </c>
      <c r="L84" s="2328" t="s">
        <v>1247</v>
      </c>
      <c r="M84" s="1503" t="s">
        <v>108</v>
      </c>
      <c r="N84" s="6"/>
      <c r="O84" s="6"/>
      <c r="P84" s="1507"/>
      <c r="Q84" s="1507"/>
      <c r="R84" s="1507"/>
      <c r="S84" s="1507"/>
      <c r="T84" s="1508"/>
      <c r="U84" s="1507"/>
      <c r="V84" s="1507"/>
      <c r="W84" s="2572"/>
      <c r="X84" s="1518"/>
      <c r="Y84" s="2649">
        <v>550000</v>
      </c>
      <c r="Z84" s="2650">
        <f t="shared" si="13"/>
        <v>594000</v>
      </c>
      <c r="AA84" s="1510"/>
      <c r="AB84" s="1504"/>
      <c r="AC84" s="13"/>
      <c r="AD84" s="13"/>
      <c r="AE84" s="13"/>
      <c r="AF84" s="13"/>
      <c r="AG84" s="13"/>
      <c r="AH84" s="13"/>
      <c r="AI84" s="13"/>
    </row>
    <row r="85" spans="1:35" s="5" customFormat="1">
      <c r="A85" s="3348" t="s">
        <v>7601</v>
      </c>
      <c r="B85" s="3349"/>
      <c r="C85" s="3349"/>
      <c r="D85" s="3349"/>
      <c r="E85" s="3349"/>
      <c r="F85" s="3349"/>
      <c r="G85" s="3349"/>
      <c r="H85" s="3349"/>
      <c r="I85" s="3349"/>
      <c r="J85" s="3349"/>
      <c r="K85" s="3349"/>
      <c r="L85" s="3349"/>
      <c r="M85" s="3350"/>
      <c r="N85" s="2569"/>
      <c r="O85" s="2570"/>
      <c r="P85" s="962"/>
      <c r="Q85" s="962"/>
      <c r="R85" s="962"/>
      <c r="S85" s="962"/>
      <c r="T85" s="964"/>
      <c r="U85" s="962"/>
      <c r="V85" s="962"/>
      <c r="W85" s="966"/>
      <c r="X85" s="967"/>
      <c r="Y85" s="965">
        <f>SUM(Y67:Y84)</f>
        <v>10300000</v>
      </c>
      <c r="Z85" s="965">
        <f>SUM(Z67:Z84)</f>
        <v>11124000</v>
      </c>
      <c r="AA85" s="1510"/>
      <c r="AB85" s="1504"/>
      <c r="AC85" s="13"/>
      <c r="AD85" s="13"/>
      <c r="AE85" s="13"/>
      <c r="AF85" s="13"/>
      <c r="AG85" s="13"/>
      <c r="AH85" s="13"/>
      <c r="AI85" s="13"/>
    </row>
    <row r="86" spans="1:35" s="5" customFormat="1">
      <c r="A86" s="1503">
        <v>1</v>
      </c>
      <c r="B86" s="6"/>
      <c r="C86" s="2029">
        <v>307919316630</v>
      </c>
      <c r="D86" s="2016" t="s">
        <v>7569</v>
      </c>
      <c r="E86" s="2029" t="s">
        <v>7869</v>
      </c>
      <c r="F86" s="1915" t="s">
        <v>1299</v>
      </c>
      <c r="G86" s="1549"/>
      <c r="H86" s="1549"/>
      <c r="I86" s="2016" t="s">
        <v>6114</v>
      </c>
      <c r="J86" s="2328" t="s">
        <v>7633</v>
      </c>
      <c r="K86" s="1805" t="s">
        <v>7632</v>
      </c>
      <c r="L86" s="2328" t="s">
        <v>7372</v>
      </c>
      <c r="M86" s="1503" t="s">
        <v>108</v>
      </c>
      <c r="N86" s="6"/>
      <c r="O86" s="6"/>
      <c r="P86" s="1507"/>
      <c r="Q86" s="1507"/>
      <c r="R86" s="1507"/>
      <c r="S86" s="1507"/>
      <c r="T86" s="1508"/>
      <c r="U86" s="1507"/>
      <c r="V86" s="1507"/>
      <c r="W86" s="2572"/>
      <c r="X86" s="1518"/>
      <c r="Y86" s="2649">
        <v>550000</v>
      </c>
      <c r="Z86" s="2650">
        <f t="shared" si="13"/>
        <v>594000</v>
      </c>
      <c r="AA86" s="1510"/>
      <c r="AB86" s="1504"/>
      <c r="AC86" s="13"/>
      <c r="AD86" s="13"/>
      <c r="AE86" s="13"/>
      <c r="AF86" s="13"/>
      <c r="AG86" s="13"/>
      <c r="AH86" s="13"/>
      <c r="AI86" s="13"/>
    </row>
    <row r="87" spans="1:35" s="5" customFormat="1">
      <c r="A87" s="1503">
        <f t="shared" si="9"/>
        <v>2</v>
      </c>
      <c r="B87" s="6"/>
      <c r="C87" s="2029">
        <v>307921928000</v>
      </c>
      <c r="D87" s="2016" t="s">
        <v>7449</v>
      </c>
      <c r="E87" s="2029" t="s">
        <v>7869</v>
      </c>
      <c r="F87" s="1915" t="s">
        <v>1299</v>
      </c>
      <c r="G87" s="1549"/>
      <c r="H87" s="1549"/>
      <c r="I87" s="1504" t="s">
        <v>6512</v>
      </c>
      <c r="J87" s="2192"/>
      <c r="K87" s="1805" t="s">
        <v>7647</v>
      </c>
      <c r="L87" s="2328" t="s">
        <v>7233</v>
      </c>
      <c r="M87" s="1503" t="s">
        <v>108</v>
      </c>
      <c r="N87" s="6"/>
      <c r="O87" s="6"/>
      <c r="P87" s="1507"/>
      <c r="Q87" s="1507"/>
      <c r="R87" s="1507"/>
      <c r="S87" s="1507"/>
      <c r="T87" s="1508"/>
      <c r="U87" s="1507"/>
      <c r="V87" s="1507"/>
      <c r="W87" s="2572"/>
      <c r="X87" s="1518"/>
      <c r="Y87" s="2649">
        <v>550000</v>
      </c>
      <c r="Z87" s="2650">
        <f t="shared" ref="Z87:Z97" si="14">+Y87*1.08</f>
        <v>594000</v>
      </c>
      <c r="AA87" s="1510"/>
      <c r="AB87" s="1504"/>
      <c r="AC87" s="13"/>
      <c r="AD87" s="13"/>
      <c r="AE87" s="13"/>
      <c r="AF87" s="13"/>
      <c r="AG87" s="13"/>
      <c r="AH87" s="13"/>
      <c r="AI87" s="13"/>
    </row>
    <row r="88" spans="1:35" s="5" customFormat="1" ht="26.4">
      <c r="A88" s="1503">
        <f t="shared" si="9"/>
        <v>3</v>
      </c>
      <c r="B88" s="6"/>
      <c r="C88" s="1915">
        <v>107671814020</v>
      </c>
      <c r="D88" s="2016" t="s">
        <v>7636</v>
      </c>
      <c r="E88" s="2029" t="s">
        <v>7869</v>
      </c>
      <c r="F88" s="1915" t="s">
        <v>206</v>
      </c>
      <c r="G88" s="1549"/>
      <c r="H88" s="1549"/>
      <c r="I88" s="1504" t="s">
        <v>6600</v>
      </c>
      <c r="J88" s="2192"/>
      <c r="K88" s="2064" t="s">
        <v>7677</v>
      </c>
      <c r="L88" s="2328" t="s">
        <v>7678</v>
      </c>
      <c r="M88" s="2809" t="s">
        <v>123</v>
      </c>
      <c r="N88" s="6"/>
      <c r="O88" s="6"/>
      <c r="P88" s="1507"/>
      <c r="Q88" s="1507"/>
      <c r="R88" s="1507"/>
      <c r="S88" s="1507"/>
      <c r="T88" s="1508"/>
      <c r="U88" s="1507"/>
      <c r="V88" s="1507"/>
      <c r="W88" s="2572"/>
      <c r="X88" s="1518"/>
      <c r="Y88" s="2649">
        <v>550000</v>
      </c>
      <c r="Z88" s="2650">
        <f t="shared" si="14"/>
        <v>594000</v>
      </c>
      <c r="AA88" s="1510"/>
      <c r="AB88" s="1504"/>
      <c r="AC88" s="13"/>
      <c r="AD88" s="13"/>
      <c r="AE88" s="13"/>
      <c r="AF88" s="13"/>
      <c r="AG88" s="13"/>
      <c r="AH88" s="13"/>
      <c r="AI88" s="13"/>
    </row>
    <row r="89" spans="1:35" s="5" customFormat="1">
      <c r="A89" s="1503">
        <f t="shared" si="9"/>
        <v>4</v>
      </c>
      <c r="B89" s="6"/>
      <c r="C89" s="2029">
        <v>307925743920</v>
      </c>
      <c r="D89" s="2016" t="s">
        <v>7464</v>
      </c>
      <c r="E89" s="2029" t="s">
        <v>7869</v>
      </c>
      <c r="F89" s="1915" t="s">
        <v>1299</v>
      </c>
      <c r="G89" s="1549"/>
      <c r="H89" s="1549"/>
      <c r="I89" s="2016" t="s">
        <v>6114</v>
      </c>
      <c r="J89" s="2328" t="s">
        <v>7674</v>
      </c>
      <c r="K89" s="1805" t="s">
        <v>7675</v>
      </c>
      <c r="L89" s="2328" t="s">
        <v>7676</v>
      </c>
      <c r="M89" s="1503" t="s">
        <v>108</v>
      </c>
      <c r="N89" s="6"/>
      <c r="O89" s="6"/>
      <c r="P89" s="1507"/>
      <c r="Q89" s="1507"/>
      <c r="R89" s="1507"/>
      <c r="S89" s="1507"/>
      <c r="T89" s="1508"/>
      <c r="U89" s="1507"/>
      <c r="V89" s="1507"/>
      <c r="W89" s="2572"/>
      <c r="X89" s="1518"/>
      <c r="Y89" s="2649">
        <v>550000</v>
      </c>
      <c r="Z89" s="2650">
        <f t="shared" si="14"/>
        <v>594000</v>
      </c>
      <c r="AA89" s="1510"/>
      <c r="AB89" s="1504"/>
      <c r="AC89" s="13"/>
      <c r="AD89" s="13"/>
      <c r="AE89" s="13"/>
      <c r="AF89" s="13"/>
      <c r="AG89" s="13"/>
      <c r="AH89" s="13"/>
      <c r="AI89" s="13"/>
    </row>
    <row r="90" spans="1:35" s="5" customFormat="1" ht="26.4">
      <c r="A90" s="1503">
        <f t="shared" si="9"/>
        <v>5</v>
      </c>
      <c r="B90" s="6"/>
      <c r="C90" s="1915">
        <v>107685603320</v>
      </c>
      <c r="D90" s="2016" t="s">
        <v>7700</v>
      </c>
      <c r="E90" s="2029" t="s">
        <v>7869</v>
      </c>
      <c r="F90" s="1915" t="s">
        <v>206</v>
      </c>
      <c r="G90" s="1549"/>
      <c r="H90" s="1549"/>
      <c r="I90" s="1624" t="s">
        <v>6139</v>
      </c>
      <c r="J90" s="2192"/>
      <c r="K90" s="2064" t="s">
        <v>7736</v>
      </c>
      <c r="L90" s="2328" t="s">
        <v>7294</v>
      </c>
      <c r="M90" s="2809" t="s">
        <v>123</v>
      </c>
      <c r="N90" s="6"/>
      <c r="O90" s="6"/>
      <c r="P90" s="1507"/>
      <c r="Q90" s="1507"/>
      <c r="R90" s="1507"/>
      <c r="S90" s="1507"/>
      <c r="T90" s="1508"/>
      <c r="U90" s="1507"/>
      <c r="V90" s="1507"/>
      <c r="W90" s="2572"/>
      <c r="X90" s="1518"/>
      <c r="Y90" s="2649">
        <v>550000</v>
      </c>
      <c r="Z90" s="2650">
        <f t="shared" si="14"/>
        <v>594000</v>
      </c>
      <c r="AA90" s="1510"/>
      <c r="AB90" s="1504"/>
      <c r="AC90" s="13"/>
      <c r="AD90" s="13"/>
      <c r="AE90" s="13"/>
      <c r="AF90" s="13"/>
      <c r="AG90" s="13"/>
      <c r="AH90" s="13"/>
      <c r="AI90" s="13"/>
    </row>
    <row r="91" spans="1:35" s="5" customFormat="1">
      <c r="A91" s="1503">
        <f t="shared" si="9"/>
        <v>6</v>
      </c>
      <c r="B91" s="6"/>
      <c r="C91" s="2029">
        <v>307939062560</v>
      </c>
      <c r="D91" s="2016" t="s">
        <v>7700</v>
      </c>
      <c r="E91" s="2029" t="s">
        <v>7869</v>
      </c>
      <c r="F91" s="1915" t="s">
        <v>1299</v>
      </c>
      <c r="G91" s="1549"/>
      <c r="H91" s="1549"/>
      <c r="I91" s="2016" t="s">
        <v>6114</v>
      </c>
      <c r="J91" s="2328" t="s">
        <v>7728</v>
      </c>
      <c r="K91" s="1805" t="s">
        <v>7729</v>
      </c>
      <c r="L91" s="2328" t="s">
        <v>7730</v>
      </c>
      <c r="M91" s="1503" t="s">
        <v>108</v>
      </c>
      <c r="N91" s="6"/>
      <c r="O91" s="6"/>
      <c r="P91" s="1507"/>
      <c r="Q91" s="1507"/>
      <c r="R91" s="1507"/>
      <c r="S91" s="1507"/>
      <c r="T91" s="1508"/>
      <c r="U91" s="1507"/>
      <c r="V91" s="1507"/>
      <c r="W91" s="2572"/>
      <c r="X91" s="1518"/>
      <c r="Y91" s="2649">
        <v>550000</v>
      </c>
      <c r="Z91" s="2650">
        <f t="shared" si="14"/>
        <v>594000</v>
      </c>
      <c r="AA91" s="1510"/>
      <c r="AB91" s="1504"/>
      <c r="AC91" s="13"/>
      <c r="AD91" s="13"/>
      <c r="AE91" s="13"/>
      <c r="AF91" s="13"/>
      <c r="AG91" s="13"/>
      <c r="AH91" s="13"/>
      <c r="AI91" s="13"/>
    </row>
    <row r="92" spans="1:35" s="5" customFormat="1">
      <c r="A92" s="1503">
        <f t="shared" si="9"/>
        <v>7</v>
      </c>
      <c r="B92" s="6"/>
      <c r="C92" s="2029">
        <v>307948712910</v>
      </c>
      <c r="D92" s="2016" t="s">
        <v>7742</v>
      </c>
      <c r="E92" s="2029" t="s">
        <v>7869</v>
      </c>
      <c r="F92" s="1915" t="s">
        <v>1299</v>
      </c>
      <c r="G92" s="1549"/>
      <c r="H92" s="1549"/>
      <c r="I92" s="2016" t="s">
        <v>6114</v>
      </c>
      <c r="J92" s="2328" t="s">
        <v>7771</v>
      </c>
      <c r="K92" s="1805" t="s">
        <v>7772</v>
      </c>
      <c r="L92" s="2328" t="s">
        <v>1255</v>
      </c>
      <c r="M92" s="1503" t="s">
        <v>108</v>
      </c>
      <c r="N92" s="6"/>
      <c r="O92" s="6"/>
      <c r="P92" s="1507"/>
      <c r="Q92" s="1507"/>
      <c r="R92" s="1507"/>
      <c r="S92" s="1507"/>
      <c r="T92" s="1508"/>
      <c r="U92" s="1507"/>
      <c r="V92" s="1507"/>
      <c r="W92" s="2572"/>
      <c r="X92" s="1518"/>
      <c r="Y92" s="2649">
        <v>550000</v>
      </c>
      <c r="Z92" s="2650">
        <f t="shared" si="14"/>
        <v>594000</v>
      </c>
      <c r="AA92" s="1510"/>
      <c r="AB92" s="1504"/>
      <c r="AC92" s="13"/>
      <c r="AD92" s="13"/>
      <c r="AE92" s="13"/>
      <c r="AF92" s="13"/>
      <c r="AG92" s="13"/>
      <c r="AH92" s="13"/>
      <c r="AI92" s="13"/>
    </row>
    <row r="93" spans="1:35" s="5" customFormat="1">
      <c r="A93" s="1503">
        <f t="shared" si="9"/>
        <v>8</v>
      </c>
      <c r="B93" s="6"/>
      <c r="C93" s="2029">
        <v>307949776760</v>
      </c>
      <c r="D93" s="2016" t="s">
        <v>7742</v>
      </c>
      <c r="E93" s="2029" t="s">
        <v>7869</v>
      </c>
      <c r="F93" s="1915" t="s">
        <v>1299</v>
      </c>
      <c r="G93" s="1549"/>
      <c r="H93" s="1549"/>
      <c r="I93" s="1504" t="s">
        <v>6512</v>
      </c>
      <c r="J93" s="2192"/>
      <c r="K93" s="1805" t="s">
        <v>7777</v>
      </c>
      <c r="L93" s="2328" t="s">
        <v>7049</v>
      </c>
      <c r="M93" s="2809" t="s">
        <v>123</v>
      </c>
      <c r="N93" s="6"/>
      <c r="O93" s="6"/>
      <c r="P93" s="1507"/>
      <c r="Q93" s="1507"/>
      <c r="R93" s="1507"/>
      <c r="S93" s="1507"/>
      <c r="T93" s="1508"/>
      <c r="U93" s="1507"/>
      <c r="V93" s="1507"/>
      <c r="W93" s="2572"/>
      <c r="X93" s="1518"/>
      <c r="Y93" s="2649">
        <v>550000</v>
      </c>
      <c r="Z93" s="2650">
        <f t="shared" si="14"/>
        <v>594000</v>
      </c>
      <c r="AA93" s="1510"/>
      <c r="AB93" s="1504"/>
      <c r="AC93" s="13"/>
      <c r="AD93" s="13"/>
      <c r="AE93" s="13"/>
      <c r="AF93" s="13"/>
      <c r="AG93" s="13"/>
      <c r="AH93" s="13"/>
      <c r="AI93" s="13"/>
    </row>
    <row r="94" spans="1:35" s="5" customFormat="1">
      <c r="A94" s="1503">
        <f t="shared" si="9"/>
        <v>9</v>
      </c>
      <c r="B94" s="6"/>
      <c r="C94" s="2029">
        <v>307956296710</v>
      </c>
      <c r="D94" s="2016" t="s">
        <v>7631</v>
      </c>
      <c r="E94" s="2029" t="s">
        <v>7869</v>
      </c>
      <c r="F94" s="1915" t="s">
        <v>1299</v>
      </c>
      <c r="G94" s="1549"/>
      <c r="H94" s="1549"/>
      <c r="I94" s="2016" t="s">
        <v>6114</v>
      </c>
      <c r="J94" s="2328" t="s">
        <v>7797</v>
      </c>
      <c r="K94" s="1805" t="s">
        <v>7793</v>
      </c>
      <c r="L94" s="2328" t="s">
        <v>7796</v>
      </c>
      <c r="M94" s="1503" t="s">
        <v>108</v>
      </c>
      <c r="N94" s="6"/>
      <c r="O94" s="6"/>
      <c r="P94" s="1507"/>
      <c r="Q94" s="1507"/>
      <c r="R94" s="1507"/>
      <c r="S94" s="1507"/>
      <c r="T94" s="1508"/>
      <c r="U94" s="1507"/>
      <c r="V94" s="1507"/>
      <c r="W94" s="2572"/>
      <c r="X94" s="1518"/>
      <c r="Y94" s="2649">
        <v>550000</v>
      </c>
      <c r="Z94" s="2650">
        <f t="shared" si="14"/>
        <v>594000</v>
      </c>
      <c r="AA94" s="1510"/>
      <c r="AB94" s="1504"/>
      <c r="AC94" s="13"/>
      <c r="AD94" s="13"/>
      <c r="AE94" s="13"/>
      <c r="AF94" s="13"/>
      <c r="AG94" s="13"/>
      <c r="AH94" s="13"/>
      <c r="AI94" s="13"/>
    </row>
    <row r="95" spans="1:35" s="5" customFormat="1" ht="26.4">
      <c r="A95" s="1503">
        <f t="shared" si="9"/>
        <v>10</v>
      </c>
      <c r="B95" s="6"/>
      <c r="C95" s="1915">
        <v>107703875750</v>
      </c>
      <c r="D95" s="2016" t="s">
        <v>7792</v>
      </c>
      <c r="E95" s="2029" t="s">
        <v>7869</v>
      </c>
      <c r="F95" s="1915" t="s">
        <v>206</v>
      </c>
      <c r="G95" s="1549"/>
      <c r="H95" s="1549"/>
      <c r="I95" s="1504" t="s">
        <v>6600</v>
      </c>
      <c r="J95" s="2192"/>
      <c r="K95" s="2617" t="s">
        <v>7810</v>
      </c>
      <c r="L95" s="2192">
        <v>122</v>
      </c>
      <c r="M95" s="2809" t="s">
        <v>123</v>
      </c>
      <c r="N95" s="6"/>
      <c r="O95" s="6"/>
      <c r="P95" s="1507"/>
      <c r="Q95" s="1507"/>
      <c r="R95" s="1507"/>
      <c r="S95" s="1507"/>
      <c r="T95" s="1508"/>
      <c r="U95" s="1507"/>
      <c r="V95" s="1507"/>
      <c r="W95" s="2572"/>
      <c r="X95" s="1518"/>
      <c r="Y95" s="2649">
        <v>550000</v>
      </c>
      <c r="Z95" s="2650">
        <f t="shared" si="14"/>
        <v>594000</v>
      </c>
      <c r="AA95" s="1510"/>
      <c r="AB95" s="1504"/>
      <c r="AC95" s="13"/>
      <c r="AD95" s="13"/>
      <c r="AE95" s="13"/>
      <c r="AF95" s="13"/>
      <c r="AG95" s="13"/>
      <c r="AH95" s="13"/>
      <c r="AI95" s="13"/>
    </row>
    <row r="96" spans="1:35" s="5" customFormat="1" ht="26.4">
      <c r="A96" s="1503">
        <f t="shared" si="9"/>
        <v>11</v>
      </c>
      <c r="B96" s="6"/>
      <c r="C96" s="1915">
        <v>107708921500</v>
      </c>
      <c r="D96" s="2016" t="s">
        <v>7792</v>
      </c>
      <c r="E96" s="2029" t="s">
        <v>7869</v>
      </c>
      <c r="F96" s="1915" t="s">
        <v>206</v>
      </c>
      <c r="G96" s="1549"/>
      <c r="H96" s="1549"/>
      <c r="I96" s="1624" t="s">
        <v>6139</v>
      </c>
      <c r="J96" s="2192"/>
      <c r="K96" s="2617" t="s">
        <v>7810</v>
      </c>
      <c r="L96" s="2192">
        <v>390</v>
      </c>
      <c r="M96" s="2809" t="s">
        <v>123</v>
      </c>
      <c r="N96" s="6"/>
      <c r="O96" s="6"/>
      <c r="P96" s="1507"/>
      <c r="Q96" s="1507"/>
      <c r="R96" s="1507"/>
      <c r="S96" s="1507"/>
      <c r="T96" s="1508"/>
      <c r="U96" s="1507"/>
      <c r="V96" s="1507"/>
      <c r="W96" s="2572"/>
      <c r="X96" s="1518"/>
      <c r="Y96" s="2649">
        <v>550000</v>
      </c>
      <c r="Z96" s="2650">
        <f t="shared" si="14"/>
        <v>594000</v>
      </c>
      <c r="AA96" s="1510"/>
      <c r="AB96" s="1504"/>
      <c r="AC96" s="13"/>
      <c r="AD96" s="13"/>
      <c r="AE96" s="13"/>
      <c r="AF96" s="13"/>
      <c r="AG96" s="13"/>
      <c r="AH96" s="13"/>
      <c r="AI96" s="13"/>
    </row>
    <row r="97" spans="1:35" s="5" customFormat="1">
      <c r="A97" s="1503">
        <f t="shared" si="9"/>
        <v>12</v>
      </c>
      <c r="B97" s="6"/>
      <c r="C97" s="2029">
        <v>307965822200</v>
      </c>
      <c r="D97" s="2016" t="s">
        <v>7813</v>
      </c>
      <c r="E97" s="2029" t="s">
        <v>7869</v>
      </c>
      <c r="F97" s="1915" t="s">
        <v>1299</v>
      </c>
      <c r="G97" s="1549"/>
      <c r="H97" s="1549"/>
      <c r="I97" s="2016" t="s">
        <v>6114</v>
      </c>
      <c r="J97" s="2328" t="s">
        <v>7829</v>
      </c>
      <c r="K97" s="1805" t="s">
        <v>7830</v>
      </c>
      <c r="L97" s="2328" t="s">
        <v>6545</v>
      </c>
      <c r="M97" s="1503" t="s">
        <v>108</v>
      </c>
      <c r="N97" s="6"/>
      <c r="O97" s="6"/>
      <c r="P97" s="1507"/>
      <c r="Q97" s="1507"/>
      <c r="R97" s="1507"/>
      <c r="S97" s="1507"/>
      <c r="T97" s="1508"/>
      <c r="U97" s="1507"/>
      <c r="V97" s="1507"/>
      <c r="W97" s="2572"/>
      <c r="X97" s="1518"/>
      <c r="Y97" s="2649">
        <v>550000</v>
      </c>
      <c r="Z97" s="2650">
        <f t="shared" si="14"/>
        <v>594000</v>
      </c>
      <c r="AA97" s="1510"/>
      <c r="AB97" s="1504"/>
      <c r="AC97" s="13"/>
      <c r="AD97" s="13"/>
      <c r="AE97" s="13"/>
      <c r="AF97" s="13"/>
      <c r="AG97" s="13"/>
      <c r="AH97" s="13"/>
      <c r="AI97" s="13"/>
    </row>
    <row r="98" spans="1:35" s="5" customFormat="1">
      <c r="A98" s="1503">
        <f t="shared" si="9"/>
        <v>13</v>
      </c>
      <c r="B98" s="6"/>
      <c r="C98" s="2029">
        <v>307978460920</v>
      </c>
      <c r="D98" s="2016" t="s">
        <v>7839</v>
      </c>
      <c r="E98" s="2029" t="s">
        <v>7869</v>
      </c>
      <c r="F98" s="1915" t="s">
        <v>1299</v>
      </c>
      <c r="G98" s="1549"/>
      <c r="H98" s="1549"/>
      <c r="I98" s="2016" t="s">
        <v>6114</v>
      </c>
      <c r="J98" s="2192">
        <v>91</v>
      </c>
      <c r="K98" s="1805" t="s">
        <v>7897</v>
      </c>
      <c r="L98" s="2328" t="s">
        <v>7915</v>
      </c>
      <c r="M98" s="1503" t="s">
        <v>108</v>
      </c>
      <c r="N98" s="6"/>
      <c r="O98" s="6"/>
      <c r="P98" s="1507"/>
      <c r="Q98" s="1507"/>
      <c r="R98" s="1507"/>
      <c r="S98" s="1507"/>
      <c r="T98" s="1508"/>
      <c r="U98" s="1507"/>
      <c r="V98" s="1507"/>
      <c r="W98" s="2572"/>
      <c r="X98" s="1518"/>
      <c r="Y98" s="2649">
        <v>550000</v>
      </c>
      <c r="Z98" s="2650">
        <f t="shared" ref="Z98:Z102" si="15">+Y98*1.08</f>
        <v>594000</v>
      </c>
      <c r="AA98" s="1510"/>
      <c r="AB98" s="1504"/>
      <c r="AC98" s="13"/>
      <c r="AD98" s="13"/>
      <c r="AE98" s="13"/>
      <c r="AF98" s="13"/>
      <c r="AG98" s="13"/>
      <c r="AH98" s="13"/>
      <c r="AI98" s="13"/>
    </row>
    <row r="99" spans="1:35" s="5" customFormat="1">
      <c r="A99" s="1503">
        <f t="shared" si="9"/>
        <v>14</v>
      </c>
      <c r="B99" s="6"/>
      <c r="C99" s="2029">
        <v>307990216610</v>
      </c>
      <c r="D99" s="2016" t="s">
        <v>7945</v>
      </c>
      <c r="E99" s="2029" t="s">
        <v>7869</v>
      </c>
      <c r="F99" s="1915" t="s">
        <v>1299</v>
      </c>
      <c r="G99" s="1549"/>
      <c r="H99" s="1549"/>
      <c r="I99" s="2016" t="s">
        <v>6114</v>
      </c>
      <c r="J99" s="3138" t="s">
        <v>7950</v>
      </c>
      <c r="K99" s="1805" t="s">
        <v>7936</v>
      </c>
      <c r="L99" s="2192">
        <v>160</v>
      </c>
      <c r="M99" s="1503" t="s">
        <v>108</v>
      </c>
      <c r="N99" s="6"/>
      <c r="O99" s="6"/>
      <c r="P99" s="1507"/>
      <c r="Q99" s="1507"/>
      <c r="R99" s="1507"/>
      <c r="S99" s="1507"/>
      <c r="T99" s="1508"/>
      <c r="U99" s="1507"/>
      <c r="V99" s="1507"/>
      <c r="W99" s="2572"/>
      <c r="X99" s="1518"/>
      <c r="Y99" s="2649">
        <v>550000</v>
      </c>
      <c r="Z99" s="2650">
        <f t="shared" si="15"/>
        <v>594000</v>
      </c>
      <c r="AA99" s="1510"/>
      <c r="AB99" s="1504"/>
      <c r="AC99" s="13"/>
      <c r="AD99" s="13"/>
      <c r="AE99" s="13"/>
      <c r="AF99" s="13"/>
      <c r="AG99" s="13"/>
      <c r="AH99" s="13"/>
      <c r="AI99" s="13"/>
    </row>
    <row r="100" spans="1:35" s="5" customFormat="1">
      <c r="A100" s="1503">
        <f t="shared" si="9"/>
        <v>15</v>
      </c>
      <c r="B100" s="6"/>
      <c r="C100" s="2029">
        <v>307992982050</v>
      </c>
      <c r="D100" s="2016" t="s">
        <v>7945</v>
      </c>
      <c r="E100" s="2029" t="s">
        <v>7869</v>
      </c>
      <c r="F100" s="1915" t="s">
        <v>1299</v>
      </c>
      <c r="G100" s="1549"/>
      <c r="H100" s="1549"/>
      <c r="I100" s="2016" t="s">
        <v>6174</v>
      </c>
      <c r="J100" s="2192"/>
      <c r="K100" s="1805" t="s">
        <v>7942</v>
      </c>
      <c r="L100" s="2192">
        <v>24</v>
      </c>
      <c r="M100" s="1503" t="s">
        <v>108</v>
      </c>
      <c r="N100" s="6"/>
      <c r="O100" s="6"/>
      <c r="P100" s="1507"/>
      <c r="Q100" s="1507"/>
      <c r="R100" s="1507"/>
      <c r="S100" s="1507"/>
      <c r="T100" s="1508"/>
      <c r="U100" s="1507"/>
      <c r="V100" s="1507"/>
      <c r="W100" s="2572"/>
      <c r="X100" s="1518"/>
      <c r="Y100" s="2649">
        <v>550000</v>
      </c>
      <c r="Z100" s="2650">
        <f t="shared" si="15"/>
        <v>594000</v>
      </c>
      <c r="AA100" s="1510"/>
      <c r="AB100" s="1504"/>
      <c r="AC100" s="13"/>
      <c r="AD100" s="13"/>
      <c r="AE100" s="13"/>
      <c r="AF100" s="13"/>
      <c r="AG100" s="13"/>
      <c r="AH100" s="13"/>
      <c r="AI100" s="13"/>
    </row>
    <row r="101" spans="1:35" s="5" customFormat="1" ht="26.4">
      <c r="A101" s="1503">
        <f t="shared" si="9"/>
        <v>16</v>
      </c>
      <c r="B101" s="6"/>
      <c r="C101" s="1915">
        <v>107742608040</v>
      </c>
      <c r="D101" s="2016" t="s">
        <v>7955</v>
      </c>
      <c r="E101" s="2029" t="s">
        <v>7869</v>
      </c>
      <c r="F101" s="1915" t="s">
        <v>206</v>
      </c>
      <c r="G101" s="1549"/>
      <c r="H101" s="1549"/>
      <c r="I101" s="1504" t="s">
        <v>6600</v>
      </c>
      <c r="J101" s="2192"/>
      <c r="K101" s="2064" t="s">
        <v>8013</v>
      </c>
      <c r="L101" s="2192">
        <v>1066</v>
      </c>
      <c r="M101" s="2809" t="s">
        <v>123</v>
      </c>
      <c r="N101" s="6"/>
      <c r="O101" s="6"/>
      <c r="P101" s="1507"/>
      <c r="Q101" s="1507"/>
      <c r="R101" s="1507"/>
      <c r="S101" s="1507"/>
      <c r="T101" s="1508"/>
      <c r="U101" s="1507"/>
      <c r="V101" s="1507"/>
      <c r="W101" s="2572"/>
      <c r="X101" s="1518"/>
      <c r="Y101" s="2649">
        <v>550000</v>
      </c>
      <c r="Z101" s="2650">
        <f t="shared" si="15"/>
        <v>594000</v>
      </c>
      <c r="AA101" s="1510"/>
      <c r="AB101" s="1504"/>
      <c r="AC101" s="13"/>
      <c r="AD101" s="13"/>
      <c r="AE101" s="13"/>
      <c r="AF101" s="13"/>
      <c r="AG101" s="13"/>
      <c r="AH101" s="13"/>
      <c r="AI101" s="13"/>
    </row>
    <row r="102" spans="1:35" s="5" customFormat="1">
      <c r="A102" s="1503">
        <f t="shared" si="9"/>
        <v>17</v>
      </c>
      <c r="B102" s="6"/>
      <c r="C102" s="2029">
        <v>308003789830</v>
      </c>
      <c r="D102" s="2016" t="s">
        <v>7955</v>
      </c>
      <c r="E102" s="2029" t="s">
        <v>7869</v>
      </c>
      <c r="F102" s="1915" t="s">
        <v>1299</v>
      </c>
      <c r="G102" s="1549"/>
      <c r="H102" s="1549"/>
      <c r="I102" s="2016" t="s">
        <v>6114</v>
      </c>
      <c r="J102" s="2328" t="s">
        <v>8011</v>
      </c>
      <c r="K102" s="1805" t="s">
        <v>8009</v>
      </c>
      <c r="L102" s="2328" t="s">
        <v>8010</v>
      </c>
      <c r="M102" s="1503" t="s">
        <v>108</v>
      </c>
      <c r="N102" s="6"/>
      <c r="O102" s="6"/>
      <c r="P102" s="1507"/>
      <c r="Q102" s="1507"/>
      <c r="R102" s="1507"/>
      <c r="S102" s="1507"/>
      <c r="T102" s="1508"/>
      <c r="U102" s="1507"/>
      <c r="V102" s="1507"/>
      <c r="W102" s="2572"/>
      <c r="X102" s="1518"/>
      <c r="Y102" s="2649">
        <v>550000</v>
      </c>
      <c r="Z102" s="2650">
        <f t="shared" si="15"/>
        <v>594000</v>
      </c>
      <c r="AA102" s="1510"/>
      <c r="AB102" s="1504"/>
      <c r="AC102" s="13"/>
      <c r="AD102" s="13"/>
      <c r="AE102" s="13"/>
      <c r="AF102" s="13"/>
      <c r="AG102" s="13"/>
      <c r="AH102" s="13"/>
      <c r="AI102" s="13"/>
    </row>
    <row r="103" spans="1:35" s="5" customFormat="1">
      <c r="A103" s="3348" t="s">
        <v>8012</v>
      </c>
      <c r="B103" s="3349"/>
      <c r="C103" s="3349"/>
      <c r="D103" s="3349"/>
      <c r="E103" s="3349"/>
      <c r="F103" s="3349"/>
      <c r="G103" s="3349"/>
      <c r="H103" s="3349"/>
      <c r="I103" s="3349"/>
      <c r="J103" s="3349"/>
      <c r="K103" s="3349"/>
      <c r="L103" s="3349"/>
      <c r="M103" s="3350"/>
      <c r="N103" s="2569"/>
      <c r="O103" s="2570"/>
      <c r="P103" s="962"/>
      <c r="Q103" s="962"/>
      <c r="R103" s="962"/>
      <c r="S103" s="962"/>
      <c r="T103" s="964"/>
      <c r="U103" s="962"/>
      <c r="V103" s="962"/>
      <c r="W103" s="966"/>
      <c r="X103" s="967"/>
      <c r="Y103" s="965">
        <f>SUM(Y86:Y102)</f>
        <v>9350000</v>
      </c>
      <c r="Z103" s="965">
        <f>SUM(Z86:Z102)</f>
        <v>10098000</v>
      </c>
      <c r="AA103" s="1510"/>
      <c r="AB103" s="1504"/>
      <c r="AC103" s="13"/>
      <c r="AD103" s="13"/>
      <c r="AE103" s="13"/>
      <c r="AF103" s="13"/>
      <c r="AG103" s="13"/>
      <c r="AH103" s="13"/>
      <c r="AI103" s="13"/>
    </row>
    <row r="104" spans="1:35" s="5" customFormat="1">
      <c r="A104" s="1503">
        <v>1</v>
      </c>
      <c r="B104" s="6"/>
      <c r="C104" s="2029">
        <v>308001163430</v>
      </c>
      <c r="D104" s="2016" t="s">
        <v>7992</v>
      </c>
      <c r="E104" s="2029" t="s">
        <v>8213</v>
      </c>
      <c r="F104" s="1915" t="s">
        <v>1299</v>
      </c>
      <c r="G104" s="1549"/>
      <c r="H104" s="1549"/>
      <c r="I104" s="1504" t="s">
        <v>6862</v>
      </c>
      <c r="J104" s="2192"/>
      <c r="K104" s="1916"/>
      <c r="L104" s="2192"/>
      <c r="M104" s="1503" t="s">
        <v>108</v>
      </c>
      <c r="N104" s="6"/>
      <c r="O104" s="6"/>
      <c r="P104" s="1507"/>
      <c r="Q104" s="1507"/>
      <c r="R104" s="1507"/>
      <c r="S104" s="1507"/>
      <c r="T104" s="1508"/>
      <c r="U104" s="1507"/>
      <c r="V104" s="1507"/>
      <c r="W104" s="2572"/>
      <c r="X104" s="1518"/>
      <c r="Y104" s="2649">
        <v>550000</v>
      </c>
      <c r="Z104" s="2650">
        <f t="shared" ref="Z104" si="16">+Y104*1.08</f>
        <v>594000</v>
      </c>
      <c r="AA104" s="1510"/>
      <c r="AB104" s="1504"/>
      <c r="AC104" s="13"/>
      <c r="AD104" s="13"/>
      <c r="AE104" s="13"/>
      <c r="AF104" s="13"/>
      <c r="AG104" s="13"/>
      <c r="AH104" s="13"/>
      <c r="AI104" s="13"/>
    </row>
    <row r="105" spans="1:35" s="5" customFormat="1">
      <c r="A105" s="1503">
        <f t="shared" si="9"/>
        <v>2</v>
      </c>
      <c r="B105" s="6"/>
      <c r="C105" s="2029">
        <v>308015527800</v>
      </c>
      <c r="D105" s="2016" t="s">
        <v>7985</v>
      </c>
      <c r="E105" s="2029" t="s">
        <v>8213</v>
      </c>
      <c r="F105" s="1915" t="s">
        <v>1299</v>
      </c>
      <c r="G105" s="1549"/>
      <c r="H105" s="1549"/>
      <c r="I105" s="2016" t="s">
        <v>6114</v>
      </c>
      <c r="J105" s="2192">
        <v>95</v>
      </c>
      <c r="K105" s="1805" t="s">
        <v>8066</v>
      </c>
      <c r="L105" s="2192">
        <v>438</v>
      </c>
      <c r="M105" s="1503" t="s">
        <v>108</v>
      </c>
      <c r="N105" s="6"/>
      <c r="O105" s="6"/>
      <c r="P105" s="1507"/>
      <c r="Q105" s="1507"/>
      <c r="R105" s="1507"/>
      <c r="S105" s="1507"/>
      <c r="T105" s="1508"/>
      <c r="U105" s="1507"/>
      <c r="V105" s="1507"/>
      <c r="W105" s="2572"/>
      <c r="X105" s="1518"/>
      <c r="Y105" s="2649">
        <v>550000</v>
      </c>
      <c r="Z105" s="2650">
        <f t="shared" ref="Z105:Z113" si="17">+Y105*1.08</f>
        <v>594000</v>
      </c>
      <c r="AA105" s="1510"/>
      <c r="AB105" s="1504"/>
      <c r="AC105" s="13"/>
      <c r="AD105" s="13"/>
      <c r="AE105" s="13"/>
      <c r="AF105" s="13"/>
      <c r="AG105" s="13"/>
      <c r="AH105" s="13"/>
      <c r="AI105" s="13"/>
    </row>
    <row r="106" spans="1:35" s="5" customFormat="1">
      <c r="A106" s="1503">
        <f t="shared" si="9"/>
        <v>3</v>
      </c>
      <c r="B106" s="6"/>
      <c r="C106" s="2029">
        <v>308017088210</v>
      </c>
      <c r="D106" s="2016" t="s">
        <v>7985</v>
      </c>
      <c r="E106" s="2029" t="s">
        <v>8213</v>
      </c>
      <c r="F106" s="1915" t="s">
        <v>1299</v>
      </c>
      <c r="G106" s="1549"/>
      <c r="H106" s="1549"/>
      <c r="I106" s="2016" t="s">
        <v>6114</v>
      </c>
      <c r="J106" s="2192">
        <v>96</v>
      </c>
      <c r="K106" s="1805" t="s">
        <v>8067</v>
      </c>
      <c r="L106" s="2192">
        <v>8</v>
      </c>
      <c r="M106" s="2809" t="s">
        <v>123</v>
      </c>
      <c r="N106" s="6"/>
      <c r="O106" s="6"/>
      <c r="P106" s="1507"/>
      <c r="Q106" s="1507"/>
      <c r="R106" s="1507"/>
      <c r="S106" s="1507"/>
      <c r="T106" s="1508"/>
      <c r="U106" s="1507"/>
      <c r="V106" s="1507"/>
      <c r="W106" s="2572"/>
      <c r="X106" s="1518"/>
      <c r="Y106" s="2649">
        <v>550000</v>
      </c>
      <c r="Z106" s="2650">
        <f t="shared" si="17"/>
        <v>594000</v>
      </c>
      <c r="AA106" s="1510"/>
      <c r="AB106" s="1504"/>
      <c r="AC106" s="13"/>
      <c r="AD106" s="13"/>
      <c r="AE106" s="13"/>
      <c r="AF106" s="13"/>
      <c r="AG106" s="13"/>
      <c r="AH106" s="13"/>
      <c r="AI106" s="13"/>
    </row>
    <row r="107" spans="1:35" s="5" customFormat="1" ht="26.4">
      <c r="A107" s="1503">
        <f t="shared" si="9"/>
        <v>4</v>
      </c>
      <c r="B107" s="6"/>
      <c r="C107" s="1915">
        <v>107763739050</v>
      </c>
      <c r="D107" s="2016" t="s">
        <v>7911</v>
      </c>
      <c r="E107" s="2029" t="s">
        <v>8213</v>
      </c>
      <c r="F107" s="1915" t="s">
        <v>206</v>
      </c>
      <c r="G107" s="1549"/>
      <c r="H107" s="1549"/>
      <c r="I107" s="1504" t="s">
        <v>6600</v>
      </c>
      <c r="J107" s="2192"/>
      <c r="K107" s="2064" t="s">
        <v>8105</v>
      </c>
      <c r="L107" s="2192">
        <v>325</v>
      </c>
      <c r="M107" s="2809" t="s">
        <v>123</v>
      </c>
      <c r="N107" s="6"/>
      <c r="O107" s="6"/>
      <c r="P107" s="1507"/>
      <c r="Q107" s="1507"/>
      <c r="R107" s="1507"/>
      <c r="S107" s="1507"/>
      <c r="T107" s="1508"/>
      <c r="U107" s="1507"/>
      <c r="V107" s="1507"/>
      <c r="W107" s="2572"/>
      <c r="X107" s="1518"/>
      <c r="Y107" s="2649">
        <v>550000</v>
      </c>
      <c r="Z107" s="2650">
        <f t="shared" si="17"/>
        <v>594000</v>
      </c>
      <c r="AA107" s="1510"/>
      <c r="AB107" s="1504"/>
      <c r="AC107" s="13"/>
      <c r="AD107" s="13"/>
      <c r="AE107" s="13"/>
      <c r="AF107" s="13"/>
      <c r="AG107" s="13"/>
      <c r="AH107" s="13"/>
      <c r="AI107" s="13"/>
    </row>
    <row r="108" spans="1:35" s="5" customFormat="1">
      <c r="A108" s="1503">
        <f t="shared" si="9"/>
        <v>5</v>
      </c>
      <c r="B108" s="6"/>
      <c r="C108" s="2029">
        <v>308029321150</v>
      </c>
      <c r="D108" s="2016" t="s">
        <v>7940</v>
      </c>
      <c r="E108" s="2029" t="s">
        <v>8213</v>
      </c>
      <c r="F108" s="1915" t="s">
        <v>1299</v>
      </c>
      <c r="G108" s="3220"/>
      <c r="H108" s="1549"/>
      <c r="I108" s="2016" t="s">
        <v>6114</v>
      </c>
      <c r="J108" s="2192">
        <v>97</v>
      </c>
      <c r="K108" s="1805" t="s">
        <v>8137</v>
      </c>
      <c r="L108" s="2192">
        <v>308</v>
      </c>
      <c r="M108" s="1503" t="s">
        <v>108</v>
      </c>
      <c r="N108" s="6"/>
      <c r="O108" s="6"/>
      <c r="P108" s="1507"/>
      <c r="Q108" s="1507"/>
      <c r="R108" s="1507"/>
      <c r="S108" s="1507"/>
      <c r="T108" s="1508"/>
      <c r="U108" s="1507"/>
      <c r="V108" s="1507"/>
      <c r="W108" s="2572"/>
      <c r="X108" s="1518"/>
      <c r="Y108" s="2649">
        <v>550000</v>
      </c>
      <c r="Z108" s="2650">
        <f t="shared" si="17"/>
        <v>594000</v>
      </c>
      <c r="AA108" s="1510"/>
      <c r="AB108" s="1504"/>
      <c r="AC108" s="13"/>
      <c r="AD108" s="13"/>
      <c r="AE108" s="13"/>
      <c r="AF108" s="13"/>
      <c r="AG108" s="13"/>
      <c r="AH108" s="13"/>
      <c r="AI108" s="13"/>
    </row>
    <row r="109" spans="1:35" s="5" customFormat="1">
      <c r="A109" s="1503">
        <f t="shared" si="9"/>
        <v>6</v>
      </c>
      <c r="B109" s="6"/>
      <c r="C109" s="2029">
        <v>308031011800</v>
      </c>
      <c r="D109" s="2016" t="s">
        <v>8113</v>
      </c>
      <c r="E109" s="2029" t="s">
        <v>8213</v>
      </c>
      <c r="F109" s="1915" t="s">
        <v>1299</v>
      </c>
      <c r="G109" s="1549"/>
      <c r="H109" s="1549"/>
      <c r="I109" s="2016" t="s">
        <v>6174</v>
      </c>
      <c r="J109" s="2192"/>
      <c r="K109" s="1805" t="s">
        <v>8138</v>
      </c>
      <c r="L109" s="2192">
        <v>7</v>
      </c>
      <c r="M109" s="1503" t="s">
        <v>108</v>
      </c>
      <c r="N109" s="6"/>
      <c r="O109" s="6"/>
      <c r="P109" s="1507"/>
      <c r="Q109" s="1507"/>
      <c r="R109" s="1507"/>
      <c r="S109" s="1507"/>
      <c r="T109" s="1508"/>
      <c r="U109" s="1507"/>
      <c r="V109" s="1507"/>
      <c r="W109" s="2572"/>
      <c r="X109" s="1518"/>
      <c r="Y109" s="2649">
        <v>550000</v>
      </c>
      <c r="Z109" s="2650">
        <f t="shared" si="17"/>
        <v>594000</v>
      </c>
      <c r="AA109" s="1510"/>
      <c r="AB109" s="1504"/>
      <c r="AC109" s="13"/>
      <c r="AD109" s="13"/>
      <c r="AE109" s="13"/>
      <c r="AF109" s="13"/>
      <c r="AG109" s="13"/>
      <c r="AH109" s="13"/>
      <c r="AI109" s="13"/>
    </row>
    <row r="110" spans="1:35" s="5" customFormat="1" ht="26.4">
      <c r="A110" s="1503">
        <f t="shared" si="9"/>
        <v>7</v>
      </c>
      <c r="B110" s="6"/>
      <c r="C110" s="1915">
        <v>107778238260</v>
      </c>
      <c r="D110" s="2016" t="s">
        <v>8113</v>
      </c>
      <c r="E110" s="2029" t="s">
        <v>8213</v>
      </c>
      <c r="F110" s="1915" t="s">
        <v>206</v>
      </c>
      <c r="G110" s="1549"/>
      <c r="H110" s="1549"/>
      <c r="I110" s="1624" t="s">
        <v>6139</v>
      </c>
      <c r="J110" s="2192"/>
      <c r="K110" s="2064" t="s">
        <v>8139</v>
      </c>
      <c r="L110" s="2192">
        <v>390</v>
      </c>
      <c r="M110" s="2809" t="s">
        <v>123</v>
      </c>
      <c r="N110" s="6"/>
      <c r="O110" s="6"/>
      <c r="P110" s="1507"/>
      <c r="Q110" s="1507"/>
      <c r="R110" s="1507"/>
      <c r="S110" s="1507"/>
      <c r="T110" s="1508"/>
      <c r="U110" s="1507"/>
      <c r="V110" s="1507"/>
      <c r="W110" s="2572"/>
      <c r="X110" s="1518"/>
      <c r="Y110" s="2649">
        <v>550000</v>
      </c>
      <c r="Z110" s="2650">
        <f t="shared" si="17"/>
        <v>594000</v>
      </c>
      <c r="AA110" s="1510"/>
      <c r="AB110" s="1504"/>
      <c r="AC110" s="13"/>
      <c r="AD110" s="13"/>
      <c r="AE110" s="13"/>
      <c r="AF110" s="13"/>
      <c r="AG110" s="13"/>
      <c r="AH110" s="13"/>
      <c r="AI110" s="13"/>
    </row>
    <row r="111" spans="1:35" s="5" customFormat="1">
      <c r="A111" s="1503">
        <f t="shared" si="9"/>
        <v>8</v>
      </c>
      <c r="B111" s="6"/>
      <c r="C111" s="2029">
        <v>308041316020</v>
      </c>
      <c r="D111" s="2016" t="s">
        <v>8152</v>
      </c>
      <c r="E111" s="2029" t="s">
        <v>8213</v>
      </c>
      <c r="F111" s="1915" t="s">
        <v>1299</v>
      </c>
      <c r="G111" s="1549"/>
      <c r="H111" s="1549"/>
      <c r="I111" s="2016" t="s">
        <v>6114</v>
      </c>
      <c r="J111" s="2192">
        <v>98</v>
      </c>
      <c r="K111" s="1805" t="s">
        <v>8157</v>
      </c>
      <c r="L111" s="2192">
        <v>12</v>
      </c>
      <c r="M111" s="1503" t="s">
        <v>108</v>
      </c>
      <c r="N111" s="6"/>
      <c r="O111" s="6"/>
      <c r="P111" s="1507"/>
      <c r="Q111" s="1507"/>
      <c r="R111" s="1507"/>
      <c r="S111" s="1507"/>
      <c r="T111" s="1508"/>
      <c r="U111" s="1507"/>
      <c r="V111" s="1507"/>
      <c r="W111" s="2572"/>
      <c r="X111" s="1518"/>
      <c r="Y111" s="2649">
        <v>550000</v>
      </c>
      <c r="Z111" s="2650">
        <f t="shared" si="17"/>
        <v>594000</v>
      </c>
      <c r="AA111" s="1510"/>
      <c r="AB111" s="1504"/>
      <c r="AC111" s="13"/>
      <c r="AD111" s="13"/>
      <c r="AE111" s="13"/>
      <c r="AF111" s="13"/>
      <c r="AG111" s="13"/>
      <c r="AH111" s="13"/>
      <c r="AI111" s="13"/>
    </row>
    <row r="112" spans="1:35" s="5" customFormat="1">
      <c r="A112" s="1503">
        <f t="shared" si="9"/>
        <v>9</v>
      </c>
      <c r="B112" s="6"/>
      <c r="C112" s="2029">
        <v>308050540841</v>
      </c>
      <c r="D112" s="2016" t="s">
        <v>4793</v>
      </c>
      <c r="E112" s="2029" t="s">
        <v>8213</v>
      </c>
      <c r="F112" s="1915" t="s">
        <v>1299</v>
      </c>
      <c r="G112" s="1549"/>
      <c r="H112" s="1549"/>
      <c r="I112" s="2016" t="s">
        <v>6114</v>
      </c>
      <c r="J112" s="2192">
        <v>99</v>
      </c>
      <c r="K112" s="1805" t="s">
        <v>8189</v>
      </c>
      <c r="L112" s="2192">
        <v>112</v>
      </c>
      <c r="M112" s="2798" t="s">
        <v>136</v>
      </c>
      <c r="N112" s="6"/>
      <c r="O112" s="6"/>
      <c r="P112" s="1507"/>
      <c r="Q112" s="1507"/>
      <c r="R112" s="1507"/>
      <c r="S112" s="1507"/>
      <c r="T112" s="1508"/>
      <c r="U112" s="1507"/>
      <c r="V112" s="1507"/>
      <c r="W112" s="2572"/>
      <c r="X112" s="1518"/>
      <c r="Y112" s="2649">
        <f>550000+400000</f>
        <v>950000</v>
      </c>
      <c r="Z112" s="2650">
        <f t="shared" si="17"/>
        <v>1026000.0000000001</v>
      </c>
      <c r="AA112" s="1510"/>
      <c r="AB112" s="1504"/>
      <c r="AC112" s="13"/>
      <c r="AD112" s="13"/>
      <c r="AE112" s="13"/>
      <c r="AF112" s="13"/>
      <c r="AG112" s="13"/>
      <c r="AH112" s="13"/>
      <c r="AI112" s="13"/>
    </row>
    <row r="113" spans="1:35" s="5" customFormat="1">
      <c r="A113" s="1503">
        <f t="shared" si="9"/>
        <v>10</v>
      </c>
      <c r="B113" s="6"/>
      <c r="C113" s="2029">
        <v>308058191840</v>
      </c>
      <c r="D113" s="2016" t="s">
        <v>8177</v>
      </c>
      <c r="E113" s="2029" t="s">
        <v>8213</v>
      </c>
      <c r="F113" s="1915" t="s">
        <v>1299</v>
      </c>
      <c r="G113" s="1549"/>
      <c r="H113" s="1549"/>
      <c r="I113" s="2016" t="s">
        <v>6114</v>
      </c>
      <c r="J113" s="2328" t="s">
        <v>8241</v>
      </c>
      <c r="K113" s="1805" t="s">
        <v>8242</v>
      </c>
      <c r="L113" s="2192">
        <v>332</v>
      </c>
      <c r="M113" s="2809" t="s">
        <v>123</v>
      </c>
      <c r="N113" s="6"/>
      <c r="O113" s="6"/>
      <c r="P113" s="1507"/>
      <c r="Q113" s="1507"/>
      <c r="R113" s="1507"/>
      <c r="S113" s="1507"/>
      <c r="T113" s="1508"/>
      <c r="U113" s="1507"/>
      <c r="V113" s="1507"/>
      <c r="W113" s="2572"/>
      <c r="X113" s="1518"/>
      <c r="Y113" s="2649">
        <v>550000</v>
      </c>
      <c r="Z113" s="2650">
        <f t="shared" si="17"/>
        <v>594000</v>
      </c>
      <c r="AA113" s="1510"/>
      <c r="AB113" s="1504"/>
      <c r="AC113" s="13"/>
      <c r="AD113" s="13"/>
      <c r="AE113" s="13"/>
      <c r="AF113" s="13"/>
      <c r="AG113" s="13"/>
      <c r="AH113" s="13"/>
      <c r="AI113" s="13"/>
    </row>
    <row r="114" spans="1:35" s="5" customFormat="1">
      <c r="A114" s="1503">
        <f t="shared" si="9"/>
        <v>11</v>
      </c>
      <c r="B114" s="6"/>
      <c r="C114" s="2029">
        <v>308065785660</v>
      </c>
      <c r="D114" s="2016" t="s">
        <v>8155</v>
      </c>
      <c r="E114" s="2029" t="s">
        <v>8213</v>
      </c>
      <c r="F114" s="1915" t="s">
        <v>1299</v>
      </c>
      <c r="G114" s="1549"/>
      <c r="H114" s="1549"/>
      <c r="I114" s="2016" t="s">
        <v>6114</v>
      </c>
      <c r="J114" s="2328" t="s">
        <v>8270</v>
      </c>
      <c r="K114" s="1805" t="s">
        <v>8269</v>
      </c>
      <c r="L114" s="2192"/>
      <c r="M114" s="2809" t="s">
        <v>123</v>
      </c>
      <c r="N114" s="6"/>
      <c r="O114" s="6"/>
      <c r="P114" s="1507"/>
      <c r="Q114" s="1507"/>
      <c r="R114" s="1507"/>
      <c r="S114" s="1507"/>
      <c r="T114" s="1508"/>
      <c r="U114" s="1507"/>
      <c r="V114" s="1507"/>
      <c r="W114" s="2572"/>
      <c r="X114" s="1518"/>
      <c r="Y114" s="2649">
        <v>550000</v>
      </c>
      <c r="Z114" s="2650">
        <f t="shared" ref="Z114:Z117" si="18">+Y114*1.08</f>
        <v>594000</v>
      </c>
      <c r="AA114" s="1510"/>
      <c r="AB114" s="1504"/>
      <c r="AC114" s="13"/>
      <c r="AD114" s="13"/>
      <c r="AE114" s="13"/>
      <c r="AF114" s="13"/>
      <c r="AG114" s="13"/>
      <c r="AH114" s="13"/>
      <c r="AI114" s="13"/>
    </row>
    <row r="115" spans="1:35" s="5" customFormat="1" ht="26.4">
      <c r="A115" s="1503">
        <f t="shared" si="9"/>
        <v>12</v>
      </c>
      <c r="B115" s="6"/>
      <c r="C115" s="1915">
        <v>107813838750</v>
      </c>
      <c r="D115" s="2016" t="s">
        <v>8321</v>
      </c>
      <c r="E115" s="2029" t="s">
        <v>8213</v>
      </c>
      <c r="F115" s="1915" t="s">
        <v>206</v>
      </c>
      <c r="G115" s="1549"/>
      <c r="H115" s="1549"/>
      <c r="I115" s="1504" t="s">
        <v>6600</v>
      </c>
      <c r="J115" s="2192"/>
      <c r="K115" s="2064" t="s">
        <v>8322</v>
      </c>
      <c r="L115" s="2192">
        <v>425</v>
      </c>
      <c r="M115" s="2809" t="s">
        <v>123</v>
      </c>
      <c r="N115" s="6"/>
      <c r="O115" s="6"/>
      <c r="P115" s="1507"/>
      <c r="Q115" s="1507"/>
      <c r="R115" s="1507"/>
      <c r="S115" s="1507"/>
      <c r="T115" s="1508"/>
      <c r="U115" s="1507"/>
      <c r="V115" s="1507"/>
      <c r="W115" s="2572"/>
      <c r="X115" s="1518"/>
      <c r="Y115" s="2649">
        <v>550000</v>
      </c>
      <c r="Z115" s="2650">
        <f t="shared" si="18"/>
        <v>594000</v>
      </c>
      <c r="AA115" s="1510"/>
      <c r="AB115" s="1504"/>
      <c r="AC115" s="13"/>
      <c r="AD115" s="13"/>
      <c r="AE115" s="13"/>
      <c r="AF115" s="13"/>
      <c r="AG115" s="13"/>
      <c r="AH115" s="13"/>
      <c r="AI115" s="13"/>
    </row>
    <row r="116" spans="1:35" s="5" customFormat="1">
      <c r="A116" s="1503">
        <f t="shared" si="9"/>
        <v>13</v>
      </c>
      <c r="B116" s="6"/>
      <c r="C116" s="2029">
        <v>308071915340</v>
      </c>
      <c r="D116" s="2016" t="s">
        <v>8275</v>
      </c>
      <c r="E116" s="2029" t="s">
        <v>8213</v>
      </c>
      <c r="F116" s="1915" t="s">
        <v>1299</v>
      </c>
      <c r="G116" s="1549"/>
      <c r="H116" s="1549"/>
      <c r="I116" s="2016" t="s">
        <v>6114</v>
      </c>
      <c r="J116" s="2192">
        <v>102</v>
      </c>
      <c r="K116" s="1805" t="s">
        <v>8302</v>
      </c>
      <c r="L116" s="2192">
        <v>8</v>
      </c>
      <c r="M116" s="1503" t="s">
        <v>108</v>
      </c>
      <c r="N116" s="6"/>
      <c r="O116" s="6"/>
      <c r="P116" s="1507"/>
      <c r="Q116" s="1507"/>
      <c r="R116" s="1507"/>
      <c r="S116" s="1507"/>
      <c r="T116" s="1508"/>
      <c r="U116" s="1507"/>
      <c r="V116" s="1507"/>
      <c r="W116" s="2572"/>
      <c r="X116" s="1518"/>
      <c r="Y116" s="2649">
        <v>550000</v>
      </c>
      <c r="Z116" s="2650">
        <f t="shared" si="18"/>
        <v>594000</v>
      </c>
      <c r="AA116" s="1510"/>
      <c r="AB116" s="1504"/>
      <c r="AC116" s="13"/>
      <c r="AD116" s="13"/>
      <c r="AE116" s="13"/>
      <c r="AF116" s="13"/>
      <c r="AG116" s="13"/>
      <c r="AH116" s="13"/>
      <c r="AI116" s="13"/>
    </row>
    <row r="117" spans="1:35" s="5" customFormat="1">
      <c r="A117" s="1503">
        <f t="shared" si="9"/>
        <v>14</v>
      </c>
      <c r="B117" s="6"/>
      <c r="C117" s="2029">
        <v>308072815430</v>
      </c>
      <c r="D117" s="2016" t="s">
        <v>8275</v>
      </c>
      <c r="E117" s="2029" t="s">
        <v>8213</v>
      </c>
      <c r="F117" s="1915" t="s">
        <v>1299</v>
      </c>
      <c r="G117" s="1549"/>
      <c r="H117" s="1549"/>
      <c r="I117" s="1504" t="s">
        <v>6862</v>
      </c>
      <c r="J117" s="2192"/>
      <c r="K117" s="1805" t="s">
        <v>8303</v>
      </c>
      <c r="L117" s="2192">
        <v>278</v>
      </c>
      <c r="M117" s="1503" t="s">
        <v>108</v>
      </c>
      <c r="N117" s="6"/>
      <c r="O117" s="6"/>
      <c r="P117" s="1507"/>
      <c r="Q117" s="1507"/>
      <c r="R117" s="1507"/>
      <c r="S117" s="1507"/>
      <c r="T117" s="1508"/>
      <c r="U117" s="1507"/>
      <c r="V117" s="1507"/>
      <c r="W117" s="2572"/>
      <c r="X117" s="1518"/>
      <c r="Y117" s="2649">
        <v>550000</v>
      </c>
      <c r="Z117" s="2650">
        <f t="shared" si="18"/>
        <v>594000</v>
      </c>
      <c r="AA117" s="1510"/>
      <c r="AB117" s="1504"/>
      <c r="AC117" s="13"/>
      <c r="AD117" s="13"/>
      <c r="AE117" s="13"/>
      <c r="AF117" s="13"/>
      <c r="AG117" s="13"/>
      <c r="AH117" s="13"/>
      <c r="AI117" s="13"/>
    </row>
    <row r="118" spans="1:35" s="5" customFormat="1">
      <c r="A118" s="1503">
        <f t="shared" si="9"/>
        <v>15</v>
      </c>
      <c r="B118" s="6"/>
      <c r="C118" s="1915">
        <v>107813838750</v>
      </c>
      <c r="D118" s="2016" t="s">
        <v>8252</v>
      </c>
      <c r="E118" s="2029" t="s">
        <v>8213</v>
      </c>
      <c r="F118" s="1915" t="s">
        <v>206</v>
      </c>
      <c r="G118" s="1549"/>
      <c r="H118" s="1549"/>
      <c r="I118" s="1504" t="s">
        <v>6600</v>
      </c>
      <c r="J118" s="2192"/>
      <c r="K118" s="1805" t="s">
        <v>8327</v>
      </c>
      <c r="L118" s="2192">
        <v>425</v>
      </c>
      <c r="M118" s="2809" t="s">
        <v>123</v>
      </c>
      <c r="N118" s="6"/>
      <c r="O118" s="6"/>
      <c r="P118" s="1507"/>
      <c r="Q118" s="1507"/>
      <c r="R118" s="1507"/>
      <c r="S118" s="1507"/>
      <c r="T118" s="1508"/>
      <c r="U118" s="1507"/>
      <c r="V118" s="1507"/>
      <c r="W118" s="2572"/>
      <c r="X118" s="1518"/>
      <c r="Y118" s="2573"/>
      <c r="Z118" s="2574"/>
      <c r="AA118" s="1510"/>
      <c r="AB118" s="1504"/>
      <c r="AC118" s="13"/>
      <c r="AD118" s="13"/>
      <c r="AE118" s="13"/>
      <c r="AF118" s="13"/>
      <c r="AG118" s="13"/>
      <c r="AH118" s="13"/>
      <c r="AI118" s="13"/>
    </row>
    <row r="119" spans="1:35" s="5" customFormat="1">
      <c r="A119" s="1503">
        <f t="shared" si="9"/>
        <v>16</v>
      </c>
      <c r="B119" s="6"/>
      <c r="C119" s="3265" t="s">
        <v>8341</v>
      </c>
      <c r="D119" s="2016" t="s">
        <v>8292</v>
      </c>
      <c r="E119" s="2029" t="s">
        <v>8213</v>
      </c>
      <c r="F119" s="1915" t="s">
        <v>206</v>
      </c>
      <c r="G119" s="1549"/>
      <c r="H119" s="1549"/>
      <c r="I119" s="1504" t="s">
        <v>6600</v>
      </c>
      <c r="J119" s="2192"/>
      <c r="K119" s="1805" t="s">
        <v>8328</v>
      </c>
      <c r="L119" s="2192">
        <v>917</v>
      </c>
      <c r="M119" s="2809" t="s">
        <v>123</v>
      </c>
      <c r="N119" s="6"/>
      <c r="O119" s="6"/>
      <c r="P119" s="1507"/>
      <c r="Q119" s="1507"/>
      <c r="R119" s="1507"/>
      <c r="S119" s="1507"/>
      <c r="T119" s="1508"/>
      <c r="U119" s="1507"/>
      <c r="V119" s="1507"/>
      <c r="W119" s="2572"/>
      <c r="X119" s="1518"/>
      <c r="Y119" s="2573"/>
      <c r="Z119" s="2574"/>
      <c r="AA119" s="1510"/>
      <c r="AB119" s="1504"/>
      <c r="AC119" s="13"/>
      <c r="AD119" s="13"/>
      <c r="AE119" s="13"/>
      <c r="AF119" s="13"/>
      <c r="AG119" s="13"/>
      <c r="AH119" s="13"/>
      <c r="AI119" s="13"/>
    </row>
    <row r="120" spans="1:35" s="5" customFormat="1" ht="26.4">
      <c r="A120" s="1503">
        <f t="shared" si="9"/>
        <v>17</v>
      </c>
      <c r="B120" s="6"/>
      <c r="C120" s="1915">
        <v>107822381440</v>
      </c>
      <c r="D120" s="2016" t="s">
        <v>8252</v>
      </c>
      <c r="E120" s="2029" t="s">
        <v>8213</v>
      </c>
      <c r="F120" s="1915" t="s">
        <v>206</v>
      </c>
      <c r="G120" s="1549"/>
      <c r="H120" s="1549"/>
      <c r="I120" s="1624" t="s">
        <v>6139</v>
      </c>
      <c r="J120" s="2192"/>
      <c r="K120" s="2617" t="s">
        <v>8325</v>
      </c>
      <c r="L120" s="2192">
        <v>392</v>
      </c>
      <c r="M120" s="2809" t="s">
        <v>123</v>
      </c>
      <c r="N120" s="6"/>
      <c r="O120" s="6"/>
      <c r="P120" s="1507"/>
      <c r="Q120" s="1507"/>
      <c r="R120" s="1507"/>
      <c r="S120" s="1507"/>
      <c r="T120" s="1508"/>
      <c r="U120" s="1507"/>
      <c r="V120" s="1507"/>
      <c r="W120" s="2572"/>
      <c r="X120" s="1518"/>
      <c r="Y120" s="2573"/>
      <c r="Z120" s="2574"/>
      <c r="AA120" s="1510"/>
      <c r="AB120" s="1504"/>
      <c r="AC120" s="13"/>
      <c r="AD120" s="13"/>
      <c r="AE120" s="13"/>
      <c r="AF120" s="13"/>
      <c r="AG120" s="13"/>
      <c r="AH120" s="13"/>
      <c r="AI120" s="13"/>
    </row>
    <row r="121" spans="1:35" s="5" customFormat="1">
      <c r="A121" s="1503">
        <f t="shared" si="9"/>
        <v>18</v>
      </c>
      <c r="B121" s="6"/>
      <c r="C121" s="2029">
        <v>308080570140</v>
      </c>
      <c r="D121" s="2016" t="s">
        <v>8252</v>
      </c>
      <c r="E121" s="2029" t="s">
        <v>8213</v>
      </c>
      <c r="F121" s="1915" t="s">
        <v>1299</v>
      </c>
      <c r="G121" s="1549"/>
      <c r="H121" s="1549"/>
      <c r="I121" s="1504" t="s">
        <v>6862</v>
      </c>
      <c r="J121" s="2192"/>
      <c r="K121" s="1805" t="s">
        <v>8323</v>
      </c>
      <c r="L121" s="2192">
        <v>325</v>
      </c>
      <c r="M121" s="1503" t="s">
        <v>108</v>
      </c>
      <c r="N121" s="6"/>
      <c r="O121" s="6"/>
      <c r="P121" s="1507"/>
      <c r="Q121" s="1507"/>
      <c r="R121" s="1507"/>
      <c r="S121" s="1507"/>
      <c r="T121" s="1508"/>
      <c r="U121" s="1507"/>
      <c r="V121" s="1507"/>
      <c r="W121" s="2572"/>
      <c r="X121" s="1518"/>
      <c r="Y121" s="2573"/>
      <c r="Z121" s="2574"/>
      <c r="AA121" s="1510"/>
      <c r="AB121" s="1504"/>
      <c r="AC121" s="13"/>
      <c r="AD121" s="13"/>
      <c r="AE121" s="13"/>
      <c r="AF121" s="13"/>
      <c r="AG121" s="13"/>
      <c r="AH121" s="13"/>
      <c r="AI121" s="13"/>
    </row>
    <row r="122" spans="1:35" s="5" customFormat="1">
      <c r="A122" s="1503">
        <f t="shared" si="9"/>
        <v>19</v>
      </c>
      <c r="B122" s="6"/>
      <c r="C122" s="2029">
        <v>308082235700</v>
      </c>
      <c r="D122" s="2016" t="s">
        <v>8292</v>
      </c>
      <c r="E122" s="2029" t="s">
        <v>8213</v>
      </c>
      <c r="F122" s="1915" t="s">
        <v>1299</v>
      </c>
      <c r="G122" s="1549"/>
      <c r="H122" s="1549"/>
      <c r="I122" s="2016" t="s">
        <v>6114</v>
      </c>
      <c r="J122" s="2192">
        <v>103</v>
      </c>
      <c r="K122" s="1805" t="s">
        <v>8334</v>
      </c>
      <c r="L122" s="2192">
        <v>351</v>
      </c>
      <c r="M122" s="1503" t="s">
        <v>108</v>
      </c>
      <c r="N122" s="6"/>
      <c r="O122" s="6"/>
      <c r="P122" s="1507"/>
      <c r="Q122" s="1507"/>
      <c r="R122" s="1507"/>
      <c r="S122" s="1507"/>
      <c r="T122" s="1508"/>
      <c r="U122" s="1507"/>
      <c r="V122" s="1507"/>
      <c r="W122" s="2572"/>
      <c r="X122" s="1518"/>
      <c r="Y122" s="2573"/>
      <c r="Z122" s="2574"/>
      <c r="AA122" s="1510"/>
      <c r="AB122" s="1504"/>
      <c r="AC122" s="13"/>
      <c r="AD122" s="13"/>
      <c r="AE122" s="13"/>
      <c r="AF122" s="13"/>
      <c r="AG122" s="13"/>
      <c r="AH122" s="13"/>
      <c r="AI122" s="13"/>
    </row>
    <row r="123" spans="1:35" s="5" customFormat="1">
      <c r="A123" s="1503">
        <f t="shared" si="9"/>
        <v>20</v>
      </c>
      <c r="B123" s="6"/>
      <c r="C123" s="2029">
        <v>308090365130</v>
      </c>
      <c r="D123" s="2016" t="s">
        <v>8377</v>
      </c>
      <c r="E123" s="1915"/>
      <c r="F123" s="1915" t="s">
        <v>1299</v>
      </c>
      <c r="G123" s="1549"/>
      <c r="H123" s="1549"/>
      <c r="I123" s="2016" t="s">
        <v>6114</v>
      </c>
      <c r="J123" s="2192">
        <v>104</v>
      </c>
      <c r="K123" s="1805" t="s">
        <v>8378</v>
      </c>
      <c r="L123" s="2192"/>
      <c r="M123" s="1917"/>
      <c r="N123" s="6"/>
      <c r="O123" s="6"/>
      <c r="P123" s="1507"/>
      <c r="Q123" s="1507"/>
      <c r="R123" s="1507"/>
      <c r="S123" s="1507"/>
      <c r="T123" s="1508"/>
      <c r="U123" s="1507"/>
      <c r="V123" s="1507"/>
      <c r="W123" s="2572"/>
      <c r="X123" s="1518"/>
      <c r="Y123" s="2573"/>
      <c r="Z123" s="2574"/>
      <c r="AA123" s="1510"/>
      <c r="AB123" s="1504"/>
      <c r="AC123" s="13"/>
      <c r="AD123" s="13"/>
      <c r="AE123" s="13"/>
      <c r="AF123" s="13"/>
      <c r="AG123" s="13"/>
      <c r="AH123" s="13"/>
      <c r="AI123" s="13"/>
    </row>
    <row r="124" spans="1:35" s="5" customFormat="1">
      <c r="A124" s="1503">
        <f t="shared" si="9"/>
        <v>21</v>
      </c>
      <c r="B124" s="6"/>
      <c r="C124" s="2029"/>
      <c r="D124" s="1805"/>
      <c r="E124" s="1915"/>
      <c r="F124" s="1915" t="s">
        <v>1299</v>
      </c>
      <c r="G124" s="1549"/>
      <c r="H124" s="1549"/>
      <c r="I124" s="2016" t="s">
        <v>6174</v>
      </c>
      <c r="J124" s="2192"/>
      <c r="K124" s="1916"/>
      <c r="L124" s="2192"/>
      <c r="M124" s="1917"/>
      <c r="N124" s="6"/>
      <c r="O124" s="6"/>
      <c r="P124" s="1507"/>
      <c r="Q124" s="1507"/>
      <c r="R124" s="1507"/>
      <c r="S124" s="1507"/>
      <c r="T124" s="1508"/>
      <c r="U124" s="1507"/>
      <c r="V124" s="1507"/>
      <c r="W124" s="2572"/>
      <c r="X124" s="1518"/>
      <c r="Y124" s="2573"/>
      <c r="Z124" s="2574"/>
      <c r="AA124" s="1510"/>
      <c r="AB124" s="1504"/>
      <c r="AC124" s="13"/>
      <c r="AD124" s="13"/>
      <c r="AE124" s="13"/>
      <c r="AF124" s="13"/>
      <c r="AG124" s="13"/>
      <c r="AH124" s="13"/>
      <c r="AI124" s="13"/>
    </row>
    <row r="125" spans="1:35" s="5" customFormat="1">
      <c r="A125" s="1503">
        <f t="shared" si="9"/>
        <v>22</v>
      </c>
      <c r="B125" s="6"/>
      <c r="C125" s="2029"/>
      <c r="D125" s="1805"/>
      <c r="E125" s="1915"/>
      <c r="F125" s="1915"/>
      <c r="G125" s="1549"/>
      <c r="H125" s="1549"/>
      <c r="I125" s="1504"/>
      <c r="J125" s="2192"/>
      <c r="K125" s="1916"/>
      <c r="L125" s="2192"/>
      <c r="M125" s="1917"/>
      <c r="N125" s="6"/>
      <c r="O125" s="6"/>
      <c r="P125" s="1507"/>
      <c r="Q125" s="1507"/>
      <c r="R125" s="1507"/>
      <c r="S125" s="1507"/>
      <c r="T125" s="1508"/>
      <c r="U125" s="1507"/>
      <c r="V125" s="1507"/>
      <c r="W125" s="2572"/>
      <c r="X125" s="1518"/>
      <c r="Y125" s="2573"/>
      <c r="Z125" s="2574"/>
      <c r="AA125" s="1510"/>
      <c r="AB125" s="1504"/>
      <c r="AC125" s="13"/>
      <c r="AD125" s="13"/>
      <c r="AE125" s="13"/>
      <c r="AF125" s="13"/>
      <c r="AG125" s="13"/>
      <c r="AH125" s="13"/>
      <c r="AI125" s="13"/>
    </row>
    <row r="126" spans="1:35" s="5" customFormat="1">
      <c r="A126" s="1503">
        <f t="shared" si="9"/>
        <v>23</v>
      </c>
      <c r="B126" s="6"/>
      <c r="C126" s="2029"/>
      <c r="D126" s="1805"/>
      <c r="E126" s="1915"/>
      <c r="F126" s="1915"/>
      <c r="G126" s="1549"/>
      <c r="H126" s="1549"/>
      <c r="I126" s="1504"/>
      <c r="J126" s="2192"/>
      <c r="K126" s="1916"/>
      <c r="L126" s="2192"/>
      <c r="M126" s="1917"/>
      <c r="N126" s="6"/>
      <c r="O126" s="6"/>
      <c r="P126" s="1507"/>
      <c r="Q126" s="1507"/>
      <c r="R126" s="1507"/>
      <c r="S126" s="1507"/>
      <c r="T126" s="1508"/>
      <c r="U126" s="1507"/>
      <c r="V126" s="1507"/>
      <c r="W126" s="2572"/>
      <c r="X126" s="1518"/>
      <c r="Y126" s="2573"/>
      <c r="Z126" s="2574"/>
      <c r="AA126" s="1510"/>
      <c r="AB126" s="1504"/>
      <c r="AC126" s="13"/>
      <c r="AD126" s="13"/>
      <c r="AE126" s="13"/>
      <c r="AF126" s="13"/>
      <c r="AG126" s="13"/>
      <c r="AH126" s="13"/>
      <c r="AI126" s="13"/>
    </row>
    <row r="127" spans="1:35" s="5" customFormat="1">
      <c r="A127" s="1503">
        <f t="shared" si="9"/>
        <v>24</v>
      </c>
      <c r="B127" s="6"/>
      <c r="C127" s="1912"/>
      <c r="D127" s="1805"/>
      <c r="E127" s="1915"/>
      <c r="F127" s="1915"/>
      <c r="G127" s="1549"/>
      <c r="H127" s="1549"/>
      <c r="I127" s="1504"/>
      <c r="J127" s="2192"/>
      <c r="K127" s="1916"/>
      <c r="L127" s="2192"/>
      <c r="M127" s="1917"/>
      <c r="N127" s="6"/>
      <c r="O127" s="6"/>
      <c r="P127" s="1507"/>
      <c r="Q127" s="1507"/>
      <c r="R127" s="1507"/>
      <c r="S127" s="1507"/>
      <c r="T127" s="1508"/>
      <c r="U127" s="1507"/>
      <c r="V127" s="1507"/>
      <c r="W127" s="2572"/>
      <c r="X127" s="1518"/>
      <c r="Y127" s="2573"/>
      <c r="Z127" s="2574"/>
      <c r="AA127" s="1510"/>
      <c r="AB127" s="1504"/>
      <c r="AC127" s="13"/>
      <c r="AD127" s="13"/>
      <c r="AE127" s="13"/>
      <c r="AF127" s="13"/>
      <c r="AG127" s="13"/>
      <c r="AH127" s="13"/>
      <c r="AI127" s="13"/>
    </row>
    <row r="128" spans="1:35" s="5" customFormat="1">
      <c r="A128" s="1503">
        <f t="shared" si="9"/>
        <v>25</v>
      </c>
      <c r="B128" s="6"/>
      <c r="C128" s="1912"/>
      <c r="D128" s="1805"/>
      <c r="E128" s="1915"/>
      <c r="F128" s="1915"/>
      <c r="G128" s="1549"/>
      <c r="H128" s="1549"/>
      <c r="I128" s="1504"/>
      <c r="J128" s="2192"/>
      <c r="K128" s="1916"/>
      <c r="L128" s="2192"/>
      <c r="M128" s="1917"/>
      <c r="N128" s="6"/>
      <c r="O128" s="6"/>
      <c r="P128" s="1507"/>
      <c r="Q128" s="1507"/>
      <c r="R128" s="1507"/>
      <c r="S128" s="1507"/>
      <c r="T128" s="1508"/>
      <c r="U128" s="1507"/>
      <c r="V128" s="1507"/>
      <c r="W128" s="2572"/>
      <c r="X128" s="1518"/>
      <c r="Y128" s="2573"/>
      <c r="Z128" s="2574"/>
      <c r="AA128" s="1510"/>
      <c r="AB128" s="1504"/>
      <c r="AC128" s="13"/>
      <c r="AD128" s="13"/>
      <c r="AE128" s="13"/>
      <c r="AF128" s="13"/>
      <c r="AG128" s="13"/>
      <c r="AH128" s="13"/>
      <c r="AI128" s="13"/>
    </row>
    <row r="129" spans="1:35" s="5" customFormat="1">
      <c r="A129" s="1503">
        <f t="shared" si="9"/>
        <v>26</v>
      </c>
      <c r="B129" s="6"/>
      <c r="C129" s="1912"/>
      <c r="D129" s="1805"/>
      <c r="E129" s="1915"/>
      <c r="F129" s="1915"/>
      <c r="G129" s="1549"/>
      <c r="H129" s="1549"/>
      <c r="I129" s="1504"/>
      <c r="J129" s="2192"/>
      <c r="K129" s="1916"/>
      <c r="L129" s="2192"/>
      <c r="M129" s="1917"/>
      <c r="N129" s="6"/>
      <c r="O129" s="6"/>
      <c r="P129" s="1507"/>
      <c r="Q129" s="1507"/>
      <c r="R129" s="1507"/>
      <c r="S129" s="1507"/>
      <c r="T129" s="1508"/>
      <c r="U129" s="1507"/>
      <c r="V129" s="1507"/>
      <c r="W129" s="2572"/>
      <c r="X129" s="1518"/>
      <c r="Y129" s="2573"/>
      <c r="Z129" s="2574"/>
      <c r="AA129" s="1510"/>
      <c r="AB129" s="1504"/>
      <c r="AC129" s="13"/>
      <c r="AD129" s="13"/>
      <c r="AE129" s="13"/>
      <c r="AF129" s="13"/>
      <c r="AG129" s="13"/>
      <c r="AH129" s="13"/>
      <c r="AI129" s="13"/>
    </row>
    <row r="130" spans="1:35" s="5" customFormat="1">
      <c r="A130" s="1503">
        <f t="shared" si="9"/>
        <v>27</v>
      </c>
      <c r="B130" s="6"/>
      <c r="C130" s="1912"/>
      <c r="D130" s="1805"/>
      <c r="E130" s="1915"/>
      <c r="F130" s="1915"/>
      <c r="G130" s="1549"/>
      <c r="H130" s="1549"/>
      <c r="I130" s="1504"/>
      <c r="J130" s="2192"/>
      <c r="K130" s="1916"/>
      <c r="L130" s="2192"/>
      <c r="M130" s="1917"/>
      <c r="N130" s="6"/>
      <c r="O130" s="6"/>
      <c r="P130" s="1507"/>
      <c r="Q130" s="1507"/>
      <c r="R130" s="1507"/>
      <c r="S130" s="1507"/>
      <c r="T130" s="1508"/>
      <c r="U130" s="1507"/>
      <c r="V130" s="1507"/>
      <c r="W130" s="2572"/>
      <c r="X130" s="1518"/>
      <c r="Y130" s="2573"/>
      <c r="Z130" s="2574"/>
      <c r="AA130" s="1510"/>
      <c r="AB130" s="1504"/>
      <c r="AC130" s="13"/>
      <c r="AD130" s="13"/>
      <c r="AE130" s="13"/>
      <c r="AF130" s="13"/>
      <c r="AG130" s="13"/>
      <c r="AH130" s="13"/>
      <c r="AI130" s="13"/>
    </row>
    <row r="131" spans="1:35" s="5" customFormat="1">
      <c r="A131" s="1503">
        <f t="shared" si="9"/>
        <v>28</v>
      </c>
      <c r="B131" s="6"/>
      <c r="C131" s="1912"/>
      <c r="D131" s="1805"/>
      <c r="E131" s="1915"/>
      <c r="F131" s="1915"/>
      <c r="G131" s="1549"/>
      <c r="H131" s="1549"/>
      <c r="I131" s="1504"/>
      <c r="J131" s="2192"/>
      <c r="K131" s="1916"/>
      <c r="L131" s="2192"/>
      <c r="M131" s="1917"/>
      <c r="N131" s="6"/>
      <c r="O131" s="6"/>
      <c r="P131" s="1507"/>
      <c r="Q131" s="1507"/>
      <c r="R131" s="1507"/>
      <c r="S131" s="1507"/>
      <c r="T131" s="1508"/>
      <c r="U131" s="1507"/>
      <c r="V131" s="1507"/>
      <c r="W131" s="2572"/>
      <c r="X131" s="1518"/>
      <c r="Y131" s="2573"/>
      <c r="Z131" s="2574"/>
      <c r="AA131" s="1510"/>
      <c r="AB131" s="1504"/>
      <c r="AC131" s="13"/>
      <c r="AD131" s="13"/>
      <c r="AE131" s="13"/>
      <c r="AF131" s="13"/>
      <c r="AG131" s="13"/>
      <c r="AH131" s="13"/>
      <c r="AI131" s="13"/>
    </row>
    <row r="132" spans="1:35" s="5" customFormat="1">
      <c r="A132" s="1503">
        <f t="shared" si="9"/>
        <v>29</v>
      </c>
      <c r="B132" s="6"/>
      <c r="C132" s="1912"/>
      <c r="D132" s="1805"/>
      <c r="E132" s="1915"/>
      <c r="F132" s="1915"/>
      <c r="G132" s="1549"/>
      <c r="H132" s="1549"/>
      <c r="I132" s="1504"/>
      <c r="J132" s="2192"/>
      <c r="K132" s="1916"/>
      <c r="L132" s="2192"/>
      <c r="M132" s="1917"/>
      <c r="N132" s="6"/>
      <c r="O132" s="6"/>
      <c r="P132" s="1507"/>
      <c r="Q132" s="1507"/>
      <c r="R132" s="1507"/>
      <c r="S132" s="1507"/>
      <c r="T132" s="1508"/>
      <c r="U132" s="1507"/>
      <c r="V132" s="1507"/>
      <c r="W132" s="2572"/>
      <c r="X132" s="1518"/>
      <c r="Y132" s="2573"/>
      <c r="Z132" s="2574"/>
      <c r="AA132" s="1510"/>
      <c r="AB132" s="1504"/>
      <c r="AC132" s="13"/>
      <c r="AD132" s="13"/>
      <c r="AE132" s="13"/>
      <c r="AF132" s="13"/>
      <c r="AG132" s="13"/>
      <c r="AH132" s="13"/>
      <c r="AI132" s="13"/>
    </row>
    <row r="133" spans="1:35" s="5" customFormat="1">
      <c r="A133" s="1503">
        <f t="shared" si="9"/>
        <v>30</v>
      </c>
      <c r="B133" s="6"/>
      <c r="C133" s="1912"/>
      <c r="D133" s="1805"/>
      <c r="E133" s="1915"/>
      <c r="F133" s="1915"/>
      <c r="G133" s="1549"/>
      <c r="H133" s="1549"/>
      <c r="I133" s="1504"/>
      <c r="J133" s="2192"/>
      <c r="K133" s="1916"/>
      <c r="L133" s="2192"/>
      <c r="M133" s="1917"/>
      <c r="N133" s="6"/>
      <c r="O133" s="6"/>
      <c r="P133" s="1507"/>
      <c r="Q133" s="1507"/>
      <c r="R133" s="1507"/>
      <c r="S133" s="1507"/>
      <c r="T133" s="1508"/>
      <c r="U133" s="1507"/>
      <c r="V133" s="1507"/>
      <c r="W133" s="2572"/>
      <c r="X133" s="1518"/>
      <c r="Y133" s="2573"/>
      <c r="Z133" s="2574"/>
      <c r="AA133" s="1510"/>
      <c r="AB133" s="1504"/>
      <c r="AC133" s="13"/>
      <c r="AD133" s="13"/>
      <c r="AE133" s="13"/>
      <c r="AF133" s="13"/>
      <c r="AG133" s="13"/>
      <c r="AH133" s="13"/>
      <c r="AI133" s="13"/>
    </row>
    <row r="134" spans="1:35" s="5" customFormat="1">
      <c r="A134" s="1503">
        <f t="shared" si="9"/>
        <v>31</v>
      </c>
      <c r="B134" s="6"/>
      <c r="C134" s="1912"/>
      <c r="D134" s="1805"/>
      <c r="E134" s="1915"/>
      <c r="F134" s="1915"/>
      <c r="G134" s="1549"/>
      <c r="H134" s="1549"/>
      <c r="I134" s="1504"/>
      <c r="J134" s="2192"/>
      <c r="K134" s="1916"/>
      <c r="L134" s="2192"/>
      <c r="M134" s="1917"/>
      <c r="N134" s="6"/>
      <c r="O134" s="6"/>
      <c r="P134" s="1507"/>
      <c r="Q134" s="1507"/>
      <c r="R134" s="1507"/>
      <c r="S134" s="1507"/>
      <c r="T134" s="1508"/>
      <c r="U134" s="1507"/>
      <c r="V134" s="1507"/>
      <c r="W134" s="2572"/>
      <c r="X134" s="1518"/>
      <c r="Y134" s="2573"/>
      <c r="Z134" s="2574"/>
      <c r="AA134" s="1510"/>
      <c r="AB134" s="1504"/>
      <c r="AC134" s="13"/>
      <c r="AD134" s="13"/>
      <c r="AE134" s="13"/>
      <c r="AF134" s="13"/>
      <c r="AG134" s="13"/>
      <c r="AH134" s="13"/>
      <c r="AI134" s="13"/>
    </row>
    <row r="135" spans="1:35" s="5" customFormat="1">
      <c r="A135" s="1503">
        <f t="shared" si="9"/>
        <v>32</v>
      </c>
      <c r="B135" s="6"/>
      <c r="C135" s="1912"/>
      <c r="D135" s="1805"/>
      <c r="E135" s="1915"/>
      <c r="F135" s="1915"/>
      <c r="G135" s="1549"/>
      <c r="H135" s="1549"/>
      <c r="I135" s="1504"/>
      <c r="J135" s="2192"/>
      <c r="K135" s="1916"/>
      <c r="L135" s="2192"/>
      <c r="M135" s="1917"/>
      <c r="N135" s="6"/>
      <c r="O135" s="6"/>
      <c r="P135" s="1507"/>
      <c r="Q135" s="1507"/>
      <c r="R135" s="1507"/>
      <c r="S135" s="1507"/>
      <c r="T135" s="1508"/>
      <c r="U135" s="1507"/>
      <c r="V135" s="1507"/>
      <c r="W135" s="2572"/>
      <c r="X135" s="1518"/>
      <c r="Y135" s="2573"/>
      <c r="Z135" s="2574"/>
      <c r="AA135" s="1510"/>
      <c r="AB135" s="1504"/>
      <c r="AC135" s="13"/>
      <c r="AD135" s="13"/>
      <c r="AE135" s="13"/>
      <c r="AF135" s="13"/>
      <c r="AG135" s="13"/>
      <c r="AH135" s="13"/>
      <c r="AI135" s="13"/>
    </row>
    <row r="136" spans="1:35" s="5" customFormat="1">
      <c r="A136" s="1503">
        <f t="shared" si="9"/>
        <v>33</v>
      </c>
      <c r="B136" s="6"/>
      <c r="C136" s="1912"/>
      <c r="D136" s="1805"/>
      <c r="E136" s="1915"/>
      <c r="F136" s="1915"/>
      <c r="G136" s="1549"/>
      <c r="H136" s="1549"/>
      <c r="I136" s="1504"/>
      <c r="J136" s="2192"/>
      <c r="K136" s="1916"/>
      <c r="L136" s="2192"/>
      <c r="M136" s="1917"/>
      <c r="N136" s="6"/>
      <c r="O136" s="6"/>
      <c r="P136" s="1507"/>
      <c r="Q136" s="1507"/>
      <c r="R136" s="1507"/>
      <c r="S136" s="1507"/>
      <c r="T136" s="1508"/>
      <c r="U136" s="1507"/>
      <c r="V136" s="1507"/>
      <c r="W136" s="2572"/>
      <c r="X136" s="1518"/>
      <c r="Y136" s="2573"/>
      <c r="Z136" s="2574"/>
      <c r="AA136" s="1510"/>
      <c r="AB136" s="1504"/>
      <c r="AC136" s="13"/>
      <c r="AD136" s="13"/>
      <c r="AE136" s="13"/>
      <c r="AF136" s="13"/>
      <c r="AG136" s="13"/>
      <c r="AH136" s="13"/>
      <c r="AI136" s="13"/>
    </row>
    <row r="137" spans="1:35" s="5" customFormat="1">
      <c r="A137" s="1503">
        <f t="shared" ref="A137:A167" si="19">+A136+1</f>
        <v>34</v>
      </c>
      <c r="B137" s="6"/>
      <c r="C137" s="1912"/>
      <c r="D137" s="1805"/>
      <c r="E137" s="1915"/>
      <c r="F137" s="1915"/>
      <c r="G137" s="1549"/>
      <c r="H137" s="1549"/>
      <c r="I137" s="1504"/>
      <c r="J137" s="2192"/>
      <c r="K137" s="1916"/>
      <c r="L137" s="2192"/>
      <c r="M137" s="1917"/>
      <c r="N137" s="6"/>
      <c r="O137" s="6"/>
      <c r="P137" s="1507"/>
      <c r="Q137" s="1507"/>
      <c r="R137" s="1507"/>
      <c r="S137" s="1507"/>
      <c r="T137" s="1508"/>
      <c r="U137" s="1507"/>
      <c r="V137" s="1507"/>
      <c r="W137" s="2572"/>
      <c r="X137" s="1518"/>
      <c r="Y137" s="2573"/>
      <c r="Z137" s="2574"/>
      <c r="AA137" s="1510"/>
      <c r="AB137" s="1504"/>
      <c r="AC137" s="13"/>
      <c r="AD137" s="13"/>
      <c r="AE137" s="13"/>
      <c r="AF137" s="13"/>
      <c r="AG137" s="13"/>
      <c r="AH137" s="13"/>
      <c r="AI137" s="13"/>
    </row>
    <row r="138" spans="1:35" s="5" customFormat="1">
      <c r="A138" s="1503">
        <f t="shared" si="19"/>
        <v>35</v>
      </c>
      <c r="B138" s="6"/>
      <c r="C138" s="1912"/>
      <c r="D138" s="1805"/>
      <c r="E138" s="1915"/>
      <c r="F138" s="1915"/>
      <c r="G138" s="1549"/>
      <c r="H138" s="1549"/>
      <c r="I138" s="1504"/>
      <c r="J138" s="2192"/>
      <c r="K138" s="1916"/>
      <c r="L138" s="2192"/>
      <c r="M138" s="1917"/>
      <c r="N138" s="6"/>
      <c r="O138" s="6"/>
      <c r="P138" s="1507"/>
      <c r="Q138" s="1507"/>
      <c r="R138" s="1507"/>
      <c r="S138" s="1507"/>
      <c r="T138" s="1508"/>
      <c r="U138" s="1507"/>
      <c r="V138" s="1507"/>
      <c r="W138" s="2572"/>
      <c r="X138" s="1518"/>
      <c r="Y138" s="2573"/>
      <c r="Z138" s="2574"/>
      <c r="AA138" s="1510"/>
      <c r="AB138" s="1504"/>
      <c r="AC138" s="13"/>
      <c r="AD138" s="13"/>
      <c r="AE138" s="13"/>
      <c r="AF138" s="13"/>
      <c r="AG138" s="13"/>
      <c r="AH138" s="13"/>
      <c r="AI138" s="13"/>
    </row>
    <row r="139" spans="1:35" s="5" customFormat="1">
      <c r="A139" s="1503">
        <f t="shared" si="19"/>
        <v>36</v>
      </c>
      <c r="B139" s="6"/>
      <c r="C139" s="1912"/>
      <c r="D139" s="1805"/>
      <c r="E139" s="1915"/>
      <c r="F139" s="1915"/>
      <c r="G139" s="1549"/>
      <c r="H139" s="1549"/>
      <c r="I139" s="1504"/>
      <c r="J139" s="2192"/>
      <c r="K139" s="1916"/>
      <c r="L139" s="2192"/>
      <c r="M139" s="1917"/>
      <c r="N139" s="6"/>
      <c r="O139" s="6"/>
      <c r="P139" s="1507"/>
      <c r="Q139" s="1507"/>
      <c r="R139" s="1507"/>
      <c r="S139" s="1507"/>
      <c r="T139" s="1508"/>
      <c r="U139" s="1507"/>
      <c r="V139" s="1507"/>
      <c r="W139" s="2572"/>
      <c r="X139" s="1518"/>
      <c r="Y139" s="2573"/>
      <c r="Z139" s="2574"/>
      <c r="AA139" s="1510"/>
      <c r="AB139" s="1504"/>
      <c r="AC139" s="13"/>
      <c r="AD139" s="13"/>
      <c r="AE139" s="13"/>
      <c r="AF139" s="13"/>
      <c r="AG139" s="13"/>
      <c r="AH139" s="13"/>
      <c r="AI139" s="13"/>
    </row>
    <row r="140" spans="1:35" s="5" customFormat="1">
      <c r="A140" s="1503">
        <f t="shared" si="19"/>
        <v>37</v>
      </c>
      <c r="B140" s="6"/>
      <c r="C140" s="1912"/>
      <c r="D140" s="1805"/>
      <c r="E140" s="1915"/>
      <c r="F140" s="1915"/>
      <c r="G140" s="1549"/>
      <c r="H140" s="1549"/>
      <c r="I140" s="1504"/>
      <c r="J140" s="2192"/>
      <c r="K140" s="1916"/>
      <c r="L140" s="2192"/>
      <c r="M140" s="1917"/>
      <c r="N140" s="6"/>
      <c r="O140" s="6"/>
      <c r="P140" s="1507"/>
      <c r="Q140" s="1507"/>
      <c r="R140" s="1507"/>
      <c r="S140" s="1507"/>
      <c r="T140" s="1508"/>
      <c r="U140" s="1507"/>
      <c r="V140" s="1507"/>
      <c r="W140" s="2572"/>
      <c r="X140" s="1518"/>
      <c r="Y140" s="2573"/>
      <c r="Z140" s="2574"/>
      <c r="AA140" s="1510"/>
      <c r="AB140" s="1504"/>
      <c r="AC140" s="13"/>
      <c r="AD140" s="13"/>
      <c r="AE140" s="13"/>
      <c r="AF140" s="13"/>
      <c r="AG140" s="13"/>
      <c r="AH140" s="13"/>
      <c r="AI140" s="13"/>
    </row>
    <row r="141" spans="1:35" s="5" customFormat="1">
      <c r="A141" s="1503">
        <f t="shared" si="19"/>
        <v>38</v>
      </c>
      <c r="B141" s="6"/>
      <c r="C141" s="1912"/>
      <c r="D141" s="1805"/>
      <c r="E141" s="1915"/>
      <c r="F141" s="1915"/>
      <c r="G141" s="1549"/>
      <c r="H141" s="1549"/>
      <c r="I141" s="1504"/>
      <c r="J141" s="2192"/>
      <c r="K141" s="1916"/>
      <c r="L141" s="2192"/>
      <c r="M141" s="1917"/>
      <c r="N141" s="6"/>
      <c r="O141" s="6"/>
      <c r="P141" s="1507"/>
      <c r="Q141" s="1507"/>
      <c r="R141" s="1507"/>
      <c r="S141" s="1507"/>
      <c r="T141" s="1508"/>
      <c r="U141" s="1507"/>
      <c r="V141" s="1507"/>
      <c r="W141" s="2572"/>
      <c r="X141" s="1518"/>
      <c r="Y141" s="2573"/>
      <c r="Z141" s="2574"/>
      <c r="AA141" s="1510"/>
      <c r="AB141" s="1504"/>
      <c r="AC141" s="13"/>
      <c r="AD141" s="13"/>
      <c r="AE141" s="13"/>
      <c r="AF141" s="13"/>
      <c r="AG141" s="13"/>
      <c r="AH141" s="13"/>
      <c r="AI141" s="13"/>
    </row>
    <row r="142" spans="1:35" s="5" customFormat="1">
      <c r="A142" s="1503">
        <f t="shared" si="19"/>
        <v>39</v>
      </c>
      <c r="B142" s="6"/>
      <c r="C142" s="1912"/>
      <c r="D142" s="1805"/>
      <c r="E142" s="1915"/>
      <c r="F142" s="1915"/>
      <c r="G142" s="1549"/>
      <c r="H142" s="1549"/>
      <c r="I142" s="1504"/>
      <c r="J142" s="2192"/>
      <c r="K142" s="1916"/>
      <c r="L142" s="2192"/>
      <c r="M142" s="1917"/>
      <c r="N142" s="6"/>
      <c r="O142" s="6"/>
      <c r="P142" s="1507"/>
      <c r="Q142" s="1507"/>
      <c r="R142" s="1507"/>
      <c r="S142" s="1507"/>
      <c r="T142" s="1508"/>
      <c r="U142" s="1507"/>
      <c r="V142" s="1507"/>
      <c r="W142" s="2572"/>
      <c r="X142" s="1518"/>
      <c r="Y142" s="2573"/>
      <c r="Z142" s="2574"/>
      <c r="AA142" s="1510"/>
      <c r="AB142" s="1504"/>
      <c r="AC142" s="13"/>
      <c r="AD142" s="13"/>
      <c r="AE142" s="13"/>
      <c r="AF142" s="13"/>
      <c r="AG142" s="13"/>
      <c r="AH142" s="13"/>
      <c r="AI142" s="13"/>
    </row>
    <row r="143" spans="1:35" s="5" customFormat="1">
      <c r="A143" s="1503">
        <f t="shared" si="19"/>
        <v>40</v>
      </c>
      <c r="B143" s="6"/>
      <c r="C143" s="1912"/>
      <c r="D143" s="1805"/>
      <c r="E143" s="1915"/>
      <c r="F143" s="1915"/>
      <c r="G143" s="1549"/>
      <c r="H143" s="1549"/>
      <c r="I143" s="1504"/>
      <c r="J143" s="2192"/>
      <c r="K143" s="1916"/>
      <c r="L143" s="2192"/>
      <c r="M143" s="1917"/>
      <c r="N143" s="6"/>
      <c r="O143" s="6"/>
      <c r="P143" s="1507"/>
      <c r="Q143" s="1507"/>
      <c r="R143" s="1507"/>
      <c r="S143" s="1507"/>
      <c r="T143" s="1508"/>
      <c r="U143" s="1507"/>
      <c r="V143" s="1507"/>
      <c r="W143" s="2572"/>
      <c r="X143" s="1518"/>
      <c r="Y143" s="2573"/>
      <c r="Z143" s="2574"/>
      <c r="AA143" s="1510"/>
      <c r="AB143" s="1504"/>
      <c r="AC143" s="13"/>
      <c r="AD143" s="13"/>
      <c r="AE143" s="13"/>
      <c r="AF143" s="13"/>
      <c r="AG143" s="13"/>
      <c r="AH143" s="13"/>
      <c r="AI143" s="13"/>
    </row>
    <row r="144" spans="1:35" s="5" customFormat="1">
      <c r="A144" s="1503">
        <f t="shared" si="19"/>
        <v>41</v>
      </c>
      <c r="B144" s="6"/>
      <c r="C144" s="1912"/>
      <c r="D144" s="1805"/>
      <c r="E144" s="1915"/>
      <c r="F144" s="1915"/>
      <c r="G144" s="1549"/>
      <c r="H144" s="1549"/>
      <c r="I144" s="1504"/>
      <c r="J144" s="2192"/>
      <c r="K144" s="1916"/>
      <c r="L144" s="2192"/>
      <c r="M144" s="1917"/>
      <c r="N144" s="6"/>
      <c r="O144" s="6"/>
      <c r="P144" s="1507"/>
      <c r="Q144" s="1507"/>
      <c r="R144" s="1507"/>
      <c r="S144" s="1507"/>
      <c r="T144" s="1508"/>
      <c r="U144" s="1507"/>
      <c r="V144" s="1507"/>
      <c r="W144" s="2572"/>
      <c r="X144" s="1518"/>
      <c r="Y144" s="2573"/>
      <c r="Z144" s="2574"/>
      <c r="AA144" s="1510"/>
      <c r="AB144" s="1504"/>
      <c r="AC144" s="13"/>
      <c r="AD144" s="13"/>
      <c r="AE144" s="13"/>
      <c r="AF144" s="13"/>
      <c r="AG144" s="13"/>
      <c r="AH144" s="13"/>
      <c r="AI144" s="13"/>
    </row>
    <row r="145" spans="1:35" s="5" customFormat="1">
      <c r="A145" s="1503">
        <f t="shared" si="19"/>
        <v>42</v>
      </c>
      <c r="B145" s="6"/>
      <c r="C145" s="1912"/>
      <c r="D145" s="1805"/>
      <c r="E145" s="1915"/>
      <c r="F145" s="1915"/>
      <c r="G145" s="1549"/>
      <c r="H145" s="1549"/>
      <c r="I145" s="1504"/>
      <c r="J145" s="2192"/>
      <c r="K145" s="1916"/>
      <c r="L145" s="2192"/>
      <c r="M145" s="1917"/>
      <c r="N145" s="6"/>
      <c r="O145" s="6"/>
      <c r="P145" s="1507"/>
      <c r="Q145" s="1507"/>
      <c r="R145" s="1507"/>
      <c r="S145" s="1507"/>
      <c r="T145" s="1508"/>
      <c r="U145" s="1507"/>
      <c r="V145" s="1507"/>
      <c r="W145" s="2572"/>
      <c r="X145" s="1518"/>
      <c r="Y145" s="2573"/>
      <c r="Z145" s="2574"/>
      <c r="AA145" s="1510"/>
      <c r="AB145" s="1504"/>
      <c r="AC145" s="13"/>
      <c r="AD145" s="13"/>
      <c r="AE145" s="13"/>
      <c r="AF145" s="13"/>
      <c r="AG145" s="13"/>
      <c r="AH145" s="13"/>
      <c r="AI145" s="13"/>
    </row>
    <row r="146" spans="1:35" s="5" customFormat="1">
      <c r="A146" s="1503">
        <f t="shared" si="19"/>
        <v>43</v>
      </c>
      <c r="B146" s="6"/>
      <c r="C146" s="1912"/>
      <c r="D146" s="1805"/>
      <c r="E146" s="1915"/>
      <c r="F146" s="1915"/>
      <c r="G146" s="1549"/>
      <c r="H146" s="1549"/>
      <c r="I146" s="1504"/>
      <c r="J146" s="2192"/>
      <c r="K146" s="1916"/>
      <c r="L146" s="2192"/>
      <c r="M146" s="1917"/>
      <c r="N146" s="6"/>
      <c r="O146" s="6"/>
      <c r="P146" s="1507"/>
      <c r="Q146" s="1507"/>
      <c r="R146" s="1507"/>
      <c r="S146" s="1507"/>
      <c r="T146" s="1508"/>
      <c r="U146" s="1507"/>
      <c r="V146" s="1507"/>
      <c r="W146" s="2572"/>
      <c r="X146" s="1518"/>
      <c r="Y146" s="2573"/>
      <c r="Z146" s="2574"/>
      <c r="AA146" s="1510"/>
      <c r="AB146" s="1504"/>
      <c r="AC146" s="13"/>
      <c r="AD146" s="13"/>
      <c r="AE146" s="13"/>
      <c r="AF146" s="13"/>
      <c r="AG146" s="13"/>
      <c r="AH146" s="13"/>
      <c r="AI146" s="13"/>
    </row>
    <row r="147" spans="1:35" s="5" customFormat="1">
      <c r="A147" s="1503">
        <f t="shared" si="19"/>
        <v>44</v>
      </c>
      <c r="B147" s="6"/>
      <c r="C147" s="1912"/>
      <c r="D147" s="1805"/>
      <c r="E147" s="1915"/>
      <c r="F147" s="1915"/>
      <c r="G147" s="1549"/>
      <c r="H147" s="1549"/>
      <c r="I147" s="1504"/>
      <c r="J147" s="2192"/>
      <c r="K147" s="1916"/>
      <c r="L147" s="2192"/>
      <c r="M147" s="1917"/>
      <c r="N147" s="6"/>
      <c r="O147" s="6"/>
      <c r="P147" s="1507"/>
      <c r="Q147" s="1507"/>
      <c r="R147" s="1507"/>
      <c r="S147" s="1507"/>
      <c r="T147" s="1508"/>
      <c r="U147" s="1507"/>
      <c r="V147" s="1507"/>
      <c r="W147" s="2572"/>
      <c r="X147" s="1518"/>
      <c r="Y147" s="2573"/>
      <c r="Z147" s="2574"/>
      <c r="AA147" s="1510"/>
      <c r="AB147" s="1504"/>
      <c r="AC147" s="13"/>
      <c r="AD147" s="13"/>
      <c r="AE147" s="13"/>
      <c r="AF147" s="13"/>
      <c r="AG147" s="13"/>
      <c r="AH147" s="13"/>
      <c r="AI147" s="13"/>
    </row>
    <row r="148" spans="1:35" s="5" customFormat="1">
      <c r="A148" s="1503">
        <f t="shared" si="19"/>
        <v>45</v>
      </c>
      <c r="B148" s="6"/>
      <c r="C148" s="1912"/>
      <c r="D148" s="1805"/>
      <c r="E148" s="1915"/>
      <c r="F148" s="1915"/>
      <c r="G148" s="1549"/>
      <c r="H148" s="1549"/>
      <c r="I148" s="1504"/>
      <c r="J148" s="2192"/>
      <c r="K148" s="1916"/>
      <c r="L148" s="2192"/>
      <c r="M148" s="1917"/>
      <c r="N148" s="6"/>
      <c r="O148" s="6"/>
      <c r="P148" s="1507"/>
      <c r="Q148" s="1507"/>
      <c r="R148" s="1507"/>
      <c r="S148" s="1507"/>
      <c r="T148" s="1508"/>
      <c r="U148" s="1507"/>
      <c r="V148" s="1507"/>
      <c r="W148" s="2572"/>
      <c r="X148" s="1518"/>
      <c r="Y148" s="2573"/>
      <c r="Z148" s="2574"/>
      <c r="AA148" s="1510"/>
      <c r="AB148" s="1504"/>
      <c r="AC148" s="13"/>
      <c r="AD148" s="13"/>
      <c r="AE148" s="13"/>
      <c r="AF148" s="13"/>
      <c r="AG148" s="13"/>
      <c r="AH148" s="13"/>
      <c r="AI148" s="13"/>
    </row>
    <row r="149" spans="1:35" s="5" customFormat="1">
      <c r="A149" s="1503">
        <f t="shared" si="19"/>
        <v>46</v>
      </c>
      <c r="B149" s="6"/>
      <c r="C149" s="1912"/>
      <c r="D149" s="1805"/>
      <c r="E149" s="1915"/>
      <c r="F149" s="1915"/>
      <c r="G149" s="1549"/>
      <c r="H149" s="1549"/>
      <c r="I149" s="1504"/>
      <c r="J149" s="2192"/>
      <c r="K149" s="1916"/>
      <c r="L149" s="2192"/>
      <c r="M149" s="1917"/>
      <c r="N149" s="6"/>
      <c r="O149" s="6"/>
      <c r="P149" s="1507"/>
      <c r="Q149" s="1507"/>
      <c r="R149" s="1507"/>
      <c r="S149" s="1507"/>
      <c r="T149" s="1508"/>
      <c r="U149" s="1507"/>
      <c r="V149" s="1507"/>
      <c r="W149" s="2572"/>
      <c r="X149" s="1518"/>
      <c r="Y149" s="2573"/>
      <c r="Z149" s="2574"/>
      <c r="AA149" s="1510"/>
      <c r="AB149" s="1504"/>
      <c r="AC149" s="13"/>
      <c r="AD149" s="13"/>
      <c r="AE149" s="13"/>
      <c r="AF149" s="13"/>
      <c r="AG149" s="13"/>
      <c r="AH149" s="13"/>
      <c r="AI149" s="13"/>
    </row>
    <row r="150" spans="1:35" s="5" customFormat="1">
      <c r="A150" s="1503">
        <f t="shared" si="19"/>
        <v>47</v>
      </c>
      <c r="B150" s="6"/>
      <c r="C150" s="1912"/>
      <c r="D150" s="1805"/>
      <c r="E150" s="1915"/>
      <c r="F150" s="1915"/>
      <c r="G150" s="1549"/>
      <c r="H150" s="1549"/>
      <c r="I150" s="1504"/>
      <c r="J150" s="2192"/>
      <c r="K150" s="1916"/>
      <c r="L150" s="2192"/>
      <c r="M150" s="1917"/>
      <c r="N150" s="6"/>
      <c r="O150" s="6"/>
      <c r="P150" s="1507"/>
      <c r="Q150" s="1507"/>
      <c r="R150" s="1507"/>
      <c r="S150" s="1507"/>
      <c r="T150" s="1508"/>
      <c r="U150" s="1507"/>
      <c r="V150" s="1507"/>
      <c r="W150" s="2572"/>
      <c r="X150" s="1518"/>
      <c r="Y150" s="2573"/>
      <c r="Z150" s="2574"/>
      <c r="AA150" s="1510"/>
      <c r="AB150" s="1504"/>
      <c r="AC150" s="13"/>
      <c r="AD150" s="13"/>
      <c r="AE150" s="13"/>
      <c r="AF150" s="13"/>
      <c r="AG150" s="13"/>
      <c r="AH150" s="13"/>
      <c r="AI150" s="13"/>
    </row>
    <row r="151" spans="1:35" s="5" customFormat="1">
      <c r="A151" s="1503">
        <f t="shared" si="19"/>
        <v>48</v>
      </c>
      <c r="B151" s="6"/>
      <c r="C151" s="1912"/>
      <c r="D151" s="1805"/>
      <c r="E151" s="1915"/>
      <c r="F151" s="1915"/>
      <c r="G151" s="1549"/>
      <c r="H151" s="1549"/>
      <c r="I151" s="1504"/>
      <c r="J151" s="2192"/>
      <c r="K151" s="1916"/>
      <c r="L151" s="2192"/>
      <c r="M151" s="1917"/>
      <c r="N151" s="6"/>
      <c r="O151" s="6"/>
      <c r="P151" s="1507"/>
      <c r="Q151" s="1507"/>
      <c r="R151" s="1507"/>
      <c r="S151" s="1507"/>
      <c r="T151" s="1508"/>
      <c r="U151" s="1507"/>
      <c r="V151" s="1507"/>
      <c r="W151" s="2572"/>
      <c r="X151" s="1518"/>
      <c r="Y151" s="2573"/>
      <c r="Z151" s="2574"/>
      <c r="AA151" s="1510"/>
      <c r="AB151" s="1504"/>
      <c r="AC151" s="13"/>
      <c r="AD151" s="13"/>
      <c r="AE151" s="13"/>
      <c r="AF151" s="13"/>
      <c r="AG151" s="13"/>
      <c r="AH151" s="13"/>
      <c r="AI151" s="13"/>
    </row>
    <row r="152" spans="1:35" s="5" customFormat="1">
      <c r="A152" s="1503">
        <f t="shared" si="19"/>
        <v>49</v>
      </c>
      <c r="B152" s="6"/>
      <c r="C152" s="1912"/>
      <c r="D152" s="1805"/>
      <c r="E152" s="1915"/>
      <c r="F152" s="1915"/>
      <c r="G152" s="1549"/>
      <c r="H152" s="1549"/>
      <c r="I152" s="1504"/>
      <c r="J152" s="2192"/>
      <c r="K152" s="1916"/>
      <c r="L152" s="2192"/>
      <c r="M152" s="1917"/>
      <c r="N152" s="6"/>
      <c r="O152" s="6"/>
      <c r="P152" s="1507"/>
      <c r="Q152" s="1507"/>
      <c r="R152" s="1507"/>
      <c r="S152" s="1507"/>
      <c r="T152" s="1508"/>
      <c r="U152" s="1507"/>
      <c r="V152" s="1507"/>
      <c r="W152" s="2572"/>
      <c r="X152" s="1518"/>
      <c r="Y152" s="2573"/>
      <c r="Z152" s="2574"/>
      <c r="AA152" s="1510"/>
      <c r="AB152" s="1504"/>
      <c r="AC152" s="13"/>
      <c r="AD152" s="13"/>
      <c r="AE152" s="13"/>
      <c r="AF152" s="13"/>
      <c r="AG152" s="13"/>
      <c r="AH152" s="13"/>
      <c r="AI152" s="13"/>
    </row>
    <row r="153" spans="1:35" s="5" customFormat="1">
      <c r="A153" s="1503">
        <f t="shared" si="19"/>
        <v>50</v>
      </c>
      <c r="B153" s="6"/>
      <c r="C153" s="1912"/>
      <c r="D153" s="1805"/>
      <c r="E153" s="1915"/>
      <c r="F153" s="1915"/>
      <c r="G153" s="1549"/>
      <c r="H153" s="1549"/>
      <c r="I153" s="1504"/>
      <c r="J153" s="2192"/>
      <c r="K153" s="1916"/>
      <c r="L153" s="2192"/>
      <c r="M153" s="1917"/>
      <c r="N153" s="6"/>
      <c r="O153" s="6"/>
      <c r="P153" s="1507"/>
      <c r="Q153" s="1507"/>
      <c r="R153" s="1507"/>
      <c r="S153" s="1507"/>
      <c r="T153" s="1508"/>
      <c r="U153" s="1507"/>
      <c r="V153" s="1507"/>
      <c r="W153" s="2572"/>
      <c r="X153" s="1518"/>
      <c r="Y153" s="2573"/>
      <c r="Z153" s="2574"/>
      <c r="AA153" s="1510"/>
      <c r="AB153" s="1504"/>
      <c r="AC153" s="13"/>
      <c r="AD153" s="13"/>
      <c r="AE153" s="13"/>
      <c r="AF153" s="13"/>
      <c r="AG153" s="13"/>
      <c r="AH153" s="13"/>
      <c r="AI153" s="13"/>
    </row>
    <row r="154" spans="1:35" s="5" customFormat="1">
      <c r="A154" s="1503">
        <f t="shared" si="19"/>
        <v>51</v>
      </c>
      <c r="B154" s="6"/>
      <c r="C154" s="1912"/>
      <c r="D154" s="1805"/>
      <c r="E154" s="1915"/>
      <c r="F154" s="1915"/>
      <c r="G154" s="1549"/>
      <c r="H154" s="1549"/>
      <c r="I154" s="1504"/>
      <c r="J154" s="2192"/>
      <c r="K154" s="1916"/>
      <c r="L154" s="2192"/>
      <c r="M154" s="1917"/>
      <c r="N154" s="6"/>
      <c r="O154" s="6"/>
      <c r="P154" s="1507"/>
      <c r="Q154" s="1507"/>
      <c r="R154" s="1507"/>
      <c r="S154" s="1507"/>
      <c r="T154" s="1508"/>
      <c r="U154" s="1507"/>
      <c r="V154" s="1507"/>
      <c r="W154" s="2572"/>
      <c r="X154" s="1518"/>
      <c r="Y154" s="2573"/>
      <c r="Z154" s="2574"/>
      <c r="AA154" s="1510"/>
      <c r="AB154" s="1504"/>
      <c r="AC154" s="13"/>
      <c r="AD154" s="13"/>
      <c r="AE154" s="13"/>
      <c r="AF154" s="13"/>
      <c r="AG154" s="13"/>
      <c r="AH154" s="13"/>
      <c r="AI154" s="13"/>
    </row>
    <row r="155" spans="1:35" s="5" customFormat="1">
      <c r="A155" s="1503">
        <f t="shared" si="19"/>
        <v>52</v>
      </c>
      <c r="B155" s="6"/>
      <c r="C155" s="1912"/>
      <c r="D155" s="1805"/>
      <c r="E155" s="1915"/>
      <c r="F155" s="1915"/>
      <c r="G155" s="1549"/>
      <c r="H155" s="1549"/>
      <c r="I155" s="1504"/>
      <c r="J155" s="2192"/>
      <c r="K155" s="1916"/>
      <c r="L155" s="2192"/>
      <c r="M155" s="1917"/>
      <c r="N155" s="6"/>
      <c r="O155" s="6"/>
      <c r="P155" s="1507"/>
      <c r="Q155" s="1507"/>
      <c r="R155" s="1507"/>
      <c r="S155" s="1507"/>
      <c r="T155" s="1508"/>
      <c r="U155" s="1507"/>
      <c r="V155" s="1507"/>
      <c r="W155" s="2572"/>
      <c r="X155" s="1518"/>
      <c r="Y155" s="2573"/>
      <c r="Z155" s="2574"/>
      <c r="AA155" s="1510"/>
      <c r="AB155" s="1504"/>
      <c r="AC155" s="13"/>
      <c r="AD155" s="13"/>
      <c r="AE155" s="13"/>
      <c r="AF155" s="13"/>
      <c r="AG155" s="13"/>
      <c r="AH155" s="13"/>
      <c r="AI155" s="13"/>
    </row>
    <row r="156" spans="1:35" s="5" customFormat="1">
      <c r="A156" s="1503">
        <f t="shared" si="19"/>
        <v>53</v>
      </c>
      <c r="B156" s="6"/>
      <c r="C156" s="1912"/>
      <c r="D156" s="1805"/>
      <c r="E156" s="1915"/>
      <c r="F156" s="1915"/>
      <c r="G156" s="1549"/>
      <c r="H156" s="1549"/>
      <c r="I156" s="1504"/>
      <c r="J156" s="2192"/>
      <c r="K156" s="1916"/>
      <c r="L156" s="2192"/>
      <c r="M156" s="1917"/>
      <c r="N156" s="6"/>
      <c r="O156" s="6"/>
      <c r="P156" s="1507"/>
      <c r="Q156" s="1507"/>
      <c r="R156" s="1507"/>
      <c r="S156" s="1507"/>
      <c r="T156" s="1508"/>
      <c r="U156" s="1507"/>
      <c r="V156" s="1507"/>
      <c r="W156" s="2572"/>
      <c r="X156" s="1518"/>
      <c r="Y156" s="2573"/>
      <c r="Z156" s="2574"/>
      <c r="AA156" s="1510"/>
      <c r="AB156" s="1504"/>
      <c r="AC156" s="13"/>
      <c r="AD156" s="13"/>
      <c r="AE156" s="13"/>
      <c r="AF156" s="13"/>
      <c r="AG156" s="13"/>
      <c r="AH156" s="13"/>
      <c r="AI156" s="13"/>
    </row>
    <row r="157" spans="1:35" s="5" customFormat="1">
      <c r="A157" s="1503">
        <f t="shared" si="19"/>
        <v>54</v>
      </c>
      <c r="B157" s="6"/>
      <c r="C157" s="1912"/>
      <c r="D157" s="1805"/>
      <c r="E157" s="1915"/>
      <c r="F157" s="1915"/>
      <c r="G157" s="1549"/>
      <c r="H157" s="1549"/>
      <c r="I157" s="1504"/>
      <c r="J157" s="2192"/>
      <c r="K157" s="1916"/>
      <c r="L157" s="2192"/>
      <c r="M157" s="1917"/>
      <c r="N157" s="6"/>
      <c r="O157" s="6"/>
      <c r="P157" s="1507"/>
      <c r="Q157" s="1507"/>
      <c r="R157" s="1507"/>
      <c r="S157" s="1507"/>
      <c r="T157" s="1508"/>
      <c r="U157" s="1507"/>
      <c r="V157" s="1507"/>
      <c r="W157" s="2572"/>
      <c r="X157" s="1518"/>
      <c r="Y157" s="2573"/>
      <c r="Z157" s="2574"/>
      <c r="AA157" s="1510"/>
      <c r="AB157" s="1504"/>
      <c r="AC157" s="13"/>
      <c r="AD157" s="13"/>
      <c r="AE157" s="13"/>
      <c r="AF157" s="13"/>
      <c r="AG157" s="13"/>
      <c r="AH157" s="13"/>
      <c r="AI157" s="13"/>
    </row>
    <row r="158" spans="1:35" s="5" customFormat="1">
      <c r="A158" s="1503">
        <f t="shared" si="19"/>
        <v>55</v>
      </c>
      <c r="B158" s="6"/>
      <c r="C158" s="1912"/>
      <c r="D158" s="1805"/>
      <c r="E158" s="1915"/>
      <c r="F158" s="1915"/>
      <c r="G158" s="1549"/>
      <c r="H158" s="1549"/>
      <c r="I158" s="1504"/>
      <c r="J158" s="2192"/>
      <c r="K158" s="1916"/>
      <c r="L158" s="2192"/>
      <c r="M158" s="1917"/>
      <c r="N158" s="6"/>
      <c r="O158" s="6"/>
      <c r="P158" s="1507"/>
      <c r="Q158" s="1507"/>
      <c r="R158" s="1507"/>
      <c r="S158" s="1507"/>
      <c r="T158" s="1508"/>
      <c r="U158" s="1507"/>
      <c r="V158" s="1507"/>
      <c r="W158" s="2572"/>
      <c r="X158" s="1518"/>
      <c r="Y158" s="2573"/>
      <c r="Z158" s="2574"/>
      <c r="AA158" s="1510"/>
      <c r="AB158" s="1504"/>
      <c r="AC158" s="13"/>
      <c r="AD158" s="13"/>
      <c r="AE158" s="13"/>
      <c r="AF158" s="13"/>
      <c r="AG158" s="13"/>
      <c r="AH158" s="13"/>
      <c r="AI158" s="13"/>
    </row>
    <row r="159" spans="1:35" s="5" customFormat="1">
      <c r="A159" s="1503">
        <f t="shared" si="19"/>
        <v>56</v>
      </c>
      <c r="B159" s="6"/>
      <c r="C159" s="1912"/>
      <c r="D159" s="1805"/>
      <c r="E159" s="1915"/>
      <c r="F159" s="1915"/>
      <c r="G159" s="1549"/>
      <c r="H159" s="1549"/>
      <c r="I159" s="1504"/>
      <c r="J159" s="2192"/>
      <c r="K159" s="1916"/>
      <c r="L159" s="2192"/>
      <c r="M159" s="1917"/>
      <c r="N159" s="6"/>
      <c r="O159" s="6"/>
      <c r="P159" s="1507"/>
      <c r="Q159" s="1507"/>
      <c r="R159" s="1507"/>
      <c r="S159" s="1507"/>
      <c r="T159" s="1508"/>
      <c r="U159" s="1507"/>
      <c r="V159" s="1507"/>
      <c r="W159" s="2572"/>
      <c r="X159" s="1518"/>
      <c r="Y159" s="2573"/>
      <c r="Z159" s="2574"/>
      <c r="AA159" s="1510"/>
      <c r="AB159" s="1504"/>
      <c r="AC159" s="13"/>
      <c r="AD159" s="13"/>
      <c r="AE159" s="13"/>
      <c r="AF159" s="13"/>
      <c r="AG159" s="13"/>
      <c r="AH159" s="13"/>
      <c r="AI159" s="13"/>
    </row>
    <row r="160" spans="1:35" s="5" customFormat="1">
      <c r="A160" s="1503">
        <f t="shared" si="19"/>
        <v>57</v>
      </c>
      <c r="B160" s="6"/>
      <c r="C160" s="1912"/>
      <c r="D160" s="1805"/>
      <c r="E160" s="1915"/>
      <c r="F160" s="1915"/>
      <c r="G160" s="1549"/>
      <c r="H160" s="1549"/>
      <c r="I160" s="1504"/>
      <c r="J160" s="2192"/>
      <c r="K160" s="1916"/>
      <c r="L160" s="2192"/>
      <c r="M160" s="1917"/>
      <c r="N160" s="6"/>
      <c r="O160" s="6"/>
      <c r="P160" s="1507"/>
      <c r="Q160" s="1507"/>
      <c r="R160" s="1507"/>
      <c r="S160" s="1507"/>
      <c r="T160" s="1508"/>
      <c r="U160" s="1507"/>
      <c r="V160" s="1507"/>
      <c r="W160" s="2572"/>
      <c r="X160" s="1518"/>
      <c r="Y160" s="2573"/>
      <c r="Z160" s="2574"/>
      <c r="AA160" s="1510"/>
      <c r="AB160" s="1504"/>
      <c r="AC160" s="13"/>
      <c r="AD160" s="13"/>
      <c r="AE160" s="13"/>
      <c r="AF160" s="13"/>
      <c r="AG160" s="13"/>
      <c r="AH160" s="13"/>
      <c r="AI160" s="13"/>
    </row>
    <row r="161" spans="1:35" s="5" customFormat="1">
      <c r="A161" s="1503">
        <f t="shared" si="19"/>
        <v>58</v>
      </c>
      <c r="B161" s="6"/>
      <c r="C161" s="1912"/>
      <c r="D161" s="1805"/>
      <c r="E161" s="1915"/>
      <c r="F161" s="1915"/>
      <c r="G161" s="1549"/>
      <c r="H161" s="1549"/>
      <c r="I161" s="1504"/>
      <c r="J161" s="2192"/>
      <c r="K161" s="1916"/>
      <c r="L161" s="2192"/>
      <c r="M161" s="1917"/>
      <c r="N161" s="6"/>
      <c r="O161" s="6"/>
      <c r="P161" s="1507"/>
      <c r="Q161" s="1507"/>
      <c r="R161" s="1507"/>
      <c r="S161" s="1507"/>
      <c r="T161" s="1508"/>
      <c r="U161" s="1507"/>
      <c r="V161" s="1507"/>
      <c r="W161" s="2572"/>
      <c r="X161" s="1518"/>
      <c r="Y161" s="2573"/>
      <c r="Z161" s="2574"/>
      <c r="AA161" s="1510"/>
      <c r="AB161" s="1504"/>
      <c r="AC161" s="13"/>
      <c r="AD161" s="13"/>
      <c r="AE161" s="13"/>
      <c r="AF161" s="13"/>
      <c r="AG161" s="13"/>
      <c r="AH161" s="13"/>
      <c r="AI161" s="13"/>
    </row>
    <row r="162" spans="1:35" s="5" customFormat="1">
      <c r="A162" s="1503">
        <f t="shared" si="19"/>
        <v>59</v>
      </c>
      <c r="B162" s="6"/>
      <c r="C162" s="1912"/>
      <c r="D162" s="1805"/>
      <c r="E162" s="1915"/>
      <c r="F162" s="1915"/>
      <c r="G162" s="1549"/>
      <c r="H162" s="1549"/>
      <c r="I162" s="1504"/>
      <c r="J162" s="2192"/>
      <c r="K162" s="1916"/>
      <c r="L162" s="2192"/>
      <c r="M162" s="1917"/>
      <c r="N162" s="6"/>
      <c r="O162" s="6"/>
      <c r="P162" s="1507"/>
      <c r="Q162" s="1507"/>
      <c r="R162" s="1507"/>
      <c r="S162" s="1507"/>
      <c r="T162" s="1508"/>
      <c r="U162" s="1507"/>
      <c r="V162" s="1507"/>
      <c r="W162" s="2572"/>
      <c r="X162" s="1518"/>
      <c r="Y162" s="2573"/>
      <c r="Z162" s="2574"/>
      <c r="AA162" s="1510"/>
      <c r="AB162" s="1504"/>
      <c r="AC162" s="13"/>
      <c r="AD162" s="13"/>
      <c r="AE162" s="13"/>
      <c r="AF162" s="13"/>
      <c r="AG162" s="13"/>
      <c r="AH162" s="13"/>
      <c r="AI162" s="13"/>
    </row>
    <row r="163" spans="1:35" s="5" customFormat="1">
      <c r="A163" s="1503">
        <f t="shared" si="19"/>
        <v>60</v>
      </c>
      <c r="B163" s="6"/>
      <c r="C163" s="1912"/>
      <c r="D163" s="1805"/>
      <c r="E163" s="1915"/>
      <c r="F163" s="1915"/>
      <c r="G163" s="1549"/>
      <c r="H163" s="1549"/>
      <c r="I163" s="1504"/>
      <c r="J163" s="2192"/>
      <c r="K163" s="1916"/>
      <c r="L163" s="2192"/>
      <c r="M163" s="1917"/>
      <c r="N163" s="6"/>
      <c r="O163" s="6"/>
      <c r="P163" s="1507"/>
      <c r="Q163" s="1507"/>
      <c r="R163" s="1507"/>
      <c r="S163" s="1507"/>
      <c r="T163" s="1508"/>
      <c r="U163" s="1507"/>
      <c r="V163" s="1507"/>
      <c r="W163" s="2572"/>
      <c r="X163" s="1518"/>
      <c r="Y163" s="2573"/>
      <c r="Z163" s="2574"/>
      <c r="AA163" s="1510"/>
      <c r="AB163" s="1504"/>
      <c r="AC163" s="13"/>
      <c r="AD163" s="13"/>
      <c r="AE163" s="13"/>
      <c r="AF163" s="13"/>
      <c r="AG163" s="13"/>
      <c r="AH163" s="13"/>
      <c r="AI163" s="13"/>
    </row>
    <row r="164" spans="1:35" s="5" customFormat="1">
      <c r="A164" s="1503">
        <f t="shared" si="19"/>
        <v>61</v>
      </c>
      <c r="B164" s="6"/>
      <c r="C164" s="1912"/>
      <c r="D164" s="1805"/>
      <c r="E164" s="1915"/>
      <c r="F164" s="1915"/>
      <c r="G164" s="1549"/>
      <c r="H164" s="1549"/>
      <c r="I164" s="1504"/>
      <c r="J164" s="2192"/>
      <c r="K164" s="1916"/>
      <c r="L164" s="2192"/>
      <c r="M164" s="1917"/>
      <c r="N164" s="6"/>
      <c r="O164" s="6"/>
      <c r="P164" s="1507"/>
      <c r="Q164" s="1507"/>
      <c r="R164" s="1507"/>
      <c r="S164" s="1507"/>
      <c r="T164" s="1508"/>
      <c r="U164" s="1507"/>
      <c r="V164" s="1507"/>
      <c r="W164" s="2572"/>
      <c r="X164" s="1518"/>
      <c r="Y164" s="2573"/>
      <c r="Z164" s="2574"/>
      <c r="AA164" s="1510"/>
      <c r="AB164" s="1504"/>
      <c r="AC164" s="13"/>
      <c r="AD164" s="13"/>
      <c r="AE164" s="13"/>
      <c r="AF164" s="13"/>
      <c r="AG164" s="13"/>
      <c r="AH164" s="13"/>
      <c r="AI164" s="13"/>
    </row>
    <row r="165" spans="1:35" s="5" customFormat="1">
      <c r="A165" s="1503">
        <f t="shared" si="19"/>
        <v>62</v>
      </c>
      <c r="B165" s="6"/>
      <c r="C165" s="1912"/>
      <c r="D165" s="1805"/>
      <c r="E165" s="1915"/>
      <c r="F165" s="1915"/>
      <c r="G165" s="1549"/>
      <c r="H165" s="1549"/>
      <c r="I165" s="1504"/>
      <c r="J165" s="2192"/>
      <c r="K165" s="1916"/>
      <c r="L165" s="2192"/>
      <c r="M165" s="1917"/>
      <c r="N165" s="6"/>
      <c r="O165" s="6"/>
      <c r="P165" s="1507"/>
      <c r="Q165" s="1507"/>
      <c r="R165" s="1507"/>
      <c r="S165" s="1507"/>
      <c r="T165" s="1508"/>
      <c r="U165" s="1507"/>
      <c r="V165" s="1507"/>
      <c r="W165" s="2572"/>
      <c r="X165" s="1518"/>
      <c r="Y165" s="2573"/>
      <c r="Z165" s="2574"/>
      <c r="AA165" s="1510"/>
      <c r="AB165" s="1504"/>
      <c r="AC165" s="13"/>
      <c r="AD165" s="13"/>
      <c r="AE165" s="13"/>
      <c r="AF165" s="13"/>
      <c r="AG165" s="13"/>
      <c r="AH165" s="13"/>
      <c r="AI165" s="13"/>
    </row>
    <row r="166" spans="1:35" s="5" customFormat="1">
      <c r="A166" s="1503">
        <f t="shared" si="19"/>
        <v>63</v>
      </c>
      <c r="B166" s="6"/>
      <c r="C166" s="1912"/>
      <c r="D166" s="1805"/>
      <c r="E166" s="1915"/>
      <c r="F166" s="1915"/>
      <c r="G166" s="1549"/>
      <c r="H166" s="1549"/>
      <c r="I166" s="1504"/>
      <c r="J166" s="2192"/>
      <c r="K166" s="1916"/>
      <c r="L166" s="2192"/>
      <c r="M166" s="1917"/>
      <c r="N166" s="6"/>
      <c r="O166" s="6"/>
      <c r="P166" s="1507"/>
      <c r="Q166" s="1507"/>
      <c r="R166" s="1507"/>
      <c r="S166" s="1507"/>
      <c r="T166" s="1508"/>
      <c r="U166" s="1507"/>
      <c r="V166" s="1507"/>
      <c r="W166" s="2572"/>
      <c r="X166" s="1518"/>
      <c r="Y166" s="2573"/>
      <c r="Z166" s="2574"/>
      <c r="AA166" s="1510"/>
      <c r="AB166" s="1504"/>
      <c r="AC166" s="13"/>
      <c r="AD166" s="13"/>
      <c r="AE166" s="13"/>
      <c r="AF166" s="13"/>
      <c r="AG166" s="13"/>
      <c r="AH166" s="13"/>
      <c r="AI166" s="13"/>
    </row>
    <row r="167" spans="1:35" s="5" customFormat="1">
      <c r="A167" s="1503">
        <f t="shared" si="19"/>
        <v>64</v>
      </c>
      <c r="B167" s="6"/>
      <c r="C167" s="1912"/>
      <c r="D167" s="1805"/>
      <c r="E167" s="1915"/>
      <c r="F167" s="1915"/>
      <c r="G167" s="1549"/>
      <c r="H167" s="1549"/>
      <c r="I167" s="1504"/>
      <c r="J167" s="2192"/>
      <c r="K167" s="1916"/>
      <c r="L167" s="2192"/>
      <c r="M167" s="1917"/>
      <c r="N167" s="6"/>
      <c r="O167" s="6"/>
      <c r="P167" s="1507"/>
      <c r="Q167" s="1507"/>
      <c r="R167" s="1507"/>
      <c r="S167" s="1507"/>
      <c r="T167" s="1508"/>
      <c r="U167" s="1507"/>
      <c r="V167" s="1507"/>
      <c r="W167" s="2572"/>
      <c r="X167" s="1518"/>
      <c r="Y167" s="2573"/>
      <c r="Z167" s="2574"/>
      <c r="AA167" s="1510"/>
      <c r="AB167" s="1504"/>
      <c r="AC167" s="13"/>
      <c r="AD167" s="13"/>
      <c r="AE167" s="13"/>
      <c r="AF167" s="13"/>
      <c r="AG167" s="13"/>
      <c r="AH167" s="13"/>
      <c r="AI167" s="13"/>
    </row>
  </sheetData>
  <mergeCells count="8">
    <mergeCell ref="A103:M103"/>
    <mergeCell ref="A85:M85"/>
    <mergeCell ref="A66:M66"/>
    <mergeCell ref="A5:M5"/>
    <mergeCell ref="A2:K2"/>
    <mergeCell ref="D3:L3"/>
    <mergeCell ref="A32:M32"/>
    <mergeCell ref="A49:M49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153EF-F615-474D-8450-808A224AA1CF}">
  <dimension ref="A1:AO334"/>
  <sheetViews>
    <sheetView zoomScale="85" zoomScaleNormal="85" zoomScaleSheetLayoutView="66" workbookViewId="0">
      <pane xSplit="14" ySplit="5" topLeftCell="O146" activePane="bottomRight" state="frozen"/>
      <selection pane="topRight" activeCell="O1" sqref="O1"/>
      <selection pane="bottomLeft" activeCell="A7" sqref="A7"/>
      <selection pane="bottomRight" activeCell="M155" sqref="M155"/>
    </sheetView>
  </sheetViews>
  <sheetFormatPr defaultColWidth="10.33203125" defaultRowHeight="13.2"/>
  <cols>
    <col min="1" max="1" width="3.88671875" style="1" customWidth="1"/>
    <col min="2" max="2" width="13.109375" style="1" customWidth="1"/>
    <col min="3" max="3" width="17.33203125" style="4" customWidth="1"/>
    <col min="4" max="4" width="10" style="3" customWidth="1"/>
    <col min="5" max="5" width="15" style="4" customWidth="1"/>
    <col min="6" max="6" width="36" style="4" customWidth="1"/>
    <col min="7" max="7" width="6.33203125" style="4" customWidth="1"/>
    <col min="8" max="9" width="3.44140625" style="6" customWidth="1"/>
    <col min="10" max="10" width="4.6640625" style="6" customWidth="1"/>
    <col min="11" max="11" width="8" style="11" customWidth="1"/>
    <col min="12" max="12" width="20" style="5" customWidth="1"/>
    <col min="13" max="13" width="14.6640625" style="5" customWidth="1"/>
    <col min="14" max="14" width="30.5546875" style="5" customWidth="1"/>
    <col min="15" max="15" width="18" style="5" customWidth="1"/>
    <col min="16" max="16" width="17.5546875" style="7" customWidth="1"/>
    <col min="17" max="17" width="12.5546875" style="5" customWidth="1"/>
    <col min="18" max="18" width="12.33203125" style="5" customWidth="1"/>
    <col min="19" max="20" width="12.109375" style="6" customWidth="1"/>
    <col min="21" max="21" width="11.33203125" style="1" customWidth="1"/>
    <col min="22" max="22" width="12.44140625" style="6" customWidth="1"/>
    <col min="23" max="23" width="15.33203125" style="1767" customWidth="1"/>
    <col min="24" max="24" width="14.5546875" style="1766" customWidth="1"/>
    <col min="25" max="26" width="13.44140625" style="1766" customWidth="1"/>
    <col min="27" max="27" width="15.33203125" style="1766" customWidth="1"/>
    <col min="28" max="28" width="11.88671875" style="1766" customWidth="1"/>
    <col min="29" max="29" width="14" style="1766" customWidth="1"/>
    <col min="30" max="30" width="15.33203125" style="1767" customWidth="1"/>
    <col min="31" max="31" width="13.33203125" style="1766" customWidth="1"/>
    <col min="32" max="32" width="16.33203125" style="1766" customWidth="1"/>
    <col min="33" max="33" width="19.44140625" style="1766" customWidth="1"/>
    <col min="34" max="34" width="39.5546875" style="1768" customWidth="1"/>
    <col min="35" max="35" width="18.6640625" style="1799" customWidth="1"/>
    <col min="36" max="36" width="18.5546875" style="1770" customWidth="1"/>
    <col min="37" max="37" width="18.5546875" style="1771" customWidth="1"/>
    <col min="38" max="38" width="19" style="5" customWidth="1"/>
    <col min="39" max="202" width="10.33203125" style="13"/>
    <col min="203" max="203" width="7" style="13" customWidth="1"/>
    <col min="204" max="204" width="13" style="13" customWidth="1"/>
    <col min="205" max="205" width="14.109375" style="13" customWidth="1"/>
    <col min="206" max="206" width="17.33203125" style="13" customWidth="1"/>
    <col min="207" max="207" width="18.88671875" style="13" customWidth="1"/>
    <col min="208" max="208" width="14.109375" style="13" customWidth="1"/>
    <col min="209" max="209" width="21.5546875" style="13" customWidth="1"/>
    <col min="210" max="211" width="14.109375" style="13" customWidth="1"/>
    <col min="212" max="212" width="15" style="13" customWidth="1"/>
    <col min="213" max="213" width="13.33203125" style="13" customWidth="1"/>
    <col min="214" max="214" width="17" style="13" customWidth="1"/>
    <col min="215" max="215" width="24.88671875" style="13" customWidth="1"/>
    <col min="216" max="216" width="14.44140625" style="13" customWidth="1"/>
    <col min="217" max="217" width="23.109375" style="13" customWidth="1"/>
    <col min="218" max="218" width="13.109375" style="13" customWidth="1"/>
    <col min="219" max="222" width="0" style="13" hidden="1" customWidth="1"/>
    <col min="223" max="458" width="10.33203125" style="13"/>
    <col min="459" max="459" width="7" style="13" customWidth="1"/>
    <col min="460" max="460" width="13" style="13" customWidth="1"/>
    <col min="461" max="461" width="14.109375" style="13" customWidth="1"/>
    <col min="462" max="462" width="17.33203125" style="13" customWidth="1"/>
    <col min="463" max="463" width="18.88671875" style="13" customWidth="1"/>
    <col min="464" max="464" width="14.109375" style="13" customWidth="1"/>
    <col min="465" max="465" width="21.5546875" style="13" customWidth="1"/>
    <col min="466" max="467" width="14.109375" style="13" customWidth="1"/>
    <col min="468" max="468" width="15" style="13" customWidth="1"/>
    <col min="469" max="469" width="13.33203125" style="13" customWidth="1"/>
    <col min="470" max="470" width="17" style="13" customWidth="1"/>
    <col min="471" max="471" width="24.88671875" style="13" customWidth="1"/>
    <col min="472" max="472" width="14.44140625" style="13" customWidth="1"/>
    <col min="473" max="473" width="23.109375" style="13" customWidth="1"/>
    <col min="474" max="474" width="13.109375" style="13" customWidth="1"/>
    <col min="475" max="478" width="0" style="13" hidden="1" customWidth="1"/>
    <col min="479" max="714" width="10.33203125" style="13"/>
    <col min="715" max="715" width="7" style="13" customWidth="1"/>
    <col min="716" max="716" width="13" style="13" customWidth="1"/>
    <col min="717" max="717" width="14.109375" style="13" customWidth="1"/>
    <col min="718" max="718" width="17.33203125" style="13" customWidth="1"/>
    <col min="719" max="719" width="18.88671875" style="13" customWidth="1"/>
    <col min="720" max="720" width="14.109375" style="13" customWidth="1"/>
    <col min="721" max="721" width="21.5546875" style="13" customWidth="1"/>
    <col min="722" max="723" width="14.109375" style="13" customWidth="1"/>
    <col min="724" max="724" width="15" style="13" customWidth="1"/>
    <col min="725" max="725" width="13.33203125" style="13" customWidth="1"/>
    <col min="726" max="726" width="17" style="13" customWidth="1"/>
    <col min="727" max="727" width="24.88671875" style="13" customWidth="1"/>
    <col min="728" max="728" width="14.44140625" style="13" customWidth="1"/>
    <col min="729" max="729" width="23.109375" style="13" customWidth="1"/>
    <col min="730" max="730" width="13.109375" style="13" customWidth="1"/>
    <col min="731" max="734" width="0" style="13" hidden="1" customWidth="1"/>
    <col min="735" max="970" width="10.33203125" style="13"/>
    <col min="971" max="971" width="7" style="13" customWidth="1"/>
    <col min="972" max="972" width="13" style="13" customWidth="1"/>
    <col min="973" max="973" width="14.109375" style="13" customWidth="1"/>
    <col min="974" max="974" width="17.33203125" style="13" customWidth="1"/>
    <col min="975" max="975" width="18.88671875" style="13" customWidth="1"/>
    <col min="976" max="976" width="14.109375" style="13" customWidth="1"/>
    <col min="977" max="977" width="21.5546875" style="13" customWidth="1"/>
    <col min="978" max="979" width="14.109375" style="13" customWidth="1"/>
    <col min="980" max="980" width="15" style="13" customWidth="1"/>
    <col min="981" max="981" width="13.33203125" style="13" customWidth="1"/>
    <col min="982" max="982" width="17" style="13" customWidth="1"/>
    <col min="983" max="983" width="24.88671875" style="13" customWidth="1"/>
    <col min="984" max="984" width="14.44140625" style="13" customWidth="1"/>
    <col min="985" max="985" width="23.109375" style="13" customWidth="1"/>
    <col min="986" max="986" width="13.109375" style="13" customWidth="1"/>
    <col min="987" max="990" width="0" style="13" hidden="1" customWidth="1"/>
    <col min="991" max="1226" width="10.33203125" style="13"/>
    <col min="1227" max="1227" width="7" style="13" customWidth="1"/>
    <col min="1228" max="1228" width="13" style="13" customWidth="1"/>
    <col min="1229" max="1229" width="14.109375" style="13" customWidth="1"/>
    <col min="1230" max="1230" width="17.33203125" style="13" customWidth="1"/>
    <col min="1231" max="1231" width="18.88671875" style="13" customWidth="1"/>
    <col min="1232" max="1232" width="14.109375" style="13" customWidth="1"/>
    <col min="1233" max="1233" width="21.5546875" style="13" customWidth="1"/>
    <col min="1234" max="1235" width="14.109375" style="13" customWidth="1"/>
    <col min="1236" max="1236" width="15" style="13" customWidth="1"/>
    <col min="1237" max="1237" width="13.33203125" style="13" customWidth="1"/>
    <col min="1238" max="1238" width="17" style="13" customWidth="1"/>
    <col min="1239" max="1239" width="24.88671875" style="13" customWidth="1"/>
    <col min="1240" max="1240" width="14.44140625" style="13" customWidth="1"/>
    <col min="1241" max="1241" width="23.109375" style="13" customWidth="1"/>
    <col min="1242" max="1242" width="13.109375" style="13" customWidth="1"/>
    <col min="1243" max="1246" width="0" style="13" hidden="1" customWidth="1"/>
    <col min="1247" max="1482" width="10.33203125" style="13"/>
    <col min="1483" max="1483" width="7" style="13" customWidth="1"/>
    <col min="1484" max="1484" width="13" style="13" customWidth="1"/>
    <col min="1485" max="1485" width="14.109375" style="13" customWidth="1"/>
    <col min="1486" max="1486" width="17.33203125" style="13" customWidth="1"/>
    <col min="1487" max="1487" width="18.88671875" style="13" customWidth="1"/>
    <col min="1488" max="1488" width="14.109375" style="13" customWidth="1"/>
    <col min="1489" max="1489" width="21.5546875" style="13" customWidth="1"/>
    <col min="1490" max="1491" width="14.109375" style="13" customWidth="1"/>
    <col min="1492" max="1492" width="15" style="13" customWidth="1"/>
    <col min="1493" max="1493" width="13.33203125" style="13" customWidth="1"/>
    <col min="1494" max="1494" width="17" style="13" customWidth="1"/>
    <col min="1495" max="1495" width="24.88671875" style="13" customWidth="1"/>
    <col min="1496" max="1496" width="14.44140625" style="13" customWidth="1"/>
    <col min="1497" max="1497" width="23.109375" style="13" customWidth="1"/>
    <col min="1498" max="1498" width="13.109375" style="13" customWidth="1"/>
    <col min="1499" max="1502" width="0" style="13" hidden="1" customWidth="1"/>
    <col min="1503" max="1738" width="10.33203125" style="13"/>
    <col min="1739" max="1739" width="7" style="13" customWidth="1"/>
    <col min="1740" max="1740" width="13" style="13" customWidth="1"/>
    <col min="1741" max="1741" width="14.109375" style="13" customWidth="1"/>
    <col min="1742" max="1742" width="17.33203125" style="13" customWidth="1"/>
    <col min="1743" max="1743" width="18.88671875" style="13" customWidth="1"/>
    <col min="1744" max="1744" width="14.109375" style="13" customWidth="1"/>
    <col min="1745" max="1745" width="21.5546875" style="13" customWidth="1"/>
    <col min="1746" max="1747" width="14.109375" style="13" customWidth="1"/>
    <col min="1748" max="1748" width="15" style="13" customWidth="1"/>
    <col min="1749" max="1749" width="13.33203125" style="13" customWidth="1"/>
    <col min="1750" max="1750" width="17" style="13" customWidth="1"/>
    <col min="1751" max="1751" width="24.88671875" style="13" customWidth="1"/>
    <col min="1752" max="1752" width="14.44140625" style="13" customWidth="1"/>
    <col min="1753" max="1753" width="23.109375" style="13" customWidth="1"/>
    <col min="1754" max="1754" width="13.109375" style="13" customWidth="1"/>
    <col min="1755" max="1758" width="0" style="13" hidden="1" customWidth="1"/>
    <col min="1759" max="1994" width="10.33203125" style="13"/>
    <col min="1995" max="1995" width="7" style="13" customWidth="1"/>
    <col min="1996" max="1996" width="13" style="13" customWidth="1"/>
    <col min="1997" max="1997" width="14.109375" style="13" customWidth="1"/>
    <col min="1998" max="1998" width="17.33203125" style="13" customWidth="1"/>
    <col min="1999" max="1999" width="18.88671875" style="13" customWidth="1"/>
    <col min="2000" max="2000" width="14.109375" style="13" customWidth="1"/>
    <col min="2001" max="2001" width="21.5546875" style="13" customWidth="1"/>
    <col min="2002" max="2003" width="14.109375" style="13" customWidth="1"/>
    <col min="2004" max="2004" width="15" style="13" customWidth="1"/>
    <col min="2005" max="2005" width="13.33203125" style="13" customWidth="1"/>
    <col min="2006" max="2006" width="17" style="13" customWidth="1"/>
    <col min="2007" max="2007" width="24.88671875" style="13" customWidth="1"/>
    <col min="2008" max="2008" width="14.44140625" style="13" customWidth="1"/>
    <col min="2009" max="2009" width="23.109375" style="13" customWidth="1"/>
    <col min="2010" max="2010" width="13.109375" style="13" customWidth="1"/>
    <col min="2011" max="2014" width="0" style="13" hidden="1" customWidth="1"/>
    <col min="2015" max="2250" width="10.33203125" style="13"/>
    <col min="2251" max="2251" width="7" style="13" customWidth="1"/>
    <col min="2252" max="2252" width="13" style="13" customWidth="1"/>
    <col min="2253" max="2253" width="14.109375" style="13" customWidth="1"/>
    <col min="2254" max="2254" width="17.33203125" style="13" customWidth="1"/>
    <col min="2255" max="2255" width="18.88671875" style="13" customWidth="1"/>
    <col min="2256" max="2256" width="14.109375" style="13" customWidth="1"/>
    <col min="2257" max="2257" width="21.5546875" style="13" customWidth="1"/>
    <col min="2258" max="2259" width="14.109375" style="13" customWidth="1"/>
    <col min="2260" max="2260" width="15" style="13" customWidth="1"/>
    <col min="2261" max="2261" width="13.33203125" style="13" customWidth="1"/>
    <col min="2262" max="2262" width="17" style="13" customWidth="1"/>
    <col min="2263" max="2263" width="24.88671875" style="13" customWidth="1"/>
    <col min="2264" max="2264" width="14.44140625" style="13" customWidth="1"/>
    <col min="2265" max="2265" width="23.109375" style="13" customWidth="1"/>
    <col min="2266" max="2266" width="13.109375" style="13" customWidth="1"/>
    <col min="2267" max="2270" width="0" style="13" hidden="1" customWidth="1"/>
    <col min="2271" max="2506" width="10.33203125" style="13"/>
    <col min="2507" max="2507" width="7" style="13" customWidth="1"/>
    <col min="2508" max="2508" width="13" style="13" customWidth="1"/>
    <col min="2509" max="2509" width="14.109375" style="13" customWidth="1"/>
    <col min="2510" max="2510" width="17.33203125" style="13" customWidth="1"/>
    <col min="2511" max="2511" width="18.88671875" style="13" customWidth="1"/>
    <col min="2512" max="2512" width="14.109375" style="13" customWidth="1"/>
    <col min="2513" max="2513" width="21.5546875" style="13" customWidth="1"/>
    <col min="2514" max="2515" width="14.109375" style="13" customWidth="1"/>
    <col min="2516" max="2516" width="15" style="13" customWidth="1"/>
    <col min="2517" max="2517" width="13.33203125" style="13" customWidth="1"/>
    <col min="2518" max="2518" width="17" style="13" customWidth="1"/>
    <col min="2519" max="2519" width="24.88671875" style="13" customWidth="1"/>
    <col min="2520" max="2520" width="14.44140625" style="13" customWidth="1"/>
    <col min="2521" max="2521" width="23.109375" style="13" customWidth="1"/>
    <col min="2522" max="2522" width="13.109375" style="13" customWidth="1"/>
    <col min="2523" max="2526" width="0" style="13" hidden="1" customWidth="1"/>
    <col min="2527" max="2762" width="10.33203125" style="13"/>
    <col min="2763" max="2763" width="7" style="13" customWidth="1"/>
    <col min="2764" max="2764" width="13" style="13" customWidth="1"/>
    <col min="2765" max="2765" width="14.109375" style="13" customWidth="1"/>
    <col min="2766" max="2766" width="17.33203125" style="13" customWidth="1"/>
    <col min="2767" max="2767" width="18.88671875" style="13" customWidth="1"/>
    <col min="2768" max="2768" width="14.109375" style="13" customWidth="1"/>
    <col min="2769" max="2769" width="21.5546875" style="13" customWidth="1"/>
    <col min="2770" max="2771" width="14.109375" style="13" customWidth="1"/>
    <col min="2772" max="2772" width="15" style="13" customWidth="1"/>
    <col min="2773" max="2773" width="13.33203125" style="13" customWidth="1"/>
    <col min="2774" max="2774" width="17" style="13" customWidth="1"/>
    <col min="2775" max="2775" width="24.88671875" style="13" customWidth="1"/>
    <col min="2776" max="2776" width="14.44140625" style="13" customWidth="1"/>
    <col min="2777" max="2777" width="23.109375" style="13" customWidth="1"/>
    <col min="2778" max="2778" width="13.109375" style="13" customWidth="1"/>
    <col min="2779" max="2782" width="0" style="13" hidden="1" customWidth="1"/>
    <col min="2783" max="3018" width="10.33203125" style="13"/>
    <col min="3019" max="3019" width="7" style="13" customWidth="1"/>
    <col min="3020" max="3020" width="13" style="13" customWidth="1"/>
    <col min="3021" max="3021" width="14.109375" style="13" customWidth="1"/>
    <col min="3022" max="3022" width="17.33203125" style="13" customWidth="1"/>
    <col min="3023" max="3023" width="18.88671875" style="13" customWidth="1"/>
    <col min="3024" max="3024" width="14.109375" style="13" customWidth="1"/>
    <col min="3025" max="3025" width="21.5546875" style="13" customWidth="1"/>
    <col min="3026" max="3027" width="14.109375" style="13" customWidth="1"/>
    <col min="3028" max="3028" width="15" style="13" customWidth="1"/>
    <col min="3029" max="3029" width="13.33203125" style="13" customWidth="1"/>
    <col min="3030" max="3030" width="17" style="13" customWidth="1"/>
    <col min="3031" max="3031" width="24.88671875" style="13" customWidth="1"/>
    <col min="3032" max="3032" width="14.44140625" style="13" customWidth="1"/>
    <col min="3033" max="3033" width="23.109375" style="13" customWidth="1"/>
    <col min="3034" max="3034" width="13.109375" style="13" customWidth="1"/>
    <col min="3035" max="3038" width="0" style="13" hidden="1" customWidth="1"/>
    <col min="3039" max="3274" width="10.33203125" style="13"/>
    <col min="3275" max="3275" width="7" style="13" customWidth="1"/>
    <col min="3276" max="3276" width="13" style="13" customWidth="1"/>
    <col min="3277" max="3277" width="14.109375" style="13" customWidth="1"/>
    <col min="3278" max="3278" width="17.33203125" style="13" customWidth="1"/>
    <col min="3279" max="3279" width="18.88671875" style="13" customWidth="1"/>
    <col min="3280" max="3280" width="14.109375" style="13" customWidth="1"/>
    <col min="3281" max="3281" width="21.5546875" style="13" customWidth="1"/>
    <col min="3282" max="3283" width="14.109375" style="13" customWidth="1"/>
    <col min="3284" max="3284" width="15" style="13" customWidth="1"/>
    <col min="3285" max="3285" width="13.33203125" style="13" customWidth="1"/>
    <col min="3286" max="3286" width="17" style="13" customWidth="1"/>
    <col min="3287" max="3287" width="24.88671875" style="13" customWidth="1"/>
    <col min="3288" max="3288" width="14.44140625" style="13" customWidth="1"/>
    <col min="3289" max="3289" width="23.109375" style="13" customWidth="1"/>
    <col min="3290" max="3290" width="13.109375" style="13" customWidth="1"/>
    <col min="3291" max="3294" width="0" style="13" hidden="1" customWidth="1"/>
    <col min="3295" max="3530" width="10.33203125" style="13"/>
    <col min="3531" max="3531" width="7" style="13" customWidth="1"/>
    <col min="3532" max="3532" width="13" style="13" customWidth="1"/>
    <col min="3533" max="3533" width="14.109375" style="13" customWidth="1"/>
    <col min="3534" max="3534" width="17.33203125" style="13" customWidth="1"/>
    <col min="3535" max="3535" width="18.88671875" style="13" customWidth="1"/>
    <col min="3536" max="3536" width="14.109375" style="13" customWidth="1"/>
    <col min="3537" max="3537" width="21.5546875" style="13" customWidth="1"/>
    <col min="3538" max="3539" width="14.109375" style="13" customWidth="1"/>
    <col min="3540" max="3540" width="15" style="13" customWidth="1"/>
    <col min="3541" max="3541" width="13.33203125" style="13" customWidth="1"/>
    <col min="3542" max="3542" width="17" style="13" customWidth="1"/>
    <col min="3543" max="3543" width="24.88671875" style="13" customWidth="1"/>
    <col min="3544" max="3544" width="14.44140625" style="13" customWidth="1"/>
    <col min="3545" max="3545" width="23.109375" style="13" customWidth="1"/>
    <col min="3546" max="3546" width="13.109375" style="13" customWidth="1"/>
    <col min="3547" max="3550" width="0" style="13" hidden="1" customWidth="1"/>
    <col min="3551" max="3786" width="10.33203125" style="13"/>
    <col min="3787" max="3787" width="7" style="13" customWidth="1"/>
    <col min="3788" max="3788" width="13" style="13" customWidth="1"/>
    <col min="3789" max="3789" width="14.109375" style="13" customWidth="1"/>
    <col min="3790" max="3790" width="17.33203125" style="13" customWidth="1"/>
    <col min="3791" max="3791" width="18.88671875" style="13" customWidth="1"/>
    <col min="3792" max="3792" width="14.109375" style="13" customWidth="1"/>
    <col min="3793" max="3793" width="21.5546875" style="13" customWidth="1"/>
    <col min="3794" max="3795" width="14.109375" style="13" customWidth="1"/>
    <col min="3796" max="3796" width="15" style="13" customWidth="1"/>
    <col min="3797" max="3797" width="13.33203125" style="13" customWidth="1"/>
    <col min="3798" max="3798" width="17" style="13" customWidth="1"/>
    <col min="3799" max="3799" width="24.88671875" style="13" customWidth="1"/>
    <col min="3800" max="3800" width="14.44140625" style="13" customWidth="1"/>
    <col min="3801" max="3801" width="23.109375" style="13" customWidth="1"/>
    <col min="3802" max="3802" width="13.109375" style="13" customWidth="1"/>
    <col min="3803" max="3806" width="0" style="13" hidden="1" customWidth="1"/>
    <col min="3807" max="4042" width="10.33203125" style="13"/>
    <col min="4043" max="4043" width="7" style="13" customWidth="1"/>
    <col min="4044" max="4044" width="13" style="13" customWidth="1"/>
    <col min="4045" max="4045" width="14.109375" style="13" customWidth="1"/>
    <col min="4046" max="4046" width="17.33203125" style="13" customWidth="1"/>
    <col min="4047" max="4047" width="18.88671875" style="13" customWidth="1"/>
    <col min="4048" max="4048" width="14.109375" style="13" customWidth="1"/>
    <col min="4049" max="4049" width="21.5546875" style="13" customWidth="1"/>
    <col min="4050" max="4051" width="14.109375" style="13" customWidth="1"/>
    <col min="4052" max="4052" width="15" style="13" customWidth="1"/>
    <col min="4053" max="4053" width="13.33203125" style="13" customWidth="1"/>
    <col min="4054" max="4054" width="17" style="13" customWidth="1"/>
    <col min="4055" max="4055" width="24.88671875" style="13" customWidth="1"/>
    <col min="4056" max="4056" width="14.44140625" style="13" customWidth="1"/>
    <col min="4057" max="4057" width="23.109375" style="13" customWidth="1"/>
    <col min="4058" max="4058" width="13.109375" style="13" customWidth="1"/>
    <col min="4059" max="4062" width="0" style="13" hidden="1" customWidth="1"/>
    <col min="4063" max="4298" width="10.33203125" style="13"/>
    <col min="4299" max="4299" width="7" style="13" customWidth="1"/>
    <col min="4300" max="4300" width="13" style="13" customWidth="1"/>
    <col min="4301" max="4301" width="14.109375" style="13" customWidth="1"/>
    <col min="4302" max="4302" width="17.33203125" style="13" customWidth="1"/>
    <col min="4303" max="4303" width="18.88671875" style="13" customWidth="1"/>
    <col min="4304" max="4304" width="14.109375" style="13" customWidth="1"/>
    <col min="4305" max="4305" width="21.5546875" style="13" customWidth="1"/>
    <col min="4306" max="4307" width="14.109375" style="13" customWidth="1"/>
    <col min="4308" max="4308" width="15" style="13" customWidth="1"/>
    <col min="4309" max="4309" width="13.33203125" style="13" customWidth="1"/>
    <col min="4310" max="4310" width="17" style="13" customWidth="1"/>
    <col min="4311" max="4311" width="24.88671875" style="13" customWidth="1"/>
    <col min="4312" max="4312" width="14.44140625" style="13" customWidth="1"/>
    <col min="4313" max="4313" width="23.109375" style="13" customWidth="1"/>
    <col min="4314" max="4314" width="13.109375" style="13" customWidth="1"/>
    <col min="4315" max="4318" width="0" style="13" hidden="1" customWidth="1"/>
    <col min="4319" max="4554" width="10.33203125" style="13"/>
    <col min="4555" max="4555" width="7" style="13" customWidth="1"/>
    <col min="4556" max="4556" width="13" style="13" customWidth="1"/>
    <col min="4557" max="4557" width="14.109375" style="13" customWidth="1"/>
    <col min="4558" max="4558" width="17.33203125" style="13" customWidth="1"/>
    <col min="4559" max="4559" width="18.88671875" style="13" customWidth="1"/>
    <col min="4560" max="4560" width="14.109375" style="13" customWidth="1"/>
    <col min="4561" max="4561" width="21.5546875" style="13" customWidth="1"/>
    <col min="4562" max="4563" width="14.109375" style="13" customWidth="1"/>
    <col min="4564" max="4564" width="15" style="13" customWidth="1"/>
    <col min="4565" max="4565" width="13.33203125" style="13" customWidth="1"/>
    <col min="4566" max="4566" width="17" style="13" customWidth="1"/>
    <col min="4567" max="4567" width="24.88671875" style="13" customWidth="1"/>
    <col min="4568" max="4568" width="14.44140625" style="13" customWidth="1"/>
    <col min="4569" max="4569" width="23.109375" style="13" customWidth="1"/>
    <col min="4570" max="4570" width="13.109375" style="13" customWidth="1"/>
    <col min="4571" max="4574" width="0" style="13" hidden="1" customWidth="1"/>
    <col min="4575" max="4810" width="10.33203125" style="13"/>
    <col min="4811" max="4811" width="7" style="13" customWidth="1"/>
    <col min="4812" max="4812" width="13" style="13" customWidth="1"/>
    <col min="4813" max="4813" width="14.109375" style="13" customWidth="1"/>
    <col min="4814" max="4814" width="17.33203125" style="13" customWidth="1"/>
    <col min="4815" max="4815" width="18.88671875" style="13" customWidth="1"/>
    <col min="4816" max="4816" width="14.109375" style="13" customWidth="1"/>
    <col min="4817" max="4817" width="21.5546875" style="13" customWidth="1"/>
    <col min="4818" max="4819" width="14.109375" style="13" customWidth="1"/>
    <col min="4820" max="4820" width="15" style="13" customWidth="1"/>
    <col min="4821" max="4821" width="13.33203125" style="13" customWidth="1"/>
    <col min="4822" max="4822" width="17" style="13" customWidth="1"/>
    <col min="4823" max="4823" width="24.88671875" style="13" customWidth="1"/>
    <col min="4824" max="4824" width="14.44140625" style="13" customWidth="1"/>
    <col min="4825" max="4825" width="23.109375" style="13" customWidth="1"/>
    <col min="4826" max="4826" width="13.109375" style="13" customWidth="1"/>
    <col min="4827" max="4830" width="0" style="13" hidden="1" customWidth="1"/>
    <col min="4831" max="5066" width="10.33203125" style="13"/>
    <col min="5067" max="5067" width="7" style="13" customWidth="1"/>
    <col min="5068" max="5068" width="13" style="13" customWidth="1"/>
    <col min="5069" max="5069" width="14.109375" style="13" customWidth="1"/>
    <col min="5070" max="5070" width="17.33203125" style="13" customWidth="1"/>
    <col min="5071" max="5071" width="18.88671875" style="13" customWidth="1"/>
    <col min="5072" max="5072" width="14.109375" style="13" customWidth="1"/>
    <col min="5073" max="5073" width="21.5546875" style="13" customWidth="1"/>
    <col min="5074" max="5075" width="14.109375" style="13" customWidth="1"/>
    <col min="5076" max="5076" width="15" style="13" customWidth="1"/>
    <col min="5077" max="5077" width="13.33203125" style="13" customWidth="1"/>
    <col min="5078" max="5078" width="17" style="13" customWidth="1"/>
    <col min="5079" max="5079" width="24.88671875" style="13" customWidth="1"/>
    <col min="5080" max="5080" width="14.44140625" style="13" customWidth="1"/>
    <col min="5081" max="5081" width="23.109375" style="13" customWidth="1"/>
    <col min="5082" max="5082" width="13.109375" style="13" customWidth="1"/>
    <col min="5083" max="5086" width="0" style="13" hidden="1" customWidth="1"/>
    <col min="5087" max="5322" width="10.33203125" style="13"/>
    <col min="5323" max="5323" width="7" style="13" customWidth="1"/>
    <col min="5324" max="5324" width="13" style="13" customWidth="1"/>
    <col min="5325" max="5325" width="14.109375" style="13" customWidth="1"/>
    <col min="5326" max="5326" width="17.33203125" style="13" customWidth="1"/>
    <col min="5327" max="5327" width="18.88671875" style="13" customWidth="1"/>
    <col min="5328" max="5328" width="14.109375" style="13" customWidth="1"/>
    <col min="5329" max="5329" width="21.5546875" style="13" customWidth="1"/>
    <col min="5330" max="5331" width="14.109375" style="13" customWidth="1"/>
    <col min="5332" max="5332" width="15" style="13" customWidth="1"/>
    <col min="5333" max="5333" width="13.33203125" style="13" customWidth="1"/>
    <col min="5334" max="5334" width="17" style="13" customWidth="1"/>
    <col min="5335" max="5335" width="24.88671875" style="13" customWidth="1"/>
    <col min="5336" max="5336" width="14.44140625" style="13" customWidth="1"/>
    <col min="5337" max="5337" width="23.109375" style="13" customWidth="1"/>
    <col min="5338" max="5338" width="13.109375" style="13" customWidth="1"/>
    <col min="5339" max="5342" width="0" style="13" hidden="1" customWidth="1"/>
    <col min="5343" max="5578" width="10.33203125" style="13"/>
    <col min="5579" max="5579" width="7" style="13" customWidth="1"/>
    <col min="5580" max="5580" width="13" style="13" customWidth="1"/>
    <col min="5581" max="5581" width="14.109375" style="13" customWidth="1"/>
    <col min="5582" max="5582" width="17.33203125" style="13" customWidth="1"/>
    <col min="5583" max="5583" width="18.88671875" style="13" customWidth="1"/>
    <col min="5584" max="5584" width="14.109375" style="13" customWidth="1"/>
    <col min="5585" max="5585" width="21.5546875" style="13" customWidth="1"/>
    <col min="5586" max="5587" width="14.109375" style="13" customWidth="1"/>
    <col min="5588" max="5588" width="15" style="13" customWidth="1"/>
    <col min="5589" max="5589" width="13.33203125" style="13" customWidth="1"/>
    <col min="5590" max="5590" width="17" style="13" customWidth="1"/>
    <col min="5591" max="5591" width="24.88671875" style="13" customWidth="1"/>
    <col min="5592" max="5592" width="14.44140625" style="13" customWidth="1"/>
    <col min="5593" max="5593" width="23.109375" style="13" customWidth="1"/>
    <col min="5594" max="5594" width="13.109375" style="13" customWidth="1"/>
    <col min="5595" max="5598" width="0" style="13" hidden="1" customWidth="1"/>
    <col min="5599" max="5834" width="10.33203125" style="13"/>
    <col min="5835" max="5835" width="7" style="13" customWidth="1"/>
    <col min="5836" max="5836" width="13" style="13" customWidth="1"/>
    <col min="5837" max="5837" width="14.109375" style="13" customWidth="1"/>
    <col min="5838" max="5838" width="17.33203125" style="13" customWidth="1"/>
    <col min="5839" max="5839" width="18.88671875" style="13" customWidth="1"/>
    <col min="5840" max="5840" width="14.109375" style="13" customWidth="1"/>
    <col min="5841" max="5841" width="21.5546875" style="13" customWidth="1"/>
    <col min="5842" max="5843" width="14.109375" style="13" customWidth="1"/>
    <col min="5844" max="5844" width="15" style="13" customWidth="1"/>
    <col min="5845" max="5845" width="13.33203125" style="13" customWidth="1"/>
    <col min="5846" max="5846" width="17" style="13" customWidth="1"/>
    <col min="5847" max="5847" width="24.88671875" style="13" customWidth="1"/>
    <col min="5848" max="5848" width="14.44140625" style="13" customWidth="1"/>
    <col min="5849" max="5849" width="23.109375" style="13" customWidth="1"/>
    <col min="5850" max="5850" width="13.109375" style="13" customWidth="1"/>
    <col min="5851" max="5854" width="0" style="13" hidden="1" customWidth="1"/>
    <col min="5855" max="6090" width="10.33203125" style="13"/>
    <col min="6091" max="6091" width="7" style="13" customWidth="1"/>
    <col min="6092" max="6092" width="13" style="13" customWidth="1"/>
    <col min="6093" max="6093" width="14.109375" style="13" customWidth="1"/>
    <col min="6094" max="6094" width="17.33203125" style="13" customWidth="1"/>
    <col min="6095" max="6095" width="18.88671875" style="13" customWidth="1"/>
    <col min="6096" max="6096" width="14.109375" style="13" customWidth="1"/>
    <col min="6097" max="6097" width="21.5546875" style="13" customWidth="1"/>
    <col min="6098" max="6099" width="14.109375" style="13" customWidth="1"/>
    <col min="6100" max="6100" width="15" style="13" customWidth="1"/>
    <col min="6101" max="6101" width="13.33203125" style="13" customWidth="1"/>
    <col min="6102" max="6102" width="17" style="13" customWidth="1"/>
    <col min="6103" max="6103" width="24.88671875" style="13" customWidth="1"/>
    <col min="6104" max="6104" width="14.44140625" style="13" customWidth="1"/>
    <col min="6105" max="6105" width="23.109375" style="13" customWidth="1"/>
    <col min="6106" max="6106" width="13.109375" style="13" customWidth="1"/>
    <col min="6107" max="6110" width="0" style="13" hidden="1" customWidth="1"/>
    <col min="6111" max="6346" width="10.33203125" style="13"/>
    <col min="6347" max="6347" width="7" style="13" customWidth="1"/>
    <col min="6348" max="6348" width="13" style="13" customWidth="1"/>
    <col min="6349" max="6349" width="14.109375" style="13" customWidth="1"/>
    <col min="6350" max="6350" width="17.33203125" style="13" customWidth="1"/>
    <col min="6351" max="6351" width="18.88671875" style="13" customWidth="1"/>
    <col min="6352" max="6352" width="14.109375" style="13" customWidth="1"/>
    <col min="6353" max="6353" width="21.5546875" style="13" customWidth="1"/>
    <col min="6354" max="6355" width="14.109375" style="13" customWidth="1"/>
    <col min="6356" max="6356" width="15" style="13" customWidth="1"/>
    <col min="6357" max="6357" width="13.33203125" style="13" customWidth="1"/>
    <col min="6358" max="6358" width="17" style="13" customWidth="1"/>
    <col min="6359" max="6359" width="24.88671875" style="13" customWidth="1"/>
    <col min="6360" max="6360" width="14.44140625" style="13" customWidth="1"/>
    <col min="6361" max="6361" width="23.109375" style="13" customWidth="1"/>
    <col min="6362" max="6362" width="13.109375" style="13" customWidth="1"/>
    <col min="6363" max="6366" width="0" style="13" hidden="1" customWidth="1"/>
    <col min="6367" max="6602" width="10.33203125" style="13"/>
    <col min="6603" max="6603" width="7" style="13" customWidth="1"/>
    <col min="6604" max="6604" width="13" style="13" customWidth="1"/>
    <col min="6605" max="6605" width="14.109375" style="13" customWidth="1"/>
    <col min="6606" max="6606" width="17.33203125" style="13" customWidth="1"/>
    <col min="6607" max="6607" width="18.88671875" style="13" customWidth="1"/>
    <col min="6608" max="6608" width="14.109375" style="13" customWidth="1"/>
    <col min="6609" max="6609" width="21.5546875" style="13" customWidth="1"/>
    <col min="6610" max="6611" width="14.109375" style="13" customWidth="1"/>
    <col min="6612" max="6612" width="15" style="13" customWidth="1"/>
    <col min="6613" max="6613" width="13.33203125" style="13" customWidth="1"/>
    <col min="6614" max="6614" width="17" style="13" customWidth="1"/>
    <col min="6615" max="6615" width="24.88671875" style="13" customWidth="1"/>
    <col min="6616" max="6616" width="14.44140625" style="13" customWidth="1"/>
    <col min="6617" max="6617" width="23.109375" style="13" customWidth="1"/>
    <col min="6618" max="6618" width="13.109375" style="13" customWidth="1"/>
    <col min="6619" max="6622" width="0" style="13" hidden="1" customWidth="1"/>
    <col min="6623" max="6858" width="10.33203125" style="13"/>
    <col min="6859" max="6859" width="7" style="13" customWidth="1"/>
    <col min="6860" max="6860" width="13" style="13" customWidth="1"/>
    <col min="6861" max="6861" width="14.109375" style="13" customWidth="1"/>
    <col min="6862" max="6862" width="17.33203125" style="13" customWidth="1"/>
    <col min="6863" max="6863" width="18.88671875" style="13" customWidth="1"/>
    <col min="6864" max="6864" width="14.109375" style="13" customWidth="1"/>
    <col min="6865" max="6865" width="21.5546875" style="13" customWidth="1"/>
    <col min="6866" max="6867" width="14.109375" style="13" customWidth="1"/>
    <col min="6868" max="6868" width="15" style="13" customWidth="1"/>
    <col min="6869" max="6869" width="13.33203125" style="13" customWidth="1"/>
    <col min="6870" max="6870" width="17" style="13" customWidth="1"/>
    <col min="6871" max="6871" width="24.88671875" style="13" customWidth="1"/>
    <col min="6872" max="6872" width="14.44140625" style="13" customWidth="1"/>
    <col min="6873" max="6873" width="23.109375" style="13" customWidth="1"/>
    <col min="6874" max="6874" width="13.109375" style="13" customWidth="1"/>
    <col min="6875" max="6878" width="0" style="13" hidden="1" customWidth="1"/>
    <col min="6879" max="7114" width="10.33203125" style="13"/>
    <col min="7115" max="7115" width="7" style="13" customWidth="1"/>
    <col min="7116" max="7116" width="13" style="13" customWidth="1"/>
    <col min="7117" max="7117" width="14.109375" style="13" customWidth="1"/>
    <col min="7118" max="7118" width="17.33203125" style="13" customWidth="1"/>
    <col min="7119" max="7119" width="18.88671875" style="13" customWidth="1"/>
    <col min="7120" max="7120" width="14.109375" style="13" customWidth="1"/>
    <col min="7121" max="7121" width="21.5546875" style="13" customWidth="1"/>
    <col min="7122" max="7123" width="14.109375" style="13" customWidth="1"/>
    <col min="7124" max="7124" width="15" style="13" customWidth="1"/>
    <col min="7125" max="7125" width="13.33203125" style="13" customWidth="1"/>
    <col min="7126" max="7126" width="17" style="13" customWidth="1"/>
    <col min="7127" max="7127" width="24.88671875" style="13" customWidth="1"/>
    <col min="7128" max="7128" width="14.44140625" style="13" customWidth="1"/>
    <col min="7129" max="7129" width="23.109375" style="13" customWidth="1"/>
    <col min="7130" max="7130" width="13.109375" style="13" customWidth="1"/>
    <col min="7131" max="7134" width="0" style="13" hidden="1" customWidth="1"/>
    <col min="7135" max="7370" width="10.33203125" style="13"/>
    <col min="7371" max="7371" width="7" style="13" customWidth="1"/>
    <col min="7372" max="7372" width="13" style="13" customWidth="1"/>
    <col min="7373" max="7373" width="14.109375" style="13" customWidth="1"/>
    <col min="7374" max="7374" width="17.33203125" style="13" customWidth="1"/>
    <col min="7375" max="7375" width="18.88671875" style="13" customWidth="1"/>
    <col min="7376" max="7376" width="14.109375" style="13" customWidth="1"/>
    <col min="7377" max="7377" width="21.5546875" style="13" customWidth="1"/>
    <col min="7378" max="7379" width="14.109375" style="13" customWidth="1"/>
    <col min="7380" max="7380" width="15" style="13" customWidth="1"/>
    <col min="7381" max="7381" width="13.33203125" style="13" customWidth="1"/>
    <col min="7382" max="7382" width="17" style="13" customWidth="1"/>
    <col min="7383" max="7383" width="24.88671875" style="13" customWidth="1"/>
    <col min="7384" max="7384" width="14.44140625" style="13" customWidth="1"/>
    <col min="7385" max="7385" width="23.109375" style="13" customWidth="1"/>
    <col min="7386" max="7386" width="13.109375" style="13" customWidth="1"/>
    <col min="7387" max="7390" width="0" style="13" hidden="1" customWidth="1"/>
    <col min="7391" max="7626" width="10.33203125" style="13"/>
    <col min="7627" max="7627" width="7" style="13" customWidth="1"/>
    <col min="7628" max="7628" width="13" style="13" customWidth="1"/>
    <col min="7629" max="7629" width="14.109375" style="13" customWidth="1"/>
    <col min="7630" max="7630" width="17.33203125" style="13" customWidth="1"/>
    <col min="7631" max="7631" width="18.88671875" style="13" customWidth="1"/>
    <col min="7632" max="7632" width="14.109375" style="13" customWidth="1"/>
    <col min="7633" max="7633" width="21.5546875" style="13" customWidth="1"/>
    <col min="7634" max="7635" width="14.109375" style="13" customWidth="1"/>
    <col min="7636" max="7636" width="15" style="13" customWidth="1"/>
    <col min="7637" max="7637" width="13.33203125" style="13" customWidth="1"/>
    <col min="7638" max="7638" width="17" style="13" customWidth="1"/>
    <col min="7639" max="7639" width="24.88671875" style="13" customWidth="1"/>
    <col min="7640" max="7640" width="14.44140625" style="13" customWidth="1"/>
    <col min="7641" max="7641" width="23.109375" style="13" customWidth="1"/>
    <col min="7642" max="7642" width="13.109375" style="13" customWidth="1"/>
    <col min="7643" max="7646" width="0" style="13" hidden="1" customWidth="1"/>
    <col min="7647" max="7882" width="10.33203125" style="13"/>
    <col min="7883" max="7883" width="7" style="13" customWidth="1"/>
    <col min="7884" max="7884" width="13" style="13" customWidth="1"/>
    <col min="7885" max="7885" width="14.109375" style="13" customWidth="1"/>
    <col min="7886" max="7886" width="17.33203125" style="13" customWidth="1"/>
    <col min="7887" max="7887" width="18.88671875" style="13" customWidth="1"/>
    <col min="7888" max="7888" width="14.109375" style="13" customWidth="1"/>
    <col min="7889" max="7889" width="21.5546875" style="13" customWidth="1"/>
    <col min="7890" max="7891" width="14.109375" style="13" customWidth="1"/>
    <col min="7892" max="7892" width="15" style="13" customWidth="1"/>
    <col min="7893" max="7893" width="13.33203125" style="13" customWidth="1"/>
    <col min="7894" max="7894" width="17" style="13" customWidth="1"/>
    <col min="7895" max="7895" width="24.88671875" style="13" customWidth="1"/>
    <col min="7896" max="7896" width="14.44140625" style="13" customWidth="1"/>
    <col min="7897" max="7897" width="23.109375" style="13" customWidth="1"/>
    <col min="7898" max="7898" width="13.109375" style="13" customWidth="1"/>
    <col min="7899" max="7902" width="0" style="13" hidden="1" customWidth="1"/>
    <col min="7903" max="8138" width="10.33203125" style="13"/>
    <col min="8139" max="8139" width="7" style="13" customWidth="1"/>
    <col min="8140" max="8140" width="13" style="13" customWidth="1"/>
    <col min="8141" max="8141" width="14.109375" style="13" customWidth="1"/>
    <col min="8142" max="8142" width="17.33203125" style="13" customWidth="1"/>
    <col min="8143" max="8143" width="18.88671875" style="13" customWidth="1"/>
    <col min="8144" max="8144" width="14.109375" style="13" customWidth="1"/>
    <col min="8145" max="8145" width="21.5546875" style="13" customWidth="1"/>
    <col min="8146" max="8147" width="14.109375" style="13" customWidth="1"/>
    <col min="8148" max="8148" width="15" style="13" customWidth="1"/>
    <col min="8149" max="8149" width="13.33203125" style="13" customWidth="1"/>
    <col min="8150" max="8150" width="17" style="13" customWidth="1"/>
    <col min="8151" max="8151" width="24.88671875" style="13" customWidth="1"/>
    <col min="8152" max="8152" width="14.44140625" style="13" customWidth="1"/>
    <col min="8153" max="8153" width="23.109375" style="13" customWidth="1"/>
    <col min="8154" max="8154" width="13.109375" style="13" customWidth="1"/>
    <col min="8155" max="8158" width="0" style="13" hidden="1" customWidth="1"/>
    <col min="8159" max="8394" width="10.33203125" style="13"/>
    <col min="8395" max="8395" width="7" style="13" customWidth="1"/>
    <col min="8396" max="8396" width="13" style="13" customWidth="1"/>
    <col min="8397" max="8397" width="14.109375" style="13" customWidth="1"/>
    <col min="8398" max="8398" width="17.33203125" style="13" customWidth="1"/>
    <col min="8399" max="8399" width="18.88671875" style="13" customWidth="1"/>
    <col min="8400" max="8400" width="14.109375" style="13" customWidth="1"/>
    <col min="8401" max="8401" width="21.5546875" style="13" customWidth="1"/>
    <col min="8402" max="8403" width="14.109375" style="13" customWidth="1"/>
    <col min="8404" max="8404" width="15" style="13" customWidth="1"/>
    <col min="8405" max="8405" width="13.33203125" style="13" customWidth="1"/>
    <col min="8406" max="8406" width="17" style="13" customWidth="1"/>
    <col min="8407" max="8407" width="24.88671875" style="13" customWidth="1"/>
    <col min="8408" max="8408" width="14.44140625" style="13" customWidth="1"/>
    <col min="8409" max="8409" width="23.109375" style="13" customWidth="1"/>
    <col min="8410" max="8410" width="13.109375" style="13" customWidth="1"/>
    <col min="8411" max="8414" width="0" style="13" hidden="1" customWidth="1"/>
    <col min="8415" max="8650" width="10.33203125" style="13"/>
    <col min="8651" max="8651" width="7" style="13" customWidth="1"/>
    <col min="8652" max="8652" width="13" style="13" customWidth="1"/>
    <col min="8653" max="8653" width="14.109375" style="13" customWidth="1"/>
    <col min="8654" max="8654" width="17.33203125" style="13" customWidth="1"/>
    <col min="8655" max="8655" width="18.88671875" style="13" customWidth="1"/>
    <col min="8656" max="8656" width="14.109375" style="13" customWidth="1"/>
    <col min="8657" max="8657" width="21.5546875" style="13" customWidth="1"/>
    <col min="8658" max="8659" width="14.109375" style="13" customWidth="1"/>
    <col min="8660" max="8660" width="15" style="13" customWidth="1"/>
    <col min="8661" max="8661" width="13.33203125" style="13" customWidth="1"/>
    <col min="8662" max="8662" width="17" style="13" customWidth="1"/>
    <col min="8663" max="8663" width="24.88671875" style="13" customWidth="1"/>
    <col min="8664" max="8664" width="14.44140625" style="13" customWidth="1"/>
    <col min="8665" max="8665" width="23.109375" style="13" customWidth="1"/>
    <col min="8666" max="8666" width="13.109375" style="13" customWidth="1"/>
    <col min="8667" max="8670" width="0" style="13" hidden="1" customWidth="1"/>
    <col min="8671" max="8906" width="10.33203125" style="13"/>
    <col min="8907" max="8907" width="7" style="13" customWidth="1"/>
    <col min="8908" max="8908" width="13" style="13" customWidth="1"/>
    <col min="8909" max="8909" width="14.109375" style="13" customWidth="1"/>
    <col min="8910" max="8910" width="17.33203125" style="13" customWidth="1"/>
    <col min="8911" max="8911" width="18.88671875" style="13" customWidth="1"/>
    <col min="8912" max="8912" width="14.109375" style="13" customWidth="1"/>
    <col min="8913" max="8913" width="21.5546875" style="13" customWidth="1"/>
    <col min="8914" max="8915" width="14.109375" style="13" customWidth="1"/>
    <col min="8916" max="8916" width="15" style="13" customWidth="1"/>
    <col min="8917" max="8917" width="13.33203125" style="13" customWidth="1"/>
    <col min="8918" max="8918" width="17" style="13" customWidth="1"/>
    <col min="8919" max="8919" width="24.88671875" style="13" customWidth="1"/>
    <col min="8920" max="8920" width="14.44140625" style="13" customWidth="1"/>
    <col min="8921" max="8921" width="23.109375" style="13" customWidth="1"/>
    <col min="8922" max="8922" width="13.109375" style="13" customWidth="1"/>
    <col min="8923" max="8926" width="0" style="13" hidden="1" customWidth="1"/>
    <col min="8927" max="9162" width="10.33203125" style="13"/>
    <col min="9163" max="9163" width="7" style="13" customWidth="1"/>
    <col min="9164" max="9164" width="13" style="13" customWidth="1"/>
    <col min="9165" max="9165" width="14.109375" style="13" customWidth="1"/>
    <col min="9166" max="9166" width="17.33203125" style="13" customWidth="1"/>
    <col min="9167" max="9167" width="18.88671875" style="13" customWidth="1"/>
    <col min="9168" max="9168" width="14.109375" style="13" customWidth="1"/>
    <col min="9169" max="9169" width="21.5546875" style="13" customWidth="1"/>
    <col min="9170" max="9171" width="14.109375" style="13" customWidth="1"/>
    <col min="9172" max="9172" width="15" style="13" customWidth="1"/>
    <col min="9173" max="9173" width="13.33203125" style="13" customWidth="1"/>
    <col min="9174" max="9174" width="17" style="13" customWidth="1"/>
    <col min="9175" max="9175" width="24.88671875" style="13" customWidth="1"/>
    <col min="9176" max="9176" width="14.44140625" style="13" customWidth="1"/>
    <col min="9177" max="9177" width="23.109375" style="13" customWidth="1"/>
    <col min="9178" max="9178" width="13.109375" style="13" customWidth="1"/>
    <col min="9179" max="9182" width="0" style="13" hidden="1" customWidth="1"/>
    <col min="9183" max="9418" width="10.33203125" style="13"/>
    <col min="9419" max="9419" width="7" style="13" customWidth="1"/>
    <col min="9420" max="9420" width="13" style="13" customWidth="1"/>
    <col min="9421" max="9421" width="14.109375" style="13" customWidth="1"/>
    <col min="9422" max="9422" width="17.33203125" style="13" customWidth="1"/>
    <col min="9423" max="9423" width="18.88671875" style="13" customWidth="1"/>
    <col min="9424" max="9424" width="14.109375" style="13" customWidth="1"/>
    <col min="9425" max="9425" width="21.5546875" style="13" customWidth="1"/>
    <col min="9426" max="9427" width="14.109375" style="13" customWidth="1"/>
    <col min="9428" max="9428" width="15" style="13" customWidth="1"/>
    <col min="9429" max="9429" width="13.33203125" style="13" customWidth="1"/>
    <col min="9430" max="9430" width="17" style="13" customWidth="1"/>
    <col min="9431" max="9431" width="24.88671875" style="13" customWidth="1"/>
    <col min="9432" max="9432" width="14.44140625" style="13" customWidth="1"/>
    <col min="9433" max="9433" width="23.109375" style="13" customWidth="1"/>
    <col min="9434" max="9434" width="13.109375" style="13" customWidth="1"/>
    <col min="9435" max="9438" width="0" style="13" hidden="1" customWidth="1"/>
    <col min="9439" max="9674" width="10.33203125" style="13"/>
    <col min="9675" max="9675" width="7" style="13" customWidth="1"/>
    <col min="9676" max="9676" width="13" style="13" customWidth="1"/>
    <col min="9677" max="9677" width="14.109375" style="13" customWidth="1"/>
    <col min="9678" max="9678" width="17.33203125" style="13" customWidth="1"/>
    <col min="9679" max="9679" width="18.88671875" style="13" customWidth="1"/>
    <col min="9680" max="9680" width="14.109375" style="13" customWidth="1"/>
    <col min="9681" max="9681" width="21.5546875" style="13" customWidth="1"/>
    <col min="9682" max="9683" width="14.109375" style="13" customWidth="1"/>
    <col min="9684" max="9684" width="15" style="13" customWidth="1"/>
    <col min="9685" max="9685" width="13.33203125" style="13" customWidth="1"/>
    <col min="9686" max="9686" width="17" style="13" customWidth="1"/>
    <col min="9687" max="9687" width="24.88671875" style="13" customWidth="1"/>
    <col min="9688" max="9688" width="14.44140625" style="13" customWidth="1"/>
    <col min="9689" max="9689" width="23.109375" style="13" customWidth="1"/>
    <col min="9690" max="9690" width="13.109375" style="13" customWidth="1"/>
    <col min="9691" max="9694" width="0" style="13" hidden="1" customWidth="1"/>
    <col min="9695" max="9930" width="10.33203125" style="13"/>
    <col min="9931" max="9931" width="7" style="13" customWidth="1"/>
    <col min="9932" max="9932" width="13" style="13" customWidth="1"/>
    <col min="9933" max="9933" width="14.109375" style="13" customWidth="1"/>
    <col min="9934" max="9934" width="17.33203125" style="13" customWidth="1"/>
    <col min="9935" max="9935" width="18.88671875" style="13" customWidth="1"/>
    <col min="9936" max="9936" width="14.109375" style="13" customWidth="1"/>
    <col min="9937" max="9937" width="21.5546875" style="13" customWidth="1"/>
    <col min="9938" max="9939" width="14.109375" style="13" customWidth="1"/>
    <col min="9940" max="9940" width="15" style="13" customWidth="1"/>
    <col min="9941" max="9941" width="13.33203125" style="13" customWidth="1"/>
    <col min="9942" max="9942" width="17" style="13" customWidth="1"/>
    <col min="9943" max="9943" width="24.88671875" style="13" customWidth="1"/>
    <col min="9944" max="9944" width="14.44140625" style="13" customWidth="1"/>
    <col min="9945" max="9945" width="23.109375" style="13" customWidth="1"/>
    <col min="9946" max="9946" width="13.109375" style="13" customWidth="1"/>
    <col min="9947" max="9950" width="0" style="13" hidden="1" customWidth="1"/>
    <col min="9951" max="10186" width="10.33203125" style="13"/>
    <col min="10187" max="10187" width="7" style="13" customWidth="1"/>
    <col min="10188" max="10188" width="13" style="13" customWidth="1"/>
    <col min="10189" max="10189" width="14.109375" style="13" customWidth="1"/>
    <col min="10190" max="10190" width="17.33203125" style="13" customWidth="1"/>
    <col min="10191" max="10191" width="18.88671875" style="13" customWidth="1"/>
    <col min="10192" max="10192" width="14.109375" style="13" customWidth="1"/>
    <col min="10193" max="10193" width="21.5546875" style="13" customWidth="1"/>
    <col min="10194" max="10195" width="14.109375" style="13" customWidth="1"/>
    <col min="10196" max="10196" width="15" style="13" customWidth="1"/>
    <col min="10197" max="10197" width="13.33203125" style="13" customWidth="1"/>
    <col min="10198" max="10198" width="17" style="13" customWidth="1"/>
    <col min="10199" max="10199" width="24.88671875" style="13" customWidth="1"/>
    <col min="10200" max="10200" width="14.44140625" style="13" customWidth="1"/>
    <col min="10201" max="10201" width="23.109375" style="13" customWidth="1"/>
    <col min="10202" max="10202" width="13.109375" style="13" customWidth="1"/>
    <col min="10203" max="10206" width="0" style="13" hidden="1" customWidth="1"/>
    <col min="10207" max="10442" width="10.33203125" style="13"/>
    <col min="10443" max="10443" width="7" style="13" customWidth="1"/>
    <col min="10444" max="10444" width="13" style="13" customWidth="1"/>
    <col min="10445" max="10445" width="14.109375" style="13" customWidth="1"/>
    <col min="10446" max="10446" width="17.33203125" style="13" customWidth="1"/>
    <col min="10447" max="10447" width="18.88671875" style="13" customWidth="1"/>
    <col min="10448" max="10448" width="14.109375" style="13" customWidth="1"/>
    <col min="10449" max="10449" width="21.5546875" style="13" customWidth="1"/>
    <col min="10450" max="10451" width="14.109375" style="13" customWidth="1"/>
    <col min="10452" max="10452" width="15" style="13" customWidth="1"/>
    <col min="10453" max="10453" width="13.33203125" style="13" customWidth="1"/>
    <col min="10454" max="10454" width="17" style="13" customWidth="1"/>
    <col min="10455" max="10455" width="24.88671875" style="13" customWidth="1"/>
    <col min="10456" max="10456" width="14.44140625" style="13" customWidth="1"/>
    <col min="10457" max="10457" width="23.109375" style="13" customWidth="1"/>
    <col min="10458" max="10458" width="13.109375" style="13" customWidth="1"/>
    <col min="10459" max="10462" width="0" style="13" hidden="1" customWidth="1"/>
    <col min="10463" max="10698" width="10.33203125" style="13"/>
    <col min="10699" max="10699" width="7" style="13" customWidth="1"/>
    <col min="10700" max="10700" width="13" style="13" customWidth="1"/>
    <col min="10701" max="10701" width="14.109375" style="13" customWidth="1"/>
    <col min="10702" max="10702" width="17.33203125" style="13" customWidth="1"/>
    <col min="10703" max="10703" width="18.88671875" style="13" customWidth="1"/>
    <col min="10704" max="10704" width="14.109375" style="13" customWidth="1"/>
    <col min="10705" max="10705" width="21.5546875" style="13" customWidth="1"/>
    <col min="10706" max="10707" width="14.109375" style="13" customWidth="1"/>
    <col min="10708" max="10708" width="15" style="13" customWidth="1"/>
    <col min="10709" max="10709" width="13.33203125" style="13" customWidth="1"/>
    <col min="10710" max="10710" width="17" style="13" customWidth="1"/>
    <col min="10711" max="10711" width="24.88671875" style="13" customWidth="1"/>
    <col min="10712" max="10712" width="14.44140625" style="13" customWidth="1"/>
    <col min="10713" max="10713" width="23.109375" style="13" customWidth="1"/>
    <col min="10714" max="10714" width="13.109375" style="13" customWidth="1"/>
    <col min="10715" max="10718" width="0" style="13" hidden="1" customWidth="1"/>
    <col min="10719" max="10954" width="10.33203125" style="13"/>
    <col min="10955" max="10955" width="7" style="13" customWidth="1"/>
    <col min="10956" max="10956" width="13" style="13" customWidth="1"/>
    <col min="10957" max="10957" width="14.109375" style="13" customWidth="1"/>
    <col min="10958" max="10958" width="17.33203125" style="13" customWidth="1"/>
    <col min="10959" max="10959" width="18.88671875" style="13" customWidth="1"/>
    <col min="10960" max="10960" width="14.109375" style="13" customWidth="1"/>
    <col min="10961" max="10961" width="21.5546875" style="13" customWidth="1"/>
    <col min="10962" max="10963" width="14.109375" style="13" customWidth="1"/>
    <col min="10964" max="10964" width="15" style="13" customWidth="1"/>
    <col min="10965" max="10965" width="13.33203125" style="13" customWidth="1"/>
    <col min="10966" max="10966" width="17" style="13" customWidth="1"/>
    <col min="10967" max="10967" width="24.88671875" style="13" customWidth="1"/>
    <col min="10968" max="10968" width="14.44140625" style="13" customWidth="1"/>
    <col min="10969" max="10969" width="23.109375" style="13" customWidth="1"/>
    <col min="10970" max="10970" width="13.109375" style="13" customWidth="1"/>
    <col min="10971" max="10974" width="0" style="13" hidden="1" customWidth="1"/>
    <col min="10975" max="11210" width="10.33203125" style="13"/>
    <col min="11211" max="11211" width="7" style="13" customWidth="1"/>
    <col min="11212" max="11212" width="13" style="13" customWidth="1"/>
    <col min="11213" max="11213" width="14.109375" style="13" customWidth="1"/>
    <col min="11214" max="11214" width="17.33203125" style="13" customWidth="1"/>
    <col min="11215" max="11215" width="18.88671875" style="13" customWidth="1"/>
    <col min="11216" max="11216" width="14.109375" style="13" customWidth="1"/>
    <col min="11217" max="11217" width="21.5546875" style="13" customWidth="1"/>
    <col min="11218" max="11219" width="14.109375" style="13" customWidth="1"/>
    <col min="11220" max="11220" width="15" style="13" customWidth="1"/>
    <col min="11221" max="11221" width="13.33203125" style="13" customWidth="1"/>
    <col min="11222" max="11222" width="17" style="13" customWidth="1"/>
    <col min="11223" max="11223" width="24.88671875" style="13" customWidth="1"/>
    <col min="11224" max="11224" width="14.44140625" style="13" customWidth="1"/>
    <col min="11225" max="11225" width="23.109375" style="13" customWidth="1"/>
    <col min="11226" max="11226" width="13.109375" style="13" customWidth="1"/>
    <col min="11227" max="11230" width="0" style="13" hidden="1" customWidth="1"/>
    <col min="11231" max="11466" width="10.33203125" style="13"/>
    <col min="11467" max="11467" width="7" style="13" customWidth="1"/>
    <col min="11468" max="11468" width="13" style="13" customWidth="1"/>
    <col min="11469" max="11469" width="14.109375" style="13" customWidth="1"/>
    <col min="11470" max="11470" width="17.33203125" style="13" customWidth="1"/>
    <col min="11471" max="11471" width="18.88671875" style="13" customWidth="1"/>
    <col min="11472" max="11472" width="14.109375" style="13" customWidth="1"/>
    <col min="11473" max="11473" width="21.5546875" style="13" customWidth="1"/>
    <col min="11474" max="11475" width="14.109375" style="13" customWidth="1"/>
    <col min="11476" max="11476" width="15" style="13" customWidth="1"/>
    <col min="11477" max="11477" width="13.33203125" style="13" customWidth="1"/>
    <col min="11478" max="11478" width="17" style="13" customWidth="1"/>
    <col min="11479" max="11479" width="24.88671875" style="13" customWidth="1"/>
    <col min="11480" max="11480" width="14.44140625" style="13" customWidth="1"/>
    <col min="11481" max="11481" width="23.109375" style="13" customWidth="1"/>
    <col min="11482" max="11482" width="13.109375" style="13" customWidth="1"/>
    <col min="11483" max="11486" width="0" style="13" hidden="1" customWidth="1"/>
    <col min="11487" max="11722" width="10.33203125" style="13"/>
    <col min="11723" max="11723" width="7" style="13" customWidth="1"/>
    <col min="11724" max="11724" width="13" style="13" customWidth="1"/>
    <col min="11725" max="11725" width="14.109375" style="13" customWidth="1"/>
    <col min="11726" max="11726" width="17.33203125" style="13" customWidth="1"/>
    <col min="11727" max="11727" width="18.88671875" style="13" customWidth="1"/>
    <col min="11728" max="11728" width="14.109375" style="13" customWidth="1"/>
    <col min="11729" max="11729" width="21.5546875" style="13" customWidth="1"/>
    <col min="11730" max="11731" width="14.109375" style="13" customWidth="1"/>
    <col min="11732" max="11732" width="15" style="13" customWidth="1"/>
    <col min="11733" max="11733" width="13.33203125" style="13" customWidth="1"/>
    <col min="11734" max="11734" width="17" style="13" customWidth="1"/>
    <col min="11735" max="11735" width="24.88671875" style="13" customWidth="1"/>
    <col min="11736" max="11736" width="14.44140625" style="13" customWidth="1"/>
    <col min="11737" max="11737" width="23.109375" style="13" customWidth="1"/>
    <col min="11738" max="11738" width="13.109375" style="13" customWidth="1"/>
    <col min="11739" max="11742" width="0" style="13" hidden="1" customWidth="1"/>
    <col min="11743" max="11978" width="10.33203125" style="13"/>
    <col min="11979" max="11979" width="7" style="13" customWidth="1"/>
    <col min="11980" max="11980" width="13" style="13" customWidth="1"/>
    <col min="11981" max="11981" width="14.109375" style="13" customWidth="1"/>
    <col min="11982" max="11982" width="17.33203125" style="13" customWidth="1"/>
    <col min="11983" max="11983" width="18.88671875" style="13" customWidth="1"/>
    <col min="11984" max="11984" width="14.109375" style="13" customWidth="1"/>
    <col min="11985" max="11985" width="21.5546875" style="13" customWidth="1"/>
    <col min="11986" max="11987" width="14.109375" style="13" customWidth="1"/>
    <col min="11988" max="11988" width="15" style="13" customWidth="1"/>
    <col min="11989" max="11989" width="13.33203125" style="13" customWidth="1"/>
    <col min="11990" max="11990" width="17" style="13" customWidth="1"/>
    <col min="11991" max="11991" width="24.88671875" style="13" customWidth="1"/>
    <col min="11992" max="11992" width="14.44140625" style="13" customWidth="1"/>
    <col min="11993" max="11993" width="23.109375" style="13" customWidth="1"/>
    <col min="11994" max="11994" width="13.109375" style="13" customWidth="1"/>
    <col min="11995" max="11998" width="0" style="13" hidden="1" customWidth="1"/>
    <col min="11999" max="12234" width="10.33203125" style="13"/>
    <col min="12235" max="12235" width="7" style="13" customWidth="1"/>
    <col min="12236" max="12236" width="13" style="13" customWidth="1"/>
    <col min="12237" max="12237" width="14.109375" style="13" customWidth="1"/>
    <col min="12238" max="12238" width="17.33203125" style="13" customWidth="1"/>
    <col min="12239" max="12239" width="18.88671875" style="13" customWidth="1"/>
    <col min="12240" max="12240" width="14.109375" style="13" customWidth="1"/>
    <col min="12241" max="12241" width="21.5546875" style="13" customWidth="1"/>
    <col min="12242" max="12243" width="14.109375" style="13" customWidth="1"/>
    <col min="12244" max="12244" width="15" style="13" customWidth="1"/>
    <col min="12245" max="12245" width="13.33203125" style="13" customWidth="1"/>
    <col min="12246" max="12246" width="17" style="13" customWidth="1"/>
    <col min="12247" max="12247" width="24.88671875" style="13" customWidth="1"/>
    <col min="12248" max="12248" width="14.44140625" style="13" customWidth="1"/>
    <col min="12249" max="12249" width="23.109375" style="13" customWidth="1"/>
    <col min="12250" max="12250" width="13.109375" style="13" customWidth="1"/>
    <col min="12251" max="12254" width="0" style="13" hidden="1" customWidth="1"/>
    <col min="12255" max="12490" width="10.33203125" style="13"/>
    <col min="12491" max="12491" width="7" style="13" customWidth="1"/>
    <col min="12492" max="12492" width="13" style="13" customWidth="1"/>
    <col min="12493" max="12493" width="14.109375" style="13" customWidth="1"/>
    <col min="12494" max="12494" width="17.33203125" style="13" customWidth="1"/>
    <col min="12495" max="12495" width="18.88671875" style="13" customWidth="1"/>
    <col min="12496" max="12496" width="14.109375" style="13" customWidth="1"/>
    <col min="12497" max="12497" width="21.5546875" style="13" customWidth="1"/>
    <col min="12498" max="12499" width="14.109375" style="13" customWidth="1"/>
    <col min="12500" max="12500" width="15" style="13" customWidth="1"/>
    <col min="12501" max="12501" width="13.33203125" style="13" customWidth="1"/>
    <col min="12502" max="12502" width="17" style="13" customWidth="1"/>
    <col min="12503" max="12503" width="24.88671875" style="13" customWidth="1"/>
    <col min="12504" max="12504" width="14.44140625" style="13" customWidth="1"/>
    <col min="12505" max="12505" width="23.109375" style="13" customWidth="1"/>
    <col min="12506" max="12506" width="13.109375" style="13" customWidth="1"/>
    <col min="12507" max="12510" width="0" style="13" hidden="1" customWidth="1"/>
    <col min="12511" max="12746" width="10.33203125" style="13"/>
    <col min="12747" max="12747" width="7" style="13" customWidth="1"/>
    <col min="12748" max="12748" width="13" style="13" customWidth="1"/>
    <col min="12749" max="12749" width="14.109375" style="13" customWidth="1"/>
    <col min="12750" max="12750" width="17.33203125" style="13" customWidth="1"/>
    <col min="12751" max="12751" width="18.88671875" style="13" customWidth="1"/>
    <col min="12752" max="12752" width="14.109375" style="13" customWidth="1"/>
    <col min="12753" max="12753" width="21.5546875" style="13" customWidth="1"/>
    <col min="12754" max="12755" width="14.109375" style="13" customWidth="1"/>
    <col min="12756" max="12756" width="15" style="13" customWidth="1"/>
    <col min="12757" max="12757" width="13.33203125" style="13" customWidth="1"/>
    <col min="12758" max="12758" width="17" style="13" customWidth="1"/>
    <col min="12759" max="12759" width="24.88671875" style="13" customWidth="1"/>
    <col min="12760" max="12760" width="14.44140625" style="13" customWidth="1"/>
    <col min="12761" max="12761" width="23.109375" style="13" customWidth="1"/>
    <col min="12762" max="12762" width="13.109375" style="13" customWidth="1"/>
    <col min="12763" max="12766" width="0" style="13" hidden="1" customWidth="1"/>
    <col min="12767" max="13002" width="10.33203125" style="13"/>
    <col min="13003" max="13003" width="7" style="13" customWidth="1"/>
    <col min="13004" max="13004" width="13" style="13" customWidth="1"/>
    <col min="13005" max="13005" width="14.109375" style="13" customWidth="1"/>
    <col min="13006" max="13006" width="17.33203125" style="13" customWidth="1"/>
    <col min="13007" max="13007" width="18.88671875" style="13" customWidth="1"/>
    <col min="13008" max="13008" width="14.109375" style="13" customWidth="1"/>
    <col min="13009" max="13009" width="21.5546875" style="13" customWidth="1"/>
    <col min="13010" max="13011" width="14.109375" style="13" customWidth="1"/>
    <col min="13012" max="13012" width="15" style="13" customWidth="1"/>
    <col min="13013" max="13013" width="13.33203125" style="13" customWidth="1"/>
    <col min="13014" max="13014" width="17" style="13" customWidth="1"/>
    <col min="13015" max="13015" width="24.88671875" style="13" customWidth="1"/>
    <col min="13016" max="13016" width="14.44140625" style="13" customWidth="1"/>
    <col min="13017" max="13017" width="23.109375" style="13" customWidth="1"/>
    <col min="13018" max="13018" width="13.109375" style="13" customWidth="1"/>
    <col min="13019" max="13022" width="0" style="13" hidden="1" customWidth="1"/>
    <col min="13023" max="13258" width="10.33203125" style="13"/>
    <col min="13259" max="13259" width="7" style="13" customWidth="1"/>
    <col min="13260" max="13260" width="13" style="13" customWidth="1"/>
    <col min="13261" max="13261" width="14.109375" style="13" customWidth="1"/>
    <col min="13262" max="13262" width="17.33203125" style="13" customWidth="1"/>
    <col min="13263" max="13263" width="18.88671875" style="13" customWidth="1"/>
    <col min="13264" max="13264" width="14.109375" style="13" customWidth="1"/>
    <col min="13265" max="13265" width="21.5546875" style="13" customWidth="1"/>
    <col min="13266" max="13267" width="14.109375" style="13" customWidth="1"/>
    <col min="13268" max="13268" width="15" style="13" customWidth="1"/>
    <col min="13269" max="13269" width="13.33203125" style="13" customWidth="1"/>
    <col min="13270" max="13270" width="17" style="13" customWidth="1"/>
    <col min="13271" max="13271" width="24.88671875" style="13" customWidth="1"/>
    <col min="13272" max="13272" width="14.44140625" style="13" customWidth="1"/>
    <col min="13273" max="13273" width="23.109375" style="13" customWidth="1"/>
    <col min="13274" max="13274" width="13.109375" style="13" customWidth="1"/>
    <col min="13275" max="13278" width="0" style="13" hidden="1" customWidth="1"/>
    <col min="13279" max="13514" width="10.33203125" style="13"/>
    <col min="13515" max="13515" width="7" style="13" customWidth="1"/>
    <col min="13516" max="13516" width="13" style="13" customWidth="1"/>
    <col min="13517" max="13517" width="14.109375" style="13" customWidth="1"/>
    <col min="13518" max="13518" width="17.33203125" style="13" customWidth="1"/>
    <col min="13519" max="13519" width="18.88671875" style="13" customWidth="1"/>
    <col min="13520" max="13520" width="14.109375" style="13" customWidth="1"/>
    <col min="13521" max="13521" width="21.5546875" style="13" customWidth="1"/>
    <col min="13522" max="13523" width="14.109375" style="13" customWidth="1"/>
    <col min="13524" max="13524" width="15" style="13" customWidth="1"/>
    <col min="13525" max="13525" width="13.33203125" style="13" customWidth="1"/>
    <col min="13526" max="13526" width="17" style="13" customWidth="1"/>
    <col min="13527" max="13527" width="24.88671875" style="13" customWidth="1"/>
    <col min="13528" max="13528" width="14.44140625" style="13" customWidth="1"/>
    <col min="13529" max="13529" width="23.109375" style="13" customWidth="1"/>
    <col min="13530" max="13530" width="13.109375" style="13" customWidth="1"/>
    <col min="13531" max="13534" width="0" style="13" hidden="1" customWidth="1"/>
    <col min="13535" max="13770" width="10.33203125" style="13"/>
    <col min="13771" max="13771" width="7" style="13" customWidth="1"/>
    <col min="13772" max="13772" width="13" style="13" customWidth="1"/>
    <col min="13773" max="13773" width="14.109375" style="13" customWidth="1"/>
    <col min="13774" max="13774" width="17.33203125" style="13" customWidth="1"/>
    <col min="13775" max="13775" width="18.88671875" style="13" customWidth="1"/>
    <col min="13776" max="13776" width="14.109375" style="13" customWidth="1"/>
    <col min="13777" max="13777" width="21.5546875" style="13" customWidth="1"/>
    <col min="13778" max="13779" width="14.109375" style="13" customWidth="1"/>
    <col min="13780" max="13780" width="15" style="13" customWidth="1"/>
    <col min="13781" max="13781" width="13.33203125" style="13" customWidth="1"/>
    <col min="13782" max="13782" width="17" style="13" customWidth="1"/>
    <col min="13783" max="13783" width="24.88671875" style="13" customWidth="1"/>
    <col min="13784" max="13784" width="14.44140625" style="13" customWidth="1"/>
    <col min="13785" max="13785" width="23.109375" style="13" customWidth="1"/>
    <col min="13786" max="13786" width="13.109375" style="13" customWidth="1"/>
    <col min="13787" max="13790" width="0" style="13" hidden="1" customWidth="1"/>
    <col min="13791" max="14026" width="10.33203125" style="13"/>
    <col min="14027" max="14027" width="7" style="13" customWidth="1"/>
    <col min="14028" max="14028" width="13" style="13" customWidth="1"/>
    <col min="14029" max="14029" width="14.109375" style="13" customWidth="1"/>
    <col min="14030" max="14030" width="17.33203125" style="13" customWidth="1"/>
    <col min="14031" max="14031" width="18.88671875" style="13" customWidth="1"/>
    <col min="14032" max="14032" width="14.109375" style="13" customWidth="1"/>
    <col min="14033" max="14033" width="21.5546875" style="13" customWidth="1"/>
    <col min="14034" max="14035" width="14.109375" style="13" customWidth="1"/>
    <col min="14036" max="14036" width="15" style="13" customWidth="1"/>
    <col min="14037" max="14037" width="13.33203125" style="13" customWidth="1"/>
    <col min="14038" max="14038" width="17" style="13" customWidth="1"/>
    <col min="14039" max="14039" width="24.88671875" style="13" customWidth="1"/>
    <col min="14040" max="14040" width="14.44140625" style="13" customWidth="1"/>
    <col min="14041" max="14041" width="23.109375" style="13" customWidth="1"/>
    <col min="14042" max="14042" width="13.109375" style="13" customWidth="1"/>
    <col min="14043" max="14046" width="0" style="13" hidden="1" customWidth="1"/>
    <col min="14047" max="14282" width="10.33203125" style="13"/>
    <col min="14283" max="14283" width="7" style="13" customWidth="1"/>
    <col min="14284" max="14284" width="13" style="13" customWidth="1"/>
    <col min="14285" max="14285" width="14.109375" style="13" customWidth="1"/>
    <col min="14286" max="14286" width="17.33203125" style="13" customWidth="1"/>
    <col min="14287" max="14287" width="18.88671875" style="13" customWidth="1"/>
    <col min="14288" max="14288" width="14.109375" style="13" customWidth="1"/>
    <col min="14289" max="14289" width="21.5546875" style="13" customWidth="1"/>
    <col min="14290" max="14291" width="14.109375" style="13" customWidth="1"/>
    <col min="14292" max="14292" width="15" style="13" customWidth="1"/>
    <col min="14293" max="14293" width="13.33203125" style="13" customWidth="1"/>
    <col min="14294" max="14294" width="17" style="13" customWidth="1"/>
    <col min="14295" max="14295" width="24.88671875" style="13" customWidth="1"/>
    <col min="14296" max="14296" width="14.44140625" style="13" customWidth="1"/>
    <col min="14297" max="14297" width="23.109375" style="13" customWidth="1"/>
    <col min="14298" max="14298" width="13.109375" style="13" customWidth="1"/>
    <col min="14299" max="14302" width="0" style="13" hidden="1" customWidth="1"/>
    <col min="14303" max="14538" width="10.33203125" style="13"/>
    <col min="14539" max="14539" width="7" style="13" customWidth="1"/>
    <col min="14540" max="14540" width="13" style="13" customWidth="1"/>
    <col min="14541" max="14541" width="14.109375" style="13" customWidth="1"/>
    <col min="14542" max="14542" width="17.33203125" style="13" customWidth="1"/>
    <col min="14543" max="14543" width="18.88671875" style="13" customWidth="1"/>
    <col min="14544" max="14544" width="14.109375" style="13" customWidth="1"/>
    <col min="14545" max="14545" width="21.5546875" style="13" customWidth="1"/>
    <col min="14546" max="14547" width="14.109375" style="13" customWidth="1"/>
    <col min="14548" max="14548" width="15" style="13" customWidth="1"/>
    <col min="14549" max="14549" width="13.33203125" style="13" customWidth="1"/>
    <col min="14550" max="14550" width="17" style="13" customWidth="1"/>
    <col min="14551" max="14551" width="24.88671875" style="13" customWidth="1"/>
    <col min="14552" max="14552" width="14.44140625" style="13" customWidth="1"/>
    <col min="14553" max="14553" width="23.109375" style="13" customWidth="1"/>
    <col min="14554" max="14554" width="13.109375" style="13" customWidth="1"/>
    <col min="14555" max="14558" width="0" style="13" hidden="1" customWidth="1"/>
    <col min="14559" max="14794" width="10.33203125" style="13"/>
    <col min="14795" max="14795" width="7" style="13" customWidth="1"/>
    <col min="14796" max="14796" width="13" style="13" customWidth="1"/>
    <col min="14797" max="14797" width="14.109375" style="13" customWidth="1"/>
    <col min="14798" max="14798" width="17.33203125" style="13" customWidth="1"/>
    <col min="14799" max="14799" width="18.88671875" style="13" customWidth="1"/>
    <col min="14800" max="14800" width="14.109375" style="13" customWidth="1"/>
    <col min="14801" max="14801" width="21.5546875" style="13" customWidth="1"/>
    <col min="14802" max="14803" width="14.109375" style="13" customWidth="1"/>
    <col min="14804" max="14804" width="15" style="13" customWidth="1"/>
    <col min="14805" max="14805" width="13.33203125" style="13" customWidth="1"/>
    <col min="14806" max="14806" width="17" style="13" customWidth="1"/>
    <col min="14807" max="14807" width="24.88671875" style="13" customWidth="1"/>
    <col min="14808" max="14808" width="14.44140625" style="13" customWidth="1"/>
    <col min="14809" max="14809" width="23.109375" style="13" customWidth="1"/>
    <col min="14810" max="14810" width="13.109375" style="13" customWidth="1"/>
    <col min="14811" max="14814" width="0" style="13" hidden="1" customWidth="1"/>
    <col min="14815" max="15050" width="10.33203125" style="13"/>
    <col min="15051" max="15051" width="7" style="13" customWidth="1"/>
    <col min="15052" max="15052" width="13" style="13" customWidth="1"/>
    <col min="15053" max="15053" width="14.109375" style="13" customWidth="1"/>
    <col min="15054" max="15054" width="17.33203125" style="13" customWidth="1"/>
    <col min="15055" max="15055" width="18.88671875" style="13" customWidth="1"/>
    <col min="15056" max="15056" width="14.109375" style="13" customWidth="1"/>
    <col min="15057" max="15057" width="21.5546875" style="13" customWidth="1"/>
    <col min="15058" max="15059" width="14.109375" style="13" customWidth="1"/>
    <col min="15060" max="15060" width="15" style="13" customWidth="1"/>
    <col min="15061" max="15061" width="13.33203125" style="13" customWidth="1"/>
    <col min="15062" max="15062" width="17" style="13" customWidth="1"/>
    <col min="15063" max="15063" width="24.88671875" style="13" customWidth="1"/>
    <col min="15064" max="15064" width="14.44140625" style="13" customWidth="1"/>
    <col min="15065" max="15065" width="23.109375" style="13" customWidth="1"/>
    <col min="15066" max="15066" width="13.109375" style="13" customWidth="1"/>
    <col min="15067" max="15070" width="0" style="13" hidden="1" customWidth="1"/>
    <col min="15071" max="15306" width="10.33203125" style="13"/>
    <col min="15307" max="15307" width="7" style="13" customWidth="1"/>
    <col min="15308" max="15308" width="13" style="13" customWidth="1"/>
    <col min="15309" max="15309" width="14.109375" style="13" customWidth="1"/>
    <col min="15310" max="15310" width="17.33203125" style="13" customWidth="1"/>
    <col min="15311" max="15311" width="18.88671875" style="13" customWidth="1"/>
    <col min="15312" max="15312" width="14.109375" style="13" customWidth="1"/>
    <col min="15313" max="15313" width="21.5546875" style="13" customWidth="1"/>
    <col min="15314" max="15315" width="14.109375" style="13" customWidth="1"/>
    <col min="15316" max="15316" width="15" style="13" customWidth="1"/>
    <col min="15317" max="15317" width="13.33203125" style="13" customWidth="1"/>
    <col min="15318" max="15318" width="17" style="13" customWidth="1"/>
    <col min="15319" max="15319" width="24.88671875" style="13" customWidth="1"/>
    <col min="15320" max="15320" width="14.44140625" style="13" customWidth="1"/>
    <col min="15321" max="15321" width="23.109375" style="13" customWidth="1"/>
    <col min="15322" max="15322" width="13.109375" style="13" customWidth="1"/>
    <col min="15323" max="15326" width="0" style="13" hidden="1" customWidth="1"/>
    <col min="15327" max="15562" width="10.33203125" style="13"/>
    <col min="15563" max="15563" width="7" style="13" customWidth="1"/>
    <col min="15564" max="15564" width="13" style="13" customWidth="1"/>
    <col min="15565" max="15565" width="14.109375" style="13" customWidth="1"/>
    <col min="15566" max="15566" width="17.33203125" style="13" customWidth="1"/>
    <col min="15567" max="15567" width="18.88671875" style="13" customWidth="1"/>
    <col min="15568" max="15568" width="14.109375" style="13" customWidth="1"/>
    <col min="15569" max="15569" width="21.5546875" style="13" customWidth="1"/>
    <col min="15570" max="15571" width="14.109375" style="13" customWidth="1"/>
    <col min="15572" max="15572" width="15" style="13" customWidth="1"/>
    <col min="15573" max="15573" width="13.33203125" style="13" customWidth="1"/>
    <col min="15574" max="15574" width="17" style="13" customWidth="1"/>
    <col min="15575" max="15575" width="24.88671875" style="13" customWidth="1"/>
    <col min="15576" max="15576" width="14.44140625" style="13" customWidth="1"/>
    <col min="15577" max="15577" width="23.109375" style="13" customWidth="1"/>
    <col min="15578" max="15578" width="13.109375" style="13" customWidth="1"/>
    <col min="15579" max="15582" width="0" style="13" hidden="1" customWidth="1"/>
    <col min="15583" max="15818" width="10.33203125" style="13"/>
    <col min="15819" max="15819" width="7" style="13" customWidth="1"/>
    <col min="15820" max="15820" width="13" style="13" customWidth="1"/>
    <col min="15821" max="15821" width="14.109375" style="13" customWidth="1"/>
    <col min="15822" max="15822" width="17.33203125" style="13" customWidth="1"/>
    <col min="15823" max="15823" width="18.88671875" style="13" customWidth="1"/>
    <col min="15824" max="15824" width="14.109375" style="13" customWidth="1"/>
    <col min="15825" max="15825" width="21.5546875" style="13" customWidth="1"/>
    <col min="15826" max="15827" width="14.109375" style="13" customWidth="1"/>
    <col min="15828" max="15828" width="15" style="13" customWidth="1"/>
    <col min="15829" max="15829" width="13.33203125" style="13" customWidth="1"/>
    <col min="15830" max="15830" width="17" style="13" customWidth="1"/>
    <col min="15831" max="15831" width="24.88671875" style="13" customWidth="1"/>
    <col min="15832" max="15832" width="14.44140625" style="13" customWidth="1"/>
    <col min="15833" max="15833" width="23.109375" style="13" customWidth="1"/>
    <col min="15834" max="15834" width="13.109375" style="13" customWidth="1"/>
    <col min="15835" max="15838" width="0" style="13" hidden="1" customWidth="1"/>
    <col min="15839" max="16074" width="10.33203125" style="13"/>
    <col min="16075" max="16075" width="7" style="13" customWidth="1"/>
    <col min="16076" max="16076" width="13" style="13" customWidth="1"/>
    <col min="16077" max="16077" width="14.109375" style="13" customWidth="1"/>
    <col min="16078" max="16078" width="17.33203125" style="13" customWidth="1"/>
    <col min="16079" max="16079" width="18.88671875" style="13" customWidth="1"/>
    <col min="16080" max="16080" width="14.109375" style="13" customWidth="1"/>
    <col min="16081" max="16081" width="21.5546875" style="13" customWidth="1"/>
    <col min="16082" max="16083" width="14.109375" style="13" customWidth="1"/>
    <col min="16084" max="16084" width="15" style="13" customWidth="1"/>
    <col min="16085" max="16085" width="13.33203125" style="13" customWidth="1"/>
    <col min="16086" max="16086" width="17" style="13" customWidth="1"/>
    <col min="16087" max="16087" width="24.88671875" style="13" customWidth="1"/>
    <col min="16088" max="16088" width="14.44140625" style="13" customWidth="1"/>
    <col min="16089" max="16089" width="23.109375" style="13" customWidth="1"/>
    <col min="16090" max="16090" width="13.109375" style="13" customWidth="1"/>
    <col min="16091" max="16094" width="0" style="13" hidden="1" customWidth="1"/>
    <col min="16095" max="16384" width="10.33203125" style="13"/>
  </cols>
  <sheetData>
    <row r="1" spans="1:40" ht="15" customHeight="1">
      <c r="B1" s="3214"/>
      <c r="W1" s="2543"/>
      <c r="X1" s="2544"/>
      <c r="Y1" s="2544"/>
      <c r="Z1" s="2544"/>
      <c r="AA1" s="2544"/>
      <c r="AB1" s="2544"/>
      <c r="AC1" s="2544"/>
      <c r="AD1" s="2543"/>
      <c r="AE1" s="2543"/>
      <c r="AF1" s="2543"/>
      <c r="AG1" s="2543"/>
      <c r="AH1" s="2545"/>
      <c r="AI1" s="2543"/>
      <c r="AJ1" s="2543"/>
      <c r="AK1" s="2546"/>
    </row>
    <row r="2" spans="1:40" s="723" customFormat="1" ht="20.25" customHeight="1">
      <c r="A2" s="3304" t="s">
        <v>6125</v>
      </c>
      <c r="B2" s="3305"/>
      <c r="C2" s="3305"/>
      <c r="D2" s="3305"/>
      <c r="E2" s="3305"/>
      <c r="F2" s="3305"/>
      <c r="G2" s="3305"/>
      <c r="H2" s="3305"/>
      <c r="I2" s="3305"/>
      <c r="J2" s="3305"/>
      <c r="K2" s="3305"/>
      <c r="L2" s="3305"/>
      <c r="M2" s="3305"/>
      <c r="N2" s="3305"/>
      <c r="O2" s="3305"/>
      <c r="P2" s="3305"/>
      <c r="Q2" s="3305"/>
      <c r="R2" s="1763"/>
      <c r="S2" s="1764"/>
      <c r="T2" s="1764"/>
      <c r="U2" s="1763"/>
      <c r="V2" s="1764"/>
      <c r="W2" s="1764"/>
      <c r="X2" s="1764"/>
      <c r="Y2" s="1764"/>
      <c r="Z2" s="1764"/>
      <c r="AA2" s="1764"/>
      <c r="AB2" s="1764"/>
      <c r="AC2" s="1764"/>
      <c r="AD2" s="1764"/>
      <c r="AE2" s="1764"/>
      <c r="AF2" s="1764"/>
      <c r="AG2" s="1764"/>
      <c r="AH2" s="1764"/>
      <c r="AI2" s="1764"/>
      <c r="AJ2" s="1764"/>
      <c r="AK2" s="1764"/>
    </row>
    <row r="3" spans="1:40">
      <c r="B3" s="3215"/>
      <c r="C3" s="648" t="s">
        <v>6126</v>
      </c>
      <c r="D3" s="3645" t="s">
        <v>6861</v>
      </c>
      <c r="E3" s="3645"/>
      <c r="F3" s="3645"/>
      <c r="G3" s="3645"/>
      <c r="H3" s="3645"/>
      <c r="I3" s="3645"/>
      <c r="J3" s="3645"/>
      <c r="K3" s="3645"/>
      <c r="L3" s="3645"/>
      <c r="M3" s="2616"/>
      <c r="N3" s="1765"/>
      <c r="O3" s="1765"/>
      <c r="Q3" s="1243"/>
      <c r="R3" s="1765"/>
    </row>
    <row r="4" spans="1:40">
      <c r="B4" s="4"/>
      <c r="C4" s="3740" t="s">
        <v>8224</v>
      </c>
      <c r="D4" s="3740"/>
      <c r="E4" s="3740"/>
      <c r="F4" s="3740"/>
      <c r="G4" s="2616"/>
      <c r="H4" s="2616"/>
      <c r="I4" s="2616"/>
      <c r="J4" s="2616"/>
      <c r="K4" s="2616"/>
      <c r="L4" s="2616"/>
      <c r="M4" s="2616"/>
      <c r="N4" s="1765"/>
      <c r="O4" s="1765"/>
      <c r="Q4" s="1765"/>
      <c r="R4" s="1765"/>
      <c r="W4" s="2869"/>
      <c r="X4" s="2870"/>
      <c r="Y4" s="2870"/>
      <c r="Z4" s="2870"/>
      <c r="AA4" s="2870"/>
      <c r="AB4" s="2870"/>
      <c r="AC4" s="2870"/>
      <c r="AD4" s="2869"/>
      <c r="AE4" s="2870"/>
      <c r="AF4" s="2870"/>
      <c r="AG4" s="2870"/>
      <c r="AH4" s="510"/>
      <c r="AI4" s="2871"/>
      <c r="AJ4" s="2872"/>
      <c r="AK4" s="2873"/>
    </row>
    <row r="5" spans="1:40" s="1801" customFormat="1" ht="56.25" customHeight="1">
      <c r="A5" s="2550" t="s">
        <v>2</v>
      </c>
      <c r="B5" s="2550" t="s">
        <v>2705</v>
      </c>
      <c r="C5" s="2550" t="s">
        <v>3</v>
      </c>
      <c r="D5" s="2550" t="s">
        <v>4</v>
      </c>
      <c r="E5" s="2550" t="s">
        <v>5</v>
      </c>
      <c r="F5" s="2550" t="s">
        <v>4699</v>
      </c>
      <c r="G5" s="2550" t="s">
        <v>179</v>
      </c>
      <c r="H5" s="2550" t="s">
        <v>8</v>
      </c>
      <c r="I5" s="2550" t="s">
        <v>9</v>
      </c>
      <c r="J5" s="2550" t="s">
        <v>102</v>
      </c>
      <c r="K5" s="2550" t="s">
        <v>404</v>
      </c>
      <c r="L5" s="2550" t="s">
        <v>15</v>
      </c>
      <c r="M5" s="2550"/>
      <c r="N5" s="2550" t="s">
        <v>4368</v>
      </c>
      <c r="O5" s="2550" t="s">
        <v>5662</v>
      </c>
      <c r="P5" s="2550" t="s">
        <v>4380</v>
      </c>
      <c r="Q5" s="2550" t="s">
        <v>4360</v>
      </c>
      <c r="R5" s="2550" t="s">
        <v>5939</v>
      </c>
      <c r="S5" s="2550" t="s">
        <v>187</v>
      </c>
      <c r="T5" s="2550" t="s">
        <v>8097</v>
      </c>
      <c r="U5" s="2549" t="s">
        <v>1596</v>
      </c>
      <c r="V5" s="2550" t="s">
        <v>4665</v>
      </c>
      <c r="W5" s="2550" t="s">
        <v>4664</v>
      </c>
      <c r="X5" s="2551" t="s">
        <v>1291</v>
      </c>
      <c r="Y5" s="2551" t="s">
        <v>190</v>
      </c>
      <c r="Z5" s="2551" t="s">
        <v>191</v>
      </c>
      <c r="AA5" s="2551" t="s">
        <v>6624</v>
      </c>
      <c r="AB5" s="2550" t="s">
        <v>192</v>
      </c>
      <c r="AC5" s="2550" t="s">
        <v>7225</v>
      </c>
      <c r="AD5" s="2550" t="s">
        <v>1313</v>
      </c>
      <c r="AE5" s="2552" t="s">
        <v>194</v>
      </c>
      <c r="AF5" s="2552" t="s">
        <v>4652</v>
      </c>
      <c r="AG5" s="2552" t="s">
        <v>195</v>
      </c>
      <c r="AH5" s="2553" t="s">
        <v>197</v>
      </c>
      <c r="AI5" s="2550" t="s">
        <v>198</v>
      </c>
      <c r="AJ5" s="2552" t="s">
        <v>199</v>
      </c>
      <c r="AK5" s="2666" t="s">
        <v>200</v>
      </c>
      <c r="AL5" s="2917" t="s">
        <v>5718</v>
      </c>
    </row>
    <row r="6" spans="1:40" ht="15.6">
      <c r="A6" s="3681" t="s">
        <v>6100</v>
      </c>
      <c r="B6" s="3682"/>
      <c r="C6" s="3682"/>
      <c r="D6" s="3682"/>
      <c r="E6" s="3682"/>
      <c r="F6" s="3682"/>
      <c r="G6" s="3682"/>
      <c r="H6" s="3682"/>
      <c r="I6" s="3682"/>
      <c r="J6" s="3682"/>
      <c r="K6" s="3682"/>
      <c r="L6" s="3682"/>
      <c r="M6" s="3683"/>
      <c r="N6" s="2086"/>
      <c r="O6" s="2086"/>
      <c r="P6" s="2087"/>
      <c r="Q6" s="2087"/>
      <c r="R6" s="2087"/>
      <c r="S6" s="2088"/>
      <c r="T6" s="2088"/>
      <c r="U6" s="2089"/>
      <c r="V6" s="2088"/>
      <c r="W6" s="2090"/>
      <c r="X6" s="2091"/>
      <c r="Y6" s="2088"/>
      <c r="Z6" s="2088"/>
      <c r="AA6" s="2088"/>
      <c r="AB6" s="2088"/>
      <c r="AC6" s="2088"/>
      <c r="AD6" s="2090"/>
      <c r="AE6" s="2088"/>
      <c r="AF6" s="2092"/>
      <c r="AG6" s="2092"/>
      <c r="AH6" s="2093"/>
      <c r="AI6" s="2094"/>
      <c r="AJ6" s="2094"/>
      <c r="AK6" s="2704"/>
      <c r="AL6" s="2342">
        <v>450000</v>
      </c>
      <c r="AM6" s="6"/>
      <c r="AN6" s="5"/>
    </row>
    <row r="7" spans="1:40" ht="25.5" customHeight="1">
      <c r="A7" s="1503">
        <v>1</v>
      </c>
      <c r="B7" s="2050" t="s">
        <v>6143</v>
      </c>
      <c r="C7" s="2575" t="s">
        <v>6164</v>
      </c>
      <c r="D7" s="2050" t="s">
        <v>6124</v>
      </c>
      <c r="E7" s="2096" t="s">
        <v>6351</v>
      </c>
      <c r="F7" s="2712" t="s">
        <v>6500</v>
      </c>
      <c r="G7" s="1915" t="s">
        <v>1300</v>
      </c>
      <c r="H7" s="2048"/>
      <c r="I7" s="2054"/>
      <c r="J7" s="2054" t="s">
        <v>128</v>
      </c>
      <c r="K7" s="2807" t="s">
        <v>418</v>
      </c>
      <c r="L7" s="2054">
        <v>97822709816</v>
      </c>
      <c r="M7" s="2054"/>
      <c r="N7" s="2047" t="s">
        <v>6292</v>
      </c>
      <c r="O7" s="2054" t="s">
        <v>6127</v>
      </c>
      <c r="P7" s="1504" t="s">
        <v>6128</v>
      </c>
      <c r="Q7" s="2056"/>
      <c r="R7" s="1503" t="s">
        <v>6022</v>
      </c>
      <c r="S7" s="2050" t="s">
        <v>5026</v>
      </c>
      <c r="T7" s="2050"/>
      <c r="U7" s="2102"/>
      <c r="V7" s="2101"/>
      <c r="W7" s="2103"/>
      <c r="X7" s="2104"/>
      <c r="Y7" s="2698"/>
      <c r="Z7" s="2101"/>
      <c r="AA7" s="2101"/>
      <c r="AB7" s="2101"/>
      <c r="AC7" s="2101"/>
      <c r="AD7" s="2103"/>
      <c r="AE7" s="2101"/>
      <c r="AF7" s="2105"/>
      <c r="AG7" s="2647">
        <f>+SUM(X7:AF7)</f>
        <v>0</v>
      </c>
      <c r="AH7" s="2648"/>
      <c r="AI7" s="2201">
        <f>(650000+1800000)*1.08</f>
        <v>2646000</v>
      </c>
      <c r="AJ7" s="1602">
        <f>+AG7+AI7</f>
        <v>2646000</v>
      </c>
      <c r="AK7" s="2705"/>
      <c r="AL7" s="1549"/>
      <c r="AM7" s="6"/>
      <c r="AN7" s="5"/>
    </row>
    <row r="8" spans="1:40" s="5" customFormat="1" ht="25.5" customHeight="1">
      <c r="A8" s="1503">
        <f t="shared" ref="A8:A34" si="0">+A7+1</f>
        <v>2</v>
      </c>
      <c r="B8" s="2050" t="s">
        <v>6257</v>
      </c>
      <c r="C8" s="2575" t="s">
        <v>6188</v>
      </c>
      <c r="D8" s="2050" t="s">
        <v>6189</v>
      </c>
      <c r="E8" s="2096" t="s">
        <v>6352</v>
      </c>
      <c r="F8" s="2712" t="s">
        <v>6501</v>
      </c>
      <c r="G8" s="1915" t="s">
        <v>1300</v>
      </c>
      <c r="H8" s="2048"/>
      <c r="I8" s="2054">
        <v>1</v>
      </c>
      <c r="J8" s="2054"/>
      <c r="K8" s="2807" t="s">
        <v>418</v>
      </c>
      <c r="L8" s="2054" t="s">
        <v>6129</v>
      </c>
      <c r="M8" s="2054"/>
      <c r="N8" s="2047" t="s">
        <v>6130</v>
      </c>
      <c r="O8" s="2054" t="s">
        <v>6131</v>
      </c>
      <c r="P8" s="1504" t="s">
        <v>6132</v>
      </c>
      <c r="Q8" s="2065"/>
      <c r="R8" s="1503" t="s">
        <v>6255</v>
      </c>
      <c r="S8" s="2050" t="s">
        <v>287</v>
      </c>
      <c r="T8" s="2050"/>
      <c r="U8" s="2050"/>
      <c r="V8" s="2051"/>
      <c r="W8" s="2051"/>
      <c r="X8" s="2053"/>
      <c r="Y8" s="2598">
        <v>1509000</v>
      </c>
      <c r="Z8" s="2696">
        <v>1500000</v>
      </c>
      <c r="AA8" s="2052"/>
      <c r="AB8" s="2052"/>
      <c r="AC8" s="2052"/>
      <c r="AD8" s="2686">
        <v>500000</v>
      </c>
      <c r="AE8" s="2119">
        <v>225000</v>
      </c>
      <c r="AF8" s="2052"/>
      <c r="AG8" s="1339">
        <f t="shared" ref="AG8:AG34" si="1">+SUM(X8:AF8)</f>
        <v>3734000</v>
      </c>
      <c r="AH8" s="2054"/>
      <c r="AI8" s="2201">
        <f>((850000*(H8+I8))+(H8*3650000)+(I8*3650000))*1.08</f>
        <v>4860000</v>
      </c>
      <c r="AJ8" s="1602">
        <f t="shared" ref="AJ8:AJ34" si="2">+AG8+AI8</f>
        <v>8594000</v>
      </c>
      <c r="AK8" s="2706"/>
      <c r="AL8" s="1504"/>
      <c r="AM8" s="13"/>
    </row>
    <row r="9" spans="1:40" s="5" customFormat="1" ht="15" customHeight="1">
      <c r="A9" s="1503">
        <f t="shared" si="0"/>
        <v>3</v>
      </c>
      <c r="B9" s="2050" t="s">
        <v>6208</v>
      </c>
      <c r="C9" s="2575" t="s">
        <v>6249</v>
      </c>
      <c r="D9" s="2050" t="s">
        <v>6248</v>
      </c>
      <c r="E9" s="2096" t="s">
        <v>6353</v>
      </c>
      <c r="F9" s="2712" t="s">
        <v>6502</v>
      </c>
      <c r="G9" s="1915" t="s">
        <v>1300</v>
      </c>
      <c r="H9" s="2048"/>
      <c r="I9" s="2054">
        <v>1</v>
      </c>
      <c r="J9" s="2054"/>
      <c r="K9" s="2807" t="s">
        <v>418</v>
      </c>
      <c r="L9" s="2054" t="s">
        <v>6133</v>
      </c>
      <c r="M9" s="2054"/>
      <c r="N9" s="2047" t="s">
        <v>6134</v>
      </c>
      <c r="O9" s="2054" t="s">
        <v>6135</v>
      </c>
      <c r="P9" s="1504">
        <v>45754</v>
      </c>
      <c r="Q9" s="2617" t="s">
        <v>6244</v>
      </c>
      <c r="R9" s="1503" t="s">
        <v>6255</v>
      </c>
      <c r="S9" s="2050" t="s">
        <v>287</v>
      </c>
      <c r="T9" s="2050"/>
      <c r="U9" s="2050"/>
      <c r="V9" s="2051"/>
      <c r="W9" s="2051"/>
      <c r="X9" s="2052"/>
      <c r="Y9" s="2598">
        <v>882000</v>
      </c>
      <c r="Z9" s="2696">
        <v>1500000</v>
      </c>
      <c r="AA9" s="2052"/>
      <c r="AB9" s="2053"/>
      <c r="AC9" s="2053"/>
      <c r="AD9" s="2686">
        <v>500000</v>
      </c>
      <c r="AE9" s="2052"/>
      <c r="AF9" s="2052"/>
      <c r="AG9" s="1339">
        <f t="shared" si="1"/>
        <v>2882000</v>
      </c>
      <c r="AH9" s="2108"/>
      <c r="AI9" s="2201">
        <f t="shared" ref="AI9:AI10" si="3">((850000*(H9+I9))+(H9*3650000)+(I9*3650000))*1.08</f>
        <v>4860000</v>
      </c>
      <c r="AJ9" s="1602">
        <f t="shared" si="2"/>
        <v>7742000</v>
      </c>
      <c r="AK9" s="2706"/>
      <c r="AL9" s="1504"/>
      <c r="AM9" s="13"/>
    </row>
    <row r="10" spans="1:40" s="5" customFormat="1" ht="15" customHeight="1">
      <c r="A10" s="1503">
        <f t="shared" si="0"/>
        <v>4</v>
      </c>
      <c r="B10" s="2050" t="s">
        <v>6257</v>
      </c>
      <c r="C10" s="2575" t="s">
        <v>6247</v>
      </c>
      <c r="D10" s="2050" t="s">
        <v>6248</v>
      </c>
      <c r="E10" s="2096" t="s">
        <v>6354</v>
      </c>
      <c r="F10" s="2712" t="s">
        <v>6502</v>
      </c>
      <c r="G10" s="1915" t="s">
        <v>1300</v>
      </c>
      <c r="H10" s="2048">
        <v>1</v>
      </c>
      <c r="I10" s="2054"/>
      <c r="J10" s="2054"/>
      <c r="K10" s="2807" t="s">
        <v>418</v>
      </c>
      <c r="L10" s="2054" t="s">
        <v>6186</v>
      </c>
      <c r="M10" s="2054"/>
      <c r="N10" s="2047" t="s">
        <v>6187</v>
      </c>
      <c r="O10" s="2054" t="s">
        <v>6185</v>
      </c>
      <c r="P10" s="1504">
        <v>45695</v>
      </c>
      <c r="Q10" s="2617" t="s">
        <v>6208</v>
      </c>
      <c r="R10" s="2644" t="s">
        <v>6056</v>
      </c>
      <c r="S10" s="2050" t="s">
        <v>287</v>
      </c>
      <c r="T10" s="2050"/>
      <c r="U10" s="2050"/>
      <c r="V10" s="2051"/>
      <c r="W10" s="2051"/>
      <c r="X10" s="2052"/>
      <c r="Y10" s="2598">
        <v>497000</v>
      </c>
      <c r="Z10" s="2696">
        <v>1000000</v>
      </c>
      <c r="AA10" s="2052"/>
      <c r="AB10" s="2052"/>
      <c r="AC10" s="2052"/>
      <c r="AD10" s="2686">
        <v>250000</v>
      </c>
      <c r="AE10" s="2052"/>
      <c r="AF10" s="2052"/>
      <c r="AG10" s="1339">
        <f t="shared" si="1"/>
        <v>1747000</v>
      </c>
      <c r="AH10" s="2096"/>
      <c r="AI10" s="2201">
        <f t="shared" si="3"/>
        <v>4860000</v>
      </c>
      <c r="AJ10" s="1602">
        <f t="shared" si="2"/>
        <v>6607000</v>
      </c>
      <c r="AK10" s="2706"/>
      <c r="AL10" s="1504"/>
      <c r="AM10" s="13"/>
    </row>
    <row r="11" spans="1:40" s="5" customFormat="1" ht="15" customHeight="1">
      <c r="A11" s="1503">
        <f t="shared" si="0"/>
        <v>5</v>
      </c>
      <c r="B11" s="2050" t="s">
        <v>6244</v>
      </c>
      <c r="C11" s="2575" t="s">
        <v>6273</v>
      </c>
      <c r="D11" s="2050" t="s">
        <v>6208</v>
      </c>
      <c r="E11" s="2096" t="s">
        <v>6355</v>
      </c>
      <c r="F11" s="2712" t="s">
        <v>6500</v>
      </c>
      <c r="G11" s="1915" t="s">
        <v>1300</v>
      </c>
      <c r="H11" s="2048"/>
      <c r="I11" s="2054"/>
      <c r="J11" s="2054" t="s">
        <v>128</v>
      </c>
      <c r="K11" s="2807" t="s">
        <v>418</v>
      </c>
      <c r="L11" s="2054" t="s">
        <v>6271</v>
      </c>
      <c r="M11" s="2054"/>
      <c r="N11" s="2047" t="s">
        <v>6293</v>
      </c>
      <c r="O11" s="2054" t="s">
        <v>6272</v>
      </c>
      <c r="P11" s="1520" t="s">
        <v>6257</v>
      </c>
      <c r="Q11" s="2065"/>
      <c r="R11" s="1503" t="s">
        <v>6288</v>
      </c>
      <c r="S11" s="2050" t="s">
        <v>5026</v>
      </c>
      <c r="T11" s="2050"/>
      <c r="U11" s="2050"/>
      <c r="V11" s="2051"/>
      <c r="W11" s="2051"/>
      <c r="X11" s="2052"/>
      <c r="Y11" s="2598">
        <v>1040364</v>
      </c>
      <c r="Z11" s="2052"/>
      <c r="AA11" s="2052"/>
      <c r="AB11" s="2052"/>
      <c r="AC11" s="2052"/>
      <c r="AD11" s="2053"/>
      <c r="AE11" s="2052"/>
      <c r="AF11" s="2267"/>
      <c r="AG11" s="1339">
        <f t="shared" si="1"/>
        <v>1040364</v>
      </c>
      <c r="AH11" s="2648"/>
      <c r="AI11" s="2201">
        <f>(650000+1800000)*1.08</f>
        <v>2646000</v>
      </c>
      <c r="AJ11" s="1602">
        <f t="shared" si="2"/>
        <v>3686364</v>
      </c>
      <c r="AK11" s="2703"/>
      <c r="AL11" s="1501"/>
      <c r="AM11" s="2267"/>
      <c r="AN11" s="2267"/>
    </row>
    <row r="12" spans="1:40" s="5" customFormat="1" ht="15" customHeight="1">
      <c r="A12" s="1503">
        <f t="shared" si="0"/>
        <v>6</v>
      </c>
      <c r="B12" s="2050" t="s">
        <v>6324</v>
      </c>
      <c r="C12" s="2575" t="s">
        <v>6314</v>
      </c>
      <c r="D12" s="2050" t="s">
        <v>6301</v>
      </c>
      <c r="E12" s="2096" t="s">
        <v>6356</v>
      </c>
      <c r="F12" s="2712" t="s">
        <v>6500</v>
      </c>
      <c r="G12" s="1915" t="s">
        <v>1300</v>
      </c>
      <c r="H12" s="2048"/>
      <c r="I12" s="2054"/>
      <c r="J12" s="2054" t="s">
        <v>128</v>
      </c>
      <c r="K12" s="2807" t="s">
        <v>418</v>
      </c>
      <c r="L12" s="2054" t="s">
        <v>6304</v>
      </c>
      <c r="M12" s="2054"/>
      <c r="N12" s="2047" t="s">
        <v>6357</v>
      </c>
      <c r="O12" s="2054" t="s">
        <v>6305</v>
      </c>
      <c r="P12" s="1504">
        <v>45907</v>
      </c>
      <c r="Q12" s="2065"/>
      <c r="R12" s="1503" t="s">
        <v>6224</v>
      </c>
      <c r="S12" s="2050" t="s">
        <v>3144</v>
      </c>
      <c r="T12" s="2050"/>
      <c r="U12" s="2050"/>
      <c r="V12" s="2051"/>
      <c r="W12" s="2051"/>
      <c r="X12" s="2052"/>
      <c r="Y12" s="2598">
        <v>324000</v>
      </c>
      <c r="Z12" s="2052"/>
      <c r="AA12" s="2052"/>
      <c r="AB12" s="2052"/>
      <c r="AC12" s="2052"/>
      <c r="AD12" s="2053"/>
      <c r="AE12" s="2052"/>
      <c r="AF12" s="2221"/>
      <c r="AG12" s="1339">
        <f t="shared" si="1"/>
        <v>324000</v>
      </c>
      <c r="AH12" s="2223"/>
      <c r="AI12" s="2201">
        <f>(650000+1800000)*1.08</f>
        <v>2646000</v>
      </c>
      <c r="AJ12" s="1602">
        <f t="shared" si="2"/>
        <v>2970000</v>
      </c>
      <c r="AK12" s="2707"/>
      <c r="AL12" s="1504"/>
      <c r="AM12" s="13"/>
    </row>
    <row r="13" spans="1:40" s="5" customFormat="1" ht="34.5" customHeight="1">
      <c r="A13" s="1503">
        <f t="shared" si="0"/>
        <v>7</v>
      </c>
      <c r="B13" s="2050"/>
      <c r="C13" s="2029">
        <v>307576545860</v>
      </c>
      <c r="D13" s="2016" t="s">
        <v>6373</v>
      </c>
      <c r="E13" s="2096" t="s">
        <v>6445</v>
      </c>
      <c r="F13" s="2712"/>
      <c r="G13" s="1915" t="s">
        <v>210</v>
      </c>
      <c r="H13" s="2699"/>
      <c r="I13" s="2699"/>
      <c r="J13" s="2699"/>
      <c r="K13" s="2054" t="s">
        <v>210</v>
      </c>
      <c r="L13" s="2575" t="s">
        <v>6444</v>
      </c>
      <c r="M13" s="2575"/>
      <c r="N13" s="2047"/>
      <c r="O13" s="2054" t="s">
        <v>6434</v>
      </c>
      <c r="P13" s="1504"/>
      <c r="Q13" s="2065"/>
      <c r="R13" s="1503"/>
      <c r="S13" s="2062" t="s">
        <v>6433</v>
      </c>
      <c r="T13" s="2062"/>
      <c r="U13" s="2050"/>
      <c r="V13" s="2051"/>
      <c r="W13" s="2051"/>
      <c r="X13" s="2052"/>
      <c r="Y13" s="2698"/>
      <c r="Z13" s="2052"/>
      <c r="AA13" s="2052"/>
      <c r="AB13" s="2052"/>
      <c r="AC13" s="2052"/>
      <c r="AD13" s="2053"/>
      <c r="AE13" s="2052"/>
      <c r="AF13" s="2221"/>
      <c r="AG13" s="1339">
        <f t="shared" si="1"/>
        <v>0</v>
      </c>
      <c r="AH13" s="2064" t="s">
        <v>6436</v>
      </c>
      <c r="AI13" s="2201">
        <f>(550000+4900000)*1.08</f>
        <v>5886000</v>
      </c>
      <c r="AJ13" s="1602">
        <f t="shared" si="2"/>
        <v>5886000</v>
      </c>
      <c r="AK13" s="2707"/>
      <c r="AL13" s="1504"/>
      <c r="AM13" s="13"/>
    </row>
    <row r="14" spans="1:40" s="5" customFormat="1" ht="27" customHeight="1">
      <c r="A14" s="1503">
        <f t="shared" si="0"/>
        <v>8</v>
      </c>
      <c r="B14" s="2062" t="s">
        <v>6400</v>
      </c>
      <c r="C14" s="2693" t="s">
        <v>6406</v>
      </c>
      <c r="D14" s="2050" t="s">
        <v>6400</v>
      </c>
      <c r="E14" s="2096" t="s">
        <v>6430</v>
      </c>
      <c r="F14" s="2712"/>
      <c r="G14" s="1915" t="s">
        <v>210</v>
      </c>
      <c r="H14" s="2048"/>
      <c r="I14" s="2054"/>
      <c r="J14" s="2054">
        <v>1</v>
      </c>
      <c r="K14" s="2054" t="s">
        <v>210</v>
      </c>
      <c r="L14" s="2054" t="s">
        <v>6393</v>
      </c>
      <c r="M14" s="2054"/>
      <c r="N14" s="2042" t="s">
        <v>6394</v>
      </c>
      <c r="O14" s="2054" t="s">
        <v>6424</v>
      </c>
      <c r="P14" s="1504" t="s">
        <v>6395</v>
      </c>
      <c r="Q14" s="2065"/>
      <c r="R14" s="1503" t="s">
        <v>6405</v>
      </c>
      <c r="S14" s="2066" t="s">
        <v>6396</v>
      </c>
      <c r="T14" s="2066"/>
      <c r="U14" s="2050"/>
      <c r="V14" s="2051"/>
      <c r="W14" s="2051"/>
      <c r="X14" s="2052"/>
      <c r="Y14" s="2052"/>
      <c r="Z14" s="2052"/>
      <c r="AA14" s="2052"/>
      <c r="AB14" s="2052"/>
      <c r="AC14" s="2052"/>
      <c r="AD14" s="2053"/>
      <c r="AE14" s="2052"/>
      <c r="AF14" s="2052"/>
      <c r="AG14" s="1339">
        <f t="shared" si="1"/>
        <v>0</v>
      </c>
      <c r="AH14" s="2096" t="s">
        <v>1416</v>
      </c>
      <c r="AI14" s="2201">
        <f>(650000+2300000)*1.08</f>
        <v>3186000</v>
      </c>
      <c r="AJ14" s="1602">
        <f>+AG14+AI14</f>
        <v>3186000</v>
      </c>
      <c r="AK14" s="2706"/>
      <c r="AL14" s="1504"/>
      <c r="AM14" s="13"/>
    </row>
    <row r="15" spans="1:40" s="5" customFormat="1" ht="30.75" customHeight="1">
      <c r="A15" s="1503">
        <f t="shared" si="0"/>
        <v>9</v>
      </c>
      <c r="B15" s="2062" t="s">
        <v>6437</v>
      </c>
      <c r="C15" s="2575" t="s">
        <v>6431</v>
      </c>
      <c r="D15" s="2050" t="s">
        <v>6435</v>
      </c>
      <c r="E15" s="2096" t="s">
        <v>6442</v>
      </c>
      <c r="F15" s="2767" t="s">
        <v>6503</v>
      </c>
      <c r="G15" s="1915" t="s">
        <v>1300</v>
      </c>
      <c r="H15" s="2048"/>
      <c r="I15" s="2054">
        <v>1</v>
      </c>
      <c r="J15" s="2054"/>
      <c r="K15" s="2807" t="s">
        <v>418</v>
      </c>
      <c r="L15" s="2099" t="s">
        <v>6308</v>
      </c>
      <c r="M15" s="2099"/>
      <c r="N15" s="2047" t="s">
        <v>6306</v>
      </c>
      <c r="O15" s="2054" t="s">
        <v>6307</v>
      </c>
      <c r="P15" s="1504" t="s">
        <v>6419</v>
      </c>
      <c r="Q15" s="2064" t="s">
        <v>6392</v>
      </c>
      <c r="R15" s="1503" t="s">
        <v>5942</v>
      </c>
      <c r="S15" s="2050" t="s">
        <v>287</v>
      </c>
      <c r="T15" s="2050"/>
      <c r="U15" s="2050"/>
      <c r="V15" s="2051"/>
      <c r="W15" s="2051"/>
      <c r="X15" s="2052"/>
      <c r="Y15" s="2598">
        <v>882000</v>
      </c>
      <c r="Z15" s="2696">
        <v>1500000</v>
      </c>
      <c r="AA15" s="2052"/>
      <c r="AB15" s="2052"/>
      <c r="AC15" s="2052"/>
      <c r="AD15" s="2227">
        <v>500000</v>
      </c>
      <c r="AE15" s="2052"/>
      <c r="AF15" s="1501"/>
      <c r="AG15" s="1339">
        <f t="shared" si="1"/>
        <v>2882000</v>
      </c>
      <c r="AH15" s="1501"/>
      <c r="AI15" s="2201">
        <f>((850000*(H15+I15))+(H15*3650000)+(I15*3650000))*1.08</f>
        <v>4860000</v>
      </c>
      <c r="AJ15" s="1602">
        <f t="shared" si="2"/>
        <v>7742000</v>
      </c>
      <c r="AK15" s="2703"/>
      <c r="AL15" s="1501"/>
      <c r="AM15" s="2267"/>
      <c r="AN15" s="2267"/>
    </row>
    <row r="16" spans="1:40" s="5" customFormat="1" ht="31.5" customHeight="1">
      <c r="A16" s="1503">
        <f t="shared" si="0"/>
        <v>10</v>
      </c>
      <c r="B16" s="2062" t="s">
        <v>6437</v>
      </c>
      <c r="C16" s="2575" t="s">
        <v>6432</v>
      </c>
      <c r="D16" s="2050" t="s">
        <v>6435</v>
      </c>
      <c r="E16" s="2096" t="s">
        <v>6443</v>
      </c>
      <c r="F16" s="2712" t="s">
        <v>6504</v>
      </c>
      <c r="G16" s="1915" t="s">
        <v>1300</v>
      </c>
      <c r="H16" s="2048">
        <v>1</v>
      </c>
      <c r="I16" s="2054"/>
      <c r="J16" s="2054"/>
      <c r="K16" s="2807" t="s">
        <v>418</v>
      </c>
      <c r="L16" s="2054" t="s">
        <v>6397</v>
      </c>
      <c r="M16" s="2054"/>
      <c r="N16" s="2047" t="s">
        <v>6398</v>
      </c>
      <c r="O16" s="2054" t="s">
        <v>6399</v>
      </c>
      <c r="P16" s="1504" t="s">
        <v>6400</v>
      </c>
      <c r="Q16" s="2064" t="s">
        <v>6452</v>
      </c>
      <c r="R16" s="1503" t="s">
        <v>6255</v>
      </c>
      <c r="S16" s="2050" t="s">
        <v>287</v>
      </c>
      <c r="T16" s="2050"/>
      <c r="U16" s="2050"/>
      <c r="V16" s="2051"/>
      <c r="W16" s="2051"/>
      <c r="X16" s="2052"/>
      <c r="Y16" s="2598">
        <v>497000</v>
      </c>
      <c r="Z16" s="2696">
        <v>999000</v>
      </c>
      <c r="AA16" s="2052"/>
      <c r="AB16" s="2052"/>
      <c r="AC16" s="2052"/>
      <c r="AD16" s="2227">
        <v>250000</v>
      </c>
      <c r="AE16" s="2052"/>
      <c r="AF16" s="2052"/>
      <c r="AG16" s="1339">
        <f t="shared" si="1"/>
        <v>1746000</v>
      </c>
      <c r="AH16" s="2054" t="s">
        <v>6423</v>
      </c>
      <c r="AI16" s="2201">
        <f t="shared" ref="AI16" si="4">((850000*(H16+I16))+(H16*3650000)+(I16*3650000))*1.08</f>
        <v>4860000</v>
      </c>
      <c r="AJ16" s="1602">
        <f t="shared" si="2"/>
        <v>6606000</v>
      </c>
      <c r="AK16" s="2706"/>
      <c r="AL16" s="1504"/>
      <c r="AM16" s="13"/>
    </row>
    <row r="17" spans="1:41" s="5" customFormat="1" ht="15" customHeight="1">
      <c r="A17" s="1503">
        <f t="shared" si="0"/>
        <v>11</v>
      </c>
      <c r="B17" s="2050" t="s">
        <v>6441</v>
      </c>
      <c r="C17" s="2575" t="s">
        <v>6464</v>
      </c>
      <c r="D17" s="2050" t="s">
        <v>6437</v>
      </c>
      <c r="E17" s="2096" t="s">
        <v>6489</v>
      </c>
      <c r="F17" s="2712" t="s">
        <v>6500</v>
      </c>
      <c r="G17" s="1915" t="s">
        <v>1300</v>
      </c>
      <c r="H17" s="2048"/>
      <c r="I17" s="2054"/>
      <c r="J17" s="2054" t="s">
        <v>128</v>
      </c>
      <c r="K17" s="2807" t="s">
        <v>418</v>
      </c>
      <c r="L17" s="2054">
        <v>73803059140</v>
      </c>
      <c r="M17" s="2054"/>
      <c r="N17" s="2047"/>
      <c r="O17" s="2054" t="s">
        <v>6454</v>
      </c>
      <c r="P17" s="1504" t="s">
        <v>6449</v>
      </c>
      <c r="Q17" s="2065"/>
      <c r="R17" s="1503" t="s">
        <v>6288</v>
      </c>
      <c r="S17" s="2050" t="s">
        <v>3144</v>
      </c>
      <c r="T17" s="2050"/>
      <c r="U17" s="2050"/>
      <c r="V17" s="2051"/>
      <c r="W17" s="2051"/>
      <c r="X17" s="2052"/>
      <c r="Y17" s="2598">
        <v>450490</v>
      </c>
      <c r="Z17" s="2052"/>
      <c r="AA17" s="2052"/>
      <c r="AB17" s="2052"/>
      <c r="AC17" s="2052"/>
      <c r="AD17" s="2053"/>
      <c r="AE17" s="2052"/>
      <c r="AF17" s="2052"/>
      <c r="AG17" s="1339">
        <f t="shared" si="1"/>
        <v>450490</v>
      </c>
      <c r="AH17" s="2054"/>
      <c r="AI17" s="2201">
        <f>(650000+1800000)*1.08</f>
        <v>2646000</v>
      </c>
      <c r="AJ17" s="1602">
        <f t="shared" si="2"/>
        <v>3096490</v>
      </c>
      <c r="AK17" s="2706"/>
      <c r="AL17" s="1504"/>
      <c r="AM17" s="13"/>
    </row>
    <row r="18" spans="1:41" s="5" customFormat="1" ht="29.25" customHeight="1">
      <c r="A18" s="1503">
        <f t="shared" si="0"/>
        <v>12</v>
      </c>
      <c r="B18" s="2062" t="s">
        <v>6456</v>
      </c>
      <c r="C18" s="2575" t="s">
        <v>6467</v>
      </c>
      <c r="D18" s="2050" t="s">
        <v>6441</v>
      </c>
      <c r="E18" s="2096" t="s">
        <v>6490</v>
      </c>
      <c r="F18" s="2712" t="s">
        <v>6500</v>
      </c>
      <c r="G18" s="1915" t="s">
        <v>1300</v>
      </c>
      <c r="H18" s="2048"/>
      <c r="I18" s="2054"/>
      <c r="J18" s="2054" t="s">
        <v>128</v>
      </c>
      <c r="K18" s="2807" t="s">
        <v>418</v>
      </c>
      <c r="L18" s="2054" t="s">
        <v>6466</v>
      </c>
      <c r="M18" s="2054"/>
      <c r="N18" s="2047"/>
      <c r="O18" s="2054" t="s">
        <v>6491</v>
      </c>
      <c r="P18" s="1504" t="s">
        <v>6437</v>
      </c>
      <c r="Q18" s="2065"/>
      <c r="R18" s="1503" t="s">
        <v>5948</v>
      </c>
      <c r="S18" s="2050" t="s">
        <v>3144</v>
      </c>
      <c r="T18" s="2050"/>
      <c r="U18" s="2050"/>
      <c r="V18" s="2051"/>
      <c r="W18" s="2051"/>
      <c r="X18" s="2052"/>
      <c r="Y18" s="2598">
        <v>806868</v>
      </c>
      <c r="Z18" s="2052"/>
      <c r="AA18" s="2052"/>
      <c r="AB18" s="2052"/>
      <c r="AC18" s="2870"/>
      <c r="AE18" s="2052"/>
      <c r="AF18" s="2052"/>
      <c r="AG18" s="1339">
        <f t="shared" si="1"/>
        <v>806868</v>
      </c>
      <c r="AH18" s="2054"/>
      <c r="AI18" s="2201">
        <f>(650000+1800000)*1.08</f>
        <v>2646000</v>
      </c>
      <c r="AJ18" s="1602">
        <f t="shared" si="2"/>
        <v>3452868</v>
      </c>
      <c r="AK18" s="2706"/>
      <c r="AL18" s="1504"/>
      <c r="AM18" s="13"/>
    </row>
    <row r="19" spans="1:41" ht="15.6">
      <c r="A19" s="3307" t="s">
        <v>6485</v>
      </c>
      <c r="B19" s="3308"/>
      <c r="C19" s="3308"/>
      <c r="D19" s="3308"/>
      <c r="E19" s="3308"/>
      <c r="F19" s="3308"/>
      <c r="G19" s="3308"/>
      <c r="H19" s="3308"/>
      <c r="I19" s="3308"/>
      <c r="J19" s="3308"/>
      <c r="K19" s="3308"/>
      <c r="L19" s="3309"/>
      <c r="M19" s="2797"/>
      <c r="N19" s="2086"/>
      <c r="O19" s="2086"/>
      <c r="P19" s="2087"/>
      <c r="Q19" s="2087"/>
      <c r="R19" s="2087"/>
      <c r="S19" s="2088"/>
      <c r="T19" s="2088"/>
      <c r="U19" s="2089"/>
      <c r="V19" s="2088"/>
      <c r="W19" s="2090"/>
      <c r="X19" s="2091"/>
      <c r="Y19" s="2088"/>
      <c r="Z19" s="2088"/>
      <c r="AA19" s="2088"/>
      <c r="AB19" s="2088"/>
      <c r="AC19" s="2088"/>
      <c r="AD19" s="2090"/>
      <c r="AE19" s="2088"/>
      <c r="AF19" s="2092"/>
      <c r="AG19" s="2092"/>
      <c r="AH19" s="2093"/>
      <c r="AI19" s="2094"/>
      <c r="AJ19" s="2094"/>
      <c r="AK19" s="2704"/>
      <c r="AL19" s="2342">
        <v>450000</v>
      </c>
      <c r="AM19" s="6"/>
      <c r="AN19" s="5"/>
    </row>
    <row r="20" spans="1:41" ht="15" customHeight="1">
      <c r="A20" s="1503">
        <v>1</v>
      </c>
      <c r="B20" s="2050" t="s">
        <v>6547</v>
      </c>
      <c r="C20" s="2575" t="s">
        <v>6518</v>
      </c>
      <c r="D20" s="2050" t="s">
        <v>6493</v>
      </c>
      <c r="E20" s="2096" t="s">
        <v>6551</v>
      </c>
      <c r="F20" s="2712" t="s">
        <v>6500</v>
      </c>
      <c r="G20" s="1915" t="s">
        <v>1300</v>
      </c>
      <c r="H20" s="2048"/>
      <c r="I20" s="2054">
        <v>1</v>
      </c>
      <c r="J20" s="2054"/>
      <c r="K20" s="2807" t="s">
        <v>418</v>
      </c>
      <c r="L20" s="2054" t="s">
        <v>6495</v>
      </c>
      <c r="M20" s="2054"/>
      <c r="N20" s="2047" t="s">
        <v>6513</v>
      </c>
      <c r="O20" s="2054" t="s">
        <v>6498</v>
      </c>
      <c r="P20" s="1504" t="s">
        <v>6499</v>
      </c>
      <c r="Q20" s="2064" t="s">
        <v>6527</v>
      </c>
      <c r="R20" s="1503" t="s">
        <v>5972</v>
      </c>
      <c r="S20" s="2050" t="s">
        <v>287</v>
      </c>
      <c r="T20" s="2050"/>
      <c r="U20" s="1472"/>
      <c r="V20" s="1472"/>
      <c r="W20" s="1472"/>
      <c r="X20" s="1472"/>
      <c r="Y20" s="2598">
        <v>882000</v>
      </c>
      <c r="Z20" s="2791">
        <v>1280000</v>
      </c>
      <c r="AA20" s="1472"/>
      <c r="AB20" s="1472"/>
      <c r="AC20" s="1472"/>
      <c r="AD20" s="2686">
        <v>500000</v>
      </c>
      <c r="AE20" s="1472"/>
      <c r="AF20" s="1472"/>
      <c r="AG20" s="1339">
        <f t="shared" si="1"/>
        <v>2662000</v>
      </c>
      <c r="AH20" s="1472"/>
      <c r="AI20" s="2201">
        <f>(U20*1.08)+(V20*1.08)+(W20*1.08)+((850000*(H20+I20))+(H20*3650000)+(I20*3650000))*1.08+(500000*1.08)</f>
        <v>5400000</v>
      </c>
      <c r="AJ20" s="1602">
        <f t="shared" si="2"/>
        <v>8062000</v>
      </c>
      <c r="AK20" s="2796"/>
      <c r="AL20" s="1472"/>
      <c r="AM20" s="1472"/>
      <c r="AN20" s="1472"/>
    </row>
    <row r="21" spans="1:41" s="5" customFormat="1" ht="26.25" customHeight="1">
      <c r="A21" s="1503">
        <f>+A20+1</f>
        <v>2</v>
      </c>
      <c r="B21" s="2062" t="s">
        <v>6532</v>
      </c>
      <c r="C21" s="2693" t="s">
        <v>6546</v>
      </c>
      <c r="D21" s="2050" t="s">
        <v>6532</v>
      </c>
      <c r="E21" s="2096" t="s">
        <v>6552</v>
      </c>
      <c r="F21" s="2099" t="s">
        <v>6528</v>
      </c>
      <c r="G21" s="1915" t="s">
        <v>210</v>
      </c>
      <c r="H21" s="2048"/>
      <c r="I21" s="2054">
        <v>1</v>
      </c>
      <c r="J21" s="2054"/>
      <c r="K21" s="2054" t="s">
        <v>210</v>
      </c>
      <c r="L21" s="2054" t="s">
        <v>6529</v>
      </c>
      <c r="M21" s="1345" t="s">
        <v>6748</v>
      </c>
      <c r="N21" s="1471" t="s">
        <v>6549</v>
      </c>
      <c r="O21" s="2054" t="s">
        <v>6540</v>
      </c>
      <c r="P21" s="2725" t="s">
        <v>6526</v>
      </c>
      <c r="Q21" s="2708"/>
      <c r="R21" s="1503" t="s">
        <v>6537</v>
      </c>
      <c r="S21" s="2050" t="s">
        <v>287</v>
      </c>
      <c r="T21" s="659"/>
      <c r="U21" s="2708"/>
      <c r="V21" s="2708"/>
      <c r="W21" s="2708"/>
      <c r="X21" s="2708"/>
      <c r="Y21" s="2791">
        <v>1250000</v>
      </c>
      <c r="Z21" s="2598">
        <v>882000</v>
      </c>
      <c r="AA21" s="2598">
        <v>704892</v>
      </c>
      <c r="AB21" s="2708"/>
      <c r="AC21" s="2708"/>
      <c r="AD21" s="2686">
        <v>500000</v>
      </c>
      <c r="AE21" s="2708"/>
      <c r="AF21" s="2708"/>
      <c r="AG21" s="1339">
        <f t="shared" si="1"/>
        <v>3336892</v>
      </c>
      <c r="AH21" s="2108" t="s">
        <v>6548</v>
      </c>
      <c r="AI21" s="2201">
        <f t="shared" ref="AI21:AI31" si="5">(U21*1.08)+(V21*1.08)+(W21*1.08)+((850000*(H21+I21))+(H21*3650000)+(I21*3650000))*1.08</f>
        <v>4860000</v>
      </c>
      <c r="AJ21" s="1602">
        <f t="shared" si="2"/>
        <v>8196892</v>
      </c>
      <c r="AK21" s="2796"/>
      <c r="AL21" s="2708"/>
      <c r="AM21" s="2952"/>
      <c r="AN21" s="2952"/>
      <c r="AO21" s="2952"/>
    </row>
    <row r="22" spans="1:41" s="5" customFormat="1" ht="29.25" customHeight="1">
      <c r="A22" s="1503">
        <f t="shared" si="0"/>
        <v>3</v>
      </c>
      <c r="B22" s="2062" t="s">
        <v>6565</v>
      </c>
      <c r="C22" s="2693" t="s">
        <v>6566</v>
      </c>
      <c r="D22" s="2050" t="s">
        <v>6565</v>
      </c>
      <c r="E22" s="2096" t="s">
        <v>6568</v>
      </c>
      <c r="F22" s="2099" t="s">
        <v>6538</v>
      </c>
      <c r="G22" s="1915" t="s">
        <v>210</v>
      </c>
      <c r="H22" s="2048"/>
      <c r="I22" s="2054">
        <v>1</v>
      </c>
      <c r="J22" s="2054"/>
      <c r="K22" s="2054" t="s">
        <v>210</v>
      </c>
      <c r="L22" s="2575" t="s">
        <v>6539</v>
      </c>
      <c r="M22" s="2575" t="s">
        <v>6749</v>
      </c>
      <c r="N22" s="2047" t="s">
        <v>6562</v>
      </c>
      <c r="O22" s="2054" t="s">
        <v>6563</v>
      </c>
      <c r="P22" s="2725" t="s">
        <v>6530</v>
      </c>
      <c r="Q22" s="2745"/>
      <c r="R22" s="1503" t="s">
        <v>6564</v>
      </c>
      <c r="S22" s="2050" t="s">
        <v>287</v>
      </c>
      <c r="T22" s="2050"/>
      <c r="U22" s="2062"/>
      <c r="V22" s="2051"/>
      <c r="W22" s="2051"/>
      <c r="X22" s="2791">
        <v>236000</v>
      </c>
      <c r="Y22" s="2791">
        <v>1500000</v>
      </c>
      <c r="Z22" s="2598">
        <v>882000</v>
      </c>
      <c r="AA22" s="2598">
        <v>722350</v>
      </c>
      <c r="AB22" s="2073"/>
      <c r="AC22" s="2073"/>
      <c r="AD22" s="2686">
        <v>500000</v>
      </c>
      <c r="AE22" s="2052"/>
      <c r="AF22" s="2052"/>
      <c r="AG22" s="1339">
        <f t="shared" si="1"/>
        <v>3840350</v>
      </c>
      <c r="AH22" s="2108" t="s">
        <v>6548</v>
      </c>
      <c r="AI22" s="2201">
        <f t="shared" si="5"/>
        <v>4860000</v>
      </c>
      <c r="AJ22" s="1602">
        <f t="shared" si="2"/>
        <v>8700350</v>
      </c>
      <c r="AK22" s="2796"/>
      <c r="AL22" s="1504"/>
      <c r="AM22" s="13"/>
    </row>
    <row r="23" spans="1:41" s="5" customFormat="1" ht="37.5" customHeight="1">
      <c r="A23" s="1503">
        <f t="shared" si="0"/>
        <v>4</v>
      </c>
      <c r="B23" s="2062" t="s">
        <v>6595</v>
      </c>
      <c r="C23" s="2838" t="s">
        <v>6591</v>
      </c>
      <c r="D23" s="2050" t="s">
        <v>6595</v>
      </c>
      <c r="E23" s="2096" t="s">
        <v>6634</v>
      </c>
      <c r="F23" s="2099" t="s">
        <v>6579</v>
      </c>
      <c r="G23" s="1915" t="s">
        <v>210</v>
      </c>
      <c r="H23" s="2048">
        <v>1</v>
      </c>
      <c r="I23" s="2054"/>
      <c r="J23" s="2054"/>
      <c r="K23" s="2807" t="s">
        <v>418</v>
      </c>
      <c r="L23" s="2054" t="s">
        <v>6577</v>
      </c>
      <c r="M23" s="2054" t="s">
        <v>6750</v>
      </c>
      <c r="N23" s="2047" t="s">
        <v>6590</v>
      </c>
      <c r="O23" s="2099" t="s">
        <v>6592</v>
      </c>
      <c r="P23" s="2725" t="s">
        <v>6578</v>
      </c>
      <c r="Q23" s="1944"/>
      <c r="R23" s="1503" t="s">
        <v>5944</v>
      </c>
      <c r="S23" s="2050" t="s">
        <v>287</v>
      </c>
      <c r="T23" s="2050"/>
      <c r="U23" s="2050"/>
      <c r="V23" s="2051">
        <f>650000*2</f>
        <v>1300000</v>
      </c>
      <c r="W23" s="2051">
        <v>300000</v>
      </c>
      <c r="X23" s="2052"/>
      <c r="Y23" s="2791">
        <v>999000</v>
      </c>
      <c r="Z23" s="2598">
        <v>497000</v>
      </c>
      <c r="AA23" s="2598">
        <v>563029</v>
      </c>
      <c r="AB23" s="1504"/>
      <c r="AC23" s="1504"/>
      <c r="AD23" s="2686">
        <v>250000</v>
      </c>
      <c r="AE23" s="2052"/>
      <c r="AF23" s="2052"/>
      <c r="AG23" s="1339">
        <f>+SUM(X23:AF23)</f>
        <v>2309029</v>
      </c>
      <c r="AH23" s="2108" t="s">
        <v>6695</v>
      </c>
      <c r="AI23" s="2201">
        <f t="shared" si="5"/>
        <v>6588000</v>
      </c>
      <c r="AJ23" s="1602">
        <f t="shared" si="2"/>
        <v>8897029</v>
      </c>
      <c r="AK23" s="2796"/>
      <c r="AL23" s="1504"/>
      <c r="AM23" s="13"/>
    </row>
    <row r="24" spans="1:41" s="5" customFormat="1" ht="15.6">
      <c r="A24" s="1503">
        <f t="shared" si="0"/>
        <v>5</v>
      </c>
      <c r="B24" s="2062" t="s">
        <v>6611</v>
      </c>
      <c r="C24" s="2575" t="s">
        <v>6605</v>
      </c>
      <c r="D24" s="2050" t="s">
        <v>6601</v>
      </c>
      <c r="E24" s="2096" t="s">
        <v>6635</v>
      </c>
      <c r="F24" s="2712" t="s">
        <v>6500</v>
      </c>
      <c r="G24" s="1915" t="s">
        <v>1300</v>
      </c>
      <c r="H24" s="2048"/>
      <c r="I24" s="2054"/>
      <c r="J24" s="2054" t="s">
        <v>128</v>
      </c>
      <c r="K24" s="2807" t="s">
        <v>418</v>
      </c>
      <c r="L24" s="2728" t="s">
        <v>6606</v>
      </c>
      <c r="M24" s="2728"/>
      <c r="N24" s="2047" t="s">
        <v>6696</v>
      </c>
      <c r="O24" s="2054" t="s">
        <v>6641</v>
      </c>
      <c r="P24" s="5">
        <v>45816</v>
      </c>
      <c r="Q24" s="2035"/>
      <c r="R24" s="2035" t="s">
        <v>5948</v>
      </c>
      <c r="S24" s="2050" t="s">
        <v>3144</v>
      </c>
      <c r="T24" s="2050"/>
      <c r="U24" s="2062"/>
      <c r="V24" s="2051"/>
      <c r="W24" s="2051"/>
      <c r="X24" s="2598">
        <v>229522</v>
      </c>
      <c r="Y24" s="2698"/>
      <c r="Z24" s="2052"/>
      <c r="AA24" s="2052"/>
      <c r="AB24" s="2052"/>
      <c r="AC24" s="2052"/>
      <c r="AD24" s="2053"/>
      <c r="AE24" s="2052"/>
      <c r="AF24" s="2052"/>
      <c r="AG24" s="1339">
        <f>+SUM(X24:AF24)</f>
        <v>229522</v>
      </c>
      <c r="AH24" s="2054"/>
      <c r="AI24" s="2201">
        <f>+(650000+1800000)*1.08</f>
        <v>2646000</v>
      </c>
      <c r="AJ24" s="1602">
        <f t="shared" si="2"/>
        <v>2875522</v>
      </c>
      <c r="AK24" s="2796"/>
      <c r="AL24" s="2702"/>
      <c r="AM24" s="13"/>
    </row>
    <row r="25" spans="1:41" s="5" customFormat="1" ht="27" customHeight="1">
      <c r="A25" s="1503">
        <f t="shared" si="0"/>
        <v>6</v>
      </c>
      <c r="B25" s="2062" t="s">
        <v>6654</v>
      </c>
      <c r="C25" s="2575" t="s">
        <v>6620</v>
      </c>
      <c r="D25" s="2050" t="s">
        <v>6611</v>
      </c>
      <c r="E25" s="2096" t="s">
        <v>6645</v>
      </c>
      <c r="F25" s="2712" t="s">
        <v>6500</v>
      </c>
      <c r="G25" s="1915" t="s">
        <v>1300</v>
      </c>
      <c r="H25" s="2048"/>
      <c r="I25" s="2054">
        <v>1</v>
      </c>
      <c r="J25" s="2054"/>
      <c r="K25" s="2807" t="s">
        <v>418</v>
      </c>
      <c r="L25" s="2801" t="s">
        <v>6586</v>
      </c>
      <c r="M25" s="2748"/>
      <c r="N25" s="2047" t="s">
        <v>6617</v>
      </c>
      <c r="O25" s="2054" t="s">
        <v>6636</v>
      </c>
      <c r="P25" s="1504">
        <v>45938</v>
      </c>
      <c r="Q25" s="2035" t="s">
        <v>6643</v>
      </c>
      <c r="R25" s="2035" t="s">
        <v>6655</v>
      </c>
      <c r="S25" s="2050" t="s">
        <v>287</v>
      </c>
      <c r="T25" s="2050"/>
      <c r="U25" s="2062"/>
      <c r="V25" s="2051"/>
      <c r="W25" s="2051"/>
      <c r="X25" s="2052"/>
      <c r="Y25" s="2598">
        <v>882000</v>
      </c>
      <c r="Z25" s="2791">
        <v>1512000</v>
      </c>
      <c r="AA25" s="2052"/>
      <c r="AB25" s="2052"/>
      <c r="AC25" s="2052"/>
      <c r="AD25" s="2686">
        <v>500000</v>
      </c>
      <c r="AE25" s="2052"/>
      <c r="AF25" s="2052"/>
      <c r="AG25" s="1339">
        <f t="shared" si="1"/>
        <v>2894000</v>
      </c>
      <c r="AH25" s="2054"/>
      <c r="AI25" s="2201">
        <f t="shared" si="5"/>
        <v>4860000</v>
      </c>
      <c r="AJ25" s="1602">
        <f t="shared" si="2"/>
        <v>7754000</v>
      </c>
      <c r="AK25" s="2796"/>
      <c r="AL25" s="2702"/>
      <c r="AM25" s="13"/>
    </row>
    <row r="26" spans="1:41" s="5" customFormat="1" ht="45" customHeight="1">
      <c r="A26" s="1503">
        <f t="shared" si="0"/>
        <v>7</v>
      </c>
      <c r="B26" s="2062" t="s">
        <v>6611</v>
      </c>
      <c r="C26" s="2837" t="s">
        <v>6616</v>
      </c>
      <c r="D26" s="1504">
        <v>45877</v>
      </c>
      <c r="E26" s="2096" t="s">
        <v>6639</v>
      </c>
      <c r="F26" s="2099" t="s">
        <v>6538</v>
      </c>
      <c r="G26" s="1915" t="s">
        <v>210</v>
      </c>
      <c r="H26" s="2054"/>
      <c r="I26" s="2054">
        <v>1</v>
      </c>
      <c r="J26" s="2054"/>
      <c r="K26" s="2054" t="s">
        <v>210</v>
      </c>
      <c r="L26" s="2575" t="s">
        <v>6597</v>
      </c>
      <c r="M26" s="2575" t="s">
        <v>6751</v>
      </c>
      <c r="N26" s="2749" t="s">
        <v>6615</v>
      </c>
      <c r="O26" s="2054" t="s">
        <v>6637</v>
      </c>
      <c r="P26" s="2750" t="s">
        <v>6598</v>
      </c>
      <c r="Q26" s="2035"/>
      <c r="R26" s="2035" t="s">
        <v>6625</v>
      </c>
      <c r="S26" s="2050" t="s">
        <v>287</v>
      </c>
      <c r="T26" s="2050"/>
      <c r="U26" s="2062"/>
      <c r="V26" s="2051">
        <v>650000</v>
      </c>
      <c r="W26" s="2051"/>
      <c r="X26" s="2052"/>
      <c r="Y26" s="2791">
        <v>1500000</v>
      </c>
      <c r="Z26" s="2598">
        <v>882000</v>
      </c>
      <c r="AA26" s="2598">
        <v>1110651</v>
      </c>
      <c r="AB26" s="2052"/>
      <c r="AC26" s="2052"/>
      <c r="AD26" s="2686">
        <v>500000</v>
      </c>
      <c r="AE26" s="2052"/>
      <c r="AF26" s="2052"/>
      <c r="AG26" s="1339">
        <f t="shared" si="1"/>
        <v>3992651</v>
      </c>
      <c r="AH26" s="2108" t="s">
        <v>6780</v>
      </c>
      <c r="AI26" s="2201">
        <f t="shared" si="5"/>
        <v>5562000</v>
      </c>
      <c r="AJ26" s="1602">
        <f t="shared" si="2"/>
        <v>9554651</v>
      </c>
      <c r="AK26" s="2796"/>
      <c r="AL26" s="2702"/>
      <c r="AM26" s="13"/>
    </row>
    <row r="27" spans="1:41" s="5" customFormat="1" ht="27">
      <c r="A27" s="1503">
        <f t="shared" si="0"/>
        <v>8</v>
      </c>
      <c r="B27" s="2062" t="s">
        <v>6630</v>
      </c>
      <c r="C27" s="2693" t="s">
        <v>6629</v>
      </c>
      <c r="D27" s="2050" t="s">
        <v>6555</v>
      </c>
      <c r="E27" s="2096" t="s">
        <v>6640</v>
      </c>
      <c r="F27" s="2099" t="s">
        <v>6613</v>
      </c>
      <c r="G27" s="1915" t="s">
        <v>210</v>
      </c>
      <c r="H27" s="2048">
        <v>1</v>
      </c>
      <c r="I27" s="2054"/>
      <c r="J27" s="2054"/>
      <c r="K27" s="2807" t="s">
        <v>418</v>
      </c>
      <c r="L27" s="2054" t="s">
        <v>6612</v>
      </c>
      <c r="M27" s="2054" t="s">
        <v>6865</v>
      </c>
      <c r="N27" s="2047" t="s">
        <v>6632</v>
      </c>
      <c r="O27" s="2054" t="s">
        <v>6638</v>
      </c>
      <c r="P27" s="2592" t="s">
        <v>6614</v>
      </c>
      <c r="Q27" s="2035"/>
      <c r="R27" s="2035" t="s">
        <v>5944</v>
      </c>
      <c r="S27" s="2050" t="s">
        <v>287</v>
      </c>
      <c r="T27" s="2050"/>
      <c r="U27" s="2062"/>
      <c r="V27" s="2051"/>
      <c r="W27" s="2051"/>
      <c r="X27" s="2052"/>
      <c r="Y27" s="2791">
        <v>1000000</v>
      </c>
      <c r="Z27" s="2598">
        <v>497000</v>
      </c>
      <c r="AA27" s="2598">
        <v>430485</v>
      </c>
      <c r="AB27" s="2052"/>
      <c r="AC27" s="2052"/>
      <c r="AD27" s="2686">
        <v>250000</v>
      </c>
      <c r="AE27" s="2052"/>
      <c r="AF27" s="2052"/>
      <c r="AG27" s="1339">
        <f t="shared" si="1"/>
        <v>2177485</v>
      </c>
      <c r="AH27" s="2054" t="s">
        <v>1416</v>
      </c>
      <c r="AI27" s="2201">
        <f t="shared" si="5"/>
        <v>4860000</v>
      </c>
      <c r="AJ27" s="1602">
        <f t="shared" si="2"/>
        <v>7037485</v>
      </c>
      <c r="AK27" s="2796"/>
      <c r="AL27" s="2702"/>
      <c r="AM27" s="13"/>
    </row>
    <row r="28" spans="1:41" s="5" customFormat="1" ht="46.5" customHeight="1">
      <c r="A28" s="1503">
        <f t="shared" si="0"/>
        <v>9</v>
      </c>
      <c r="B28" s="2062" t="s">
        <v>6678</v>
      </c>
      <c r="C28" s="2575" t="s">
        <v>6656</v>
      </c>
      <c r="D28" s="2050" t="s">
        <v>6654</v>
      </c>
      <c r="E28" s="2096" t="s">
        <v>6672</v>
      </c>
      <c r="F28" s="2767" t="s">
        <v>6503</v>
      </c>
      <c r="G28" s="1915" t="s">
        <v>1300</v>
      </c>
      <c r="H28" s="2048"/>
      <c r="I28" s="2054">
        <v>2</v>
      </c>
      <c r="J28" s="2054"/>
      <c r="K28" s="2807" t="s">
        <v>418</v>
      </c>
      <c r="L28" s="2099" t="s">
        <v>6588</v>
      </c>
      <c r="M28" s="2099"/>
      <c r="N28" s="2047" t="s">
        <v>6585</v>
      </c>
      <c r="O28" s="2054" t="s">
        <v>6587</v>
      </c>
      <c r="P28" s="1504">
        <v>45938</v>
      </c>
      <c r="Q28" s="2035" t="s">
        <v>6653</v>
      </c>
      <c r="R28" s="2047" t="s">
        <v>6682</v>
      </c>
      <c r="S28" s="2050" t="s">
        <v>287</v>
      </c>
      <c r="T28" s="2050"/>
      <c r="U28" s="2050"/>
      <c r="V28" s="2051"/>
      <c r="W28" s="2051"/>
      <c r="X28" s="2052"/>
      <c r="Y28" s="2598">
        <v>1764000</v>
      </c>
      <c r="Z28" s="2791">
        <f>1500000*2</f>
        <v>3000000</v>
      </c>
      <c r="AA28" s="2052"/>
      <c r="AB28" s="2072"/>
      <c r="AC28" s="2072"/>
      <c r="AD28" s="2686">
        <v>1000000</v>
      </c>
      <c r="AE28" s="2052"/>
      <c r="AF28" s="2052"/>
      <c r="AG28" s="1339">
        <f>+SUM(X28:AF28)</f>
        <v>5764000</v>
      </c>
      <c r="AH28" s="2054"/>
      <c r="AI28" s="2201">
        <f t="shared" si="5"/>
        <v>9720000</v>
      </c>
      <c r="AJ28" s="1602">
        <f>+AG28+AI28</f>
        <v>15484000</v>
      </c>
      <c r="AK28" s="2796"/>
      <c r="AL28" s="2702"/>
      <c r="AM28" s="13"/>
    </row>
    <row r="29" spans="1:41" s="5" customFormat="1" ht="27">
      <c r="A29" s="1503">
        <f t="shared" si="0"/>
        <v>10</v>
      </c>
      <c r="B29" s="2062" t="s">
        <v>6715</v>
      </c>
      <c r="C29" s="2693" t="s">
        <v>6732</v>
      </c>
      <c r="D29" s="2062" t="s">
        <v>6715</v>
      </c>
      <c r="E29" s="2096" t="s">
        <v>6743</v>
      </c>
      <c r="F29" s="2099" t="s">
        <v>6528</v>
      </c>
      <c r="G29" s="1915" t="s">
        <v>210</v>
      </c>
      <c r="H29" s="2054"/>
      <c r="I29" s="2054">
        <v>1</v>
      </c>
      <c r="J29" s="2054"/>
      <c r="K29" s="2054" t="s">
        <v>210</v>
      </c>
      <c r="L29" s="2054" t="s">
        <v>6703</v>
      </c>
      <c r="M29" s="2054" t="s">
        <v>6866</v>
      </c>
      <c r="N29" s="2047" t="s">
        <v>6724</v>
      </c>
      <c r="O29" s="2054" t="s">
        <v>6725</v>
      </c>
      <c r="P29" s="2592" t="s">
        <v>6726</v>
      </c>
      <c r="Q29" s="2035"/>
      <c r="R29" s="2035" t="s">
        <v>6723</v>
      </c>
      <c r="S29" s="2050" t="s">
        <v>287</v>
      </c>
      <c r="T29" s="2050"/>
      <c r="U29" s="2062"/>
      <c r="V29" s="2051"/>
      <c r="W29" s="2051"/>
      <c r="X29" s="2052"/>
      <c r="Y29" s="2791">
        <v>1450000</v>
      </c>
      <c r="Z29" s="2598">
        <v>882000</v>
      </c>
      <c r="AA29" s="2598">
        <v>758321</v>
      </c>
      <c r="AB29" s="2052"/>
      <c r="AC29" s="2052"/>
      <c r="AD29" s="2686">
        <v>500000</v>
      </c>
      <c r="AE29" s="2052"/>
      <c r="AF29" s="2052"/>
      <c r="AG29" s="1339">
        <f t="shared" si="1"/>
        <v>3590321</v>
      </c>
      <c r="AH29" s="2054" t="s">
        <v>1416</v>
      </c>
      <c r="AI29" s="2201">
        <f t="shared" si="5"/>
        <v>4860000</v>
      </c>
      <c r="AJ29" s="1602">
        <f t="shared" si="2"/>
        <v>8450321</v>
      </c>
      <c r="AK29" s="2097"/>
      <c r="AL29" s="2702"/>
      <c r="AM29" s="13"/>
    </row>
    <row r="30" spans="1:41" s="5" customFormat="1" ht="30" customHeight="1">
      <c r="A30" s="1503">
        <f t="shared" si="0"/>
        <v>11</v>
      </c>
      <c r="B30" s="2062" t="s">
        <v>6643</v>
      </c>
      <c r="C30" s="2575" t="s">
        <v>6737</v>
      </c>
      <c r="D30" s="2062" t="s">
        <v>6715</v>
      </c>
      <c r="E30" s="2096" t="s">
        <v>6744</v>
      </c>
      <c r="F30" s="2712" t="s">
        <v>6501</v>
      </c>
      <c r="G30" s="1915" t="s">
        <v>1300</v>
      </c>
      <c r="H30" s="2048"/>
      <c r="I30" s="2054">
        <v>1</v>
      </c>
      <c r="J30" s="2054"/>
      <c r="K30" s="2807" t="s">
        <v>418</v>
      </c>
      <c r="L30" s="2054" t="s">
        <v>6716</v>
      </c>
      <c r="M30" s="2054"/>
      <c r="N30" s="2047" t="s">
        <v>6717</v>
      </c>
      <c r="O30" s="2054" t="s">
        <v>6722</v>
      </c>
      <c r="P30" s="2592" t="s">
        <v>6715</v>
      </c>
      <c r="Q30" s="2035" t="s">
        <v>6643</v>
      </c>
      <c r="R30" s="2035" t="s">
        <v>5944</v>
      </c>
      <c r="S30" s="2050" t="s">
        <v>287</v>
      </c>
      <c r="T30" s="2050"/>
      <c r="U30" s="2050"/>
      <c r="V30" s="2051"/>
      <c r="W30" s="2051"/>
      <c r="X30" s="2052"/>
      <c r="Y30" s="2791">
        <v>1500000</v>
      </c>
      <c r="Z30" s="2598">
        <v>1298000</v>
      </c>
      <c r="AA30" s="2052"/>
      <c r="AB30" s="2072"/>
      <c r="AC30" s="2072"/>
      <c r="AD30" s="2686">
        <v>500000</v>
      </c>
      <c r="AE30" s="2052"/>
      <c r="AF30" s="2052"/>
      <c r="AG30" s="1339">
        <f t="shared" si="1"/>
        <v>3298000</v>
      </c>
      <c r="AH30" s="2108"/>
      <c r="AI30" s="2201">
        <f t="shared" si="5"/>
        <v>4860000</v>
      </c>
      <c r="AJ30" s="1602">
        <f t="shared" si="2"/>
        <v>8158000</v>
      </c>
      <c r="AK30" s="2097"/>
      <c r="AL30" s="2702"/>
      <c r="AM30" s="13"/>
    </row>
    <row r="31" spans="1:41" s="5" customFormat="1" ht="40.200000000000003">
      <c r="A31" s="1503">
        <f t="shared" si="0"/>
        <v>12</v>
      </c>
      <c r="B31" s="2062" t="s">
        <v>6643</v>
      </c>
      <c r="C31" s="2837" t="s">
        <v>6820</v>
      </c>
      <c r="D31" s="2050" t="s">
        <v>6643</v>
      </c>
      <c r="E31" s="2096" t="s">
        <v>6819</v>
      </c>
      <c r="F31" s="2099" t="s">
        <v>6538</v>
      </c>
      <c r="G31" s="1915" t="s">
        <v>210</v>
      </c>
      <c r="H31" s="2048"/>
      <c r="I31" s="2054">
        <v>1</v>
      </c>
      <c r="J31" s="2054"/>
      <c r="K31" s="2810" t="s">
        <v>136</v>
      </c>
      <c r="L31" s="2575" t="s">
        <v>6752</v>
      </c>
      <c r="M31" s="2054" t="s">
        <v>6864</v>
      </c>
      <c r="N31" s="2047" t="s">
        <v>6812</v>
      </c>
      <c r="O31" s="2054" t="s">
        <v>6813</v>
      </c>
      <c r="P31" s="2750" t="s">
        <v>6753</v>
      </c>
      <c r="Q31" s="2035"/>
      <c r="R31" s="2035" t="s">
        <v>5972</v>
      </c>
      <c r="S31" s="2050" t="s">
        <v>287</v>
      </c>
      <c r="T31" s="2050"/>
      <c r="U31" s="2051">
        <v>400000</v>
      </c>
      <c r="V31" s="2051"/>
      <c r="W31" s="2051"/>
      <c r="X31" s="2052"/>
      <c r="Y31" s="2791">
        <v>1500000</v>
      </c>
      <c r="Z31" s="2598">
        <v>882000</v>
      </c>
      <c r="AA31" s="2598">
        <v>614337</v>
      </c>
      <c r="AB31" s="2052"/>
      <c r="AC31" s="2052"/>
      <c r="AD31" s="2686">
        <v>500000</v>
      </c>
      <c r="AE31" s="2052"/>
      <c r="AF31" s="2052"/>
      <c r="AG31" s="1339">
        <f>+SUM(X31:AF31)</f>
        <v>3496337</v>
      </c>
      <c r="AH31" s="2806" t="s">
        <v>6827</v>
      </c>
      <c r="AI31" s="2201">
        <f t="shared" si="5"/>
        <v>5292000</v>
      </c>
      <c r="AJ31" s="1602">
        <f t="shared" si="2"/>
        <v>8788337</v>
      </c>
      <c r="AK31" s="2097"/>
      <c r="AL31" s="2702"/>
      <c r="AM31" s="13"/>
    </row>
    <row r="32" spans="1:41" s="5" customFormat="1" ht="15.6">
      <c r="A32" s="1503">
        <f t="shared" si="0"/>
        <v>13</v>
      </c>
      <c r="B32" s="2062" t="s">
        <v>6694</v>
      </c>
      <c r="C32" s="2575" t="s">
        <v>6802</v>
      </c>
      <c r="D32" s="2050" t="s">
        <v>6799</v>
      </c>
      <c r="E32" s="2096" t="s">
        <v>6836</v>
      </c>
      <c r="F32" s="2712" t="s">
        <v>6500</v>
      </c>
      <c r="G32" s="1915" t="s">
        <v>1300</v>
      </c>
      <c r="H32" s="2048"/>
      <c r="I32" s="2054">
        <v>1</v>
      </c>
      <c r="J32" s="2054"/>
      <c r="K32" s="2807" t="s">
        <v>418</v>
      </c>
      <c r="L32" s="2054" t="s">
        <v>6793</v>
      </c>
      <c r="M32" s="2054"/>
      <c r="N32" s="2047" t="s">
        <v>6794</v>
      </c>
      <c r="O32" s="2054" t="s">
        <v>6792</v>
      </c>
      <c r="P32" s="1520" t="s">
        <v>6788</v>
      </c>
      <c r="Q32" s="2035" t="s">
        <v>6829</v>
      </c>
      <c r="R32" s="2035" t="s">
        <v>6056</v>
      </c>
      <c r="S32" s="2050" t="s">
        <v>287</v>
      </c>
      <c r="T32" s="2050"/>
      <c r="U32" s="2062"/>
      <c r="V32" s="2051"/>
      <c r="W32" s="2051"/>
      <c r="X32" s="2052"/>
      <c r="Y32" s="2598">
        <v>882000</v>
      </c>
      <c r="Z32" s="2598">
        <v>1280000</v>
      </c>
      <c r="AA32" s="2052"/>
      <c r="AB32" s="2052"/>
      <c r="AC32" s="2052"/>
      <c r="AD32" s="2686">
        <v>500000</v>
      </c>
      <c r="AE32" s="2052"/>
      <c r="AF32" s="2052"/>
      <c r="AG32" s="1339">
        <f t="shared" si="1"/>
        <v>2662000</v>
      </c>
      <c r="AH32" s="2054" t="s">
        <v>6867</v>
      </c>
      <c r="AI32" s="2201">
        <f>(U32*1.08)+(V32*1.08)+(W32*1.08)+((850000*(H32+I32))+(H32*3650000)+(I32*3650000))*1.08+(500000*1.08)</f>
        <v>5400000</v>
      </c>
      <c r="AJ32" s="1602">
        <f t="shared" si="2"/>
        <v>8062000</v>
      </c>
      <c r="AK32" s="2097"/>
      <c r="AL32" s="2702"/>
      <c r="AM32" s="13"/>
    </row>
    <row r="33" spans="1:40" s="5" customFormat="1" ht="15.6">
      <c r="A33" s="1503">
        <f t="shared" si="0"/>
        <v>14</v>
      </c>
      <c r="B33" s="2062" t="s">
        <v>6859</v>
      </c>
      <c r="C33" s="2575" t="s">
        <v>6804</v>
      </c>
      <c r="D33" s="2050" t="s">
        <v>6799</v>
      </c>
      <c r="E33" s="2096" t="s">
        <v>6837</v>
      </c>
      <c r="F33" s="2712" t="s">
        <v>6500</v>
      </c>
      <c r="G33" s="1915" t="s">
        <v>1300</v>
      </c>
      <c r="H33" s="2048"/>
      <c r="I33" s="2054">
        <v>1</v>
      </c>
      <c r="J33" s="2054"/>
      <c r="K33" s="2807" t="s">
        <v>418</v>
      </c>
      <c r="L33" s="2054" t="s">
        <v>6800</v>
      </c>
      <c r="M33" s="2054"/>
      <c r="N33" s="2047" t="s">
        <v>6821</v>
      </c>
      <c r="O33" s="2054" t="s">
        <v>6798</v>
      </c>
      <c r="P33" s="1520" t="s">
        <v>6694</v>
      </c>
      <c r="Q33" s="1944"/>
      <c r="R33" s="2035" t="s">
        <v>6255</v>
      </c>
      <c r="S33" s="2050" t="s">
        <v>287</v>
      </c>
      <c r="T33" s="2050"/>
      <c r="U33" s="2050"/>
      <c r="V33" s="2051"/>
      <c r="W33" s="2051"/>
      <c r="X33" s="2052"/>
      <c r="Y33" s="2598">
        <v>882000</v>
      </c>
      <c r="Z33" s="2791">
        <v>1500000</v>
      </c>
      <c r="AA33" s="2052"/>
      <c r="AB33" s="2052"/>
      <c r="AC33" s="2052"/>
      <c r="AD33" s="2686">
        <v>500000</v>
      </c>
      <c r="AE33" s="2052"/>
      <c r="AF33" s="2052"/>
      <c r="AG33" s="1339">
        <f t="shared" si="1"/>
        <v>2882000</v>
      </c>
      <c r="AH33" s="2054"/>
      <c r="AI33" s="2201">
        <f>(U33*1.08)+(V33*1.08)+(W33*1.08)+((850000*(H33+I33))+(H33*3650000)+(I33*3650000))*1.08</f>
        <v>4860000</v>
      </c>
      <c r="AJ33" s="1602">
        <f t="shared" si="2"/>
        <v>7742000</v>
      </c>
      <c r="AK33" s="2097"/>
      <c r="AL33" s="2702"/>
      <c r="AM33" s="13"/>
    </row>
    <row r="34" spans="1:40" ht="27">
      <c r="A34" s="1503">
        <f t="shared" si="0"/>
        <v>15</v>
      </c>
      <c r="B34" s="2062" t="s">
        <v>6825</v>
      </c>
      <c r="C34" s="4">
        <v>107476428510</v>
      </c>
      <c r="D34" s="2050" t="s">
        <v>6826</v>
      </c>
      <c r="E34" s="2096" t="s">
        <v>6851</v>
      </c>
      <c r="F34" s="2767" t="s">
        <v>6733</v>
      </c>
      <c r="G34" s="1915" t="s">
        <v>1300</v>
      </c>
      <c r="H34" s="2048"/>
      <c r="I34" s="2054">
        <v>2</v>
      </c>
      <c r="J34" s="2054"/>
      <c r="K34" s="2807" t="s">
        <v>418</v>
      </c>
      <c r="L34" s="2054" t="s">
        <v>6731</v>
      </c>
      <c r="M34" s="2054"/>
      <c r="N34" s="2047" t="s">
        <v>6735</v>
      </c>
      <c r="O34" s="2054" t="s">
        <v>6746</v>
      </c>
      <c r="P34" s="2327" t="s">
        <v>6663</v>
      </c>
      <c r="Q34" s="1504">
        <v>45725</v>
      </c>
      <c r="R34" s="2343" t="s">
        <v>6024</v>
      </c>
      <c r="S34" s="2050" t="s">
        <v>287</v>
      </c>
      <c r="T34" s="2050"/>
      <c r="U34" s="2102"/>
      <c r="V34" s="2051"/>
      <c r="W34" s="2051"/>
      <c r="X34" s="2104"/>
      <c r="Y34" s="2598">
        <v>3210000</v>
      </c>
      <c r="Z34" s="2791">
        <f>1500000+1280000</f>
        <v>2780000</v>
      </c>
      <c r="AA34" s="2698"/>
      <c r="AB34" s="2101"/>
      <c r="AC34" s="2101"/>
      <c r="AD34" s="2598">
        <v>1000000</v>
      </c>
      <c r="AE34" s="2101"/>
      <c r="AF34" s="2105"/>
      <c r="AG34" s="1339">
        <f t="shared" si="1"/>
        <v>6990000</v>
      </c>
      <c r="AH34" s="2106"/>
      <c r="AI34" s="2201">
        <f t="shared" ref="AI34" si="6">(U34*1.08)+(V34*1.08)+(W34*1.08)+((850000*(H34+I34))+(H34*3650000)+(I34*3650000))*1.08</f>
        <v>9720000</v>
      </c>
      <c r="AJ34" s="1602">
        <f t="shared" si="2"/>
        <v>16710000</v>
      </c>
      <c r="AK34" s="2107"/>
      <c r="AL34" s="2701"/>
      <c r="AM34" s="6"/>
      <c r="AN34" s="5"/>
    </row>
    <row r="35" spans="1:40" ht="15.6">
      <c r="A35" s="3307" t="s">
        <v>6848</v>
      </c>
      <c r="B35" s="3308"/>
      <c r="C35" s="3308"/>
      <c r="D35" s="3308"/>
      <c r="E35" s="3308"/>
      <c r="F35" s="3308"/>
      <c r="G35" s="3308"/>
      <c r="H35" s="3308"/>
      <c r="I35" s="3308"/>
      <c r="J35" s="3308"/>
      <c r="K35" s="3308"/>
      <c r="L35" s="3309"/>
      <c r="M35" s="2797"/>
      <c r="N35" s="2086"/>
      <c r="O35" s="2086"/>
      <c r="P35" s="2087"/>
      <c r="Q35" s="2087"/>
      <c r="R35" s="2087"/>
      <c r="S35" s="2088"/>
      <c r="T35" s="2088"/>
      <c r="U35" s="2089"/>
      <c r="V35" s="2088"/>
      <c r="W35" s="2090"/>
      <c r="X35" s="2091"/>
      <c r="Y35" s="2088"/>
      <c r="Z35" s="2088"/>
      <c r="AA35" s="2088"/>
      <c r="AB35" s="2088"/>
      <c r="AC35" s="2088"/>
      <c r="AD35" s="2090"/>
      <c r="AE35" s="2088"/>
      <c r="AF35" s="2092"/>
      <c r="AG35" s="2092"/>
      <c r="AH35" s="2093"/>
      <c r="AI35" s="2094"/>
      <c r="AJ35" s="2094"/>
      <c r="AK35" s="2704"/>
      <c r="AL35" s="2342">
        <v>450000</v>
      </c>
      <c r="AM35" s="6"/>
      <c r="AN35" s="5"/>
    </row>
    <row r="36" spans="1:40" s="5" customFormat="1" ht="37.5" customHeight="1">
      <c r="A36" s="1503"/>
      <c r="B36" s="2062" t="s">
        <v>6595</v>
      </c>
      <c r="C36" s="2108" t="s">
        <v>6591</v>
      </c>
      <c r="D36" s="2050" t="s">
        <v>6595</v>
      </c>
      <c r="E36" s="2096" t="s">
        <v>7027</v>
      </c>
      <c r="F36" s="2099" t="s">
        <v>6579</v>
      </c>
      <c r="G36" s="1915" t="s">
        <v>210</v>
      </c>
      <c r="H36" s="2048">
        <v>1</v>
      </c>
      <c r="I36" s="2054"/>
      <c r="J36" s="2054"/>
      <c r="K36" s="2807" t="s">
        <v>418</v>
      </c>
      <c r="L36" s="2054" t="s">
        <v>6577</v>
      </c>
      <c r="M36" s="2054" t="s">
        <v>6750</v>
      </c>
      <c r="N36" s="2047" t="s">
        <v>6590</v>
      </c>
      <c r="O36" s="2099" t="s">
        <v>6592</v>
      </c>
      <c r="P36" s="2725" t="s">
        <v>6578</v>
      </c>
      <c r="Q36" s="1944"/>
      <c r="R36" s="1503"/>
      <c r="S36" s="2050" t="s">
        <v>287</v>
      </c>
      <c r="T36" s="2050"/>
      <c r="U36" s="2050"/>
      <c r="V36" s="2051"/>
      <c r="W36" s="2051"/>
      <c r="X36" s="2052"/>
      <c r="Y36" s="2698"/>
      <c r="Z36" s="2698"/>
      <c r="AA36" s="2698"/>
      <c r="AB36" s="1504"/>
      <c r="AC36" s="1504"/>
      <c r="AD36" s="2053"/>
      <c r="AE36" s="2052"/>
      <c r="AF36" s="2052"/>
      <c r="AG36" s="1339">
        <f>+SUM(X36:AF36)</f>
        <v>0</v>
      </c>
      <c r="AH36" s="2108" t="s">
        <v>6920</v>
      </c>
      <c r="AI36" s="2201">
        <f>1050000*2*1.08</f>
        <v>2268000</v>
      </c>
      <c r="AJ36" s="1602">
        <f t="shared" ref="AJ36:AJ38" si="7">+AG36+AI36</f>
        <v>2268000</v>
      </c>
      <c r="AK36" s="2796"/>
      <c r="AL36" s="1504"/>
      <c r="AM36" s="13"/>
    </row>
    <row r="37" spans="1:40" s="5" customFormat="1" ht="45" customHeight="1">
      <c r="A37" s="1503"/>
      <c r="B37" s="2062" t="s">
        <v>6611</v>
      </c>
      <c r="C37" s="2693" t="s">
        <v>6616</v>
      </c>
      <c r="D37" s="1504">
        <v>45877</v>
      </c>
      <c r="E37" s="2096" t="s">
        <v>7028</v>
      </c>
      <c r="F37" s="2099" t="s">
        <v>6538</v>
      </c>
      <c r="G37" s="1915" t="s">
        <v>210</v>
      </c>
      <c r="H37" s="2054"/>
      <c r="I37" s="2054">
        <v>1</v>
      </c>
      <c r="J37" s="2054"/>
      <c r="K37" s="2054" t="s">
        <v>210</v>
      </c>
      <c r="L37" s="2575" t="s">
        <v>6597</v>
      </c>
      <c r="M37" s="2575" t="s">
        <v>6751</v>
      </c>
      <c r="N37" s="2749" t="s">
        <v>6615</v>
      </c>
      <c r="O37" s="2054" t="s">
        <v>6637</v>
      </c>
      <c r="P37" s="2750" t="s">
        <v>6598</v>
      </c>
      <c r="Q37" s="2035"/>
      <c r="R37" s="2035"/>
      <c r="S37" s="2050" t="s">
        <v>287</v>
      </c>
      <c r="T37" s="2050"/>
      <c r="U37" s="2062"/>
      <c r="V37" s="2051"/>
      <c r="W37" s="2051"/>
      <c r="X37" s="2052"/>
      <c r="Y37" s="2698"/>
      <c r="Z37" s="2698"/>
      <c r="AA37" s="2698"/>
      <c r="AB37" s="2052"/>
      <c r="AC37" s="2052"/>
      <c r="AD37" s="2053"/>
      <c r="AE37" s="2052"/>
      <c r="AF37" s="2052"/>
      <c r="AG37" s="1339">
        <f t="shared" ref="AG37:AG38" si="8">+SUM(X37:AF37)</f>
        <v>0</v>
      </c>
      <c r="AH37" s="2108" t="s">
        <v>6920</v>
      </c>
      <c r="AI37" s="2201">
        <f>1050000*1.08</f>
        <v>1134000</v>
      </c>
      <c r="AJ37" s="1602">
        <f t="shared" si="7"/>
        <v>1134000</v>
      </c>
      <c r="AK37" s="2796"/>
      <c r="AL37" s="2702"/>
      <c r="AM37" s="13"/>
    </row>
    <row r="38" spans="1:40" s="2799" customFormat="1" ht="27.6" thickBot="1">
      <c r="A38" s="1854"/>
      <c r="B38" s="2846" t="s">
        <v>6643</v>
      </c>
      <c r="C38" s="2868" t="s">
        <v>6820</v>
      </c>
      <c r="D38" s="2847" t="s">
        <v>6643</v>
      </c>
      <c r="E38" s="2848" t="s">
        <v>7029</v>
      </c>
      <c r="F38" s="2849" t="s">
        <v>6538</v>
      </c>
      <c r="G38" s="1856" t="s">
        <v>210</v>
      </c>
      <c r="H38" s="2850"/>
      <c r="I38" s="2851">
        <v>1</v>
      </c>
      <c r="J38" s="2851"/>
      <c r="K38" s="2852" t="s">
        <v>136</v>
      </c>
      <c r="L38" s="2853" t="s">
        <v>6752</v>
      </c>
      <c r="M38" s="2851" t="s">
        <v>6864</v>
      </c>
      <c r="N38" s="2854" t="s">
        <v>6812</v>
      </c>
      <c r="O38" s="2851" t="s">
        <v>6813</v>
      </c>
      <c r="P38" s="2855" t="s">
        <v>6753</v>
      </c>
      <c r="Q38" s="2856"/>
      <c r="R38" s="2856"/>
      <c r="S38" s="2847" t="s">
        <v>287</v>
      </c>
      <c r="T38" s="2847"/>
      <c r="U38" s="2857"/>
      <c r="V38" s="2857">
        <v>650000</v>
      </c>
      <c r="W38" s="2857"/>
      <c r="X38" s="2858"/>
      <c r="Y38" s="2859"/>
      <c r="Z38" s="2859"/>
      <c r="AA38" s="2859"/>
      <c r="AB38" s="2858"/>
      <c r="AC38" s="2858"/>
      <c r="AD38" s="2860"/>
      <c r="AE38" s="2858"/>
      <c r="AF38" s="2858"/>
      <c r="AG38" s="2861">
        <f t="shared" si="8"/>
        <v>0</v>
      </c>
      <c r="AH38" s="2862" t="s">
        <v>6995</v>
      </c>
      <c r="AI38" s="2863">
        <f>(U38*1.08)+(V38*1.08)+(W38*1.08)+1050000*1.08</f>
        <v>1836000</v>
      </c>
      <c r="AJ38" s="2864">
        <f t="shared" si="7"/>
        <v>1836000</v>
      </c>
      <c r="AK38" s="2865"/>
      <c r="AL38" s="2866"/>
      <c r="AM38" s="2867"/>
    </row>
    <row r="39" spans="1:40" s="5" customFormat="1" ht="27">
      <c r="A39" s="1057">
        <v>1</v>
      </c>
      <c r="B39" s="2339" t="s">
        <v>6799</v>
      </c>
      <c r="C39" s="2841" t="s">
        <v>6817</v>
      </c>
      <c r="D39" s="659" t="s">
        <v>6643</v>
      </c>
      <c r="E39" s="2747" t="s">
        <v>7030</v>
      </c>
      <c r="F39" s="1345" t="s">
        <v>6816</v>
      </c>
      <c r="G39" s="1242" t="s">
        <v>210</v>
      </c>
      <c r="H39" s="2335"/>
      <c r="I39" s="1345"/>
      <c r="J39" s="1345" t="s">
        <v>128</v>
      </c>
      <c r="K39" s="1345" t="s">
        <v>210</v>
      </c>
      <c r="L39" s="1345" t="s">
        <v>6814</v>
      </c>
      <c r="M39" s="1345"/>
      <c r="N39" s="1471" t="s">
        <v>6872</v>
      </c>
      <c r="O39" s="1345"/>
      <c r="P39" s="795" t="s">
        <v>6815</v>
      </c>
      <c r="Q39" s="1471"/>
      <c r="R39" s="1471" t="s">
        <v>6818</v>
      </c>
      <c r="S39" s="659" t="s">
        <v>3144</v>
      </c>
      <c r="T39" s="659"/>
      <c r="U39" s="659"/>
      <c r="V39" s="2038"/>
      <c r="W39" s="2039"/>
      <c r="X39" s="1338"/>
      <c r="Y39" s="1338"/>
      <c r="Z39" s="1338"/>
      <c r="AA39" s="2842">
        <v>433950</v>
      </c>
      <c r="AB39" s="2843"/>
      <c r="AC39" s="2843"/>
      <c r="AD39" s="1593"/>
      <c r="AE39" s="1338"/>
      <c r="AF39" s="1338"/>
      <c r="AG39" s="1339">
        <f t="shared" ref="AG39" si="9">+SUM(X39:AF39)</f>
        <v>433950</v>
      </c>
      <c r="AH39" s="2844" t="s">
        <v>6877</v>
      </c>
      <c r="AI39" s="664">
        <v>2646000</v>
      </c>
      <c r="AJ39" s="665">
        <f t="shared" ref="AJ39" si="10">+AG39+AI39</f>
        <v>3079950</v>
      </c>
      <c r="AK39" s="2113"/>
      <c r="AL39" s="2845"/>
      <c r="AM39" s="13"/>
    </row>
    <row r="40" spans="1:40" s="1303" customFormat="1" ht="52.5" customHeight="1">
      <c r="A40" s="1503">
        <f>+A39+1</f>
        <v>2</v>
      </c>
      <c r="B40" s="2826" t="s">
        <v>6854</v>
      </c>
      <c r="C40" s="2827" t="s">
        <v>6855</v>
      </c>
      <c r="D40" s="2826" t="s">
        <v>6854</v>
      </c>
      <c r="E40" s="2898" t="s">
        <v>6844</v>
      </c>
      <c r="F40" s="2814" t="s">
        <v>6824</v>
      </c>
      <c r="G40" s="2815" t="s">
        <v>210</v>
      </c>
      <c r="H40" s="2828"/>
      <c r="I40" s="1641">
        <v>4</v>
      </c>
      <c r="J40" s="1641"/>
      <c r="K40" s="1655" t="s">
        <v>210</v>
      </c>
      <c r="L40" s="1655" t="s">
        <v>6822</v>
      </c>
      <c r="M40" s="2479"/>
      <c r="N40" s="2829" t="s">
        <v>6852</v>
      </c>
      <c r="O40" s="1655" t="s">
        <v>6832</v>
      </c>
      <c r="P40" s="2816" t="s">
        <v>6823</v>
      </c>
      <c r="Q40" s="2830"/>
      <c r="R40" s="2829" t="s">
        <v>6853</v>
      </c>
      <c r="S40" s="2813" t="s">
        <v>4078</v>
      </c>
      <c r="T40" s="2813"/>
      <c r="U40" s="1933"/>
      <c r="V40" s="2831">
        <v>650000</v>
      </c>
      <c r="W40" s="2831">
        <v>300000</v>
      </c>
      <c r="X40" s="2832"/>
      <c r="Y40" s="2833">
        <f>1280000*4</f>
        <v>5120000</v>
      </c>
      <c r="Z40" s="2833">
        <f>1250000*4</f>
        <v>5000000</v>
      </c>
      <c r="AA40" s="2840">
        <v>3214477</v>
      </c>
      <c r="AB40" s="2832"/>
      <c r="AC40" s="2832"/>
      <c r="AD40" s="2836">
        <v>2000000</v>
      </c>
      <c r="AE40" s="2832"/>
      <c r="AF40" s="2832"/>
      <c r="AG40" s="1339">
        <f>+SUM(X40:AF40)</f>
        <v>15334477</v>
      </c>
      <c r="AH40" s="2814" t="s">
        <v>6994</v>
      </c>
      <c r="AI40" s="2824">
        <f>(U40*1.08)+(V40*1.08)+(W40*1.08)+((850000*(H40+I40))+(H40*3650000)+(I40*3650000))*1.08</f>
        <v>20466000</v>
      </c>
      <c r="AJ40" s="2825">
        <f>+AG40+AI40</f>
        <v>35800477</v>
      </c>
      <c r="AK40" s="2834"/>
      <c r="AL40" s="2835"/>
      <c r="AM40" s="1302"/>
    </row>
    <row r="41" spans="1:40" s="5" customFormat="1" ht="15.6">
      <c r="A41" s="1503">
        <f t="shared" ref="A41:A61" si="11">+A40+1</f>
        <v>3</v>
      </c>
      <c r="B41" s="2062" t="s">
        <v>6859</v>
      </c>
      <c r="C41" s="2575" t="s">
        <v>6860</v>
      </c>
      <c r="D41" s="2050" t="s">
        <v>6825</v>
      </c>
      <c r="E41" s="2096" t="s">
        <v>6880</v>
      </c>
      <c r="F41" s="2712" t="s">
        <v>6500</v>
      </c>
      <c r="G41" s="1915" t="s">
        <v>1300</v>
      </c>
      <c r="H41" s="2048"/>
      <c r="I41" s="2054"/>
      <c r="J41" s="2054" t="s">
        <v>128</v>
      </c>
      <c r="K41" s="2807" t="s">
        <v>418</v>
      </c>
      <c r="L41" s="2921" t="s">
        <v>6843</v>
      </c>
      <c r="M41" s="2054"/>
      <c r="N41" s="1471" t="s">
        <v>7016</v>
      </c>
      <c r="O41" s="2054"/>
      <c r="P41" s="1520" t="s">
        <v>6694</v>
      </c>
      <c r="Q41" s="2035"/>
      <c r="R41" s="2035" t="s">
        <v>6818</v>
      </c>
      <c r="S41" s="2050" t="s">
        <v>3144</v>
      </c>
      <c r="T41" s="2050"/>
      <c r="U41" s="2050"/>
      <c r="V41" s="2066"/>
      <c r="W41" s="2053"/>
      <c r="X41" s="2840">
        <v>162000</v>
      </c>
      <c r="Y41" s="1664"/>
      <c r="Z41" s="1664"/>
      <c r="AA41" s="2052"/>
      <c r="AB41" s="2052"/>
      <c r="AC41" s="2870"/>
      <c r="AE41" s="2052"/>
      <c r="AF41" s="2052"/>
      <c r="AG41" s="1339">
        <f>+SUM(X41:AF41)</f>
        <v>162000</v>
      </c>
      <c r="AH41" s="2054"/>
      <c r="AI41" s="2201">
        <f>(650000+1500000)*1.08</f>
        <v>2322000</v>
      </c>
      <c r="AJ41" s="1602">
        <f>+AG41+AI41</f>
        <v>2484000</v>
      </c>
      <c r="AK41" s="2097"/>
      <c r="AL41" s="2702"/>
      <c r="AM41" s="13"/>
    </row>
    <row r="42" spans="1:40" s="5" customFormat="1" ht="39.6">
      <c r="A42" s="1503">
        <f t="shared" si="11"/>
        <v>4</v>
      </c>
      <c r="B42" s="2062" t="s">
        <v>6889</v>
      </c>
      <c r="C42" s="2575" t="s">
        <v>6874</v>
      </c>
      <c r="D42" s="2050" t="s">
        <v>6875</v>
      </c>
      <c r="E42" s="2096" t="s">
        <v>6922</v>
      </c>
      <c r="F42" s="2767" t="s">
        <v>6796</v>
      </c>
      <c r="G42" s="1915" t="s">
        <v>1300</v>
      </c>
      <c r="H42" s="2048"/>
      <c r="I42" s="2054">
        <v>1</v>
      </c>
      <c r="J42" s="2054"/>
      <c r="K42" s="2807" t="s">
        <v>418</v>
      </c>
      <c r="L42" s="2805" t="s">
        <v>6790</v>
      </c>
      <c r="M42" s="2054"/>
      <c r="N42" s="2047" t="s">
        <v>6791</v>
      </c>
      <c r="O42" s="2054" t="s">
        <v>6797</v>
      </c>
      <c r="P42" s="1504" t="s">
        <v>6825</v>
      </c>
      <c r="Q42" s="2035"/>
      <c r="R42" s="2035" t="s">
        <v>5942</v>
      </c>
      <c r="S42" s="2050" t="s">
        <v>287</v>
      </c>
      <c r="T42" s="2050"/>
      <c r="U42" s="2050"/>
      <c r="V42" s="2051"/>
      <c r="W42" s="2051"/>
      <c r="X42" s="1664"/>
      <c r="Y42" s="2840">
        <v>882000</v>
      </c>
      <c r="Z42" s="2833">
        <v>1500000</v>
      </c>
      <c r="AA42" s="2821"/>
      <c r="AB42" s="2052"/>
      <c r="AC42" s="2052"/>
      <c r="AD42" s="2881">
        <v>500000</v>
      </c>
      <c r="AE42" s="2052"/>
      <c r="AF42" s="2052"/>
      <c r="AG42" s="1339">
        <f>+SUM(X42:AF42)</f>
        <v>2882000</v>
      </c>
      <c r="AH42" s="2054"/>
      <c r="AI42" s="2201">
        <f>(U42*1.08)+(V42*1.08)+(W42*1.08)+((850000*(H42+I42))+(H42*3650000)+(I42*3650000))*1.08</f>
        <v>4860000</v>
      </c>
      <c r="AJ42" s="1602">
        <f>+AG42+AI42</f>
        <v>7742000</v>
      </c>
      <c r="AK42" s="2097"/>
      <c r="AL42" s="2702"/>
      <c r="AM42" s="13"/>
    </row>
    <row r="43" spans="1:40" s="5" customFormat="1" ht="27">
      <c r="A43" s="1503">
        <f t="shared" si="11"/>
        <v>5</v>
      </c>
      <c r="B43" s="2062" t="s">
        <v>6901</v>
      </c>
      <c r="C43" s="2693" t="s">
        <v>6908</v>
      </c>
      <c r="D43" s="2050" t="s">
        <v>6901</v>
      </c>
      <c r="E43" s="2096" t="s">
        <v>6923</v>
      </c>
      <c r="F43" s="2108" t="s">
        <v>7017</v>
      </c>
      <c r="G43" s="1915" t="s">
        <v>210</v>
      </c>
      <c r="H43" s="2048"/>
      <c r="I43" s="2054">
        <v>1</v>
      </c>
      <c r="J43" s="2054"/>
      <c r="K43" s="2807" t="s">
        <v>418</v>
      </c>
      <c r="L43" s="2054" t="s">
        <v>6881</v>
      </c>
      <c r="M43" s="2054" t="s">
        <v>7077</v>
      </c>
      <c r="N43" s="2047" t="s">
        <v>6907</v>
      </c>
      <c r="O43" s="2054" t="s">
        <v>6947</v>
      </c>
      <c r="P43" s="1504" t="s">
        <v>6882</v>
      </c>
      <c r="Q43" s="2035"/>
      <c r="R43" s="2035" t="s">
        <v>5972</v>
      </c>
      <c r="S43" s="2050" t="s">
        <v>287</v>
      </c>
      <c r="T43" s="2050"/>
      <c r="U43" s="2050"/>
      <c r="V43" s="2831"/>
      <c r="W43" s="2053"/>
      <c r="X43" s="1664"/>
      <c r="Y43" s="2840">
        <v>882000</v>
      </c>
      <c r="Z43" s="2833">
        <v>1500000</v>
      </c>
      <c r="AA43" s="2598">
        <v>1084349</v>
      </c>
      <c r="AB43" s="2052"/>
      <c r="AC43" s="2052"/>
      <c r="AD43" s="2881">
        <v>500000</v>
      </c>
      <c r="AE43" s="2052"/>
      <c r="AF43" s="2052"/>
      <c r="AG43" s="1339">
        <f>+SUM(X43:AF43)</f>
        <v>3966349</v>
      </c>
      <c r="AH43" s="2814" t="s">
        <v>6909</v>
      </c>
      <c r="AI43" s="2201">
        <f>(U43*1.08)+(V43*1.08)+(W43*1.08)+((850000*(H43+I43))+(H43*3650000)+(I43*3650000))*1.08</f>
        <v>4860000</v>
      </c>
      <c r="AJ43" s="1602">
        <f>+AG43+AI43</f>
        <v>8826349</v>
      </c>
      <c r="AK43" s="2097"/>
      <c r="AL43" s="2702"/>
      <c r="AM43" s="13"/>
    </row>
    <row r="44" spans="1:40" s="5" customFormat="1" ht="39.6">
      <c r="A44" s="1503">
        <f t="shared" si="11"/>
        <v>6</v>
      </c>
      <c r="B44" s="2062" t="s">
        <v>6901</v>
      </c>
      <c r="C44" s="2575" t="s">
        <v>6890</v>
      </c>
      <c r="D44" s="2050" t="s">
        <v>6883</v>
      </c>
      <c r="E44" s="2096" t="s">
        <v>6924</v>
      </c>
      <c r="F44" s="2767" t="s">
        <v>6503</v>
      </c>
      <c r="G44" s="1915" t="s">
        <v>1300</v>
      </c>
      <c r="H44" s="2048"/>
      <c r="I44" s="2054">
        <v>3</v>
      </c>
      <c r="J44" s="2054"/>
      <c r="K44" s="2807" t="s">
        <v>418</v>
      </c>
      <c r="L44" s="2805" t="s">
        <v>6789</v>
      </c>
      <c r="M44" s="2054"/>
      <c r="N44" s="2047" t="s">
        <v>6787</v>
      </c>
      <c r="O44" s="2575" t="s">
        <v>6801</v>
      </c>
      <c r="P44" s="1504" t="s">
        <v>6825</v>
      </c>
      <c r="Q44" s="2035" t="s">
        <v>6901</v>
      </c>
      <c r="R44" s="2047" t="s">
        <v>6918</v>
      </c>
      <c r="S44" s="2050" t="s">
        <v>287</v>
      </c>
      <c r="T44" s="2050"/>
      <c r="U44" s="2050"/>
      <c r="V44" s="2051"/>
      <c r="W44" s="2051"/>
      <c r="X44" s="2911"/>
      <c r="Y44" s="2840">
        <v>3894000</v>
      </c>
      <c r="Z44" s="2833">
        <v>4500000</v>
      </c>
      <c r="AA44" s="2821"/>
      <c r="AB44" s="2052"/>
      <c r="AC44" s="2052"/>
      <c r="AD44" s="2881">
        <v>1500000</v>
      </c>
      <c r="AE44" s="2052"/>
      <c r="AF44" s="2052"/>
      <c r="AG44" s="1339">
        <f>+SUM(Y44:AF44)</f>
        <v>9894000</v>
      </c>
      <c r="AH44" s="2054" t="s">
        <v>6921</v>
      </c>
      <c r="AI44" s="2201">
        <f>(U44*1.08)+(V44*1.08)+(W44*1.08)+((850000*(H44+I44))+(H44*3650000)+(I44*3650000))*1.08+(1000000*1.08)</f>
        <v>15660000.000000002</v>
      </c>
      <c r="AJ44" s="1602">
        <f>+AG44+AI44</f>
        <v>25554000</v>
      </c>
      <c r="AK44" s="2097"/>
      <c r="AL44" s="2702"/>
      <c r="AM44" s="13"/>
    </row>
    <row r="45" spans="1:40" ht="42.75" customHeight="1">
      <c r="A45" s="1503">
        <f t="shared" si="11"/>
        <v>7</v>
      </c>
      <c r="B45" s="2050" t="s">
        <v>6937</v>
      </c>
      <c r="C45" s="2575" t="s">
        <v>6900</v>
      </c>
      <c r="D45" s="2050" t="s">
        <v>6889</v>
      </c>
      <c r="E45" s="2096" t="s">
        <v>6925</v>
      </c>
      <c r="F45" s="2767" t="s">
        <v>6733</v>
      </c>
      <c r="G45" s="1915" t="s">
        <v>1300</v>
      </c>
      <c r="H45" s="2048"/>
      <c r="I45" s="2054">
        <v>2</v>
      </c>
      <c r="J45" s="2054"/>
      <c r="K45" s="2807" t="s">
        <v>418</v>
      </c>
      <c r="L45" s="2054" t="s">
        <v>6830</v>
      </c>
      <c r="M45" s="2054"/>
      <c r="N45" s="2047" t="s">
        <v>6831</v>
      </c>
      <c r="O45" s="2054" t="s">
        <v>6884</v>
      </c>
      <c r="P45" s="1504" t="s">
        <v>6859</v>
      </c>
      <c r="Q45" s="1504">
        <v>45970</v>
      </c>
      <c r="R45" s="1503" t="s">
        <v>6953</v>
      </c>
      <c r="S45" s="2050" t="s">
        <v>287</v>
      </c>
      <c r="T45" s="2050"/>
      <c r="U45" s="2102"/>
      <c r="V45" s="2101"/>
      <c r="W45" s="2103"/>
      <c r="X45" s="2840">
        <v>48000</v>
      </c>
      <c r="Y45" s="2840">
        <v>3210000</v>
      </c>
      <c r="Z45" s="2833">
        <f>1500000+1450000</f>
        <v>2950000</v>
      </c>
      <c r="AA45" s="2822"/>
      <c r="AB45" s="2101"/>
      <c r="AC45" s="2101"/>
      <c r="AD45" s="2881">
        <v>1000000</v>
      </c>
      <c r="AE45" s="2101"/>
      <c r="AF45" s="2105"/>
      <c r="AG45" s="1339">
        <f>+SUM(X45:AF45)</f>
        <v>7208000</v>
      </c>
      <c r="AH45" s="2106"/>
      <c r="AI45" s="2201">
        <f>(U45*1.08)+(V45*1.08)+(W45*1.08)+((850000*(H45+I45))+(H45*3650000)+(I45*3650000))*1.08</f>
        <v>9720000</v>
      </c>
      <c r="AJ45" s="1602">
        <f t="shared" ref="AJ45:AJ47" si="12">+AG45+AI45</f>
        <v>16928000</v>
      </c>
      <c r="AK45" s="2097"/>
      <c r="AL45" s="2701"/>
      <c r="AM45" s="6"/>
      <c r="AN45" s="5"/>
    </row>
    <row r="46" spans="1:40" s="5" customFormat="1" ht="15.6">
      <c r="A46" s="1503">
        <f t="shared" si="11"/>
        <v>8</v>
      </c>
      <c r="B46" s="2050" t="s">
        <v>6937</v>
      </c>
      <c r="C46" s="2575" t="s">
        <v>6932</v>
      </c>
      <c r="D46" s="2050" t="s">
        <v>6829</v>
      </c>
      <c r="E46" s="2096" t="s">
        <v>6952</v>
      </c>
      <c r="F46" s="2712" t="s">
        <v>6500</v>
      </c>
      <c r="G46" s="1915" t="s">
        <v>1300</v>
      </c>
      <c r="H46" s="2048"/>
      <c r="I46" s="2054"/>
      <c r="J46" s="2054" t="s">
        <v>128</v>
      </c>
      <c r="K46" s="2807" t="s">
        <v>418</v>
      </c>
      <c r="L46" s="2054" t="s">
        <v>6912</v>
      </c>
      <c r="M46" s="2054"/>
      <c r="N46" s="2047" t="s">
        <v>7020</v>
      </c>
      <c r="O46" s="2054" t="s">
        <v>6914</v>
      </c>
      <c r="P46" s="1520" t="s">
        <v>6829</v>
      </c>
      <c r="Q46" s="2035"/>
      <c r="R46" s="2035" t="s">
        <v>6022</v>
      </c>
      <c r="S46" s="659" t="s">
        <v>3144</v>
      </c>
      <c r="T46" s="659"/>
      <c r="U46" s="2050"/>
      <c r="V46" s="2066"/>
      <c r="W46" s="2053"/>
      <c r="X46" s="2840">
        <v>643950</v>
      </c>
      <c r="Y46" s="1664"/>
      <c r="Z46" s="1664"/>
      <c r="AA46" s="2052"/>
      <c r="AB46" s="2052"/>
      <c r="AC46" s="2052"/>
      <c r="AD46" s="2053"/>
      <c r="AE46" s="2052"/>
      <c r="AF46" s="2052"/>
      <c r="AG46" s="1339">
        <f t="shared" ref="AG46:AG57" si="13">+SUM(X46:AF46)</f>
        <v>643950</v>
      </c>
      <c r="AH46" s="2054"/>
      <c r="AI46" s="2201">
        <f>(650000+1800000)*1.08</f>
        <v>2646000</v>
      </c>
      <c r="AJ46" s="1602">
        <f t="shared" si="12"/>
        <v>3289950</v>
      </c>
      <c r="AK46" s="2097"/>
      <c r="AL46" s="2702"/>
      <c r="AM46" s="13"/>
    </row>
    <row r="47" spans="1:40" s="5" customFormat="1" ht="47.25" customHeight="1">
      <c r="A47" s="1503">
        <f t="shared" si="11"/>
        <v>9</v>
      </c>
      <c r="B47" s="2062" t="s">
        <v>6962</v>
      </c>
      <c r="C47" s="2969" t="s">
        <v>6950</v>
      </c>
      <c r="D47" s="2050" t="s">
        <v>6926</v>
      </c>
      <c r="E47" s="2096" t="s">
        <v>6951</v>
      </c>
      <c r="F47" s="2767" t="s">
        <v>6503</v>
      </c>
      <c r="G47" s="1915" t="s">
        <v>1300</v>
      </c>
      <c r="H47" s="2048"/>
      <c r="I47" s="2054">
        <v>3</v>
      </c>
      <c r="J47" s="2054"/>
      <c r="K47" s="2807" t="s">
        <v>418</v>
      </c>
      <c r="L47" s="2099" t="s">
        <v>6871</v>
      </c>
      <c r="M47" s="2054"/>
      <c r="N47" s="2047" t="s">
        <v>6870</v>
      </c>
      <c r="O47" s="2054" t="s">
        <v>6939</v>
      </c>
      <c r="P47" s="1520">
        <v>45756</v>
      </c>
      <c r="Q47" s="2035"/>
      <c r="R47" s="2047" t="s">
        <v>6978</v>
      </c>
      <c r="S47" s="2050" t="s">
        <v>287</v>
      </c>
      <c r="T47" s="2050"/>
      <c r="U47" s="2050"/>
      <c r="V47" s="2066"/>
      <c r="W47" s="2053"/>
      <c r="X47" s="2840">
        <v>422000</v>
      </c>
      <c r="Y47" s="2840">
        <v>3894000</v>
      </c>
      <c r="Z47" s="2833">
        <f>+(1500000*2)+1510000</f>
        <v>4510000</v>
      </c>
      <c r="AA47" s="2052"/>
      <c r="AB47" s="2052"/>
      <c r="AC47" s="2052"/>
      <c r="AD47" s="2881">
        <v>1500000</v>
      </c>
      <c r="AE47" s="2836">
        <f>450000+150000</f>
        <v>600000</v>
      </c>
      <c r="AF47" s="2052"/>
      <c r="AG47" s="1339">
        <f t="shared" si="13"/>
        <v>10926000</v>
      </c>
      <c r="AH47" s="2108" t="s">
        <v>6993</v>
      </c>
      <c r="AI47" s="2201">
        <f t="shared" ref="AI47" si="14">(U47*1.08)+(V47*1.08)+(W47*1.08)+((850000*(H47+I47))+(H47*3650000)+(I47*3650000))*1.08</f>
        <v>14580000.000000002</v>
      </c>
      <c r="AJ47" s="1602">
        <f t="shared" si="12"/>
        <v>25506000</v>
      </c>
      <c r="AK47" s="2906"/>
      <c r="AL47" s="2702"/>
      <c r="AM47" s="13"/>
    </row>
    <row r="48" spans="1:40" s="5" customFormat="1" ht="15.6">
      <c r="A48" s="1503">
        <f t="shared" si="11"/>
        <v>10</v>
      </c>
      <c r="B48" s="2062" t="s">
        <v>6857</v>
      </c>
      <c r="C48" s="2575" t="s">
        <v>6955</v>
      </c>
      <c r="D48" s="2050" t="s">
        <v>6937</v>
      </c>
      <c r="E48" s="2096" t="s">
        <v>6979</v>
      </c>
      <c r="F48" s="2712" t="s">
        <v>6500</v>
      </c>
      <c r="G48" s="1915" t="s">
        <v>1300</v>
      </c>
      <c r="H48" s="2048"/>
      <c r="I48" s="2054"/>
      <c r="J48" s="2054" t="s">
        <v>128</v>
      </c>
      <c r="K48" s="2807" t="s">
        <v>418</v>
      </c>
      <c r="L48" s="2054" t="s">
        <v>6948</v>
      </c>
      <c r="M48" s="2054"/>
      <c r="N48" s="2047" t="s">
        <v>7021</v>
      </c>
      <c r="O48" s="2054" t="s">
        <v>6949</v>
      </c>
      <c r="P48" s="1520" t="s">
        <v>6926</v>
      </c>
      <c r="Q48" s="2035"/>
      <c r="R48" s="2035" t="s">
        <v>6022</v>
      </c>
      <c r="S48" s="659" t="s">
        <v>5026</v>
      </c>
      <c r="T48" s="659"/>
      <c r="U48" s="2050"/>
      <c r="V48" s="2066"/>
      <c r="W48" s="2053"/>
      <c r="X48" s="2840">
        <v>339293</v>
      </c>
      <c r="Y48" s="1664"/>
      <c r="Z48" s="1664"/>
      <c r="AA48" s="2052"/>
      <c r="AB48" s="2052"/>
      <c r="AC48" s="2052"/>
      <c r="AD48" s="2053"/>
      <c r="AE48" s="2052"/>
      <c r="AF48" s="2052"/>
      <c r="AG48" s="1339">
        <f t="shared" si="13"/>
        <v>339293</v>
      </c>
      <c r="AH48" s="2054"/>
      <c r="AI48" s="2201">
        <f>(650000+1800000)*1.08</f>
        <v>2646000</v>
      </c>
      <c r="AJ48" s="1602">
        <f t="shared" ref="AJ48:AJ55" si="15">+AG48+AI48</f>
        <v>2985293</v>
      </c>
      <c r="AK48" s="2097"/>
      <c r="AL48" s="2702"/>
      <c r="AM48" s="13"/>
    </row>
    <row r="49" spans="1:39" s="5" customFormat="1" ht="15.6">
      <c r="A49" s="1503">
        <f t="shared" si="11"/>
        <v>11</v>
      </c>
      <c r="B49" s="2062" t="s">
        <v>6977</v>
      </c>
      <c r="C49" s="2575" t="s">
        <v>6975</v>
      </c>
      <c r="D49" s="2050" t="s">
        <v>6974</v>
      </c>
      <c r="E49" s="2096" t="s">
        <v>6980</v>
      </c>
      <c r="F49" s="2712" t="s">
        <v>6500</v>
      </c>
      <c r="G49" s="1915" t="s">
        <v>1300</v>
      </c>
      <c r="H49" s="2048"/>
      <c r="I49" s="2054"/>
      <c r="J49" s="2054" t="s">
        <v>128</v>
      </c>
      <c r="K49" s="2807" t="s">
        <v>418</v>
      </c>
      <c r="L49" s="2054" t="s">
        <v>6963</v>
      </c>
      <c r="M49" s="2054"/>
      <c r="N49" s="2047" t="s">
        <v>7022</v>
      </c>
      <c r="O49" s="2054" t="s">
        <v>6976</v>
      </c>
      <c r="P49" s="1520" t="s">
        <v>6857</v>
      </c>
      <c r="Q49" s="2035"/>
      <c r="R49" s="2035" t="s">
        <v>6224</v>
      </c>
      <c r="S49" s="659" t="s">
        <v>5026</v>
      </c>
      <c r="T49" s="659"/>
      <c r="U49" s="2050"/>
      <c r="V49" s="2066"/>
      <c r="W49" s="2053"/>
      <c r="X49" s="2840">
        <v>325037</v>
      </c>
      <c r="Y49" s="1664"/>
      <c r="Z49" s="1664"/>
      <c r="AA49" s="2052"/>
      <c r="AB49" s="2052"/>
      <c r="AC49" s="2052"/>
      <c r="AD49" s="2916"/>
      <c r="AE49" s="2052"/>
      <c r="AF49" s="2052"/>
      <c r="AG49" s="1339">
        <f t="shared" si="13"/>
        <v>325037</v>
      </c>
      <c r="AH49" s="2054"/>
      <c r="AI49" s="2201">
        <f>(650000+1800000)*1.08</f>
        <v>2646000</v>
      </c>
      <c r="AJ49" s="1602">
        <f t="shared" si="15"/>
        <v>2971037</v>
      </c>
      <c r="AK49" s="2097"/>
      <c r="AL49" s="2702"/>
      <c r="AM49" s="13"/>
    </row>
    <row r="50" spans="1:39" s="5" customFormat="1" ht="21">
      <c r="A50" s="1503">
        <f t="shared" si="11"/>
        <v>12</v>
      </c>
      <c r="B50" s="2062" t="s">
        <v>7031</v>
      </c>
      <c r="C50" s="2575" t="s">
        <v>6981</v>
      </c>
      <c r="D50" s="2050" t="s">
        <v>6974</v>
      </c>
      <c r="E50" s="2096" t="s">
        <v>7008</v>
      </c>
      <c r="F50" s="2767" t="s">
        <v>6945</v>
      </c>
      <c r="G50" s="1915" t="s">
        <v>1300</v>
      </c>
      <c r="H50" s="2048"/>
      <c r="I50" s="2054">
        <v>1</v>
      </c>
      <c r="J50" s="2054"/>
      <c r="K50" s="2807" t="s">
        <v>418</v>
      </c>
      <c r="L50" s="2054" t="s">
        <v>6943</v>
      </c>
      <c r="M50" s="2054"/>
      <c r="N50" s="2047" t="s">
        <v>6944</v>
      </c>
      <c r="O50" s="2054" t="s">
        <v>6946</v>
      </c>
      <c r="P50" s="1504">
        <v>45970</v>
      </c>
      <c r="Q50" s="2035" t="s">
        <v>7000</v>
      </c>
      <c r="R50" s="2035" t="s">
        <v>6223</v>
      </c>
      <c r="S50" s="2050" t="s">
        <v>287</v>
      </c>
      <c r="T50" s="2050"/>
      <c r="U50" s="2050"/>
      <c r="V50" s="2066"/>
      <c r="W50" s="2053"/>
      <c r="X50" s="1664"/>
      <c r="Y50" s="2840">
        <v>1298000</v>
      </c>
      <c r="Z50" s="2833">
        <v>1512000</v>
      </c>
      <c r="AA50" s="2052"/>
      <c r="AB50" s="2052"/>
      <c r="AC50" s="2052"/>
      <c r="AD50" s="2881">
        <v>500000</v>
      </c>
      <c r="AE50" s="2052"/>
      <c r="AF50" s="2052"/>
      <c r="AG50" s="1339">
        <f>+SUM(X50:AF50)</f>
        <v>3310000</v>
      </c>
      <c r="AH50" s="2054"/>
      <c r="AI50" s="2201">
        <f>(U50*1.08)+(V50*1.08)+(W50*1.08)+((850000*(H50+I50))+(H50*3650000)+(I50*3650000))*1.08</f>
        <v>4860000</v>
      </c>
      <c r="AJ50" s="1602">
        <f>+AG50+AI50</f>
        <v>8170000</v>
      </c>
      <c r="AK50" s="2097"/>
      <c r="AL50" s="2702"/>
      <c r="AM50" s="13"/>
    </row>
    <row r="51" spans="1:39" s="5" customFormat="1" ht="39.6">
      <c r="A51" s="1503">
        <f t="shared" si="11"/>
        <v>13</v>
      </c>
      <c r="B51" s="2062" t="s">
        <v>6977</v>
      </c>
      <c r="C51" s="2693" t="s">
        <v>6991</v>
      </c>
      <c r="D51" s="2050" t="s">
        <v>6977</v>
      </c>
      <c r="E51" s="2096" t="s">
        <v>7009</v>
      </c>
      <c r="F51" s="2099" t="s">
        <v>6997</v>
      </c>
      <c r="G51" s="1915" t="s">
        <v>210</v>
      </c>
      <c r="H51" s="2048"/>
      <c r="I51" s="2054">
        <v>1</v>
      </c>
      <c r="J51" s="2054"/>
      <c r="K51" s="2807" t="s">
        <v>418</v>
      </c>
      <c r="L51" s="2054" t="s">
        <v>6971</v>
      </c>
      <c r="M51" s="2054" t="s">
        <v>7078</v>
      </c>
      <c r="N51" s="2047" t="s">
        <v>6986</v>
      </c>
      <c r="O51" s="2054" t="s">
        <v>6992</v>
      </c>
      <c r="P51" s="1504" t="s">
        <v>6961</v>
      </c>
      <c r="Q51" s="2037"/>
      <c r="R51" s="2037" t="s">
        <v>6056</v>
      </c>
      <c r="S51" s="2050" t="s">
        <v>287</v>
      </c>
      <c r="T51" s="659"/>
      <c r="U51" s="659"/>
      <c r="V51" s="2038"/>
      <c r="W51" s="1593"/>
      <c r="X51" s="1291"/>
      <c r="Y51" s="2833">
        <v>1500000</v>
      </c>
      <c r="Z51" s="2840">
        <v>882000</v>
      </c>
      <c r="AA51" s="2840">
        <v>763816</v>
      </c>
      <c r="AB51" s="1338"/>
      <c r="AC51" s="1338"/>
      <c r="AD51" s="2881">
        <v>500000</v>
      </c>
      <c r="AE51" s="1338"/>
      <c r="AF51" s="1338"/>
      <c r="AG51" s="1339">
        <f>+SUM(X51:AF51)</f>
        <v>3645816</v>
      </c>
      <c r="AH51" s="2814" t="s">
        <v>6996</v>
      </c>
      <c r="AI51" s="2201">
        <f>(U51*1.08)+(V51*1.08)+(W51*1.08)+((850000*(H51+I51))+(H51*3650000)+(I51*3650000))*1.08</f>
        <v>4860000</v>
      </c>
      <c r="AJ51" s="1602">
        <f>+AG51+AI51</f>
        <v>8505816</v>
      </c>
      <c r="AK51" s="2097"/>
      <c r="AM51" s="13"/>
    </row>
    <row r="52" spans="1:39" s="5" customFormat="1" ht="39.6">
      <c r="A52" s="1503">
        <f t="shared" si="11"/>
        <v>14</v>
      </c>
      <c r="B52" s="2062" t="s">
        <v>6977</v>
      </c>
      <c r="C52" s="2693" t="s">
        <v>7005</v>
      </c>
      <c r="D52" s="2050" t="s">
        <v>6977</v>
      </c>
      <c r="E52" s="2096" t="s">
        <v>7010</v>
      </c>
      <c r="F52" s="2099" t="s">
        <v>6998</v>
      </c>
      <c r="G52" s="1915" t="s">
        <v>210</v>
      </c>
      <c r="H52" s="2048"/>
      <c r="I52" s="2054">
        <v>1</v>
      </c>
      <c r="J52" s="2054"/>
      <c r="K52" s="2054" t="s">
        <v>210</v>
      </c>
      <c r="L52" s="2054" t="s">
        <v>6960</v>
      </c>
      <c r="M52" s="2054" t="s">
        <v>7079</v>
      </c>
      <c r="N52" s="2047" t="s">
        <v>7004</v>
      </c>
      <c r="O52" s="2054" t="s">
        <v>7006</v>
      </c>
      <c r="P52" s="1504" t="s">
        <v>6961</v>
      </c>
      <c r="Q52" s="2035"/>
      <c r="R52" s="2035" t="s">
        <v>6999</v>
      </c>
      <c r="S52" s="2050" t="s">
        <v>287</v>
      </c>
      <c r="T52" s="2050"/>
      <c r="U52" s="2050"/>
      <c r="V52" s="2066"/>
      <c r="W52" s="2053"/>
      <c r="X52" s="2833">
        <v>236000</v>
      </c>
      <c r="Y52" s="2833">
        <v>1500000</v>
      </c>
      <c r="Z52" s="2840">
        <v>882000</v>
      </c>
      <c r="AA52" s="2840">
        <v>750986</v>
      </c>
      <c r="AB52" s="2052"/>
      <c r="AC52" s="2052"/>
      <c r="AD52" s="2881">
        <v>500000</v>
      </c>
      <c r="AE52" s="2052"/>
      <c r="AF52" s="2052"/>
      <c r="AG52" s="1339">
        <f>+SUM(X52:AF52)</f>
        <v>3868986</v>
      </c>
      <c r="AH52" s="2814" t="s">
        <v>7166</v>
      </c>
      <c r="AI52" s="2201">
        <f>(U52*1.08)+(V52*1.08)+(W52*1.08)+((850000*(H52+I52))+(H52*3650000)+(I52*3650000))*1.08</f>
        <v>4860000</v>
      </c>
      <c r="AJ52" s="1602">
        <f>+AG52+AI52</f>
        <v>8728986</v>
      </c>
      <c r="AK52" s="2097"/>
      <c r="AL52" s="2702"/>
      <c r="AM52" s="13"/>
    </row>
    <row r="53" spans="1:39" s="5" customFormat="1" ht="30" customHeight="1">
      <c r="A53" s="1503">
        <f t="shared" si="11"/>
        <v>15</v>
      </c>
      <c r="B53" s="2062" t="s">
        <v>7031</v>
      </c>
      <c r="C53" s="2575" t="s">
        <v>7003</v>
      </c>
      <c r="D53" s="2050" t="s">
        <v>6977</v>
      </c>
      <c r="E53" s="2096" t="s">
        <v>7011</v>
      </c>
      <c r="F53" s="2712" t="s">
        <v>6500</v>
      </c>
      <c r="G53" s="1915" t="s">
        <v>1300</v>
      </c>
      <c r="H53" s="2048"/>
      <c r="I53" s="2054"/>
      <c r="J53" s="2054">
        <v>1</v>
      </c>
      <c r="K53" s="2807" t="s">
        <v>418</v>
      </c>
      <c r="L53" s="2054" t="s">
        <v>6938</v>
      </c>
      <c r="M53" s="2054"/>
      <c r="N53" s="2047" t="s">
        <v>7012</v>
      </c>
      <c r="O53" s="2054" t="s">
        <v>6915</v>
      </c>
      <c r="P53" s="1504">
        <v>45817</v>
      </c>
      <c r="Q53" s="2035"/>
      <c r="R53" s="2035" t="s">
        <v>6022</v>
      </c>
      <c r="S53" s="2062" t="s">
        <v>6964</v>
      </c>
      <c r="T53" s="2062"/>
      <c r="U53" s="2050"/>
      <c r="V53" s="2066"/>
      <c r="W53" s="2053"/>
      <c r="X53" s="2840">
        <v>309272</v>
      </c>
      <c r="Y53" s="1664"/>
      <c r="Z53" s="1664"/>
      <c r="AA53" s="2052"/>
      <c r="AB53" s="2052"/>
      <c r="AC53" s="2052"/>
      <c r="AD53" s="2881">
        <v>26814</v>
      </c>
      <c r="AE53" s="2052"/>
      <c r="AF53" s="2052"/>
      <c r="AG53" s="1339">
        <f t="shared" si="13"/>
        <v>336086</v>
      </c>
      <c r="AH53" s="2054"/>
      <c r="AI53" s="2201">
        <f>(650000+2300000)*1.08</f>
        <v>3186000</v>
      </c>
      <c r="AJ53" s="1602">
        <f t="shared" si="15"/>
        <v>3522086</v>
      </c>
      <c r="AK53" s="2097"/>
      <c r="AL53" s="2702"/>
      <c r="AM53" s="13"/>
    </row>
    <row r="54" spans="1:39" s="5" customFormat="1" ht="26.4">
      <c r="A54" s="1503">
        <f t="shared" si="11"/>
        <v>16</v>
      </c>
      <c r="B54" s="2050" t="s">
        <v>6957</v>
      </c>
      <c r="C54" s="2575" t="s">
        <v>7037</v>
      </c>
      <c r="D54" s="1503" t="s">
        <v>6988</v>
      </c>
      <c r="E54" s="2096" t="s">
        <v>7047</v>
      </c>
      <c r="F54" s="2767" t="s">
        <v>6733</v>
      </c>
      <c r="G54" s="1915" t="s">
        <v>1300</v>
      </c>
      <c r="H54" s="2048"/>
      <c r="I54" s="2054">
        <v>2</v>
      </c>
      <c r="J54" s="2054"/>
      <c r="K54" s="2807" t="s">
        <v>418</v>
      </c>
      <c r="L54" s="2054" t="s">
        <v>6954</v>
      </c>
      <c r="M54" s="2054"/>
      <c r="N54" s="2047" t="s">
        <v>6982</v>
      </c>
      <c r="O54" s="2054" t="s">
        <v>6983</v>
      </c>
      <c r="P54" s="1520" t="s">
        <v>6977</v>
      </c>
      <c r="Q54" s="2035"/>
      <c r="R54" s="2047" t="s">
        <v>7057</v>
      </c>
      <c r="S54" s="2050" t="s">
        <v>287</v>
      </c>
      <c r="T54" s="2050"/>
      <c r="U54" s="2050"/>
      <c r="V54" s="2066"/>
      <c r="W54" s="2053"/>
      <c r="X54" s="1664"/>
      <c r="Y54" s="2840">
        <v>2692000</v>
      </c>
      <c r="Z54" s="2833">
        <f>1450000*2</f>
        <v>2900000</v>
      </c>
      <c r="AA54" s="2052"/>
      <c r="AB54" s="2052"/>
      <c r="AC54" s="2052"/>
      <c r="AD54" s="2881">
        <v>1000000</v>
      </c>
      <c r="AE54" s="2052"/>
      <c r="AF54" s="2052"/>
      <c r="AG54" s="1339">
        <f t="shared" ref="AG54" si="16">+SUM(X54:AF54)</f>
        <v>6592000</v>
      </c>
      <c r="AH54" s="2054"/>
      <c r="AI54" s="2201">
        <f>(U54*1.08)+(V54*1.08)+(W54*1.08)+((850000*(H54+I54))+(H54*3650000)+(I54*3650000))*1.08</f>
        <v>9720000</v>
      </c>
      <c r="AJ54" s="1602">
        <f t="shared" ref="AJ54" si="17">+AG54+AI54</f>
        <v>16312000</v>
      </c>
      <c r="AK54" s="2097"/>
      <c r="AL54" s="2702"/>
      <c r="AM54" s="13"/>
    </row>
    <row r="55" spans="1:39" s="5" customFormat="1" ht="39.6">
      <c r="A55" s="1503">
        <f t="shared" si="11"/>
        <v>17</v>
      </c>
      <c r="B55" s="2062" t="s">
        <v>7045</v>
      </c>
      <c r="C55" s="2575" t="s">
        <v>7058</v>
      </c>
      <c r="D55" s="2050" t="s">
        <v>7044</v>
      </c>
      <c r="E55" s="2096" t="s">
        <v>7074</v>
      </c>
      <c r="F55" s="2767" t="s">
        <v>6503</v>
      </c>
      <c r="G55" s="1915" t="s">
        <v>1300</v>
      </c>
      <c r="H55" s="2048"/>
      <c r="I55" s="2054">
        <v>3</v>
      </c>
      <c r="J55" s="2054"/>
      <c r="K55" s="2807" t="s">
        <v>418</v>
      </c>
      <c r="L55" s="2054" t="s">
        <v>6913</v>
      </c>
      <c r="M55" s="2054"/>
      <c r="N55" s="2047" t="s">
        <v>6984</v>
      </c>
      <c r="O55" s="2054" t="s">
        <v>6985</v>
      </c>
      <c r="P55" s="1504">
        <v>45878</v>
      </c>
      <c r="Q55" s="2035"/>
      <c r="R55" s="2047" t="s">
        <v>7081</v>
      </c>
      <c r="S55" s="2050" t="s">
        <v>287</v>
      </c>
      <c r="T55" s="2050"/>
      <c r="U55" s="2050"/>
      <c r="V55" s="2066"/>
      <c r="W55" s="2053"/>
      <c r="X55" s="1664"/>
      <c r="Y55" s="2840">
        <v>5460000</v>
      </c>
      <c r="Z55" s="2833">
        <f>1500000*3</f>
        <v>4500000</v>
      </c>
      <c r="AA55" s="2052"/>
      <c r="AB55" s="2052"/>
      <c r="AC55" s="2052"/>
      <c r="AD55" s="2881">
        <v>1500000</v>
      </c>
      <c r="AE55" s="2836">
        <v>2640000</v>
      </c>
      <c r="AF55" s="2052"/>
      <c r="AG55" s="1339">
        <f t="shared" si="13"/>
        <v>14100000</v>
      </c>
      <c r="AH55" s="2054"/>
      <c r="AI55" s="2201">
        <f t="shared" ref="AI55:AI57" si="18">(U55*1.08)+(V55*1.08)+(W55*1.08)+((850000*(H55+I55))+(H55*3650000)+(I55*3650000))*1.08</f>
        <v>14580000.000000002</v>
      </c>
      <c r="AJ55" s="1602">
        <f t="shared" si="15"/>
        <v>28680000</v>
      </c>
      <c r="AK55" s="2097"/>
      <c r="AL55" s="2702"/>
      <c r="AM55" s="13"/>
    </row>
    <row r="56" spans="1:39" s="5" customFormat="1" ht="15.6">
      <c r="A56" s="1503">
        <f t="shared" si="11"/>
        <v>18</v>
      </c>
      <c r="B56" s="2062" t="s">
        <v>7045</v>
      </c>
      <c r="C56" s="2575" t="s">
        <v>7073</v>
      </c>
      <c r="D56" s="2050" t="s">
        <v>7070</v>
      </c>
      <c r="E56" s="2096" t="s">
        <v>7075</v>
      </c>
      <c r="F56" s="2712" t="s">
        <v>6500</v>
      </c>
      <c r="G56" s="1915" t="s">
        <v>1300</v>
      </c>
      <c r="H56" s="2048"/>
      <c r="I56" s="2054"/>
      <c r="J56" s="2054" t="s">
        <v>128</v>
      </c>
      <c r="K56" s="2807" t="s">
        <v>418</v>
      </c>
      <c r="L56" s="2054" t="s">
        <v>7065</v>
      </c>
      <c r="M56" s="2054"/>
      <c r="N56" s="2047"/>
      <c r="O56" s="2054" t="s">
        <v>7071</v>
      </c>
      <c r="P56" s="1520" t="s">
        <v>7044</v>
      </c>
      <c r="Q56" s="2037"/>
      <c r="R56" s="2037" t="s">
        <v>6818</v>
      </c>
      <c r="S56" s="2050" t="s">
        <v>5026</v>
      </c>
      <c r="T56" s="2050"/>
      <c r="U56" s="2050"/>
      <c r="V56" s="2066"/>
      <c r="W56" s="2053"/>
      <c r="X56" s="2840">
        <v>366379</v>
      </c>
      <c r="Y56" s="2052"/>
      <c r="Z56" s="2052"/>
      <c r="AA56" s="2052"/>
      <c r="AB56" s="2052"/>
      <c r="AC56" s="2052"/>
      <c r="AD56" s="2053"/>
      <c r="AE56" s="2052"/>
      <c r="AF56" s="2052"/>
      <c r="AG56" s="1339">
        <f t="shared" si="13"/>
        <v>366379</v>
      </c>
      <c r="AH56" s="2054"/>
      <c r="AI56" s="2201">
        <f>(650000+1800000)*1.08</f>
        <v>2646000</v>
      </c>
      <c r="AJ56" s="1602">
        <f t="shared" ref="AJ56:AJ61" si="19">+AG56+AI56</f>
        <v>3012379</v>
      </c>
      <c r="AK56" s="2097"/>
      <c r="AL56" s="2702"/>
      <c r="AM56" s="13"/>
    </row>
    <row r="57" spans="1:39" s="5" customFormat="1" ht="24" customHeight="1">
      <c r="A57" s="1503">
        <f t="shared" si="11"/>
        <v>19</v>
      </c>
      <c r="B57" s="2062" t="s">
        <v>7108</v>
      </c>
      <c r="C57" s="2575" t="s">
        <v>7072</v>
      </c>
      <c r="D57" s="2050" t="s">
        <v>7070</v>
      </c>
      <c r="E57" s="2096" t="s">
        <v>7076</v>
      </c>
      <c r="F57" s="2712" t="s">
        <v>6500</v>
      </c>
      <c r="G57" s="1915" t="s">
        <v>1300</v>
      </c>
      <c r="H57" s="2048"/>
      <c r="I57" s="2054">
        <v>1</v>
      </c>
      <c r="J57" s="2054"/>
      <c r="K57" s="2807" t="s">
        <v>418</v>
      </c>
      <c r="L57" s="2054" t="s">
        <v>7038</v>
      </c>
      <c r="M57" s="2054"/>
      <c r="N57" s="2047" t="s">
        <v>7063</v>
      </c>
      <c r="O57" s="2054" t="s">
        <v>7062</v>
      </c>
      <c r="P57" s="1504" t="s">
        <v>7080</v>
      </c>
      <c r="Q57" s="2037" t="s">
        <v>7109</v>
      </c>
      <c r="R57" s="2037" t="s">
        <v>7122</v>
      </c>
      <c r="S57" s="2050" t="s">
        <v>287</v>
      </c>
      <c r="T57" s="2050"/>
      <c r="U57" s="2050"/>
      <c r="V57" s="2066"/>
      <c r="W57" s="2053"/>
      <c r="X57" s="2052"/>
      <c r="Y57" s="2840">
        <v>882000</v>
      </c>
      <c r="Z57" s="2833">
        <v>1512000</v>
      </c>
      <c r="AA57" s="2052"/>
      <c r="AB57" s="2052"/>
      <c r="AC57" s="2052"/>
      <c r="AD57" s="2881">
        <v>500000</v>
      </c>
      <c r="AE57" s="2052"/>
      <c r="AF57" s="2052"/>
      <c r="AG57" s="1339">
        <f t="shared" si="13"/>
        <v>2894000</v>
      </c>
      <c r="AH57" s="2054"/>
      <c r="AI57" s="2201">
        <f t="shared" si="18"/>
        <v>4860000</v>
      </c>
      <c r="AJ57" s="1602">
        <f t="shared" si="19"/>
        <v>7754000</v>
      </c>
      <c r="AK57" s="2097"/>
      <c r="AL57" s="2702"/>
      <c r="AM57" s="13"/>
    </row>
    <row r="58" spans="1:39" s="5" customFormat="1" ht="15.6">
      <c r="A58" s="1503">
        <f t="shared" si="11"/>
        <v>20</v>
      </c>
      <c r="B58" s="2062" t="s">
        <v>7088</v>
      </c>
      <c r="C58" s="2969" t="s">
        <v>7086</v>
      </c>
      <c r="D58" s="2050" t="s">
        <v>7054</v>
      </c>
      <c r="E58" s="2096" t="s">
        <v>7107</v>
      </c>
      <c r="F58" s="2712" t="s">
        <v>6500</v>
      </c>
      <c r="G58" s="1915" t="s">
        <v>1300</v>
      </c>
      <c r="H58" s="2048"/>
      <c r="I58" s="2054">
        <v>1</v>
      </c>
      <c r="J58" s="2054"/>
      <c r="K58" s="2807" t="s">
        <v>418</v>
      </c>
      <c r="L58" s="2054" t="s">
        <v>7064</v>
      </c>
      <c r="M58" s="2054"/>
      <c r="N58" s="2047" t="s">
        <v>7084</v>
      </c>
      <c r="O58" s="2054" t="s">
        <v>7085</v>
      </c>
      <c r="P58" s="1504" t="s">
        <v>7000</v>
      </c>
      <c r="Q58" s="1472"/>
      <c r="R58" s="2037" t="s">
        <v>7135</v>
      </c>
      <c r="S58" s="2050" t="s">
        <v>287</v>
      </c>
      <c r="T58" s="2050"/>
      <c r="U58" s="1472"/>
      <c r="V58" s="1472"/>
      <c r="W58" s="1472"/>
      <c r="X58" s="1472"/>
      <c r="Y58" s="2840">
        <v>882000</v>
      </c>
      <c r="Z58" s="2833">
        <v>1512000</v>
      </c>
      <c r="AA58" s="1472"/>
      <c r="AB58" s="1472"/>
      <c r="AC58" s="1472"/>
      <c r="AD58" s="2836">
        <v>500000</v>
      </c>
      <c r="AE58" s="1472"/>
      <c r="AF58" s="1472"/>
      <c r="AG58" s="1339">
        <f>+SUM(X58:AF58)</f>
        <v>2894000</v>
      </c>
      <c r="AH58" s="2096" t="s">
        <v>7165</v>
      </c>
      <c r="AI58" s="2201">
        <f>(U58*1.08)+(V58*1.08)+(W58*1.08)+((850000*(H58+I58))+(H58*3650000)+(I58*3650000))*1.08</f>
        <v>4860000</v>
      </c>
      <c r="AJ58" s="1602">
        <f>+AG58+AI58</f>
        <v>7754000</v>
      </c>
      <c r="AK58" s="1472"/>
      <c r="AL58" s="2702"/>
      <c r="AM58" s="2952"/>
    </row>
    <row r="59" spans="1:39" s="5" customFormat="1" ht="26.4">
      <c r="A59" s="1503">
        <f t="shared" si="11"/>
        <v>21</v>
      </c>
      <c r="B59" s="2062" t="s">
        <v>7088</v>
      </c>
      <c r="C59" s="2693" t="s">
        <v>7136</v>
      </c>
      <c r="D59" s="2050" t="s">
        <v>7088</v>
      </c>
      <c r="E59" s="2096" t="s">
        <v>7153</v>
      </c>
      <c r="F59" s="2099" t="s">
        <v>6998</v>
      </c>
      <c r="G59" s="1915" t="s">
        <v>210</v>
      </c>
      <c r="H59" s="2048"/>
      <c r="I59" s="2054">
        <v>1</v>
      </c>
      <c r="J59" s="2054"/>
      <c r="K59" s="2054" t="s">
        <v>210</v>
      </c>
      <c r="L59" s="2054" t="s">
        <v>7069</v>
      </c>
      <c r="M59" s="2915"/>
      <c r="N59" s="1471" t="s">
        <v>7133</v>
      </c>
      <c r="O59" s="1345" t="s">
        <v>7152</v>
      </c>
      <c r="P59" s="795" t="s">
        <v>7121</v>
      </c>
      <c r="Q59" s="2037"/>
      <c r="R59" s="2037" t="s">
        <v>7134</v>
      </c>
      <c r="S59" s="2050" t="s">
        <v>287</v>
      </c>
      <c r="T59" s="659"/>
      <c r="U59" s="659"/>
      <c r="V59" s="2038"/>
      <c r="W59" s="1593"/>
      <c r="X59" s="1338"/>
      <c r="Y59" s="2833">
        <v>1500000</v>
      </c>
      <c r="Z59" s="2840">
        <v>882000</v>
      </c>
      <c r="AA59" s="1338"/>
      <c r="AB59" s="1338"/>
      <c r="AC59" s="1338"/>
      <c r="AD59" s="2836">
        <v>500000</v>
      </c>
      <c r="AE59" s="1338"/>
      <c r="AF59" s="1338"/>
      <c r="AG59" s="1339">
        <f>+SUM(X59:AF59)</f>
        <v>2882000</v>
      </c>
      <c r="AH59" s="2479" t="s">
        <v>6909</v>
      </c>
      <c r="AI59" s="2201">
        <f>(U59*1.08)+(V59*1.08)+(W59*1.08)+((850000*(H59+I59))+(H59*3650000)+(I59*3650000))*1.08</f>
        <v>4860000</v>
      </c>
      <c r="AJ59" s="1602">
        <f>+AG59+AI59</f>
        <v>7742000</v>
      </c>
      <c r="AK59" s="2113"/>
      <c r="AL59" s="2702"/>
      <c r="AM59" s="13"/>
    </row>
    <row r="60" spans="1:39" s="5" customFormat="1" ht="15.6">
      <c r="A60" s="1503">
        <f t="shared" si="11"/>
        <v>22</v>
      </c>
      <c r="B60" s="2062" t="s">
        <v>6876</v>
      </c>
      <c r="C60" s="2575" t="s">
        <v>7159</v>
      </c>
      <c r="D60" s="2050" t="s">
        <v>7112</v>
      </c>
      <c r="E60" s="2096" t="s">
        <v>7162</v>
      </c>
      <c r="F60" s="2712" t="s">
        <v>6500</v>
      </c>
      <c r="G60" s="1915" t="s">
        <v>1300</v>
      </c>
      <c r="H60" s="2048"/>
      <c r="I60" s="2054"/>
      <c r="J60" s="2054" t="s">
        <v>128</v>
      </c>
      <c r="K60" s="2807" t="s">
        <v>418</v>
      </c>
      <c r="L60" s="2054" t="s">
        <v>7111</v>
      </c>
      <c r="M60" s="2915"/>
      <c r="N60" s="1471" t="s">
        <v>7160</v>
      </c>
      <c r="O60" s="1345" t="s">
        <v>7161</v>
      </c>
      <c r="P60" s="684" t="s">
        <v>7108</v>
      </c>
      <c r="Q60" s="2037"/>
      <c r="R60" s="2037" t="s">
        <v>7181</v>
      </c>
      <c r="S60" s="2050" t="s">
        <v>5026</v>
      </c>
      <c r="T60" s="659"/>
      <c r="U60" s="659"/>
      <c r="V60" s="2038"/>
      <c r="W60" s="1593"/>
      <c r="X60" s="2840">
        <v>2226312</v>
      </c>
      <c r="Y60" s="1338"/>
      <c r="Z60" s="1338"/>
      <c r="AA60" s="1338"/>
      <c r="AB60" s="1338"/>
      <c r="AC60" s="1338"/>
      <c r="AD60" s="1593"/>
      <c r="AE60" s="1338"/>
      <c r="AF60" s="1338"/>
      <c r="AG60" s="1339">
        <f>+SUM(X60:AF60)</f>
        <v>2226312</v>
      </c>
      <c r="AH60" s="2054"/>
      <c r="AI60" s="2201">
        <f>(650000+1800000)*1.08</f>
        <v>2646000</v>
      </c>
      <c r="AJ60" s="1602">
        <f>+AG60+AI60</f>
        <v>4872312</v>
      </c>
      <c r="AK60" s="2113"/>
      <c r="AL60" s="2702"/>
      <c r="AM60" s="13"/>
    </row>
    <row r="61" spans="1:39" s="5" customFormat="1" ht="15.6">
      <c r="A61" s="1503">
        <f t="shared" si="11"/>
        <v>23</v>
      </c>
      <c r="B61" s="2923"/>
      <c r="C61" s="2054" t="s">
        <v>7100</v>
      </c>
      <c r="D61" s="2054"/>
      <c r="E61" s="2096" t="s">
        <v>7101</v>
      </c>
      <c r="F61" s="2099"/>
      <c r="G61" s="1915"/>
      <c r="H61" s="2048"/>
      <c r="I61" s="2054"/>
      <c r="J61" s="2054"/>
      <c r="K61" s="2054"/>
      <c r="L61" s="2054"/>
      <c r="M61" s="2924"/>
      <c r="N61" s="2047"/>
      <c r="O61" s="2054"/>
      <c r="P61" s="1504"/>
      <c r="Q61" s="2035"/>
      <c r="R61" s="2035"/>
      <c r="S61" s="2050"/>
      <c r="T61" s="2050"/>
      <c r="U61" s="2050"/>
      <c r="V61" s="2066"/>
      <c r="W61" s="2053"/>
      <c r="X61" s="2052"/>
      <c r="Y61" s="2052"/>
      <c r="Z61" s="2052"/>
      <c r="AA61" s="2052"/>
      <c r="AB61" s="2052"/>
      <c r="AC61" s="2052"/>
      <c r="AD61" s="2053"/>
      <c r="AF61" s="1338"/>
      <c r="AG61" s="1339">
        <f>+SUM(X61:AF61)</f>
        <v>0</v>
      </c>
      <c r="AH61" s="1345"/>
      <c r="AI61" s="2201">
        <f>+(12360000*1.08)</f>
        <v>13348800</v>
      </c>
      <c r="AJ61" s="1602">
        <f t="shared" si="19"/>
        <v>13348800</v>
      </c>
      <c r="AK61" s="2113"/>
      <c r="AL61" s="2702"/>
      <c r="AM61" s="13"/>
    </row>
    <row r="62" spans="1:39" s="5" customFormat="1">
      <c r="A62" s="3681" t="s">
        <v>7096</v>
      </c>
      <c r="B62" s="3682"/>
      <c r="C62" s="3682"/>
      <c r="D62" s="3682"/>
      <c r="E62" s="3682"/>
      <c r="F62" s="3682"/>
      <c r="G62" s="3682"/>
      <c r="H62" s="3682"/>
      <c r="I62" s="3682"/>
      <c r="J62" s="3682"/>
      <c r="K62" s="3682"/>
      <c r="L62" s="3682"/>
      <c r="M62" s="3682"/>
      <c r="N62" s="3682"/>
      <c r="O62" s="2926"/>
      <c r="P62" s="2927"/>
      <c r="Q62" s="2944"/>
      <c r="R62" s="2944"/>
      <c r="S62" s="1951"/>
      <c r="T62" s="1951"/>
      <c r="U62" s="2945"/>
      <c r="V62" s="1951"/>
      <c r="W62" s="2946"/>
      <c r="X62" s="2947"/>
      <c r="Y62" s="2947"/>
      <c r="Z62" s="2947"/>
      <c r="AA62" s="2947"/>
      <c r="AB62" s="2947"/>
      <c r="AC62" s="2947"/>
      <c r="AD62" s="2946"/>
      <c r="AE62" s="2947"/>
      <c r="AF62" s="2947"/>
      <c r="AG62" s="2947"/>
      <c r="AH62" s="2921"/>
      <c r="AI62" s="2948">
        <f>SUM(AI36:AI61)</f>
        <v>163576800</v>
      </c>
      <c r="AJ62" s="2949"/>
      <c r="AK62" s="2950"/>
      <c r="AL62" s="2951">
        <v>450000</v>
      </c>
      <c r="AM62" s="13"/>
    </row>
    <row r="63" spans="1:39" s="5" customFormat="1" ht="15.6">
      <c r="A63" s="1503">
        <v>1</v>
      </c>
      <c r="B63" s="2062"/>
      <c r="C63" s="2969" t="s">
        <v>7086</v>
      </c>
      <c r="D63" s="2050" t="s">
        <v>7054</v>
      </c>
      <c r="E63" s="2096" t="s">
        <v>7478</v>
      </c>
      <c r="F63" s="2712" t="s">
        <v>6500</v>
      </c>
      <c r="G63" s="1915" t="s">
        <v>1300</v>
      </c>
      <c r="H63" s="2048"/>
      <c r="I63" s="2054">
        <v>1</v>
      </c>
      <c r="J63" s="2054"/>
      <c r="K63" s="2807" t="s">
        <v>418</v>
      </c>
      <c r="L63" s="2054" t="s">
        <v>7064</v>
      </c>
      <c r="M63" s="2054"/>
      <c r="N63" s="2047" t="s">
        <v>7084</v>
      </c>
      <c r="O63" s="2054" t="s">
        <v>7085</v>
      </c>
      <c r="P63" s="1504"/>
      <c r="Q63" s="1472"/>
      <c r="R63" s="2037"/>
      <c r="S63" s="2050" t="s">
        <v>287</v>
      </c>
      <c r="T63" s="2050"/>
      <c r="U63" s="1472"/>
      <c r="V63" s="1472"/>
      <c r="W63" s="1472"/>
      <c r="X63" s="1472"/>
      <c r="Y63" s="2955"/>
      <c r="Z63" s="2916"/>
      <c r="AA63" s="1472"/>
      <c r="AB63" s="1472"/>
      <c r="AC63" s="2982">
        <v>500000</v>
      </c>
      <c r="AD63" s="2916"/>
      <c r="AE63" s="1472"/>
      <c r="AF63" s="1472"/>
      <c r="AG63" s="1339">
        <f>+SUM(X63:AF63)</f>
        <v>500000</v>
      </c>
      <c r="AH63" s="2096" t="s">
        <v>7439</v>
      </c>
      <c r="AI63" s="2201"/>
      <c r="AJ63" s="1602">
        <f>+AG63+AI63</f>
        <v>500000</v>
      </c>
      <c r="AK63" s="1472"/>
      <c r="AL63" s="2702"/>
      <c r="AM63" s="2952"/>
    </row>
    <row r="64" spans="1:39" s="5" customFormat="1" ht="47.25" customHeight="1">
      <c r="A64" s="1503">
        <f t="shared" ref="A64" si="20">+A63+1</f>
        <v>2</v>
      </c>
      <c r="B64" s="2062"/>
      <c r="C64" s="2969" t="s">
        <v>6950</v>
      </c>
      <c r="D64" s="2050" t="s">
        <v>6926</v>
      </c>
      <c r="E64" s="2096" t="s">
        <v>7598</v>
      </c>
      <c r="F64" s="2767" t="s">
        <v>6503</v>
      </c>
      <c r="G64" s="1915" t="s">
        <v>1300</v>
      </c>
      <c r="H64" s="2048"/>
      <c r="I64" s="2054">
        <v>3</v>
      </c>
      <c r="J64" s="2054"/>
      <c r="K64" s="2807" t="s">
        <v>418</v>
      </c>
      <c r="L64" s="2099" t="s">
        <v>6871</v>
      </c>
      <c r="M64" s="2054"/>
      <c r="N64" s="2047" t="s">
        <v>6870</v>
      </c>
      <c r="O64" s="2054" t="s">
        <v>6939</v>
      </c>
      <c r="P64" s="1520">
        <v>45756</v>
      </c>
      <c r="Q64" s="2035"/>
      <c r="R64" s="2047"/>
      <c r="S64" s="2050" t="s">
        <v>287</v>
      </c>
      <c r="T64" s="2050"/>
      <c r="U64" s="2050"/>
      <c r="V64" s="2066"/>
      <c r="W64" s="2053"/>
      <c r="X64" s="2955"/>
      <c r="Y64" s="2955"/>
      <c r="Z64" s="2916"/>
      <c r="AA64" s="2052"/>
      <c r="AB64" s="2052"/>
      <c r="AC64" s="2982">
        <v>2562050</v>
      </c>
      <c r="AD64" s="2916"/>
      <c r="AE64" s="2916"/>
      <c r="AF64" s="2052"/>
      <c r="AG64" s="1339">
        <f t="shared" ref="AG64:AG66" si="21">+SUM(X64:AF64)</f>
        <v>2562050</v>
      </c>
      <c r="AH64" s="2096" t="s">
        <v>7483</v>
      </c>
      <c r="AI64" s="2201"/>
      <c r="AJ64" s="1602">
        <f t="shared" ref="AJ64" si="22">+AG64+AI64</f>
        <v>2562050</v>
      </c>
      <c r="AK64" s="2906"/>
      <c r="AL64" s="2702"/>
      <c r="AM64" s="13"/>
    </row>
    <row r="65" spans="1:40" s="5" customFormat="1" ht="27">
      <c r="A65" s="1503">
        <f>+A64+1</f>
        <v>3</v>
      </c>
      <c r="B65" s="2062"/>
      <c r="C65" s="2693" t="s">
        <v>6908</v>
      </c>
      <c r="D65" s="2050" t="s">
        <v>6901</v>
      </c>
      <c r="E65" s="2096" t="s">
        <v>7480</v>
      </c>
      <c r="F65" s="2108" t="s">
        <v>7017</v>
      </c>
      <c r="G65" s="1915" t="s">
        <v>210</v>
      </c>
      <c r="H65" s="2048"/>
      <c r="I65" s="2054">
        <v>1</v>
      </c>
      <c r="J65" s="2054"/>
      <c r="K65" s="2807" t="s">
        <v>418</v>
      </c>
      <c r="L65" s="2054" t="s">
        <v>6881</v>
      </c>
      <c r="M65" s="2054"/>
      <c r="N65" s="2047" t="s">
        <v>6907</v>
      </c>
      <c r="O65" s="2054" t="s">
        <v>6947</v>
      </c>
      <c r="P65" s="1504"/>
      <c r="Q65" s="2035"/>
      <c r="R65" s="2035"/>
      <c r="S65" s="2050" t="s">
        <v>287</v>
      </c>
      <c r="T65" s="2050"/>
      <c r="U65" s="2050"/>
      <c r="V65" s="2831">
        <v>650000</v>
      </c>
      <c r="W65" s="2053"/>
      <c r="X65" s="1664"/>
      <c r="Y65" s="2955"/>
      <c r="Z65" s="2916"/>
      <c r="AA65" s="2698"/>
      <c r="AB65" s="2052"/>
      <c r="AC65" s="2052"/>
      <c r="AD65" s="2916"/>
      <c r="AE65" s="2052"/>
      <c r="AF65" s="2052"/>
      <c r="AG65" s="1339">
        <f t="shared" si="21"/>
        <v>0</v>
      </c>
      <c r="AH65" s="3002" t="s">
        <v>7477</v>
      </c>
      <c r="AI65" s="2201">
        <f>650000*1.08</f>
        <v>702000</v>
      </c>
      <c r="AJ65" s="1602">
        <f>+AG65+AI65</f>
        <v>702000</v>
      </c>
      <c r="AK65" s="2097"/>
      <c r="AL65" s="2702"/>
      <c r="AM65" s="13"/>
    </row>
    <row r="66" spans="1:40" s="5" customFormat="1" ht="26.4">
      <c r="A66" s="1503">
        <f t="shared" ref="A66:A78" si="23">+A65+1</f>
        <v>4</v>
      </c>
      <c r="B66" s="2062"/>
      <c r="C66" s="2693" t="s">
        <v>6991</v>
      </c>
      <c r="D66" s="2050" t="s">
        <v>6977</v>
      </c>
      <c r="E66" s="2096" t="s">
        <v>7481</v>
      </c>
      <c r="F66" s="2099" t="s">
        <v>6997</v>
      </c>
      <c r="G66" s="1915" t="s">
        <v>210</v>
      </c>
      <c r="H66" s="2048"/>
      <c r="I66" s="2054">
        <v>1</v>
      </c>
      <c r="J66" s="2054"/>
      <c r="K66" s="2807" t="s">
        <v>418</v>
      </c>
      <c r="L66" s="2054" t="s">
        <v>6971</v>
      </c>
      <c r="M66" s="2054"/>
      <c r="N66" s="2047" t="s">
        <v>6986</v>
      </c>
      <c r="O66" s="2054" t="s">
        <v>6992</v>
      </c>
      <c r="P66" s="1504"/>
      <c r="Q66" s="2037"/>
      <c r="R66" s="2037"/>
      <c r="S66" s="2050" t="s">
        <v>287</v>
      </c>
      <c r="T66" s="659"/>
      <c r="U66" s="659"/>
      <c r="V66" s="2831">
        <v>650000</v>
      </c>
      <c r="W66" s="1593"/>
      <c r="X66" s="1291"/>
      <c r="Y66" s="2916"/>
      <c r="Z66" s="2955"/>
      <c r="AA66" s="2955"/>
      <c r="AB66" s="1338"/>
      <c r="AC66" s="1338"/>
      <c r="AD66" s="2916"/>
      <c r="AE66" s="1338"/>
      <c r="AF66" s="1338"/>
      <c r="AG66" s="1339">
        <f t="shared" si="21"/>
        <v>0</v>
      </c>
      <c r="AH66" s="3002" t="s">
        <v>7477</v>
      </c>
      <c r="AI66" s="2201">
        <f>650000*1.08</f>
        <v>702000</v>
      </c>
      <c r="AJ66" s="1602">
        <f>+AG66+AI66</f>
        <v>702000</v>
      </c>
      <c r="AK66" s="2097"/>
      <c r="AM66" s="13"/>
    </row>
    <row r="67" spans="1:40" s="5" customFormat="1" ht="26.4">
      <c r="A67" s="1503">
        <f t="shared" si="23"/>
        <v>5</v>
      </c>
      <c r="B67" s="2062"/>
      <c r="C67" s="2693" t="s">
        <v>7136</v>
      </c>
      <c r="D67" s="2050" t="s">
        <v>7088</v>
      </c>
      <c r="E67" s="2096" t="s">
        <v>7316</v>
      </c>
      <c r="F67" s="2099" t="s">
        <v>6998</v>
      </c>
      <c r="G67" s="1915" t="s">
        <v>210</v>
      </c>
      <c r="H67" s="2048"/>
      <c r="I67" s="2054">
        <v>1</v>
      </c>
      <c r="J67" s="2054"/>
      <c r="K67" s="2054" t="s">
        <v>210</v>
      </c>
      <c r="L67" s="2054" t="s">
        <v>7069</v>
      </c>
      <c r="M67" s="2915"/>
      <c r="N67" s="1471" t="s">
        <v>7133</v>
      </c>
      <c r="O67" s="1345" t="s">
        <v>7152</v>
      </c>
      <c r="P67" s="795"/>
      <c r="Q67" s="2037"/>
      <c r="R67" s="2037"/>
      <c r="S67" s="2050" t="s">
        <v>287</v>
      </c>
      <c r="T67" s="659"/>
      <c r="U67" s="659"/>
      <c r="V67" s="2038"/>
      <c r="W67" s="1593"/>
      <c r="X67" s="1338"/>
      <c r="Y67" s="2916"/>
      <c r="Z67" s="2955"/>
      <c r="AA67" s="2982">
        <v>744604</v>
      </c>
      <c r="AB67" s="1338"/>
      <c r="AC67" s="1338"/>
      <c r="AD67" s="2916"/>
      <c r="AE67" s="1338"/>
      <c r="AF67" s="1338"/>
      <c r="AG67" s="1339">
        <f>+SUM(X67:AF67)</f>
        <v>744604</v>
      </c>
      <c r="AH67" s="3003" t="s">
        <v>7188</v>
      </c>
      <c r="AI67" s="2201"/>
      <c r="AJ67" s="1602">
        <f>+AG67+AI67</f>
        <v>744604</v>
      </c>
      <c r="AK67" s="2113"/>
      <c r="AL67" s="2702"/>
      <c r="AM67" s="13"/>
    </row>
    <row r="68" spans="1:40" s="1303" customFormat="1" ht="52.5" customHeight="1">
      <c r="A68" s="1503">
        <f t="shared" si="23"/>
        <v>6</v>
      </c>
      <c r="B68" s="2826"/>
      <c r="C68" s="2827" t="s">
        <v>6855</v>
      </c>
      <c r="D68" s="2826" t="s">
        <v>6854</v>
      </c>
      <c r="E68" s="2898" t="s">
        <v>7479</v>
      </c>
      <c r="F68" s="2814" t="s">
        <v>6824</v>
      </c>
      <c r="G68" s="2815" t="s">
        <v>210</v>
      </c>
      <c r="H68" s="2828"/>
      <c r="I68" s="1641">
        <v>4</v>
      </c>
      <c r="J68" s="1641"/>
      <c r="K68" s="1655" t="s">
        <v>210</v>
      </c>
      <c r="L68" s="1655" t="s">
        <v>6822</v>
      </c>
      <c r="M68" s="2479"/>
      <c r="N68" s="2829" t="s">
        <v>6852</v>
      </c>
      <c r="O68" s="1655" t="s">
        <v>6832</v>
      </c>
      <c r="P68" s="2816"/>
      <c r="Q68" s="2830"/>
      <c r="R68" s="2829"/>
      <c r="S68" s="2813" t="s">
        <v>4078</v>
      </c>
      <c r="T68" s="2813"/>
      <c r="U68" s="1933"/>
      <c r="V68" s="2831"/>
      <c r="W68" s="2831"/>
      <c r="X68" s="2832"/>
      <c r="Y68" s="2916"/>
      <c r="Z68" s="2916"/>
      <c r="AA68" s="2955"/>
      <c r="AB68" s="2832"/>
      <c r="AC68" s="2832"/>
      <c r="AD68" s="2916"/>
      <c r="AE68" s="2832"/>
      <c r="AF68" s="2832"/>
      <c r="AG68" s="1339">
        <f>+SUM(X68:AF68)</f>
        <v>0</v>
      </c>
      <c r="AH68" s="3002" t="s">
        <v>7197</v>
      </c>
      <c r="AI68" s="2201">
        <f>1050000*2*1.08</f>
        <v>2268000</v>
      </c>
      <c r="AJ68" s="2825">
        <f>+AG68+AI68</f>
        <v>2268000</v>
      </c>
      <c r="AL68" s="2835"/>
      <c r="AM68" s="1302"/>
    </row>
    <row r="69" spans="1:40" s="5" customFormat="1" ht="39.6">
      <c r="A69" s="1503">
        <f t="shared" si="23"/>
        <v>7</v>
      </c>
      <c r="B69" s="2062" t="s">
        <v>6876</v>
      </c>
      <c r="C69" s="2693" t="s">
        <v>7195</v>
      </c>
      <c r="D69" s="2062" t="s">
        <v>6876</v>
      </c>
      <c r="E69" s="2096" t="s">
        <v>7198</v>
      </c>
      <c r="F69" s="2108" t="s">
        <v>7154</v>
      </c>
      <c r="G69" s="1915" t="s">
        <v>210</v>
      </c>
      <c r="H69" s="2048"/>
      <c r="I69" s="2054">
        <v>1</v>
      </c>
      <c r="J69" s="2054"/>
      <c r="K69" s="2054" t="s">
        <v>210</v>
      </c>
      <c r="L69" s="2054" t="s">
        <v>7155</v>
      </c>
      <c r="M69" s="2054" t="s">
        <v>7272</v>
      </c>
      <c r="N69" s="1471" t="s">
        <v>7193</v>
      </c>
      <c r="O69" s="2054" t="s">
        <v>7189</v>
      </c>
      <c r="P69" s="2725" t="s">
        <v>7156</v>
      </c>
      <c r="Q69" s="2037"/>
      <c r="R69" s="2037" t="s">
        <v>7196</v>
      </c>
      <c r="S69" s="2050" t="s">
        <v>287</v>
      </c>
      <c r="T69" s="2050"/>
      <c r="U69" s="2050"/>
      <c r="V69" s="2066"/>
      <c r="W69" s="2053"/>
      <c r="X69" s="2052"/>
      <c r="Y69" s="2982">
        <v>1500000</v>
      </c>
      <c r="Z69" s="2982">
        <v>882000</v>
      </c>
      <c r="AA69" s="2982">
        <v>1004508</v>
      </c>
      <c r="AB69" s="2052"/>
      <c r="AC69" s="2052"/>
      <c r="AD69" s="2686">
        <v>500000</v>
      </c>
      <c r="AE69" s="2052"/>
      <c r="AF69" s="2052"/>
      <c r="AG69" s="1339">
        <f t="shared" ref="AG69:AG78" si="24">+SUM(X69:AF69)</f>
        <v>3886508</v>
      </c>
      <c r="AH69" s="2054"/>
      <c r="AI69" s="2201">
        <f t="shared" ref="AI69:AI73" si="25">(U69*1.08)+(V69*1.08)+(W69*1.08)+((850000*(H69+I69))+(H69*3650000)+(I69*3650000))*1.08</f>
        <v>4860000</v>
      </c>
      <c r="AJ69" s="1602">
        <f t="shared" ref="AJ69:AJ73" si="26">+AG69+AI69</f>
        <v>8746508</v>
      </c>
      <c r="AK69" s="2834"/>
      <c r="AL69" s="2702"/>
      <c r="AM69" s="13"/>
    </row>
    <row r="70" spans="1:40" s="5" customFormat="1" ht="39.6">
      <c r="A70" s="1503">
        <f t="shared" si="23"/>
        <v>8</v>
      </c>
      <c r="B70" s="2062" t="s">
        <v>7203</v>
      </c>
      <c r="C70" s="2693" t="s">
        <v>7208</v>
      </c>
      <c r="D70" s="2050" t="s">
        <v>7203</v>
      </c>
      <c r="E70" s="2096" t="s">
        <v>7214</v>
      </c>
      <c r="F70" s="2108" t="s">
        <v>7183</v>
      </c>
      <c r="G70" s="1915" t="s">
        <v>210</v>
      </c>
      <c r="H70" s="2048"/>
      <c r="I70" s="2054">
        <v>1</v>
      </c>
      <c r="J70" s="2054"/>
      <c r="K70" s="2054" t="s">
        <v>210</v>
      </c>
      <c r="L70" s="2054" t="s">
        <v>7194</v>
      </c>
      <c r="M70" s="2054" t="s">
        <v>7273</v>
      </c>
      <c r="N70" s="1471" t="s">
        <v>7205</v>
      </c>
      <c r="O70" s="2054"/>
      <c r="P70" s="2725" t="s">
        <v>7184</v>
      </c>
      <c r="Q70" s="2037"/>
      <c r="R70" s="2037" t="s">
        <v>7204</v>
      </c>
      <c r="S70" s="2050" t="s">
        <v>287</v>
      </c>
      <c r="T70" s="2050"/>
      <c r="U70" s="2050"/>
      <c r="V70" s="2066"/>
      <c r="W70" s="2053"/>
      <c r="X70" s="2052"/>
      <c r="Y70" s="2982">
        <v>1500000</v>
      </c>
      <c r="Z70" s="2982">
        <v>882000</v>
      </c>
      <c r="AA70" s="2982">
        <v>705828</v>
      </c>
      <c r="AB70" s="2052"/>
      <c r="AC70" s="2052"/>
      <c r="AD70" s="2686">
        <v>500000</v>
      </c>
      <c r="AE70" s="2052"/>
      <c r="AF70" s="2052"/>
      <c r="AG70" s="1339">
        <f t="shared" si="24"/>
        <v>3587828</v>
      </c>
      <c r="AH70" s="2054"/>
      <c r="AI70" s="2201">
        <f t="shared" si="25"/>
        <v>4860000</v>
      </c>
      <c r="AJ70" s="1602">
        <f t="shared" si="26"/>
        <v>8447828</v>
      </c>
      <c r="AK70" s="2097"/>
      <c r="AL70" s="2702"/>
      <c r="AM70" s="13"/>
    </row>
    <row r="71" spans="1:40" s="5" customFormat="1" ht="26.4">
      <c r="A71" s="1503">
        <f t="shared" si="23"/>
        <v>9</v>
      </c>
      <c r="B71" s="2062" t="s">
        <v>7109</v>
      </c>
      <c r="C71" s="2575" t="s">
        <v>7179</v>
      </c>
      <c r="D71" s="2050" t="s">
        <v>7139</v>
      </c>
      <c r="E71" s="2096" t="s">
        <v>7252</v>
      </c>
      <c r="F71" s="2767" t="s">
        <v>6733</v>
      </c>
      <c r="G71" s="1915" t="s">
        <v>1300</v>
      </c>
      <c r="H71" s="2048"/>
      <c r="I71" s="2054">
        <v>2</v>
      </c>
      <c r="J71" s="2054"/>
      <c r="K71" s="2807" t="s">
        <v>418</v>
      </c>
      <c r="L71" s="2054" t="s">
        <v>7053</v>
      </c>
      <c r="M71" s="2054"/>
      <c r="N71" s="2047" t="s">
        <v>7060</v>
      </c>
      <c r="O71" s="2054" t="s">
        <v>7061</v>
      </c>
      <c r="P71" s="1504">
        <v>45667</v>
      </c>
      <c r="Q71" s="2037"/>
      <c r="R71" s="2967" t="s">
        <v>7271</v>
      </c>
      <c r="S71" s="2050" t="s">
        <v>287</v>
      </c>
      <c r="T71" s="2050"/>
      <c r="U71" s="2050"/>
      <c r="V71" s="2066"/>
      <c r="W71" s="2053"/>
      <c r="X71" s="2052"/>
      <c r="Y71" s="2982">
        <v>2596000</v>
      </c>
      <c r="Z71" s="2982">
        <f>1450000*2</f>
        <v>2900000</v>
      </c>
      <c r="AA71" s="2052"/>
      <c r="AB71" s="2052"/>
      <c r="AC71" s="2052"/>
      <c r="AD71" s="2686">
        <v>1000000</v>
      </c>
      <c r="AE71" s="2052"/>
      <c r="AF71" s="2052"/>
      <c r="AG71" s="1339">
        <f t="shared" si="24"/>
        <v>6496000</v>
      </c>
      <c r="AH71" s="2054"/>
      <c r="AI71" s="2201">
        <f t="shared" si="25"/>
        <v>9720000</v>
      </c>
      <c r="AJ71" s="1602">
        <f t="shared" si="26"/>
        <v>16216000</v>
      </c>
      <c r="AK71" s="2097"/>
      <c r="AL71" s="2702"/>
      <c r="AM71" s="13"/>
    </row>
    <row r="72" spans="1:40" s="5" customFormat="1" ht="15.6">
      <c r="A72" s="1503">
        <f t="shared" si="23"/>
        <v>10</v>
      </c>
      <c r="B72" s="2062" t="s">
        <v>7199</v>
      </c>
      <c r="C72" s="2575" t="s">
        <v>7185</v>
      </c>
      <c r="D72" s="2050" t="s">
        <v>6876</v>
      </c>
      <c r="E72" s="2096" t="s">
        <v>7216</v>
      </c>
      <c r="F72" s="2712" t="s">
        <v>6500</v>
      </c>
      <c r="G72" s="1915" t="s">
        <v>1300</v>
      </c>
      <c r="H72" s="2048"/>
      <c r="I72" s="2054">
        <v>1</v>
      </c>
      <c r="J72" s="2054"/>
      <c r="K72" s="2807" t="s">
        <v>418</v>
      </c>
      <c r="L72" s="2054" t="s">
        <v>7119</v>
      </c>
      <c r="M72" s="2054"/>
      <c r="N72" s="2047" t="s">
        <v>7182</v>
      </c>
      <c r="O72" s="2054" t="s">
        <v>7187</v>
      </c>
      <c r="P72" s="1504" t="s">
        <v>7139</v>
      </c>
      <c r="Q72" s="2920"/>
      <c r="R72" s="2920" t="s">
        <v>7135</v>
      </c>
      <c r="S72" s="2050" t="s">
        <v>287</v>
      </c>
      <c r="T72" s="2918"/>
      <c r="U72" s="2918"/>
      <c r="V72" s="2066"/>
      <c r="W72" s="2053"/>
      <c r="X72" s="2052"/>
      <c r="Y72" s="2982">
        <v>882000</v>
      </c>
      <c r="Z72" s="2982">
        <v>2025000</v>
      </c>
      <c r="AA72" s="2052"/>
      <c r="AB72" s="2052"/>
      <c r="AC72" s="2052"/>
      <c r="AD72" s="2686">
        <v>500000</v>
      </c>
      <c r="AE72" s="2052"/>
      <c r="AF72" s="2052"/>
      <c r="AG72" s="1339">
        <f t="shared" si="24"/>
        <v>3407000</v>
      </c>
      <c r="AH72" s="2054" t="s">
        <v>7385</v>
      </c>
      <c r="AI72" s="2201">
        <f>(U72*1.08)+(V72*1.08)+(W72*1.08)+((850000*(H72+I72))+(H72*3650000)+(I72*3650000))*1.08+(500000*1.08)</f>
        <v>5400000</v>
      </c>
      <c r="AJ72" s="1602">
        <f t="shared" si="26"/>
        <v>8807000</v>
      </c>
      <c r="AK72" s="2097"/>
      <c r="AL72" s="2702"/>
      <c r="AM72" s="13"/>
    </row>
    <row r="73" spans="1:40" s="5" customFormat="1" ht="39.6">
      <c r="A73" s="1503">
        <f t="shared" si="23"/>
        <v>11</v>
      </c>
      <c r="B73" s="2062" t="s">
        <v>7280</v>
      </c>
      <c r="C73" s="2575" t="s">
        <v>7180</v>
      </c>
      <c r="D73" s="2050" t="s">
        <v>7203</v>
      </c>
      <c r="E73" s="2096" t="s">
        <v>7253</v>
      </c>
      <c r="F73" s="2767" t="s">
        <v>6503</v>
      </c>
      <c r="G73" s="1915" t="s">
        <v>1300</v>
      </c>
      <c r="H73" s="2048"/>
      <c r="I73" s="2054">
        <v>3</v>
      </c>
      <c r="J73" s="2054"/>
      <c r="K73" s="2807" t="s">
        <v>418</v>
      </c>
      <c r="L73" s="2054" t="s">
        <v>7110</v>
      </c>
      <c r="M73" s="2054"/>
      <c r="N73" s="2047" t="s">
        <v>7120</v>
      </c>
      <c r="O73" s="2054" t="s">
        <v>7186</v>
      </c>
      <c r="P73" s="1504" t="s">
        <v>6876</v>
      </c>
      <c r="Q73" s="2037"/>
      <c r="R73" s="2967" t="s">
        <v>7607</v>
      </c>
      <c r="S73" s="2050" t="s">
        <v>287</v>
      </c>
      <c r="T73" s="2918"/>
      <c r="U73" s="2918"/>
      <c r="V73" s="2066"/>
      <c r="W73" s="2053"/>
      <c r="X73" s="2052"/>
      <c r="Y73" s="2982">
        <v>4527000</v>
      </c>
      <c r="Z73" s="2982">
        <v>4500000</v>
      </c>
      <c r="AA73" s="2052"/>
      <c r="AB73" s="2052"/>
      <c r="AC73" s="2052"/>
      <c r="AD73" s="2686">
        <v>1500000</v>
      </c>
      <c r="AE73" s="2983">
        <f>714852+ 357426</f>
        <v>1072278</v>
      </c>
      <c r="AF73" s="2052"/>
      <c r="AG73" s="1339">
        <f t="shared" si="24"/>
        <v>11599278</v>
      </c>
      <c r="AH73" s="2054"/>
      <c r="AI73" s="2201">
        <f t="shared" si="25"/>
        <v>14580000.000000002</v>
      </c>
      <c r="AJ73" s="1602">
        <f t="shared" si="26"/>
        <v>26179278</v>
      </c>
      <c r="AK73" s="2097"/>
      <c r="AL73" s="2702"/>
      <c r="AM73" s="13"/>
    </row>
    <row r="74" spans="1:40" s="5" customFormat="1" ht="36" customHeight="1">
      <c r="A74" s="1503">
        <f t="shared" si="23"/>
        <v>12</v>
      </c>
      <c r="B74" s="2062" t="s">
        <v>7224</v>
      </c>
      <c r="C74" s="2575" t="s">
        <v>7221</v>
      </c>
      <c r="D74" s="2050" t="s">
        <v>7199</v>
      </c>
      <c r="E74" s="2096" t="s">
        <v>7218</v>
      </c>
      <c r="F74" s="2712" t="s">
        <v>6500</v>
      </c>
      <c r="G74" s="1915" t="s">
        <v>1300</v>
      </c>
      <c r="H74" s="2048"/>
      <c r="I74" s="2054"/>
      <c r="J74" s="2054" t="s">
        <v>128</v>
      </c>
      <c r="K74" s="2807" t="s">
        <v>418</v>
      </c>
      <c r="L74" s="2054" t="s">
        <v>7177</v>
      </c>
      <c r="M74" s="2054"/>
      <c r="N74" s="2047" t="s">
        <v>7240</v>
      </c>
      <c r="O74" s="2054" t="s">
        <v>7219</v>
      </c>
      <c r="P74" s="1504" t="s">
        <v>7220</v>
      </c>
      <c r="Q74" s="2037"/>
      <c r="R74" s="2037" t="s">
        <v>7281</v>
      </c>
      <c r="S74" s="2050" t="s">
        <v>5026</v>
      </c>
      <c r="T74" s="2918"/>
      <c r="U74" s="2918"/>
      <c r="V74" s="2066"/>
      <c r="W74" s="2053"/>
      <c r="X74" s="2982">
        <v>1313269</v>
      </c>
      <c r="Y74" s="2052"/>
      <c r="Z74" s="2052"/>
      <c r="AA74" s="2052"/>
      <c r="AB74" s="2076">
        <v>1714154</v>
      </c>
      <c r="AC74" s="2983">
        <v>4386645</v>
      </c>
      <c r="AD74" s="2053"/>
      <c r="AE74" s="2052"/>
      <c r="AF74" s="2052"/>
      <c r="AG74" s="1339">
        <f>+SUM(X74:AF74)</f>
        <v>7414068</v>
      </c>
      <c r="AH74" s="2054"/>
      <c r="AI74" s="2201">
        <f>(650000+1800000)*1.08</f>
        <v>2646000</v>
      </c>
      <c r="AJ74" s="1602">
        <f t="shared" ref="AJ74:AJ93" si="27">+AG74+AI74</f>
        <v>10060068</v>
      </c>
      <c r="AK74" s="2097"/>
      <c r="AL74" s="2702"/>
      <c r="AM74" s="13"/>
    </row>
    <row r="75" spans="1:40" s="5" customFormat="1" ht="30.75" customHeight="1">
      <c r="A75" s="1503">
        <f t="shared" si="23"/>
        <v>13</v>
      </c>
      <c r="B75" s="2050" t="s">
        <v>7109</v>
      </c>
      <c r="C75" s="2575" t="s">
        <v>7250</v>
      </c>
      <c r="D75" s="2050" t="s">
        <v>7224</v>
      </c>
      <c r="E75" s="2096" t="s">
        <v>7256</v>
      </c>
      <c r="F75" s="2712" t="s">
        <v>6500</v>
      </c>
      <c r="G75" s="1915" t="s">
        <v>1300</v>
      </c>
      <c r="H75" s="2048"/>
      <c r="I75" s="2054"/>
      <c r="J75" s="2054" t="s">
        <v>128</v>
      </c>
      <c r="K75" s="2807" t="s">
        <v>418</v>
      </c>
      <c r="L75" s="2054" t="s">
        <v>7201</v>
      </c>
      <c r="M75" s="2054"/>
      <c r="N75" s="2047" t="s">
        <v>7238</v>
      </c>
      <c r="O75" s="2054" t="s">
        <v>7239</v>
      </c>
      <c r="P75" s="1504" t="s">
        <v>7199</v>
      </c>
      <c r="Q75" s="2919"/>
      <c r="R75" s="2037" t="s">
        <v>6224</v>
      </c>
      <c r="S75" s="2050" t="s">
        <v>5026</v>
      </c>
      <c r="T75" s="2050"/>
      <c r="U75" s="2919"/>
      <c r="V75" s="2919"/>
      <c r="W75" s="2919"/>
      <c r="X75" s="2919"/>
      <c r="Y75" s="2919"/>
      <c r="Z75" s="2919"/>
      <c r="AA75" s="2919"/>
      <c r="AB75" s="2919"/>
      <c r="AC75" s="2919"/>
      <c r="AD75" s="2919"/>
      <c r="AE75" s="2919"/>
      <c r="AF75" s="2919"/>
      <c r="AG75" s="1339">
        <f t="shared" si="24"/>
        <v>0</v>
      </c>
      <c r="AH75" s="2479" t="s">
        <v>7297</v>
      </c>
      <c r="AI75" s="2201">
        <f>+(650000+4500000)*1.08</f>
        <v>5562000</v>
      </c>
      <c r="AJ75" s="1602">
        <f t="shared" si="27"/>
        <v>5562000</v>
      </c>
      <c r="AK75" s="2919"/>
      <c r="AL75" s="2702"/>
      <c r="AM75" s="2953"/>
      <c r="AN75" s="2953"/>
    </row>
    <row r="76" spans="1:40" s="5" customFormat="1" ht="26.4">
      <c r="A76" s="1503">
        <f t="shared" si="23"/>
        <v>14</v>
      </c>
      <c r="B76" s="2054"/>
      <c r="C76" s="2987" t="s">
        <v>7264</v>
      </c>
      <c r="D76" s="2054"/>
      <c r="E76" s="2096" t="s">
        <v>7361</v>
      </c>
      <c r="F76" s="2054"/>
      <c r="G76" s="1915"/>
      <c r="H76" s="2048"/>
      <c r="I76" s="2054"/>
      <c r="J76" s="2054"/>
      <c r="K76" s="2054"/>
      <c r="L76" s="2054"/>
      <c r="M76" s="2054"/>
      <c r="N76" s="2047"/>
      <c r="O76" s="2054"/>
      <c r="P76" s="1504"/>
      <c r="Q76" s="2035"/>
      <c r="R76" s="2035"/>
      <c r="S76" s="2066"/>
      <c r="T76" s="2066"/>
      <c r="U76" s="2050"/>
      <c r="V76" s="2066"/>
      <c r="W76" s="2053"/>
      <c r="X76" s="2052"/>
      <c r="Y76" s="2052"/>
      <c r="Z76" s="2052"/>
      <c r="AA76" s="2052"/>
      <c r="AB76" s="1338"/>
      <c r="AC76" s="2982">
        <f>149116+6816926</f>
        <v>6966042</v>
      </c>
      <c r="AD76" s="1593"/>
      <c r="AE76" s="1338"/>
      <c r="AF76" s="1338"/>
      <c r="AG76" s="1339">
        <f t="shared" si="24"/>
        <v>6966042</v>
      </c>
      <c r="AH76" s="2054"/>
      <c r="AI76" s="2201">
        <f t="shared" ref="AI76:AI93" si="28">(U76*1.08)+(V76*1.08)+(W76*1.08)+((850000*(H76+I76))+(H76*3650000)+(I76*3650000))*1.08</f>
        <v>0</v>
      </c>
      <c r="AJ76" s="1602">
        <f t="shared" si="27"/>
        <v>6966042</v>
      </c>
      <c r="AK76" s="2113"/>
      <c r="AL76" s="2702"/>
      <c r="AM76" s="13"/>
    </row>
    <row r="77" spans="1:40" s="5" customFormat="1" ht="15.6">
      <c r="A77" s="1503">
        <f t="shared" si="23"/>
        <v>15</v>
      </c>
      <c r="B77" s="1503" t="s">
        <v>7331</v>
      </c>
      <c r="C77" s="2575" t="s">
        <v>7321</v>
      </c>
      <c r="D77" s="1520" t="s">
        <v>7320</v>
      </c>
      <c r="E77" s="2096" t="s">
        <v>7351</v>
      </c>
      <c r="F77" s="2054" t="s">
        <v>7269</v>
      </c>
      <c r="G77" s="1915" t="s">
        <v>1300</v>
      </c>
      <c r="H77" s="2048">
        <v>1</v>
      </c>
      <c r="I77" s="2054"/>
      <c r="J77" s="2054"/>
      <c r="K77" s="2807" t="s">
        <v>418</v>
      </c>
      <c r="L77" s="2054" t="s">
        <v>7267</v>
      </c>
      <c r="N77" s="2047" t="s">
        <v>7268</v>
      </c>
      <c r="O77" s="2801" t="s">
        <v>7303</v>
      </c>
      <c r="P77" s="1504">
        <v>45910</v>
      </c>
      <c r="Q77" s="2035"/>
      <c r="R77" s="2035" t="s">
        <v>7415</v>
      </c>
      <c r="S77" s="2050" t="s">
        <v>287</v>
      </c>
      <c r="T77" s="2050"/>
      <c r="U77" s="2050"/>
      <c r="V77" s="2066"/>
      <c r="W77" s="2053"/>
      <c r="Y77" s="2982">
        <v>727000</v>
      </c>
      <c r="Z77" s="2982">
        <v>900000</v>
      </c>
      <c r="AA77" s="2052"/>
      <c r="AB77" s="2052"/>
      <c r="AC77" s="2052"/>
      <c r="AD77" s="2686">
        <v>250000</v>
      </c>
      <c r="AE77" s="2052"/>
      <c r="AF77" s="2052"/>
      <c r="AG77" s="1339">
        <f>+SUM(Y77:AF77)</f>
        <v>1877000</v>
      </c>
      <c r="AH77" s="2054"/>
      <c r="AI77" s="2201">
        <f t="shared" si="28"/>
        <v>4860000</v>
      </c>
      <c r="AJ77" s="1602">
        <f t="shared" si="27"/>
        <v>6737000</v>
      </c>
      <c r="AK77" s="2097"/>
      <c r="AL77" s="2702"/>
      <c r="AM77" s="13"/>
    </row>
    <row r="78" spans="1:40" s="5" customFormat="1" ht="27" customHeight="1">
      <c r="A78" s="1503">
        <f t="shared" si="23"/>
        <v>16</v>
      </c>
      <c r="B78" s="1419" t="s">
        <v>7263</v>
      </c>
      <c r="C78" s="1915">
        <v>107607844740</v>
      </c>
      <c r="D78" s="1520" t="s">
        <v>7320</v>
      </c>
      <c r="E78" s="2029" t="s">
        <v>7352</v>
      </c>
      <c r="F78" s="2712" t="s">
        <v>6500</v>
      </c>
      <c r="G78" s="1915" t="s">
        <v>1300</v>
      </c>
      <c r="H78" s="2033"/>
      <c r="I78" s="2033"/>
      <c r="J78" s="3000" t="s">
        <v>128</v>
      </c>
      <c r="K78" s="2807" t="s">
        <v>418</v>
      </c>
      <c r="L78" s="2970" t="s">
        <v>7314</v>
      </c>
      <c r="M78" s="2035"/>
      <c r="N78" s="2047" t="s">
        <v>7315</v>
      </c>
      <c r="O78" s="1476"/>
      <c r="P78" s="2060" t="s">
        <v>7347</v>
      </c>
      <c r="Q78" s="2037"/>
      <c r="R78" s="2037" t="s">
        <v>5948</v>
      </c>
      <c r="S78" s="2050" t="s">
        <v>5026</v>
      </c>
      <c r="T78" s="2050"/>
      <c r="U78" s="2050"/>
      <c r="V78" s="2066"/>
      <c r="W78" s="2053"/>
      <c r="X78" s="2982">
        <v>510365</v>
      </c>
      <c r="Y78" s="2052"/>
      <c r="Z78" s="2052"/>
      <c r="AA78" s="2052"/>
      <c r="AB78" s="2052"/>
      <c r="AC78" s="2052"/>
      <c r="AD78" s="2053"/>
      <c r="AE78" s="2052"/>
      <c r="AF78" s="2052"/>
      <c r="AG78" s="1339">
        <f t="shared" si="24"/>
        <v>510365</v>
      </c>
      <c r="AH78" s="2054"/>
      <c r="AI78" s="2201">
        <f>(650000+1800000)*1.08</f>
        <v>2646000</v>
      </c>
      <c r="AJ78" s="1602">
        <f>+AG78+AI78</f>
        <v>3156365</v>
      </c>
      <c r="AK78" s="2097"/>
      <c r="AL78" s="2702"/>
      <c r="AM78" s="13"/>
    </row>
    <row r="79" spans="1:40" s="5" customFormat="1" ht="39.6">
      <c r="A79" s="1503">
        <f t="shared" ref="A79:A85" si="29">+A78+1</f>
        <v>17</v>
      </c>
      <c r="B79" s="1419" t="s">
        <v>7413</v>
      </c>
      <c r="C79" s="1915">
        <v>107616233430</v>
      </c>
      <c r="D79" s="1520" t="s">
        <v>7376</v>
      </c>
      <c r="E79" s="2029" t="s">
        <v>7391</v>
      </c>
      <c r="F79" s="2767" t="s">
        <v>6503</v>
      </c>
      <c r="G79" s="1915" t="s">
        <v>1300</v>
      </c>
      <c r="H79" s="2033"/>
      <c r="I79" s="2033">
        <v>3</v>
      </c>
      <c r="J79" s="2033"/>
      <c r="K79" s="2807" t="s">
        <v>418</v>
      </c>
      <c r="L79" s="2970" t="s">
        <v>7304</v>
      </c>
      <c r="M79" s="2035"/>
      <c r="N79" s="2047" t="s">
        <v>7305</v>
      </c>
      <c r="O79" s="2971" t="s">
        <v>7306</v>
      </c>
      <c r="P79" s="1504">
        <v>46001</v>
      </c>
      <c r="Q79" s="2035"/>
      <c r="R79" s="2047" t="s">
        <v>7448</v>
      </c>
      <c r="S79" s="2050" t="s">
        <v>287</v>
      </c>
      <c r="T79" s="2050"/>
      <c r="U79" s="2050"/>
      <c r="V79" s="2066"/>
      <c r="X79" s="2982">
        <v>3900000</v>
      </c>
      <c r="Y79" s="2982">
        <v>2646000</v>
      </c>
      <c r="Z79" s="2982">
        <f>1500000*3</f>
        <v>4500000</v>
      </c>
      <c r="AA79" s="2052"/>
      <c r="AB79" s="2052"/>
      <c r="AC79" s="2052"/>
      <c r="AD79" s="2686">
        <v>1500000</v>
      </c>
      <c r="AE79" s="2982">
        <f>1071063+119007</f>
        <v>1190070</v>
      </c>
      <c r="AF79" s="2052"/>
      <c r="AG79" s="1339">
        <f>+SUM(Y79:AF79)</f>
        <v>9836070</v>
      </c>
      <c r="AI79" s="2201">
        <f t="shared" si="28"/>
        <v>14580000.000000002</v>
      </c>
      <c r="AJ79" s="1602">
        <f t="shared" si="27"/>
        <v>24416070</v>
      </c>
      <c r="AK79" s="2097"/>
      <c r="AL79" s="2702"/>
      <c r="AM79" s="13"/>
    </row>
    <row r="80" spans="1:40" s="5" customFormat="1" ht="15.6">
      <c r="A80" s="1503">
        <f t="shared" si="29"/>
        <v>18</v>
      </c>
      <c r="B80" s="1447" t="s">
        <v>7350</v>
      </c>
      <c r="C80" s="1915">
        <v>107622819400</v>
      </c>
      <c r="D80" s="1520" t="s">
        <v>7373</v>
      </c>
      <c r="E80" s="2029" t="s">
        <v>7420</v>
      </c>
      <c r="F80" s="2712" t="s">
        <v>6500</v>
      </c>
      <c r="G80" s="1915" t="s">
        <v>1300</v>
      </c>
      <c r="H80" s="2033"/>
      <c r="I80" s="2033"/>
      <c r="J80" s="3000" t="s">
        <v>128</v>
      </c>
      <c r="K80" s="2807" t="s">
        <v>418</v>
      </c>
      <c r="L80" s="2970" t="s">
        <v>7399</v>
      </c>
      <c r="M80" s="1472"/>
      <c r="N80" s="2047" t="s">
        <v>7466</v>
      </c>
      <c r="O80" s="2971" t="s">
        <v>7375</v>
      </c>
      <c r="P80" s="2060" t="s">
        <v>7373</v>
      </c>
      <c r="Q80" s="1472"/>
      <c r="R80" s="2037" t="s">
        <v>7416</v>
      </c>
      <c r="S80" s="2050" t="s">
        <v>5026</v>
      </c>
      <c r="T80" s="2050"/>
      <c r="U80" s="1472"/>
      <c r="V80" s="1472"/>
      <c r="W80" s="1472"/>
      <c r="X80" s="2982">
        <v>567389</v>
      </c>
      <c r="Y80" s="1472"/>
      <c r="Z80" s="1472"/>
      <c r="AA80" s="1472"/>
      <c r="AB80" s="1472"/>
      <c r="AC80" s="1472"/>
      <c r="AD80" s="1472"/>
      <c r="AE80" s="1472"/>
      <c r="AF80" s="1472"/>
      <c r="AG80" s="1339">
        <f t="shared" ref="AG80:AG84" si="30">+SUM(Y80:AF80)</f>
        <v>0</v>
      </c>
      <c r="AH80" s="1472"/>
      <c r="AI80" s="2201">
        <f>(650000+1800000)*1.08</f>
        <v>2646000</v>
      </c>
      <c r="AJ80" s="1602">
        <f t="shared" si="27"/>
        <v>2646000</v>
      </c>
      <c r="AK80" s="1472"/>
      <c r="AL80" s="3016"/>
      <c r="AM80" s="2952"/>
      <c r="AN80" s="2952"/>
    </row>
    <row r="81" spans="1:39" s="5" customFormat="1" ht="15.6">
      <c r="A81" s="1503">
        <f t="shared" si="29"/>
        <v>19</v>
      </c>
      <c r="B81" s="2264" t="s">
        <v>7472</v>
      </c>
      <c r="C81" s="1915">
        <v>107625937160</v>
      </c>
      <c r="D81" s="1520" t="s">
        <v>7387</v>
      </c>
      <c r="E81" s="2029" t="s">
        <v>7432</v>
      </c>
      <c r="F81" s="2712" t="s">
        <v>6500</v>
      </c>
      <c r="G81" s="1915" t="s">
        <v>1300</v>
      </c>
      <c r="H81" s="2033"/>
      <c r="I81" s="2033">
        <v>1</v>
      </c>
      <c r="J81" s="2033"/>
      <c r="K81" s="2807" t="s">
        <v>418</v>
      </c>
      <c r="L81" s="2970" t="s">
        <v>7349</v>
      </c>
      <c r="M81" s="2964"/>
      <c r="N81" s="2047" t="s">
        <v>7404</v>
      </c>
      <c r="O81" s="2971" t="s">
        <v>7374</v>
      </c>
      <c r="P81" s="2060" t="s">
        <v>7445</v>
      </c>
      <c r="Q81" s="2037"/>
      <c r="R81" s="2037" t="s">
        <v>7536</v>
      </c>
      <c r="S81" s="2050" t="s">
        <v>287</v>
      </c>
      <c r="T81" s="2050"/>
      <c r="U81" s="2050"/>
      <c r="V81" s="2066"/>
      <c r="W81" s="2053"/>
      <c r="X81" s="2052"/>
      <c r="Y81" s="2982">
        <v>882000</v>
      </c>
      <c r="Z81" s="2982">
        <v>1280000</v>
      </c>
      <c r="AA81" s="2052"/>
      <c r="AB81" s="2052"/>
      <c r="AC81" s="2052"/>
      <c r="AD81" s="2686">
        <v>500000</v>
      </c>
      <c r="AE81" s="2052"/>
      <c r="AF81" s="2052"/>
      <c r="AG81" s="1339">
        <f t="shared" si="30"/>
        <v>2662000</v>
      </c>
      <c r="AH81" s="2096" t="s">
        <v>7603</v>
      </c>
      <c r="AI81" s="2201">
        <f>(U81*1.08)+(V81*1.08)+(W81*1.08)+((850000*(H81+I81))+(H81*3650000)+(I81*3650000))*1.08+(500000*1.08)</f>
        <v>5400000</v>
      </c>
      <c r="AJ81" s="1602">
        <f t="shared" si="27"/>
        <v>8062000</v>
      </c>
      <c r="AK81" s="2097"/>
      <c r="AL81" s="2702"/>
      <c r="AM81" s="13"/>
    </row>
    <row r="82" spans="1:39" s="5" customFormat="1" ht="26.4">
      <c r="A82" s="1503">
        <f>+A83+1</f>
        <v>21</v>
      </c>
      <c r="B82" s="2264" t="s">
        <v>7472</v>
      </c>
      <c r="C82" s="1915">
        <v>107625952340</v>
      </c>
      <c r="D82" s="1520" t="s">
        <v>7387</v>
      </c>
      <c r="E82" s="2029" t="s">
        <v>7433</v>
      </c>
      <c r="F82" s="2712" t="s">
        <v>6500</v>
      </c>
      <c r="G82" s="1915" t="s">
        <v>1300</v>
      </c>
      <c r="H82" s="2033"/>
      <c r="I82" s="2033">
        <v>1</v>
      </c>
      <c r="J82" s="2033"/>
      <c r="K82" s="2807" t="s">
        <v>418</v>
      </c>
      <c r="L82" s="2970" t="s">
        <v>7402</v>
      </c>
      <c r="M82" s="2037"/>
      <c r="N82" s="2047" t="s">
        <v>7403</v>
      </c>
      <c r="O82" s="2995" t="s">
        <v>7414</v>
      </c>
      <c r="P82" s="2060" t="s">
        <v>7445</v>
      </c>
      <c r="Q82" s="2037" t="s">
        <v>7464</v>
      </c>
      <c r="R82" s="2037" t="s">
        <v>6255</v>
      </c>
      <c r="S82" s="2050" t="s">
        <v>287</v>
      </c>
      <c r="T82" s="2050"/>
      <c r="U82" s="2050"/>
      <c r="V82" s="2066"/>
      <c r="W82" s="2053"/>
      <c r="X82" s="2052"/>
      <c r="Y82" s="2982">
        <v>882000</v>
      </c>
      <c r="Z82" s="2982">
        <v>1280000</v>
      </c>
      <c r="AA82" s="2052"/>
      <c r="AB82" s="2052"/>
      <c r="AC82" s="2052"/>
      <c r="AD82" s="2686">
        <v>500000</v>
      </c>
      <c r="AE82" s="2052"/>
      <c r="AF82" s="2052"/>
      <c r="AG82" s="1339">
        <f t="shared" si="30"/>
        <v>2662000</v>
      </c>
      <c r="AH82" s="2099" t="s">
        <v>7701</v>
      </c>
      <c r="AI82" s="2201">
        <f t="shared" ref="AI82:AI83" si="31">(U82*1.08)+(V82*1.08)+(W82*1.08)+((850000*(H82+I82))+(H82*3650000)+(I82*3650000))*1.08+(500000*1.08)</f>
        <v>5400000</v>
      </c>
      <c r="AJ82" s="1602">
        <f t="shared" si="27"/>
        <v>8062000</v>
      </c>
      <c r="AK82" s="2097"/>
      <c r="AL82" s="2702"/>
      <c r="AM82" s="13"/>
    </row>
    <row r="83" spans="1:39" s="5" customFormat="1" ht="15.6">
      <c r="A83" s="1503">
        <f>+A81+1</f>
        <v>20</v>
      </c>
      <c r="B83" s="2264" t="s">
        <v>7482</v>
      </c>
      <c r="C83" s="1915">
        <v>107625966710</v>
      </c>
      <c r="D83" s="1520" t="s">
        <v>7387</v>
      </c>
      <c r="E83" s="2029" t="s">
        <v>7434</v>
      </c>
      <c r="F83" s="2712" t="s">
        <v>6500</v>
      </c>
      <c r="G83" s="1915" t="s">
        <v>1300</v>
      </c>
      <c r="H83" s="2033"/>
      <c r="I83" s="2033">
        <v>1</v>
      </c>
      <c r="J83" s="2033"/>
      <c r="K83" s="2807" t="s">
        <v>418</v>
      </c>
      <c r="L83" s="2970" t="s">
        <v>7401</v>
      </c>
      <c r="M83" s="2037"/>
      <c r="N83" s="2047" t="s">
        <v>7450</v>
      </c>
      <c r="O83" s="2971" t="s">
        <v>7388</v>
      </c>
      <c r="P83" s="2060" t="s">
        <v>7393</v>
      </c>
      <c r="Q83" s="2037" t="s">
        <v>7449</v>
      </c>
      <c r="R83" s="2037" t="s">
        <v>7503</v>
      </c>
      <c r="S83" s="2050" t="s">
        <v>287</v>
      </c>
      <c r="T83" s="659"/>
      <c r="U83" s="659"/>
      <c r="V83" s="2038"/>
      <c r="W83" s="1593"/>
      <c r="X83" s="1338"/>
      <c r="Y83" s="2982">
        <v>1532000</v>
      </c>
      <c r="Z83" s="2982">
        <v>1280000</v>
      </c>
      <c r="AA83" s="1338"/>
      <c r="AB83" s="1338"/>
      <c r="AC83" s="1338"/>
      <c r="AD83" s="2686">
        <v>500000</v>
      </c>
      <c r="AE83" s="1338"/>
      <c r="AF83" s="1338"/>
      <c r="AG83" s="1339">
        <f t="shared" si="30"/>
        <v>3312000</v>
      </c>
      <c r="AH83" s="2096" t="s">
        <v>7603</v>
      </c>
      <c r="AI83" s="2201">
        <f t="shared" si="31"/>
        <v>5400000</v>
      </c>
      <c r="AJ83" s="1602">
        <f t="shared" si="27"/>
        <v>8712000</v>
      </c>
      <c r="AK83" s="2113"/>
      <c r="AL83" s="2845"/>
      <c r="AM83" s="13"/>
    </row>
    <row r="84" spans="1:39" s="5" customFormat="1" ht="26.4">
      <c r="A84" s="1503">
        <f>+A82+1</f>
        <v>22</v>
      </c>
      <c r="B84" s="1419" t="s">
        <v>7393</v>
      </c>
      <c r="C84" s="2029">
        <v>307878084310</v>
      </c>
      <c r="D84" s="1520" t="s">
        <v>7393</v>
      </c>
      <c r="E84" s="2029" t="s">
        <v>7459</v>
      </c>
      <c r="F84" s="2108" t="s">
        <v>7183</v>
      </c>
      <c r="G84" s="2057" t="s">
        <v>210</v>
      </c>
      <c r="H84" s="2033"/>
      <c r="I84" s="2033">
        <v>1</v>
      </c>
      <c r="J84" s="2033"/>
      <c r="K84" s="2069" t="s">
        <v>210</v>
      </c>
      <c r="L84" s="2970" t="s">
        <v>7431</v>
      </c>
      <c r="M84" s="3019" t="s">
        <v>7587</v>
      </c>
      <c r="N84" s="1471" t="s">
        <v>7438</v>
      </c>
      <c r="O84" s="2971" t="s">
        <v>8040</v>
      </c>
      <c r="P84" s="2060" t="s">
        <v>7440</v>
      </c>
      <c r="Q84" s="2037" t="s">
        <v>7464</v>
      </c>
      <c r="R84" s="2037" t="s">
        <v>7447</v>
      </c>
      <c r="S84" s="2050" t="s">
        <v>287</v>
      </c>
      <c r="T84" s="2050"/>
      <c r="U84" s="2050"/>
      <c r="V84" s="2066"/>
      <c r="W84" s="2053"/>
      <c r="X84" s="2052"/>
      <c r="Y84" s="2982">
        <v>1500000</v>
      </c>
      <c r="Z84" s="2982">
        <v>882000</v>
      </c>
      <c r="AA84" s="2982">
        <v>1075370</v>
      </c>
      <c r="AB84" s="2052"/>
      <c r="AC84" s="2052"/>
      <c r="AD84" s="2982">
        <v>500000</v>
      </c>
      <c r="AE84" s="2052"/>
      <c r="AF84" s="2052"/>
      <c r="AG84" s="1339">
        <f t="shared" si="30"/>
        <v>3957370</v>
      </c>
      <c r="AH84" s="2099" t="s">
        <v>7602</v>
      </c>
      <c r="AI84" s="2201">
        <f t="shared" si="28"/>
        <v>4860000</v>
      </c>
      <c r="AJ84" s="1602">
        <f t="shared" si="27"/>
        <v>8817370</v>
      </c>
      <c r="AK84" s="2097"/>
      <c r="AL84" s="2702"/>
      <c r="AM84" s="13"/>
    </row>
    <row r="85" spans="1:39" s="1303" customFormat="1" ht="24" customHeight="1">
      <c r="A85" s="3462">
        <f t="shared" si="29"/>
        <v>23</v>
      </c>
      <c r="B85" s="3627" t="s">
        <v>7456</v>
      </c>
      <c r="C85" s="3463">
        <v>307884860640</v>
      </c>
      <c r="D85" s="3721" t="s">
        <v>7456</v>
      </c>
      <c r="E85" s="3463" t="s">
        <v>7531</v>
      </c>
      <c r="F85" s="3719" t="s">
        <v>7183</v>
      </c>
      <c r="G85" s="3722" t="s">
        <v>210</v>
      </c>
      <c r="H85" s="3711"/>
      <c r="I85" s="3711">
        <v>2</v>
      </c>
      <c r="J85" s="3709"/>
      <c r="K85" s="3503" t="s">
        <v>210</v>
      </c>
      <c r="L85" s="3729" t="s">
        <v>7452</v>
      </c>
      <c r="M85" s="3729" t="s">
        <v>7599</v>
      </c>
      <c r="N85" s="2998" t="s">
        <v>7470</v>
      </c>
      <c r="O85" s="3731" t="s">
        <v>7465</v>
      </c>
      <c r="P85" s="3717" t="s">
        <v>7453</v>
      </c>
      <c r="Q85" s="2997"/>
      <c r="R85" s="2997" t="s">
        <v>7485</v>
      </c>
      <c r="S85" s="3713" t="s">
        <v>287</v>
      </c>
      <c r="T85" s="3195"/>
      <c r="U85" s="3713"/>
      <c r="V85" s="3713"/>
      <c r="W85" s="3737"/>
      <c r="X85" s="3724"/>
      <c r="Y85" s="3726">
        <v>3000000</v>
      </c>
      <c r="Z85" s="3726">
        <v>1764000</v>
      </c>
      <c r="AA85" s="3724"/>
      <c r="AB85" s="3724"/>
      <c r="AC85" s="3724"/>
      <c r="AD85" s="3726">
        <v>1000000</v>
      </c>
      <c r="AE85" s="3724"/>
      <c r="AF85" s="3724"/>
      <c r="AG85" s="3715">
        <f>SUM(X85:AF86)</f>
        <v>5764000</v>
      </c>
      <c r="AH85" s="3447"/>
      <c r="AI85" s="3728">
        <f>(U85*1.08)+(V85*1.08)+(W85*1.08)+((850000*(H85+I85))+(H85*3650000)+(I85*3650000))*1.08</f>
        <v>9720000</v>
      </c>
      <c r="AJ85" s="3708">
        <f>+AG85+AI85</f>
        <v>15484000</v>
      </c>
      <c r="AK85" s="2834"/>
      <c r="AL85" s="2835"/>
      <c r="AM85" s="1801"/>
    </row>
    <row r="86" spans="1:39" s="1303" customFormat="1" ht="23.25" customHeight="1">
      <c r="A86" s="3444"/>
      <c r="B86" s="3512"/>
      <c r="C86" s="3472"/>
      <c r="D86" s="3365"/>
      <c r="E86" s="3472"/>
      <c r="F86" s="3720"/>
      <c r="G86" s="3723"/>
      <c r="H86" s="3712"/>
      <c r="I86" s="3712"/>
      <c r="J86" s="3710"/>
      <c r="K86" s="3574"/>
      <c r="L86" s="3730"/>
      <c r="M86" s="3733"/>
      <c r="N86" s="3006" t="s">
        <v>7471</v>
      </c>
      <c r="O86" s="3732"/>
      <c r="P86" s="3718"/>
      <c r="Q86" s="2997"/>
      <c r="R86" s="2997" t="s">
        <v>5944</v>
      </c>
      <c r="S86" s="3714"/>
      <c r="T86" s="3004"/>
      <c r="U86" s="3714"/>
      <c r="V86" s="3714"/>
      <c r="W86" s="3738"/>
      <c r="X86" s="3725"/>
      <c r="Y86" s="3727"/>
      <c r="Z86" s="3727"/>
      <c r="AA86" s="3725"/>
      <c r="AB86" s="3725"/>
      <c r="AC86" s="3725"/>
      <c r="AD86" s="3727"/>
      <c r="AE86" s="3725"/>
      <c r="AF86" s="3725"/>
      <c r="AG86" s="3716"/>
      <c r="AH86" s="3448"/>
      <c r="AI86" s="3428"/>
      <c r="AJ86" s="3430"/>
      <c r="AK86" s="2834"/>
      <c r="AL86" s="2835"/>
      <c r="AM86" s="1801"/>
    </row>
    <row r="87" spans="1:39" s="1303" customFormat="1" ht="23.25" customHeight="1">
      <c r="A87" s="1503">
        <f>+A85+1</f>
        <v>24</v>
      </c>
      <c r="B87" s="2584" t="s">
        <v>7508</v>
      </c>
      <c r="C87" s="3011">
        <v>107645030620</v>
      </c>
      <c r="D87" s="2530" t="s">
        <v>7504</v>
      </c>
      <c r="E87" s="2310" t="s">
        <v>7532</v>
      </c>
      <c r="F87" s="2712" t="s">
        <v>6500</v>
      </c>
      <c r="G87" s="1915" t="s">
        <v>1300</v>
      </c>
      <c r="H87" s="2828"/>
      <c r="I87" s="2828"/>
      <c r="J87" s="2828" t="s">
        <v>128</v>
      </c>
      <c r="K87" s="2807" t="s">
        <v>418</v>
      </c>
      <c r="L87" s="3005" t="s">
        <v>7492</v>
      </c>
      <c r="M87" s="2830"/>
      <c r="N87" s="3007" t="s">
        <v>7493</v>
      </c>
      <c r="O87" s="3008" t="s">
        <v>7494</v>
      </c>
      <c r="P87" s="3009"/>
      <c r="Q87" s="2997"/>
      <c r="R87" s="2997" t="s">
        <v>6818</v>
      </c>
      <c r="S87" s="3004" t="s">
        <v>5026</v>
      </c>
      <c r="T87" s="3004"/>
      <c r="U87" s="1933"/>
      <c r="V87" s="2999"/>
      <c r="W87" s="1828"/>
      <c r="X87" s="2982">
        <v>412128</v>
      </c>
      <c r="Y87" s="1664"/>
      <c r="Z87" s="1664"/>
      <c r="AA87" s="1664"/>
      <c r="AB87" s="1664"/>
      <c r="AC87" s="1664"/>
      <c r="AD87" s="1828"/>
      <c r="AE87" s="1664"/>
      <c r="AF87" s="1664"/>
      <c r="AG87" s="1339">
        <f t="shared" ref="AG87:AG93" si="32">+SUM(Y87:AF87)</f>
        <v>0</v>
      </c>
      <c r="AH87" s="2889"/>
      <c r="AI87" s="2201">
        <f>+(650000+1800000)*1.08</f>
        <v>2646000</v>
      </c>
      <c r="AJ87" s="1602">
        <f t="shared" si="27"/>
        <v>2646000</v>
      </c>
      <c r="AK87" s="2834"/>
      <c r="AL87" s="2835"/>
      <c r="AM87" s="1801"/>
    </row>
    <row r="88" spans="1:39" s="1303" customFormat="1" ht="23.25" customHeight="1">
      <c r="A88" s="1503">
        <f>+A87+1</f>
        <v>25</v>
      </c>
      <c r="B88" s="2584" t="s">
        <v>7508</v>
      </c>
      <c r="C88" s="2310">
        <v>307900212340</v>
      </c>
      <c r="D88" s="2584" t="s">
        <v>7508</v>
      </c>
      <c r="E88" s="2310" t="s">
        <v>7588</v>
      </c>
      <c r="F88" s="2108" t="s">
        <v>7183</v>
      </c>
      <c r="G88" s="1915" t="s">
        <v>210</v>
      </c>
      <c r="H88" s="2828"/>
      <c r="I88" s="2828">
        <v>1</v>
      </c>
      <c r="J88" s="2828"/>
      <c r="K88" s="2141" t="s">
        <v>210</v>
      </c>
      <c r="L88" s="3005" t="s">
        <v>7500</v>
      </c>
      <c r="M88" s="3005" t="s">
        <v>7573</v>
      </c>
      <c r="N88" s="3007" t="s">
        <v>7546</v>
      </c>
      <c r="O88" s="3008" t="s">
        <v>7537</v>
      </c>
      <c r="P88" s="3009" t="s">
        <v>7501</v>
      </c>
      <c r="Q88" s="2997"/>
      <c r="R88" s="2997" t="s">
        <v>7135</v>
      </c>
      <c r="S88" s="2050" t="s">
        <v>287</v>
      </c>
      <c r="T88" s="2050"/>
      <c r="U88" s="1933"/>
      <c r="V88" s="2999"/>
      <c r="W88" s="1828"/>
      <c r="X88" s="1664"/>
      <c r="Y88" s="2982">
        <v>1500000</v>
      </c>
      <c r="Z88" s="2982">
        <v>882000</v>
      </c>
      <c r="AA88" s="1664"/>
      <c r="AB88" s="1664"/>
      <c r="AC88" s="1664"/>
      <c r="AD88" s="2982">
        <v>500000</v>
      </c>
      <c r="AE88" s="1664"/>
      <c r="AF88" s="1664"/>
      <c r="AG88" s="1339">
        <f t="shared" si="32"/>
        <v>2882000</v>
      </c>
      <c r="AH88" s="2557" t="s">
        <v>7652</v>
      </c>
      <c r="AI88" s="2201">
        <f t="shared" si="28"/>
        <v>4860000</v>
      </c>
      <c r="AJ88" s="1602">
        <f t="shared" si="27"/>
        <v>7742000</v>
      </c>
      <c r="AK88" s="2834"/>
      <c r="AL88" s="2835"/>
      <c r="AM88" s="1801"/>
    </row>
    <row r="89" spans="1:39" s="5" customFormat="1" ht="27" customHeight="1">
      <c r="A89" s="3462">
        <f t="shared" ref="A89" si="33">+A88+1</f>
        <v>26</v>
      </c>
      <c r="B89" s="3741" t="s">
        <v>7550</v>
      </c>
      <c r="C89" s="3463">
        <v>307905702550</v>
      </c>
      <c r="D89" s="3739" t="s">
        <v>7508</v>
      </c>
      <c r="E89" s="3463" t="s">
        <v>7604</v>
      </c>
      <c r="F89" s="3743" t="s">
        <v>7495</v>
      </c>
      <c r="G89" s="3723" t="s">
        <v>210</v>
      </c>
      <c r="H89" s="3712"/>
      <c r="I89" s="3712">
        <v>4</v>
      </c>
      <c r="J89" s="3710"/>
      <c r="K89" s="3503" t="s">
        <v>210</v>
      </c>
      <c r="L89" s="3729" t="s">
        <v>7491</v>
      </c>
      <c r="M89" s="3734" t="s">
        <v>7664</v>
      </c>
      <c r="N89" s="3007" t="s">
        <v>7663</v>
      </c>
      <c r="O89" s="3691" t="s">
        <v>7590</v>
      </c>
      <c r="P89" s="3692" t="s">
        <v>7538</v>
      </c>
      <c r="Q89" s="2037"/>
      <c r="R89" s="2037" t="s">
        <v>7591</v>
      </c>
      <c r="S89" s="3478" t="s">
        <v>3101</v>
      </c>
      <c r="T89" s="2813"/>
      <c r="U89" s="2050"/>
      <c r="V89" s="2066"/>
      <c r="W89" s="2053"/>
      <c r="X89" s="2052"/>
      <c r="Y89" s="2982">
        <v>1500000</v>
      </c>
      <c r="Z89" s="2982">
        <v>1250000</v>
      </c>
      <c r="AA89" s="2052"/>
      <c r="AB89" s="2052"/>
      <c r="AC89" s="2052"/>
      <c r="AD89" s="2982">
        <v>1000000</v>
      </c>
      <c r="AE89" s="2052"/>
      <c r="AF89" s="2052"/>
      <c r="AG89" s="1339">
        <f t="shared" si="32"/>
        <v>3750000</v>
      </c>
      <c r="AH89" s="3693" t="s">
        <v>7652</v>
      </c>
      <c r="AI89" s="2201">
        <f>(U89*1.08)+(V89*1.08)+(W89*1.08)+((850000*(H89+I89))+(H89*3650000)+(I89*3650000))*1.08</f>
        <v>19440000</v>
      </c>
      <c r="AJ89" s="1602">
        <f t="shared" si="27"/>
        <v>23190000</v>
      </c>
      <c r="AK89" s="2097"/>
      <c r="AL89" s="2702"/>
      <c r="AM89" s="13"/>
    </row>
    <row r="90" spans="1:39" s="5" customFormat="1" ht="26.4">
      <c r="A90" s="3444"/>
      <c r="B90" s="3661"/>
      <c r="C90" s="3464"/>
      <c r="D90" s="3450"/>
      <c r="E90" s="3472"/>
      <c r="F90" s="3704"/>
      <c r="G90" s="3723"/>
      <c r="H90" s="3712"/>
      <c r="I90" s="3712"/>
      <c r="J90" s="3710"/>
      <c r="K90" s="3504"/>
      <c r="L90" s="3730"/>
      <c r="M90" s="3735"/>
      <c r="N90" s="3007" t="s">
        <v>7662</v>
      </c>
      <c r="O90" s="3691"/>
      <c r="P90" s="3692"/>
      <c r="Q90" s="2037"/>
      <c r="R90" s="2037" t="s">
        <v>7589</v>
      </c>
      <c r="S90" s="3706"/>
      <c r="T90" s="3194"/>
      <c r="U90" s="2050"/>
      <c r="V90" s="2066"/>
      <c r="W90" s="2053"/>
      <c r="X90" s="2052"/>
      <c r="Y90" s="2982">
        <v>1500000</v>
      </c>
      <c r="Z90" s="2982">
        <v>1250000</v>
      </c>
      <c r="AA90" s="2052"/>
      <c r="AB90" s="2052"/>
      <c r="AC90" s="2052"/>
      <c r="AD90" s="2072"/>
      <c r="AE90" s="2052"/>
      <c r="AF90" s="2052"/>
      <c r="AG90" s="1339">
        <f t="shared" si="32"/>
        <v>2750000</v>
      </c>
      <c r="AH90" s="3694"/>
      <c r="AI90" s="2201">
        <f t="shared" si="28"/>
        <v>0</v>
      </c>
      <c r="AJ90" s="1602">
        <f t="shared" si="27"/>
        <v>2750000</v>
      </c>
      <c r="AK90" s="2097"/>
      <c r="AL90" s="2702"/>
      <c r="AM90" s="13"/>
    </row>
    <row r="91" spans="1:39" s="5" customFormat="1" ht="25.5" customHeight="1">
      <c r="A91" s="3462">
        <v>27</v>
      </c>
      <c r="B91" s="3742" t="s">
        <v>7394</v>
      </c>
      <c r="C91" s="3463">
        <v>307905689360</v>
      </c>
      <c r="D91" s="3703" t="s">
        <v>7394</v>
      </c>
      <c r="E91" s="3472"/>
      <c r="F91" s="3704"/>
      <c r="G91" s="3723"/>
      <c r="H91" s="3712"/>
      <c r="I91" s="3712"/>
      <c r="J91" s="3710"/>
      <c r="K91" s="3503" t="s">
        <v>210</v>
      </c>
      <c r="L91" s="3730"/>
      <c r="M91" s="3735"/>
      <c r="N91" s="1522" t="s">
        <v>7660</v>
      </c>
      <c r="O91" s="3691"/>
      <c r="P91" s="3692"/>
      <c r="Q91" s="577"/>
      <c r="R91" s="577" t="s">
        <v>7609</v>
      </c>
      <c r="S91" s="3706"/>
      <c r="T91" s="3194"/>
      <c r="U91" s="2472"/>
      <c r="V91" s="1517"/>
      <c r="W91" s="2555"/>
      <c r="X91" s="2556"/>
      <c r="Y91" s="2982">
        <v>1500000</v>
      </c>
      <c r="Z91" s="2982">
        <v>1250000</v>
      </c>
      <c r="AA91" s="2556"/>
      <c r="AB91" s="2556"/>
      <c r="AC91" s="2556"/>
      <c r="AD91" s="2982">
        <v>1000000</v>
      </c>
      <c r="AE91" s="2556"/>
      <c r="AF91" s="2556"/>
      <c r="AG91" s="1339">
        <f t="shared" si="32"/>
        <v>3750000</v>
      </c>
      <c r="AH91" s="3694"/>
      <c r="AI91" s="2201">
        <f t="shared" si="28"/>
        <v>0</v>
      </c>
      <c r="AJ91" s="1602">
        <f t="shared" si="27"/>
        <v>3750000</v>
      </c>
      <c r="AK91" s="2560"/>
      <c r="AL91" s="2702"/>
      <c r="AM91" s="13"/>
    </row>
    <row r="92" spans="1:39" s="5" customFormat="1" ht="25.5" customHeight="1">
      <c r="A92" s="3444"/>
      <c r="B92" s="3661"/>
      <c r="C92" s="3464"/>
      <c r="D92" s="3366"/>
      <c r="E92" s="3472"/>
      <c r="F92" s="3704"/>
      <c r="G92" s="3723"/>
      <c r="H92" s="3712"/>
      <c r="I92" s="3712"/>
      <c r="J92" s="3710"/>
      <c r="K92" s="3504"/>
      <c r="L92" s="3730"/>
      <c r="M92" s="3736"/>
      <c r="N92" s="1522" t="s">
        <v>7661</v>
      </c>
      <c r="O92" s="3691"/>
      <c r="P92" s="3692"/>
      <c r="Q92" s="577"/>
      <c r="R92" s="577" t="s">
        <v>7608</v>
      </c>
      <c r="S92" s="3706"/>
      <c r="T92" s="3194"/>
      <c r="U92" s="2472"/>
      <c r="V92" s="1517"/>
      <c r="W92" s="2555"/>
      <c r="X92" s="2556"/>
      <c r="Y92" s="2982">
        <v>1500000</v>
      </c>
      <c r="Z92" s="2982">
        <v>1250000</v>
      </c>
      <c r="AA92" s="2556"/>
      <c r="AB92" s="2556"/>
      <c r="AC92" s="2556"/>
      <c r="AD92" s="3024"/>
      <c r="AE92" s="2556"/>
      <c r="AF92" s="2556"/>
      <c r="AG92" s="1339">
        <f t="shared" si="32"/>
        <v>2750000</v>
      </c>
      <c r="AH92" s="3695"/>
      <c r="AI92" s="2201">
        <f t="shared" si="28"/>
        <v>0</v>
      </c>
      <c r="AJ92" s="1602">
        <f t="shared" si="27"/>
        <v>2750000</v>
      </c>
      <c r="AK92" s="2560"/>
      <c r="AL92" s="2702"/>
      <c r="AM92" s="13"/>
    </row>
    <row r="93" spans="1:39" s="5" customFormat="1" ht="26.4">
      <c r="A93" s="1503">
        <v>28</v>
      </c>
      <c r="B93" s="1936" t="s">
        <v>7558</v>
      </c>
      <c r="C93" s="2310">
        <v>307913547560</v>
      </c>
      <c r="D93" s="3026" t="s">
        <v>7558</v>
      </c>
      <c r="E93" s="2310" t="s">
        <v>7612</v>
      </c>
      <c r="F93" s="2108" t="s">
        <v>7533</v>
      </c>
      <c r="G93" s="2239" t="s">
        <v>210</v>
      </c>
      <c r="H93" s="167"/>
      <c r="I93" s="167">
        <v>1</v>
      </c>
      <c r="J93" s="167"/>
      <c r="K93" s="2141" t="s">
        <v>210</v>
      </c>
      <c r="L93" s="3014">
        <v>235501768391</v>
      </c>
      <c r="M93" s="3027" t="s">
        <v>7611</v>
      </c>
      <c r="N93" s="1522" t="s">
        <v>7610</v>
      </c>
      <c r="O93" s="3025" t="s">
        <v>7606</v>
      </c>
      <c r="P93" s="2315" t="s">
        <v>7534</v>
      </c>
      <c r="Q93" s="577"/>
      <c r="R93" s="577" t="s">
        <v>6255</v>
      </c>
      <c r="S93" s="2472" t="s">
        <v>287</v>
      </c>
      <c r="T93" s="2472"/>
      <c r="U93" s="2472"/>
      <c r="V93" s="1517"/>
      <c r="W93" s="2555"/>
      <c r="X93" s="2556"/>
      <c r="Y93" s="2982">
        <v>1500000</v>
      </c>
      <c r="Z93" s="2982">
        <v>882000</v>
      </c>
      <c r="AA93" s="2556"/>
      <c r="AB93" s="2556"/>
      <c r="AC93" s="2556"/>
      <c r="AD93" s="2982">
        <v>500000</v>
      </c>
      <c r="AE93" s="2556"/>
      <c r="AF93" s="2556"/>
      <c r="AG93" s="1339">
        <f t="shared" si="32"/>
        <v>2882000</v>
      </c>
      <c r="AH93" s="2557" t="s">
        <v>7652</v>
      </c>
      <c r="AI93" s="2201">
        <f t="shared" si="28"/>
        <v>4860000</v>
      </c>
      <c r="AJ93" s="1602">
        <f t="shared" si="27"/>
        <v>7742000</v>
      </c>
      <c r="AK93" s="2560"/>
      <c r="AL93" s="2702"/>
      <c r="AM93" s="13"/>
    </row>
    <row r="94" spans="1:39" s="5" customFormat="1">
      <c r="A94" s="3307" t="s">
        <v>7545</v>
      </c>
      <c r="B94" s="3682"/>
      <c r="C94" s="3682"/>
      <c r="D94" s="3682"/>
      <c r="E94" s="3682"/>
      <c r="F94" s="3682"/>
      <c r="G94" s="3682"/>
      <c r="H94" s="3682"/>
      <c r="I94" s="3682"/>
      <c r="J94" s="3682"/>
      <c r="K94" s="3682"/>
      <c r="L94" s="3682"/>
      <c r="M94" s="3682"/>
      <c r="N94" s="3682"/>
      <c r="O94" s="2926"/>
      <c r="P94" s="2927"/>
      <c r="Q94" s="2944"/>
      <c r="R94" s="2944"/>
      <c r="S94" s="1951"/>
      <c r="T94" s="1951"/>
      <c r="U94" s="2945"/>
      <c r="V94" s="1951"/>
      <c r="W94" s="2946"/>
      <c r="X94" s="2947"/>
      <c r="Y94" s="2947"/>
      <c r="Z94" s="2947"/>
      <c r="AA94" s="2947"/>
      <c r="AB94" s="2947"/>
      <c r="AC94" s="2947"/>
      <c r="AD94" s="2946"/>
      <c r="AE94" s="2947"/>
      <c r="AF94" s="2947"/>
      <c r="AG94" s="2947"/>
      <c r="AH94" s="2921"/>
      <c r="AI94" s="2948">
        <f>SUM(AI63:AI93)</f>
        <v>138618000</v>
      </c>
      <c r="AJ94" s="2949">
        <v>11124000</v>
      </c>
      <c r="AK94" s="2950"/>
      <c r="AL94" s="2951">
        <v>450000</v>
      </c>
      <c r="AM94" s="13"/>
    </row>
    <row r="95" spans="1:39" s="1303" customFormat="1" ht="23.25" customHeight="1">
      <c r="A95" s="1503">
        <v>1</v>
      </c>
      <c r="B95" s="2584" t="s">
        <v>7641</v>
      </c>
      <c r="C95" s="2310">
        <v>307900212340</v>
      </c>
      <c r="D95" s="2584" t="s">
        <v>7508</v>
      </c>
      <c r="E95" s="2310" t="s">
        <v>7850</v>
      </c>
      <c r="F95" s="2108" t="s">
        <v>7183</v>
      </c>
      <c r="G95" s="1915" t="s">
        <v>210</v>
      </c>
      <c r="H95" s="2828"/>
      <c r="I95" s="2828">
        <v>1</v>
      </c>
      <c r="J95" s="2828"/>
      <c r="K95" s="2141" t="s">
        <v>210</v>
      </c>
      <c r="L95" s="3005" t="s">
        <v>7500</v>
      </c>
      <c r="M95" s="3005" t="s">
        <v>7573</v>
      </c>
      <c r="N95" s="3007"/>
      <c r="O95" s="3008" t="s">
        <v>7537</v>
      </c>
      <c r="P95" s="3009" t="s">
        <v>7501</v>
      </c>
      <c r="Q95" s="2997"/>
      <c r="R95" s="2997"/>
      <c r="S95" s="2050" t="s">
        <v>287</v>
      </c>
      <c r="T95" s="2050"/>
      <c r="U95" s="1933"/>
      <c r="V95" s="2999"/>
      <c r="W95" s="1828"/>
      <c r="X95" s="1664"/>
      <c r="Y95" s="1664"/>
      <c r="Z95" s="1338"/>
      <c r="AA95" s="2982">
        <v>1145314</v>
      </c>
      <c r="AB95" s="1664"/>
      <c r="AC95" s="1664"/>
      <c r="AD95" s="1828"/>
      <c r="AE95" s="1664"/>
      <c r="AF95" s="1664"/>
      <c r="AG95" s="1339">
        <f>+SUM(X95:AF95)</f>
        <v>1145314</v>
      </c>
      <c r="AH95" s="3038" t="s">
        <v>7188</v>
      </c>
      <c r="AI95" s="2201">
        <v>9862240.8000000007</v>
      </c>
      <c r="AJ95" s="1602">
        <f t="shared" ref="AJ95:AJ100" si="34">+AG95+AI95</f>
        <v>11007554.800000001</v>
      </c>
      <c r="AK95" s="2834"/>
      <c r="AL95" s="2835"/>
      <c r="AM95" s="1801"/>
    </row>
    <row r="96" spans="1:39" s="1303" customFormat="1" ht="23.25" customHeight="1">
      <c r="A96" s="1503">
        <v>2</v>
      </c>
      <c r="B96" s="2584" t="s">
        <v>7641</v>
      </c>
      <c r="C96" s="2310">
        <v>307884860640</v>
      </c>
      <c r="D96" s="2584" t="s">
        <v>7456</v>
      </c>
      <c r="E96" s="2310" t="s">
        <v>7851</v>
      </c>
      <c r="F96" s="2108" t="s">
        <v>7183</v>
      </c>
      <c r="G96" s="1915" t="s">
        <v>210</v>
      </c>
      <c r="H96" s="2828"/>
      <c r="I96" s="2828">
        <v>2</v>
      </c>
      <c r="J96" s="2828"/>
      <c r="K96" s="2141" t="s">
        <v>210</v>
      </c>
      <c r="L96" s="3005" t="s">
        <v>7452</v>
      </c>
      <c r="M96" s="3005" t="s">
        <v>7599</v>
      </c>
      <c r="N96" s="3007"/>
      <c r="O96" s="3008" t="s">
        <v>7465</v>
      </c>
      <c r="P96" s="3009" t="s">
        <v>7453</v>
      </c>
      <c r="Q96" s="2997"/>
      <c r="R96" s="2997"/>
      <c r="S96" s="2050" t="s">
        <v>287</v>
      </c>
      <c r="T96" s="2050"/>
      <c r="U96" s="1933"/>
      <c r="V96" s="2999"/>
      <c r="W96" s="1828"/>
      <c r="X96" s="1664"/>
      <c r="Y96" s="1664"/>
      <c r="Z96" s="1338"/>
      <c r="AA96" s="2982">
        <v>1734549</v>
      </c>
      <c r="AB96" s="1664"/>
      <c r="AC96" s="1664"/>
      <c r="AD96" s="1828"/>
      <c r="AE96" s="1664"/>
      <c r="AF96" s="1664"/>
      <c r="AG96" s="1339">
        <v>1145314</v>
      </c>
      <c r="AH96" s="3038" t="s">
        <v>7188</v>
      </c>
      <c r="AI96" s="2201">
        <v>17014610.400000002</v>
      </c>
      <c r="AJ96" s="1602">
        <f>+AG96+AI96</f>
        <v>18159924.400000002</v>
      </c>
      <c r="AK96" s="2834"/>
      <c r="AL96" s="2835"/>
      <c r="AM96" s="1801"/>
    </row>
    <row r="97" spans="1:39" s="5" customFormat="1" ht="26.4">
      <c r="A97" s="1503">
        <v>3</v>
      </c>
      <c r="B97" s="2661" t="s">
        <v>7641</v>
      </c>
      <c r="C97" s="2310">
        <v>307913547560</v>
      </c>
      <c r="D97" s="3026" t="s">
        <v>7558</v>
      </c>
      <c r="E97" s="2310" t="s">
        <v>7852</v>
      </c>
      <c r="F97" s="2108" t="s">
        <v>7533</v>
      </c>
      <c r="G97" s="2239" t="s">
        <v>210</v>
      </c>
      <c r="H97" s="3040"/>
      <c r="I97" s="1249">
        <v>1</v>
      </c>
      <c r="J97" s="1249"/>
      <c r="K97" s="2141" t="s">
        <v>210</v>
      </c>
      <c r="L97" s="3014">
        <v>235501768391</v>
      </c>
      <c r="M97" s="3089" t="s">
        <v>7611</v>
      </c>
      <c r="N97" s="1522"/>
      <c r="O97" s="3025" t="s">
        <v>7606</v>
      </c>
      <c r="P97" s="2315" t="s">
        <v>7534</v>
      </c>
      <c r="Q97" s="577"/>
      <c r="R97" s="577"/>
      <c r="S97" s="2472" t="s">
        <v>287</v>
      </c>
      <c r="T97" s="2472"/>
      <c r="U97" s="2472"/>
      <c r="V97" s="1517"/>
      <c r="W97" s="2555"/>
      <c r="X97" s="2556"/>
      <c r="Y97" s="2556"/>
      <c r="Z97" s="2556"/>
      <c r="AA97" s="2982">
        <v>1063125</v>
      </c>
      <c r="AB97" s="2556"/>
      <c r="AC97" s="2556"/>
      <c r="AD97" s="2555"/>
      <c r="AE97" s="2556"/>
      <c r="AF97" s="2556"/>
      <c r="AG97" s="1339">
        <f>+SUM(X97:AF97)</f>
        <v>1063125</v>
      </c>
      <c r="AH97" s="3038" t="s">
        <v>7188</v>
      </c>
      <c r="AI97" s="2201">
        <v>9862240.8000000007</v>
      </c>
      <c r="AJ97" s="1602">
        <f t="shared" si="34"/>
        <v>10925365.800000001</v>
      </c>
      <c r="AK97" s="2560"/>
      <c r="AL97" s="2702"/>
      <c r="AM97" s="13"/>
    </row>
    <row r="98" spans="1:39" s="5" customFormat="1" ht="15.6">
      <c r="A98" s="1503">
        <v>4</v>
      </c>
      <c r="B98" s="2661" t="s">
        <v>7641</v>
      </c>
      <c r="C98" s="1915">
        <v>107625952340</v>
      </c>
      <c r="D98" s="1520" t="s">
        <v>7387</v>
      </c>
      <c r="E98" s="2029" t="s">
        <v>7843</v>
      </c>
      <c r="F98" s="2712" t="s">
        <v>6500</v>
      </c>
      <c r="G98" s="1915" t="s">
        <v>1300</v>
      </c>
      <c r="H98" s="2048"/>
      <c r="I98" s="2048">
        <v>1</v>
      </c>
      <c r="J98" s="2048"/>
      <c r="K98" s="2807" t="s">
        <v>418</v>
      </c>
      <c r="L98" s="2970" t="s">
        <v>7402</v>
      </c>
      <c r="M98" s="2037"/>
      <c r="N98" s="2047"/>
      <c r="O98" s="2995" t="s">
        <v>7414</v>
      </c>
      <c r="P98" s="2060" t="s">
        <v>7445</v>
      </c>
      <c r="Q98" s="2037" t="s">
        <v>7464</v>
      </c>
      <c r="R98" s="2037"/>
      <c r="S98" s="2050" t="s">
        <v>287</v>
      </c>
      <c r="T98" s="2050"/>
      <c r="U98" s="2050"/>
      <c r="V98" s="2066"/>
      <c r="W98" s="2053"/>
      <c r="X98" s="2052"/>
      <c r="Y98" s="2955"/>
      <c r="Z98" s="2955"/>
      <c r="AA98" s="2052"/>
      <c r="AB98" s="2052"/>
      <c r="AC98" s="2052"/>
      <c r="AD98" s="2053"/>
      <c r="AE98" s="2052"/>
      <c r="AF98" s="3072">
        <v>312556</v>
      </c>
      <c r="AG98" s="1339">
        <f>+SUM(X98:AF98)</f>
        <v>312556</v>
      </c>
      <c r="AH98" s="2099"/>
      <c r="AI98" s="2201"/>
      <c r="AJ98" s="1602">
        <f t="shared" si="34"/>
        <v>312556</v>
      </c>
      <c r="AK98" s="2097"/>
      <c r="AL98" s="2702"/>
      <c r="AM98" s="13"/>
    </row>
    <row r="99" spans="1:39" s="5" customFormat="1" ht="45" customHeight="1">
      <c r="A99" s="3078">
        <v>5</v>
      </c>
      <c r="B99" s="3216"/>
      <c r="C99" s="3167" t="s">
        <v>7642</v>
      </c>
      <c r="D99" s="3166"/>
      <c r="E99" s="3141" t="s">
        <v>7756</v>
      </c>
      <c r="F99" s="3038" t="s">
        <v>7643</v>
      </c>
      <c r="G99" s="3079"/>
      <c r="H99" s="445"/>
      <c r="I99" s="445"/>
      <c r="J99" s="445"/>
      <c r="K99" s="3030"/>
      <c r="L99" s="3080"/>
      <c r="M99" s="3090"/>
      <c r="N99" s="1522"/>
      <c r="O99" s="3025"/>
      <c r="P99" s="2954"/>
      <c r="Q99" s="577"/>
      <c r="R99" s="577"/>
      <c r="S99" s="3037"/>
      <c r="T99" s="3037"/>
      <c r="U99" s="2472"/>
      <c r="V99" s="1517"/>
      <c r="W99" s="2555"/>
      <c r="X99" s="2556"/>
      <c r="Y99" s="2556"/>
      <c r="Z99" s="2556"/>
      <c r="AA99" s="2556"/>
      <c r="AB99" s="2556"/>
      <c r="AC99" s="2556"/>
      <c r="AD99" s="2555"/>
      <c r="AE99" s="2556"/>
      <c r="AF99" s="2556"/>
      <c r="AG99" s="1339"/>
      <c r="AH99" s="3038"/>
      <c r="AI99" s="2824" t="s">
        <v>7645</v>
      </c>
      <c r="AJ99" s="1602"/>
      <c r="AK99" s="2560"/>
      <c r="AL99" s="2702"/>
      <c r="AM99" s="13"/>
    </row>
    <row r="100" spans="1:39" s="5" customFormat="1" ht="15.6">
      <c r="A100" s="3081">
        <v>6</v>
      </c>
      <c r="B100" s="2661" t="s">
        <v>7641</v>
      </c>
      <c r="C100" s="3077">
        <v>307506178950</v>
      </c>
      <c r="D100" s="3075" t="s">
        <v>7872</v>
      </c>
      <c r="E100" s="3077" t="s">
        <v>7875</v>
      </c>
      <c r="F100" s="2712"/>
      <c r="G100" s="3082"/>
      <c r="H100" s="3083"/>
      <c r="I100" s="3083"/>
      <c r="J100" s="3083"/>
      <c r="K100" s="2807"/>
      <c r="L100" s="3084" t="s">
        <v>7873</v>
      </c>
      <c r="M100" s="2920"/>
      <c r="N100" s="3085"/>
      <c r="O100" s="3086"/>
      <c r="P100" s="2060"/>
      <c r="Q100" s="2035"/>
      <c r="R100" s="2037"/>
      <c r="S100" s="3076"/>
      <c r="T100" s="3076"/>
      <c r="U100" s="2050"/>
      <c r="V100" s="2831">
        <v>650000</v>
      </c>
      <c r="W100" s="2053"/>
      <c r="X100" s="2052"/>
      <c r="Y100" s="2955"/>
      <c r="Z100" s="2955"/>
      <c r="AA100" s="2052"/>
      <c r="AB100" s="2052"/>
      <c r="AC100" s="2052"/>
      <c r="AD100" s="2053"/>
      <c r="AE100" s="2052"/>
      <c r="AF100" s="2955"/>
      <c r="AG100" s="1339"/>
      <c r="AH100" s="2844" t="s">
        <v>7874</v>
      </c>
      <c r="AI100" s="2201">
        <f>650000*1.08</f>
        <v>702000</v>
      </c>
      <c r="AJ100" s="1602">
        <f t="shared" si="34"/>
        <v>702000</v>
      </c>
      <c r="AK100" s="2097"/>
      <c r="AL100" s="2702"/>
      <c r="AM100" s="13"/>
    </row>
    <row r="101" spans="1:39" s="5" customFormat="1" ht="24" customHeight="1">
      <c r="A101" s="3688">
        <v>7</v>
      </c>
      <c r="B101" s="3499" t="s">
        <v>7449</v>
      </c>
      <c r="C101" s="3463">
        <v>307905694260</v>
      </c>
      <c r="D101" s="3703" t="s">
        <v>7655</v>
      </c>
      <c r="E101" s="3463" t="s">
        <v>7691</v>
      </c>
      <c r="F101" s="3704" t="s">
        <v>7495</v>
      </c>
      <c r="G101" s="3625" t="s">
        <v>210</v>
      </c>
      <c r="H101" s="3696"/>
      <c r="I101" s="3696">
        <v>2</v>
      </c>
      <c r="J101" s="3698"/>
      <c r="K101" s="3503" t="s">
        <v>210</v>
      </c>
      <c r="L101" s="3690" t="s">
        <v>7491</v>
      </c>
      <c r="M101" s="3700" t="s">
        <v>7664</v>
      </c>
      <c r="N101" s="1522" t="s">
        <v>7646</v>
      </c>
      <c r="O101" s="3691" t="s">
        <v>7590</v>
      </c>
      <c r="P101" s="3692" t="s">
        <v>7538</v>
      </c>
      <c r="Q101" s="577"/>
      <c r="R101" s="577" t="s">
        <v>5942</v>
      </c>
      <c r="S101" s="3686" t="s">
        <v>3101</v>
      </c>
      <c r="T101" s="2499"/>
      <c r="U101" s="2472"/>
      <c r="V101" s="1517"/>
      <c r="W101" s="2555"/>
      <c r="X101" s="2556"/>
      <c r="Y101" s="2982">
        <v>1280000</v>
      </c>
      <c r="Z101" s="2982">
        <v>1250000</v>
      </c>
      <c r="AA101" s="2556"/>
      <c r="AB101" s="2556"/>
      <c r="AC101" s="3001"/>
      <c r="AD101" s="2686">
        <v>500000</v>
      </c>
      <c r="AE101" s="2556"/>
      <c r="AF101" s="2556"/>
      <c r="AG101" s="1339">
        <f>+SUM(X101:AF101)</f>
        <v>3030000</v>
      </c>
      <c r="AH101" s="3531" t="s">
        <v>7644</v>
      </c>
      <c r="AI101" s="2201">
        <f t="shared" ref="AI101:AI102" si="35">(U101*1.08)+(V101*1.08)+(W101*1.08)+((850000*(H101+I101))+(H101*3650000)+(I101*3650000))*1.08</f>
        <v>9720000</v>
      </c>
      <c r="AJ101" s="1602">
        <f t="shared" ref="AJ101:AJ102" si="36">+AG101+AI101</f>
        <v>12750000</v>
      </c>
      <c r="AK101" s="2560"/>
      <c r="AL101" s="2702"/>
      <c r="AM101" s="13"/>
    </row>
    <row r="102" spans="1:39" s="1303" customFormat="1" ht="25.5" customHeight="1">
      <c r="A102" s="3689"/>
      <c r="B102" s="3702"/>
      <c r="C102" s="3464"/>
      <c r="D102" s="3366"/>
      <c r="E102" s="3464"/>
      <c r="F102" s="3705"/>
      <c r="G102" s="3592"/>
      <c r="H102" s="3697"/>
      <c r="I102" s="3697"/>
      <c r="J102" s="3699"/>
      <c r="K102" s="3504"/>
      <c r="L102" s="3690"/>
      <c r="M102" s="3701"/>
      <c r="N102" s="3042" t="s">
        <v>7656</v>
      </c>
      <c r="O102" s="3691"/>
      <c r="P102" s="3692"/>
      <c r="Q102" s="1379"/>
      <c r="R102" s="1379" t="s">
        <v>5972</v>
      </c>
      <c r="S102" s="3687"/>
      <c r="T102" s="1305"/>
      <c r="U102" s="2589"/>
      <c r="V102" s="2533"/>
      <c r="W102" s="2240"/>
      <c r="X102" s="1461"/>
      <c r="Y102" s="2982">
        <v>1500000</v>
      </c>
      <c r="Z102" s="2982">
        <v>1250000</v>
      </c>
      <c r="AA102" s="1461"/>
      <c r="AB102" s="1461"/>
      <c r="AC102" s="1461"/>
      <c r="AD102" s="3067">
        <v>500000</v>
      </c>
      <c r="AE102" s="1461"/>
      <c r="AF102" s="1461"/>
      <c r="AG102" s="1339">
        <f t="shared" ref="AG102:AG117" si="37">+SUM(X102:AF102)</f>
        <v>3250000</v>
      </c>
      <c r="AH102" s="3707"/>
      <c r="AI102" s="3043">
        <f t="shared" si="35"/>
        <v>0</v>
      </c>
      <c r="AJ102" s="1602">
        <f t="shared" si="36"/>
        <v>3250000</v>
      </c>
      <c r="AK102" s="2578"/>
      <c r="AL102" s="2835"/>
      <c r="AM102" s="1801"/>
    </row>
    <row r="103" spans="1:39" s="5" customFormat="1" ht="33" customHeight="1">
      <c r="A103" s="1503">
        <f>+A101+1</f>
        <v>8</v>
      </c>
      <c r="B103" s="2042" t="s">
        <v>7464</v>
      </c>
      <c r="C103" s="2029">
        <v>307919891550</v>
      </c>
      <c r="D103" s="1520" t="s">
        <v>7449</v>
      </c>
      <c r="E103" s="2029" t="s">
        <v>7692</v>
      </c>
      <c r="F103" s="3033" t="s">
        <v>7637</v>
      </c>
      <c r="G103" s="2239" t="s">
        <v>210</v>
      </c>
      <c r="H103" s="167"/>
      <c r="I103" s="167"/>
      <c r="J103" s="167">
        <v>1</v>
      </c>
      <c r="K103" s="2069" t="s">
        <v>210</v>
      </c>
      <c r="L103" s="3032" t="s">
        <v>7624</v>
      </c>
      <c r="M103" s="3091" t="s">
        <v>7699</v>
      </c>
      <c r="N103" s="692" t="s">
        <v>7630</v>
      </c>
      <c r="O103" s="3025" t="s">
        <v>7640</v>
      </c>
      <c r="P103" s="1516" t="s">
        <v>7625</v>
      </c>
      <c r="Q103" s="577"/>
      <c r="R103" s="577" t="s">
        <v>7150</v>
      </c>
      <c r="S103" s="2472" t="s">
        <v>7628</v>
      </c>
      <c r="T103" s="2472"/>
      <c r="U103" s="2472"/>
      <c r="V103" s="1517"/>
      <c r="W103" s="2555"/>
      <c r="X103" s="2556"/>
      <c r="Y103" s="2556"/>
      <c r="Z103" s="2556"/>
      <c r="AA103" s="2982">
        <v>431574</v>
      </c>
      <c r="AB103" s="2556"/>
      <c r="AC103" s="2556"/>
      <c r="AD103" s="2686">
        <v>5004</v>
      </c>
      <c r="AE103" s="2556"/>
      <c r="AF103" s="2556"/>
      <c r="AG103" s="1339">
        <f t="shared" si="37"/>
        <v>436578</v>
      </c>
      <c r="AH103" s="3168" t="s">
        <v>7652</v>
      </c>
      <c r="AI103" s="2201">
        <f>+((650000+(J103*1500000))*1.08)</f>
        <v>2322000</v>
      </c>
      <c r="AJ103" s="1602">
        <f>+AG103+AI103</f>
        <v>2758578</v>
      </c>
      <c r="AK103" s="2560"/>
      <c r="AL103" s="2702"/>
      <c r="AM103" s="13"/>
    </row>
    <row r="104" spans="1:39" s="5" customFormat="1" ht="26.4">
      <c r="A104" s="1503">
        <f t="shared" ref="A104:A152" si="38">+A103+1</f>
        <v>9</v>
      </c>
      <c r="B104" s="2042" t="s">
        <v>7464</v>
      </c>
      <c r="C104" s="2029">
        <v>307919911040</v>
      </c>
      <c r="D104" s="1520" t="s">
        <v>7449</v>
      </c>
      <c r="E104" s="2029" t="s">
        <v>7693</v>
      </c>
      <c r="F104" s="3033" t="s">
        <v>7638</v>
      </c>
      <c r="G104" s="2239" t="s">
        <v>210</v>
      </c>
      <c r="H104" s="167"/>
      <c r="I104" s="167"/>
      <c r="J104" s="167">
        <v>1</v>
      </c>
      <c r="K104" s="2069" t="s">
        <v>210</v>
      </c>
      <c r="L104" s="3032" t="s">
        <v>7626</v>
      </c>
      <c r="M104" s="3091" t="s">
        <v>7697</v>
      </c>
      <c r="N104" s="692" t="s">
        <v>7629</v>
      </c>
      <c r="O104" s="3025" t="s">
        <v>7639</v>
      </c>
      <c r="P104" s="1516" t="s">
        <v>7627</v>
      </c>
      <c r="Q104" s="577"/>
      <c r="R104" s="577" t="s">
        <v>7150</v>
      </c>
      <c r="S104" s="2472" t="s">
        <v>7628</v>
      </c>
      <c r="T104" s="2472"/>
      <c r="U104" s="2472"/>
      <c r="V104" s="1517"/>
      <c r="W104" s="2555"/>
      <c r="X104" s="2556"/>
      <c r="Y104" s="2556"/>
      <c r="Z104" s="2556"/>
      <c r="AA104" s="2982">
        <v>430997</v>
      </c>
      <c r="AB104" s="2556"/>
      <c r="AC104" s="2556"/>
      <c r="AD104" s="2686">
        <v>8960</v>
      </c>
      <c r="AE104" s="2556"/>
      <c r="AF104" s="2556"/>
      <c r="AG104" s="1339">
        <f t="shared" si="37"/>
        <v>439957</v>
      </c>
      <c r="AH104" s="3168" t="s">
        <v>7652</v>
      </c>
      <c r="AI104" s="2201">
        <f>+((650000+(J104*1500000))*1.08)</f>
        <v>2322000</v>
      </c>
      <c r="AJ104" s="1602">
        <f t="shared" ref="AJ104" si="39">+AG104+AI104</f>
        <v>2761957</v>
      </c>
      <c r="AK104" s="2560"/>
      <c r="AL104" s="2702"/>
      <c r="AM104" s="13"/>
    </row>
    <row r="105" spans="1:39" s="5" customFormat="1" ht="26.4">
      <c r="A105" s="1503">
        <f t="shared" si="38"/>
        <v>10</v>
      </c>
      <c r="B105" s="2042" t="s">
        <v>7464</v>
      </c>
      <c r="C105" s="2029">
        <v>307924545850</v>
      </c>
      <c r="D105" s="1520" t="s">
        <v>7464</v>
      </c>
      <c r="E105" s="2029" t="s">
        <v>7694</v>
      </c>
      <c r="F105" s="2108" t="s">
        <v>7533</v>
      </c>
      <c r="G105" s="2239" t="s">
        <v>210</v>
      </c>
      <c r="H105" s="167"/>
      <c r="I105" s="167">
        <v>1</v>
      </c>
      <c r="J105" s="167"/>
      <c r="K105" s="2069" t="s">
        <v>210</v>
      </c>
      <c r="L105" s="3032" t="s">
        <v>7654</v>
      </c>
      <c r="M105" s="3087" t="s">
        <v>7698</v>
      </c>
      <c r="N105" s="3041" t="s">
        <v>7659</v>
      </c>
      <c r="O105" s="3025" t="s">
        <v>7657</v>
      </c>
      <c r="P105" s="1516" t="s">
        <v>7653</v>
      </c>
      <c r="Q105" s="577"/>
      <c r="R105" s="577" t="s">
        <v>5942</v>
      </c>
      <c r="S105" s="2472" t="s">
        <v>287</v>
      </c>
      <c r="T105" s="2472"/>
      <c r="U105" s="2472"/>
      <c r="V105" s="1517"/>
      <c r="W105" s="2555"/>
      <c r="X105" s="2556"/>
      <c r="Y105" s="2982">
        <v>1500000</v>
      </c>
      <c r="Z105" s="2982">
        <v>882000</v>
      </c>
      <c r="AA105" s="2982">
        <v>724335</v>
      </c>
      <c r="AB105" s="2556"/>
      <c r="AC105" s="2556"/>
      <c r="AD105" s="2686">
        <v>500000</v>
      </c>
      <c r="AE105" s="2556"/>
      <c r="AF105" s="2556"/>
      <c r="AG105" s="1339">
        <f t="shared" si="37"/>
        <v>3606335</v>
      </c>
      <c r="AH105" s="2557"/>
      <c r="AI105" s="2201">
        <f t="shared" ref="AI105" si="40">(U105*1.08)+(V105*1.08)+(W105*1.08)+((850000*(H105+I105))+(H105*3650000)+(I105*3650000))*1.08</f>
        <v>4860000</v>
      </c>
      <c r="AJ105" s="1602">
        <f t="shared" ref="AJ105" si="41">+AG105+AI105</f>
        <v>8466335</v>
      </c>
      <c r="AK105" s="2560"/>
      <c r="AL105" s="2702"/>
      <c r="AM105" s="13"/>
    </row>
    <row r="106" spans="1:39" s="5" customFormat="1" ht="27.75" customHeight="1">
      <c r="A106" s="1503">
        <f t="shared" si="38"/>
        <v>11</v>
      </c>
      <c r="B106" s="2264" t="s">
        <v>7700</v>
      </c>
      <c r="C106" s="1915">
        <v>107678017860</v>
      </c>
      <c r="D106" s="1520" t="s">
        <v>7636</v>
      </c>
      <c r="E106" s="2029" t="s">
        <v>7704</v>
      </c>
      <c r="F106" s="2712" t="s">
        <v>6500</v>
      </c>
      <c r="G106" s="2239" t="s">
        <v>1300</v>
      </c>
      <c r="H106" s="167"/>
      <c r="I106" s="167">
        <v>1</v>
      </c>
      <c r="J106" s="167"/>
      <c r="K106" s="2807" t="s">
        <v>418</v>
      </c>
      <c r="L106" s="3032" t="s">
        <v>7635</v>
      </c>
      <c r="M106" s="3088"/>
      <c r="N106" s="692" t="s">
        <v>7682</v>
      </c>
      <c r="O106" s="3025" t="s">
        <v>7634</v>
      </c>
      <c r="P106" s="1516" t="s">
        <v>7636</v>
      </c>
      <c r="Q106" s="577" t="s">
        <v>7696</v>
      </c>
      <c r="R106" s="577" t="s">
        <v>7721</v>
      </c>
      <c r="S106" s="2472" t="s">
        <v>287</v>
      </c>
      <c r="T106" s="2472"/>
      <c r="U106" s="2472"/>
      <c r="V106" s="1517"/>
      <c r="W106" s="2555"/>
      <c r="X106" s="2556"/>
      <c r="Y106" s="2982">
        <v>882000</v>
      </c>
      <c r="Z106" s="2982">
        <v>1500000</v>
      </c>
      <c r="AA106" s="2556"/>
      <c r="AB106" s="2556"/>
      <c r="AC106" s="2556"/>
      <c r="AD106" s="2686">
        <v>500000</v>
      </c>
      <c r="AE106" s="2556"/>
      <c r="AF106" s="2556"/>
      <c r="AG106" s="1339">
        <f t="shared" si="37"/>
        <v>2882000</v>
      </c>
      <c r="AH106" s="2557"/>
      <c r="AI106" s="2201">
        <f t="shared" ref="AI106" si="42">(U106*1.08)+(V106*1.08)+(W106*1.08)+((850000*(H106+I106))+(H106*3650000)+(I106*3650000))*1.08</f>
        <v>4860000</v>
      </c>
      <c r="AJ106" s="1602">
        <f t="shared" ref="AJ106" si="43">+AG106+AI106</f>
        <v>7742000</v>
      </c>
      <c r="AK106" s="2560"/>
      <c r="AL106" s="2702"/>
      <c r="AM106" s="13"/>
    </row>
    <row r="107" spans="1:39" s="5" customFormat="1" ht="15.6">
      <c r="A107" s="1503">
        <f t="shared" si="38"/>
        <v>12</v>
      </c>
      <c r="B107" s="2264" t="s">
        <v>7700</v>
      </c>
      <c r="C107" s="1915">
        <v>107677604750</v>
      </c>
      <c r="D107" s="1520" t="s">
        <v>7636</v>
      </c>
      <c r="E107" s="2029" t="s">
        <v>7705</v>
      </c>
      <c r="F107" s="2712" t="s">
        <v>6500</v>
      </c>
      <c r="G107" s="2239" t="s">
        <v>1300</v>
      </c>
      <c r="H107" s="167"/>
      <c r="I107" s="167"/>
      <c r="J107" s="167" t="s">
        <v>128</v>
      </c>
      <c r="K107" s="2807" t="s">
        <v>418</v>
      </c>
      <c r="L107" s="3032" t="s">
        <v>7665</v>
      </c>
      <c r="M107" s="1492"/>
      <c r="N107" s="692" t="s">
        <v>7695</v>
      </c>
      <c r="O107" s="3025" t="s">
        <v>7666</v>
      </c>
      <c r="P107" s="1516" t="s">
        <v>7464</v>
      </c>
      <c r="Q107" s="577"/>
      <c r="R107" s="577" t="s">
        <v>5948</v>
      </c>
      <c r="S107" s="2472" t="s">
        <v>3144</v>
      </c>
      <c r="T107" s="2472"/>
      <c r="U107" s="2472"/>
      <c r="V107" s="1517"/>
      <c r="W107" s="2555"/>
      <c r="X107" s="2982">
        <f>3413901+216000</f>
        <v>3629901</v>
      </c>
      <c r="Y107" s="2556"/>
      <c r="Z107" s="2556"/>
      <c r="AA107" s="2556"/>
      <c r="AB107" s="2556"/>
      <c r="AC107" s="2556"/>
      <c r="AD107" s="2555"/>
      <c r="AE107" s="2556"/>
      <c r="AF107" s="2556"/>
      <c r="AG107" s="1339">
        <f t="shared" si="37"/>
        <v>3629901</v>
      </c>
      <c r="AH107" s="2557"/>
      <c r="AI107" s="2201">
        <f>+(650000+(1800000+(1800*579)))*1.08</f>
        <v>3771576.0000000005</v>
      </c>
      <c r="AJ107" s="1602">
        <f t="shared" ref="AJ107:AJ110" si="44">+AG107+AI107</f>
        <v>7401477</v>
      </c>
      <c r="AK107" s="2560"/>
      <c r="AL107" s="2702"/>
      <c r="AM107" s="13"/>
    </row>
    <row r="108" spans="1:39" s="5" customFormat="1" ht="15.6">
      <c r="A108" s="1503">
        <f t="shared" si="38"/>
        <v>13</v>
      </c>
      <c r="B108" s="2264" t="s">
        <v>7758</v>
      </c>
      <c r="C108" s="1915">
        <v>107685389710</v>
      </c>
      <c r="D108" s="1520" t="s">
        <v>7700</v>
      </c>
      <c r="E108" s="2029" t="s">
        <v>7746</v>
      </c>
      <c r="F108" s="2712" t="s">
        <v>7714</v>
      </c>
      <c r="G108" s="2239" t="s">
        <v>1300</v>
      </c>
      <c r="H108" s="167"/>
      <c r="I108" s="167">
        <v>1</v>
      </c>
      <c r="J108" s="167"/>
      <c r="K108" s="2807" t="s">
        <v>418</v>
      </c>
      <c r="L108" s="3032" t="s">
        <v>7683</v>
      </c>
      <c r="M108" s="1492"/>
      <c r="N108" s="1913" t="s">
        <v>7717</v>
      </c>
      <c r="O108" s="3049" t="s">
        <v>7681</v>
      </c>
      <c r="P108" s="1516" t="s">
        <v>7680</v>
      </c>
      <c r="Q108" s="577" t="s">
        <v>7750</v>
      </c>
      <c r="R108" s="577" t="s">
        <v>7779</v>
      </c>
      <c r="S108" s="2472" t="s">
        <v>287</v>
      </c>
      <c r="T108" s="2472"/>
      <c r="U108" s="2472"/>
      <c r="V108" s="1517"/>
      <c r="W108" s="2555"/>
      <c r="X108" s="2556"/>
      <c r="Y108" s="2982">
        <v>882000</v>
      </c>
      <c r="Z108" s="2982">
        <v>1500000</v>
      </c>
      <c r="AA108" s="2556"/>
      <c r="AB108" s="2556"/>
      <c r="AC108" s="2556"/>
      <c r="AD108" s="2686">
        <v>500000</v>
      </c>
      <c r="AE108" s="2556"/>
      <c r="AF108" s="2556"/>
      <c r="AG108" s="1339">
        <f t="shared" si="37"/>
        <v>2882000</v>
      </c>
      <c r="AH108" s="2557"/>
      <c r="AI108" s="2201">
        <f t="shared" ref="AI108:AI109" si="45">(U108*1.08)+(V108*1.08)+(W108*1.08)+((850000*(H108+I108))+(H108*3650000)+(I108*3650000))*1.08</f>
        <v>4860000</v>
      </c>
      <c r="AJ108" s="1602">
        <f t="shared" si="44"/>
        <v>7742000</v>
      </c>
      <c r="AK108" s="2560"/>
      <c r="AL108" s="2702"/>
      <c r="AM108" s="13"/>
    </row>
    <row r="109" spans="1:39" s="5" customFormat="1" ht="15.6">
      <c r="A109" s="1503">
        <f t="shared" si="38"/>
        <v>14</v>
      </c>
      <c r="B109" s="2264" t="s">
        <v>7742</v>
      </c>
      <c r="C109" s="1915">
        <v>107683708420</v>
      </c>
      <c r="D109" s="1520" t="s">
        <v>7700</v>
      </c>
      <c r="E109" s="2029" t="s">
        <v>7747</v>
      </c>
      <c r="F109" s="2712" t="s">
        <v>6500</v>
      </c>
      <c r="G109" s="2239" t="s">
        <v>1300</v>
      </c>
      <c r="H109" s="167"/>
      <c r="I109" s="167">
        <v>1</v>
      </c>
      <c r="J109" s="167"/>
      <c r="K109" s="2807" t="s">
        <v>418</v>
      </c>
      <c r="L109" s="3032" t="s">
        <v>7679</v>
      </c>
      <c r="M109" s="1492"/>
      <c r="N109" s="1913" t="s">
        <v>7727</v>
      </c>
      <c r="O109" s="3049" t="s">
        <v>7684</v>
      </c>
      <c r="P109" s="1516" t="s">
        <v>7680</v>
      </c>
      <c r="Q109" s="577" t="s">
        <v>7750</v>
      </c>
      <c r="R109" s="577" t="s">
        <v>7762</v>
      </c>
      <c r="S109" s="2472" t="s">
        <v>287</v>
      </c>
      <c r="T109" s="2472"/>
      <c r="U109" s="2472"/>
      <c r="V109" s="1517"/>
      <c r="W109" s="2555"/>
      <c r="X109" s="2556"/>
      <c r="Y109" s="2982">
        <v>882000</v>
      </c>
      <c r="Z109" s="2982">
        <v>1500000</v>
      </c>
      <c r="AA109" s="2556"/>
      <c r="AB109" s="2556"/>
      <c r="AC109" s="2556"/>
      <c r="AD109" s="2686">
        <v>500000</v>
      </c>
      <c r="AE109" s="2556"/>
      <c r="AF109" s="2556"/>
      <c r="AG109" s="1339">
        <f t="shared" si="37"/>
        <v>2882000</v>
      </c>
      <c r="AH109" s="2557"/>
      <c r="AI109" s="2201">
        <f t="shared" si="45"/>
        <v>4860000</v>
      </c>
      <c r="AJ109" s="1602">
        <f t="shared" si="44"/>
        <v>7742000</v>
      </c>
      <c r="AK109" s="2560"/>
      <c r="AL109" s="2702"/>
      <c r="AM109" s="13"/>
    </row>
    <row r="110" spans="1:39" s="5" customFormat="1" ht="15.6">
      <c r="A110" s="1503">
        <f t="shared" si="38"/>
        <v>15</v>
      </c>
      <c r="B110" s="2264" t="s">
        <v>7742</v>
      </c>
      <c r="C110" s="1915">
        <v>107691125510</v>
      </c>
      <c r="D110" s="1520" t="s">
        <v>7726</v>
      </c>
      <c r="E110" s="2029" t="s">
        <v>7757</v>
      </c>
      <c r="F110" s="2712" t="s">
        <v>6500</v>
      </c>
      <c r="G110" s="2239" t="s">
        <v>1300</v>
      </c>
      <c r="H110" s="167"/>
      <c r="I110" s="167"/>
      <c r="J110" s="167" t="s">
        <v>128</v>
      </c>
      <c r="K110" s="2807" t="s">
        <v>418</v>
      </c>
      <c r="L110" s="3059" t="s">
        <v>7744</v>
      </c>
      <c r="M110" s="1492"/>
      <c r="N110" s="1913" t="s">
        <v>7745</v>
      </c>
      <c r="O110" s="3025" t="s">
        <v>7748</v>
      </c>
      <c r="P110" s="1516" t="s">
        <v>7680</v>
      </c>
      <c r="Q110" s="577" t="s">
        <v>210</v>
      </c>
      <c r="R110" s="577" t="s">
        <v>5948</v>
      </c>
      <c r="S110" s="2472" t="s">
        <v>3144</v>
      </c>
      <c r="T110" s="2472"/>
      <c r="U110" s="2472"/>
      <c r="V110" s="1517"/>
      <c r="W110" s="2555"/>
      <c r="X110" s="2982">
        <v>162000</v>
      </c>
      <c r="Y110" s="2556"/>
      <c r="Z110" s="2556"/>
      <c r="AA110" s="2556"/>
      <c r="AB110" s="2556"/>
      <c r="AC110" s="2556"/>
      <c r="AD110" s="2555"/>
      <c r="AE110" s="2556"/>
      <c r="AF110" s="2556"/>
      <c r="AG110" s="1339">
        <f t="shared" si="37"/>
        <v>162000</v>
      </c>
      <c r="AH110" s="2557"/>
      <c r="AI110" s="2201">
        <f>+(650000+1500000)*1.08</f>
        <v>2322000</v>
      </c>
      <c r="AJ110" s="1602">
        <f t="shared" si="44"/>
        <v>2484000</v>
      </c>
      <c r="AK110" s="2560"/>
      <c r="AL110" s="2702"/>
      <c r="AM110" s="13"/>
    </row>
    <row r="111" spans="1:39" s="5" customFormat="1" ht="31.5" customHeight="1">
      <c r="A111" s="1503">
        <f t="shared" si="38"/>
        <v>16</v>
      </c>
      <c r="B111" s="2264" t="s">
        <v>7711</v>
      </c>
      <c r="C111" s="1915">
        <v>107697210830</v>
      </c>
      <c r="D111" s="1520" t="s">
        <v>7631</v>
      </c>
      <c r="E111" s="2029" t="s">
        <v>7837</v>
      </c>
      <c r="F111" s="2712" t="s">
        <v>7765</v>
      </c>
      <c r="G111" s="2239" t="s">
        <v>1300</v>
      </c>
      <c r="H111" s="167"/>
      <c r="I111" s="167">
        <v>1</v>
      </c>
      <c r="J111" s="167"/>
      <c r="K111" s="2807" t="s">
        <v>418</v>
      </c>
      <c r="L111" s="3032" t="s">
        <v>7763</v>
      </c>
      <c r="M111" s="2326"/>
      <c r="N111" s="1913" t="s">
        <v>7764</v>
      </c>
      <c r="O111" s="3049" t="s">
        <v>7769</v>
      </c>
      <c r="P111" s="1516" t="s">
        <v>7770</v>
      </c>
      <c r="Q111" s="577" t="s">
        <v>7844</v>
      </c>
      <c r="R111" s="577"/>
      <c r="S111" s="2945" t="s">
        <v>2947</v>
      </c>
      <c r="T111" s="2945"/>
      <c r="U111" s="2472"/>
      <c r="V111" s="1517"/>
      <c r="W111" s="2555"/>
      <c r="X111" s="2556"/>
      <c r="Y111" s="2982">
        <v>687000</v>
      </c>
      <c r="Z111" s="3159">
        <v>1500000</v>
      </c>
      <c r="AA111" s="2556"/>
      <c r="AB111" s="2556"/>
      <c r="AC111" s="2556"/>
      <c r="AD111" s="2686">
        <v>500000</v>
      </c>
      <c r="AE111" s="2556"/>
      <c r="AF111" s="2556"/>
      <c r="AG111" s="1339">
        <f t="shared" si="37"/>
        <v>2687000</v>
      </c>
      <c r="AH111" s="2557"/>
      <c r="AI111" s="2201">
        <f t="shared" ref="AI111:AI112" si="46">(U111*1.08)+(V111*1.08)+(W111*1.08)+((850000*(H111+I111))+(H111*3650000)+(I111*3650000))*1.08</f>
        <v>4860000</v>
      </c>
      <c r="AJ111" s="1602">
        <f t="shared" ref="AJ111:AJ117" si="47">+AG111+AI111</f>
        <v>7547000</v>
      </c>
      <c r="AK111" s="2560"/>
      <c r="AL111" s="2702"/>
      <c r="AM111" s="13"/>
    </row>
    <row r="112" spans="1:39" s="5" customFormat="1" ht="14.25" customHeight="1">
      <c r="A112" s="1503">
        <f t="shared" si="38"/>
        <v>17</v>
      </c>
      <c r="B112" s="2264" t="s">
        <v>7813</v>
      </c>
      <c r="C112" s="166">
        <v>107701007850</v>
      </c>
      <c r="D112" s="1520" t="s">
        <v>7776</v>
      </c>
      <c r="E112" s="2029" t="s">
        <v>7838</v>
      </c>
      <c r="F112" s="2712" t="s">
        <v>6500</v>
      </c>
      <c r="G112" s="2239" t="s">
        <v>1300</v>
      </c>
      <c r="H112" s="167"/>
      <c r="I112" s="167">
        <v>1</v>
      </c>
      <c r="J112" s="167"/>
      <c r="K112" s="2807" t="s">
        <v>418</v>
      </c>
      <c r="L112" s="3032" t="s">
        <v>7774</v>
      </c>
      <c r="M112" s="933"/>
      <c r="N112" s="3056" t="s">
        <v>7775</v>
      </c>
      <c r="O112" s="3025" t="s">
        <v>7781</v>
      </c>
      <c r="P112" s="1516" t="s">
        <v>7631</v>
      </c>
      <c r="Q112" s="577" t="s">
        <v>7784</v>
      </c>
      <c r="R112" s="577" t="s">
        <v>6056</v>
      </c>
      <c r="S112" s="2472" t="s">
        <v>287</v>
      </c>
      <c r="T112" s="2472"/>
      <c r="U112" s="2472"/>
      <c r="V112" s="1517"/>
      <c r="W112" s="2555"/>
      <c r="X112" s="2556"/>
      <c r="Y112" s="2982">
        <v>882000</v>
      </c>
      <c r="Z112" s="3159">
        <v>1485000</v>
      </c>
      <c r="AA112" s="2556"/>
      <c r="AB112" s="2556"/>
      <c r="AC112" s="2556"/>
      <c r="AD112" s="2686">
        <v>500000</v>
      </c>
      <c r="AE112" s="2556"/>
      <c r="AF112" s="2556"/>
      <c r="AG112" s="1339">
        <f t="shared" si="37"/>
        <v>2867000</v>
      </c>
      <c r="AH112" s="2557"/>
      <c r="AI112" s="2201">
        <f t="shared" si="46"/>
        <v>4860000</v>
      </c>
      <c r="AJ112" s="1602">
        <f t="shared" si="47"/>
        <v>7727000</v>
      </c>
      <c r="AK112" s="2560"/>
      <c r="AL112" s="2702"/>
      <c r="AM112" s="13"/>
    </row>
    <row r="113" spans="1:39" s="5" customFormat="1" ht="15.6">
      <c r="A113" s="1503">
        <f t="shared" si="38"/>
        <v>18</v>
      </c>
      <c r="B113" s="656" t="s">
        <v>7792</v>
      </c>
      <c r="C113" s="1915">
        <v>107705832950</v>
      </c>
      <c r="D113" s="1520" t="s">
        <v>7631</v>
      </c>
      <c r="E113" s="2029" t="s">
        <v>7814</v>
      </c>
      <c r="F113" s="2712" t="s">
        <v>6500</v>
      </c>
      <c r="G113" s="2239" t="s">
        <v>1300</v>
      </c>
      <c r="H113" s="167"/>
      <c r="I113" s="167"/>
      <c r="J113" s="167" t="s">
        <v>128</v>
      </c>
      <c r="K113" s="2807" t="s">
        <v>418</v>
      </c>
      <c r="L113" s="3032" t="s">
        <v>7785</v>
      </c>
      <c r="M113" s="933"/>
      <c r="N113" s="692" t="s">
        <v>7786</v>
      </c>
      <c r="O113" s="3025" t="s">
        <v>7787</v>
      </c>
      <c r="P113" s="1516" t="s">
        <v>7631</v>
      </c>
      <c r="Q113" s="577" t="s">
        <v>210</v>
      </c>
      <c r="R113" s="577" t="s">
        <v>7811</v>
      </c>
      <c r="S113" s="2472" t="s">
        <v>3144</v>
      </c>
      <c r="T113" s="2472"/>
      <c r="U113" s="2472"/>
      <c r="V113" s="1517"/>
      <c r="W113" s="2555"/>
      <c r="X113" s="2982">
        <v>379210</v>
      </c>
      <c r="Y113" s="2556"/>
      <c r="Z113" s="2556"/>
      <c r="AA113" s="2556"/>
      <c r="AB113" s="2556"/>
      <c r="AC113" s="2556"/>
      <c r="AD113" s="2555"/>
      <c r="AE113" s="2556"/>
      <c r="AF113" s="2556"/>
      <c r="AG113" s="1339">
        <f t="shared" si="37"/>
        <v>379210</v>
      </c>
      <c r="AH113" s="2557"/>
      <c r="AI113" s="2201">
        <f>+(650000+1800000)*1.08</f>
        <v>2646000</v>
      </c>
      <c r="AJ113" s="1602">
        <f t="shared" si="47"/>
        <v>3025210</v>
      </c>
      <c r="AK113" s="2560"/>
      <c r="AL113" s="2702"/>
      <c r="AM113" s="13"/>
    </row>
    <row r="114" spans="1:39" s="5" customFormat="1" ht="15.6">
      <c r="A114" s="1503">
        <f t="shared" si="38"/>
        <v>19</v>
      </c>
      <c r="B114" s="2264" t="s">
        <v>7711</v>
      </c>
      <c r="C114" s="1915">
        <v>107713042730</v>
      </c>
      <c r="D114" s="1520" t="s">
        <v>7813</v>
      </c>
      <c r="E114" s="2029" t="s">
        <v>7848</v>
      </c>
      <c r="F114" s="2712" t="s">
        <v>6500</v>
      </c>
      <c r="G114" s="2239" t="s">
        <v>1300</v>
      </c>
      <c r="H114" s="167"/>
      <c r="I114" s="167"/>
      <c r="J114" s="167" t="s">
        <v>128</v>
      </c>
      <c r="K114" s="2807" t="s">
        <v>418</v>
      </c>
      <c r="L114" s="3032" t="s">
        <v>7822</v>
      </c>
      <c r="M114" s="577"/>
      <c r="N114" s="692" t="s">
        <v>7828</v>
      </c>
      <c r="O114" s="3025" t="s">
        <v>7847</v>
      </c>
      <c r="P114" s="1516" t="s">
        <v>7770</v>
      </c>
      <c r="Q114" s="577"/>
      <c r="R114" s="577" t="s">
        <v>7150</v>
      </c>
      <c r="S114" s="2472" t="s">
        <v>3144</v>
      </c>
      <c r="T114" s="2472"/>
      <c r="U114" s="2472"/>
      <c r="V114" s="1517"/>
      <c r="W114" s="2555"/>
      <c r="X114" s="2982">
        <v>324000</v>
      </c>
      <c r="Y114" s="2556"/>
      <c r="Z114" s="2556"/>
      <c r="AA114" s="2556"/>
      <c r="AB114" s="2556"/>
      <c r="AC114" s="2556"/>
      <c r="AD114" s="2555"/>
      <c r="AE114" s="2556"/>
      <c r="AF114" s="2556"/>
      <c r="AG114" s="1339">
        <f t="shared" si="37"/>
        <v>324000</v>
      </c>
      <c r="AH114" s="2557"/>
      <c r="AI114" s="2201">
        <f>+(650000+1500000)*1.08</f>
        <v>2322000</v>
      </c>
      <c r="AJ114" s="1602">
        <f t="shared" si="47"/>
        <v>2646000</v>
      </c>
      <c r="AK114" s="2560"/>
      <c r="AL114" s="2702"/>
      <c r="AM114" s="13"/>
    </row>
    <row r="115" spans="1:39" s="5" customFormat="1" ht="15.6">
      <c r="A115" s="1503">
        <f t="shared" si="38"/>
        <v>20</v>
      </c>
      <c r="B115" s="2264" t="s">
        <v>7711</v>
      </c>
      <c r="C115" s="1915">
        <v>107713173960</v>
      </c>
      <c r="D115" s="1520" t="s">
        <v>7813</v>
      </c>
      <c r="E115" s="2029" t="s">
        <v>7849</v>
      </c>
      <c r="F115" s="2712" t="s">
        <v>6500</v>
      </c>
      <c r="G115" s="2239" t="s">
        <v>1300</v>
      </c>
      <c r="H115" s="167"/>
      <c r="I115" s="167"/>
      <c r="J115" s="167" t="s">
        <v>128</v>
      </c>
      <c r="K115" s="2807" t="s">
        <v>418</v>
      </c>
      <c r="L115" s="3032" t="s">
        <v>7823</v>
      </c>
      <c r="M115" s="577"/>
      <c r="N115" s="692" t="s">
        <v>7845</v>
      </c>
      <c r="O115" s="3025" t="s">
        <v>7846</v>
      </c>
      <c r="P115" s="1516" t="s">
        <v>7770</v>
      </c>
      <c r="Q115" s="577"/>
      <c r="R115" s="577" t="s">
        <v>7150</v>
      </c>
      <c r="S115" s="2472" t="s">
        <v>3144</v>
      </c>
      <c r="T115" s="2472"/>
      <c r="U115" s="2472"/>
      <c r="V115" s="1517"/>
      <c r="W115" s="2555"/>
      <c r="X115" s="2982">
        <v>383508</v>
      </c>
      <c r="Y115" s="2556"/>
      <c r="Z115" s="2556"/>
      <c r="AA115" s="2556"/>
      <c r="AB115" s="2556"/>
      <c r="AC115" s="2556"/>
      <c r="AD115" s="2555"/>
      <c r="AE115" s="2556"/>
      <c r="AF115" s="2556"/>
      <c r="AG115" s="1339">
        <f t="shared" si="37"/>
        <v>383508</v>
      </c>
      <c r="AH115" s="2557"/>
      <c r="AI115" s="2201">
        <f>+(650000+1800000)*1.08</f>
        <v>2646000</v>
      </c>
      <c r="AJ115" s="1602">
        <f t="shared" si="47"/>
        <v>3029508</v>
      </c>
      <c r="AK115" s="2560"/>
      <c r="AL115" s="2702"/>
      <c r="AM115" s="13"/>
    </row>
    <row r="116" spans="1:39" s="5" customFormat="1" ht="52.8">
      <c r="A116" s="1503">
        <f t="shared" si="38"/>
        <v>21</v>
      </c>
      <c r="B116" s="2264" t="s">
        <v>7696</v>
      </c>
      <c r="C116" s="2029">
        <v>307968089720</v>
      </c>
      <c r="D116" s="1520" t="s">
        <v>7696</v>
      </c>
      <c r="E116" s="2029" t="s">
        <v>7876</v>
      </c>
      <c r="F116" s="2108" t="s">
        <v>7827</v>
      </c>
      <c r="G116" s="2239" t="s">
        <v>210</v>
      </c>
      <c r="H116" s="167"/>
      <c r="I116" s="167">
        <v>1</v>
      </c>
      <c r="J116" s="167"/>
      <c r="K116" s="2069" t="s">
        <v>210</v>
      </c>
      <c r="L116" s="3032" t="s">
        <v>7832</v>
      </c>
      <c r="M116" s="3139" t="s">
        <v>7912</v>
      </c>
      <c r="N116" s="1522" t="s">
        <v>7855</v>
      </c>
      <c r="O116" s="3025" t="s">
        <v>7868</v>
      </c>
      <c r="P116" s="1516" t="s">
        <v>7825</v>
      </c>
      <c r="Q116" s="577"/>
      <c r="R116" s="577" t="s">
        <v>5972</v>
      </c>
      <c r="S116" s="2472" t="s">
        <v>287</v>
      </c>
      <c r="T116" s="2472"/>
      <c r="U116" s="2472"/>
      <c r="V116" s="1517"/>
      <c r="W116" s="2555"/>
      <c r="X116" s="2556"/>
      <c r="Y116" s="2982">
        <f>623000+2854000+1500000</f>
        <v>4977000</v>
      </c>
      <c r="Z116" s="2982">
        <f>882000+1280000</f>
        <v>2162000</v>
      </c>
      <c r="AA116" s="2556"/>
      <c r="AB116" s="2686">
        <f>5393000+283842</f>
        <v>5676842</v>
      </c>
      <c r="AC116" s="2556"/>
      <c r="AD116" s="3096"/>
      <c r="AE116" s="2556"/>
      <c r="AF116" s="2556"/>
      <c r="AG116" s="1339">
        <f t="shared" si="37"/>
        <v>12815842</v>
      </c>
      <c r="AH116" s="3097" t="s">
        <v>7914</v>
      </c>
      <c r="AI116" s="2201">
        <f>(U116*1.08)+(V116*1.08)+(W116*1.08)+((850000*(H116+I116))+(H116*3650000)+(I116*3650000)+(I116*3650000)+(4120000))*1.08</f>
        <v>13251600</v>
      </c>
      <c r="AJ116" s="1602">
        <f t="shared" si="47"/>
        <v>26067442</v>
      </c>
      <c r="AK116" s="2560"/>
      <c r="AL116" s="2702"/>
      <c r="AM116" s="13"/>
    </row>
    <row r="117" spans="1:39" s="5" customFormat="1" ht="26.4">
      <c r="A117" s="1503">
        <f t="shared" si="38"/>
        <v>22</v>
      </c>
      <c r="B117" s="2264" t="s">
        <v>7839</v>
      </c>
      <c r="C117" s="2029">
        <v>307974020600</v>
      </c>
      <c r="D117" s="1520" t="s">
        <v>7839</v>
      </c>
      <c r="E117" s="2029" t="s">
        <v>7893</v>
      </c>
      <c r="F117" s="2108" t="s">
        <v>7826</v>
      </c>
      <c r="G117" s="2239" t="s">
        <v>210</v>
      </c>
      <c r="H117" s="167"/>
      <c r="I117" s="167">
        <v>1</v>
      </c>
      <c r="J117" s="167"/>
      <c r="K117" s="2069" t="s">
        <v>210</v>
      </c>
      <c r="L117" s="3032" t="s">
        <v>7824</v>
      </c>
      <c r="M117" s="1099" t="s">
        <v>7930</v>
      </c>
      <c r="N117" s="1522" t="s">
        <v>7882</v>
      </c>
      <c r="O117" s="3025" t="s">
        <v>7883</v>
      </c>
      <c r="P117" s="1516" t="s">
        <v>7880</v>
      </c>
      <c r="Q117" s="577"/>
      <c r="R117" s="577" t="s">
        <v>7888</v>
      </c>
      <c r="S117" s="2472" t="s">
        <v>287</v>
      </c>
      <c r="T117" s="2472"/>
      <c r="U117" s="2472"/>
      <c r="V117" s="1517"/>
      <c r="W117" s="2555"/>
      <c r="X117" s="2556"/>
      <c r="Y117" s="2982">
        <v>1500000</v>
      </c>
      <c r="Z117" s="2982">
        <v>882000</v>
      </c>
      <c r="AA117" s="2982">
        <v>1140741</v>
      </c>
      <c r="AB117" s="2556"/>
      <c r="AC117" s="2556"/>
      <c r="AD117" s="2686">
        <v>500000</v>
      </c>
      <c r="AE117" s="2556"/>
      <c r="AF117" s="2556"/>
      <c r="AG117" s="1339">
        <f t="shared" si="37"/>
        <v>4022741</v>
      </c>
      <c r="AH117" s="2557"/>
      <c r="AI117" s="2201">
        <f t="shared" ref="AI117:AI121" si="48">(U117*1.08)+(V117*1.08)+(W117*1.08)+((850000*(H117+I117))+(H117*3650000)+(I117*3650000))*1.08</f>
        <v>4860000</v>
      </c>
      <c r="AJ117" s="1602">
        <f t="shared" si="47"/>
        <v>8882741</v>
      </c>
      <c r="AK117" s="2560"/>
      <c r="AL117" s="2702"/>
      <c r="AM117" s="13"/>
    </row>
    <row r="118" spans="1:39" s="5" customFormat="1" ht="39.75" customHeight="1">
      <c r="A118" s="1503">
        <f t="shared" si="38"/>
        <v>23</v>
      </c>
      <c r="B118" s="2264" t="s">
        <v>7844</v>
      </c>
      <c r="C118" s="1915">
        <v>107718069910</v>
      </c>
      <c r="D118" s="1520" t="s">
        <v>7696</v>
      </c>
      <c r="E118" s="2029" t="s">
        <v>7894</v>
      </c>
      <c r="F118" s="2712" t="s">
        <v>6500</v>
      </c>
      <c r="G118" s="2239" t="s">
        <v>1300</v>
      </c>
      <c r="H118" s="167"/>
      <c r="I118" s="167">
        <v>1</v>
      </c>
      <c r="J118" s="167"/>
      <c r="K118" s="2807" t="s">
        <v>418</v>
      </c>
      <c r="L118" s="3032" t="s">
        <v>7788</v>
      </c>
      <c r="M118" s="577"/>
      <c r="N118" s="692" t="s">
        <v>7857</v>
      </c>
      <c r="O118" s="3025" t="s">
        <v>7789</v>
      </c>
      <c r="P118" s="1516" t="s">
        <v>7711</v>
      </c>
      <c r="Q118" s="577" t="s">
        <v>7784</v>
      </c>
      <c r="R118" s="577" t="s">
        <v>7900</v>
      </c>
      <c r="S118" s="2472" t="s">
        <v>287</v>
      </c>
      <c r="T118" s="2472"/>
      <c r="U118" s="2472"/>
      <c r="V118" s="1517"/>
      <c r="W118" s="2555"/>
      <c r="X118" s="2556"/>
      <c r="Y118" s="2982">
        <v>882000</v>
      </c>
      <c r="Z118" s="2982">
        <v>1500000</v>
      </c>
      <c r="AA118" s="2556"/>
      <c r="AB118" s="2556"/>
      <c r="AC118" s="2556"/>
      <c r="AD118" s="2686">
        <v>500000</v>
      </c>
      <c r="AE118" s="2556"/>
      <c r="AF118" s="2556"/>
      <c r="AG118" s="1339">
        <f>+SUM(X118:AF118)</f>
        <v>2882000</v>
      </c>
      <c r="AH118" s="2557"/>
      <c r="AI118" s="2201">
        <f t="shared" si="48"/>
        <v>4860000</v>
      </c>
      <c r="AJ118" s="1602">
        <f>+AG118+AI118</f>
        <v>7742000</v>
      </c>
      <c r="AK118" s="2560"/>
      <c r="AL118" s="2702"/>
      <c r="AM118" s="13"/>
    </row>
    <row r="119" spans="1:39" s="5" customFormat="1" ht="15.6">
      <c r="A119" s="1503">
        <f t="shared" si="38"/>
        <v>24</v>
      </c>
      <c r="B119" s="2264" t="s">
        <v>7820</v>
      </c>
      <c r="C119" s="1915">
        <v>107712305740</v>
      </c>
      <c r="D119" s="1520" t="s">
        <v>7711</v>
      </c>
      <c r="E119" s="2029" t="s">
        <v>7895</v>
      </c>
      <c r="F119" s="2712" t="s">
        <v>6500</v>
      </c>
      <c r="G119" s="2239" t="s">
        <v>1300</v>
      </c>
      <c r="H119" s="167"/>
      <c r="I119" s="167">
        <v>1</v>
      </c>
      <c r="J119" s="167"/>
      <c r="K119" s="2807" t="s">
        <v>418</v>
      </c>
      <c r="L119" s="2970" t="s">
        <v>7803</v>
      </c>
      <c r="M119" s="577"/>
      <c r="N119" s="692" t="s">
        <v>7861</v>
      </c>
      <c r="O119" s="3025" t="s">
        <v>7821</v>
      </c>
      <c r="P119" s="1516" t="s">
        <v>7839</v>
      </c>
      <c r="Q119" s="577" t="s">
        <v>7911</v>
      </c>
      <c r="R119" s="577" t="s">
        <v>7917</v>
      </c>
      <c r="S119" s="2472" t="s">
        <v>287</v>
      </c>
      <c r="T119" s="2472"/>
      <c r="U119" s="2472"/>
      <c r="V119" s="1517"/>
      <c r="W119" s="2555"/>
      <c r="X119" s="2556"/>
      <c r="Y119" s="2982">
        <v>882000</v>
      </c>
      <c r="Z119" s="2982">
        <v>1512000</v>
      </c>
      <c r="AA119" s="2556"/>
      <c r="AB119" s="2556"/>
      <c r="AC119" s="2556"/>
      <c r="AD119" s="2686">
        <v>500000</v>
      </c>
      <c r="AE119" s="2556"/>
      <c r="AF119" s="2556"/>
      <c r="AG119" s="1339">
        <f>+SUM(X119:AF119)</f>
        <v>2894000</v>
      </c>
      <c r="AH119" s="2557"/>
      <c r="AI119" s="2201">
        <f t="shared" si="48"/>
        <v>4860000</v>
      </c>
      <c r="AJ119" s="1602">
        <f>+AG119+AI119</f>
        <v>7754000</v>
      </c>
      <c r="AK119" s="2560"/>
      <c r="AL119" s="2702"/>
      <c r="AM119" s="13"/>
    </row>
    <row r="120" spans="1:39" s="5" customFormat="1" ht="15.6">
      <c r="A120" s="1503">
        <f t="shared" si="38"/>
        <v>25</v>
      </c>
      <c r="B120" s="1329" t="s">
        <v>7944</v>
      </c>
      <c r="C120" s="1915">
        <v>107711799860</v>
      </c>
      <c r="D120" s="1520" t="s">
        <v>7839</v>
      </c>
      <c r="E120" s="2029" t="s">
        <v>7937</v>
      </c>
      <c r="F120" s="3065" t="s">
        <v>7809</v>
      </c>
      <c r="G120" s="2239" t="s">
        <v>1300</v>
      </c>
      <c r="H120" s="167"/>
      <c r="I120" s="167">
        <v>1</v>
      </c>
      <c r="J120" s="167"/>
      <c r="K120" s="2807" t="s">
        <v>418</v>
      </c>
      <c r="L120" s="3032" t="s">
        <v>7801</v>
      </c>
      <c r="M120" s="577"/>
      <c r="N120" s="692" t="s">
        <v>7802</v>
      </c>
      <c r="O120" s="3025" t="s">
        <v>7812</v>
      </c>
      <c r="P120" s="1516" t="s">
        <v>7770</v>
      </c>
      <c r="Q120" s="577" t="s">
        <v>7944</v>
      </c>
      <c r="R120" s="577" t="s">
        <v>6255</v>
      </c>
      <c r="S120" s="2472" t="s">
        <v>287</v>
      </c>
      <c r="T120" s="2472"/>
      <c r="U120" s="2472"/>
      <c r="V120" s="1517"/>
      <c r="W120" s="2555"/>
      <c r="X120" s="2556"/>
      <c r="Y120" s="2982">
        <v>3482000</v>
      </c>
      <c r="Z120" s="2982">
        <v>1500000</v>
      </c>
      <c r="AA120" s="2556"/>
      <c r="AB120" s="2556"/>
      <c r="AC120" s="2556"/>
      <c r="AD120" s="2686">
        <v>500000</v>
      </c>
      <c r="AE120" s="2983">
        <f>592898</f>
        <v>592898</v>
      </c>
      <c r="AF120" s="2556"/>
      <c r="AG120" s="1339">
        <f t="shared" ref="AG120:AG143" si="49">+SUM(X120:AF120)</f>
        <v>6074898</v>
      </c>
      <c r="AH120" s="2557" t="s">
        <v>7959</v>
      </c>
      <c r="AI120" s="2201">
        <f>(U120*1.08)+(V120*1.08)+(W120*1.08)+((850000*(H120+I120))+(H120*3650000)+(I120*3650000))*1.08+(300000*1.03)*1.08</f>
        <v>5193720</v>
      </c>
      <c r="AJ120" s="1602">
        <f t="shared" ref="AJ120:AJ121" si="50">+AG120+AI120</f>
        <v>11268618</v>
      </c>
      <c r="AK120" s="2560"/>
      <c r="AL120" s="2702"/>
      <c r="AM120" s="13"/>
    </row>
    <row r="121" spans="1:39" s="5" customFormat="1" ht="40.5" customHeight="1">
      <c r="A121" s="1503">
        <f t="shared" si="38"/>
        <v>26</v>
      </c>
      <c r="B121" s="2264" t="s">
        <v>7954</v>
      </c>
      <c r="C121" s="1915">
        <v>107728676530</v>
      </c>
      <c r="D121" s="1520" t="s">
        <v>7844</v>
      </c>
      <c r="E121" s="2029" t="s">
        <v>7938</v>
      </c>
      <c r="F121" s="2712" t="s">
        <v>6500</v>
      </c>
      <c r="G121" s="2239" t="s">
        <v>1300</v>
      </c>
      <c r="H121" s="167"/>
      <c r="I121" s="167">
        <v>1</v>
      </c>
      <c r="J121" s="167"/>
      <c r="K121" s="2807" t="s">
        <v>418</v>
      </c>
      <c r="L121" s="3032" t="s">
        <v>7854</v>
      </c>
      <c r="M121" s="577"/>
      <c r="N121" s="692" t="s">
        <v>7904</v>
      </c>
      <c r="O121" s="3025" t="s">
        <v>7905</v>
      </c>
      <c r="P121" s="1516" t="s">
        <v>7820</v>
      </c>
      <c r="Q121" s="577" t="s">
        <v>7940</v>
      </c>
      <c r="R121" s="577" t="s">
        <v>5972</v>
      </c>
      <c r="S121" s="2472" t="s">
        <v>287</v>
      </c>
      <c r="T121" s="2472"/>
      <c r="U121" s="2472"/>
      <c r="V121" s="1517"/>
      <c r="W121" s="2555"/>
      <c r="X121" s="2556"/>
      <c r="Y121" s="2982">
        <v>1532000</v>
      </c>
      <c r="Z121" s="2982">
        <v>1280000</v>
      </c>
      <c r="AA121" s="2556"/>
      <c r="AB121" s="2556"/>
      <c r="AC121" s="2556"/>
      <c r="AD121" s="2686">
        <v>500000</v>
      </c>
      <c r="AE121" s="2556"/>
      <c r="AF121" s="2556"/>
      <c r="AG121" s="1339">
        <f t="shared" si="49"/>
        <v>3312000</v>
      </c>
      <c r="AH121" s="2557"/>
      <c r="AI121" s="2201">
        <f t="shared" si="48"/>
        <v>4860000</v>
      </c>
      <c r="AJ121" s="1602">
        <f t="shared" si="50"/>
        <v>8172000</v>
      </c>
      <c r="AK121" s="2560"/>
      <c r="AL121" s="2702"/>
      <c r="AM121" s="13"/>
    </row>
    <row r="122" spans="1:39" s="5" customFormat="1" ht="15.6">
      <c r="A122" s="1503">
        <f t="shared" si="38"/>
        <v>27</v>
      </c>
      <c r="B122" s="1419" t="s">
        <v>8004</v>
      </c>
      <c r="C122" s="1915" t="s">
        <v>8014</v>
      </c>
      <c r="D122" s="1504" t="s">
        <v>7955</v>
      </c>
      <c r="E122" s="2029" t="s">
        <v>8022</v>
      </c>
      <c r="F122" s="2712" t="s">
        <v>6500</v>
      </c>
      <c r="G122" s="2239" t="s">
        <v>1300</v>
      </c>
      <c r="H122" s="167"/>
      <c r="I122" s="167"/>
      <c r="J122" s="167" t="s">
        <v>128</v>
      </c>
      <c r="K122" s="1547"/>
      <c r="L122" s="3144" t="s">
        <v>7986</v>
      </c>
      <c r="M122" s="1492"/>
      <c r="N122" s="1913" t="s">
        <v>8023</v>
      </c>
      <c r="O122" s="3049" t="s">
        <v>7987</v>
      </c>
      <c r="P122" s="1914"/>
      <c r="Q122" s="577"/>
      <c r="R122" s="577" t="s">
        <v>8029</v>
      </c>
      <c r="S122" s="1517"/>
      <c r="T122" s="1517"/>
      <c r="U122" s="2472"/>
      <c r="V122" s="1517"/>
      <c r="W122" s="2555"/>
      <c r="X122" s="2982">
        <v>3113510</v>
      </c>
      <c r="Y122" s="2556"/>
      <c r="Z122" s="2556"/>
      <c r="AA122" s="2556"/>
      <c r="AB122" s="2556"/>
      <c r="AC122" s="2556"/>
      <c r="AD122" s="2555"/>
      <c r="AE122" s="2556"/>
      <c r="AF122" s="2556"/>
      <c r="AG122" s="1339">
        <f t="shared" si="49"/>
        <v>3113510</v>
      </c>
      <c r="AH122" s="2557"/>
      <c r="AI122" s="2201">
        <f>+(650000+3931200)*1.08</f>
        <v>4947696</v>
      </c>
      <c r="AJ122" s="1602">
        <f t="shared" ref="AJ122" si="51">+AG122+AI122</f>
        <v>8061206</v>
      </c>
      <c r="AK122" s="2560"/>
      <c r="AL122" s="2702"/>
      <c r="AM122" s="13"/>
    </row>
    <row r="123" spans="1:39" s="5" customFormat="1">
      <c r="A123" s="3307" t="s">
        <v>7970</v>
      </c>
      <c r="B123" s="3682"/>
      <c r="C123" s="3682"/>
      <c r="D123" s="3682"/>
      <c r="E123" s="3682"/>
      <c r="F123" s="3682"/>
      <c r="G123" s="3682"/>
      <c r="H123" s="3682"/>
      <c r="I123" s="3682"/>
      <c r="J123" s="3682"/>
      <c r="K123" s="3682"/>
      <c r="L123" s="3682"/>
      <c r="M123" s="3682"/>
      <c r="N123" s="3682"/>
      <c r="O123" s="2926"/>
      <c r="P123" s="2927"/>
      <c r="Q123" s="2944"/>
      <c r="R123" s="2944"/>
      <c r="S123" s="1951"/>
      <c r="T123" s="1951"/>
      <c r="U123" s="2945"/>
      <c r="V123" s="1951"/>
      <c r="W123" s="2946"/>
      <c r="X123" s="2947"/>
      <c r="Y123" s="2947"/>
      <c r="Z123" s="2947"/>
      <c r="AA123" s="2947"/>
      <c r="AB123" s="2947"/>
      <c r="AC123" s="2947"/>
      <c r="AD123" s="2946"/>
      <c r="AE123" s="2947"/>
      <c r="AF123" s="2947"/>
      <c r="AG123" s="2949">
        <f>SUM(AG100:AG122)</f>
        <v>64956480</v>
      </c>
      <c r="AH123" s="2921"/>
      <c r="AI123" s="2949">
        <f>SUM(AI100:AI122)</f>
        <v>100766592</v>
      </c>
      <c r="AJ123" s="2949">
        <f>SUM(AJ100:AJ122)</f>
        <v>165723072</v>
      </c>
      <c r="AK123" s="2950"/>
      <c r="AL123" s="2951">
        <v>450000</v>
      </c>
      <c r="AM123" s="13"/>
    </row>
    <row r="124" spans="1:39" s="5" customFormat="1" ht="26.4">
      <c r="A124" s="1503">
        <v>1</v>
      </c>
      <c r="B124" s="3217" t="s">
        <v>7641</v>
      </c>
      <c r="C124" s="2029">
        <v>307919891550</v>
      </c>
      <c r="D124" s="1520" t="s">
        <v>7449</v>
      </c>
      <c r="E124" s="2029" t="s">
        <v>8078</v>
      </c>
      <c r="F124" s="3033" t="s">
        <v>7637</v>
      </c>
      <c r="G124" s="2239" t="s">
        <v>210</v>
      </c>
      <c r="H124" s="167"/>
      <c r="I124" s="167"/>
      <c r="J124" s="167">
        <v>1</v>
      </c>
      <c r="K124" s="2069" t="s">
        <v>210</v>
      </c>
      <c r="L124" s="3032" t="s">
        <v>7624</v>
      </c>
      <c r="M124" s="1099" t="s">
        <v>7699</v>
      </c>
      <c r="N124" s="692" t="s">
        <v>7630</v>
      </c>
      <c r="O124" s="3025" t="s">
        <v>7640</v>
      </c>
      <c r="P124" s="1516" t="s">
        <v>7625</v>
      </c>
      <c r="Q124" s="577"/>
      <c r="R124" s="577"/>
      <c r="S124" s="2472" t="s">
        <v>7628</v>
      </c>
      <c r="T124" s="2472"/>
      <c r="U124" s="2472"/>
      <c r="V124" s="1517"/>
      <c r="W124" s="2555"/>
      <c r="X124" s="2556"/>
      <c r="Y124" s="2556"/>
      <c r="Z124" s="2556"/>
      <c r="AA124" s="2955"/>
      <c r="AB124" s="2052"/>
      <c r="AC124" s="2052"/>
      <c r="AD124" s="2053"/>
      <c r="AE124" s="2556"/>
      <c r="AF124" s="2556"/>
      <c r="AG124" s="1339">
        <f t="shared" ref="AG124:AG125" si="52">+SUM(X124:AF124)</f>
        <v>0</v>
      </c>
      <c r="AH124" s="3169" t="s">
        <v>8234</v>
      </c>
      <c r="AI124" s="2201"/>
      <c r="AJ124" s="1602"/>
      <c r="AK124" s="2560"/>
      <c r="AL124" s="2702"/>
      <c r="AM124" s="13"/>
    </row>
    <row r="125" spans="1:39" s="5" customFormat="1" ht="26.4">
      <c r="A125" s="1503">
        <v>2</v>
      </c>
      <c r="B125" s="3217" t="s">
        <v>7641</v>
      </c>
      <c r="C125" s="2029">
        <v>307919911040</v>
      </c>
      <c r="D125" s="1520" t="s">
        <v>7449</v>
      </c>
      <c r="E125" s="2029" t="s">
        <v>8079</v>
      </c>
      <c r="F125" s="3033" t="s">
        <v>7638</v>
      </c>
      <c r="G125" s="2239" t="s">
        <v>210</v>
      </c>
      <c r="H125" s="167"/>
      <c r="I125" s="167"/>
      <c r="J125" s="167">
        <v>1</v>
      </c>
      <c r="K125" s="2069" t="s">
        <v>210</v>
      </c>
      <c r="L125" s="3032" t="s">
        <v>7626</v>
      </c>
      <c r="M125" s="1099" t="s">
        <v>7697</v>
      </c>
      <c r="N125" s="692" t="s">
        <v>7629</v>
      </c>
      <c r="O125" s="3025" t="s">
        <v>7639</v>
      </c>
      <c r="P125" s="1516" t="s">
        <v>7627</v>
      </c>
      <c r="Q125" s="577"/>
      <c r="R125" s="577"/>
      <c r="S125" s="2472" t="s">
        <v>7628</v>
      </c>
      <c r="T125" s="2472"/>
      <c r="U125" s="2472"/>
      <c r="V125" s="1517"/>
      <c r="W125" s="2555"/>
      <c r="X125" s="2556"/>
      <c r="Y125" s="2556"/>
      <c r="Z125" s="2556"/>
      <c r="AA125" s="2955"/>
      <c r="AB125" s="2052"/>
      <c r="AC125" s="2052"/>
      <c r="AD125" s="2053"/>
      <c r="AE125" s="2556"/>
      <c r="AF125" s="2556"/>
      <c r="AG125" s="1339">
        <f t="shared" si="52"/>
        <v>0</v>
      </c>
      <c r="AH125" s="3169" t="s">
        <v>8234</v>
      </c>
      <c r="AI125" s="2201"/>
      <c r="AJ125" s="1602"/>
      <c r="AK125" s="2560"/>
      <c r="AL125" s="2702"/>
      <c r="AM125" s="13"/>
    </row>
    <row r="126" spans="1:39" s="5" customFormat="1" ht="26.4">
      <c r="A126" s="1503">
        <v>3</v>
      </c>
      <c r="B126" s="2264" t="s">
        <v>7992</v>
      </c>
      <c r="C126" s="1915">
        <v>107744820040</v>
      </c>
      <c r="D126" s="1520" t="s">
        <v>7954</v>
      </c>
      <c r="E126" s="2029" t="s">
        <v>8092</v>
      </c>
      <c r="F126" s="2712" t="s">
        <v>6500</v>
      </c>
      <c r="G126" s="2239" t="s">
        <v>1300</v>
      </c>
      <c r="H126" s="167"/>
      <c r="I126" s="167">
        <v>1</v>
      </c>
      <c r="J126" s="167"/>
      <c r="K126" s="2807" t="s">
        <v>418</v>
      </c>
      <c r="L126" s="3032" t="s">
        <v>7948</v>
      </c>
      <c r="M126" s="1099"/>
      <c r="N126" s="692" t="s">
        <v>7949</v>
      </c>
      <c r="O126" s="3049" t="s">
        <v>7953</v>
      </c>
      <c r="P126" s="1516" t="s">
        <v>7954</v>
      </c>
      <c r="Q126" s="577"/>
      <c r="R126" s="3219" t="s">
        <v>8120</v>
      </c>
      <c r="S126" s="2472" t="s">
        <v>287</v>
      </c>
      <c r="T126" s="2472"/>
      <c r="U126" s="2472"/>
      <c r="V126" s="1517"/>
      <c r="W126" s="2555"/>
      <c r="X126" s="2556"/>
      <c r="Y126" s="2982">
        <v>882000</v>
      </c>
      <c r="Z126" s="3239">
        <f>105000+1500000</f>
        <v>1605000</v>
      </c>
      <c r="AA126" s="2556"/>
      <c r="AB126" s="2556"/>
      <c r="AC126" s="2556"/>
      <c r="AD126" s="2686">
        <v>500000</v>
      </c>
      <c r="AE126" s="2556"/>
      <c r="AF126" s="2556"/>
      <c r="AG126" s="1339">
        <f t="shared" si="49"/>
        <v>2987000</v>
      </c>
      <c r="AH126" s="3097" t="s">
        <v>8259</v>
      </c>
      <c r="AI126" s="2201">
        <f t="shared" ref="AI126" si="53">(U126*1.08)+(V126*1.08)+(W126*1.08)+((850000*(H126+I126))+(H126*3650000)+(I126*3650000))*1.08</f>
        <v>4860000</v>
      </c>
      <c r="AJ126" s="1602">
        <f t="shared" ref="AJ126" si="54">+AG126+AI126</f>
        <v>7847000</v>
      </c>
      <c r="AK126" s="2560"/>
      <c r="AL126" s="2702"/>
      <c r="AM126" s="13"/>
    </row>
    <row r="127" spans="1:39" s="5" customFormat="1" ht="33" customHeight="1">
      <c r="A127" s="1503">
        <f>+A126+1</f>
        <v>4</v>
      </c>
      <c r="B127" s="2264" t="s">
        <v>7992</v>
      </c>
      <c r="C127" s="2029">
        <v>308011157440</v>
      </c>
      <c r="D127" s="1520" t="s">
        <v>7992</v>
      </c>
      <c r="E127" s="2029" t="s">
        <v>8093</v>
      </c>
      <c r="F127" s="2108" t="s">
        <v>7827</v>
      </c>
      <c r="G127" s="2239" t="s">
        <v>210</v>
      </c>
      <c r="H127" s="167"/>
      <c r="I127" s="167">
        <v>1</v>
      </c>
      <c r="J127" s="167"/>
      <c r="K127" s="2069" t="s">
        <v>210</v>
      </c>
      <c r="L127" s="2748" t="s">
        <v>7913</v>
      </c>
      <c r="M127" s="1099" t="s">
        <v>8094</v>
      </c>
      <c r="N127" s="1522" t="s">
        <v>8035</v>
      </c>
      <c r="O127" s="3049" t="s">
        <v>8052</v>
      </c>
      <c r="P127" s="740" t="s">
        <v>8054</v>
      </c>
      <c r="Q127" s="1472"/>
      <c r="R127" s="3219" t="s">
        <v>8117</v>
      </c>
      <c r="S127" s="2472" t="s">
        <v>287</v>
      </c>
      <c r="T127" s="2472"/>
      <c r="U127" s="1472"/>
      <c r="V127" s="1472"/>
      <c r="W127" s="1472"/>
      <c r="X127" s="1472"/>
      <c r="Y127" s="2982">
        <v>882000</v>
      </c>
      <c r="Z127" s="3239">
        <v>1500000</v>
      </c>
      <c r="AA127" s="2982">
        <v>337933</v>
      </c>
      <c r="AB127" s="1472"/>
      <c r="AC127" s="1472"/>
      <c r="AD127" s="2686">
        <v>500000</v>
      </c>
      <c r="AE127" s="1472"/>
      <c r="AF127" s="1472"/>
      <c r="AG127" s="1339">
        <f t="shared" si="49"/>
        <v>3219933</v>
      </c>
      <c r="AH127" s="2557" t="s">
        <v>8058</v>
      </c>
      <c r="AI127" s="2201">
        <f t="shared" ref="AI127:AI134" si="55">(U127*1.08)+(V127*1.08)+(W127*1.08)+((850000*(H127+I127))+(H127*3650000)+(I127*3650000))*1.08</f>
        <v>4860000</v>
      </c>
      <c r="AJ127" s="1602">
        <f t="shared" ref="AJ127:AJ134" si="56">+AG127+AI127</f>
        <v>8079933</v>
      </c>
      <c r="AK127" s="1472"/>
      <c r="AL127" s="2702"/>
      <c r="AM127" s="13"/>
    </row>
    <row r="128" spans="1:39" s="5" customFormat="1" ht="27.75" customHeight="1">
      <c r="A128" s="1503">
        <f t="shared" si="38"/>
        <v>5</v>
      </c>
      <c r="B128" s="2264" t="s">
        <v>7992</v>
      </c>
      <c r="C128" s="2029">
        <v>308011189420</v>
      </c>
      <c r="D128" s="1520" t="s">
        <v>7992</v>
      </c>
      <c r="E128" s="2029" t="s">
        <v>8100</v>
      </c>
      <c r="F128" s="2108" t="s">
        <v>7826</v>
      </c>
      <c r="G128" s="2239" t="s">
        <v>210</v>
      </c>
      <c r="H128" s="167"/>
      <c r="I128" s="167">
        <v>1</v>
      </c>
      <c r="J128" s="167"/>
      <c r="K128" s="2807" t="s">
        <v>418</v>
      </c>
      <c r="L128" s="3032" t="s">
        <v>8050</v>
      </c>
      <c r="M128" s="1099" t="s">
        <v>8095</v>
      </c>
      <c r="N128" s="1522" t="s">
        <v>8039</v>
      </c>
      <c r="O128" s="3049" t="s">
        <v>8053</v>
      </c>
      <c r="P128" s="740" t="s">
        <v>8054</v>
      </c>
      <c r="Q128" s="577"/>
      <c r="R128" s="3219" t="s">
        <v>8118</v>
      </c>
      <c r="S128" s="2472" t="s">
        <v>287</v>
      </c>
      <c r="T128" s="1672"/>
      <c r="U128" s="1672"/>
      <c r="V128" s="781"/>
      <c r="W128" s="2450"/>
      <c r="X128" s="1527"/>
      <c r="Y128" s="2982">
        <v>882000</v>
      </c>
      <c r="Z128" s="3239">
        <v>1500000</v>
      </c>
      <c r="AA128" s="2982">
        <v>977819</v>
      </c>
      <c r="AB128" s="1527"/>
      <c r="AC128" s="1527"/>
      <c r="AD128" s="2686">
        <v>500000</v>
      </c>
      <c r="AE128" s="1527"/>
      <c r="AF128" s="1527"/>
      <c r="AG128" s="1339">
        <f t="shared" si="49"/>
        <v>3859819</v>
      </c>
      <c r="AH128" s="2557" t="s">
        <v>8059</v>
      </c>
      <c r="AI128" s="2201">
        <f t="shared" si="55"/>
        <v>4860000</v>
      </c>
      <c r="AJ128" s="1602">
        <f t="shared" si="56"/>
        <v>8719819</v>
      </c>
      <c r="AK128" s="2988"/>
      <c r="AL128" s="2702"/>
      <c r="AM128" s="13"/>
    </row>
    <row r="129" spans="1:39" s="5" customFormat="1" ht="15.6">
      <c r="A129" s="1503">
        <f t="shared" si="38"/>
        <v>6</v>
      </c>
      <c r="B129" s="2264" t="s">
        <v>8037</v>
      </c>
      <c r="C129" s="1915">
        <v>107756561140</v>
      </c>
      <c r="D129" s="1520" t="s">
        <v>7992</v>
      </c>
      <c r="E129" s="2029" t="s">
        <v>8101</v>
      </c>
      <c r="F129" s="2712" t="s">
        <v>6500</v>
      </c>
      <c r="G129" s="2239" t="s">
        <v>1300</v>
      </c>
      <c r="H129" s="167"/>
      <c r="I129" s="167"/>
      <c r="J129" s="167" t="s">
        <v>128</v>
      </c>
      <c r="K129" s="2807" t="s">
        <v>418</v>
      </c>
      <c r="L129" s="2748" t="s">
        <v>8036</v>
      </c>
      <c r="M129" s="1504"/>
      <c r="N129" s="692" t="s">
        <v>8060</v>
      </c>
      <c r="O129" s="3049" t="s">
        <v>8049</v>
      </c>
      <c r="P129" s="1516" t="s">
        <v>7957</v>
      </c>
      <c r="Q129" s="577"/>
      <c r="R129" s="577" t="s">
        <v>7181</v>
      </c>
      <c r="S129" s="2472" t="s">
        <v>5026</v>
      </c>
      <c r="T129" s="2472"/>
      <c r="U129" s="2472"/>
      <c r="V129" s="1517"/>
      <c r="W129" s="2555"/>
      <c r="X129" s="2982">
        <v>326268</v>
      </c>
      <c r="Y129" s="2556"/>
      <c r="Z129" s="2556"/>
      <c r="AA129" s="2556"/>
      <c r="AB129" s="2556"/>
      <c r="AC129" s="2556"/>
      <c r="AD129" s="2555"/>
      <c r="AE129" s="2556"/>
      <c r="AF129" s="2556"/>
      <c r="AG129" s="1339">
        <f>+SUM(X129:AF129)</f>
        <v>326268</v>
      </c>
      <c r="AH129" s="2557"/>
      <c r="AI129" s="2201">
        <f>(U129*1.08)+(V129*1.08)+(W129*1.08)+((650000+1800000)*1.08)</f>
        <v>2646000</v>
      </c>
      <c r="AJ129" s="1602">
        <f>+AG129+AI129</f>
        <v>2972268</v>
      </c>
      <c r="AK129" s="2560"/>
      <c r="AL129" s="2702"/>
      <c r="AM129" s="13"/>
    </row>
    <row r="130" spans="1:39" s="5" customFormat="1" ht="15.6">
      <c r="A130" s="1503">
        <f t="shared" si="38"/>
        <v>7</v>
      </c>
      <c r="B130" s="2264" t="s">
        <v>7911</v>
      </c>
      <c r="C130" s="1915" t="s">
        <v>8072</v>
      </c>
      <c r="D130" s="1504" t="s">
        <v>7955</v>
      </c>
      <c r="E130" s="2029" t="s">
        <v>8102</v>
      </c>
      <c r="F130" s="2712" t="s">
        <v>6500</v>
      </c>
      <c r="G130" s="2239" t="s">
        <v>1300</v>
      </c>
      <c r="H130" s="167"/>
      <c r="I130" s="167">
        <v>1</v>
      </c>
      <c r="J130" s="167"/>
      <c r="K130" s="2054" t="s">
        <v>210</v>
      </c>
      <c r="L130" s="3032" t="s">
        <v>7951</v>
      </c>
      <c r="M130" s="577"/>
      <c r="N130" s="3069" t="s">
        <v>8045</v>
      </c>
      <c r="O130" s="3049" t="s">
        <v>7952</v>
      </c>
      <c r="P130" s="1516" t="s">
        <v>8037</v>
      </c>
      <c r="Q130" s="577"/>
      <c r="R130" s="577" t="s">
        <v>8083</v>
      </c>
      <c r="S130" s="2472" t="s">
        <v>287</v>
      </c>
      <c r="T130" s="2472"/>
      <c r="U130" s="2472"/>
      <c r="V130" s="1517"/>
      <c r="W130" s="2555"/>
      <c r="X130" s="2556"/>
      <c r="Y130" s="2982">
        <v>882000</v>
      </c>
      <c r="Z130" s="3240">
        <v>1512000</v>
      </c>
      <c r="AA130" s="2556"/>
      <c r="AB130" s="2556"/>
      <c r="AC130" s="2556"/>
      <c r="AD130" s="2686">
        <v>500000</v>
      </c>
      <c r="AE130" s="2556"/>
      <c r="AF130" s="2556"/>
      <c r="AG130" s="1339">
        <f t="shared" si="49"/>
        <v>2894000</v>
      </c>
      <c r="AH130" s="2557"/>
      <c r="AI130" s="2201">
        <f t="shared" si="55"/>
        <v>4860000</v>
      </c>
      <c r="AJ130" s="1602">
        <f t="shared" si="56"/>
        <v>7754000</v>
      </c>
      <c r="AK130" s="2560"/>
      <c r="AL130" s="2702"/>
      <c r="AM130" s="13"/>
    </row>
    <row r="131" spans="1:39" s="5" customFormat="1" ht="26.4">
      <c r="A131" s="1503">
        <f t="shared" si="38"/>
        <v>8</v>
      </c>
      <c r="B131" s="656" t="s">
        <v>7940</v>
      </c>
      <c r="C131" s="1915" t="s">
        <v>8073</v>
      </c>
      <c r="D131" s="1520" t="s">
        <v>7985</v>
      </c>
      <c r="E131" s="2029" t="s">
        <v>8104</v>
      </c>
      <c r="F131" s="2712" t="s">
        <v>6500</v>
      </c>
      <c r="G131" s="2239" t="s">
        <v>1300</v>
      </c>
      <c r="H131" s="167"/>
      <c r="I131" s="167">
        <v>1</v>
      </c>
      <c r="J131" s="167"/>
      <c r="K131" s="2807" t="s">
        <v>418</v>
      </c>
      <c r="L131" s="3032" t="s">
        <v>7967</v>
      </c>
      <c r="M131" s="577"/>
      <c r="N131" s="1913" t="s">
        <v>8046</v>
      </c>
      <c r="O131" s="3049" t="s">
        <v>7968</v>
      </c>
      <c r="P131" s="1516" t="s">
        <v>7985</v>
      </c>
      <c r="Q131" s="577"/>
      <c r="R131" s="3219" t="s">
        <v>8119</v>
      </c>
      <c r="S131" s="2472" t="s">
        <v>287</v>
      </c>
      <c r="T131" s="2472"/>
      <c r="U131" s="2472"/>
      <c r="V131" s="1517"/>
      <c r="W131" s="2555"/>
      <c r="X131" s="2556"/>
      <c r="Y131" s="2982">
        <v>882000</v>
      </c>
      <c r="Z131" s="3239">
        <v>1500000</v>
      </c>
      <c r="AA131" s="2556"/>
      <c r="AB131" s="2556"/>
      <c r="AC131" s="2556"/>
      <c r="AD131" s="2686">
        <v>500000</v>
      </c>
      <c r="AE131" s="2556"/>
      <c r="AF131" s="2556"/>
      <c r="AG131" s="1339">
        <f t="shared" si="49"/>
        <v>2882000</v>
      </c>
      <c r="AH131" s="2557"/>
      <c r="AI131" s="2201">
        <f t="shared" si="55"/>
        <v>4860000</v>
      </c>
      <c r="AJ131" s="1602">
        <f t="shared" si="56"/>
        <v>7742000</v>
      </c>
      <c r="AK131" s="2560"/>
      <c r="AL131" s="2702"/>
      <c r="AM131" s="13"/>
    </row>
    <row r="132" spans="1:39" s="5" customFormat="1" ht="26.4">
      <c r="A132" s="1503">
        <f t="shared" si="38"/>
        <v>9</v>
      </c>
      <c r="B132" s="2264" t="s">
        <v>8128</v>
      </c>
      <c r="C132" s="1915">
        <v>107763845710</v>
      </c>
      <c r="D132" s="1520" t="s">
        <v>8037</v>
      </c>
      <c r="E132" s="2029" t="s">
        <v>8148</v>
      </c>
      <c r="F132" s="3065" t="s">
        <v>7809</v>
      </c>
      <c r="G132" s="2239" t="s">
        <v>1300</v>
      </c>
      <c r="H132" s="167"/>
      <c r="I132" s="167">
        <v>1</v>
      </c>
      <c r="J132" s="167"/>
      <c r="K132" s="2807" t="s">
        <v>418</v>
      </c>
      <c r="L132" s="3032" t="s">
        <v>7969</v>
      </c>
      <c r="M132" s="1492"/>
      <c r="N132" s="2059" t="s">
        <v>8047</v>
      </c>
      <c r="O132" s="3049" t="s">
        <v>8048</v>
      </c>
      <c r="P132" s="1516" t="s">
        <v>8037</v>
      </c>
      <c r="Q132" s="577" t="s">
        <v>8128</v>
      </c>
      <c r="R132" s="3219" t="s">
        <v>8235</v>
      </c>
      <c r="S132" s="2472" t="s">
        <v>287</v>
      </c>
      <c r="T132" s="2472"/>
      <c r="U132" s="2472"/>
      <c r="V132" s="1517"/>
      <c r="W132" s="2555"/>
      <c r="X132" s="2556"/>
      <c r="Y132" s="2982">
        <v>3482000</v>
      </c>
      <c r="Z132" s="3239">
        <v>1620000</v>
      </c>
      <c r="AA132" s="2556"/>
      <c r="AB132" s="2556"/>
      <c r="AC132" s="2556"/>
      <c r="AD132" s="2686">
        <v>500000</v>
      </c>
      <c r="AE132" s="2982">
        <f>300000+150000</f>
        <v>450000</v>
      </c>
      <c r="AF132" s="2556"/>
      <c r="AG132" s="1339">
        <f t="shared" si="49"/>
        <v>6052000</v>
      </c>
      <c r="AH132" s="2557"/>
      <c r="AI132" s="2201">
        <f t="shared" si="55"/>
        <v>4860000</v>
      </c>
      <c r="AJ132" s="1602">
        <f t="shared" si="56"/>
        <v>10912000</v>
      </c>
      <c r="AK132" s="2560"/>
      <c r="AL132" s="2702"/>
      <c r="AM132" s="13"/>
    </row>
    <row r="133" spans="1:39" s="5" customFormat="1" ht="26.4">
      <c r="A133" s="1503">
        <f t="shared" si="38"/>
        <v>10</v>
      </c>
      <c r="B133" s="1751" t="s">
        <v>8146</v>
      </c>
      <c r="C133" s="1915" t="s">
        <v>8132</v>
      </c>
      <c r="D133" s="1520" t="s">
        <v>8113</v>
      </c>
      <c r="E133" s="2029" t="s">
        <v>8149</v>
      </c>
      <c r="F133" s="2712" t="s">
        <v>6500</v>
      </c>
      <c r="G133" s="2239" t="s">
        <v>1300</v>
      </c>
      <c r="H133" s="167"/>
      <c r="I133" s="167">
        <v>2</v>
      </c>
      <c r="J133" s="167"/>
      <c r="K133" s="2069" t="s">
        <v>210</v>
      </c>
      <c r="L133" s="3032" t="s">
        <v>8033</v>
      </c>
      <c r="M133" s="2326"/>
      <c r="N133" s="2190" t="s">
        <v>8150</v>
      </c>
      <c r="O133" s="3049" t="s">
        <v>8085</v>
      </c>
      <c r="P133" s="1516" t="s">
        <v>8113</v>
      </c>
      <c r="Q133" s="577"/>
      <c r="R133" s="928" t="s">
        <v>8168</v>
      </c>
      <c r="S133" s="2472" t="s">
        <v>287</v>
      </c>
      <c r="T133" s="3237" t="s">
        <v>8233</v>
      </c>
      <c r="U133" s="2472"/>
      <c r="V133" s="1517"/>
      <c r="W133" s="2555"/>
      <c r="X133" s="2556"/>
      <c r="Y133" s="2982">
        <v>1764000</v>
      </c>
      <c r="Z133" s="3240">
        <f>745000*2</f>
        <v>1490000</v>
      </c>
      <c r="AA133" s="2556"/>
      <c r="AB133" s="2556"/>
      <c r="AC133" s="2556"/>
      <c r="AD133" s="2686">
        <v>1000000</v>
      </c>
      <c r="AE133" s="2556"/>
      <c r="AF133" s="2556"/>
      <c r="AG133" s="1339">
        <f t="shared" si="49"/>
        <v>4254000</v>
      </c>
      <c r="AH133" s="2557" t="s">
        <v>8255</v>
      </c>
      <c r="AI133" s="2201">
        <f>(U133*1.08)+(V133*1.08)+(W133*1.08)+((850000*(H133+I133))+(H133*3650000)+(I133*3650000))*1.08+(1500000*2*1.08)</f>
        <v>12960000</v>
      </c>
      <c r="AJ133" s="1602">
        <f t="shared" si="56"/>
        <v>17214000</v>
      </c>
      <c r="AK133" s="2560"/>
      <c r="AL133" s="2702"/>
      <c r="AM133" s="13"/>
    </row>
    <row r="134" spans="1:39" s="5" customFormat="1" ht="42" customHeight="1">
      <c r="A134" s="1503">
        <f t="shared" si="38"/>
        <v>11</v>
      </c>
      <c r="B134" s="2264" t="s">
        <v>4793</v>
      </c>
      <c r="C134" s="1915">
        <v>107780853350</v>
      </c>
      <c r="D134" s="1520" t="s">
        <v>8145</v>
      </c>
      <c r="E134" s="2029" t="s">
        <v>8214</v>
      </c>
      <c r="F134" s="2767" t="s">
        <v>6796</v>
      </c>
      <c r="G134" s="2239" t="s">
        <v>1300</v>
      </c>
      <c r="H134" s="167"/>
      <c r="I134" s="167">
        <v>1</v>
      </c>
      <c r="J134" s="167"/>
      <c r="K134" s="2807" t="s">
        <v>418</v>
      </c>
      <c r="L134" s="3164" t="s">
        <v>8069</v>
      </c>
      <c r="M134" s="1492"/>
      <c r="N134" s="1913" t="s">
        <v>8070</v>
      </c>
      <c r="O134" s="3049" t="s">
        <v>8136</v>
      </c>
      <c r="P134" s="1516" t="s">
        <v>7992</v>
      </c>
      <c r="Q134" s="577" t="s">
        <v>4793</v>
      </c>
      <c r="R134" s="2967" t="s">
        <v>8185</v>
      </c>
      <c r="S134" s="2472" t="s">
        <v>287</v>
      </c>
      <c r="T134" s="2472"/>
      <c r="U134" s="2472"/>
      <c r="V134" s="1517"/>
      <c r="W134" s="2555"/>
      <c r="X134" s="2556"/>
      <c r="Y134" s="2982">
        <v>3482000</v>
      </c>
      <c r="Z134" s="3240">
        <v>1500000</v>
      </c>
      <c r="AA134" s="2556"/>
      <c r="AB134" s="2556"/>
      <c r="AC134" s="2556"/>
      <c r="AD134" s="2686">
        <v>500000</v>
      </c>
      <c r="AE134" s="2982">
        <v>615000</v>
      </c>
      <c r="AF134" s="2556"/>
      <c r="AG134" s="1339">
        <f t="shared" si="49"/>
        <v>6097000</v>
      </c>
      <c r="AH134" s="2557"/>
      <c r="AI134" s="2201">
        <f t="shared" si="55"/>
        <v>4860000</v>
      </c>
      <c r="AJ134" s="1602">
        <f t="shared" si="56"/>
        <v>10957000</v>
      </c>
      <c r="AK134" s="2560"/>
      <c r="AL134" s="2702"/>
      <c r="AM134" s="13"/>
    </row>
    <row r="135" spans="1:39" s="5" customFormat="1" ht="15.6">
      <c r="A135" s="1503">
        <f t="shared" si="38"/>
        <v>12</v>
      </c>
      <c r="B135" s="2264" t="s">
        <v>8113</v>
      </c>
      <c r="C135" s="1915">
        <v>107772585210</v>
      </c>
      <c r="D135" s="1520" t="s">
        <v>7940</v>
      </c>
      <c r="E135" s="2029" t="s">
        <v>8215</v>
      </c>
      <c r="F135" s="2712" t="s">
        <v>6500</v>
      </c>
      <c r="G135" s="2239" t="s">
        <v>1300</v>
      </c>
      <c r="H135" s="167"/>
      <c r="I135" s="167"/>
      <c r="J135" s="167" t="s">
        <v>128</v>
      </c>
      <c r="K135" s="2807" t="s">
        <v>418</v>
      </c>
      <c r="L135" s="3196" t="s">
        <v>8107</v>
      </c>
      <c r="M135" s="1492"/>
      <c r="N135" s="1913" t="s">
        <v>8114</v>
      </c>
      <c r="O135" s="3049" t="s">
        <v>8147</v>
      </c>
      <c r="P135" s="1516" t="s">
        <v>7911</v>
      </c>
      <c r="Q135" s="1492"/>
      <c r="R135" s="1492" t="s">
        <v>6224</v>
      </c>
      <c r="S135" s="2472" t="s">
        <v>3144</v>
      </c>
      <c r="T135" s="1517"/>
      <c r="U135" s="2472"/>
      <c r="V135" s="1517"/>
      <c r="W135" s="2555"/>
      <c r="X135" s="2982">
        <v>324000</v>
      </c>
      <c r="Y135" s="2556"/>
      <c r="Z135" s="2556"/>
      <c r="AA135" s="2556"/>
      <c r="AB135" s="2556"/>
      <c r="AC135" s="2556"/>
      <c r="AD135" s="2555"/>
      <c r="AE135" s="2556"/>
      <c r="AF135" s="3134"/>
      <c r="AG135" s="1339">
        <f t="shared" si="49"/>
        <v>324000</v>
      </c>
      <c r="AH135" s="2557"/>
      <c r="AI135" s="2201">
        <f>(U135*1.08)+(V135*1.08)+(W135*1.08)+((650000+1500000)*1.08)</f>
        <v>2322000</v>
      </c>
      <c r="AJ135" s="1602">
        <f t="shared" ref="AJ135:AJ143" si="57">+AG135+AI135</f>
        <v>2646000</v>
      </c>
      <c r="AK135" s="2560"/>
      <c r="AL135" s="2702"/>
      <c r="AM135" s="13"/>
    </row>
    <row r="136" spans="1:39" s="5" customFormat="1" ht="36.75" customHeight="1">
      <c r="A136" s="1503">
        <f t="shared" si="38"/>
        <v>13</v>
      </c>
      <c r="B136" s="2264" t="s">
        <v>8151</v>
      </c>
      <c r="C136" s="2065" t="s">
        <v>8169</v>
      </c>
      <c r="D136" s="1520" t="s">
        <v>8151</v>
      </c>
      <c r="E136" s="2029" t="s">
        <v>8216</v>
      </c>
      <c r="F136" s="2108" t="s">
        <v>8142</v>
      </c>
      <c r="G136" s="2239" t="s">
        <v>210</v>
      </c>
      <c r="H136" s="167"/>
      <c r="I136" s="167">
        <v>1</v>
      </c>
      <c r="J136" s="167"/>
      <c r="K136" s="3227" t="s">
        <v>136</v>
      </c>
      <c r="L136" s="2801" t="s">
        <v>8071</v>
      </c>
      <c r="M136" s="3196" t="s">
        <v>8166</v>
      </c>
      <c r="N136" s="2690" t="s">
        <v>8158</v>
      </c>
      <c r="O136" s="3226" t="s">
        <v>8167</v>
      </c>
      <c r="P136" s="1914" t="s">
        <v>8144</v>
      </c>
      <c r="Q136" s="577"/>
      <c r="R136" s="577" t="s">
        <v>6056</v>
      </c>
      <c r="S136" s="2472" t="s">
        <v>287</v>
      </c>
      <c r="T136" s="2472"/>
      <c r="U136" s="2955">
        <v>400000</v>
      </c>
      <c r="V136" s="2066"/>
      <c r="W136" s="2955">
        <v>300000</v>
      </c>
      <c r="X136" s="2955"/>
      <c r="Y136" s="2982">
        <v>882000</v>
      </c>
      <c r="Z136" s="3240">
        <v>1500000</v>
      </c>
      <c r="AA136" s="2840">
        <v>1123311</v>
      </c>
      <c r="AB136" s="2556"/>
      <c r="AC136" s="2556"/>
      <c r="AD136" s="2686">
        <v>500000</v>
      </c>
      <c r="AE136" s="2556"/>
      <c r="AF136" s="2556"/>
      <c r="AG136" s="1339">
        <f t="shared" si="49"/>
        <v>4005311</v>
      </c>
      <c r="AH136" s="3097" t="s">
        <v>8256</v>
      </c>
      <c r="AI136" s="2201">
        <f>(U136*1.08)+(V136*1.08)+(W136*1.08)+((850000*(H136+I136))+(H136*3650000)+(I136*3650000))*1.08</f>
        <v>5616000</v>
      </c>
      <c r="AJ136" s="1602">
        <f t="shared" si="57"/>
        <v>9621311</v>
      </c>
      <c r="AK136" s="2560"/>
      <c r="AL136" s="2702"/>
      <c r="AM136" s="13"/>
    </row>
    <row r="137" spans="1:39" s="5" customFormat="1" ht="39.6">
      <c r="A137" s="1503">
        <f t="shared" si="38"/>
        <v>14</v>
      </c>
      <c r="B137" s="2264" t="s">
        <v>8145</v>
      </c>
      <c r="C137" s="2029">
        <v>308046194430</v>
      </c>
      <c r="D137" s="1520" t="s">
        <v>8145</v>
      </c>
      <c r="E137" s="2029" t="s">
        <v>8217</v>
      </c>
      <c r="F137" s="2108" t="s">
        <v>8143</v>
      </c>
      <c r="G137" s="2239" t="s">
        <v>210</v>
      </c>
      <c r="H137" s="167"/>
      <c r="I137" s="167">
        <v>1</v>
      </c>
      <c r="J137" s="167"/>
      <c r="K137" s="2069" t="s">
        <v>210</v>
      </c>
      <c r="L137" s="3196" t="s">
        <v>8084</v>
      </c>
      <c r="M137" s="3225" t="s">
        <v>8179</v>
      </c>
      <c r="N137" s="2190" t="s">
        <v>8170</v>
      </c>
      <c r="O137" s="3226" t="s">
        <v>8180</v>
      </c>
      <c r="P137" s="1914" t="s">
        <v>8144</v>
      </c>
      <c r="Q137" s="1492"/>
      <c r="R137" s="1492" t="s">
        <v>5942</v>
      </c>
      <c r="S137" s="2472" t="s">
        <v>287</v>
      </c>
      <c r="T137" s="1517"/>
      <c r="U137" s="2472"/>
      <c r="V137" s="1517"/>
      <c r="W137" s="2555"/>
      <c r="X137" s="2955"/>
      <c r="Y137" s="2982">
        <v>882000</v>
      </c>
      <c r="Z137" s="3240">
        <v>1500000</v>
      </c>
      <c r="AA137" s="2840">
        <v>850590</v>
      </c>
      <c r="AB137" s="2556"/>
      <c r="AC137" s="2556"/>
      <c r="AD137" s="2686">
        <v>500000</v>
      </c>
      <c r="AE137" s="2556"/>
      <c r="AF137" s="3134"/>
      <c r="AG137" s="1339">
        <f t="shared" si="49"/>
        <v>3732590</v>
      </c>
      <c r="AH137" s="2557"/>
      <c r="AI137" s="2201">
        <f t="shared" ref="AI137:AI152" si="58">(U137*1.08)+(V137*1.08)+(W137*1.08)+((850000*(H137+I137))+(H137*3650000)+(I137*3650000))*1.08</f>
        <v>4860000</v>
      </c>
      <c r="AJ137" s="1602">
        <f t="shared" si="57"/>
        <v>8592590</v>
      </c>
      <c r="AK137" s="2560"/>
      <c r="AL137" s="2702"/>
      <c r="AM137" s="13"/>
    </row>
    <row r="138" spans="1:39" s="5" customFormat="1" ht="26.4">
      <c r="A138" s="1503">
        <f t="shared" si="38"/>
        <v>15</v>
      </c>
      <c r="B138" s="1629" t="s">
        <v>8128</v>
      </c>
      <c r="C138" s="2029">
        <v>308052794620</v>
      </c>
      <c r="D138" s="1520" t="s">
        <v>4793</v>
      </c>
      <c r="E138" s="2029" t="s">
        <v>8218</v>
      </c>
      <c r="F138" s="3033" t="s">
        <v>8257</v>
      </c>
      <c r="G138" s="2239" t="s">
        <v>210</v>
      </c>
      <c r="H138" s="1642"/>
      <c r="I138" s="1642"/>
      <c r="J138" s="3133">
        <v>1</v>
      </c>
      <c r="K138" s="2807" t="s">
        <v>418</v>
      </c>
      <c r="L138" s="3224" t="s">
        <v>8186</v>
      </c>
      <c r="M138" s="3224" t="s">
        <v>8258</v>
      </c>
      <c r="N138" s="1913" t="s">
        <v>8194</v>
      </c>
      <c r="O138" s="3049" t="s">
        <v>8226</v>
      </c>
      <c r="P138" s="1516" t="s">
        <v>8177</v>
      </c>
      <c r="Q138" s="1492"/>
      <c r="R138" s="1492" t="s">
        <v>8225</v>
      </c>
      <c r="S138" s="2471" t="s">
        <v>8187</v>
      </c>
      <c r="T138" s="1517"/>
      <c r="U138" s="2472"/>
      <c r="V138" s="1517"/>
      <c r="W138" s="2555"/>
      <c r="X138" s="2556"/>
      <c r="Y138" s="2556"/>
      <c r="Z138" s="2556"/>
      <c r="AA138" s="2840">
        <v>431772</v>
      </c>
      <c r="AB138" s="2556"/>
      <c r="AC138" s="2556"/>
      <c r="AD138" s="2686">
        <v>24164</v>
      </c>
      <c r="AE138" s="2556"/>
      <c r="AF138" s="3134"/>
      <c r="AG138" s="1339">
        <f>+SUM(X138:AF138)</f>
        <v>455936</v>
      </c>
      <c r="AH138" s="3039" t="s">
        <v>8254</v>
      </c>
      <c r="AI138" s="2201">
        <f>(U138*1.08)+(V138*1.08)+(W138*1.08)+((650000+1800000)*1.08)</f>
        <v>2646000</v>
      </c>
      <c r="AJ138" s="1602">
        <f>+AG138+AI138</f>
        <v>3101936</v>
      </c>
      <c r="AK138" s="2560"/>
      <c r="AL138" s="1504"/>
      <c r="AM138" s="13"/>
    </row>
    <row r="139" spans="1:39" s="5" customFormat="1" ht="26.4">
      <c r="A139" s="1503">
        <f t="shared" si="38"/>
        <v>16</v>
      </c>
      <c r="B139" s="656" t="s">
        <v>8249</v>
      </c>
      <c r="C139" s="1915">
        <v>107796898750</v>
      </c>
      <c r="D139" s="1520" t="s">
        <v>4793</v>
      </c>
      <c r="E139" s="2029" t="s">
        <v>8219</v>
      </c>
      <c r="F139" s="2712" t="s">
        <v>6500</v>
      </c>
      <c r="G139" s="2239" t="s">
        <v>1300</v>
      </c>
      <c r="H139" s="167"/>
      <c r="I139" s="167"/>
      <c r="J139" s="167">
        <v>1</v>
      </c>
      <c r="K139" s="2807" t="s">
        <v>418</v>
      </c>
      <c r="L139" s="3224" t="s">
        <v>8183</v>
      </c>
      <c r="M139" s="1485"/>
      <c r="N139" s="1492" t="s">
        <v>8190</v>
      </c>
      <c r="O139" s="3049" t="s">
        <v>8184</v>
      </c>
      <c r="P139" s="1516" t="s">
        <v>8182</v>
      </c>
      <c r="Q139" s="1485"/>
      <c r="R139" s="1492" t="s">
        <v>6022</v>
      </c>
      <c r="S139" s="2471" t="s">
        <v>6964</v>
      </c>
      <c r="T139" s="1485"/>
      <c r="U139" s="1485"/>
      <c r="V139" s="1485"/>
      <c r="W139" s="1485"/>
      <c r="X139" s="1485"/>
      <c r="Y139" s="2955"/>
      <c r="Z139" s="1485"/>
      <c r="AA139" s="1485"/>
      <c r="AB139" s="1485"/>
      <c r="AC139" s="1485"/>
      <c r="AD139" s="2686">
        <v>33539</v>
      </c>
      <c r="AE139" s="1485"/>
      <c r="AF139" s="3134"/>
      <c r="AG139" s="1339">
        <f>+SUM(X139:AF139)</f>
        <v>33539</v>
      </c>
      <c r="AH139" s="3039" t="s">
        <v>8254</v>
      </c>
      <c r="AI139" s="2201">
        <f>(U139*1.08)+(V139*1.08)+(W139*1.08)+((650000+2300000*1.08))</f>
        <v>3134000</v>
      </c>
      <c r="AJ139" s="1602">
        <f>+AG139+AI139</f>
        <v>3167539</v>
      </c>
      <c r="AK139" s="2560"/>
      <c r="AL139" s="2702"/>
      <c r="AM139" s="13"/>
    </row>
    <row r="140" spans="1:39" s="5" customFormat="1" ht="15.6">
      <c r="A140" s="1503">
        <f t="shared" si="38"/>
        <v>17</v>
      </c>
      <c r="B140" s="656" t="s">
        <v>8249</v>
      </c>
      <c r="C140" s="1915">
        <v>107804918650</v>
      </c>
      <c r="D140" s="2016" t="s">
        <v>8223</v>
      </c>
      <c r="E140" s="2029" t="s">
        <v>8296</v>
      </c>
      <c r="F140" s="2712" t="s">
        <v>6500</v>
      </c>
      <c r="G140" s="2239" t="s">
        <v>1300</v>
      </c>
      <c r="H140" s="1549"/>
      <c r="I140" s="1549"/>
      <c r="J140" s="1549" t="s">
        <v>128</v>
      </c>
      <c r="K140" s="2807" t="s">
        <v>418</v>
      </c>
      <c r="L140" s="2801" t="s">
        <v>8191</v>
      </c>
      <c r="M140" s="1504"/>
      <c r="N140" s="1504" t="s">
        <v>8192</v>
      </c>
      <c r="O140" s="2801" t="s">
        <v>8193</v>
      </c>
      <c r="P140" s="1805" t="s">
        <v>8177</v>
      </c>
      <c r="Q140" s="1504"/>
      <c r="R140" s="1504" t="s">
        <v>5948</v>
      </c>
      <c r="S140" s="1503" t="s">
        <v>5026</v>
      </c>
      <c r="T140" s="1549"/>
      <c r="U140" s="1503"/>
      <c r="V140" s="1549"/>
      <c r="W140" s="2555"/>
      <c r="X140" s="2840">
        <v>324000</v>
      </c>
      <c r="Y140" s="2556"/>
      <c r="Z140" s="2556"/>
      <c r="AA140" s="2556"/>
      <c r="AB140" s="2556"/>
      <c r="AC140" s="2556"/>
      <c r="AD140" s="2555"/>
      <c r="AE140" s="2556"/>
      <c r="AF140" s="3134"/>
      <c r="AG140" s="1339">
        <f t="shared" ref="AG140:AG141" si="59">+SUM(X140:AF140)</f>
        <v>324000</v>
      </c>
      <c r="AH140" s="2557"/>
      <c r="AI140" s="2201">
        <f>(U140*1.08)+(V140*1.08)+(W140*1.08)+((650000+1500000)*1.08)</f>
        <v>2322000</v>
      </c>
      <c r="AJ140" s="1602">
        <f t="shared" ref="AJ140:AJ142" si="60">+AG140+AI140</f>
        <v>2646000</v>
      </c>
      <c r="AK140" s="2560"/>
      <c r="AL140" s="1504"/>
      <c r="AM140" s="13"/>
    </row>
    <row r="141" spans="1:39" s="5" customFormat="1" ht="15.6">
      <c r="A141" s="1503">
        <f t="shared" si="38"/>
        <v>18</v>
      </c>
      <c r="B141" s="656" t="s">
        <v>8249</v>
      </c>
      <c r="C141" s="1915">
        <v>107805002761</v>
      </c>
      <c r="D141" s="2016" t="s">
        <v>8223</v>
      </c>
      <c r="E141" s="2029" t="s">
        <v>8297</v>
      </c>
      <c r="F141" s="2712" t="s">
        <v>6500</v>
      </c>
      <c r="G141" s="2239" t="s">
        <v>1300</v>
      </c>
      <c r="H141" s="1549"/>
      <c r="I141" s="1549"/>
      <c r="J141" s="1549" t="s">
        <v>128</v>
      </c>
      <c r="K141" s="2807" t="s">
        <v>418</v>
      </c>
      <c r="L141" s="2801" t="s">
        <v>8227</v>
      </c>
      <c r="M141" s="2592"/>
      <c r="N141" s="2592" t="s">
        <v>8228</v>
      </c>
      <c r="O141" s="2801" t="s">
        <v>8244</v>
      </c>
      <c r="P141" s="1805" t="s">
        <v>8177</v>
      </c>
      <c r="Q141" s="1504"/>
      <c r="R141" s="1504" t="s">
        <v>5948</v>
      </c>
      <c r="S141" s="1503" t="s">
        <v>5026</v>
      </c>
      <c r="T141" s="1549"/>
      <c r="U141" s="1503"/>
      <c r="V141" s="1549"/>
      <c r="W141" s="2555"/>
      <c r="X141" s="2840">
        <v>324000</v>
      </c>
      <c r="Y141" s="2556"/>
      <c r="Z141" s="2556"/>
      <c r="AA141" s="2556"/>
      <c r="AB141" s="2556"/>
      <c r="AC141" s="2556"/>
      <c r="AD141" s="2555"/>
      <c r="AE141" s="2556"/>
      <c r="AF141" s="3134"/>
      <c r="AG141" s="1339">
        <f t="shared" si="59"/>
        <v>324000</v>
      </c>
      <c r="AH141" s="2557"/>
      <c r="AI141" s="2201">
        <f t="shared" ref="AI141" si="61">(U141*1.08)+(V141*1.08)+(W141*1.08)+((650000+1500000)*1.08)</f>
        <v>2322000</v>
      </c>
      <c r="AJ141" s="1602">
        <f t="shared" si="60"/>
        <v>2646000</v>
      </c>
      <c r="AK141" s="2560"/>
      <c r="AL141" s="1504"/>
      <c r="AM141" s="13"/>
    </row>
    <row r="142" spans="1:39" s="5" customFormat="1" ht="39.6">
      <c r="A142" s="1503">
        <f t="shared" si="38"/>
        <v>19</v>
      </c>
      <c r="B142" s="1329" t="s">
        <v>8275</v>
      </c>
      <c r="C142" s="1915">
        <v>107808995010</v>
      </c>
      <c r="D142" s="1520" t="s">
        <v>8155</v>
      </c>
      <c r="E142" s="2029" t="s">
        <v>8298</v>
      </c>
      <c r="F142" s="2767" t="s">
        <v>8261</v>
      </c>
      <c r="G142" s="2239" t="s">
        <v>1300</v>
      </c>
      <c r="H142" s="167"/>
      <c r="I142" s="167">
        <v>2</v>
      </c>
      <c r="J142" s="167"/>
      <c r="K142" s="2807" t="s">
        <v>418</v>
      </c>
      <c r="L142" s="3224" t="s">
        <v>8160</v>
      </c>
      <c r="M142" s="1492"/>
      <c r="N142" s="2190" t="s">
        <v>8161</v>
      </c>
      <c r="O142" s="3049" t="s">
        <v>8162</v>
      </c>
      <c r="P142" s="1516" t="s">
        <v>8223</v>
      </c>
      <c r="Q142" s="1516" t="s">
        <v>8263</v>
      </c>
      <c r="R142" s="3263" t="s">
        <v>8320</v>
      </c>
      <c r="S142" s="2472" t="s">
        <v>287</v>
      </c>
      <c r="T142" s="2471" t="s">
        <v>8251</v>
      </c>
      <c r="U142" s="2472"/>
      <c r="V142" s="1517"/>
      <c r="W142" s="2555"/>
      <c r="X142" s="2556"/>
      <c r="Y142" s="2840">
        <v>1764000</v>
      </c>
      <c r="Z142" s="2556"/>
      <c r="AA142" s="2556"/>
      <c r="AB142" s="2556"/>
      <c r="AC142" s="2556"/>
      <c r="AD142" s="2555"/>
      <c r="AE142" s="2556"/>
      <c r="AF142" s="3134"/>
      <c r="AG142" s="1339">
        <f t="shared" si="49"/>
        <v>1764000</v>
      </c>
      <c r="AH142" s="2557"/>
      <c r="AI142" s="2201">
        <f t="shared" si="58"/>
        <v>9720000</v>
      </c>
      <c r="AJ142" s="1602">
        <f t="shared" si="60"/>
        <v>11484000</v>
      </c>
      <c r="AK142" s="2560"/>
      <c r="AL142" s="2702"/>
      <c r="AM142" s="13"/>
    </row>
    <row r="143" spans="1:39" s="5" customFormat="1" ht="26.4">
      <c r="A143" s="1503">
        <f t="shared" si="38"/>
        <v>20</v>
      </c>
      <c r="B143" s="1488" t="s">
        <v>8252</v>
      </c>
      <c r="C143" s="1915">
        <v>107809102440</v>
      </c>
      <c r="D143" s="2817" t="s">
        <v>8275</v>
      </c>
      <c r="E143" s="2029" t="s">
        <v>8361</v>
      </c>
      <c r="F143" s="2767" t="s">
        <v>8262</v>
      </c>
      <c r="G143" s="2239" t="s">
        <v>1300</v>
      </c>
      <c r="H143" s="167"/>
      <c r="I143" s="167">
        <v>1</v>
      </c>
      <c r="J143" s="167"/>
      <c r="K143" s="2807" t="s">
        <v>418</v>
      </c>
      <c r="L143" s="3224" t="s">
        <v>8164</v>
      </c>
      <c r="M143" s="1485"/>
      <c r="N143" s="1492" t="s">
        <v>8163</v>
      </c>
      <c r="O143" s="3049" t="s">
        <v>8165</v>
      </c>
      <c r="P143" s="1516" t="s">
        <v>8223</v>
      </c>
      <c r="Q143" s="1516" t="s">
        <v>8263</v>
      </c>
      <c r="R143" s="3263" t="s">
        <v>8120</v>
      </c>
      <c r="S143" s="2472" t="s">
        <v>287</v>
      </c>
      <c r="T143" s="2471" t="s">
        <v>8251</v>
      </c>
      <c r="U143" s="1485"/>
      <c r="V143" s="1485"/>
      <c r="W143" s="1485"/>
      <c r="X143" s="1485"/>
      <c r="Y143" s="2840">
        <v>1580000</v>
      </c>
      <c r="Z143" s="1485"/>
      <c r="AA143" s="1485"/>
      <c r="AB143" s="1485"/>
      <c r="AC143" s="1485"/>
      <c r="AD143" s="1485"/>
      <c r="AE143" s="1485"/>
      <c r="AF143" s="3134"/>
      <c r="AG143" s="1339">
        <f t="shared" si="49"/>
        <v>1580000</v>
      </c>
      <c r="AH143" s="2557"/>
      <c r="AI143" s="2201">
        <f t="shared" si="58"/>
        <v>4860000</v>
      </c>
      <c r="AJ143" s="1602">
        <f t="shared" si="57"/>
        <v>6440000</v>
      </c>
      <c r="AK143" s="2560"/>
      <c r="AL143" s="2702"/>
      <c r="AM143" s="13"/>
    </row>
    <row r="144" spans="1:39" s="5" customFormat="1" ht="15.6">
      <c r="A144" s="1503">
        <f t="shared" si="38"/>
        <v>21</v>
      </c>
      <c r="B144" s="2194" t="s">
        <v>8252</v>
      </c>
      <c r="C144" s="2494">
        <v>107816899850</v>
      </c>
      <c r="D144" s="2817" t="s">
        <v>8275</v>
      </c>
      <c r="E144" s="1623" t="s">
        <v>8363</v>
      </c>
      <c r="F144" s="2712" t="s">
        <v>6500</v>
      </c>
      <c r="G144" s="2494" t="s">
        <v>1300</v>
      </c>
      <c r="H144" s="2819"/>
      <c r="I144" s="2819"/>
      <c r="J144" s="2819" t="s">
        <v>128</v>
      </c>
      <c r="K144" s="2807" t="s">
        <v>418</v>
      </c>
      <c r="L144" s="3257" t="s">
        <v>8287</v>
      </c>
      <c r="M144" s="1624"/>
      <c r="N144" s="3229" t="s">
        <v>8293</v>
      </c>
      <c r="O144" s="3258" t="s">
        <v>8290</v>
      </c>
      <c r="P144" s="3228" t="s">
        <v>8275</v>
      </c>
      <c r="Q144" s="1624"/>
      <c r="R144" s="1624" t="s">
        <v>6022</v>
      </c>
      <c r="S144" s="1503" t="s">
        <v>5026</v>
      </c>
      <c r="T144" s="2819"/>
      <c r="U144" s="2203"/>
      <c r="V144" s="2819"/>
      <c r="W144" s="2012"/>
      <c r="X144" s="2011"/>
      <c r="Y144" s="2011"/>
      <c r="Z144" s="2011"/>
      <c r="AA144" s="2011"/>
      <c r="AB144" s="2011"/>
      <c r="AC144" s="2011"/>
      <c r="AD144" s="2012"/>
      <c r="AE144" s="2011"/>
      <c r="AF144" s="3134"/>
      <c r="AG144" s="1339">
        <f>+SUM(X144:AF144)</f>
        <v>0</v>
      </c>
      <c r="AH144" s="3230"/>
      <c r="AI144" s="2201">
        <f t="shared" si="58"/>
        <v>0</v>
      </c>
      <c r="AJ144" s="1602">
        <f>+AG144+AI144</f>
        <v>0</v>
      </c>
      <c r="AK144" s="3231"/>
      <c r="AL144" s="1624"/>
      <c r="AM144" s="13"/>
    </row>
    <row r="145" spans="1:39" s="5" customFormat="1" ht="26.4">
      <c r="A145" s="1503">
        <f t="shared" si="38"/>
        <v>22</v>
      </c>
      <c r="B145" s="1503"/>
      <c r="C145" s="1915">
        <v>107825454700</v>
      </c>
      <c r="D145" s="2817" t="s">
        <v>8252</v>
      </c>
      <c r="E145" s="2029" t="s">
        <v>8364</v>
      </c>
      <c r="F145" s="2712" t="s">
        <v>6500</v>
      </c>
      <c r="G145" s="2494" t="s">
        <v>1300</v>
      </c>
      <c r="H145" s="1549"/>
      <c r="I145" s="1549"/>
      <c r="J145" s="1503">
        <v>1</v>
      </c>
      <c r="K145" s="2807" t="s">
        <v>418</v>
      </c>
      <c r="L145" s="2801" t="s">
        <v>8288</v>
      </c>
      <c r="M145" s="1504"/>
      <c r="N145" s="1504" t="s">
        <v>8291</v>
      </c>
      <c r="O145" s="2801" t="s">
        <v>8289</v>
      </c>
      <c r="P145" s="2016" t="s">
        <v>8292</v>
      </c>
      <c r="Q145" s="1504"/>
      <c r="R145" s="1504"/>
      <c r="S145" s="2343" t="s">
        <v>6964</v>
      </c>
      <c r="T145" s="1549"/>
      <c r="U145" s="1503"/>
      <c r="V145" s="1549"/>
      <c r="W145" s="2555"/>
      <c r="X145" s="2556"/>
      <c r="Y145" s="2556"/>
      <c r="Z145" s="2556"/>
      <c r="AA145" s="2556"/>
      <c r="AB145" s="2556"/>
      <c r="AC145" s="2556"/>
      <c r="AD145" s="2555"/>
      <c r="AE145" s="2556"/>
      <c r="AF145" s="3134"/>
      <c r="AG145" s="1339">
        <f t="shared" ref="AG145:AG153" si="62">+SUM(X145:AF145)</f>
        <v>0</v>
      </c>
      <c r="AH145" s="2557"/>
      <c r="AI145" s="2201">
        <f t="shared" si="58"/>
        <v>0</v>
      </c>
      <c r="AJ145" s="1602">
        <f t="shared" ref="AJ145:AJ146" si="63">+AG145+AI145</f>
        <v>0</v>
      </c>
      <c r="AK145" s="2560"/>
      <c r="AL145" s="1504"/>
      <c r="AM145" s="13"/>
    </row>
    <row r="146" spans="1:39" s="5" customFormat="1" ht="30.75" customHeight="1">
      <c r="A146" s="1503">
        <f t="shared" si="38"/>
        <v>23</v>
      </c>
      <c r="C146" s="3684" t="s">
        <v>8295</v>
      </c>
      <c r="D146" s="3685"/>
      <c r="E146" s="2586" t="s">
        <v>8383</v>
      </c>
      <c r="F146" s="3038" t="s">
        <v>7643</v>
      </c>
      <c r="G146" s="2494"/>
      <c r="H146" s="1549"/>
      <c r="I146" s="1639">
        <v>5</v>
      </c>
      <c r="J146" s="1503"/>
      <c r="K146" s="1917"/>
      <c r="L146" s="2801"/>
      <c r="M146" s="1504"/>
      <c r="N146" s="1504"/>
      <c r="O146" s="2801"/>
      <c r="P146" s="2016"/>
      <c r="Q146" s="1504"/>
      <c r="R146" s="1504"/>
      <c r="S146" s="1549"/>
      <c r="T146" s="1549"/>
      <c r="U146" s="1503"/>
      <c r="V146" s="1549"/>
      <c r="W146" s="2555"/>
      <c r="X146" s="2556"/>
      <c r="Y146" s="2556"/>
      <c r="Z146" s="2556"/>
      <c r="AA146" s="2556"/>
      <c r="AB146" s="2556"/>
      <c r="AC146" s="2556"/>
      <c r="AD146" s="2555"/>
      <c r="AE146" s="2556"/>
      <c r="AF146" s="3134"/>
      <c r="AG146" s="1339">
        <f t="shared" si="62"/>
        <v>0</v>
      </c>
      <c r="AH146" s="2557"/>
      <c r="AI146" s="2201">
        <f t="shared" si="58"/>
        <v>24300000</v>
      </c>
      <c r="AJ146" s="1602">
        <f t="shared" si="63"/>
        <v>24300000</v>
      </c>
      <c r="AK146" s="2560"/>
      <c r="AL146" s="1504"/>
      <c r="AM146" s="13"/>
    </row>
    <row r="147" spans="1:39" s="5" customFormat="1" ht="15.6">
      <c r="A147" s="1503">
        <f t="shared" si="38"/>
        <v>24</v>
      </c>
      <c r="B147" s="2050" t="s">
        <v>8326</v>
      </c>
      <c r="C147" s="1915">
        <v>107823841530</v>
      </c>
      <c r="D147" s="2016" t="s">
        <v>8252</v>
      </c>
      <c r="E147" s="2029" t="s">
        <v>8366</v>
      </c>
      <c r="F147" s="2712" t="s">
        <v>6500</v>
      </c>
      <c r="G147" s="1915" t="s">
        <v>1300</v>
      </c>
      <c r="H147" s="1549"/>
      <c r="I147" s="1549"/>
      <c r="J147" s="1549" t="s">
        <v>128</v>
      </c>
      <c r="K147" s="2807" t="s">
        <v>418</v>
      </c>
      <c r="L147" s="2801" t="s">
        <v>8310</v>
      </c>
      <c r="M147" s="1504"/>
      <c r="N147" s="1504" t="s">
        <v>8365</v>
      </c>
      <c r="O147" s="2801" t="s">
        <v>8311</v>
      </c>
      <c r="P147" s="1916"/>
      <c r="Q147" s="1504"/>
      <c r="R147" s="1504"/>
      <c r="S147" s="1503" t="s">
        <v>5026</v>
      </c>
      <c r="T147" s="1549"/>
      <c r="U147" s="1503"/>
      <c r="V147" s="1549"/>
      <c r="W147" s="2555"/>
      <c r="X147" s="2840">
        <v>2250417</v>
      </c>
      <c r="Y147" s="2556"/>
      <c r="Z147" s="2556"/>
      <c r="AA147" s="2556"/>
      <c r="AB147" s="2556"/>
      <c r="AC147" s="2556"/>
      <c r="AD147" s="2555"/>
      <c r="AE147" s="2556"/>
      <c r="AF147" s="2556"/>
      <c r="AG147" s="1339">
        <f>+SUM(X147:AF147)</f>
        <v>2250417</v>
      </c>
      <c r="AH147" s="2557"/>
      <c r="AI147" s="2201">
        <f>(U147*1.08)+(V147*1.08)+(W147*1.08)+((850000*(H147+I147))+(H147*3650000)+(I147*3650000))*1.08</f>
        <v>0</v>
      </c>
      <c r="AJ147" s="1602" t="e">
        <f>+AG147+#REF!</f>
        <v>#REF!</v>
      </c>
      <c r="AK147" s="2560"/>
      <c r="AL147" s="1504"/>
      <c r="AM147" s="13"/>
    </row>
    <row r="148" spans="1:39" s="5" customFormat="1" ht="26.25" customHeight="1">
      <c r="A148" s="3749">
        <f>+A147+1</f>
        <v>25</v>
      </c>
      <c r="B148" s="3753" t="s">
        <v>8292</v>
      </c>
      <c r="C148" s="3751" t="s">
        <v>8362</v>
      </c>
      <c r="D148" s="3449" t="s">
        <v>8292</v>
      </c>
      <c r="E148" s="3463" t="s">
        <v>8367</v>
      </c>
      <c r="F148" s="3719" t="s">
        <v>8248</v>
      </c>
      <c r="G148" s="3445" t="s">
        <v>210</v>
      </c>
      <c r="H148" s="3749"/>
      <c r="I148" s="3462">
        <v>2</v>
      </c>
      <c r="J148" s="3749"/>
      <c r="K148" s="3447" t="s">
        <v>210</v>
      </c>
      <c r="L148" s="3746" t="s">
        <v>8247</v>
      </c>
      <c r="M148" s="3746" t="s">
        <v>8360</v>
      </c>
      <c r="N148" s="2750" t="s">
        <v>8339</v>
      </c>
      <c r="O148" s="3744" t="s">
        <v>8333</v>
      </c>
      <c r="P148" s="3455" t="s">
        <v>8253</v>
      </c>
      <c r="Q148" s="1504"/>
      <c r="R148" s="3263" t="s">
        <v>8343</v>
      </c>
      <c r="S148" s="1503" t="s">
        <v>287</v>
      </c>
      <c r="T148" s="2472" t="s">
        <v>8278</v>
      </c>
      <c r="U148" s="1503"/>
      <c r="V148" s="1549"/>
      <c r="W148" s="2555"/>
      <c r="Y148" s="2556"/>
      <c r="Z148" s="2840">
        <v>1764000</v>
      </c>
      <c r="AA148" s="2556"/>
      <c r="AB148" s="2556"/>
      <c r="AC148" s="2556"/>
      <c r="AD148" s="2555"/>
      <c r="AE148" s="2556"/>
      <c r="AF148" s="3134"/>
      <c r="AG148" s="1339">
        <f>+SUM(Y148:AF148)</f>
        <v>1764000</v>
      </c>
      <c r="AH148" s="2557"/>
      <c r="AI148" s="2201">
        <f t="shared" si="58"/>
        <v>9720000</v>
      </c>
      <c r="AJ148" s="1602">
        <f t="shared" ref="AJ148" si="64">+AG148+AI148</f>
        <v>11484000</v>
      </c>
      <c r="AK148" s="2560"/>
      <c r="AL148" s="1504"/>
      <c r="AM148" s="13"/>
    </row>
    <row r="149" spans="1:39" s="5" customFormat="1" ht="24.75" customHeight="1">
      <c r="A149" s="3750"/>
      <c r="B149" s="3754"/>
      <c r="C149" s="3752"/>
      <c r="D149" s="3450"/>
      <c r="E149" s="3464"/>
      <c r="F149" s="3748"/>
      <c r="G149" s="3446"/>
      <c r="H149" s="3750"/>
      <c r="I149" s="3444"/>
      <c r="J149" s="3750"/>
      <c r="K149" s="3448"/>
      <c r="L149" s="3747"/>
      <c r="M149" s="3747"/>
      <c r="N149" s="2750" t="s">
        <v>8340</v>
      </c>
      <c r="O149" s="3745"/>
      <c r="P149" s="3457"/>
      <c r="Q149" s="1504"/>
      <c r="R149" s="3263" t="s">
        <v>8120</v>
      </c>
      <c r="S149" s="1503" t="s">
        <v>287</v>
      </c>
      <c r="T149" s="2472" t="s">
        <v>8278</v>
      </c>
      <c r="U149" s="1503"/>
      <c r="V149" s="1549"/>
      <c r="W149" s="2955"/>
      <c r="X149" s="2556"/>
      <c r="Y149" s="2556"/>
      <c r="Z149" s="2556"/>
      <c r="AA149" s="2556"/>
      <c r="AB149" s="2556"/>
      <c r="AC149" s="2556"/>
      <c r="AD149" s="2555"/>
      <c r="AE149" s="2556"/>
      <c r="AF149" s="3134"/>
      <c r="AG149" s="1339">
        <f t="shared" si="62"/>
        <v>0</v>
      </c>
      <c r="AH149" s="2557"/>
      <c r="AI149" s="2201">
        <f t="shared" si="58"/>
        <v>0</v>
      </c>
      <c r="AJ149" s="1602"/>
      <c r="AK149" s="2560"/>
      <c r="AL149" s="1504"/>
      <c r="AM149" s="13"/>
    </row>
    <row r="150" spans="1:39" s="5" customFormat="1" ht="26.25" customHeight="1">
      <c r="A150" s="1503">
        <f>+A147+1</f>
        <v>25</v>
      </c>
      <c r="B150" s="1503"/>
      <c r="C150" s="3274" t="s">
        <v>8380</v>
      </c>
      <c r="D150" s="1805" t="s">
        <v>8377</v>
      </c>
      <c r="E150" s="3264" t="s">
        <v>8318</v>
      </c>
      <c r="F150" s="2712" t="s">
        <v>7269</v>
      </c>
      <c r="G150" s="1915" t="s">
        <v>1300</v>
      </c>
      <c r="H150" s="1549">
        <v>1</v>
      </c>
      <c r="I150" s="1549"/>
      <c r="J150" s="1549"/>
      <c r="K150" s="2054" t="s">
        <v>210</v>
      </c>
      <c r="L150" s="2801" t="s">
        <v>8317</v>
      </c>
      <c r="M150" s="1504"/>
      <c r="N150" s="1504" t="s">
        <v>8381</v>
      </c>
      <c r="O150" s="2801" t="s">
        <v>8382</v>
      </c>
      <c r="P150" s="2016" t="s">
        <v>8335</v>
      </c>
      <c r="Q150" s="1504"/>
      <c r="R150" s="1504"/>
      <c r="S150" s="1503" t="s">
        <v>287</v>
      </c>
      <c r="T150" s="1549"/>
      <c r="U150" s="1503"/>
      <c r="V150" s="1549"/>
      <c r="W150" s="2555"/>
      <c r="X150" s="2556"/>
      <c r="Y150" s="2556"/>
      <c r="Z150" s="2556"/>
      <c r="AA150" s="2556"/>
      <c r="AB150" s="2556"/>
      <c r="AC150" s="2556"/>
      <c r="AD150" s="2555"/>
      <c r="AE150" s="2556"/>
      <c r="AF150" s="2556"/>
      <c r="AG150" s="1339">
        <f>+SUM(X150:AF150)</f>
        <v>0</v>
      </c>
      <c r="AH150" s="2557"/>
      <c r="AI150" s="2201">
        <f>(U150*1.08)+(V150*1.08)+(W150*1.08)+((850000*(H150+I150))+(H150*3650000)+(I150*3650000))*1.08</f>
        <v>4860000</v>
      </c>
      <c r="AJ150" s="1602">
        <f>+AG150+AI150</f>
        <v>4860000</v>
      </c>
      <c r="AK150" s="2560"/>
      <c r="AL150" s="1504"/>
      <c r="AM150" s="13"/>
    </row>
    <row r="151" spans="1:39" s="5" customFormat="1" ht="39.6">
      <c r="A151" s="1503">
        <f>+A148+1</f>
        <v>26</v>
      </c>
      <c r="B151" s="3272" t="s">
        <v>8379</v>
      </c>
      <c r="D151" s="1151"/>
      <c r="E151" s="1242"/>
      <c r="F151" s="2108" t="s">
        <v>8248</v>
      </c>
      <c r="G151" s="1915" t="s">
        <v>210</v>
      </c>
      <c r="H151" s="1549"/>
      <c r="I151" s="1503">
        <v>1</v>
      </c>
      <c r="J151" s="1549"/>
      <c r="K151" s="1917"/>
      <c r="L151" s="3254" t="s">
        <v>8271</v>
      </c>
      <c r="M151" s="1504"/>
      <c r="N151" s="1504"/>
      <c r="O151" s="1504"/>
      <c r="P151" s="2064" t="s">
        <v>8273</v>
      </c>
      <c r="Q151" s="1504"/>
      <c r="R151" s="1504"/>
      <c r="S151" s="1503" t="s">
        <v>287</v>
      </c>
      <c r="T151" s="2472" t="s">
        <v>8278</v>
      </c>
      <c r="U151" s="1503"/>
      <c r="V151" s="1549"/>
      <c r="W151" s="2555"/>
      <c r="X151" s="2556"/>
      <c r="Y151" s="2556"/>
      <c r="Z151" s="2556"/>
      <c r="AA151" s="2556"/>
      <c r="AB151" s="2556"/>
      <c r="AC151" s="2556"/>
      <c r="AD151" s="2555"/>
      <c r="AE151" s="2556"/>
      <c r="AF151" s="3134"/>
      <c r="AG151" s="1339">
        <f t="shared" si="62"/>
        <v>0</v>
      </c>
      <c r="AH151" s="2557"/>
      <c r="AI151" s="2201">
        <f t="shared" si="58"/>
        <v>4860000</v>
      </c>
      <c r="AJ151" s="1602">
        <f t="shared" ref="AJ151:AJ171" si="65">+AG151+AI151</f>
        <v>4860000</v>
      </c>
      <c r="AK151" s="2560"/>
      <c r="AL151" s="1504"/>
      <c r="AM151" s="13"/>
    </row>
    <row r="152" spans="1:39" s="5" customFormat="1" ht="27" customHeight="1">
      <c r="A152" s="1503">
        <f t="shared" si="38"/>
        <v>27</v>
      </c>
      <c r="B152" s="1503"/>
      <c r="C152" s="1915"/>
      <c r="D152" s="1805"/>
      <c r="E152" s="1915"/>
      <c r="F152" s="3253" t="s">
        <v>8324</v>
      </c>
      <c r="G152" s="1915" t="s">
        <v>210</v>
      </c>
      <c r="H152" s="1549"/>
      <c r="I152" s="1503">
        <v>4</v>
      </c>
      <c r="J152" s="1549"/>
      <c r="K152" s="1917"/>
      <c r="L152" s="3254" t="s">
        <v>8276</v>
      </c>
      <c r="M152" s="2592"/>
      <c r="N152" s="1504"/>
      <c r="O152" s="1504"/>
      <c r="P152" s="1916"/>
      <c r="Q152" s="1504"/>
      <c r="R152" s="1504"/>
      <c r="S152" s="2343" t="s">
        <v>3101</v>
      </c>
      <c r="T152" s="2343" t="s">
        <v>8277</v>
      </c>
      <c r="U152" s="1503"/>
      <c r="V152" s="1549"/>
      <c r="W152" s="2555"/>
      <c r="X152" s="2556"/>
      <c r="Y152" s="2556"/>
      <c r="Z152" s="2556"/>
      <c r="AA152" s="2556"/>
      <c r="AB152" s="2556"/>
      <c r="AC152" s="2556"/>
      <c r="AD152" s="2555"/>
      <c r="AE152" s="2556"/>
      <c r="AF152" s="3134"/>
      <c r="AG152" s="1339">
        <f t="shared" si="62"/>
        <v>0</v>
      </c>
      <c r="AH152" s="2557"/>
      <c r="AI152" s="2201">
        <f t="shared" si="58"/>
        <v>19440000</v>
      </c>
      <c r="AJ152" s="1602">
        <f t="shared" si="65"/>
        <v>19440000</v>
      </c>
      <c r="AK152" s="2560"/>
      <c r="AL152" s="1504"/>
      <c r="AM152" s="13"/>
    </row>
    <row r="153" spans="1:39" s="5" customFormat="1" ht="15.6">
      <c r="A153" s="1503">
        <f>+A150+1</f>
        <v>26</v>
      </c>
      <c r="B153" s="1503"/>
      <c r="C153" s="1915"/>
      <c r="D153" s="1805"/>
      <c r="E153" s="1915"/>
      <c r="F153" s="2712" t="s">
        <v>6500</v>
      </c>
      <c r="G153" s="1915" t="s">
        <v>1300</v>
      </c>
      <c r="H153" s="1549"/>
      <c r="I153" s="1549"/>
      <c r="J153" s="1549" t="s">
        <v>128</v>
      </c>
      <c r="K153" s="1917"/>
      <c r="L153" s="2801" t="s">
        <v>8348</v>
      </c>
      <c r="M153" s="1504"/>
      <c r="N153" s="1504"/>
      <c r="O153" s="1504"/>
      <c r="P153" s="1916"/>
      <c r="Q153" s="1504"/>
      <c r="R153" s="1504"/>
      <c r="S153" s="1549"/>
      <c r="T153" s="1549"/>
      <c r="U153" s="1503"/>
      <c r="V153" s="1549"/>
      <c r="W153" s="2555"/>
      <c r="X153" s="2556"/>
      <c r="Y153" s="2556"/>
      <c r="Z153" s="2556"/>
      <c r="AA153" s="2556"/>
      <c r="AB153" s="2556"/>
      <c r="AC153" s="2556"/>
      <c r="AD153" s="2555"/>
      <c r="AE153" s="2556"/>
      <c r="AF153" s="2556"/>
      <c r="AG153" s="1339">
        <f t="shared" si="62"/>
        <v>0</v>
      </c>
      <c r="AH153" s="2557"/>
      <c r="AI153" s="2201">
        <f t="shared" ref="AI153:AI171" si="66">(U153*1.08)+(V153*1.08)+(W153*1.08)+((850000*(H153+I153))+(H153*3650000)+(I153*3650000))*1.08</f>
        <v>0</v>
      </c>
      <c r="AJ153" s="1602">
        <f t="shared" si="65"/>
        <v>0</v>
      </c>
      <c r="AK153" s="2560"/>
      <c r="AL153" s="1504"/>
      <c r="AM153" s="13"/>
    </row>
    <row r="154" spans="1:39" s="5" customFormat="1" ht="26.4">
      <c r="A154" s="1503">
        <f t="shared" ref="A154:A171" si="67">+A153+1</f>
        <v>27</v>
      </c>
      <c r="B154" s="1503"/>
      <c r="C154" s="1915"/>
      <c r="D154" s="1805"/>
      <c r="E154" s="1915"/>
      <c r="F154" s="2712" t="s">
        <v>8385</v>
      </c>
      <c r="G154" s="1915" t="s">
        <v>1300</v>
      </c>
      <c r="H154" s="1549"/>
      <c r="I154" s="1503">
        <v>2</v>
      </c>
      <c r="J154" s="1549"/>
      <c r="K154" s="1917"/>
      <c r="L154" s="2801" t="s">
        <v>8388</v>
      </c>
      <c r="M154" s="1504"/>
      <c r="N154" s="2725" t="s">
        <v>8386</v>
      </c>
      <c r="O154" s="2801" t="s">
        <v>8384</v>
      </c>
      <c r="P154" s="1805" t="s">
        <v>8387</v>
      </c>
      <c r="Q154" s="1504"/>
      <c r="R154" s="1504"/>
      <c r="S154" s="1549"/>
      <c r="T154" s="1549"/>
      <c r="U154" s="1503"/>
      <c r="V154" s="1549"/>
      <c r="W154" s="2555"/>
      <c r="X154" s="2556"/>
      <c r="Y154" s="2556"/>
      <c r="Z154" s="2556"/>
      <c r="AA154" s="2556"/>
      <c r="AB154" s="2556"/>
      <c r="AC154" s="2556"/>
      <c r="AD154" s="2555"/>
      <c r="AE154" s="2556"/>
      <c r="AF154" s="2556"/>
      <c r="AG154" s="2556"/>
      <c r="AH154" s="2557"/>
      <c r="AI154" s="2201">
        <f t="shared" si="66"/>
        <v>9720000</v>
      </c>
      <c r="AJ154" s="1602">
        <f t="shared" si="65"/>
        <v>9720000</v>
      </c>
      <c r="AK154" s="2560"/>
      <c r="AL154" s="1504"/>
      <c r="AM154" s="13"/>
    </row>
    <row r="155" spans="1:39" s="5" customFormat="1" ht="15.6">
      <c r="A155" s="1503">
        <f t="shared" si="67"/>
        <v>28</v>
      </c>
      <c r="B155" s="1503"/>
      <c r="C155" s="1915"/>
      <c r="D155" s="1805"/>
      <c r="E155" s="1915"/>
      <c r="F155" s="2712" t="s">
        <v>6500</v>
      </c>
      <c r="G155" s="1915" t="s">
        <v>1300</v>
      </c>
      <c r="H155" s="1549"/>
      <c r="I155" s="1549"/>
      <c r="J155" s="1549" t="s">
        <v>128</v>
      </c>
      <c r="K155" s="1917"/>
      <c r="L155" s="2801" t="s">
        <v>8393</v>
      </c>
      <c r="M155" s="1520"/>
      <c r="N155" s="3270"/>
      <c r="O155" s="2801" t="s">
        <v>8394</v>
      </c>
      <c r="P155" s="1916"/>
      <c r="Q155" s="1504"/>
      <c r="R155" s="1504"/>
      <c r="S155" s="1549"/>
      <c r="T155" s="1549"/>
      <c r="U155" s="1503"/>
      <c r="V155" s="1549"/>
      <c r="W155" s="2555"/>
      <c r="X155" s="2556"/>
      <c r="Y155" s="2556"/>
      <c r="Z155" s="2556"/>
      <c r="AA155" s="2556"/>
      <c r="AB155" s="2556"/>
      <c r="AC155" s="2556"/>
      <c r="AD155" s="2555"/>
      <c r="AE155" s="2556"/>
      <c r="AF155" s="2556"/>
      <c r="AG155" s="2556"/>
      <c r="AH155" s="2557"/>
      <c r="AI155" s="2201">
        <f t="shared" si="66"/>
        <v>0</v>
      </c>
      <c r="AJ155" s="1602">
        <f t="shared" si="65"/>
        <v>0</v>
      </c>
      <c r="AK155" s="2560"/>
      <c r="AL155" s="1504"/>
      <c r="AM155" s="13"/>
    </row>
    <row r="156" spans="1:39" s="5" customFormat="1" ht="15.6">
      <c r="A156" s="1503">
        <f t="shared" si="67"/>
        <v>29</v>
      </c>
      <c r="B156" s="1503"/>
      <c r="C156" s="1915"/>
      <c r="D156" s="1805"/>
      <c r="E156" s="1915"/>
      <c r="F156" s="1915"/>
      <c r="G156" s="1915"/>
      <c r="H156" s="1549"/>
      <c r="I156" s="1549"/>
      <c r="J156" s="1549"/>
      <c r="K156" s="1917"/>
      <c r="L156" s="1504"/>
      <c r="M156" s="1504"/>
      <c r="N156" s="3270"/>
      <c r="O156" s="1504"/>
      <c r="P156" s="1916"/>
      <c r="Q156" s="1504"/>
      <c r="R156" s="1504"/>
      <c r="S156" s="1549"/>
      <c r="T156" s="1549"/>
      <c r="U156" s="1503"/>
      <c r="V156" s="1549"/>
      <c r="W156" s="2555"/>
      <c r="X156" s="2556"/>
      <c r="Y156" s="2556"/>
      <c r="Z156" s="2556"/>
      <c r="AA156" s="2556"/>
      <c r="AB156" s="2556"/>
      <c r="AC156" s="2556"/>
      <c r="AD156" s="2555"/>
      <c r="AE156" s="2556"/>
      <c r="AF156" s="2556"/>
      <c r="AG156" s="2556"/>
      <c r="AH156" s="2557"/>
      <c r="AI156" s="2201">
        <f t="shared" si="66"/>
        <v>0</v>
      </c>
      <c r="AJ156" s="1602">
        <f t="shared" si="65"/>
        <v>0</v>
      </c>
      <c r="AK156" s="2560"/>
      <c r="AL156" s="1504"/>
      <c r="AM156" s="13"/>
    </row>
    <row r="157" spans="1:39" s="5" customFormat="1" ht="15.6">
      <c r="A157" s="1503">
        <f t="shared" si="67"/>
        <v>30</v>
      </c>
      <c r="B157" s="1503"/>
      <c r="C157" s="1915"/>
      <c r="D157" s="1805"/>
      <c r="E157" s="1915"/>
      <c r="F157" s="1915"/>
      <c r="G157" s="1915"/>
      <c r="H157" s="1549"/>
      <c r="I157" s="1549"/>
      <c r="J157" s="1549"/>
      <c r="K157" s="1917"/>
      <c r="L157" s="1504"/>
      <c r="M157" s="1504"/>
      <c r="N157" s="3270"/>
      <c r="O157" s="1504"/>
      <c r="P157" s="1916"/>
      <c r="Q157" s="1504"/>
      <c r="R157" s="1504"/>
      <c r="S157" s="1549"/>
      <c r="T157" s="1549"/>
      <c r="U157" s="1503"/>
      <c r="V157" s="1549"/>
      <c r="W157" s="2555"/>
      <c r="X157" s="2556"/>
      <c r="Y157" s="2556"/>
      <c r="Z157" s="2556"/>
      <c r="AA157" s="2556"/>
      <c r="AB157" s="2556"/>
      <c r="AC157" s="2556"/>
      <c r="AD157" s="2555"/>
      <c r="AE157" s="2556"/>
      <c r="AF157" s="2556"/>
      <c r="AG157" s="2556"/>
      <c r="AH157" s="2557"/>
      <c r="AI157" s="2201">
        <f t="shared" si="66"/>
        <v>0</v>
      </c>
      <c r="AJ157" s="1602">
        <f t="shared" si="65"/>
        <v>0</v>
      </c>
      <c r="AK157" s="2560"/>
      <c r="AL157" s="1504"/>
      <c r="AM157" s="13"/>
    </row>
    <row r="158" spans="1:39" s="5" customFormat="1" ht="15.6">
      <c r="A158" s="1503">
        <f t="shared" si="67"/>
        <v>31</v>
      </c>
      <c r="B158" s="1503"/>
      <c r="C158" s="1915"/>
      <c r="D158" s="1805"/>
      <c r="E158" s="1915"/>
      <c r="F158" s="1915"/>
      <c r="G158" s="1915"/>
      <c r="H158" s="1549"/>
      <c r="I158" s="1549"/>
      <c r="J158" s="1549"/>
      <c r="K158" s="1917"/>
      <c r="L158" s="1504"/>
      <c r="M158" s="1504"/>
      <c r="N158" s="3271"/>
      <c r="O158" s="1504"/>
      <c r="P158" s="1916"/>
      <c r="Q158" s="1504"/>
      <c r="R158" s="1504"/>
      <c r="S158" s="1549"/>
      <c r="T158" s="1549"/>
      <c r="U158" s="1503"/>
      <c r="V158" s="1549"/>
      <c r="W158" s="2555"/>
      <c r="X158" s="2556"/>
      <c r="Y158" s="2556"/>
      <c r="Z158" s="2556"/>
      <c r="AA158" s="2556"/>
      <c r="AB158" s="2556"/>
      <c r="AC158" s="2556"/>
      <c r="AD158" s="2555"/>
      <c r="AE158" s="2556"/>
      <c r="AF158" s="2556"/>
      <c r="AG158" s="2556"/>
      <c r="AH158" s="2557"/>
      <c r="AI158" s="2201">
        <f t="shared" si="66"/>
        <v>0</v>
      </c>
      <c r="AJ158" s="1602">
        <f t="shared" si="65"/>
        <v>0</v>
      </c>
      <c r="AK158" s="2560"/>
      <c r="AL158" s="1504"/>
      <c r="AM158" s="13"/>
    </row>
    <row r="159" spans="1:39" s="5" customFormat="1" ht="15.6">
      <c r="A159" s="1503">
        <f t="shared" si="67"/>
        <v>32</v>
      </c>
      <c r="B159" s="1503"/>
      <c r="C159" s="1915"/>
      <c r="D159" s="1805"/>
      <c r="E159" s="1915"/>
      <c r="F159" s="1915"/>
      <c r="G159" s="1915"/>
      <c r="H159" s="1549"/>
      <c r="I159" s="1549"/>
      <c r="J159" s="1549"/>
      <c r="K159" s="1917"/>
      <c r="L159" s="1504"/>
      <c r="M159" s="1504"/>
      <c r="N159" s="1504"/>
      <c r="O159" s="1504"/>
      <c r="P159" s="1916"/>
      <c r="Q159" s="1504"/>
      <c r="R159" s="1504"/>
      <c r="S159" s="1549"/>
      <c r="T159" s="1549"/>
      <c r="U159" s="1503"/>
      <c r="V159" s="1549"/>
      <c r="W159" s="2555"/>
      <c r="X159" s="2556"/>
      <c r="Y159" s="2556"/>
      <c r="Z159" s="2556"/>
      <c r="AA159" s="2556"/>
      <c r="AB159" s="2556"/>
      <c r="AC159" s="2556"/>
      <c r="AD159" s="2555"/>
      <c r="AE159" s="2556"/>
      <c r="AF159" s="2556"/>
      <c r="AG159" s="2556"/>
      <c r="AH159" s="2557"/>
      <c r="AI159" s="2201">
        <f t="shared" si="66"/>
        <v>0</v>
      </c>
      <c r="AJ159" s="1602">
        <f t="shared" si="65"/>
        <v>0</v>
      </c>
      <c r="AK159" s="2560"/>
      <c r="AL159" s="1504"/>
      <c r="AM159" s="13"/>
    </row>
    <row r="160" spans="1:39" s="5" customFormat="1" ht="15.6">
      <c r="A160" s="1503">
        <f t="shared" si="67"/>
        <v>33</v>
      </c>
      <c r="B160" s="1503"/>
      <c r="C160" s="1915"/>
      <c r="D160" s="1805"/>
      <c r="E160" s="1915"/>
      <c r="F160" s="1915"/>
      <c r="G160" s="1915"/>
      <c r="H160" s="1549"/>
      <c r="I160" s="1549"/>
      <c r="J160" s="1549"/>
      <c r="K160" s="1917"/>
      <c r="L160" s="1504"/>
      <c r="M160" s="1504"/>
      <c r="N160" s="1504"/>
      <c r="O160" s="1504"/>
      <c r="P160" s="1916"/>
      <c r="Q160" s="1504"/>
      <c r="R160" s="1504"/>
      <c r="S160" s="1549"/>
      <c r="T160" s="1549"/>
      <c r="U160" s="1503"/>
      <c r="V160" s="1549"/>
      <c r="W160" s="2555"/>
      <c r="X160" s="2556"/>
      <c r="Y160" s="2556"/>
      <c r="Z160" s="2556"/>
      <c r="AA160" s="2556"/>
      <c r="AB160" s="2556"/>
      <c r="AC160" s="2556"/>
      <c r="AD160" s="2555"/>
      <c r="AE160" s="2556"/>
      <c r="AF160" s="2556"/>
      <c r="AG160" s="2556"/>
      <c r="AH160" s="2557"/>
      <c r="AI160" s="2201">
        <f t="shared" si="66"/>
        <v>0</v>
      </c>
      <c r="AJ160" s="1602">
        <f t="shared" si="65"/>
        <v>0</v>
      </c>
      <c r="AK160" s="2560"/>
      <c r="AL160" s="1504"/>
      <c r="AM160" s="13"/>
    </row>
    <row r="161" spans="1:39" s="5" customFormat="1" ht="15.6">
      <c r="A161" s="1503">
        <f t="shared" si="67"/>
        <v>34</v>
      </c>
      <c r="B161" s="1503"/>
      <c r="C161" s="1915"/>
      <c r="D161" s="1805"/>
      <c r="E161" s="1915"/>
      <c r="F161" s="1915"/>
      <c r="G161" s="1915"/>
      <c r="H161" s="1549"/>
      <c r="I161" s="1549"/>
      <c r="J161" s="1549"/>
      <c r="K161" s="1917"/>
      <c r="L161" s="1504"/>
      <c r="M161" s="1504"/>
      <c r="N161" s="1504"/>
      <c r="O161" s="1504"/>
      <c r="P161" s="1916"/>
      <c r="Q161" s="1504"/>
      <c r="R161" s="1504"/>
      <c r="S161" s="1549"/>
      <c r="T161" s="1549"/>
      <c r="U161" s="1503"/>
      <c r="V161" s="1549"/>
      <c r="W161" s="2555"/>
      <c r="X161" s="2556"/>
      <c r="Y161" s="2556"/>
      <c r="Z161" s="2556"/>
      <c r="AA161" s="2556"/>
      <c r="AB161" s="2556"/>
      <c r="AC161" s="2556"/>
      <c r="AD161" s="2555"/>
      <c r="AE161" s="2556"/>
      <c r="AF161" s="2556"/>
      <c r="AG161" s="2556"/>
      <c r="AH161" s="2557"/>
      <c r="AI161" s="2201">
        <f t="shared" si="66"/>
        <v>0</v>
      </c>
      <c r="AJ161" s="1602">
        <f t="shared" si="65"/>
        <v>0</v>
      </c>
      <c r="AK161" s="2560"/>
      <c r="AL161" s="1504"/>
      <c r="AM161" s="13"/>
    </row>
    <row r="162" spans="1:39" s="5" customFormat="1" ht="15.6">
      <c r="A162" s="1503">
        <f t="shared" si="67"/>
        <v>35</v>
      </c>
      <c r="B162" s="1503"/>
      <c r="C162" s="1915"/>
      <c r="D162" s="1805"/>
      <c r="E162" s="1915"/>
      <c r="F162" s="1915"/>
      <c r="G162" s="1915"/>
      <c r="H162" s="1549"/>
      <c r="I162" s="1549"/>
      <c r="J162" s="1549"/>
      <c r="K162" s="1917"/>
      <c r="L162" s="1504"/>
      <c r="M162" s="1504"/>
      <c r="N162" s="1504"/>
      <c r="O162" s="1504"/>
      <c r="P162" s="1916"/>
      <c r="Q162" s="1504"/>
      <c r="R162" s="1504"/>
      <c r="S162" s="1549"/>
      <c r="T162" s="1549"/>
      <c r="U162" s="1503"/>
      <c r="V162" s="1549"/>
      <c r="W162" s="2555"/>
      <c r="X162" s="2556"/>
      <c r="Y162" s="2556"/>
      <c r="Z162" s="2556"/>
      <c r="AA162" s="2556"/>
      <c r="AB162" s="2556"/>
      <c r="AC162" s="2556"/>
      <c r="AD162" s="2555"/>
      <c r="AE162" s="2556"/>
      <c r="AF162" s="2556"/>
      <c r="AG162" s="2556"/>
      <c r="AH162" s="2557"/>
      <c r="AI162" s="2201">
        <f t="shared" si="66"/>
        <v>0</v>
      </c>
      <c r="AJ162" s="1602">
        <f t="shared" si="65"/>
        <v>0</v>
      </c>
      <c r="AK162" s="2560"/>
      <c r="AL162" s="1504"/>
      <c r="AM162" s="13"/>
    </row>
    <row r="163" spans="1:39" s="5" customFormat="1" ht="15.6">
      <c r="A163" s="1503">
        <f t="shared" si="67"/>
        <v>36</v>
      </c>
      <c r="B163" s="1503"/>
      <c r="C163" s="1915"/>
      <c r="D163" s="1805"/>
      <c r="E163" s="1915"/>
      <c r="F163" s="1915"/>
      <c r="G163" s="1915"/>
      <c r="H163" s="1549"/>
      <c r="I163" s="1549"/>
      <c r="J163" s="1549"/>
      <c r="K163" s="1917"/>
      <c r="L163" s="1504"/>
      <c r="M163" s="1504"/>
      <c r="N163" s="1504"/>
      <c r="O163" s="1504"/>
      <c r="P163" s="1916"/>
      <c r="Q163" s="1504"/>
      <c r="R163" s="1504"/>
      <c r="S163" s="1549"/>
      <c r="T163" s="1549"/>
      <c r="U163" s="1503"/>
      <c r="V163" s="1549"/>
      <c r="W163" s="2555"/>
      <c r="X163" s="2556"/>
      <c r="Y163" s="2556"/>
      <c r="Z163" s="2556"/>
      <c r="AA163" s="2556"/>
      <c r="AB163" s="2556"/>
      <c r="AC163" s="2556"/>
      <c r="AD163" s="2555"/>
      <c r="AE163" s="2556"/>
      <c r="AF163" s="2556"/>
      <c r="AG163" s="2556"/>
      <c r="AH163" s="2557"/>
      <c r="AI163" s="2201">
        <f t="shared" si="66"/>
        <v>0</v>
      </c>
      <c r="AJ163" s="1602">
        <f t="shared" si="65"/>
        <v>0</v>
      </c>
      <c r="AK163" s="2560"/>
      <c r="AL163" s="1504"/>
      <c r="AM163" s="13"/>
    </row>
    <row r="164" spans="1:39" s="5" customFormat="1" ht="15.6">
      <c r="A164" s="1503">
        <f t="shared" si="67"/>
        <v>37</v>
      </c>
      <c r="B164" s="1503"/>
      <c r="C164" s="1915"/>
      <c r="D164" s="1805"/>
      <c r="E164" s="1915"/>
      <c r="F164" s="1915"/>
      <c r="G164" s="1915"/>
      <c r="H164" s="1549"/>
      <c r="I164" s="1549"/>
      <c r="J164" s="1549"/>
      <c r="K164" s="1917"/>
      <c r="L164" s="1504"/>
      <c r="M164" s="1504"/>
      <c r="N164" s="1504"/>
      <c r="O164" s="1504"/>
      <c r="P164" s="1916"/>
      <c r="Q164" s="1504"/>
      <c r="R164" s="1504"/>
      <c r="S164" s="1549"/>
      <c r="T164" s="1549"/>
      <c r="U164" s="1503"/>
      <c r="V164" s="1549"/>
      <c r="W164" s="2555"/>
      <c r="X164" s="2556"/>
      <c r="Y164" s="2556"/>
      <c r="Z164" s="2556"/>
      <c r="AA164" s="2556"/>
      <c r="AB164" s="2556"/>
      <c r="AC164" s="2556"/>
      <c r="AD164" s="2555"/>
      <c r="AE164" s="2556"/>
      <c r="AF164" s="2556"/>
      <c r="AG164" s="2556"/>
      <c r="AH164" s="2557"/>
      <c r="AI164" s="2201">
        <f t="shared" si="66"/>
        <v>0</v>
      </c>
      <c r="AJ164" s="1602">
        <f t="shared" si="65"/>
        <v>0</v>
      </c>
      <c r="AK164" s="2560"/>
      <c r="AL164" s="1504"/>
      <c r="AM164" s="13"/>
    </row>
    <row r="165" spans="1:39" s="5" customFormat="1" ht="15.6">
      <c r="A165" s="1503">
        <f t="shared" si="67"/>
        <v>38</v>
      </c>
      <c r="B165" s="1503"/>
      <c r="C165" s="1915"/>
      <c r="D165" s="1805"/>
      <c r="E165" s="1915"/>
      <c r="F165" s="1915"/>
      <c r="G165" s="1915"/>
      <c r="H165" s="1549"/>
      <c r="I165" s="1549"/>
      <c r="J165" s="1549"/>
      <c r="K165" s="1917"/>
      <c r="L165" s="1504"/>
      <c r="M165" s="1504"/>
      <c r="N165" s="1504"/>
      <c r="O165" s="1504"/>
      <c r="P165" s="1916"/>
      <c r="Q165" s="1504"/>
      <c r="R165" s="1504"/>
      <c r="S165" s="1549"/>
      <c r="T165" s="1549"/>
      <c r="U165" s="1503"/>
      <c r="V165" s="1549"/>
      <c r="W165" s="2555"/>
      <c r="X165" s="2556"/>
      <c r="Y165" s="2556"/>
      <c r="Z165" s="2556"/>
      <c r="AA165" s="2556"/>
      <c r="AB165" s="2556"/>
      <c r="AC165" s="2556"/>
      <c r="AD165" s="2555"/>
      <c r="AE165" s="2556"/>
      <c r="AF165" s="2556"/>
      <c r="AG165" s="2556"/>
      <c r="AH165" s="2557"/>
      <c r="AI165" s="2201">
        <f t="shared" si="66"/>
        <v>0</v>
      </c>
      <c r="AJ165" s="1602">
        <f t="shared" si="65"/>
        <v>0</v>
      </c>
      <c r="AK165" s="2560"/>
      <c r="AL165" s="1504"/>
      <c r="AM165" s="13"/>
    </row>
    <row r="166" spans="1:39" s="5" customFormat="1" ht="15.6">
      <c r="A166" s="1503">
        <f t="shared" si="67"/>
        <v>39</v>
      </c>
      <c r="B166" s="1503"/>
      <c r="C166" s="1915"/>
      <c r="D166" s="1805"/>
      <c r="E166" s="1915"/>
      <c r="F166" s="1915"/>
      <c r="G166" s="1915"/>
      <c r="H166" s="1549"/>
      <c r="I166" s="1549"/>
      <c r="J166" s="1549"/>
      <c r="K166" s="1917"/>
      <c r="L166" s="1504"/>
      <c r="M166" s="1504"/>
      <c r="N166" s="1504"/>
      <c r="O166" s="1504"/>
      <c r="P166" s="1916"/>
      <c r="Q166" s="1504"/>
      <c r="R166" s="1504"/>
      <c r="S166" s="1549"/>
      <c r="T166" s="1549"/>
      <c r="U166" s="1503"/>
      <c r="V166" s="1549"/>
      <c r="W166" s="2555"/>
      <c r="X166" s="2556"/>
      <c r="Y166" s="2556"/>
      <c r="Z166" s="2556"/>
      <c r="AA166" s="2556"/>
      <c r="AB166" s="2556"/>
      <c r="AC166" s="2556"/>
      <c r="AD166" s="2555"/>
      <c r="AE166" s="2556"/>
      <c r="AF166" s="2556"/>
      <c r="AG166" s="2556"/>
      <c r="AH166" s="2557"/>
      <c r="AI166" s="2201">
        <f t="shared" si="66"/>
        <v>0</v>
      </c>
      <c r="AJ166" s="1602">
        <f t="shared" si="65"/>
        <v>0</v>
      </c>
      <c r="AK166" s="2560"/>
      <c r="AL166" s="1504"/>
      <c r="AM166" s="13"/>
    </row>
    <row r="167" spans="1:39" s="5" customFormat="1" ht="15.6">
      <c r="A167" s="1503">
        <f t="shared" si="67"/>
        <v>40</v>
      </c>
      <c r="B167" s="1503"/>
      <c r="C167" s="1915"/>
      <c r="D167" s="1805"/>
      <c r="E167" s="1915"/>
      <c r="F167" s="1915"/>
      <c r="G167" s="1915"/>
      <c r="H167" s="1549"/>
      <c r="I167" s="1549"/>
      <c r="J167" s="1549"/>
      <c r="K167" s="1917"/>
      <c r="L167" s="1504"/>
      <c r="M167" s="1504"/>
      <c r="N167" s="1504"/>
      <c r="O167" s="1504"/>
      <c r="P167" s="1916"/>
      <c r="Q167" s="1504"/>
      <c r="R167" s="1504"/>
      <c r="S167" s="1549"/>
      <c r="T167" s="1549"/>
      <c r="U167" s="1503"/>
      <c r="V167" s="1549"/>
      <c r="W167" s="2555"/>
      <c r="X167" s="2556"/>
      <c r="Y167" s="2556"/>
      <c r="Z167" s="2556"/>
      <c r="AA167" s="2556"/>
      <c r="AB167" s="2556"/>
      <c r="AC167" s="2556"/>
      <c r="AD167" s="2555"/>
      <c r="AE167" s="2556"/>
      <c r="AF167" s="2556"/>
      <c r="AG167" s="2556"/>
      <c r="AH167" s="2557"/>
      <c r="AI167" s="2201">
        <f t="shared" si="66"/>
        <v>0</v>
      </c>
      <c r="AJ167" s="1602">
        <f t="shared" si="65"/>
        <v>0</v>
      </c>
      <c r="AK167" s="2560"/>
      <c r="AL167" s="1504"/>
      <c r="AM167" s="13"/>
    </row>
    <row r="168" spans="1:39" s="5" customFormat="1" ht="15.6">
      <c r="A168" s="1503">
        <f t="shared" si="67"/>
        <v>41</v>
      </c>
      <c r="B168" s="1503"/>
      <c r="C168" s="1915"/>
      <c r="D168" s="1805"/>
      <c r="E168" s="1915"/>
      <c r="F168" s="1915"/>
      <c r="G168" s="1915"/>
      <c r="H168" s="1549"/>
      <c r="I168" s="1549"/>
      <c r="J168" s="1549"/>
      <c r="K168" s="1917"/>
      <c r="L168" s="1504"/>
      <c r="M168" s="1504"/>
      <c r="N168" s="1504"/>
      <c r="O168" s="1504"/>
      <c r="P168" s="1916"/>
      <c r="Q168" s="1504"/>
      <c r="R168" s="1504"/>
      <c r="S168" s="1549"/>
      <c r="T168" s="1549"/>
      <c r="U168" s="1503"/>
      <c r="V168" s="1549"/>
      <c r="W168" s="2555"/>
      <c r="X168" s="2556"/>
      <c r="Y168" s="2556"/>
      <c r="Z168" s="2556"/>
      <c r="AA168" s="2556"/>
      <c r="AB168" s="2556"/>
      <c r="AC168" s="2556"/>
      <c r="AD168" s="2555"/>
      <c r="AE168" s="2556"/>
      <c r="AF168" s="2556"/>
      <c r="AG168" s="2556"/>
      <c r="AH168" s="2557"/>
      <c r="AI168" s="2201">
        <f t="shared" si="66"/>
        <v>0</v>
      </c>
      <c r="AJ168" s="1602">
        <f t="shared" si="65"/>
        <v>0</v>
      </c>
      <c r="AK168" s="2560"/>
      <c r="AL168" s="1504"/>
      <c r="AM168" s="13"/>
    </row>
    <row r="169" spans="1:39" s="5" customFormat="1" ht="15.6">
      <c r="A169" s="1503">
        <f t="shared" si="67"/>
        <v>42</v>
      </c>
      <c r="B169" s="1503"/>
      <c r="C169" s="1915"/>
      <c r="D169" s="1805"/>
      <c r="E169" s="1915"/>
      <c r="F169" s="1915"/>
      <c r="G169" s="1915"/>
      <c r="H169" s="1549"/>
      <c r="I169" s="1549"/>
      <c r="J169" s="1549"/>
      <c r="K169" s="1917"/>
      <c r="L169" s="1504"/>
      <c r="M169" s="1504"/>
      <c r="N169" s="1504"/>
      <c r="O169" s="1504"/>
      <c r="P169" s="1916"/>
      <c r="Q169" s="1504"/>
      <c r="R169" s="1504"/>
      <c r="S169" s="1549"/>
      <c r="T169" s="1549"/>
      <c r="U169" s="1503"/>
      <c r="V169" s="1549"/>
      <c r="W169" s="2555"/>
      <c r="X169" s="2556"/>
      <c r="Y169" s="2556"/>
      <c r="Z169" s="2556"/>
      <c r="AA169" s="2556"/>
      <c r="AB169" s="2556"/>
      <c r="AC169" s="2556"/>
      <c r="AD169" s="2555"/>
      <c r="AE169" s="2556"/>
      <c r="AF169" s="2556"/>
      <c r="AG169" s="2556"/>
      <c r="AH169" s="2557"/>
      <c r="AI169" s="2201">
        <f t="shared" si="66"/>
        <v>0</v>
      </c>
      <c r="AJ169" s="1602">
        <f t="shared" si="65"/>
        <v>0</v>
      </c>
      <c r="AK169" s="2560"/>
      <c r="AL169" s="1504"/>
      <c r="AM169" s="13"/>
    </row>
    <row r="170" spans="1:39" s="5" customFormat="1" ht="15.6">
      <c r="A170" s="1503">
        <f t="shared" si="67"/>
        <v>43</v>
      </c>
      <c r="B170" s="1503"/>
      <c r="C170" s="1915"/>
      <c r="D170" s="1805"/>
      <c r="E170" s="1915"/>
      <c r="F170" s="1915"/>
      <c r="G170" s="1915"/>
      <c r="H170" s="1549"/>
      <c r="I170" s="1549"/>
      <c r="J170" s="1549"/>
      <c r="K170" s="1917"/>
      <c r="L170" s="1504"/>
      <c r="M170" s="1504"/>
      <c r="N170" s="1504"/>
      <c r="O170" s="1504"/>
      <c r="P170" s="1916"/>
      <c r="Q170" s="1504"/>
      <c r="R170" s="1504"/>
      <c r="S170" s="1549"/>
      <c r="T170" s="1549"/>
      <c r="U170" s="1503"/>
      <c r="V170" s="1549"/>
      <c r="W170" s="2555"/>
      <c r="X170" s="2556"/>
      <c r="Y170" s="2556"/>
      <c r="Z170" s="2556"/>
      <c r="AA170" s="2556"/>
      <c r="AB170" s="2556"/>
      <c r="AC170" s="2556"/>
      <c r="AD170" s="2555"/>
      <c r="AE170" s="2556"/>
      <c r="AF170" s="2556"/>
      <c r="AG170" s="2556"/>
      <c r="AH170" s="2557"/>
      <c r="AI170" s="2201">
        <f t="shared" si="66"/>
        <v>0</v>
      </c>
      <c r="AJ170" s="1602">
        <f t="shared" si="65"/>
        <v>0</v>
      </c>
      <c r="AK170" s="2560"/>
      <c r="AL170" s="1504"/>
      <c r="AM170" s="13"/>
    </row>
    <row r="171" spans="1:39" s="5" customFormat="1" ht="15.6">
      <c r="A171" s="1503">
        <f t="shared" si="67"/>
        <v>44</v>
      </c>
      <c r="B171" s="1503"/>
      <c r="C171" s="1915"/>
      <c r="D171" s="1805"/>
      <c r="E171" s="1915"/>
      <c r="F171" s="1915"/>
      <c r="G171" s="1915"/>
      <c r="H171" s="1549"/>
      <c r="I171" s="1549"/>
      <c r="J171" s="1549"/>
      <c r="K171" s="1917"/>
      <c r="L171" s="1504"/>
      <c r="M171" s="1504"/>
      <c r="N171" s="1504"/>
      <c r="O171" s="1504"/>
      <c r="P171" s="1916"/>
      <c r="Q171" s="1504"/>
      <c r="R171" s="1504"/>
      <c r="S171" s="1549"/>
      <c r="T171" s="1549"/>
      <c r="U171" s="1503"/>
      <c r="V171" s="1549"/>
      <c r="W171" s="2555"/>
      <c r="X171" s="2556"/>
      <c r="Y171" s="2556"/>
      <c r="Z171" s="2556"/>
      <c r="AA171" s="2556"/>
      <c r="AB171" s="2556"/>
      <c r="AC171" s="2556"/>
      <c r="AD171" s="2555"/>
      <c r="AE171" s="2556"/>
      <c r="AF171" s="2556"/>
      <c r="AG171" s="2556"/>
      <c r="AH171" s="2557"/>
      <c r="AI171" s="2201">
        <f t="shared" si="66"/>
        <v>0</v>
      </c>
      <c r="AJ171" s="1602">
        <f t="shared" si="65"/>
        <v>0</v>
      </c>
      <c r="AK171" s="2560"/>
      <c r="AL171" s="1504"/>
      <c r="AM171" s="13"/>
    </row>
    <row r="172" spans="1:39" s="5" customFormat="1">
      <c r="A172" s="1"/>
      <c r="B172" s="1"/>
      <c r="C172" s="4"/>
      <c r="D172" s="3"/>
      <c r="E172" s="4"/>
      <c r="F172" s="4"/>
      <c r="G172" s="4"/>
      <c r="H172" s="6"/>
      <c r="I172" s="6"/>
      <c r="J172" s="6"/>
      <c r="K172" s="11"/>
      <c r="P172" s="7"/>
      <c r="S172" s="6"/>
      <c r="T172" s="6"/>
      <c r="U172" s="1"/>
      <c r="V172" s="6"/>
      <c r="W172" s="1767"/>
      <c r="X172" s="1766"/>
      <c r="Y172" s="1766"/>
      <c r="Z172" s="1766"/>
      <c r="AA172" s="1766"/>
      <c r="AB172" s="1766"/>
      <c r="AC172" s="1766"/>
      <c r="AD172" s="1767"/>
      <c r="AE172" s="1766"/>
      <c r="AF172" s="1766"/>
      <c r="AG172" s="1766"/>
      <c r="AH172" s="1768"/>
      <c r="AI172" s="1799"/>
      <c r="AJ172" s="1770"/>
      <c r="AK172" s="1771"/>
      <c r="AM172" s="13"/>
    </row>
    <row r="173" spans="1:39" s="5" customFormat="1">
      <c r="A173" s="1"/>
      <c r="B173" s="1"/>
      <c r="C173" s="4"/>
      <c r="D173" s="3"/>
      <c r="E173" s="4"/>
      <c r="F173" s="4"/>
      <c r="G173" s="4"/>
      <c r="H173" s="6"/>
      <c r="I173" s="6"/>
      <c r="J173" s="6"/>
      <c r="K173" s="11"/>
      <c r="P173" s="7"/>
      <c r="S173" s="6"/>
      <c r="T173" s="6"/>
      <c r="U173" s="1"/>
      <c r="V173" s="6"/>
      <c r="W173" s="1767"/>
      <c r="X173" s="1766"/>
      <c r="Y173" s="1766"/>
      <c r="Z173" s="1766"/>
      <c r="AA173" s="1766"/>
      <c r="AB173" s="1766"/>
      <c r="AC173" s="1766"/>
      <c r="AD173" s="1767"/>
      <c r="AE173" s="1766"/>
      <c r="AF173" s="1766"/>
      <c r="AG173" s="1766"/>
      <c r="AH173" s="1768"/>
      <c r="AI173" s="1799"/>
      <c r="AJ173" s="1770"/>
      <c r="AK173" s="1771"/>
      <c r="AM173" s="13"/>
    </row>
    <row r="174" spans="1:39" s="5" customFormat="1">
      <c r="A174" s="1"/>
      <c r="B174" s="1"/>
      <c r="C174" s="4"/>
      <c r="D174" s="3"/>
      <c r="E174" s="4"/>
      <c r="F174" s="4"/>
      <c r="G174" s="4"/>
      <c r="H174" s="6"/>
      <c r="I174" s="6"/>
      <c r="J174" s="6"/>
      <c r="K174" s="11"/>
      <c r="P174" s="7"/>
      <c r="S174" s="6"/>
      <c r="T174" s="6"/>
      <c r="U174" s="1"/>
      <c r="V174" s="6"/>
      <c r="W174" s="1767"/>
      <c r="X174" s="1766"/>
      <c r="Y174" s="1766"/>
      <c r="Z174" s="1766"/>
      <c r="AA174" s="1766"/>
      <c r="AB174" s="1766"/>
      <c r="AC174" s="1766"/>
      <c r="AD174" s="1767"/>
      <c r="AE174" s="1766"/>
      <c r="AF174" s="1766"/>
      <c r="AG174" s="1766"/>
      <c r="AH174" s="1768"/>
      <c r="AI174" s="1799"/>
      <c r="AJ174" s="1770"/>
      <c r="AK174" s="1771"/>
      <c r="AM174" s="13"/>
    </row>
    <row r="175" spans="1:39" s="5" customFormat="1">
      <c r="A175" s="1"/>
      <c r="B175" s="1"/>
      <c r="C175" s="4"/>
      <c r="D175" s="3"/>
      <c r="E175" s="4"/>
      <c r="F175" s="4"/>
      <c r="G175" s="4"/>
      <c r="H175" s="6"/>
      <c r="I175" s="6"/>
      <c r="J175" s="6"/>
      <c r="K175" s="11"/>
      <c r="P175" s="7"/>
      <c r="S175" s="6"/>
      <c r="T175" s="6"/>
      <c r="U175" s="1"/>
      <c r="V175" s="6"/>
      <c r="W175" s="1767"/>
      <c r="X175" s="1766"/>
      <c r="Y175" s="1766"/>
      <c r="Z175" s="1766"/>
      <c r="AA175" s="1766"/>
      <c r="AB175" s="1766"/>
      <c r="AC175" s="1766"/>
      <c r="AD175" s="1767"/>
      <c r="AE175" s="1766"/>
      <c r="AF175" s="1766"/>
      <c r="AG175" s="1766"/>
      <c r="AH175" s="1768"/>
      <c r="AI175" s="1799"/>
      <c r="AJ175" s="1770"/>
      <c r="AK175" s="1771"/>
      <c r="AM175" s="13"/>
    </row>
    <row r="176" spans="1:39" s="5" customFormat="1">
      <c r="A176" s="1"/>
      <c r="B176" s="1"/>
      <c r="C176" s="4"/>
      <c r="D176" s="3"/>
      <c r="E176" s="4"/>
      <c r="F176" s="4"/>
      <c r="G176" s="4"/>
      <c r="H176" s="6"/>
      <c r="I176" s="6"/>
      <c r="J176" s="6"/>
      <c r="K176" s="11"/>
      <c r="P176" s="7"/>
      <c r="S176" s="6"/>
      <c r="T176" s="6"/>
      <c r="U176" s="1"/>
      <c r="V176" s="6"/>
      <c r="W176" s="1767"/>
      <c r="X176" s="1766"/>
      <c r="Y176" s="1766"/>
      <c r="Z176" s="1766"/>
      <c r="AA176" s="1766"/>
      <c r="AB176" s="1766"/>
      <c r="AC176" s="1766"/>
      <c r="AD176" s="1767"/>
      <c r="AE176" s="1766"/>
      <c r="AF176" s="1766"/>
      <c r="AG176" s="1766"/>
      <c r="AH176" s="1768"/>
      <c r="AI176" s="1799"/>
      <c r="AJ176" s="1770"/>
      <c r="AK176" s="1771"/>
      <c r="AM176" s="13"/>
    </row>
    <row r="177" spans="1:39" s="5" customFormat="1">
      <c r="A177" s="1"/>
      <c r="B177" s="1"/>
      <c r="C177" s="4"/>
      <c r="D177" s="3"/>
      <c r="E177" s="4"/>
      <c r="F177" s="4"/>
      <c r="G177" s="4"/>
      <c r="H177" s="6"/>
      <c r="I177" s="6"/>
      <c r="J177" s="6"/>
      <c r="K177" s="11"/>
      <c r="P177" s="7"/>
      <c r="S177" s="6"/>
      <c r="T177" s="6"/>
      <c r="U177" s="1"/>
      <c r="V177" s="6"/>
      <c r="W177" s="1767"/>
      <c r="X177" s="1766"/>
      <c r="Y177" s="1766"/>
      <c r="Z177" s="1766"/>
      <c r="AA177" s="1766"/>
      <c r="AB177" s="1766"/>
      <c r="AC177" s="1766"/>
      <c r="AD177" s="1767"/>
      <c r="AE177" s="1766"/>
      <c r="AF177" s="1766"/>
      <c r="AG177" s="1766"/>
      <c r="AH177" s="1768"/>
      <c r="AI177" s="1799"/>
      <c r="AJ177" s="1770"/>
      <c r="AK177" s="1771"/>
      <c r="AM177" s="13"/>
    </row>
    <row r="178" spans="1:39" s="5" customFormat="1">
      <c r="A178" s="1"/>
      <c r="B178" s="1"/>
      <c r="C178" s="4"/>
      <c r="D178" s="3"/>
      <c r="E178" s="4"/>
      <c r="F178" s="4"/>
      <c r="G178" s="4"/>
      <c r="H178" s="6"/>
      <c r="I178" s="6"/>
      <c r="J178" s="6"/>
      <c r="K178" s="11"/>
      <c r="P178" s="7"/>
      <c r="S178" s="6"/>
      <c r="T178" s="6"/>
      <c r="U178" s="1"/>
      <c r="V178" s="6"/>
      <c r="W178" s="1767"/>
      <c r="X178" s="1766"/>
      <c r="Y178" s="1766"/>
      <c r="Z178" s="1766"/>
      <c r="AA178" s="1766"/>
      <c r="AB178" s="1766"/>
      <c r="AC178" s="1766"/>
      <c r="AD178" s="1767"/>
      <c r="AE178" s="1766"/>
      <c r="AF178" s="1766"/>
      <c r="AG178" s="1766"/>
      <c r="AH178" s="1768"/>
      <c r="AI178" s="1799"/>
      <c r="AJ178" s="1770"/>
      <c r="AK178" s="1771"/>
      <c r="AM178" s="13"/>
    </row>
    <row r="179" spans="1:39" s="5" customFormat="1">
      <c r="A179" s="1"/>
      <c r="B179" s="1"/>
      <c r="C179" s="4"/>
      <c r="D179" s="3"/>
      <c r="E179" s="4"/>
      <c r="F179" s="4"/>
      <c r="G179" s="4"/>
      <c r="H179" s="6"/>
      <c r="I179" s="6"/>
      <c r="J179" s="6"/>
      <c r="K179" s="11"/>
      <c r="P179" s="7"/>
      <c r="S179" s="6"/>
      <c r="T179" s="6"/>
      <c r="U179" s="1"/>
      <c r="V179" s="6"/>
      <c r="W179" s="1767"/>
      <c r="X179" s="1766"/>
      <c r="Y179" s="1766"/>
      <c r="Z179" s="1766"/>
      <c r="AA179" s="1766"/>
      <c r="AB179" s="1766"/>
      <c r="AC179" s="1766"/>
      <c r="AD179" s="1767"/>
      <c r="AE179" s="1766"/>
      <c r="AF179" s="1766"/>
      <c r="AG179" s="1766"/>
      <c r="AH179" s="1768"/>
      <c r="AI179" s="1799"/>
      <c r="AJ179" s="1770"/>
      <c r="AK179" s="1771"/>
      <c r="AM179" s="13"/>
    </row>
    <row r="180" spans="1:39" s="5" customFormat="1">
      <c r="A180" s="1"/>
      <c r="B180" s="1"/>
      <c r="C180" s="4"/>
      <c r="D180" s="3"/>
      <c r="E180" s="4"/>
      <c r="F180" s="4"/>
      <c r="G180" s="4"/>
      <c r="H180" s="6"/>
      <c r="I180" s="6"/>
      <c r="J180" s="6"/>
      <c r="K180" s="11"/>
      <c r="P180" s="7"/>
      <c r="S180" s="6"/>
      <c r="T180" s="6"/>
      <c r="U180" s="1"/>
      <c r="V180" s="6"/>
      <c r="W180" s="1767"/>
      <c r="X180" s="1766"/>
      <c r="Y180" s="1766"/>
      <c r="Z180" s="1766"/>
      <c r="AA180" s="1766"/>
      <c r="AB180" s="1766"/>
      <c r="AC180" s="1766"/>
      <c r="AD180" s="1767"/>
      <c r="AE180" s="1766"/>
      <c r="AF180" s="1766"/>
      <c r="AG180" s="1766"/>
      <c r="AH180" s="1768"/>
      <c r="AI180" s="1799"/>
      <c r="AJ180" s="1770"/>
      <c r="AK180" s="1771"/>
      <c r="AM180" s="13"/>
    </row>
    <row r="181" spans="1:39" s="5" customFormat="1">
      <c r="A181" s="1"/>
      <c r="B181" s="1"/>
      <c r="C181" s="4"/>
      <c r="D181" s="3"/>
      <c r="E181" s="4"/>
      <c r="F181" s="4"/>
      <c r="G181" s="4"/>
      <c r="H181" s="6"/>
      <c r="I181" s="6"/>
      <c r="J181" s="6"/>
      <c r="K181" s="11"/>
      <c r="P181" s="7"/>
      <c r="S181" s="6"/>
      <c r="T181" s="6"/>
      <c r="U181" s="1"/>
      <c r="V181" s="6"/>
      <c r="W181" s="1767"/>
      <c r="X181" s="1766"/>
      <c r="Y181" s="1766"/>
      <c r="Z181" s="1766"/>
      <c r="AA181" s="1766"/>
      <c r="AB181" s="1766"/>
      <c r="AC181" s="1766"/>
      <c r="AD181" s="1767"/>
      <c r="AE181" s="1766"/>
      <c r="AF181" s="1766"/>
      <c r="AG181" s="1766"/>
      <c r="AH181" s="1768"/>
      <c r="AI181" s="1799"/>
      <c r="AJ181" s="1770"/>
      <c r="AK181" s="1771"/>
      <c r="AM181" s="13"/>
    </row>
    <row r="182" spans="1:39" s="5" customFormat="1">
      <c r="A182" s="1"/>
      <c r="B182" s="1"/>
      <c r="C182" s="4"/>
      <c r="D182" s="3"/>
      <c r="E182" s="4"/>
      <c r="F182" s="4"/>
      <c r="G182" s="4"/>
      <c r="H182" s="6"/>
      <c r="I182" s="6"/>
      <c r="J182" s="6"/>
      <c r="K182" s="11"/>
      <c r="P182" s="7"/>
      <c r="S182" s="6"/>
      <c r="T182" s="6"/>
      <c r="U182" s="1"/>
      <c r="V182" s="6"/>
      <c r="W182" s="1767"/>
      <c r="X182" s="1766"/>
      <c r="Y182" s="1766"/>
      <c r="Z182" s="1766"/>
      <c r="AA182" s="1766"/>
      <c r="AB182" s="1766"/>
      <c r="AC182" s="1766"/>
      <c r="AD182" s="1767"/>
      <c r="AE182" s="1766"/>
      <c r="AF182" s="1766"/>
      <c r="AG182" s="1766"/>
      <c r="AH182" s="1768"/>
      <c r="AI182" s="1799"/>
      <c r="AJ182" s="1770"/>
      <c r="AK182" s="1771"/>
      <c r="AM182" s="13"/>
    </row>
    <row r="183" spans="1:39" s="5" customFormat="1">
      <c r="A183" s="1"/>
      <c r="B183" s="1"/>
      <c r="C183" s="4"/>
      <c r="D183" s="3"/>
      <c r="E183" s="4"/>
      <c r="F183" s="4"/>
      <c r="G183" s="4"/>
      <c r="H183" s="6"/>
      <c r="I183" s="6"/>
      <c r="J183" s="6"/>
      <c r="K183" s="11"/>
      <c r="P183" s="7"/>
      <c r="S183" s="6"/>
      <c r="T183" s="6"/>
      <c r="U183" s="1"/>
      <c r="V183" s="6"/>
      <c r="W183" s="1767"/>
      <c r="X183" s="1766"/>
      <c r="Y183" s="1766"/>
      <c r="Z183" s="1766"/>
      <c r="AA183" s="1766"/>
      <c r="AB183" s="1766"/>
      <c r="AC183" s="1766"/>
      <c r="AD183" s="1767"/>
      <c r="AE183" s="1766"/>
      <c r="AF183" s="1766"/>
      <c r="AG183" s="1766"/>
      <c r="AH183" s="1768"/>
      <c r="AI183" s="1799"/>
      <c r="AJ183" s="1770"/>
      <c r="AK183" s="1771"/>
      <c r="AM183" s="13"/>
    </row>
    <row r="184" spans="1:39" s="5" customFormat="1">
      <c r="A184" s="1"/>
      <c r="B184" s="1"/>
      <c r="C184" s="4"/>
      <c r="D184" s="3"/>
      <c r="E184" s="4"/>
      <c r="F184" s="4"/>
      <c r="G184" s="4"/>
      <c r="H184" s="6"/>
      <c r="I184" s="6"/>
      <c r="J184" s="6"/>
      <c r="K184" s="11"/>
      <c r="P184" s="7"/>
      <c r="S184" s="6"/>
      <c r="T184" s="6"/>
      <c r="U184" s="1"/>
      <c r="V184" s="6"/>
      <c r="W184" s="1767"/>
      <c r="X184" s="1766"/>
      <c r="Y184" s="1766"/>
      <c r="Z184" s="1766"/>
      <c r="AA184" s="1766"/>
      <c r="AB184" s="1766"/>
      <c r="AC184" s="1766"/>
      <c r="AD184" s="1767"/>
      <c r="AE184" s="1766"/>
      <c r="AF184" s="1766"/>
      <c r="AG184" s="1766"/>
      <c r="AH184" s="1768"/>
      <c r="AI184" s="1799"/>
      <c r="AJ184" s="1770"/>
      <c r="AK184" s="1771"/>
      <c r="AM184" s="13"/>
    </row>
    <row r="185" spans="1:39" s="5" customFormat="1">
      <c r="A185" s="1"/>
      <c r="B185" s="1"/>
      <c r="C185" s="4"/>
      <c r="D185" s="3"/>
      <c r="E185" s="4"/>
      <c r="F185" s="4"/>
      <c r="G185" s="4"/>
      <c r="H185" s="6"/>
      <c r="I185" s="6"/>
      <c r="J185" s="6"/>
      <c r="K185" s="11"/>
      <c r="P185" s="7"/>
      <c r="S185" s="6"/>
      <c r="T185" s="6"/>
      <c r="U185" s="1"/>
      <c r="V185" s="6"/>
      <c r="W185" s="1767"/>
      <c r="X185" s="1766"/>
      <c r="Y185" s="1766"/>
      <c r="Z185" s="1766"/>
      <c r="AA185" s="1766"/>
      <c r="AB185" s="1766"/>
      <c r="AC185" s="1766"/>
      <c r="AD185" s="1767"/>
      <c r="AE185" s="1766"/>
      <c r="AF185" s="1766"/>
      <c r="AG185" s="1766"/>
      <c r="AH185" s="1768"/>
      <c r="AI185" s="1799"/>
      <c r="AJ185" s="1770"/>
      <c r="AK185" s="1771"/>
      <c r="AM185" s="13"/>
    </row>
    <row r="186" spans="1:39" s="5" customFormat="1">
      <c r="A186" s="1"/>
      <c r="B186" s="1"/>
      <c r="C186" s="4"/>
      <c r="D186" s="3"/>
      <c r="E186" s="4"/>
      <c r="F186" s="4"/>
      <c r="G186" s="4"/>
      <c r="H186" s="6"/>
      <c r="I186" s="6"/>
      <c r="J186" s="6"/>
      <c r="K186" s="11"/>
      <c r="P186" s="7"/>
      <c r="S186" s="6"/>
      <c r="T186" s="6"/>
      <c r="U186" s="1"/>
      <c r="V186" s="6"/>
      <c r="W186" s="1767"/>
      <c r="X186" s="1766"/>
      <c r="Y186" s="1766"/>
      <c r="Z186" s="1766"/>
      <c r="AA186" s="1766"/>
      <c r="AB186" s="1766"/>
      <c r="AC186" s="1766"/>
      <c r="AD186" s="1767"/>
      <c r="AE186" s="1766"/>
      <c r="AF186" s="1766"/>
      <c r="AG186" s="1766"/>
      <c r="AH186" s="1768"/>
      <c r="AI186" s="1799"/>
      <c r="AJ186" s="1770"/>
      <c r="AK186" s="1771"/>
      <c r="AM186" s="13"/>
    </row>
    <row r="187" spans="1:39" s="5" customFormat="1">
      <c r="A187" s="1"/>
      <c r="B187" s="1"/>
      <c r="C187" s="4"/>
      <c r="D187" s="3"/>
      <c r="E187" s="4"/>
      <c r="F187" s="4"/>
      <c r="G187" s="4"/>
      <c r="H187" s="6"/>
      <c r="I187" s="6"/>
      <c r="J187" s="6"/>
      <c r="K187" s="11"/>
      <c r="P187" s="7"/>
      <c r="S187" s="6"/>
      <c r="T187" s="6"/>
      <c r="U187" s="1"/>
      <c r="V187" s="6"/>
      <c r="W187" s="1767"/>
      <c r="X187" s="1766"/>
      <c r="Y187" s="1766"/>
      <c r="Z187" s="1766"/>
      <c r="AA187" s="1766"/>
      <c r="AB187" s="1766"/>
      <c r="AC187" s="1766"/>
      <c r="AD187" s="1767"/>
      <c r="AE187" s="1766"/>
      <c r="AF187" s="1766"/>
      <c r="AG187" s="1766"/>
      <c r="AH187" s="1768"/>
      <c r="AI187" s="1799"/>
      <c r="AJ187" s="1770"/>
      <c r="AK187" s="1771"/>
      <c r="AM187" s="13"/>
    </row>
    <row r="188" spans="1:39" s="5" customFormat="1">
      <c r="A188" s="1"/>
      <c r="B188" s="1"/>
      <c r="C188" s="4"/>
      <c r="D188" s="3"/>
      <c r="E188" s="4"/>
      <c r="F188" s="4"/>
      <c r="G188" s="4"/>
      <c r="H188" s="6"/>
      <c r="I188" s="6"/>
      <c r="J188" s="6"/>
      <c r="K188" s="11"/>
      <c r="P188" s="7"/>
      <c r="S188" s="6"/>
      <c r="T188" s="6"/>
      <c r="U188" s="1"/>
      <c r="V188" s="6"/>
      <c r="W188" s="1767"/>
      <c r="X188" s="1766"/>
      <c r="Y188" s="1766"/>
      <c r="Z188" s="1766"/>
      <c r="AA188" s="1766"/>
      <c r="AB188" s="1766"/>
      <c r="AC188" s="1766"/>
      <c r="AD188" s="1767"/>
      <c r="AE188" s="1766"/>
      <c r="AF188" s="1766"/>
      <c r="AG188" s="1766"/>
      <c r="AH188" s="1768"/>
      <c r="AI188" s="1799"/>
      <c r="AJ188" s="1770"/>
      <c r="AK188" s="1771"/>
      <c r="AM188" s="13"/>
    </row>
    <row r="189" spans="1:39" s="5" customFormat="1">
      <c r="A189" s="1"/>
      <c r="B189" s="1"/>
      <c r="C189" s="4"/>
      <c r="D189" s="3"/>
      <c r="E189" s="4"/>
      <c r="F189" s="4"/>
      <c r="G189" s="4"/>
      <c r="H189" s="6"/>
      <c r="I189" s="6"/>
      <c r="J189" s="6"/>
      <c r="K189" s="11"/>
      <c r="P189" s="7"/>
      <c r="S189" s="6"/>
      <c r="T189" s="6"/>
      <c r="U189" s="1"/>
      <c r="V189" s="6"/>
      <c r="W189" s="1767"/>
      <c r="X189" s="1766"/>
      <c r="Y189" s="1766"/>
      <c r="Z189" s="1766"/>
      <c r="AA189" s="1766"/>
      <c r="AB189" s="1766"/>
      <c r="AC189" s="1766"/>
      <c r="AD189" s="1767"/>
      <c r="AE189" s="1766"/>
      <c r="AF189" s="1766"/>
      <c r="AG189" s="1766"/>
      <c r="AH189" s="1768"/>
      <c r="AI189" s="1799"/>
      <c r="AJ189" s="1770"/>
      <c r="AK189" s="1771"/>
      <c r="AM189" s="13"/>
    </row>
    <row r="190" spans="1:39" s="5" customFormat="1">
      <c r="A190" s="1"/>
      <c r="B190" s="1"/>
      <c r="C190" s="4"/>
      <c r="D190" s="3"/>
      <c r="E190" s="4"/>
      <c r="F190" s="4"/>
      <c r="G190" s="4"/>
      <c r="H190" s="6"/>
      <c r="I190" s="6"/>
      <c r="J190" s="6"/>
      <c r="K190" s="11"/>
      <c r="P190" s="7"/>
      <c r="S190" s="6"/>
      <c r="T190" s="6"/>
      <c r="U190" s="1"/>
      <c r="V190" s="6"/>
      <c r="W190" s="1767"/>
      <c r="X190" s="1766"/>
      <c r="Y190" s="1766"/>
      <c r="Z190" s="1766"/>
      <c r="AA190" s="1766"/>
      <c r="AB190" s="1766"/>
      <c r="AC190" s="1766"/>
      <c r="AD190" s="1767"/>
      <c r="AE190" s="1766"/>
      <c r="AF190" s="1766"/>
      <c r="AG190" s="1766"/>
      <c r="AH190" s="1768"/>
      <c r="AI190" s="1799"/>
      <c r="AJ190" s="1770"/>
      <c r="AK190" s="1771"/>
      <c r="AM190" s="13"/>
    </row>
    <row r="191" spans="1:39" s="5" customFormat="1">
      <c r="A191" s="1"/>
      <c r="B191" s="1"/>
      <c r="C191" s="4"/>
      <c r="D191" s="3"/>
      <c r="E191" s="4"/>
      <c r="F191" s="4"/>
      <c r="G191" s="4"/>
      <c r="H191" s="6"/>
      <c r="I191" s="6"/>
      <c r="J191" s="6"/>
      <c r="K191" s="11"/>
      <c r="P191" s="7"/>
      <c r="S191" s="6"/>
      <c r="T191" s="6"/>
      <c r="U191" s="1"/>
      <c r="V191" s="6"/>
      <c r="W191" s="1767"/>
      <c r="X191" s="1766"/>
      <c r="Y191" s="1766"/>
      <c r="Z191" s="1766"/>
      <c r="AA191" s="1766"/>
      <c r="AB191" s="1766"/>
      <c r="AC191" s="1766"/>
      <c r="AD191" s="1767"/>
      <c r="AE191" s="1766"/>
      <c r="AF191" s="1766"/>
      <c r="AG191" s="1766"/>
      <c r="AH191" s="1768"/>
      <c r="AI191" s="1799"/>
      <c r="AJ191" s="1770"/>
      <c r="AK191" s="1771"/>
      <c r="AM191" s="13"/>
    </row>
    <row r="192" spans="1:39" s="5" customFormat="1">
      <c r="A192" s="1"/>
      <c r="B192" s="1"/>
      <c r="C192" s="4"/>
      <c r="D192" s="3"/>
      <c r="E192" s="4"/>
      <c r="F192" s="4"/>
      <c r="G192" s="4"/>
      <c r="H192" s="6"/>
      <c r="I192" s="6"/>
      <c r="J192" s="6"/>
      <c r="K192" s="11"/>
      <c r="P192" s="7"/>
      <c r="S192" s="6"/>
      <c r="T192" s="6"/>
      <c r="U192" s="1"/>
      <c r="V192" s="6"/>
      <c r="W192" s="1767"/>
      <c r="X192" s="1766"/>
      <c r="Y192" s="1766"/>
      <c r="Z192" s="1766"/>
      <c r="AA192" s="1766"/>
      <c r="AB192" s="1766"/>
      <c r="AC192" s="1766"/>
      <c r="AD192" s="1767"/>
      <c r="AE192" s="1766"/>
      <c r="AF192" s="1766"/>
      <c r="AG192" s="1766"/>
      <c r="AH192" s="1768"/>
      <c r="AI192" s="1799"/>
      <c r="AJ192" s="1770"/>
      <c r="AK192" s="1771"/>
      <c r="AM192" s="13"/>
    </row>
    <row r="193" spans="1:39" s="5" customFormat="1">
      <c r="A193" s="1"/>
      <c r="B193" s="1"/>
      <c r="C193" s="4"/>
      <c r="D193" s="3"/>
      <c r="E193" s="4"/>
      <c r="F193" s="4"/>
      <c r="G193" s="4"/>
      <c r="H193" s="6"/>
      <c r="I193" s="6"/>
      <c r="J193" s="6"/>
      <c r="K193" s="11"/>
      <c r="P193" s="7"/>
      <c r="S193" s="6"/>
      <c r="T193" s="6"/>
      <c r="U193" s="1"/>
      <c r="V193" s="6"/>
      <c r="W193" s="1767"/>
      <c r="X193" s="1766"/>
      <c r="Y193" s="1766"/>
      <c r="Z193" s="1766"/>
      <c r="AA193" s="1766"/>
      <c r="AB193" s="1766"/>
      <c r="AC193" s="1766"/>
      <c r="AD193" s="1767"/>
      <c r="AE193" s="1766"/>
      <c r="AF193" s="1766"/>
      <c r="AG193" s="1766"/>
      <c r="AH193" s="1768"/>
      <c r="AI193" s="1799"/>
      <c r="AJ193" s="1770"/>
      <c r="AK193" s="1771"/>
      <c r="AM193" s="13"/>
    </row>
    <row r="194" spans="1:39" s="5" customFormat="1">
      <c r="A194" s="1"/>
      <c r="B194" s="1"/>
      <c r="C194" s="4"/>
      <c r="D194" s="3"/>
      <c r="E194" s="4"/>
      <c r="F194" s="4"/>
      <c r="G194" s="4"/>
      <c r="H194" s="6"/>
      <c r="I194" s="6"/>
      <c r="J194" s="6"/>
      <c r="K194" s="11"/>
      <c r="P194" s="7"/>
      <c r="S194" s="6"/>
      <c r="T194" s="6"/>
      <c r="U194" s="1"/>
      <c r="V194" s="6"/>
      <c r="W194" s="1767"/>
      <c r="X194" s="1766"/>
      <c r="Y194" s="1766"/>
      <c r="Z194" s="1766"/>
      <c r="AA194" s="1766"/>
      <c r="AB194" s="1766"/>
      <c r="AC194" s="1766"/>
      <c r="AD194" s="1767"/>
      <c r="AE194" s="1766"/>
      <c r="AF194" s="1766"/>
      <c r="AG194" s="1766"/>
      <c r="AH194" s="1768"/>
      <c r="AI194" s="1799"/>
      <c r="AJ194" s="1770"/>
      <c r="AK194" s="1771"/>
      <c r="AM194" s="13"/>
    </row>
    <row r="195" spans="1:39" s="5" customFormat="1">
      <c r="A195" s="1"/>
      <c r="B195" s="1"/>
      <c r="C195" s="4"/>
      <c r="D195" s="3"/>
      <c r="E195" s="4"/>
      <c r="F195" s="4"/>
      <c r="G195" s="4"/>
      <c r="H195" s="6"/>
      <c r="I195" s="6"/>
      <c r="J195" s="6"/>
      <c r="K195" s="11"/>
      <c r="P195" s="7"/>
      <c r="S195" s="6"/>
      <c r="T195" s="6"/>
      <c r="U195" s="1"/>
      <c r="V195" s="6"/>
      <c r="W195" s="1767"/>
      <c r="X195" s="1766"/>
      <c r="Y195" s="1766"/>
      <c r="Z195" s="1766"/>
      <c r="AA195" s="1766"/>
      <c r="AB195" s="1766"/>
      <c r="AC195" s="1766"/>
      <c r="AD195" s="1767"/>
      <c r="AE195" s="1766"/>
      <c r="AF195" s="1766"/>
      <c r="AG195" s="1766"/>
      <c r="AH195" s="1768"/>
      <c r="AI195" s="1799"/>
      <c r="AJ195" s="1770"/>
      <c r="AK195" s="1771"/>
      <c r="AM195" s="13"/>
    </row>
    <row r="196" spans="1:39" s="5" customFormat="1">
      <c r="A196" s="1"/>
      <c r="B196" s="1"/>
      <c r="C196" s="4"/>
      <c r="D196" s="3"/>
      <c r="E196" s="4"/>
      <c r="F196" s="4"/>
      <c r="G196" s="4"/>
      <c r="H196" s="6"/>
      <c r="I196" s="6"/>
      <c r="J196" s="6"/>
      <c r="K196" s="11"/>
      <c r="P196" s="7"/>
      <c r="S196" s="6"/>
      <c r="T196" s="6"/>
      <c r="U196" s="1"/>
      <c r="V196" s="6"/>
      <c r="W196" s="1767"/>
      <c r="X196" s="1766"/>
      <c r="Y196" s="1766"/>
      <c r="Z196" s="1766"/>
      <c r="AA196" s="1766"/>
      <c r="AB196" s="1766"/>
      <c r="AC196" s="1766"/>
      <c r="AD196" s="1767"/>
      <c r="AE196" s="1766"/>
      <c r="AF196" s="1766"/>
      <c r="AG196" s="1766"/>
      <c r="AH196" s="1768"/>
      <c r="AI196" s="1799"/>
      <c r="AJ196" s="1770"/>
      <c r="AK196" s="1771"/>
      <c r="AM196" s="13"/>
    </row>
    <row r="197" spans="1:39" s="5" customFormat="1">
      <c r="A197" s="1"/>
      <c r="B197" s="1"/>
      <c r="C197" s="4"/>
      <c r="D197" s="3"/>
      <c r="E197" s="4"/>
      <c r="F197" s="4"/>
      <c r="G197" s="4"/>
      <c r="H197" s="6"/>
      <c r="I197" s="6"/>
      <c r="J197" s="6"/>
      <c r="K197" s="11"/>
      <c r="P197" s="7"/>
      <c r="S197" s="6"/>
      <c r="T197" s="6"/>
      <c r="U197" s="1"/>
      <c r="V197" s="6"/>
      <c r="W197" s="1767"/>
      <c r="X197" s="1766"/>
      <c r="Y197" s="1766"/>
      <c r="Z197" s="1766"/>
      <c r="AA197" s="1766"/>
      <c r="AB197" s="1766"/>
      <c r="AC197" s="1766"/>
      <c r="AD197" s="1767"/>
      <c r="AE197" s="1766"/>
      <c r="AF197" s="1766"/>
      <c r="AG197" s="1766"/>
      <c r="AH197" s="1768"/>
      <c r="AI197" s="1799"/>
      <c r="AJ197" s="1770"/>
      <c r="AK197" s="1771"/>
      <c r="AM197" s="13"/>
    </row>
    <row r="198" spans="1:39" s="5" customFormat="1">
      <c r="A198" s="1"/>
      <c r="B198" s="1"/>
      <c r="C198" s="4"/>
      <c r="D198" s="3"/>
      <c r="E198" s="4"/>
      <c r="F198" s="4"/>
      <c r="G198" s="4"/>
      <c r="H198" s="6"/>
      <c r="I198" s="6"/>
      <c r="J198" s="6"/>
      <c r="K198" s="11"/>
      <c r="P198" s="7"/>
      <c r="S198" s="6"/>
      <c r="T198" s="6"/>
      <c r="U198" s="1"/>
      <c r="V198" s="6"/>
      <c r="W198" s="1767"/>
      <c r="X198" s="1766"/>
      <c r="Y198" s="1766"/>
      <c r="Z198" s="1766"/>
      <c r="AA198" s="1766"/>
      <c r="AB198" s="1766"/>
      <c r="AC198" s="1766"/>
      <c r="AD198" s="1767"/>
      <c r="AE198" s="1766"/>
      <c r="AF198" s="1766"/>
      <c r="AG198" s="1766"/>
      <c r="AH198" s="1768"/>
      <c r="AI198" s="1799"/>
      <c r="AJ198" s="1770"/>
      <c r="AK198" s="1771"/>
      <c r="AM198" s="13"/>
    </row>
    <row r="199" spans="1:39" s="5" customFormat="1">
      <c r="A199" s="1"/>
      <c r="B199" s="1"/>
      <c r="C199" s="4"/>
      <c r="D199" s="3"/>
      <c r="E199" s="4"/>
      <c r="F199" s="4"/>
      <c r="G199" s="4"/>
      <c r="H199" s="6"/>
      <c r="I199" s="6"/>
      <c r="J199" s="6"/>
      <c r="K199" s="11"/>
      <c r="P199" s="7"/>
      <c r="S199" s="6"/>
      <c r="T199" s="6"/>
      <c r="U199" s="1"/>
      <c r="V199" s="6"/>
      <c r="W199" s="1767"/>
      <c r="X199" s="1766"/>
      <c r="Y199" s="1766"/>
      <c r="Z199" s="1766"/>
      <c r="AA199" s="1766"/>
      <c r="AB199" s="1766"/>
      <c r="AC199" s="1766"/>
      <c r="AD199" s="1767"/>
      <c r="AE199" s="1766"/>
      <c r="AF199" s="1766"/>
      <c r="AG199" s="1766"/>
      <c r="AH199" s="1768"/>
      <c r="AI199" s="1799"/>
      <c r="AJ199" s="1770"/>
      <c r="AK199" s="1771"/>
      <c r="AM199" s="13"/>
    </row>
    <row r="200" spans="1:39" s="5" customFormat="1">
      <c r="A200" s="1"/>
      <c r="B200" s="1"/>
      <c r="C200" s="4"/>
      <c r="D200" s="3"/>
      <c r="E200" s="4"/>
      <c r="F200" s="4"/>
      <c r="G200" s="4"/>
      <c r="H200" s="6"/>
      <c r="I200" s="6"/>
      <c r="J200" s="6"/>
      <c r="K200" s="11"/>
      <c r="P200" s="7"/>
      <c r="S200" s="6"/>
      <c r="T200" s="6"/>
      <c r="U200" s="1"/>
      <c r="V200" s="6"/>
      <c r="W200" s="1767"/>
      <c r="X200" s="1766"/>
      <c r="Y200" s="1766"/>
      <c r="Z200" s="1766"/>
      <c r="AA200" s="1766"/>
      <c r="AB200" s="1766"/>
      <c r="AC200" s="1766"/>
      <c r="AD200" s="1767"/>
      <c r="AE200" s="1766"/>
      <c r="AF200" s="1766"/>
      <c r="AG200" s="1766"/>
      <c r="AH200" s="1768"/>
      <c r="AI200" s="1799"/>
      <c r="AJ200" s="1770"/>
      <c r="AK200" s="1771"/>
      <c r="AM200" s="13"/>
    </row>
    <row r="201" spans="1:39" s="5" customFormat="1">
      <c r="A201" s="1"/>
      <c r="B201" s="1"/>
      <c r="C201" s="4"/>
      <c r="D201" s="3"/>
      <c r="E201" s="4"/>
      <c r="F201" s="4"/>
      <c r="G201" s="4"/>
      <c r="H201" s="6"/>
      <c r="I201" s="6"/>
      <c r="J201" s="6"/>
      <c r="K201" s="11"/>
      <c r="P201" s="7"/>
      <c r="S201" s="6"/>
      <c r="T201" s="6"/>
      <c r="U201" s="1"/>
      <c r="V201" s="6"/>
      <c r="W201" s="1767"/>
      <c r="X201" s="1766"/>
      <c r="Y201" s="1766"/>
      <c r="Z201" s="1766"/>
      <c r="AA201" s="1766"/>
      <c r="AB201" s="1766"/>
      <c r="AC201" s="1766"/>
      <c r="AD201" s="1767"/>
      <c r="AE201" s="1766"/>
      <c r="AF201" s="1766"/>
      <c r="AG201" s="1766"/>
      <c r="AH201" s="1768"/>
      <c r="AI201" s="1799"/>
      <c r="AJ201" s="1770"/>
      <c r="AK201" s="1771"/>
      <c r="AM201" s="13"/>
    </row>
    <row r="202" spans="1:39" s="5" customFormat="1">
      <c r="A202" s="1"/>
      <c r="B202" s="1"/>
      <c r="C202" s="4"/>
      <c r="D202" s="3"/>
      <c r="E202" s="4"/>
      <c r="F202" s="4"/>
      <c r="G202" s="4"/>
      <c r="H202" s="6"/>
      <c r="I202" s="6"/>
      <c r="J202" s="6"/>
      <c r="K202" s="11"/>
      <c r="P202" s="7"/>
      <c r="S202" s="6"/>
      <c r="T202" s="6"/>
      <c r="U202" s="1"/>
      <c r="V202" s="6"/>
      <c r="W202" s="1767"/>
      <c r="X202" s="1766"/>
      <c r="Y202" s="1766"/>
      <c r="Z202" s="1766"/>
      <c r="AA202" s="1766"/>
      <c r="AB202" s="1766"/>
      <c r="AC202" s="1766"/>
      <c r="AD202" s="1767"/>
      <c r="AE202" s="1766"/>
      <c r="AF202" s="1766"/>
      <c r="AG202" s="1766"/>
      <c r="AH202" s="1768"/>
      <c r="AI202" s="1799"/>
      <c r="AJ202" s="1770"/>
      <c r="AK202" s="1771"/>
      <c r="AM202" s="13"/>
    </row>
    <row r="203" spans="1:39" s="5" customFormat="1">
      <c r="A203" s="1"/>
      <c r="B203" s="1"/>
      <c r="C203" s="4"/>
      <c r="D203" s="3"/>
      <c r="E203" s="4"/>
      <c r="F203" s="4"/>
      <c r="G203" s="4"/>
      <c r="H203" s="6"/>
      <c r="I203" s="6"/>
      <c r="J203" s="6"/>
      <c r="K203" s="11"/>
      <c r="P203" s="7"/>
      <c r="S203" s="6"/>
      <c r="T203" s="6"/>
      <c r="U203" s="1"/>
      <c r="V203" s="6"/>
      <c r="W203" s="1767"/>
      <c r="X203" s="1766"/>
      <c r="Y203" s="1766"/>
      <c r="Z203" s="1766"/>
      <c r="AA203" s="1766"/>
      <c r="AB203" s="1766"/>
      <c r="AC203" s="1766"/>
      <c r="AD203" s="1767"/>
      <c r="AE203" s="1766"/>
      <c r="AF203" s="1766"/>
      <c r="AG203" s="1766"/>
      <c r="AH203" s="1768"/>
      <c r="AI203" s="1799"/>
      <c r="AJ203" s="1770"/>
      <c r="AK203" s="1771"/>
      <c r="AM203" s="13"/>
    </row>
    <row r="204" spans="1:39" s="5" customFormat="1">
      <c r="A204" s="1"/>
      <c r="B204" s="1"/>
      <c r="C204" s="4"/>
      <c r="D204" s="3"/>
      <c r="E204" s="4"/>
      <c r="F204" s="4"/>
      <c r="G204" s="4"/>
      <c r="H204" s="6"/>
      <c r="I204" s="6"/>
      <c r="J204" s="6"/>
      <c r="K204" s="11"/>
      <c r="P204" s="7"/>
      <c r="S204" s="6"/>
      <c r="T204" s="6"/>
      <c r="U204" s="1"/>
      <c r="V204" s="6"/>
      <c r="W204" s="1767"/>
      <c r="X204" s="1766"/>
      <c r="Y204" s="1766"/>
      <c r="Z204" s="1766"/>
      <c r="AA204" s="1766"/>
      <c r="AB204" s="1766"/>
      <c r="AC204" s="1766"/>
      <c r="AD204" s="1767"/>
      <c r="AE204" s="1766"/>
      <c r="AF204" s="1766"/>
      <c r="AG204" s="1766"/>
      <c r="AH204" s="1768"/>
      <c r="AI204" s="1799"/>
      <c r="AJ204" s="1770"/>
      <c r="AK204" s="1771"/>
      <c r="AM204" s="13"/>
    </row>
    <row r="205" spans="1:39" s="5" customFormat="1">
      <c r="A205" s="1"/>
      <c r="B205" s="1"/>
      <c r="C205" s="4"/>
      <c r="D205" s="3"/>
      <c r="E205" s="4"/>
      <c r="F205" s="4"/>
      <c r="G205" s="4"/>
      <c r="H205" s="6"/>
      <c r="I205" s="6"/>
      <c r="J205" s="6"/>
      <c r="K205" s="11"/>
      <c r="P205" s="7"/>
      <c r="S205" s="6"/>
      <c r="T205" s="6"/>
      <c r="U205" s="1"/>
      <c r="V205" s="6"/>
      <c r="W205" s="1767"/>
      <c r="X205" s="1766"/>
      <c r="Y205" s="1766"/>
      <c r="Z205" s="1766"/>
      <c r="AA205" s="1766"/>
      <c r="AB205" s="1766"/>
      <c r="AC205" s="1766"/>
      <c r="AD205" s="1767"/>
      <c r="AE205" s="1766"/>
      <c r="AF205" s="1766"/>
      <c r="AG205" s="1766"/>
      <c r="AH205" s="1768"/>
      <c r="AI205" s="1799"/>
      <c r="AJ205" s="1770"/>
      <c r="AK205" s="1771"/>
      <c r="AM205" s="13"/>
    </row>
    <row r="206" spans="1:39" s="5" customFormat="1">
      <c r="A206" s="1"/>
      <c r="B206" s="1"/>
      <c r="C206" s="4"/>
      <c r="D206" s="3"/>
      <c r="E206" s="4"/>
      <c r="F206" s="4"/>
      <c r="G206" s="4"/>
      <c r="H206" s="6"/>
      <c r="I206" s="6"/>
      <c r="J206" s="6"/>
      <c r="K206" s="11"/>
      <c r="P206" s="7"/>
      <c r="S206" s="6"/>
      <c r="T206" s="6"/>
      <c r="U206" s="1"/>
      <c r="V206" s="6"/>
      <c r="W206" s="1767"/>
      <c r="X206" s="1766"/>
      <c r="Y206" s="1766"/>
      <c r="Z206" s="1766"/>
      <c r="AA206" s="1766"/>
      <c r="AB206" s="1766"/>
      <c r="AC206" s="1766"/>
      <c r="AD206" s="1767"/>
      <c r="AE206" s="1766"/>
      <c r="AF206" s="1766"/>
      <c r="AG206" s="1766"/>
      <c r="AH206" s="1768"/>
      <c r="AI206" s="1799"/>
      <c r="AJ206" s="1770"/>
      <c r="AK206" s="1771"/>
      <c r="AM206" s="13"/>
    </row>
    <row r="207" spans="1:39" s="5" customFormat="1">
      <c r="A207" s="1"/>
      <c r="B207" s="1"/>
      <c r="C207" s="4"/>
      <c r="D207" s="3"/>
      <c r="E207" s="4"/>
      <c r="F207" s="4"/>
      <c r="G207" s="4"/>
      <c r="H207" s="6"/>
      <c r="I207" s="6"/>
      <c r="J207" s="6"/>
      <c r="K207" s="11"/>
      <c r="P207" s="7"/>
      <c r="S207" s="6"/>
      <c r="T207" s="6"/>
      <c r="U207" s="1"/>
      <c r="V207" s="6"/>
      <c r="W207" s="1767"/>
      <c r="X207" s="1766"/>
      <c r="Y207" s="1766"/>
      <c r="Z207" s="1766"/>
      <c r="AA207" s="1766"/>
      <c r="AB207" s="1766"/>
      <c r="AC207" s="1766"/>
      <c r="AD207" s="1767"/>
      <c r="AE207" s="1766"/>
      <c r="AF207" s="1766"/>
      <c r="AG207" s="1766"/>
      <c r="AH207" s="1768"/>
      <c r="AI207" s="1799"/>
      <c r="AJ207" s="1770"/>
      <c r="AK207" s="1771"/>
      <c r="AM207" s="13"/>
    </row>
    <row r="208" spans="1:39" s="5" customFormat="1">
      <c r="A208" s="1"/>
      <c r="B208" s="1"/>
      <c r="C208" s="4"/>
      <c r="D208" s="3"/>
      <c r="E208" s="4"/>
      <c r="F208" s="4"/>
      <c r="G208" s="4"/>
      <c r="H208" s="6"/>
      <c r="I208" s="6"/>
      <c r="J208" s="6"/>
      <c r="K208" s="11"/>
      <c r="P208" s="7"/>
      <c r="S208" s="6"/>
      <c r="T208" s="6"/>
      <c r="U208" s="1"/>
      <c r="V208" s="6"/>
      <c r="W208" s="1767"/>
      <c r="X208" s="1766"/>
      <c r="Y208" s="1766"/>
      <c r="Z208" s="1766"/>
      <c r="AA208" s="1766"/>
      <c r="AB208" s="1766"/>
      <c r="AC208" s="1766"/>
      <c r="AD208" s="1767"/>
      <c r="AE208" s="1766"/>
      <c r="AF208" s="1766"/>
      <c r="AG208" s="1766"/>
      <c r="AH208" s="1768"/>
      <c r="AI208" s="1799"/>
      <c r="AJ208" s="1770"/>
      <c r="AK208" s="1771"/>
      <c r="AM208" s="13"/>
    </row>
    <row r="209" spans="1:39" s="5" customFormat="1">
      <c r="A209" s="1"/>
      <c r="B209" s="1"/>
      <c r="C209" s="4"/>
      <c r="D209" s="3"/>
      <c r="E209" s="4"/>
      <c r="F209" s="4"/>
      <c r="G209" s="4"/>
      <c r="H209" s="6"/>
      <c r="I209" s="6"/>
      <c r="J209" s="6"/>
      <c r="K209" s="11"/>
      <c r="P209" s="7"/>
      <c r="S209" s="6"/>
      <c r="T209" s="6"/>
      <c r="U209" s="1"/>
      <c r="V209" s="6"/>
      <c r="W209" s="1767"/>
      <c r="X209" s="1766"/>
      <c r="Y209" s="1766"/>
      <c r="Z209" s="1766"/>
      <c r="AA209" s="1766"/>
      <c r="AB209" s="1766"/>
      <c r="AC209" s="1766"/>
      <c r="AD209" s="1767"/>
      <c r="AE209" s="1766"/>
      <c r="AF209" s="1766"/>
      <c r="AG209" s="1766"/>
      <c r="AH209" s="1768"/>
      <c r="AI209" s="1799"/>
      <c r="AJ209" s="1770"/>
      <c r="AK209" s="1771"/>
      <c r="AM209" s="13"/>
    </row>
    <row r="210" spans="1:39" s="5" customFormat="1">
      <c r="A210" s="1"/>
      <c r="B210" s="1"/>
      <c r="C210" s="4"/>
      <c r="D210" s="3"/>
      <c r="E210" s="4"/>
      <c r="F210" s="4"/>
      <c r="G210" s="4"/>
      <c r="H210" s="6"/>
      <c r="I210" s="6"/>
      <c r="J210" s="6"/>
      <c r="K210" s="11"/>
      <c r="P210" s="7"/>
      <c r="S210" s="6"/>
      <c r="T210" s="6"/>
      <c r="U210" s="1"/>
      <c r="V210" s="6"/>
      <c r="W210" s="1767"/>
      <c r="X210" s="1766"/>
      <c r="Y210" s="1766"/>
      <c r="Z210" s="1766"/>
      <c r="AA210" s="1766"/>
      <c r="AB210" s="1766"/>
      <c r="AC210" s="1766"/>
      <c r="AD210" s="1767"/>
      <c r="AE210" s="1766"/>
      <c r="AF210" s="1766"/>
      <c r="AG210" s="1766"/>
      <c r="AH210" s="1768"/>
      <c r="AI210" s="1799"/>
      <c r="AJ210" s="1770"/>
      <c r="AK210" s="1771"/>
      <c r="AM210" s="13"/>
    </row>
    <row r="211" spans="1:39" s="5" customFormat="1">
      <c r="A211" s="1"/>
      <c r="B211" s="1"/>
      <c r="C211" s="4"/>
      <c r="D211" s="3"/>
      <c r="E211" s="4"/>
      <c r="F211" s="4"/>
      <c r="G211" s="4"/>
      <c r="H211" s="6"/>
      <c r="I211" s="6"/>
      <c r="J211" s="6"/>
      <c r="K211" s="11"/>
      <c r="P211" s="7"/>
      <c r="S211" s="6"/>
      <c r="T211" s="6"/>
      <c r="U211" s="1"/>
      <c r="V211" s="6"/>
      <c r="W211" s="1767"/>
      <c r="X211" s="1766"/>
      <c r="Y211" s="1766"/>
      <c r="Z211" s="1766"/>
      <c r="AA211" s="1766"/>
      <c r="AB211" s="1766"/>
      <c r="AC211" s="1766"/>
      <c r="AD211" s="1767"/>
      <c r="AE211" s="1766"/>
      <c r="AF211" s="1766"/>
      <c r="AG211" s="1766"/>
      <c r="AH211" s="1768"/>
      <c r="AI211" s="1799"/>
      <c r="AJ211" s="1770"/>
      <c r="AK211" s="1771"/>
      <c r="AM211" s="13"/>
    </row>
    <row r="212" spans="1:39" s="5" customFormat="1">
      <c r="A212" s="1"/>
      <c r="B212" s="1"/>
      <c r="C212" s="4"/>
      <c r="D212" s="3"/>
      <c r="E212" s="4"/>
      <c r="F212" s="4"/>
      <c r="G212" s="4"/>
      <c r="H212" s="6"/>
      <c r="I212" s="6"/>
      <c r="J212" s="6"/>
      <c r="K212" s="11"/>
      <c r="P212" s="7"/>
      <c r="S212" s="6"/>
      <c r="T212" s="6"/>
      <c r="U212" s="1"/>
      <c r="V212" s="6"/>
      <c r="W212" s="1767"/>
      <c r="X212" s="1766"/>
      <c r="Y212" s="1766"/>
      <c r="Z212" s="1766"/>
      <c r="AA212" s="1766"/>
      <c r="AB212" s="1766"/>
      <c r="AC212" s="1766"/>
      <c r="AD212" s="1767"/>
      <c r="AE212" s="1766"/>
      <c r="AF212" s="1766"/>
      <c r="AG212" s="1766"/>
      <c r="AH212" s="1768"/>
      <c r="AI212" s="1799"/>
      <c r="AJ212" s="1770"/>
      <c r="AK212" s="1771"/>
      <c r="AM212" s="13"/>
    </row>
    <row r="213" spans="1:39" s="5" customFormat="1">
      <c r="A213" s="1"/>
      <c r="B213" s="1"/>
      <c r="C213" s="4"/>
      <c r="D213" s="3"/>
      <c r="E213" s="4"/>
      <c r="F213" s="4"/>
      <c r="G213" s="4"/>
      <c r="H213" s="6"/>
      <c r="I213" s="6"/>
      <c r="J213" s="6"/>
      <c r="K213" s="11"/>
      <c r="P213" s="7"/>
      <c r="S213" s="6"/>
      <c r="T213" s="6"/>
      <c r="U213" s="1"/>
      <c r="V213" s="6"/>
      <c r="W213" s="1767"/>
      <c r="X213" s="1766"/>
      <c r="Y213" s="1766"/>
      <c r="Z213" s="1766"/>
      <c r="AA213" s="1766"/>
      <c r="AB213" s="1766"/>
      <c r="AC213" s="1766"/>
      <c r="AD213" s="1767"/>
      <c r="AE213" s="1766"/>
      <c r="AF213" s="1766"/>
      <c r="AG213" s="1766"/>
      <c r="AH213" s="1768"/>
      <c r="AI213" s="1799"/>
      <c r="AJ213" s="1770"/>
      <c r="AK213" s="1771"/>
      <c r="AM213" s="13"/>
    </row>
    <row r="214" spans="1:39" s="5" customFormat="1">
      <c r="A214" s="1"/>
      <c r="B214" s="1"/>
      <c r="C214" s="4"/>
      <c r="D214" s="3"/>
      <c r="E214" s="4"/>
      <c r="F214" s="4"/>
      <c r="G214" s="4"/>
      <c r="H214" s="6"/>
      <c r="I214" s="6"/>
      <c r="J214" s="6"/>
      <c r="K214" s="11"/>
      <c r="P214" s="7"/>
      <c r="S214" s="6"/>
      <c r="T214" s="6"/>
      <c r="U214" s="1"/>
      <c r="V214" s="6"/>
      <c r="W214" s="1767"/>
      <c r="X214" s="1766"/>
      <c r="Y214" s="1766"/>
      <c r="Z214" s="1766"/>
      <c r="AA214" s="1766"/>
      <c r="AB214" s="1766"/>
      <c r="AC214" s="1766"/>
      <c r="AD214" s="1767"/>
      <c r="AE214" s="1766"/>
      <c r="AF214" s="1766"/>
      <c r="AG214" s="1766"/>
      <c r="AH214" s="1768"/>
      <c r="AI214" s="1799"/>
      <c r="AJ214" s="1770"/>
      <c r="AK214" s="1771"/>
      <c r="AM214" s="13"/>
    </row>
    <row r="215" spans="1:39" s="5" customFormat="1">
      <c r="A215" s="1"/>
      <c r="B215" s="1"/>
      <c r="C215" s="4"/>
      <c r="D215" s="3"/>
      <c r="E215" s="4"/>
      <c r="F215" s="4"/>
      <c r="G215" s="4"/>
      <c r="H215" s="6"/>
      <c r="I215" s="6"/>
      <c r="J215" s="6"/>
      <c r="K215" s="11"/>
      <c r="P215" s="7"/>
      <c r="S215" s="6"/>
      <c r="T215" s="6"/>
      <c r="U215" s="1"/>
      <c r="V215" s="6"/>
      <c r="W215" s="1767"/>
      <c r="X215" s="1766"/>
      <c r="Y215" s="1766"/>
      <c r="Z215" s="1766"/>
      <c r="AA215" s="1766"/>
      <c r="AB215" s="1766"/>
      <c r="AC215" s="1766"/>
      <c r="AD215" s="1767"/>
      <c r="AE215" s="1766"/>
      <c r="AF215" s="1766"/>
      <c r="AG215" s="1766"/>
      <c r="AH215" s="1768"/>
      <c r="AI215" s="1799"/>
      <c r="AJ215" s="1770"/>
      <c r="AK215" s="1771"/>
      <c r="AM215" s="13"/>
    </row>
    <row r="216" spans="1:39" s="5" customFormat="1">
      <c r="A216" s="1"/>
      <c r="B216" s="1"/>
      <c r="C216" s="4"/>
      <c r="D216" s="3"/>
      <c r="E216" s="4"/>
      <c r="F216" s="4"/>
      <c r="G216" s="4"/>
      <c r="H216" s="6"/>
      <c r="I216" s="6"/>
      <c r="J216" s="6"/>
      <c r="K216" s="11"/>
      <c r="P216" s="7"/>
      <c r="S216" s="6"/>
      <c r="T216" s="6"/>
      <c r="U216" s="1"/>
      <c r="V216" s="6"/>
      <c r="W216" s="1767"/>
      <c r="X216" s="1766"/>
      <c r="Y216" s="1766"/>
      <c r="Z216" s="1766"/>
      <c r="AA216" s="1766"/>
      <c r="AB216" s="1766"/>
      <c r="AC216" s="1766"/>
      <c r="AD216" s="1767"/>
      <c r="AE216" s="1766"/>
      <c r="AF216" s="1766"/>
      <c r="AG216" s="1766"/>
      <c r="AH216" s="1768"/>
      <c r="AI216" s="1799"/>
      <c r="AJ216" s="1770"/>
      <c r="AK216" s="1771"/>
      <c r="AM216" s="13"/>
    </row>
    <row r="217" spans="1:39" s="5" customFormat="1">
      <c r="A217" s="1"/>
      <c r="B217" s="1"/>
      <c r="C217" s="4"/>
      <c r="D217" s="3"/>
      <c r="E217" s="4"/>
      <c r="F217" s="4"/>
      <c r="G217" s="4"/>
      <c r="H217" s="6"/>
      <c r="I217" s="6"/>
      <c r="J217" s="6"/>
      <c r="K217" s="11"/>
      <c r="P217" s="7"/>
      <c r="S217" s="6"/>
      <c r="T217" s="6"/>
      <c r="U217" s="1"/>
      <c r="V217" s="6"/>
      <c r="W217" s="1767"/>
      <c r="X217" s="1766"/>
      <c r="Y217" s="1766"/>
      <c r="Z217" s="1766"/>
      <c r="AA217" s="1766"/>
      <c r="AB217" s="1766"/>
      <c r="AC217" s="1766"/>
      <c r="AD217" s="1767"/>
      <c r="AE217" s="1766"/>
      <c r="AF217" s="1766"/>
      <c r="AG217" s="1766"/>
      <c r="AH217" s="1768"/>
      <c r="AI217" s="1799"/>
      <c r="AJ217" s="1770"/>
      <c r="AK217" s="1771"/>
      <c r="AM217" s="13"/>
    </row>
    <row r="218" spans="1:39" s="5" customFormat="1">
      <c r="A218" s="1"/>
      <c r="B218" s="1"/>
      <c r="C218" s="4"/>
      <c r="D218" s="3"/>
      <c r="E218" s="4"/>
      <c r="F218" s="4"/>
      <c r="G218" s="4"/>
      <c r="H218" s="6"/>
      <c r="I218" s="6"/>
      <c r="J218" s="6"/>
      <c r="K218" s="11"/>
      <c r="P218" s="7"/>
      <c r="S218" s="6"/>
      <c r="T218" s="6"/>
      <c r="U218" s="1"/>
      <c r="V218" s="6"/>
      <c r="W218" s="1767"/>
      <c r="X218" s="1766"/>
      <c r="Y218" s="1766"/>
      <c r="Z218" s="1766"/>
      <c r="AA218" s="1766"/>
      <c r="AB218" s="1766"/>
      <c r="AC218" s="1766"/>
      <c r="AD218" s="1767"/>
      <c r="AE218" s="1766"/>
      <c r="AF218" s="1766"/>
      <c r="AG218" s="1766"/>
      <c r="AH218" s="1768"/>
      <c r="AI218" s="1799"/>
      <c r="AJ218" s="1770"/>
      <c r="AK218" s="1771"/>
      <c r="AM218" s="13"/>
    </row>
    <row r="219" spans="1:39" s="5" customFormat="1">
      <c r="A219" s="1"/>
      <c r="B219" s="1"/>
      <c r="C219" s="4"/>
      <c r="D219" s="3"/>
      <c r="E219" s="4"/>
      <c r="F219" s="4"/>
      <c r="G219" s="4"/>
      <c r="H219" s="6"/>
      <c r="I219" s="6"/>
      <c r="J219" s="6"/>
      <c r="K219" s="11"/>
      <c r="P219" s="7"/>
      <c r="S219" s="6"/>
      <c r="T219" s="6"/>
      <c r="U219" s="1"/>
      <c r="V219" s="6"/>
      <c r="W219" s="1767"/>
      <c r="X219" s="1766"/>
      <c r="Y219" s="1766"/>
      <c r="Z219" s="1766"/>
      <c r="AA219" s="1766"/>
      <c r="AB219" s="1766"/>
      <c r="AC219" s="1766"/>
      <c r="AD219" s="1767"/>
      <c r="AE219" s="1766"/>
      <c r="AF219" s="1766"/>
      <c r="AG219" s="1766"/>
      <c r="AH219" s="1768"/>
      <c r="AI219" s="1799"/>
      <c r="AJ219" s="1770"/>
      <c r="AK219" s="1771"/>
      <c r="AM219" s="13"/>
    </row>
    <row r="220" spans="1:39" s="5" customFormat="1">
      <c r="A220" s="1"/>
      <c r="B220" s="1"/>
      <c r="C220" s="4"/>
      <c r="D220" s="3"/>
      <c r="E220" s="4"/>
      <c r="F220" s="4"/>
      <c r="G220" s="4"/>
      <c r="H220" s="6"/>
      <c r="I220" s="6"/>
      <c r="J220" s="6"/>
      <c r="K220" s="11"/>
      <c r="P220" s="7"/>
      <c r="S220" s="6"/>
      <c r="T220" s="6"/>
      <c r="U220" s="1"/>
      <c r="V220" s="6"/>
      <c r="W220" s="1767"/>
      <c r="X220" s="1766"/>
      <c r="Y220" s="1766"/>
      <c r="Z220" s="1766"/>
      <c r="AA220" s="1766"/>
      <c r="AB220" s="1766"/>
      <c r="AC220" s="1766"/>
      <c r="AD220" s="1767"/>
      <c r="AE220" s="1766"/>
      <c r="AF220" s="1766"/>
      <c r="AG220" s="1766"/>
      <c r="AH220" s="1768"/>
      <c r="AI220" s="1799"/>
      <c r="AJ220" s="1770"/>
      <c r="AK220" s="1771"/>
      <c r="AM220" s="13"/>
    </row>
    <row r="221" spans="1:39" s="5" customFormat="1">
      <c r="A221" s="1"/>
      <c r="B221" s="1"/>
      <c r="C221" s="4"/>
      <c r="D221" s="3"/>
      <c r="E221" s="4"/>
      <c r="F221" s="4"/>
      <c r="G221" s="4"/>
      <c r="H221" s="6"/>
      <c r="I221" s="6"/>
      <c r="J221" s="6"/>
      <c r="K221" s="11"/>
      <c r="P221" s="7"/>
      <c r="S221" s="6"/>
      <c r="T221" s="6"/>
      <c r="U221" s="1"/>
      <c r="V221" s="6"/>
      <c r="W221" s="1767"/>
      <c r="X221" s="1766"/>
      <c r="Y221" s="1766"/>
      <c r="Z221" s="1766"/>
      <c r="AA221" s="1766"/>
      <c r="AB221" s="1766"/>
      <c r="AC221" s="1766"/>
      <c r="AD221" s="1767"/>
      <c r="AE221" s="1766"/>
      <c r="AF221" s="1766"/>
      <c r="AG221" s="1766"/>
      <c r="AH221" s="1768"/>
      <c r="AI221" s="1799"/>
      <c r="AJ221" s="1770"/>
      <c r="AK221" s="1771"/>
      <c r="AM221" s="13"/>
    </row>
    <row r="222" spans="1:39" s="5" customFormat="1">
      <c r="A222" s="1"/>
      <c r="B222" s="1"/>
      <c r="C222" s="4"/>
      <c r="D222" s="3"/>
      <c r="E222" s="4"/>
      <c r="F222" s="4"/>
      <c r="G222" s="4"/>
      <c r="H222" s="6"/>
      <c r="I222" s="6"/>
      <c r="J222" s="6"/>
      <c r="K222" s="11"/>
      <c r="P222" s="7"/>
      <c r="S222" s="6"/>
      <c r="T222" s="6"/>
      <c r="U222" s="1"/>
      <c r="V222" s="6"/>
      <c r="W222" s="1767"/>
      <c r="X222" s="1766"/>
      <c r="Y222" s="1766"/>
      <c r="Z222" s="1766"/>
      <c r="AA222" s="1766"/>
      <c r="AB222" s="1766"/>
      <c r="AC222" s="1766"/>
      <c r="AD222" s="1767"/>
      <c r="AE222" s="1766"/>
      <c r="AF222" s="1766"/>
      <c r="AG222" s="1766"/>
      <c r="AH222" s="1768"/>
      <c r="AI222" s="1799"/>
      <c r="AJ222" s="1770"/>
      <c r="AK222" s="1771"/>
      <c r="AM222" s="13"/>
    </row>
    <row r="223" spans="1:39" s="5" customFormat="1">
      <c r="A223" s="1"/>
      <c r="B223" s="1"/>
      <c r="C223" s="4"/>
      <c r="D223" s="3"/>
      <c r="E223" s="4"/>
      <c r="F223" s="4"/>
      <c r="G223" s="4"/>
      <c r="H223" s="6"/>
      <c r="I223" s="6"/>
      <c r="J223" s="6"/>
      <c r="K223" s="11"/>
      <c r="P223" s="7"/>
      <c r="S223" s="6"/>
      <c r="T223" s="6"/>
      <c r="U223" s="1"/>
      <c r="V223" s="6"/>
      <c r="W223" s="1767"/>
      <c r="X223" s="1766"/>
      <c r="Y223" s="1766"/>
      <c r="Z223" s="1766"/>
      <c r="AA223" s="1766"/>
      <c r="AB223" s="1766"/>
      <c r="AC223" s="1766"/>
      <c r="AD223" s="1767"/>
      <c r="AE223" s="1766"/>
      <c r="AF223" s="1766"/>
      <c r="AG223" s="1766"/>
      <c r="AH223" s="1768"/>
      <c r="AI223" s="1799"/>
      <c r="AJ223" s="1770"/>
      <c r="AK223" s="1771"/>
      <c r="AM223" s="13"/>
    </row>
    <row r="224" spans="1:39" s="5" customFormat="1">
      <c r="A224" s="1"/>
      <c r="B224" s="1"/>
      <c r="C224" s="4"/>
      <c r="D224" s="3"/>
      <c r="E224" s="4"/>
      <c r="F224" s="4"/>
      <c r="G224" s="4"/>
      <c r="H224" s="6"/>
      <c r="I224" s="6"/>
      <c r="J224" s="6"/>
      <c r="K224" s="11"/>
      <c r="P224" s="7"/>
      <c r="S224" s="6"/>
      <c r="T224" s="6"/>
      <c r="U224" s="1"/>
      <c r="V224" s="6"/>
      <c r="W224" s="1767"/>
      <c r="X224" s="1766"/>
      <c r="Y224" s="1766"/>
      <c r="Z224" s="1766"/>
      <c r="AA224" s="1766"/>
      <c r="AB224" s="1766"/>
      <c r="AC224" s="1766"/>
      <c r="AD224" s="1767"/>
      <c r="AE224" s="1766"/>
      <c r="AF224" s="1766"/>
      <c r="AG224" s="1766"/>
      <c r="AH224" s="1768"/>
      <c r="AI224" s="1799"/>
      <c r="AJ224" s="1770"/>
      <c r="AK224" s="1771"/>
      <c r="AM224" s="13"/>
    </row>
    <row r="225" spans="1:39" s="5" customFormat="1">
      <c r="A225" s="1"/>
      <c r="B225" s="1"/>
      <c r="C225" s="4"/>
      <c r="D225" s="3"/>
      <c r="E225" s="4"/>
      <c r="F225" s="4"/>
      <c r="G225" s="4"/>
      <c r="H225" s="6"/>
      <c r="I225" s="6"/>
      <c r="J225" s="6"/>
      <c r="K225" s="11"/>
      <c r="P225" s="7"/>
      <c r="S225" s="6"/>
      <c r="T225" s="6"/>
      <c r="U225" s="1"/>
      <c r="V225" s="6"/>
      <c r="W225" s="1767"/>
      <c r="X225" s="1766"/>
      <c r="Y225" s="1766"/>
      <c r="Z225" s="1766"/>
      <c r="AA225" s="1766"/>
      <c r="AB225" s="1766"/>
      <c r="AC225" s="1766"/>
      <c r="AD225" s="1767"/>
      <c r="AE225" s="1766"/>
      <c r="AF225" s="1766"/>
      <c r="AG225" s="1766"/>
      <c r="AH225" s="1768"/>
      <c r="AI225" s="1799"/>
      <c r="AJ225" s="1770"/>
      <c r="AK225" s="1771"/>
      <c r="AM225" s="13"/>
    </row>
    <row r="226" spans="1:39" s="5" customFormat="1">
      <c r="A226" s="1"/>
      <c r="B226" s="1"/>
      <c r="C226" s="4"/>
      <c r="D226" s="3"/>
      <c r="E226" s="4"/>
      <c r="F226" s="4"/>
      <c r="G226" s="4"/>
      <c r="H226" s="6"/>
      <c r="I226" s="6"/>
      <c r="J226" s="6"/>
      <c r="K226" s="11"/>
      <c r="P226" s="7"/>
      <c r="S226" s="6"/>
      <c r="T226" s="6"/>
      <c r="U226" s="1"/>
      <c r="V226" s="6"/>
      <c r="W226" s="1767"/>
      <c r="X226" s="1766"/>
      <c r="Y226" s="1766"/>
      <c r="Z226" s="1766"/>
      <c r="AA226" s="1766"/>
      <c r="AB226" s="1766"/>
      <c r="AC226" s="1766"/>
      <c r="AD226" s="1767"/>
      <c r="AE226" s="1766"/>
      <c r="AF226" s="1766"/>
      <c r="AG226" s="1766"/>
      <c r="AH226" s="1768"/>
      <c r="AI226" s="1799"/>
      <c r="AJ226" s="1770"/>
      <c r="AK226" s="1771"/>
      <c r="AM226" s="13"/>
    </row>
    <row r="227" spans="1:39" s="5" customFormat="1">
      <c r="A227" s="1"/>
      <c r="B227" s="1"/>
      <c r="C227" s="4"/>
      <c r="D227" s="3"/>
      <c r="E227" s="4"/>
      <c r="F227" s="4"/>
      <c r="G227" s="4"/>
      <c r="H227" s="6"/>
      <c r="I227" s="6"/>
      <c r="J227" s="6"/>
      <c r="K227" s="11"/>
      <c r="P227" s="7"/>
      <c r="S227" s="6"/>
      <c r="T227" s="6"/>
      <c r="U227" s="1"/>
      <c r="V227" s="6"/>
      <c r="W227" s="1767"/>
      <c r="X227" s="1766"/>
      <c r="Y227" s="1766"/>
      <c r="Z227" s="1766"/>
      <c r="AA227" s="1766"/>
      <c r="AB227" s="1766"/>
      <c r="AC227" s="1766"/>
      <c r="AD227" s="1767"/>
      <c r="AE227" s="1766"/>
      <c r="AF227" s="1766"/>
      <c r="AG227" s="1766"/>
      <c r="AH227" s="1768"/>
      <c r="AI227" s="1799"/>
      <c r="AJ227" s="1770"/>
      <c r="AK227" s="1771"/>
      <c r="AM227" s="13"/>
    </row>
    <row r="228" spans="1:39" s="5" customFormat="1">
      <c r="A228" s="1"/>
      <c r="B228" s="1"/>
      <c r="C228" s="4"/>
      <c r="D228" s="3"/>
      <c r="E228" s="4"/>
      <c r="F228" s="4"/>
      <c r="G228" s="4"/>
      <c r="H228" s="6"/>
      <c r="I228" s="6"/>
      <c r="J228" s="6"/>
      <c r="K228" s="11"/>
      <c r="P228" s="7"/>
      <c r="S228" s="6"/>
      <c r="T228" s="6"/>
      <c r="U228" s="1"/>
      <c r="V228" s="6"/>
      <c r="W228" s="1767"/>
      <c r="X228" s="1766"/>
      <c r="Y228" s="1766"/>
      <c r="Z228" s="1766"/>
      <c r="AA228" s="1766"/>
      <c r="AB228" s="1766"/>
      <c r="AC228" s="1766"/>
      <c r="AD228" s="1767"/>
      <c r="AE228" s="1766"/>
      <c r="AF228" s="1766"/>
      <c r="AG228" s="1766"/>
      <c r="AH228" s="1768"/>
      <c r="AI228" s="1799"/>
      <c r="AJ228" s="1770"/>
      <c r="AK228" s="1771"/>
      <c r="AM228" s="13"/>
    </row>
    <row r="229" spans="1:39" s="5" customFormat="1">
      <c r="A229" s="1"/>
      <c r="B229" s="1"/>
      <c r="C229" s="4"/>
      <c r="D229" s="3"/>
      <c r="E229" s="4"/>
      <c r="F229" s="4"/>
      <c r="G229" s="4"/>
      <c r="H229" s="6"/>
      <c r="I229" s="6"/>
      <c r="J229" s="6"/>
      <c r="K229" s="11"/>
      <c r="P229" s="7"/>
      <c r="S229" s="6"/>
      <c r="T229" s="6"/>
      <c r="U229" s="1"/>
      <c r="V229" s="6"/>
      <c r="W229" s="1767"/>
      <c r="X229" s="1766"/>
      <c r="Y229" s="1766"/>
      <c r="Z229" s="1766"/>
      <c r="AA229" s="1766"/>
      <c r="AB229" s="1766"/>
      <c r="AC229" s="1766"/>
      <c r="AD229" s="1767"/>
      <c r="AE229" s="1766"/>
      <c r="AF229" s="1766"/>
      <c r="AG229" s="1766"/>
      <c r="AH229" s="1768"/>
      <c r="AI229" s="1799"/>
      <c r="AJ229" s="1770"/>
      <c r="AK229" s="1771"/>
      <c r="AM229" s="13"/>
    </row>
    <row r="230" spans="1:39" s="5" customFormat="1">
      <c r="A230" s="1"/>
      <c r="B230" s="1"/>
      <c r="C230" s="4"/>
      <c r="D230" s="3"/>
      <c r="E230" s="4"/>
      <c r="F230" s="4"/>
      <c r="G230" s="4"/>
      <c r="H230" s="6"/>
      <c r="I230" s="6"/>
      <c r="J230" s="6"/>
      <c r="K230" s="11"/>
      <c r="P230" s="7"/>
      <c r="S230" s="6"/>
      <c r="T230" s="6"/>
      <c r="U230" s="1"/>
      <c r="V230" s="6"/>
      <c r="W230" s="1767"/>
      <c r="X230" s="1766"/>
      <c r="Y230" s="1766"/>
      <c r="Z230" s="1766"/>
      <c r="AA230" s="1766"/>
      <c r="AB230" s="1766"/>
      <c r="AC230" s="1766"/>
      <c r="AD230" s="1767"/>
      <c r="AE230" s="1766"/>
      <c r="AF230" s="1766"/>
      <c r="AG230" s="1766"/>
      <c r="AH230" s="1768"/>
      <c r="AI230" s="1799"/>
      <c r="AJ230" s="1770"/>
      <c r="AK230" s="1771"/>
      <c r="AM230" s="13"/>
    </row>
    <row r="231" spans="1:39" s="5" customFormat="1">
      <c r="A231" s="1"/>
      <c r="B231" s="1"/>
      <c r="C231" s="4"/>
      <c r="D231" s="3"/>
      <c r="E231" s="4"/>
      <c r="F231" s="4"/>
      <c r="G231" s="4"/>
      <c r="H231" s="6"/>
      <c r="I231" s="6"/>
      <c r="J231" s="6"/>
      <c r="K231" s="11"/>
      <c r="P231" s="7"/>
      <c r="S231" s="6"/>
      <c r="T231" s="6"/>
      <c r="U231" s="1"/>
      <c r="V231" s="6"/>
      <c r="W231" s="1767"/>
      <c r="X231" s="1766"/>
      <c r="Y231" s="1766"/>
      <c r="Z231" s="1766"/>
      <c r="AA231" s="1766"/>
      <c r="AB231" s="1766"/>
      <c r="AC231" s="1766"/>
      <c r="AD231" s="1767"/>
      <c r="AE231" s="1766"/>
      <c r="AF231" s="1766"/>
      <c r="AG231" s="1766"/>
      <c r="AH231" s="1768"/>
      <c r="AI231" s="1799"/>
      <c r="AJ231" s="1770"/>
      <c r="AK231" s="1771"/>
      <c r="AM231" s="13"/>
    </row>
    <row r="232" spans="1:39" s="5" customFormat="1">
      <c r="A232" s="1"/>
      <c r="B232" s="1"/>
      <c r="C232" s="4"/>
      <c r="D232" s="3"/>
      <c r="E232" s="4"/>
      <c r="F232" s="4"/>
      <c r="G232" s="4"/>
      <c r="H232" s="6"/>
      <c r="I232" s="6"/>
      <c r="J232" s="6"/>
      <c r="K232" s="11"/>
      <c r="P232" s="7"/>
      <c r="S232" s="6"/>
      <c r="T232" s="6"/>
      <c r="U232" s="1"/>
      <c r="V232" s="6"/>
      <c r="W232" s="1767"/>
      <c r="X232" s="1766"/>
      <c r="Y232" s="1766"/>
      <c r="Z232" s="1766"/>
      <c r="AA232" s="1766"/>
      <c r="AB232" s="1766"/>
      <c r="AC232" s="1766"/>
      <c r="AD232" s="1767"/>
      <c r="AE232" s="1766"/>
      <c r="AF232" s="1766"/>
      <c r="AG232" s="1766"/>
      <c r="AH232" s="1768"/>
      <c r="AI232" s="1799"/>
      <c r="AJ232" s="1770"/>
      <c r="AK232" s="1771"/>
      <c r="AM232" s="13"/>
    </row>
    <row r="233" spans="1:39" s="5" customFormat="1">
      <c r="A233" s="1"/>
      <c r="B233" s="1"/>
      <c r="C233" s="4"/>
      <c r="D233" s="3"/>
      <c r="E233" s="4"/>
      <c r="F233" s="4"/>
      <c r="G233" s="4"/>
      <c r="H233" s="6"/>
      <c r="I233" s="6"/>
      <c r="J233" s="6"/>
      <c r="K233" s="11"/>
      <c r="P233" s="7"/>
      <c r="S233" s="6"/>
      <c r="T233" s="6"/>
      <c r="U233" s="1"/>
      <c r="V233" s="6"/>
      <c r="W233" s="1767"/>
      <c r="X233" s="1766"/>
      <c r="Y233" s="1766"/>
      <c r="Z233" s="1766"/>
      <c r="AA233" s="1766"/>
      <c r="AB233" s="1766"/>
      <c r="AC233" s="1766"/>
      <c r="AD233" s="1767"/>
      <c r="AE233" s="1766"/>
      <c r="AF233" s="1766"/>
      <c r="AG233" s="1766"/>
      <c r="AH233" s="1768"/>
      <c r="AI233" s="1799"/>
      <c r="AJ233" s="1770"/>
      <c r="AK233" s="1771"/>
      <c r="AM233" s="13"/>
    </row>
    <row r="234" spans="1:39" s="5" customFormat="1">
      <c r="A234" s="1"/>
      <c r="B234" s="1"/>
      <c r="C234" s="4"/>
      <c r="D234" s="3"/>
      <c r="E234" s="4"/>
      <c r="F234" s="4"/>
      <c r="G234" s="4"/>
      <c r="H234" s="6"/>
      <c r="I234" s="6"/>
      <c r="J234" s="6"/>
      <c r="K234" s="11"/>
      <c r="P234" s="7"/>
      <c r="S234" s="6"/>
      <c r="T234" s="6"/>
      <c r="U234" s="1"/>
      <c r="V234" s="6"/>
      <c r="W234" s="1767"/>
      <c r="X234" s="1766"/>
      <c r="Y234" s="1766"/>
      <c r="Z234" s="1766"/>
      <c r="AA234" s="1766"/>
      <c r="AB234" s="1766"/>
      <c r="AC234" s="1766"/>
      <c r="AD234" s="1767"/>
      <c r="AE234" s="1766"/>
      <c r="AF234" s="1766"/>
      <c r="AG234" s="1766"/>
      <c r="AH234" s="1768"/>
      <c r="AI234" s="1799"/>
      <c r="AJ234" s="1770"/>
      <c r="AK234" s="1771"/>
      <c r="AM234" s="13"/>
    </row>
    <row r="235" spans="1:39" s="5" customFormat="1">
      <c r="A235" s="1"/>
      <c r="B235" s="1"/>
      <c r="C235" s="4"/>
      <c r="D235" s="3"/>
      <c r="E235" s="4"/>
      <c r="F235" s="4"/>
      <c r="G235" s="4"/>
      <c r="H235" s="6"/>
      <c r="I235" s="6"/>
      <c r="J235" s="6"/>
      <c r="K235" s="11"/>
      <c r="P235" s="7"/>
      <c r="S235" s="6"/>
      <c r="T235" s="6"/>
      <c r="U235" s="1"/>
      <c r="V235" s="6"/>
      <c r="W235" s="1767"/>
      <c r="X235" s="1766"/>
      <c r="Y235" s="1766"/>
      <c r="Z235" s="1766"/>
      <c r="AA235" s="1766"/>
      <c r="AB235" s="1766"/>
      <c r="AC235" s="1766"/>
      <c r="AD235" s="1767"/>
      <c r="AE235" s="1766"/>
      <c r="AF235" s="1766"/>
      <c r="AG235" s="1766"/>
      <c r="AH235" s="1768"/>
      <c r="AI235" s="1799"/>
      <c r="AJ235" s="1770"/>
      <c r="AK235" s="1771"/>
      <c r="AM235" s="13"/>
    </row>
    <row r="236" spans="1:39" s="5" customFormat="1">
      <c r="A236" s="1"/>
      <c r="B236" s="1"/>
      <c r="C236" s="4"/>
      <c r="D236" s="3"/>
      <c r="E236" s="4"/>
      <c r="F236" s="4"/>
      <c r="G236" s="4"/>
      <c r="H236" s="6"/>
      <c r="I236" s="6"/>
      <c r="J236" s="6"/>
      <c r="K236" s="11"/>
      <c r="P236" s="7"/>
      <c r="S236" s="6"/>
      <c r="T236" s="6"/>
      <c r="U236" s="1"/>
      <c r="V236" s="6"/>
      <c r="W236" s="1767"/>
      <c r="X236" s="1766"/>
      <c r="Y236" s="1766"/>
      <c r="Z236" s="1766"/>
      <c r="AA236" s="1766"/>
      <c r="AB236" s="1766"/>
      <c r="AC236" s="1766"/>
      <c r="AD236" s="1767"/>
      <c r="AE236" s="1766"/>
      <c r="AF236" s="1766"/>
      <c r="AG236" s="1766"/>
      <c r="AH236" s="1768"/>
      <c r="AI236" s="1799"/>
      <c r="AJ236" s="1770"/>
      <c r="AK236" s="1771"/>
      <c r="AM236" s="13"/>
    </row>
    <row r="237" spans="1:39" s="5" customFormat="1">
      <c r="A237" s="1"/>
      <c r="B237" s="1"/>
      <c r="C237" s="4"/>
      <c r="D237" s="3"/>
      <c r="E237" s="4"/>
      <c r="F237" s="4"/>
      <c r="G237" s="4"/>
      <c r="H237" s="6"/>
      <c r="I237" s="6"/>
      <c r="J237" s="6"/>
      <c r="K237" s="11"/>
      <c r="P237" s="7"/>
      <c r="S237" s="6"/>
      <c r="T237" s="6"/>
      <c r="U237" s="1"/>
      <c r="V237" s="6"/>
      <c r="W237" s="1767"/>
      <c r="X237" s="1766"/>
      <c r="Y237" s="1766"/>
      <c r="Z237" s="1766"/>
      <c r="AA237" s="1766"/>
      <c r="AB237" s="1766"/>
      <c r="AC237" s="1766"/>
      <c r="AD237" s="1767"/>
      <c r="AE237" s="1766"/>
      <c r="AF237" s="1766"/>
      <c r="AG237" s="1766"/>
      <c r="AH237" s="1768"/>
      <c r="AI237" s="1799"/>
      <c r="AJ237" s="1770"/>
      <c r="AK237" s="1771"/>
      <c r="AM237" s="13"/>
    </row>
    <row r="238" spans="1:39" s="5" customFormat="1">
      <c r="A238" s="1"/>
      <c r="B238" s="1"/>
      <c r="C238" s="4"/>
      <c r="D238" s="3"/>
      <c r="E238" s="4"/>
      <c r="F238" s="4"/>
      <c r="G238" s="4"/>
      <c r="H238" s="6"/>
      <c r="I238" s="6"/>
      <c r="J238" s="6"/>
      <c r="K238" s="11"/>
      <c r="P238" s="7"/>
      <c r="S238" s="6"/>
      <c r="T238" s="6"/>
      <c r="U238" s="1"/>
      <c r="V238" s="6"/>
      <c r="W238" s="1767"/>
      <c r="X238" s="1766"/>
      <c r="Y238" s="1766"/>
      <c r="Z238" s="1766"/>
      <c r="AA238" s="1766"/>
      <c r="AB238" s="1766"/>
      <c r="AC238" s="1766"/>
      <c r="AD238" s="1767"/>
      <c r="AE238" s="1766"/>
      <c r="AF238" s="1766"/>
      <c r="AG238" s="1766"/>
      <c r="AH238" s="1768"/>
      <c r="AI238" s="1799"/>
      <c r="AJ238" s="1770"/>
      <c r="AK238" s="1771"/>
      <c r="AM238" s="13"/>
    </row>
    <row r="239" spans="1:39" s="5" customFormat="1">
      <c r="A239" s="1"/>
      <c r="B239" s="1"/>
      <c r="C239" s="4"/>
      <c r="D239" s="3"/>
      <c r="E239" s="4"/>
      <c r="F239" s="4"/>
      <c r="G239" s="4"/>
      <c r="H239" s="6"/>
      <c r="I239" s="6"/>
      <c r="J239" s="6"/>
      <c r="K239" s="11"/>
      <c r="P239" s="7"/>
      <c r="S239" s="6"/>
      <c r="T239" s="6"/>
      <c r="U239" s="1"/>
      <c r="V239" s="6"/>
      <c r="W239" s="1767"/>
      <c r="X239" s="1766"/>
      <c r="Y239" s="1766"/>
      <c r="Z239" s="1766"/>
      <c r="AA239" s="1766"/>
      <c r="AB239" s="1766"/>
      <c r="AC239" s="1766"/>
      <c r="AD239" s="1767"/>
      <c r="AE239" s="1766"/>
      <c r="AF239" s="1766"/>
      <c r="AG239" s="1766"/>
      <c r="AH239" s="1768"/>
      <c r="AI239" s="1799"/>
      <c r="AJ239" s="1770"/>
      <c r="AK239" s="1771"/>
      <c r="AM239" s="13"/>
    </row>
    <row r="240" spans="1:39" s="5" customFormat="1">
      <c r="A240" s="1"/>
      <c r="B240" s="1"/>
      <c r="C240" s="4"/>
      <c r="D240" s="3"/>
      <c r="E240" s="4"/>
      <c r="F240" s="4"/>
      <c r="G240" s="4"/>
      <c r="H240" s="6"/>
      <c r="I240" s="6"/>
      <c r="J240" s="6"/>
      <c r="K240" s="11"/>
      <c r="P240" s="7"/>
      <c r="S240" s="6"/>
      <c r="T240" s="6"/>
      <c r="U240" s="1"/>
      <c r="V240" s="6"/>
      <c r="W240" s="1767"/>
      <c r="X240" s="1766"/>
      <c r="Y240" s="1766"/>
      <c r="Z240" s="1766"/>
      <c r="AA240" s="1766"/>
      <c r="AB240" s="1766"/>
      <c r="AC240" s="1766"/>
      <c r="AD240" s="1767"/>
      <c r="AE240" s="1766"/>
      <c r="AF240" s="1766"/>
      <c r="AG240" s="1766"/>
      <c r="AH240" s="1768"/>
      <c r="AI240" s="1799"/>
      <c r="AJ240" s="1770"/>
      <c r="AK240" s="1771"/>
      <c r="AM240" s="13"/>
    </row>
    <row r="241" spans="1:39" s="5" customFormat="1">
      <c r="A241" s="1"/>
      <c r="B241" s="1"/>
      <c r="C241" s="4"/>
      <c r="D241" s="3"/>
      <c r="E241" s="4"/>
      <c r="F241" s="4"/>
      <c r="G241" s="4"/>
      <c r="H241" s="6"/>
      <c r="I241" s="6"/>
      <c r="J241" s="6"/>
      <c r="K241" s="11"/>
      <c r="P241" s="7"/>
      <c r="S241" s="6"/>
      <c r="T241" s="6"/>
      <c r="U241" s="1"/>
      <c r="V241" s="6"/>
      <c r="W241" s="1767"/>
      <c r="X241" s="1766"/>
      <c r="Y241" s="1766"/>
      <c r="Z241" s="1766"/>
      <c r="AA241" s="1766"/>
      <c r="AB241" s="1766"/>
      <c r="AC241" s="1766"/>
      <c r="AD241" s="1767"/>
      <c r="AE241" s="1766"/>
      <c r="AF241" s="1766"/>
      <c r="AG241" s="1766"/>
      <c r="AH241" s="1768"/>
      <c r="AI241" s="1799"/>
      <c r="AJ241" s="1770"/>
      <c r="AK241" s="1771"/>
      <c r="AM241" s="13"/>
    </row>
    <row r="242" spans="1:39" s="5" customFormat="1">
      <c r="A242" s="1"/>
      <c r="B242" s="1"/>
      <c r="C242" s="4"/>
      <c r="D242" s="3"/>
      <c r="E242" s="4"/>
      <c r="F242" s="4"/>
      <c r="G242" s="4"/>
      <c r="H242" s="6"/>
      <c r="I242" s="6"/>
      <c r="J242" s="6"/>
      <c r="K242" s="11"/>
      <c r="P242" s="7"/>
      <c r="S242" s="6"/>
      <c r="T242" s="6"/>
      <c r="U242" s="1"/>
      <c r="V242" s="6"/>
      <c r="W242" s="1767"/>
      <c r="X242" s="1766"/>
      <c r="Y242" s="1766"/>
      <c r="Z242" s="1766"/>
      <c r="AA242" s="1766"/>
      <c r="AB242" s="1766"/>
      <c r="AC242" s="1766"/>
      <c r="AD242" s="1767"/>
      <c r="AE242" s="1766"/>
      <c r="AF242" s="1766"/>
      <c r="AG242" s="1766"/>
      <c r="AH242" s="1768"/>
      <c r="AI242" s="1799"/>
      <c r="AJ242" s="1770"/>
      <c r="AK242" s="1771"/>
      <c r="AM242" s="13"/>
    </row>
    <row r="243" spans="1:39" s="5" customFormat="1">
      <c r="A243" s="1"/>
      <c r="B243" s="1"/>
      <c r="C243" s="4"/>
      <c r="D243" s="3"/>
      <c r="E243" s="4"/>
      <c r="F243" s="4"/>
      <c r="G243" s="4"/>
      <c r="H243" s="6"/>
      <c r="I243" s="6"/>
      <c r="J243" s="6"/>
      <c r="K243" s="11"/>
      <c r="P243" s="7"/>
      <c r="S243" s="6"/>
      <c r="T243" s="6"/>
      <c r="U243" s="1"/>
      <c r="V243" s="6"/>
      <c r="W243" s="1767"/>
      <c r="X243" s="1766"/>
      <c r="Y243" s="1766"/>
      <c r="Z243" s="1766"/>
      <c r="AA243" s="1766"/>
      <c r="AB243" s="1766"/>
      <c r="AC243" s="1766"/>
      <c r="AD243" s="1767"/>
      <c r="AE243" s="1766"/>
      <c r="AF243" s="1766"/>
      <c r="AG243" s="1766"/>
      <c r="AH243" s="1768"/>
      <c r="AI243" s="1799"/>
      <c r="AJ243" s="1770"/>
      <c r="AK243" s="1771"/>
      <c r="AM243" s="13"/>
    </row>
    <row r="244" spans="1:39" s="5" customFormat="1">
      <c r="A244" s="1"/>
      <c r="B244" s="1"/>
      <c r="C244" s="4"/>
      <c r="D244" s="3"/>
      <c r="E244" s="4"/>
      <c r="F244" s="4"/>
      <c r="G244" s="4"/>
      <c r="H244" s="6"/>
      <c r="I244" s="6"/>
      <c r="J244" s="6"/>
      <c r="K244" s="11"/>
      <c r="P244" s="7"/>
      <c r="S244" s="6"/>
      <c r="T244" s="6"/>
      <c r="U244" s="1"/>
      <c r="V244" s="6"/>
      <c r="W244" s="1767"/>
      <c r="X244" s="1766"/>
      <c r="Y244" s="1766"/>
      <c r="Z244" s="1766"/>
      <c r="AA244" s="1766"/>
      <c r="AB244" s="1766"/>
      <c r="AC244" s="1766"/>
      <c r="AD244" s="1767"/>
      <c r="AE244" s="1766"/>
      <c r="AF244" s="1766"/>
      <c r="AG244" s="1766"/>
      <c r="AH244" s="1768"/>
      <c r="AI244" s="1799"/>
      <c r="AJ244" s="1770"/>
      <c r="AK244" s="1771"/>
      <c r="AM244" s="13"/>
    </row>
    <row r="245" spans="1:39" s="5" customFormat="1">
      <c r="A245" s="1"/>
      <c r="B245" s="1"/>
      <c r="C245" s="4"/>
      <c r="D245" s="3"/>
      <c r="E245" s="4"/>
      <c r="F245" s="4"/>
      <c r="G245" s="4"/>
      <c r="H245" s="6"/>
      <c r="I245" s="6"/>
      <c r="J245" s="6"/>
      <c r="K245" s="11"/>
      <c r="P245" s="7"/>
      <c r="S245" s="6"/>
      <c r="T245" s="6"/>
      <c r="U245" s="1"/>
      <c r="V245" s="6"/>
      <c r="W245" s="1767"/>
      <c r="X245" s="1766"/>
      <c r="Y245" s="1766"/>
      <c r="Z245" s="1766"/>
      <c r="AA245" s="1766"/>
      <c r="AB245" s="1766"/>
      <c r="AC245" s="1766"/>
      <c r="AD245" s="1767"/>
      <c r="AE245" s="1766"/>
      <c r="AF245" s="1766"/>
      <c r="AG245" s="1766"/>
      <c r="AH245" s="1768"/>
      <c r="AI245" s="1799"/>
      <c r="AJ245" s="1770"/>
      <c r="AK245" s="1771"/>
      <c r="AM245" s="13"/>
    </row>
    <row r="246" spans="1:39" s="5" customFormat="1">
      <c r="A246" s="1"/>
      <c r="B246" s="1"/>
      <c r="C246" s="4"/>
      <c r="D246" s="3"/>
      <c r="E246" s="4"/>
      <c r="F246" s="4"/>
      <c r="G246" s="4"/>
      <c r="H246" s="6"/>
      <c r="I246" s="6"/>
      <c r="J246" s="6"/>
      <c r="K246" s="11"/>
      <c r="P246" s="7"/>
      <c r="S246" s="6"/>
      <c r="T246" s="6"/>
      <c r="U246" s="1"/>
      <c r="V246" s="6"/>
      <c r="W246" s="1767"/>
      <c r="X246" s="1766"/>
      <c r="Y246" s="1766"/>
      <c r="Z246" s="1766"/>
      <c r="AA246" s="1766"/>
      <c r="AB246" s="1766"/>
      <c r="AC246" s="1766"/>
      <c r="AD246" s="1767"/>
      <c r="AE246" s="1766"/>
      <c r="AF246" s="1766"/>
      <c r="AG246" s="1766"/>
      <c r="AH246" s="1768"/>
      <c r="AI246" s="1799"/>
      <c r="AJ246" s="1770"/>
      <c r="AK246" s="1771"/>
      <c r="AM246" s="13"/>
    </row>
    <row r="247" spans="1:39" s="5" customFormat="1">
      <c r="A247" s="1"/>
      <c r="B247" s="1"/>
      <c r="C247" s="4"/>
      <c r="D247" s="3"/>
      <c r="E247" s="4"/>
      <c r="F247" s="4"/>
      <c r="G247" s="4"/>
      <c r="H247" s="6"/>
      <c r="I247" s="6"/>
      <c r="J247" s="6"/>
      <c r="K247" s="11"/>
      <c r="P247" s="7"/>
      <c r="S247" s="6"/>
      <c r="T247" s="6"/>
      <c r="U247" s="1"/>
      <c r="V247" s="6"/>
      <c r="W247" s="1767"/>
      <c r="X247" s="1766"/>
      <c r="Y247" s="1766"/>
      <c r="Z247" s="1766"/>
      <c r="AA247" s="1766"/>
      <c r="AB247" s="1766"/>
      <c r="AC247" s="1766"/>
      <c r="AD247" s="1767"/>
      <c r="AE247" s="1766"/>
      <c r="AF247" s="1766"/>
      <c r="AG247" s="1766"/>
      <c r="AH247" s="1768"/>
      <c r="AI247" s="1799"/>
      <c r="AJ247" s="1770"/>
      <c r="AK247" s="1771"/>
      <c r="AM247" s="13"/>
    </row>
    <row r="248" spans="1:39" s="5" customFormat="1">
      <c r="A248" s="1"/>
      <c r="B248" s="1"/>
      <c r="C248" s="4"/>
      <c r="D248" s="3"/>
      <c r="E248" s="4"/>
      <c r="F248" s="4"/>
      <c r="G248" s="4"/>
      <c r="H248" s="6"/>
      <c r="I248" s="6"/>
      <c r="J248" s="6"/>
      <c r="K248" s="11"/>
      <c r="P248" s="7"/>
      <c r="S248" s="6"/>
      <c r="T248" s="6"/>
      <c r="U248" s="1"/>
      <c r="V248" s="6"/>
      <c r="W248" s="1767"/>
      <c r="X248" s="1766"/>
      <c r="Y248" s="1766"/>
      <c r="Z248" s="1766"/>
      <c r="AA248" s="1766"/>
      <c r="AB248" s="1766"/>
      <c r="AC248" s="1766"/>
      <c r="AD248" s="1767"/>
      <c r="AE248" s="1766"/>
      <c r="AF248" s="1766"/>
      <c r="AG248" s="1766"/>
      <c r="AH248" s="1768"/>
      <c r="AI248" s="1799"/>
      <c r="AJ248" s="1770"/>
      <c r="AK248" s="1771"/>
      <c r="AM248" s="13"/>
    </row>
    <row r="249" spans="1:39" s="5" customFormat="1">
      <c r="A249" s="1"/>
      <c r="B249" s="1"/>
      <c r="C249" s="4"/>
      <c r="D249" s="3"/>
      <c r="E249" s="4"/>
      <c r="F249" s="4"/>
      <c r="G249" s="4"/>
      <c r="H249" s="6"/>
      <c r="I249" s="6"/>
      <c r="J249" s="6"/>
      <c r="K249" s="11"/>
      <c r="P249" s="7"/>
      <c r="S249" s="6"/>
      <c r="T249" s="6"/>
      <c r="U249" s="1"/>
      <c r="V249" s="6"/>
      <c r="W249" s="1767"/>
      <c r="X249" s="1766"/>
      <c r="Y249" s="1766"/>
      <c r="Z249" s="1766"/>
      <c r="AA249" s="1766"/>
      <c r="AB249" s="1766"/>
      <c r="AC249" s="1766"/>
      <c r="AD249" s="1767"/>
      <c r="AE249" s="1766"/>
      <c r="AF249" s="1766"/>
      <c r="AG249" s="1766"/>
      <c r="AH249" s="1768"/>
      <c r="AI249" s="1799"/>
      <c r="AJ249" s="1770"/>
      <c r="AK249" s="1771"/>
      <c r="AM249" s="13"/>
    </row>
    <row r="250" spans="1:39" s="5" customFormat="1">
      <c r="A250" s="1"/>
      <c r="B250" s="1"/>
      <c r="C250" s="4"/>
      <c r="D250" s="3"/>
      <c r="E250" s="4"/>
      <c r="F250" s="4"/>
      <c r="G250" s="4"/>
      <c r="H250" s="6"/>
      <c r="I250" s="6"/>
      <c r="J250" s="6"/>
      <c r="K250" s="11"/>
      <c r="P250" s="7"/>
      <c r="S250" s="6"/>
      <c r="T250" s="6"/>
      <c r="U250" s="1"/>
      <c r="V250" s="6"/>
      <c r="W250" s="1767"/>
      <c r="X250" s="1766"/>
      <c r="Y250" s="1766"/>
      <c r="Z250" s="1766"/>
      <c r="AA250" s="1766"/>
      <c r="AB250" s="1766"/>
      <c r="AC250" s="1766"/>
      <c r="AD250" s="1767"/>
      <c r="AE250" s="1766"/>
      <c r="AF250" s="1766"/>
      <c r="AG250" s="1766"/>
      <c r="AH250" s="1768"/>
      <c r="AI250" s="1799"/>
      <c r="AJ250" s="1770"/>
      <c r="AK250" s="1771"/>
      <c r="AM250" s="13"/>
    </row>
    <row r="251" spans="1:39" s="5" customFormat="1">
      <c r="A251" s="1"/>
      <c r="B251" s="1"/>
      <c r="C251" s="4"/>
      <c r="D251" s="3"/>
      <c r="E251" s="4"/>
      <c r="F251" s="4"/>
      <c r="G251" s="4"/>
      <c r="H251" s="6"/>
      <c r="I251" s="6"/>
      <c r="J251" s="6"/>
      <c r="K251" s="11"/>
      <c r="P251" s="7"/>
      <c r="S251" s="6"/>
      <c r="T251" s="6"/>
      <c r="U251" s="1"/>
      <c r="V251" s="6"/>
      <c r="W251" s="1767"/>
      <c r="X251" s="1766"/>
      <c r="Y251" s="1766"/>
      <c r="Z251" s="1766"/>
      <c r="AA251" s="1766"/>
      <c r="AB251" s="1766"/>
      <c r="AC251" s="1766"/>
      <c r="AD251" s="1767"/>
      <c r="AE251" s="1766"/>
      <c r="AF251" s="1766"/>
      <c r="AG251" s="1766"/>
      <c r="AH251" s="1768"/>
      <c r="AI251" s="1799"/>
      <c r="AJ251" s="1770"/>
      <c r="AK251" s="1771"/>
      <c r="AM251" s="13"/>
    </row>
    <row r="252" spans="1:39" s="5" customFormat="1">
      <c r="A252" s="1"/>
      <c r="B252" s="1"/>
      <c r="C252" s="4"/>
      <c r="D252" s="3"/>
      <c r="E252" s="4"/>
      <c r="F252" s="4"/>
      <c r="G252" s="4"/>
      <c r="H252" s="6"/>
      <c r="I252" s="6"/>
      <c r="J252" s="6"/>
      <c r="K252" s="11"/>
      <c r="P252" s="7"/>
      <c r="S252" s="6"/>
      <c r="T252" s="6"/>
      <c r="U252" s="1"/>
      <c r="V252" s="6"/>
      <c r="W252" s="1767"/>
      <c r="X252" s="1766"/>
      <c r="Y252" s="1766"/>
      <c r="Z252" s="1766"/>
      <c r="AA252" s="1766"/>
      <c r="AB252" s="1766"/>
      <c r="AC252" s="1766"/>
      <c r="AD252" s="1767"/>
      <c r="AE252" s="1766"/>
      <c r="AF252" s="1766"/>
      <c r="AG252" s="1766"/>
      <c r="AH252" s="1768"/>
      <c r="AI252" s="1799"/>
      <c r="AJ252" s="1770"/>
      <c r="AK252" s="1771"/>
      <c r="AM252" s="13"/>
    </row>
    <row r="253" spans="1:39" s="5" customFormat="1">
      <c r="A253" s="1"/>
      <c r="B253" s="1"/>
      <c r="C253" s="4"/>
      <c r="D253" s="3"/>
      <c r="E253" s="4"/>
      <c r="F253" s="4"/>
      <c r="G253" s="4"/>
      <c r="H253" s="6"/>
      <c r="I253" s="6"/>
      <c r="J253" s="6"/>
      <c r="K253" s="11"/>
      <c r="P253" s="7"/>
      <c r="S253" s="6"/>
      <c r="T253" s="6"/>
      <c r="U253" s="1"/>
      <c r="V253" s="6"/>
      <c r="W253" s="1767"/>
      <c r="X253" s="1766"/>
      <c r="Y253" s="1766"/>
      <c r="Z253" s="1766"/>
      <c r="AA253" s="1766"/>
      <c r="AB253" s="1766"/>
      <c r="AC253" s="1766"/>
      <c r="AD253" s="1767"/>
      <c r="AE253" s="1766"/>
      <c r="AF253" s="1766"/>
      <c r="AG253" s="1766"/>
      <c r="AH253" s="1768"/>
      <c r="AI253" s="1799"/>
      <c r="AJ253" s="1770"/>
      <c r="AK253" s="1771"/>
      <c r="AM253" s="13"/>
    </row>
    <row r="254" spans="1:39" s="5" customFormat="1">
      <c r="A254" s="1"/>
      <c r="B254" s="1"/>
      <c r="C254" s="4"/>
      <c r="D254" s="3"/>
      <c r="E254" s="4"/>
      <c r="F254" s="4"/>
      <c r="G254" s="4"/>
      <c r="H254" s="6"/>
      <c r="I254" s="6"/>
      <c r="J254" s="6"/>
      <c r="K254" s="11"/>
      <c r="P254" s="7"/>
      <c r="S254" s="6"/>
      <c r="T254" s="6"/>
      <c r="U254" s="1"/>
      <c r="V254" s="6"/>
      <c r="W254" s="1767"/>
      <c r="X254" s="1766"/>
      <c r="Y254" s="1766"/>
      <c r="Z254" s="1766"/>
      <c r="AA254" s="1766"/>
      <c r="AB254" s="1766"/>
      <c r="AC254" s="1766"/>
      <c r="AD254" s="1767"/>
      <c r="AE254" s="1766"/>
      <c r="AF254" s="1766"/>
      <c r="AG254" s="1766"/>
      <c r="AH254" s="1768"/>
      <c r="AI254" s="1799"/>
      <c r="AJ254" s="1770"/>
      <c r="AK254" s="1771"/>
      <c r="AM254" s="13"/>
    </row>
    <row r="255" spans="1:39" s="5" customFormat="1">
      <c r="A255" s="1"/>
      <c r="B255" s="1"/>
      <c r="C255" s="4"/>
      <c r="D255" s="3"/>
      <c r="E255" s="4"/>
      <c r="F255" s="4"/>
      <c r="G255" s="4"/>
      <c r="H255" s="6"/>
      <c r="I255" s="6"/>
      <c r="J255" s="6"/>
      <c r="K255" s="11"/>
      <c r="P255" s="7"/>
      <c r="S255" s="6"/>
      <c r="T255" s="6"/>
      <c r="U255" s="1"/>
      <c r="V255" s="6"/>
      <c r="W255" s="1767"/>
      <c r="X255" s="1766"/>
      <c r="Y255" s="1766"/>
      <c r="Z255" s="1766"/>
      <c r="AA255" s="1766"/>
      <c r="AB255" s="1766"/>
      <c r="AC255" s="1766"/>
      <c r="AD255" s="1767"/>
      <c r="AE255" s="1766"/>
      <c r="AF255" s="1766"/>
      <c r="AG255" s="1766"/>
      <c r="AH255" s="1768"/>
      <c r="AI255" s="1799"/>
      <c r="AJ255" s="1770"/>
      <c r="AK255" s="1771"/>
      <c r="AM255" s="13"/>
    </row>
    <row r="256" spans="1:39" s="5" customFormat="1">
      <c r="A256" s="1"/>
      <c r="B256" s="1"/>
      <c r="C256" s="4"/>
      <c r="D256" s="3"/>
      <c r="E256" s="4"/>
      <c r="F256" s="4"/>
      <c r="G256" s="4"/>
      <c r="H256" s="6"/>
      <c r="I256" s="6"/>
      <c r="J256" s="6"/>
      <c r="K256" s="11"/>
      <c r="P256" s="7"/>
      <c r="S256" s="6"/>
      <c r="T256" s="6"/>
      <c r="U256" s="1"/>
      <c r="V256" s="6"/>
      <c r="W256" s="1767"/>
      <c r="X256" s="1766"/>
      <c r="Y256" s="1766"/>
      <c r="Z256" s="1766"/>
      <c r="AA256" s="1766"/>
      <c r="AB256" s="1766"/>
      <c r="AC256" s="1766"/>
      <c r="AD256" s="1767"/>
      <c r="AE256" s="1766"/>
      <c r="AF256" s="1766"/>
      <c r="AG256" s="1766"/>
      <c r="AH256" s="1768"/>
      <c r="AI256" s="1799"/>
      <c r="AJ256" s="1770"/>
      <c r="AK256" s="1771"/>
      <c r="AM256" s="13"/>
    </row>
    <row r="257" spans="1:39" s="5" customFormat="1">
      <c r="A257" s="1"/>
      <c r="B257" s="1"/>
      <c r="C257" s="4"/>
      <c r="D257" s="3"/>
      <c r="E257" s="4"/>
      <c r="F257" s="4"/>
      <c r="G257" s="4"/>
      <c r="H257" s="6"/>
      <c r="I257" s="6"/>
      <c r="J257" s="6"/>
      <c r="K257" s="11"/>
      <c r="P257" s="7"/>
      <c r="S257" s="6"/>
      <c r="T257" s="6"/>
      <c r="U257" s="1"/>
      <c r="V257" s="6"/>
      <c r="W257" s="1767"/>
      <c r="X257" s="1766"/>
      <c r="Y257" s="1766"/>
      <c r="Z257" s="1766"/>
      <c r="AA257" s="1766"/>
      <c r="AB257" s="1766"/>
      <c r="AC257" s="1766"/>
      <c r="AD257" s="1767"/>
      <c r="AE257" s="1766"/>
      <c r="AF257" s="1766"/>
      <c r="AG257" s="1766"/>
      <c r="AH257" s="1768"/>
      <c r="AI257" s="1799"/>
      <c r="AJ257" s="1770"/>
      <c r="AK257" s="1771"/>
      <c r="AM257" s="13"/>
    </row>
    <row r="258" spans="1:39" s="5" customFormat="1">
      <c r="A258" s="1"/>
      <c r="B258" s="1"/>
      <c r="C258" s="4"/>
      <c r="D258" s="3"/>
      <c r="E258" s="4"/>
      <c r="F258" s="4"/>
      <c r="G258" s="4"/>
      <c r="H258" s="6"/>
      <c r="I258" s="6"/>
      <c r="J258" s="6"/>
      <c r="K258" s="11"/>
      <c r="P258" s="7"/>
      <c r="S258" s="6"/>
      <c r="T258" s="6"/>
      <c r="U258" s="1"/>
      <c r="V258" s="6"/>
      <c r="W258" s="1767"/>
      <c r="X258" s="1766"/>
      <c r="Y258" s="1766"/>
      <c r="Z258" s="1766"/>
      <c r="AA258" s="1766"/>
      <c r="AB258" s="1766"/>
      <c r="AC258" s="1766"/>
      <c r="AD258" s="1767"/>
      <c r="AE258" s="1766"/>
      <c r="AF258" s="1766"/>
      <c r="AG258" s="1766"/>
      <c r="AH258" s="1768"/>
      <c r="AI258" s="1799"/>
      <c r="AJ258" s="1770"/>
      <c r="AK258" s="1771"/>
      <c r="AM258" s="13"/>
    </row>
    <row r="259" spans="1:39" s="5" customFormat="1">
      <c r="A259" s="1"/>
      <c r="B259" s="1"/>
      <c r="C259" s="4"/>
      <c r="D259" s="3"/>
      <c r="E259" s="4"/>
      <c r="F259" s="4"/>
      <c r="G259" s="4"/>
      <c r="H259" s="6"/>
      <c r="I259" s="6"/>
      <c r="J259" s="6"/>
      <c r="K259" s="11"/>
      <c r="P259" s="7"/>
      <c r="S259" s="6"/>
      <c r="T259" s="6"/>
      <c r="U259" s="1"/>
      <c r="V259" s="6"/>
      <c r="W259" s="1767"/>
      <c r="X259" s="1766"/>
      <c r="Y259" s="1766"/>
      <c r="Z259" s="1766"/>
      <c r="AA259" s="1766"/>
      <c r="AB259" s="1766"/>
      <c r="AC259" s="1766"/>
      <c r="AD259" s="1767"/>
      <c r="AE259" s="1766"/>
      <c r="AF259" s="1766"/>
      <c r="AG259" s="1766"/>
      <c r="AH259" s="1768"/>
      <c r="AI259" s="1799"/>
      <c r="AJ259" s="1770"/>
      <c r="AK259" s="1771"/>
      <c r="AM259" s="13"/>
    </row>
    <row r="260" spans="1:39" s="5" customFormat="1">
      <c r="A260" s="1"/>
      <c r="B260" s="1"/>
      <c r="C260" s="4"/>
      <c r="D260" s="3"/>
      <c r="E260" s="4"/>
      <c r="F260" s="4"/>
      <c r="G260" s="4"/>
      <c r="H260" s="6"/>
      <c r="I260" s="6"/>
      <c r="J260" s="6"/>
      <c r="K260" s="11"/>
      <c r="P260" s="7"/>
      <c r="S260" s="6"/>
      <c r="T260" s="6"/>
      <c r="U260" s="1"/>
      <c r="V260" s="6"/>
      <c r="W260" s="1767"/>
      <c r="X260" s="1766"/>
      <c r="Y260" s="1766"/>
      <c r="Z260" s="1766"/>
      <c r="AA260" s="1766"/>
      <c r="AB260" s="1766"/>
      <c r="AC260" s="1766"/>
      <c r="AD260" s="1767"/>
      <c r="AE260" s="1766"/>
      <c r="AF260" s="1766"/>
      <c r="AG260" s="1766"/>
      <c r="AH260" s="1768"/>
      <c r="AI260" s="1799"/>
      <c r="AJ260" s="1770"/>
      <c r="AK260" s="1771"/>
      <c r="AM260" s="13"/>
    </row>
    <row r="261" spans="1:39" s="5" customFormat="1">
      <c r="A261" s="1"/>
      <c r="B261" s="1"/>
      <c r="C261" s="4"/>
      <c r="D261" s="3"/>
      <c r="E261" s="4"/>
      <c r="F261" s="4"/>
      <c r="G261" s="4"/>
      <c r="H261" s="6"/>
      <c r="I261" s="6"/>
      <c r="J261" s="6"/>
      <c r="K261" s="11"/>
      <c r="P261" s="7"/>
      <c r="S261" s="6"/>
      <c r="T261" s="6"/>
      <c r="U261" s="1"/>
      <c r="V261" s="6"/>
      <c r="W261" s="1767"/>
      <c r="X261" s="1766"/>
      <c r="Y261" s="1766"/>
      <c r="Z261" s="1766"/>
      <c r="AA261" s="1766"/>
      <c r="AB261" s="1766"/>
      <c r="AC261" s="1766"/>
      <c r="AD261" s="1767"/>
      <c r="AE261" s="1766"/>
      <c r="AF261" s="1766"/>
      <c r="AG261" s="1766"/>
      <c r="AH261" s="1768"/>
      <c r="AI261" s="1799"/>
      <c r="AJ261" s="1770"/>
      <c r="AK261" s="1771"/>
      <c r="AM261" s="13"/>
    </row>
    <row r="262" spans="1:39" s="5" customFormat="1">
      <c r="A262" s="1"/>
      <c r="B262" s="1"/>
      <c r="C262" s="4"/>
      <c r="D262" s="3"/>
      <c r="E262" s="4"/>
      <c r="F262" s="4"/>
      <c r="G262" s="4"/>
      <c r="H262" s="6"/>
      <c r="I262" s="6"/>
      <c r="J262" s="6"/>
      <c r="K262" s="11"/>
      <c r="P262" s="7"/>
      <c r="S262" s="6"/>
      <c r="T262" s="6"/>
      <c r="U262" s="1"/>
      <c r="V262" s="6"/>
      <c r="W262" s="1767"/>
      <c r="X262" s="1766"/>
      <c r="Y262" s="1766"/>
      <c r="Z262" s="1766"/>
      <c r="AA262" s="1766"/>
      <c r="AB262" s="1766"/>
      <c r="AC262" s="1766"/>
      <c r="AD262" s="1767"/>
      <c r="AE262" s="1766"/>
      <c r="AF262" s="1766"/>
      <c r="AG262" s="1766"/>
      <c r="AH262" s="1768"/>
      <c r="AI262" s="1799"/>
      <c r="AJ262" s="1770"/>
      <c r="AK262" s="1771"/>
      <c r="AM262" s="13"/>
    </row>
    <row r="263" spans="1:39" s="5" customFormat="1">
      <c r="A263" s="1"/>
      <c r="B263" s="1"/>
      <c r="C263" s="4"/>
      <c r="D263" s="3"/>
      <c r="E263" s="4"/>
      <c r="F263" s="4"/>
      <c r="G263" s="4"/>
      <c r="H263" s="6"/>
      <c r="I263" s="6"/>
      <c r="J263" s="6"/>
      <c r="K263" s="11"/>
      <c r="P263" s="7"/>
      <c r="S263" s="6"/>
      <c r="T263" s="6"/>
      <c r="U263" s="1"/>
      <c r="V263" s="6"/>
      <c r="W263" s="1767"/>
      <c r="X263" s="1766"/>
      <c r="Y263" s="1766"/>
      <c r="Z263" s="1766"/>
      <c r="AA263" s="1766"/>
      <c r="AB263" s="1766"/>
      <c r="AC263" s="1766"/>
      <c r="AD263" s="1767"/>
      <c r="AE263" s="1766"/>
      <c r="AF263" s="1766"/>
      <c r="AG263" s="1766"/>
      <c r="AH263" s="1768"/>
      <c r="AI263" s="1799"/>
      <c r="AJ263" s="1770"/>
      <c r="AK263" s="1771"/>
      <c r="AM263" s="13"/>
    </row>
    <row r="264" spans="1:39" s="5" customFormat="1">
      <c r="A264" s="1"/>
      <c r="B264" s="1"/>
      <c r="C264" s="4"/>
      <c r="D264" s="3"/>
      <c r="E264" s="4"/>
      <c r="F264" s="4"/>
      <c r="G264" s="4"/>
      <c r="H264" s="6"/>
      <c r="I264" s="6"/>
      <c r="J264" s="6"/>
      <c r="K264" s="11"/>
      <c r="P264" s="7"/>
      <c r="S264" s="6"/>
      <c r="T264" s="6"/>
      <c r="U264" s="1"/>
      <c r="V264" s="6"/>
      <c r="W264" s="1767"/>
      <c r="X264" s="1766"/>
      <c r="Y264" s="1766"/>
      <c r="Z264" s="1766"/>
      <c r="AA264" s="1766"/>
      <c r="AB264" s="1766"/>
      <c r="AC264" s="1766"/>
      <c r="AD264" s="1767"/>
      <c r="AE264" s="1766"/>
      <c r="AF264" s="1766"/>
      <c r="AG264" s="1766"/>
      <c r="AH264" s="1768"/>
      <c r="AI264" s="1799"/>
      <c r="AJ264" s="1770"/>
      <c r="AK264" s="1771"/>
      <c r="AM264" s="13"/>
    </row>
    <row r="265" spans="1:39" s="5" customFormat="1">
      <c r="A265" s="1"/>
      <c r="B265" s="1"/>
      <c r="C265" s="4"/>
      <c r="D265" s="3"/>
      <c r="E265" s="4"/>
      <c r="F265" s="4"/>
      <c r="G265" s="4"/>
      <c r="H265" s="6"/>
      <c r="I265" s="6"/>
      <c r="J265" s="6"/>
      <c r="K265" s="11"/>
      <c r="P265" s="7"/>
      <c r="S265" s="6"/>
      <c r="T265" s="6"/>
      <c r="U265" s="1"/>
      <c r="V265" s="6"/>
      <c r="W265" s="1767"/>
      <c r="X265" s="1766"/>
      <c r="Y265" s="1766"/>
      <c r="Z265" s="1766"/>
      <c r="AA265" s="1766"/>
      <c r="AB265" s="1766"/>
      <c r="AC265" s="1766"/>
      <c r="AD265" s="1767"/>
      <c r="AE265" s="1766"/>
      <c r="AF265" s="1766"/>
      <c r="AG265" s="1766"/>
      <c r="AH265" s="1768"/>
      <c r="AI265" s="1799"/>
      <c r="AJ265" s="1770"/>
      <c r="AK265" s="1771"/>
      <c r="AM265" s="13"/>
    </row>
    <row r="266" spans="1:39" s="5" customFormat="1">
      <c r="A266" s="1"/>
      <c r="B266" s="1"/>
      <c r="C266" s="4"/>
      <c r="D266" s="3"/>
      <c r="E266" s="4"/>
      <c r="F266" s="4"/>
      <c r="G266" s="4"/>
      <c r="H266" s="6"/>
      <c r="I266" s="6"/>
      <c r="J266" s="6"/>
      <c r="K266" s="11"/>
      <c r="P266" s="7"/>
      <c r="S266" s="6"/>
      <c r="T266" s="6"/>
      <c r="U266" s="1"/>
      <c r="V266" s="6"/>
      <c r="W266" s="1767"/>
      <c r="X266" s="1766"/>
      <c r="Y266" s="1766"/>
      <c r="Z266" s="1766"/>
      <c r="AA266" s="1766"/>
      <c r="AB266" s="1766"/>
      <c r="AC266" s="1766"/>
      <c r="AD266" s="1767"/>
      <c r="AE266" s="1766"/>
      <c r="AF266" s="1766"/>
      <c r="AG266" s="1766"/>
      <c r="AH266" s="1768"/>
      <c r="AI266" s="1799"/>
      <c r="AJ266" s="1770"/>
      <c r="AK266" s="1771"/>
      <c r="AM266" s="13"/>
    </row>
    <row r="267" spans="1:39" s="5" customFormat="1">
      <c r="A267" s="1"/>
      <c r="B267" s="1"/>
      <c r="C267" s="4"/>
      <c r="D267" s="3"/>
      <c r="E267" s="4"/>
      <c r="F267" s="4"/>
      <c r="G267" s="4"/>
      <c r="H267" s="6"/>
      <c r="I267" s="6"/>
      <c r="J267" s="6"/>
      <c r="K267" s="11"/>
      <c r="P267" s="7"/>
      <c r="S267" s="6"/>
      <c r="T267" s="6"/>
      <c r="U267" s="1"/>
      <c r="V267" s="6"/>
      <c r="W267" s="1767"/>
      <c r="X267" s="1766"/>
      <c r="Y267" s="1766"/>
      <c r="Z267" s="1766"/>
      <c r="AA267" s="1766"/>
      <c r="AB267" s="1766"/>
      <c r="AC267" s="1766"/>
      <c r="AD267" s="1767"/>
      <c r="AE267" s="1766"/>
      <c r="AF267" s="1766"/>
      <c r="AG267" s="1766"/>
      <c r="AH267" s="1768"/>
      <c r="AI267" s="1799"/>
      <c r="AJ267" s="1770"/>
      <c r="AK267" s="1771"/>
      <c r="AM267" s="13"/>
    </row>
    <row r="268" spans="1:39" s="5" customFormat="1">
      <c r="A268" s="1"/>
      <c r="B268" s="1"/>
      <c r="C268" s="4"/>
      <c r="D268" s="3"/>
      <c r="E268" s="4"/>
      <c r="F268" s="4"/>
      <c r="G268" s="4"/>
      <c r="H268" s="6"/>
      <c r="I268" s="6"/>
      <c r="J268" s="6"/>
      <c r="K268" s="11"/>
      <c r="P268" s="7"/>
      <c r="S268" s="6"/>
      <c r="T268" s="6"/>
      <c r="U268" s="1"/>
      <c r="V268" s="6"/>
      <c r="W268" s="1767"/>
      <c r="X268" s="1766"/>
      <c r="Y268" s="1766"/>
      <c r="Z268" s="1766"/>
      <c r="AA268" s="1766"/>
      <c r="AB268" s="1766"/>
      <c r="AC268" s="1766"/>
      <c r="AD268" s="1767"/>
      <c r="AE268" s="1766"/>
      <c r="AF268" s="1766"/>
      <c r="AG268" s="1766"/>
      <c r="AH268" s="1768"/>
      <c r="AI268" s="1799"/>
      <c r="AJ268" s="1770"/>
      <c r="AK268" s="1771"/>
      <c r="AM268" s="13"/>
    </row>
    <row r="269" spans="1:39" s="5" customFormat="1">
      <c r="A269" s="1"/>
      <c r="B269" s="1"/>
      <c r="C269" s="4"/>
      <c r="D269" s="3"/>
      <c r="E269" s="4"/>
      <c r="F269" s="4"/>
      <c r="G269" s="4"/>
      <c r="H269" s="6"/>
      <c r="I269" s="6"/>
      <c r="J269" s="6"/>
      <c r="K269" s="11"/>
      <c r="P269" s="7"/>
      <c r="S269" s="6"/>
      <c r="T269" s="6"/>
      <c r="U269" s="1"/>
      <c r="V269" s="6"/>
      <c r="W269" s="1767"/>
      <c r="X269" s="1766"/>
      <c r="Y269" s="1766"/>
      <c r="Z269" s="1766"/>
      <c r="AA269" s="1766"/>
      <c r="AB269" s="1766"/>
      <c r="AC269" s="1766"/>
      <c r="AD269" s="1767"/>
      <c r="AE269" s="1766"/>
      <c r="AF269" s="1766"/>
      <c r="AG269" s="1766"/>
      <c r="AH269" s="1768"/>
      <c r="AI269" s="1799"/>
      <c r="AJ269" s="1770"/>
      <c r="AK269" s="1771"/>
      <c r="AM269" s="13"/>
    </row>
    <row r="270" spans="1:39" s="5" customFormat="1">
      <c r="A270" s="1"/>
      <c r="B270" s="1"/>
      <c r="C270" s="4"/>
      <c r="D270" s="3"/>
      <c r="E270" s="4"/>
      <c r="F270" s="4"/>
      <c r="G270" s="4"/>
      <c r="H270" s="6"/>
      <c r="I270" s="6"/>
      <c r="J270" s="6"/>
      <c r="K270" s="11"/>
      <c r="P270" s="7"/>
      <c r="S270" s="6"/>
      <c r="T270" s="6"/>
      <c r="U270" s="1"/>
      <c r="V270" s="6"/>
      <c r="W270" s="1767"/>
      <c r="X270" s="1766"/>
      <c r="Y270" s="1766"/>
      <c r="Z270" s="1766"/>
      <c r="AA270" s="1766"/>
      <c r="AB270" s="1766"/>
      <c r="AC270" s="1766"/>
      <c r="AD270" s="1767"/>
      <c r="AE270" s="1766"/>
      <c r="AF270" s="1766"/>
      <c r="AG270" s="1766"/>
      <c r="AH270" s="1768"/>
      <c r="AI270" s="1799"/>
      <c r="AJ270" s="1770"/>
      <c r="AK270" s="1771"/>
      <c r="AM270" s="13"/>
    </row>
    <row r="271" spans="1:39" s="5" customFormat="1">
      <c r="A271" s="1"/>
      <c r="B271" s="1"/>
      <c r="C271" s="4"/>
      <c r="D271" s="3"/>
      <c r="E271" s="4"/>
      <c r="F271" s="4"/>
      <c r="G271" s="4"/>
      <c r="H271" s="6"/>
      <c r="I271" s="6"/>
      <c r="J271" s="6"/>
      <c r="K271" s="11"/>
      <c r="P271" s="7"/>
      <c r="S271" s="6"/>
      <c r="T271" s="6"/>
      <c r="U271" s="1"/>
      <c r="V271" s="6"/>
      <c r="W271" s="1767"/>
      <c r="X271" s="1766"/>
      <c r="Y271" s="1766"/>
      <c r="Z271" s="1766"/>
      <c r="AA271" s="1766"/>
      <c r="AB271" s="1766"/>
      <c r="AC271" s="1766"/>
      <c r="AD271" s="1767"/>
      <c r="AE271" s="1766"/>
      <c r="AF271" s="1766"/>
      <c r="AG271" s="1766"/>
      <c r="AH271" s="1768"/>
      <c r="AI271" s="1799"/>
      <c r="AJ271" s="1770"/>
      <c r="AK271" s="1771"/>
      <c r="AM271" s="13"/>
    </row>
    <row r="272" spans="1:39" s="5" customFormat="1">
      <c r="A272" s="1"/>
      <c r="B272" s="1"/>
      <c r="C272" s="4"/>
      <c r="D272" s="3"/>
      <c r="E272" s="4"/>
      <c r="F272" s="4"/>
      <c r="G272" s="4"/>
      <c r="H272" s="6"/>
      <c r="I272" s="6"/>
      <c r="J272" s="6"/>
      <c r="K272" s="11"/>
      <c r="P272" s="7"/>
      <c r="S272" s="6"/>
      <c r="T272" s="6"/>
      <c r="U272" s="1"/>
      <c r="V272" s="6"/>
      <c r="W272" s="1767"/>
      <c r="X272" s="1766"/>
      <c r="Y272" s="1766"/>
      <c r="Z272" s="1766"/>
      <c r="AA272" s="1766"/>
      <c r="AB272" s="1766"/>
      <c r="AC272" s="1766"/>
      <c r="AD272" s="1767"/>
      <c r="AE272" s="1766"/>
      <c r="AF272" s="1766"/>
      <c r="AG272" s="1766"/>
      <c r="AH272" s="1768"/>
      <c r="AI272" s="1799"/>
      <c r="AJ272" s="1770"/>
      <c r="AK272" s="1771"/>
      <c r="AM272" s="13"/>
    </row>
    <row r="273" spans="1:39" s="5" customFormat="1">
      <c r="A273" s="1"/>
      <c r="B273" s="1"/>
      <c r="C273" s="4"/>
      <c r="D273" s="3"/>
      <c r="E273" s="4"/>
      <c r="F273" s="4"/>
      <c r="G273" s="4"/>
      <c r="H273" s="6"/>
      <c r="I273" s="6"/>
      <c r="J273" s="6"/>
      <c r="K273" s="11"/>
      <c r="P273" s="7"/>
      <c r="S273" s="6"/>
      <c r="T273" s="6"/>
      <c r="U273" s="1"/>
      <c r="V273" s="6"/>
      <c r="W273" s="1767"/>
      <c r="X273" s="1766"/>
      <c r="Y273" s="1766"/>
      <c r="Z273" s="1766"/>
      <c r="AA273" s="1766"/>
      <c r="AB273" s="1766"/>
      <c r="AC273" s="1766"/>
      <c r="AD273" s="1767"/>
      <c r="AE273" s="1766"/>
      <c r="AF273" s="1766"/>
      <c r="AG273" s="1766"/>
      <c r="AH273" s="1768"/>
      <c r="AI273" s="1799"/>
      <c r="AJ273" s="1770"/>
      <c r="AK273" s="1771"/>
      <c r="AM273" s="13"/>
    </row>
    <row r="274" spans="1:39" s="5" customFormat="1">
      <c r="A274" s="1"/>
      <c r="B274" s="1"/>
      <c r="C274" s="4"/>
      <c r="D274" s="3"/>
      <c r="E274" s="4"/>
      <c r="F274" s="4"/>
      <c r="G274" s="4"/>
      <c r="H274" s="6"/>
      <c r="I274" s="6"/>
      <c r="J274" s="6"/>
      <c r="K274" s="11"/>
      <c r="P274" s="7"/>
      <c r="S274" s="6"/>
      <c r="T274" s="6"/>
      <c r="U274" s="1"/>
      <c r="V274" s="6"/>
      <c r="W274" s="1767"/>
      <c r="X274" s="1766"/>
      <c r="Y274" s="1766"/>
      <c r="Z274" s="1766"/>
      <c r="AA274" s="1766"/>
      <c r="AB274" s="1766"/>
      <c r="AC274" s="1766"/>
      <c r="AD274" s="1767"/>
      <c r="AE274" s="1766"/>
      <c r="AF274" s="1766"/>
      <c r="AG274" s="1766"/>
      <c r="AH274" s="1768"/>
      <c r="AI274" s="1799"/>
      <c r="AJ274" s="1770"/>
      <c r="AK274" s="1771"/>
      <c r="AM274" s="13"/>
    </row>
    <row r="275" spans="1:39" s="5" customFormat="1">
      <c r="A275" s="1"/>
      <c r="B275" s="1"/>
      <c r="C275" s="4"/>
      <c r="D275" s="3"/>
      <c r="E275" s="4"/>
      <c r="F275" s="4"/>
      <c r="G275" s="4"/>
      <c r="H275" s="6"/>
      <c r="I275" s="6"/>
      <c r="J275" s="6"/>
      <c r="K275" s="11"/>
      <c r="P275" s="7"/>
      <c r="S275" s="6"/>
      <c r="T275" s="6"/>
      <c r="U275" s="1"/>
      <c r="V275" s="6"/>
      <c r="W275" s="1767"/>
      <c r="X275" s="1766"/>
      <c r="Y275" s="1766"/>
      <c r="Z275" s="1766"/>
      <c r="AA275" s="1766"/>
      <c r="AB275" s="1766"/>
      <c r="AC275" s="1766"/>
      <c r="AD275" s="1767"/>
      <c r="AE275" s="1766"/>
      <c r="AF275" s="1766"/>
      <c r="AG275" s="1766"/>
      <c r="AH275" s="1768"/>
      <c r="AI275" s="1799"/>
      <c r="AJ275" s="1770"/>
      <c r="AK275" s="1771"/>
      <c r="AM275" s="13"/>
    </row>
    <row r="276" spans="1:39" s="5" customFormat="1">
      <c r="A276" s="1"/>
      <c r="B276" s="1"/>
      <c r="C276" s="4"/>
      <c r="D276" s="3"/>
      <c r="E276" s="4"/>
      <c r="F276" s="4"/>
      <c r="G276" s="4"/>
      <c r="H276" s="6"/>
      <c r="I276" s="6"/>
      <c r="J276" s="6"/>
      <c r="K276" s="11"/>
      <c r="P276" s="7"/>
      <c r="S276" s="6"/>
      <c r="T276" s="6"/>
      <c r="U276" s="1"/>
      <c r="V276" s="6"/>
      <c r="W276" s="1767"/>
      <c r="X276" s="1766"/>
      <c r="Y276" s="1766"/>
      <c r="Z276" s="1766"/>
      <c r="AA276" s="1766"/>
      <c r="AB276" s="1766"/>
      <c r="AC276" s="1766"/>
      <c r="AD276" s="1767"/>
      <c r="AE276" s="1766"/>
      <c r="AF276" s="1766"/>
      <c r="AG276" s="1766"/>
      <c r="AH276" s="1768"/>
      <c r="AI276" s="1799"/>
      <c r="AJ276" s="1770"/>
      <c r="AK276" s="1771"/>
      <c r="AM276" s="13"/>
    </row>
    <row r="277" spans="1:39" s="5" customFormat="1">
      <c r="A277" s="1"/>
      <c r="B277" s="1"/>
      <c r="C277" s="4"/>
      <c r="D277" s="3"/>
      <c r="E277" s="4"/>
      <c r="F277" s="4"/>
      <c r="G277" s="4"/>
      <c r="H277" s="6"/>
      <c r="I277" s="6"/>
      <c r="J277" s="6"/>
      <c r="K277" s="11"/>
      <c r="P277" s="7"/>
      <c r="S277" s="6"/>
      <c r="T277" s="6"/>
      <c r="U277" s="1"/>
      <c r="V277" s="6"/>
      <c r="W277" s="1767"/>
      <c r="X277" s="1766"/>
      <c r="Y277" s="1766"/>
      <c r="Z277" s="1766"/>
      <c r="AA277" s="1766"/>
      <c r="AB277" s="1766"/>
      <c r="AC277" s="1766"/>
      <c r="AD277" s="1767"/>
      <c r="AE277" s="1766"/>
      <c r="AF277" s="1766"/>
      <c r="AG277" s="1766"/>
      <c r="AH277" s="1768"/>
      <c r="AI277" s="1799"/>
      <c r="AJ277" s="1770"/>
      <c r="AK277" s="1771"/>
      <c r="AM277" s="13"/>
    </row>
    <row r="278" spans="1:39" s="5" customFormat="1">
      <c r="A278" s="1"/>
      <c r="B278" s="1"/>
      <c r="C278" s="4"/>
      <c r="D278" s="3"/>
      <c r="E278" s="4"/>
      <c r="F278" s="4"/>
      <c r="G278" s="4"/>
      <c r="H278" s="6"/>
      <c r="I278" s="6"/>
      <c r="J278" s="6"/>
      <c r="K278" s="11"/>
      <c r="P278" s="7"/>
      <c r="S278" s="6"/>
      <c r="T278" s="6"/>
      <c r="U278" s="1"/>
      <c r="V278" s="6"/>
      <c r="W278" s="1767"/>
      <c r="X278" s="1766"/>
      <c r="Y278" s="1766"/>
      <c r="Z278" s="1766"/>
      <c r="AA278" s="1766"/>
      <c r="AB278" s="1766"/>
      <c r="AC278" s="1766"/>
      <c r="AD278" s="1767"/>
      <c r="AE278" s="1766"/>
      <c r="AF278" s="1766"/>
      <c r="AG278" s="1766"/>
      <c r="AH278" s="1768"/>
      <c r="AI278" s="1799"/>
      <c r="AJ278" s="1770"/>
      <c r="AK278" s="1771"/>
      <c r="AM278" s="13"/>
    </row>
    <row r="279" spans="1:39" s="5" customFormat="1">
      <c r="A279" s="1"/>
      <c r="B279" s="1"/>
      <c r="C279" s="4"/>
      <c r="D279" s="3"/>
      <c r="E279" s="4"/>
      <c r="F279" s="4"/>
      <c r="G279" s="4"/>
      <c r="H279" s="6"/>
      <c r="I279" s="6"/>
      <c r="J279" s="6"/>
      <c r="K279" s="11"/>
      <c r="P279" s="7"/>
      <c r="S279" s="6"/>
      <c r="T279" s="6"/>
      <c r="U279" s="1"/>
      <c r="V279" s="6"/>
      <c r="W279" s="1767"/>
      <c r="X279" s="1766"/>
      <c r="Y279" s="1766"/>
      <c r="Z279" s="1766"/>
      <c r="AA279" s="1766"/>
      <c r="AB279" s="1766"/>
      <c r="AC279" s="1766"/>
      <c r="AD279" s="1767"/>
      <c r="AE279" s="1766"/>
      <c r="AF279" s="1766"/>
      <c r="AG279" s="1766"/>
      <c r="AH279" s="1768"/>
      <c r="AI279" s="1799"/>
      <c r="AJ279" s="1770"/>
      <c r="AK279" s="1771"/>
      <c r="AM279" s="13"/>
    </row>
    <row r="280" spans="1:39" s="5" customFormat="1">
      <c r="A280" s="1"/>
      <c r="B280" s="1"/>
      <c r="C280" s="4"/>
      <c r="D280" s="3"/>
      <c r="E280" s="4"/>
      <c r="F280" s="4"/>
      <c r="G280" s="4"/>
      <c r="H280" s="6"/>
      <c r="I280" s="6"/>
      <c r="J280" s="6"/>
      <c r="K280" s="11"/>
      <c r="P280" s="7"/>
      <c r="S280" s="6"/>
      <c r="T280" s="6"/>
      <c r="U280" s="1"/>
      <c r="V280" s="6"/>
      <c r="W280" s="1767"/>
      <c r="X280" s="1766"/>
      <c r="Y280" s="1766"/>
      <c r="Z280" s="1766"/>
      <c r="AA280" s="1766"/>
      <c r="AB280" s="1766"/>
      <c r="AC280" s="1766"/>
      <c r="AD280" s="1767"/>
      <c r="AE280" s="1766"/>
      <c r="AF280" s="1766"/>
      <c r="AG280" s="1766"/>
      <c r="AH280" s="1768"/>
      <c r="AI280" s="1799"/>
      <c r="AJ280" s="1770"/>
      <c r="AK280" s="1771"/>
      <c r="AM280" s="13"/>
    </row>
    <row r="281" spans="1:39" s="5" customFormat="1">
      <c r="A281" s="1"/>
      <c r="B281" s="1"/>
      <c r="C281" s="4"/>
      <c r="D281" s="3"/>
      <c r="E281" s="4"/>
      <c r="F281" s="4"/>
      <c r="G281" s="4"/>
      <c r="H281" s="6"/>
      <c r="I281" s="6"/>
      <c r="J281" s="6"/>
      <c r="K281" s="11"/>
      <c r="P281" s="7"/>
      <c r="S281" s="6"/>
      <c r="T281" s="6"/>
      <c r="U281" s="1"/>
      <c r="V281" s="6"/>
      <c r="W281" s="1767"/>
      <c r="X281" s="1766"/>
      <c r="Y281" s="1766"/>
      <c r="Z281" s="1766"/>
      <c r="AA281" s="1766"/>
      <c r="AB281" s="1766"/>
      <c r="AC281" s="1766"/>
      <c r="AD281" s="1767"/>
      <c r="AE281" s="1766"/>
      <c r="AF281" s="1766"/>
      <c r="AG281" s="1766"/>
      <c r="AH281" s="1768"/>
      <c r="AI281" s="1799"/>
      <c r="AJ281" s="1770"/>
      <c r="AK281" s="1771"/>
      <c r="AM281" s="13"/>
    </row>
    <row r="282" spans="1:39" s="5" customFormat="1">
      <c r="A282" s="1"/>
      <c r="B282" s="1"/>
      <c r="C282" s="4"/>
      <c r="D282" s="3"/>
      <c r="E282" s="4"/>
      <c r="F282" s="4"/>
      <c r="G282" s="4"/>
      <c r="H282" s="6"/>
      <c r="I282" s="6"/>
      <c r="J282" s="6"/>
      <c r="K282" s="11"/>
      <c r="P282" s="7"/>
      <c r="S282" s="6"/>
      <c r="T282" s="6"/>
      <c r="U282" s="1"/>
      <c r="V282" s="6"/>
      <c r="W282" s="1767"/>
      <c r="X282" s="1766"/>
      <c r="Y282" s="1766"/>
      <c r="Z282" s="1766"/>
      <c r="AA282" s="1766"/>
      <c r="AB282" s="1766"/>
      <c r="AC282" s="1766"/>
      <c r="AD282" s="1767"/>
      <c r="AE282" s="1766"/>
      <c r="AF282" s="1766"/>
      <c r="AG282" s="1766"/>
      <c r="AH282" s="1768"/>
      <c r="AI282" s="1799"/>
      <c r="AJ282" s="1770"/>
      <c r="AK282" s="1771"/>
      <c r="AM282" s="13"/>
    </row>
    <row r="283" spans="1:39" s="5" customFormat="1">
      <c r="A283" s="1"/>
      <c r="B283" s="1"/>
      <c r="C283" s="4"/>
      <c r="D283" s="3"/>
      <c r="E283" s="4"/>
      <c r="F283" s="4"/>
      <c r="G283" s="4"/>
      <c r="H283" s="6"/>
      <c r="I283" s="6"/>
      <c r="J283" s="6"/>
      <c r="K283" s="11"/>
      <c r="P283" s="7"/>
      <c r="S283" s="6"/>
      <c r="T283" s="6"/>
      <c r="U283" s="1"/>
      <c r="V283" s="6"/>
      <c r="W283" s="1767"/>
      <c r="X283" s="1766"/>
      <c r="Y283" s="1766"/>
      <c r="Z283" s="1766"/>
      <c r="AA283" s="1766"/>
      <c r="AB283" s="1766"/>
      <c r="AC283" s="1766"/>
      <c r="AD283" s="1767"/>
      <c r="AE283" s="1766"/>
      <c r="AF283" s="1766"/>
      <c r="AG283" s="1766"/>
      <c r="AH283" s="1768"/>
      <c r="AI283" s="1799"/>
      <c r="AJ283" s="1770"/>
      <c r="AK283" s="1771"/>
      <c r="AM283" s="13"/>
    </row>
    <row r="284" spans="1:39" s="5" customFormat="1">
      <c r="A284" s="1"/>
      <c r="B284" s="1"/>
      <c r="C284" s="4"/>
      <c r="D284" s="3"/>
      <c r="E284" s="4"/>
      <c r="F284" s="4"/>
      <c r="G284" s="4"/>
      <c r="H284" s="6"/>
      <c r="I284" s="6"/>
      <c r="J284" s="6"/>
      <c r="K284" s="11"/>
      <c r="P284" s="7"/>
      <c r="S284" s="6"/>
      <c r="T284" s="6"/>
      <c r="U284" s="1"/>
      <c r="V284" s="6"/>
      <c r="W284" s="1767"/>
      <c r="X284" s="1766"/>
      <c r="Y284" s="1766"/>
      <c r="Z284" s="1766"/>
      <c r="AA284" s="1766"/>
      <c r="AB284" s="1766"/>
      <c r="AC284" s="1766"/>
      <c r="AD284" s="1767"/>
      <c r="AE284" s="1766"/>
      <c r="AF284" s="1766"/>
      <c r="AG284" s="1766"/>
      <c r="AH284" s="1768"/>
      <c r="AI284" s="1799"/>
      <c r="AJ284" s="1770"/>
      <c r="AK284" s="1771"/>
      <c r="AM284" s="13"/>
    </row>
    <row r="285" spans="1:39" s="5" customFormat="1">
      <c r="A285" s="1"/>
      <c r="B285" s="1"/>
      <c r="C285" s="4"/>
      <c r="D285" s="3"/>
      <c r="E285" s="4"/>
      <c r="F285" s="4"/>
      <c r="G285" s="4"/>
      <c r="H285" s="6"/>
      <c r="I285" s="6"/>
      <c r="J285" s="6"/>
      <c r="K285" s="11"/>
      <c r="P285" s="7"/>
      <c r="S285" s="6"/>
      <c r="T285" s="6"/>
      <c r="U285" s="1"/>
      <c r="V285" s="6"/>
      <c r="W285" s="1767"/>
      <c r="X285" s="1766"/>
      <c r="Y285" s="1766"/>
      <c r="Z285" s="1766"/>
      <c r="AA285" s="1766"/>
      <c r="AB285" s="1766"/>
      <c r="AC285" s="1766"/>
      <c r="AD285" s="1767"/>
      <c r="AE285" s="1766"/>
      <c r="AF285" s="1766"/>
      <c r="AG285" s="1766"/>
      <c r="AH285" s="1768"/>
      <c r="AI285" s="1799"/>
      <c r="AJ285" s="1770"/>
      <c r="AK285" s="1771"/>
      <c r="AM285" s="13"/>
    </row>
    <row r="286" spans="1:39" s="5" customFormat="1">
      <c r="A286" s="1"/>
      <c r="B286" s="1"/>
      <c r="C286" s="4"/>
      <c r="D286" s="3"/>
      <c r="E286" s="4"/>
      <c r="F286" s="4"/>
      <c r="G286" s="4"/>
      <c r="H286" s="6"/>
      <c r="I286" s="6"/>
      <c r="J286" s="6"/>
      <c r="K286" s="11"/>
      <c r="P286" s="7"/>
      <c r="S286" s="6"/>
      <c r="T286" s="6"/>
      <c r="U286" s="1"/>
      <c r="V286" s="6"/>
      <c r="W286" s="1767"/>
      <c r="X286" s="1766"/>
      <c r="Y286" s="1766"/>
      <c r="Z286" s="1766"/>
      <c r="AA286" s="1766"/>
      <c r="AB286" s="1766"/>
      <c r="AC286" s="1766"/>
      <c r="AD286" s="1767"/>
      <c r="AE286" s="1766"/>
      <c r="AF286" s="1766"/>
      <c r="AG286" s="1766"/>
      <c r="AH286" s="1768"/>
      <c r="AI286" s="1799"/>
      <c r="AJ286" s="1770"/>
      <c r="AK286" s="1771"/>
      <c r="AM286" s="13"/>
    </row>
    <row r="287" spans="1:39" s="5" customFormat="1">
      <c r="A287" s="1"/>
      <c r="B287" s="1"/>
      <c r="C287" s="4"/>
      <c r="D287" s="3"/>
      <c r="E287" s="4"/>
      <c r="F287" s="4"/>
      <c r="G287" s="4"/>
      <c r="H287" s="6"/>
      <c r="I287" s="6"/>
      <c r="J287" s="6"/>
      <c r="K287" s="11"/>
      <c r="P287" s="7"/>
      <c r="S287" s="6"/>
      <c r="T287" s="6"/>
      <c r="U287" s="1"/>
      <c r="V287" s="6"/>
      <c r="W287" s="1767"/>
      <c r="X287" s="1766"/>
      <c r="Y287" s="1766"/>
      <c r="Z287" s="1766"/>
      <c r="AA287" s="1766"/>
      <c r="AB287" s="1766"/>
      <c r="AC287" s="1766"/>
      <c r="AD287" s="1767"/>
      <c r="AE287" s="1766"/>
      <c r="AF287" s="1766"/>
      <c r="AG287" s="1766"/>
      <c r="AH287" s="1768"/>
      <c r="AI287" s="1799"/>
      <c r="AJ287" s="1770"/>
      <c r="AK287" s="1771"/>
      <c r="AM287" s="13"/>
    </row>
    <row r="288" spans="1:39" s="5" customFormat="1">
      <c r="A288" s="1"/>
      <c r="B288" s="1"/>
      <c r="C288" s="4"/>
      <c r="D288" s="3"/>
      <c r="E288" s="4"/>
      <c r="F288" s="4"/>
      <c r="G288" s="4"/>
      <c r="H288" s="6"/>
      <c r="I288" s="6"/>
      <c r="J288" s="6"/>
      <c r="K288" s="11"/>
      <c r="P288" s="7"/>
      <c r="S288" s="6"/>
      <c r="T288" s="6"/>
      <c r="U288" s="1"/>
      <c r="V288" s="6"/>
      <c r="W288" s="1767"/>
      <c r="X288" s="1766"/>
      <c r="Y288" s="1766"/>
      <c r="Z288" s="1766"/>
      <c r="AA288" s="1766"/>
      <c r="AB288" s="1766"/>
      <c r="AC288" s="1766"/>
      <c r="AD288" s="1767"/>
      <c r="AE288" s="1766"/>
      <c r="AF288" s="1766"/>
      <c r="AG288" s="1766"/>
      <c r="AH288" s="1768"/>
      <c r="AI288" s="1799"/>
      <c r="AJ288" s="1770"/>
      <c r="AK288" s="1771"/>
      <c r="AM288" s="13"/>
    </row>
    <row r="289" spans="1:39" s="5" customFormat="1">
      <c r="A289" s="1"/>
      <c r="B289" s="1"/>
      <c r="C289" s="4"/>
      <c r="D289" s="3"/>
      <c r="E289" s="4"/>
      <c r="F289" s="4"/>
      <c r="G289" s="4"/>
      <c r="H289" s="6"/>
      <c r="I289" s="6"/>
      <c r="J289" s="6"/>
      <c r="K289" s="11"/>
      <c r="P289" s="7"/>
      <c r="S289" s="6"/>
      <c r="T289" s="6"/>
      <c r="U289" s="1"/>
      <c r="V289" s="6"/>
      <c r="W289" s="1767"/>
      <c r="X289" s="1766"/>
      <c r="Y289" s="1766"/>
      <c r="Z289" s="1766"/>
      <c r="AA289" s="1766"/>
      <c r="AB289" s="1766"/>
      <c r="AC289" s="1766"/>
      <c r="AD289" s="1767"/>
      <c r="AE289" s="1766"/>
      <c r="AF289" s="1766"/>
      <c r="AG289" s="1766"/>
      <c r="AH289" s="1768"/>
      <c r="AI289" s="1799"/>
      <c r="AJ289" s="1770"/>
      <c r="AK289" s="1771"/>
      <c r="AM289" s="13"/>
    </row>
    <row r="290" spans="1:39" s="5" customFormat="1">
      <c r="A290" s="1"/>
      <c r="B290" s="1"/>
      <c r="C290" s="4"/>
      <c r="D290" s="3"/>
      <c r="E290" s="4"/>
      <c r="F290" s="4"/>
      <c r="G290" s="4"/>
      <c r="H290" s="6"/>
      <c r="I290" s="6"/>
      <c r="J290" s="6"/>
      <c r="K290" s="11"/>
      <c r="P290" s="7"/>
      <c r="S290" s="6"/>
      <c r="T290" s="6"/>
      <c r="U290" s="1"/>
      <c r="V290" s="6"/>
      <c r="W290" s="1767"/>
      <c r="X290" s="1766"/>
      <c r="Y290" s="1766"/>
      <c r="Z290" s="1766"/>
      <c r="AA290" s="1766"/>
      <c r="AB290" s="1766"/>
      <c r="AC290" s="1766"/>
      <c r="AD290" s="1767"/>
      <c r="AE290" s="1766"/>
      <c r="AF290" s="1766"/>
      <c r="AG290" s="1766"/>
      <c r="AH290" s="1768"/>
      <c r="AI290" s="1799"/>
      <c r="AJ290" s="1770"/>
      <c r="AK290" s="1771"/>
      <c r="AM290" s="13"/>
    </row>
    <row r="291" spans="1:39" s="5" customFormat="1">
      <c r="A291" s="1"/>
      <c r="B291" s="1"/>
      <c r="C291" s="4"/>
      <c r="D291" s="3"/>
      <c r="E291" s="4"/>
      <c r="F291" s="4"/>
      <c r="G291" s="4"/>
      <c r="H291" s="6"/>
      <c r="I291" s="6"/>
      <c r="J291" s="6"/>
      <c r="K291" s="11"/>
      <c r="P291" s="7"/>
      <c r="S291" s="6"/>
      <c r="T291" s="6"/>
      <c r="U291" s="1"/>
      <c r="V291" s="6"/>
      <c r="W291" s="1767"/>
      <c r="X291" s="1766"/>
      <c r="Y291" s="1766"/>
      <c r="Z291" s="1766"/>
      <c r="AA291" s="1766"/>
      <c r="AB291" s="1766"/>
      <c r="AC291" s="1766"/>
      <c r="AD291" s="1767"/>
      <c r="AE291" s="1766"/>
      <c r="AF291" s="1766"/>
      <c r="AG291" s="1766"/>
      <c r="AH291" s="1768"/>
      <c r="AI291" s="1799"/>
      <c r="AJ291" s="1770"/>
      <c r="AK291" s="1771"/>
      <c r="AM291" s="13"/>
    </row>
    <row r="292" spans="1:39" s="5" customFormat="1">
      <c r="A292" s="1"/>
      <c r="B292" s="1"/>
      <c r="C292" s="4"/>
      <c r="D292" s="3"/>
      <c r="E292" s="4"/>
      <c r="F292" s="4"/>
      <c r="G292" s="4"/>
      <c r="H292" s="6"/>
      <c r="I292" s="6"/>
      <c r="J292" s="6"/>
      <c r="K292" s="11"/>
      <c r="P292" s="7"/>
      <c r="S292" s="6"/>
      <c r="T292" s="6"/>
      <c r="U292" s="1"/>
      <c r="V292" s="6"/>
      <c r="W292" s="1767"/>
      <c r="X292" s="1766"/>
      <c r="Y292" s="1766"/>
      <c r="Z292" s="1766"/>
      <c r="AA292" s="1766"/>
      <c r="AB292" s="1766"/>
      <c r="AC292" s="1766"/>
      <c r="AD292" s="1767"/>
      <c r="AE292" s="1766"/>
      <c r="AF292" s="1766"/>
      <c r="AG292" s="1766"/>
      <c r="AH292" s="1768"/>
      <c r="AI292" s="1799"/>
      <c r="AJ292" s="1770"/>
      <c r="AK292" s="1771"/>
      <c r="AM292" s="13"/>
    </row>
    <row r="293" spans="1:39" s="5" customFormat="1">
      <c r="A293" s="1"/>
      <c r="B293" s="1"/>
      <c r="C293" s="4"/>
      <c r="D293" s="3"/>
      <c r="E293" s="4"/>
      <c r="F293" s="4"/>
      <c r="G293" s="4"/>
      <c r="H293" s="6"/>
      <c r="I293" s="6"/>
      <c r="J293" s="6"/>
      <c r="K293" s="11"/>
      <c r="P293" s="7"/>
      <c r="S293" s="6"/>
      <c r="T293" s="6"/>
      <c r="U293" s="1"/>
      <c r="V293" s="6"/>
      <c r="W293" s="1767"/>
      <c r="X293" s="1766"/>
      <c r="Y293" s="1766"/>
      <c r="Z293" s="1766"/>
      <c r="AA293" s="1766"/>
      <c r="AB293" s="1766"/>
      <c r="AC293" s="1766"/>
      <c r="AD293" s="1767"/>
      <c r="AE293" s="1766"/>
      <c r="AF293" s="1766"/>
      <c r="AG293" s="1766"/>
      <c r="AH293" s="1768"/>
      <c r="AI293" s="1799"/>
      <c r="AJ293" s="1770"/>
      <c r="AK293" s="1771"/>
      <c r="AM293" s="13"/>
    </row>
    <row r="294" spans="1:39" s="5" customFormat="1">
      <c r="A294" s="1"/>
      <c r="B294" s="1"/>
      <c r="C294" s="4"/>
      <c r="D294" s="3"/>
      <c r="E294" s="4"/>
      <c r="F294" s="4"/>
      <c r="G294" s="4"/>
      <c r="H294" s="6"/>
      <c r="I294" s="6"/>
      <c r="J294" s="6"/>
      <c r="K294" s="11"/>
      <c r="P294" s="7"/>
      <c r="S294" s="6"/>
      <c r="T294" s="6"/>
      <c r="U294" s="1"/>
      <c r="V294" s="6"/>
      <c r="W294" s="1767"/>
      <c r="X294" s="1766"/>
      <c r="Y294" s="1766"/>
      <c r="Z294" s="1766"/>
      <c r="AA294" s="1766"/>
      <c r="AB294" s="1766"/>
      <c r="AC294" s="1766"/>
      <c r="AD294" s="1767"/>
      <c r="AE294" s="1766"/>
      <c r="AF294" s="1766"/>
      <c r="AG294" s="1766"/>
      <c r="AH294" s="1768"/>
      <c r="AI294" s="1799"/>
      <c r="AJ294" s="1770"/>
      <c r="AK294" s="1771"/>
      <c r="AM294" s="13"/>
    </row>
    <row r="295" spans="1:39" s="5" customFormat="1">
      <c r="A295" s="1"/>
      <c r="B295" s="1"/>
      <c r="C295" s="4"/>
      <c r="D295" s="3"/>
      <c r="E295" s="4"/>
      <c r="F295" s="4"/>
      <c r="G295" s="4"/>
      <c r="H295" s="6"/>
      <c r="I295" s="6"/>
      <c r="J295" s="6"/>
      <c r="K295" s="11"/>
      <c r="P295" s="7"/>
      <c r="S295" s="6"/>
      <c r="T295" s="6"/>
      <c r="U295" s="1"/>
      <c r="V295" s="6"/>
      <c r="W295" s="1767"/>
      <c r="X295" s="1766"/>
      <c r="Y295" s="1766"/>
      <c r="Z295" s="1766"/>
      <c r="AA295" s="1766"/>
      <c r="AB295" s="1766"/>
      <c r="AC295" s="1766"/>
      <c r="AD295" s="1767"/>
      <c r="AE295" s="1766"/>
      <c r="AF295" s="1766"/>
      <c r="AG295" s="1766"/>
      <c r="AH295" s="1768"/>
      <c r="AI295" s="1799"/>
      <c r="AJ295" s="1770"/>
      <c r="AK295" s="1771"/>
      <c r="AM295" s="13"/>
    </row>
    <row r="296" spans="1:39" s="5" customFormat="1">
      <c r="A296" s="1"/>
      <c r="B296" s="1"/>
      <c r="C296" s="4"/>
      <c r="D296" s="3"/>
      <c r="E296" s="4"/>
      <c r="F296" s="4"/>
      <c r="G296" s="4"/>
      <c r="H296" s="6"/>
      <c r="I296" s="6"/>
      <c r="J296" s="6"/>
      <c r="K296" s="11"/>
      <c r="P296" s="7"/>
      <c r="S296" s="6"/>
      <c r="T296" s="6"/>
      <c r="U296" s="1"/>
      <c r="V296" s="6"/>
      <c r="W296" s="1767"/>
      <c r="X296" s="1766"/>
      <c r="Y296" s="1766"/>
      <c r="Z296" s="1766"/>
      <c r="AA296" s="1766"/>
      <c r="AB296" s="1766"/>
      <c r="AC296" s="1766"/>
      <c r="AD296" s="1767"/>
      <c r="AE296" s="1766"/>
      <c r="AF296" s="1766"/>
      <c r="AG296" s="1766"/>
      <c r="AH296" s="1768"/>
      <c r="AI296" s="1799"/>
      <c r="AJ296" s="1770"/>
      <c r="AK296" s="1771"/>
      <c r="AM296" s="13"/>
    </row>
    <row r="297" spans="1:39" s="5" customFormat="1">
      <c r="A297" s="1"/>
      <c r="B297" s="1"/>
      <c r="C297" s="4"/>
      <c r="D297" s="3"/>
      <c r="E297" s="4"/>
      <c r="F297" s="4"/>
      <c r="G297" s="4"/>
      <c r="H297" s="6"/>
      <c r="I297" s="6"/>
      <c r="J297" s="6"/>
      <c r="K297" s="11"/>
      <c r="P297" s="7"/>
      <c r="S297" s="6"/>
      <c r="T297" s="6"/>
      <c r="U297" s="1"/>
      <c r="V297" s="6"/>
      <c r="W297" s="1767"/>
      <c r="X297" s="1766"/>
      <c r="Y297" s="1766"/>
      <c r="Z297" s="1766"/>
      <c r="AA297" s="1766"/>
      <c r="AB297" s="1766"/>
      <c r="AC297" s="1766"/>
      <c r="AD297" s="1767"/>
      <c r="AE297" s="1766"/>
      <c r="AF297" s="1766"/>
      <c r="AG297" s="1766"/>
      <c r="AH297" s="1768"/>
      <c r="AI297" s="1799"/>
      <c r="AJ297" s="1770"/>
      <c r="AK297" s="1771"/>
      <c r="AM297" s="13"/>
    </row>
    <row r="298" spans="1:39" s="5" customFormat="1">
      <c r="A298" s="1"/>
      <c r="B298" s="1"/>
      <c r="C298" s="4"/>
      <c r="D298" s="3"/>
      <c r="E298" s="4"/>
      <c r="F298" s="4"/>
      <c r="G298" s="4"/>
      <c r="H298" s="6"/>
      <c r="I298" s="6"/>
      <c r="J298" s="6"/>
      <c r="K298" s="11"/>
      <c r="P298" s="7"/>
      <c r="S298" s="6"/>
      <c r="T298" s="6"/>
      <c r="U298" s="1"/>
      <c r="V298" s="6"/>
      <c r="W298" s="1767"/>
      <c r="X298" s="1766"/>
      <c r="Y298" s="1766"/>
      <c r="Z298" s="1766"/>
      <c r="AA298" s="1766"/>
      <c r="AB298" s="1766"/>
      <c r="AC298" s="1766"/>
      <c r="AD298" s="1767"/>
      <c r="AE298" s="1766"/>
      <c r="AF298" s="1766"/>
      <c r="AG298" s="1766"/>
      <c r="AH298" s="1768"/>
      <c r="AI298" s="1799"/>
      <c r="AJ298" s="1770"/>
      <c r="AK298" s="1771"/>
      <c r="AM298" s="13"/>
    </row>
    <row r="299" spans="1:39" s="5" customFormat="1">
      <c r="A299" s="1"/>
      <c r="B299" s="1"/>
      <c r="C299" s="4"/>
      <c r="D299" s="3"/>
      <c r="E299" s="4"/>
      <c r="F299" s="4"/>
      <c r="G299" s="4"/>
      <c r="H299" s="6"/>
      <c r="I299" s="6"/>
      <c r="J299" s="6"/>
      <c r="K299" s="11"/>
      <c r="P299" s="7"/>
      <c r="S299" s="6"/>
      <c r="T299" s="6"/>
      <c r="U299" s="1"/>
      <c r="V299" s="6"/>
      <c r="W299" s="1767"/>
      <c r="X299" s="1766"/>
      <c r="Y299" s="1766"/>
      <c r="Z299" s="1766"/>
      <c r="AA299" s="1766"/>
      <c r="AB299" s="1766"/>
      <c r="AC299" s="1766"/>
      <c r="AD299" s="1767"/>
      <c r="AE299" s="1766"/>
      <c r="AF299" s="1766"/>
      <c r="AG299" s="1766"/>
      <c r="AH299" s="1768"/>
      <c r="AI299" s="1799"/>
      <c r="AJ299" s="1770"/>
      <c r="AK299" s="1771"/>
      <c r="AM299" s="13"/>
    </row>
    <row r="300" spans="1:39" s="5" customFormat="1">
      <c r="A300" s="1"/>
      <c r="B300" s="1"/>
      <c r="C300" s="4"/>
      <c r="D300" s="3"/>
      <c r="E300" s="4"/>
      <c r="F300" s="4"/>
      <c r="G300" s="4"/>
      <c r="H300" s="6"/>
      <c r="I300" s="6"/>
      <c r="J300" s="6"/>
      <c r="K300" s="11"/>
      <c r="P300" s="7"/>
      <c r="S300" s="6"/>
      <c r="T300" s="6"/>
      <c r="U300" s="1"/>
      <c r="V300" s="6"/>
      <c r="W300" s="1767"/>
      <c r="X300" s="1766"/>
      <c r="Y300" s="1766"/>
      <c r="Z300" s="1766"/>
      <c r="AA300" s="1766"/>
      <c r="AB300" s="1766"/>
      <c r="AC300" s="1766"/>
      <c r="AD300" s="1767"/>
      <c r="AE300" s="1766"/>
      <c r="AF300" s="1766"/>
      <c r="AG300" s="1766"/>
      <c r="AH300" s="1768"/>
      <c r="AI300" s="1799"/>
      <c r="AJ300" s="1770"/>
      <c r="AK300" s="1771"/>
      <c r="AM300" s="13"/>
    </row>
    <row r="301" spans="1:39" s="5" customFormat="1">
      <c r="A301" s="1"/>
      <c r="B301" s="1"/>
      <c r="C301" s="4"/>
      <c r="D301" s="3"/>
      <c r="E301" s="4"/>
      <c r="F301" s="4"/>
      <c r="G301" s="4"/>
      <c r="H301" s="6"/>
      <c r="I301" s="6"/>
      <c r="J301" s="6"/>
      <c r="K301" s="11"/>
      <c r="P301" s="7"/>
      <c r="S301" s="6"/>
      <c r="T301" s="6"/>
      <c r="U301" s="1"/>
      <c r="V301" s="6"/>
      <c r="W301" s="1767"/>
      <c r="X301" s="1766"/>
      <c r="Y301" s="1766"/>
      <c r="Z301" s="1766"/>
      <c r="AA301" s="1766"/>
      <c r="AB301" s="1766"/>
      <c r="AC301" s="1766"/>
      <c r="AD301" s="1767"/>
      <c r="AE301" s="1766"/>
      <c r="AF301" s="1766"/>
      <c r="AG301" s="1766"/>
      <c r="AH301" s="1768"/>
      <c r="AI301" s="1799"/>
      <c r="AJ301" s="1770"/>
      <c r="AK301" s="1771"/>
      <c r="AM301" s="13"/>
    </row>
    <row r="302" spans="1:39" s="5" customFormat="1">
      <c r="A302" s="1"/>
      <c r="B302" s="1"/>
      <c r="C302" s="4"/>
      <c r="D302" s="3"/>
      <c r="E302" s="4"/>
      <c r="F302" s="4"/>
      <c r="G302" s="4"/>
      <c r="H302" s="6"/>
      <c r="I302" s="6"/>
      <c r="J302" s="6"/>
      <c r="K302" s="11"/>
      <c r="P302" s="7"/>
      <c r="S302" s="6"/>
      <c r="T302" s="6"/>
      <c r="U302" s="1"/>
      <c r="V302" s="6"/>
      <c r="W302" s="1767"/>
      <c r="X302" s="1766"/>
      <c r="Y302" s="1766"/>
      <c r="Z302" s="1766"/>
      <c r="AA302" s="1766"/>
      <c r="AB302" s="1766"/>
      <c r="AC302" s="1766"/>
      <c r="AD302" s="1767"/>
      <c r="AE302" s="1766"/>
      <c r="AF302" s="1766"/>
      <c r="AG302" s="1766"/>
      <c r="AH302" s="1768"/>
      <c r="AI302" s="1799"/>
      <c r="AJ302" s="1770"/>
      <c r="AK302" s="1771"/>
      <c r="AM302" s="13"/>
    </row>
    <row r="303" spans="1:39" s="5" customFormat="1">
      <c r="A303" s="1"/>
      <c r="B303" s="1"/>
      <c r="C303" s="4"/>
      <c r="D303" s="3"/>
      <c r="E303" s="4"/>
      <c r="F303" s="4"/>
      <c r="G303" s="4"/>
      <c r="H303" s="6"/>
      <c r="I303" s="6"/>
      <c r="J303" s="6"/>
      <c r="K303" s="11"/>
      <c r="P303" s="7"/>
      <c r="S303" s="6"/>
      <c r="T303" s="6"/>
      <c r="U303" s="1"/>
      <c r="V303" s="6"/>
      <c r="W303" s="1767"/>
      <c r="X303" s="1766"/>
      <c r="Y303" s="1766"/>
      <c r="Z303" s="1766"/>
      <c r="AA303" s="1766"/>
      <c r="AB303" s="1766"/>
      <c r="AC303" s="1766"/>
      <c r="AD303" s="1767"/>
      <c r="AE303" s="1766"/>
      <c r="AF303" s="1766"/>
      <c r="AG303" s="1766"/>
      <c r="AH303" s="1768"/>
      <c r="AI303" s="1799"/>
      <c r="AJ303" s="1770"/>
      <c r="AK303" s="1771"/>
      <c r="AM303" s="13"/>
    </row>
    <row r="304" spans="1:39" s="5" customFormat="1">
      <c r="A304" s="1"/>
      <c r="B304" s="1"/>
      <c r="C304" s="4"/>
      <c r="D304" s="3"/>
      <c r="E304" s="4"/>
      <c r="F304" s="4"/>
      <c r="G304" s="4"/>
      <c r="H304" s="6"/>
      <c r="I304" s="6"/>
      <c r="J304" s="6"/>
      <c r="K304" s="11"/>
      <c r="P304" s="7"/>
      <c r="S304" s="6"/>
      <c r="T304" s="6"/>
      <c r="U304" s="1"/>
      <c r="V304" s="6"/>
      <c r="W304" s="1767"/>
      <c r="X304" s="1766"/>
      <c r="Y304" s="1766"/>
      <c r="Z304" s="1766"/>
      <c r="AA304" s="1766"/>
      <c r="AB304" s="1766"/>
      <c r="AC304" s="1766"/>
      <c r="AD304" s="1767"/>
      <c r="AE304" s="1766"/>
      <c r="AF304" s="1766"/>
      <c r="AG304" s="1766"/>
      <c r="AH304" s="1768"/>
      <c r="AI304" s="1799"/>
      <c r="AJ304" s="1770"/>
      <c r="AK304" s="1771"/>
      <c r="AM304" s="13"/>
    </row>
    <row r="305" spans="1:39" s="5" customFormat="1">
      <c r="A305" s="1"/>
      <c r="B305" s="1"/>
      <c r="C305" s="4"/>
      <c r="D305" s="3"/>
      <c r="E305" s="4"/>
      <c r="F305" s="4"/>
      <c r="G305" s="4"/>
      <c r="H305" s="6"/>
      <c r="I305" s="6"/>
      <c r="J305" s="6"/>
      <c r="K305" s="11"/>
      <c r="P305" s="7"/>
      <c r="S305" s="6"/>
      <c r="T305" s="6"/>
      <c r="U305" s="1"/>
      <c r="V305" s="6"/>
      <c r="W305" s="1767"/>
      <c r="X305" s="1766"/>
      <c r="Y305" s="1766"/>
      <c r="Z305" s="1766"/>
      <c r="AA305" s="1766"/>
      <c r="AB305" s="1766"/>
      <c r="AC305" s="1766"/>
      <c r="AD305" s="1767"/>
      <c r="AE305" s="1766"/>
      <c r="AF305" s="1766"/>
      <c r="AG305" s="1766"/>
      <c r="AH305" s="1768"/>
      <c r="AI305" s="1799"/>
      <c r="AJ305" s="1770"/>
      <c r="AK305" s="1771"/>
      <c r="AM305" s="13"/>
    </row>
    <row r="306" spans="1:39" s="5" customFormat="1">
      <c r="A306" s="1"/>
      <c r="B306" s="1"/>
      <c r="C306" s="4"/>
      <c r="D306" s="3"/>
      <c r="E306" s="4"/>
      <c r="F306" s="4"/>
      <c r="G306" s="4"/>
      <c r="H306" s="6"/>
      <c r="I306" s="6"/>
      <c r="J306" s="6"/>
      <c r="K306" s="11"/>
      <c r="P306" s="7"/>
      <c r="S306" s="6"/>
      <c r="T306" s="6"/>
      <c r="U306" s="1"/>
      <c r="V306" s="6"/>
      <c r="W306" s="1767"/>
      <c r="X306" s="1766"/>
      <c r="Y306" s="1766"/>
      <c r="Z306" s="1766"/>
      <c r="AA306" s="1766"/>
      <c r="AB306" s="1766"/>
      <c r="AC306" s="1766"/>
      <c r="AD306" s="1767"/>
      <c r="AE306" s="1766"/>
      <c r="AF306" s="1766"/>
      <c r="AG306" s="1766"/>
      <c r="AH306" s="1768"/>
      <c r="AI306" s="1799"/>
      <c r="AJ306" s="1770"/>
      <c r="AK306" s="1771"/>
      <c r="AM306" s="13"/>
    </row>
    <row r="307" spans="1:39" s="5" customFormat="1">
      <c r="A307" s="1"/>
      <c r="B307" s="1"/>
      <c r="C307" s="4"/>
      <c r="D307" s="3"/>
      <c r="E307" s="4"/>
      <c r="F307" s="4"/>
      <c r="G307" s="4"/>
      <c r="H307" s="6"/>
      <c r="I307" s="6"/>
      <c r="J307" s="6"/>
      <c r="K307" s="11"/>
      <c r="P307" s="7"/>
      <c r="S307" s="6"/>
      <c r="T307" s="6"/>
      <c r="U307" s="1"/>
      <c r="V307" s="6"/>
      <c r="W307" s="1767"/>
      <c r="X307" s="1766"/>
      <c r="Y307" s="1766"/>
      <c r="Z307" s="1766"/>
      <c r="AA307" s="1766"/>
      <c r="AB307" s="1766"/>
      <c r="AC307" s="1766"/>
      <c r="AD307" s="1767"/>
      <c r="AE307" s="1766"/>
      <c r="AF307" s="1766"/>
      <c r="AG307" s="1766"/>
      <c r="AH307" s="1768"/>
      <c r="AI307" s="1799"/>
      <c r="AJ307" s="1770"/>
      <c r="AK307" s="1771"/>
      <c r="AM307" s="13"/>
    </row>
    <row r="308" spans="1:39" s="5" customFormat="1">
      <c r="A308" s="1"/>
      <c r="B308" s="1"/>
      <c r="C308" s="4"/>
      <c r="D308" s="3"/>
      <c r="E308" s="4"/>
      <c r="F308" s="4"/>
      <c r="G308" s="4"/>
      <c r="H308" s="6"/>
      <c r="I308" s="6"/>
      <c r="J308" s="6"/>
      <c r="K308" s="11"/>
      <c r="P308" s="7"/>
      <c r="S308" s="6"/>
      <c r="T308" s="6"/>
      <c r="U308" s="1"/>
      <c r="V308" s="6"/>
      <c r="W308" s="1767"/>
      <c r="X308" s="1766"/>
      <c r="Y308" s="1766"/>
      <c r="Z308" s="1766"/>
      <c r="AA308" s="1766"/>
      <c r="AB308" s="1766"/>
      <c r="AC308" s="1766"/>
      <c r="AD308" s="1767"/>
      <c r="AE308" s="1766"/>
      <c r="AF308" s="1766"/>
      <c r="AG308" s="1766"/>
      <c r="AH308" s="1768"/>
      <c r="AI308" s="1799"/>
      <c r="AJ308" s="1770"/>
      <c r="AK308" s="1771"/>
      <c r="AM308" s="13"/>
    </row>
    <row r="309" spans="1:39" s="5" customFormat="1">
      <c r="A309" s="1"/>
      <c r="B309" s="1"/>
      <c r="C309" s="4"/>
      <c r="D309" s="3"/>
      <c r="E309" s="4"/>
      <c r="F309" s="4"/>
      <c r="G309" s="4"/>
      <c r="H309" s="6"/>
      <c r="I309" s="6"/>
      <c r="J309" s="6"/>
      <c r="K309" s="11"/>
      <c r="P309" s="7"/>
      <c r="S309" s="6"/>
      <c r="T309" s="6"/>
      <c r="U309" s="1"/>
      <c r="V309" s="6"/>
      <c r="W309" s="1767"/>
      <c r="X309" s="1766"/>
      <c r="Y309" s="1766"/>
      <c r="Z309" s="1766"/>
      <c r="AA309" s="1766"/>
      <c r="AB309" s="1766"/>
      <c r="AC309" s="1766"/>
      <c r="AD309" s="1767"/>
      <c r="AE309" s="1766"/>
      <c r="AF309" s="1766"/>
      <c r="AG309" s="1766"/>
      <c r="AH309" s="1768"/>
      <c r="AI309" s="1799"/>
      <c r="AJ309" s="1770"/>
      <c r="AK309" s="1771"/>
      <c r="AM309" s="13"/>
    </row>
    <row r="310" spans="1:39" s="5" customFormat="1">
      <c r="A310" s="1"/>
      <c r="B310" s="1"/>
      <c r="C310" s="4"/>
      <c r="D310" s="3"/>
      <c r="E310" s="4"/>
      <c r="F310" s="4"/>
      <c r="G310" s="4"/>
      <c r="H310" s="6"/>
      <c r="I310" s="6"/>
      <c r="J310" s="6"/>
      <c r="K310" s="11"/>
      <c r="P310" s="7"/>
      <c r="S310" s="6"/>
      <c r="T310" s="6"/>
      <c r="U310" s="1"/>
      <c r="V310" s="6"/>
      <c r="W310" s="1767"/>
      <c r="X310" s="1766"/>
      <c r="Y310" s="1766"/>
      <c r="Z310" s="1766"/>
      <c r="AA310" s="1766"/>
      <c r="AB310" s="1766"/>
      <c r="AC310" s="1766"/>
      <c r="AD310" s="1767"/>
      <c r="AE310" s="1766"/>
      <c r="AF310" s="1766"/>
      <c r="AG310" s="1766"/>
      <c r="AH310" s="1768"/>
      <c r="AI310" s="1799"/>
      <c r="AJ310" s="1770"/>
      <c r="AK310" s="1771"/>
      <c r="AM310" s="13"/>
    </row>
    <row r="311" spans="1:39" s="5" customFormat="1">
      <c r="A311" s="1"/>
      <c r="B311" s="1"/>
      <c r="C311" s="4"/>
      <c r="D311" s="3"/>
      <c r="E311" s="4"/>
      <c r="F311" s="4"/>
      <c r="G311" s="4"/>
      <c r="H311" s="6"/>
      <c r="I311" s="6"/>
      <c r="J311" s="6"/>
      <c r="K311" s="11"/>
      <c r="P311" s="7"/>
      <c r="S311" s="6"/>
      <c r="T311" s="6"/>
      <c r="U311" s="1"/>
      <c r="V311" s="6"/>
      <c r="W311" s="1767"/>
      <c r="X311" s="1766"/>
      <c r="Y311" s="1766"/>
      <c r="Z311" s="1766"/>
      <c r="AA311" s="1766"/>
      <c r="AB311" s="1766"/>
      <c r="AC311" s="1766"/>
      <c r="AD311" s="1767"/>
      <c r="AE311" s="1766"/>
      <c r="AF311" s="1766"/>
      <c r="AG311" s="1766"/>
      <c r="AH311" s="1768"/>
      <c r="AI311" s="1799"/>
      <c r="AJ311" s="1770"/>
      <c r="AK311" s="1771"/>
      <c r="AM311" s="13"/>
    </row>
    <row r="312" spans="1:39" s="5" customFormat="1">
      <c r="A312" s="1"/>
      <c r="B312" s="1"/>
      <c r="C312" s="4"/>
      <c r="D312" s="3"/>
      <c r="E312" s="4"/>
      <c r="F312" s="4"/>
      <c r="G312" s="4"/>
      <c r="H312" s="6"/>
      <c r="I312" s="6"/>
      <c r="J312" s="6"/>
      <c r="K312" s="11"/>
      <c r="P312" s="7"/>
      <c r="S312" s="6"/>
      <c r="T312" s="6"/>
      <c r="U312" s="1"/>
      <c r="V312" s="6"/>
      <c r="W312" s="1767"/>
      <c r="X312" s="1766"/>
      <c r="Y312" s="1766"/>
      <c r="Z312" s="1766"/>
      <c r="AA312" s="1766"/>
      <c r="AB312" s="1766"/>
      <c r="AC312" s="1766"/>
      <c r="AD312" s="1767"/>
      <c r="AE312" s="1766"/>
      <c r="AF312" s="1766"/>
      <c r="AG312" s="1766"/>
      <c r="AH312" s="1768"/>
      <c r="AI312" s="1799"/>
      <c r="AJ312" s="1770"/>
      <c r="AK312" s="1771"/>
      <c r="AM312" s="13"/>
    </row>
    <row r="313" spans="1:39" s="5" customFormat="1">
      <c r="A313" s="1"/>
      <c r="B313" s="1"/>
      <c r="C313" s="4"/>
      <c r="D313" s="3"/>
      <c r="E313" s="4"/>
      <c r="F313" s="4"/>
      <c r="G313" s="4"/>
      <c r="H313" s="6"/>
      <c r="I313" s="6"/>
      <c r="J313" s="6"/>
      <c r="K313" s="11"/>
      <c r="P313" s="7"/>
      <c r="S313" s="6"/>
      <c r="T313" s="6"/>
      <c r="U313" s="1"/>
      <c r="V313" s="6"/>
      <c r="W313" s="1767"/>
      <c r="X313" s="1766"/>
      <c r="Y313" s="1766"/>
      <c r="Z313" s="1766"/>
      <c r="AA313" s="1766"/>
      <c r="AB313" s="1766"/>
      <c r="AC313" s="1766"/>
      <c r="AD313" s="1767"/>
      <c r="AE313" s="1766"/>
      <c r="AF313" s="1766"/>
      <c r="AG313" s="1766"/>
      <c r="AH313" s="1768"/>
      <c r="AI313" s="1799"/>
      <c r="AJ313" s="1770"/>
      <c r="AK313" s="1771"/>
      <c r="AM313" s="13"/>
    </row>
    <row r="314" spans="1:39" s="5" customFormat="1">
      <c r="A314" s="1"/>
      <c r="B314" s="1"/>
      <c r="C314" s="4"/>
      <c r="D314" s="3"/>
      <c r="E314" s="4"/>
      <c r="F314" s="4"/>
      <c r="G314" s="4"/>
      <c r="H314" s="6"/>
      <c r="I314" s="6"/>
      <c r="J314" s="6"/>
      <c r="K314" s="11"/>
      <c r="P314" s="7"/>
      <c r="S314" s="6"/>
      <c r="T314" s="6"/>
      <c r="U314" s="1"/>
      <c r="V314" s="6"/>
      <c r="W314" s="1767"/>
      <c r="X314" s="1766"/>
      <c r="Y314" s="1766"/>
      <c r="Z314" s="1766"/>
      <c r="AA314" s="1766"/>
      <c r="AB314" s="1766"/>
      <c r="AC314" s="1766"/>
      <c r="AD314" s="1767"/>
      <c r="AE314" s="1766"/>
      <c r="AF314" s="1766"/>
      <c r="AG314" s="1766"/>
      <c r="AH314" s="1768"/>
      <c r="AI314" s="1799"/>
      <c r="AJ314" s="1770"/>
      <c r="AK314" s="1771"/>
      <c r="AM314" s="13"/>
    </row>
    <row r="315" spans="1:39" s="5" customFormat="1">
      <c r="A315" s="1"/>
      <c r="B315" s="1"/>
      <c r="C315" s="4"/>
      <c r="D315" s="3"/>
      <c r="E315" s="4"/>
      <c r="F315" s="4"/>
      <c r="G315" s="4"/>
      <c r="H315" s="6"/>
      <c r="I315" s="6"/>
      <c r="J315" s="6"/>
      <c r="K315" s="11"/>
      <c r="P315" s="7"/>
      <c r="S315" s="6"/>
      <c r="T315" s="6"/>
      <c r="U315" s="1"/>
      <c r="V315" s="6"/>
      <c r="W315" s="1767"/>
      <c r="X315" s="1766"/>
      <c r="Y315" s="1766"/>
      <c r="Z315" s="1766"/>
      <c r="AA315" s="1766"/>
      <c r="AB315" s="1766"/>
      <c r="AC315" s="1766"/>
      <c r="AD315" s="1767"/>
      <c r="AE315" s="1766"/>
      <c r="AF315" s="1766"/>
      <c r="AG315" s="1766"/>
      <c r="AH315" s="1768"/>
      <c r="AI315" s="1799"/>
      <c r="AJ315" s="1770"/>
      <c r="AK315" s="1771"/>
      <c r="AM315" s="13"/>
    </row>
    <row r="316" spans="1:39" s="5" customFormat="1">
      <c r="A316" s="1"/>
      <c r="B316" s="1"/>
      <c r="C316" s="4"/>
      <c r="D316" s="3"/>
      <c r="E316" s="4"/>
      <c r="F316" s="4"/>
      <c r="G316" s="4"/>
      <c r="H316" s="6"/>
      <c r="I316" s="6"/>
      <c r="J316" s="6"/>
      <c r="K316" s="11"/>
      <c r="P316" s="7"/>
      <c r="S316" s="6"/>
      <c r="T316" s="6"/>
      <c r="U316" s="1"/>
      <c r="V316" s="6"/>
      <c r="W316" s="1767"/>
      <c r="X316" s="1766"/>
      <c r="Y316" s="1766"/>
      <c r="Z316" s="1766"/>
      <c r="AA316" s="1766"/>
      <c r="AB316" s="1766"/>
      <c r="AC316" s="1766"/>
      <c r="AD316" s="1767"/>
      <c r="AE316" s="1766"/>
      <c r="AF316" s="1766"/>
      <c r="AG316" s="1766"/>
      <c r="AH316" s="1768"/>
      <c r="AI316" s="1799"/>
      <c r="AJ316" s="1770"/>
      <c r="AK316" s="1771"/>
      <c r="AM316" s="13"/>
    </row>
    <row r="317" spans="1:39" s="5" customFormat="1">
      <c r="A317" s="1"/>
      <c r="B317" s="1"/>
      <c r="C317" s="4"/>
      <c r="D317" s="3"/>
      <c r="E317" s="4"/>
      <c r="F317" s="4"/>
      <c r="G317" s="4"/>
      <c r="H317" s="6"/>
      <c r="I317" s="6"/>
      <c r="J317" s="6"/>
      <c r="K317" s="11"/>
      <c r="P317" s="7"/>
      <c r="S317" s="6"/>
      <c r="T317" s="6"/>
      <c r="U317" s="1"/>
      <c r="V317" s="6"/>
      <c r="W317" s="1767"/>
      <c r="X317" s="1766"/>
      <c r="Y317" s="1766"/>
      <c r="Z317" s="1766"/>
      <c r="AA317" s="1766"/>
      <c r="AB317" s="1766"/>
      <c r="AC317" s="1766"/>
      <c r="AD317" s="1767"/>
      <c r="AE317" s="1766"/>
      <c r="AF317" s="1766"/>
      <c r="AG317" s="1766"/>
      <c r="AH317" s="1768"/>
      <c r="AI317" s="1799"/>
      <c r="AJ317" s="1770"/>
      <c r="AK317" s="1771"/>
      <c r="AM317" s="13"/>
    </row>
    <row r="318" spans="1:39" s="5" customFormat="1">
      <c r="A318" s="1"/>
      <c r="B318" s="1"/>
      <c r="C318" s="4"/>
      <c r="D318" s="3"/>
      <c r="E318" s="4"/>
      <c r="F318" s="4"/>
      <c r="G318" s="4"/>
      <c r="H318" s="6"/>
      <c r="I318" s="6"/>
      <c r="J318" s="6"/>
      <c r="K318" s="11"/>
      <c r="P318" s="7"/>
      <c r="S318" s="6"/>
      <c r="T318" s="6"/>
      <c r="U318" s="1"/>
      <c r="V318" s="6"/>
      <c r="W318" s="1767"/>
      <c r="X318" s="1766"/>
      <c r="Y318" s="1766"/>
      <c r="Z318" s="1766"/>
      <c r="AA318" s="1766"/>
      <c r="AB318" s="1766"/>
      <c r="AC318" s="1766"/>
      <c r="AD318" s="1767"/>
      <c r="AE318" s="1766"/>
      <c r="AF318" s="1766"/>
      <c r="AG318" s="1766"/>
      <c r="AH318" s="1768"/>
      <c r="AI318" s="1799"/>
      <c r="AJ318" s="1770"/>
      <c r="AK318" s="1771"/>
      <c r="AM318" s="13"/>
    </row>
    <row r="319" spans="1:39" s="5" customFormat="1">
      <c r="A319" s="1"/>
      <c r="B319" s="1"/>
      <c r="C319" s="4"/>
      <c r="D319" s="3"/>
      <c r="E319" s="4"/>
      <c r="F319" s="4"/>
      <c r="G319" s="4"/>
      <c r="H319" s="6"/>
      <c r="I319" s="6"/>
      <c r="J319" s="6"/>
      <c r="K319" s="11"/>
      <c r="P319" s="7"/>
      <c r="S319" s="6"/>
      <c r="T319" s="6"/>
      <c r="U319" s="1"/>
      <c r="V319" s="6"/>
      <c r="W319" s="1767"/>
      <c r="X319" s="1766"/>
      <c r="Y319" s="1766"/>
      <c r="Z319" s="1766"/>
      <c r="AA319" s="1766"/>
      <c r="AB319" s="1766"/>
      <c r="AC319" s="1766"/>
      <c r="AD319" s="1767"/>
      <c r="AE319" s="1766"/>
      <c r="AF319" s="1766"/>
      <c r="AG319" s="1766"/>
      <c r="AH319" s="1768"/>
      <c r="AI319" s="1799"/>
      <c r="AJ319" s="1770"/>
      <c r="AK319" s="1771"/>
      <c r="AM319" s="13"/>
    </row>
    <row r="320" spans="1:39" s="5" customFormat="1">
      <c r="A320" s="1"/>
      <c r="B320" s="1"/>
      <c r="C320" s="4"/>
      <c r="D320" s="3"/>
      <c r="E320" s="4"/>
      <c r="F320" s="4"/>
      <c r="G320" s="4"/>
      <c r="H320" s="6"/>
      <c r="I320" s="6"/>
      <c r="J320" s="6"/>
      <c r="K320" s="11"/>
      <c r="P320" s="7"/>
      <c r="S320" s="6"/>
      <c r="T320" s="6"/>
      <c r="U320" s="1"/>
      <c r="V320" s="6"/>
      <c r="W320" s="1767"/>
      <c r="X320" s="1766"/>
      <c r="Y320" s="1766"/>
      <c r="Z320" s="1766"/>
      <c r="AA320" s="1766"/>
      <c r="AB320" s="1766"/>
      <c r="AC320" s="1766"/>
      <c r="AD320" s="1767"/>
      <c r="AE320" s="1766"/>
      <c r="AF320" s="1766"/>
      <c r="AG320" s="1766"/>
      <c r="AH320" s="1768"/>
      <c r="AI320" s="1799"/>
      <c r="AJ320" s="1770"/>
      <c r="AK320" s="1771"/>
      <c r="AM320" s="13"/>
    </row>
    <row r="321" spans="1:39" s="5" customFormat="1">
      <c r="A321" s="1"/>
      <c r="B321" s="1"/>
      <c r="C321" s="4"/>
      <c r="D321" s="3"/>
      <c r="E321" s="4"/>
      <c r="F321" s="4"/>
      <c r="G321" s="4"/>
      <c r="H321" s="6"/>
      <c r="I321" s="6"/>
      <c r="J321" s="6"/>
      <c r="K321" s="11"/>
      <c r="P321" s="7"/>
      <c r="S321" s="6"/>
      <c r="T321" s="6"/>
      <c r="U321" s="1"/>
      <c r="V321" s="6"/>
      <c r="W321" s="1767"/>
      <c r="X321" s="1766"/>
      <c r="Y321" s="1766"/>
      <c r="Z321" s="1766"/>
      <c r="AA321" s="1766"/>
      <c r="AB321" s="1766"/>
      <c r="AC321" s="1766"/>
      <c r="AD321" s="1767"/>
      <c r="AE321" s="1766"/>
      <c r="AF321" s="1766"/>
      <c r="AG321" s="1766"/>
      <c r="AH321" s="1768"/>
      <c r="AI321" s="1799"/>
      <c r="AJ321" s="1770"/>
      <c r="AK321" s="1771"/>
      <c r="AM321" s="13"/>
    </row>
    <row r="322" spans="1:39" s="5" customFormat="1">
      <c r="A322" s="1"/>
      <c r="B322" s="1"/>
      <c r="C322" s="4"/>
      <c r="D322" s="3"/>
      <c r="E322" s="4"/>
      <c r="F322" s="4"/>
      <c r="G322" s="4"/>
      <c r="H322" s="6"/>
      <c r="I322" s="6"/>
      <c r="J322" s="6"/>
      <c r="K322" s="11"/>
      <c r="P322" s="7"/>
      <c r="S322" s="6"/>
      <c r="T322" s="6"/>
      <c r="U322" s="1"/>
      <c r="V322" s="6"/>
      <c r="W322" s="1767"/>
      <c r="X322" s="1766"/>
      <c r="Y322" s="1766"/>
      <c r="Z322" s="1766"/>
      <c r="AA322" s="1766"/>
      <c r="AB322" s="1766"/>
      <c r="AC322" s="1766"/>
      <c r="AD322" s="1767"/>
      <c r="AE322" s="1766"/>
      <c r="AF322" s="1766"/>
      <c r="AG322" s="1766"/>
      <c r="AH322" s="1768"/>
      <c r="AI322" s="1799"/>
      <c r="AJ322" s="1770"/>
      <c r="AK322" s="1771"/>
      <c r="AM322" s="13"/>
    </row>
    <row r="323" spans="1:39" s="5" customFormat="1">
      <c r="A323" s="1"/>
      <c r="B323" s="1"/>
      <c r="C323" s="4"/>
      <c r="D323" s="3"/>
      <c r="E323" s="4"/>
      <c r="F323" s="4"/>
      <c r="G323" s="4"/>
      <c r="H323" s="6"/>
      <c r="I323" s="6"/>
      <c r="J323" s="6"/>
      <c r="K323" s="11"/>
      <c r="P323" s="7"/>
      <c r="S323" s="6"/>
      <c r="T323" s="6"/>
      <c r="U323" s="1"/>
      <c r="V323" s="6"/>
      <c r="W323" s="1767"/>
      <c r="X323" s="1766"/>
      <c r="Y323" s="1766"/>
      <c r="Z323" s="1766"/>
      <c r="AA323" s="1766"/>
      <c r="AB323" s="1766"/>
      <c r="AC323" s="1766"/>
      <c r="AD323" s="1767"/>
      <c r="AE323" s="1766"/>
      <c r="AF323" s="1766"/>
      <c r="AG323" s="1766"/>
      <c r="AH323" s="1768"/>
      <c r="AI323" s="1799"/>
      <c r="AJ323" s="1770"/>
      <c r="AK323" s="1771"/>
      <c r="AM323" s="13"/>
    </row>
    <row r="324" spans="1:39" s="5" customFormat="1">
      <c r="A324" s="1"/>
      <c r="B324" s="1"/>
      <c r="C324" s="4"/>
      <c r="D324" s="3"/>
      <c r="E324" s="4"/>
      <c r="F324" s="4"/>
      <c r="G324" s="4"/>
      <c r="H324" s="6"/>
      <c r="I324" s="6"/>
      <c r="J324" s="6"/>
      <c r="K324" s="11"/>
      <c r="P324" s="7"/>
      <c r="S324" s="6"/>
      <c r="T324" s="6"/>
      <c r="U324" s="1"/>
      <c r="V324" s="6"/>
      <c r="W324" s="1767"/>
      <c r="X324" s="1766"/>
      <c r="Y324" s="1766"/>
      <c r="Z324" s="1766"/>
      <c r="AA324" s="1766"/>
      <c r="AB324" s="1766"/>
      <c r="AC324" s="1766"/>
      <c r="AD324" s="1767"/>
      <c r="AE324" s="1766"/>
      <c r="AF324" s="1766"/>
      <c r="AG324" s="1766"/>
      <c r="AH324" s="1768"/>
      <c r="AI324" s="1799"/>
      <c r="AJ324" s="1770"/>
      <c r="AK324" s="1771"/>
      <c r="AM324" s="13"/>
    </row>
    <row r="325" spans="1:39" s="5" customFormat="1">
      <c r="A325" s="1"/>
      <c r="B325" s="1"/>
      <c r="C325" s="4"/>
      <c r="D325" s="3"/>
      <c r="E325" s="4"/>
      <c r="F325" s="4"/>
      <c r="G325" s="4"/>
      <c r="H325" s="6"/>
      <c r="I325" s="6"/>
      <c r="J325" s="6"/>
      <c r="K325" s="11"/>
      <c r="P325" s="7"/>
      <c r="S325" s="6"/>
      <c r="T325" s="6"/>
      <c r="U325" s="1"/>
      <c r="V325" s="6"/>
      <c r="W325" s="1767"/>
      <c r="X325" s="1766"/>
      <c r="Y325" s="1766"/>
      <c r="Z325" s="1766"/>
      <c r="AA325" s="1766"/>
      <c r="AB325" s="1766"/>
      <c r="AC325" s="1766"/>
      <c r="AD325" s="1767"/>
      <c r="AE325" s="1766"/>
      <c r="AF325" s="1766"/>
      <c r="AG325" s="1766"/>
      <c r="AH325" s="1768"/>
      <c r="AI325" s="1799"/>
      <c r="AJ325" s="1770"/>
      <c r="AK325" s="1771"/>
      <c r="AM325" s="13"/>
    </row>
    <row r="326" spans="1:39" s="5" customFormat="1">
      <c r="A326" s="1"/>
      <c r="B326" s="1"/>
      <c r="C326" s="4"/>
      <c r="D326" s="3"/>
      <c r="E326" s="4"/>
      <c r="F326" s="4"/>
      <c r="G326" s="4"/>
      <c r="H326" s="6"/>
      <c r="I326" s="6"/>
      <c r="J326" s="6"/>
      <c r="K326" s="11"/>
      <c r="P326" s="7"/>
      <c r="S326" s="6"/>
      <c r="T326" s="6"/>
      <c r="U326" s="1"/>
      <c r="V326" s="6"/>
      <c r="W326" s="1767"/>
      <c r="X326" s="1766"/>
      <c r="Y326" s="1766"/>
      <c r="Z326" s="1766"/>
      <c r="AA326" s="1766"/>
      <c r="AB326" s="1766"/>
      <c r="AC326" s="1766"/>
      <c r="AD326" s="1767"/>
      <c r="AE326" s="1766"/>
      <c r="AF326" s="1766"/>
      <c r="AG326" s="1766"/>
      <c r="AH326" s="1768"/>
      <c r="AI326" s="1799"/>
      <c r="AJ326" s="1770"/>
      <c r="AK326" s="1771"/>
      <c r="AM326" s="13"/>
    </row>
    <row r="327" spans="1:39" s="5" customFormat="1">
      <c r="A327" s="1"/>
      <c r="B327" s="1"/>
      <c r="C327" s="4"/>
      <c r="D327" s="3"/>
      <c r="E327" s="4"/>
      <c r="F327" s="4"/>
      <c r="G327" s="4"/>
      <c r="H327" s="6"/>
      <c r="I327" s="6"/>
      <c r="J327" s="6"/>
      <c r="K327" s="11"/>
      <c r="P327" s="7"/>
      <c r="S327" s="6"/>
      <c r="T327" s="6"/>
      <c r="U327" s="1"/>
      <c r="V327" s="6"/>
      <c r="W327" s="1767"/>
      <c r="X327" s="1766"/>
      <c r="Y327" s="1766"/>
      <c r="Z327" s="1766"/>
      <c r="AA327" s="1766"/>
      <c r="AB327" s="1766"/>
      <c r="AC327" s="1766"/>
      <c r="AD327" s="1767"/>
      <c r="AE327" s="1766"/>
      <c r="AF327" s="1766"/>
      <c r="AG327" s="1766"/>
      <c r="AH327" s="1768"/>
      <c r="AI327" s="1799"/>
      <c r="AJ327" s="1770"/>
      <c r="AK327" s="1771"/>
      <c r="AM327" s="13"/>
    </row>
    <row r="328" spans="1:39" s="5" customFormat="1">
      <c r="A328" s="1"/>
      <c r="B328" s="1"/>
      <c r="C328" s="4"/>
      <c r="D328" s="3"/>
      <c r="E328" s="4"/>
      <c r="F328" s="4"/>
      <c r="G328" s="4"/>
      <c r="H328" s="6"/>
      <c r="I328" s="6"/>
      <c r="J328" s="6"/>
      <c r="K328" s="11"/>
      <c r="P328" s="7"/>
      <c r="S328" s="6"/>
      <c r="T328" s="6"/>
      <c r="U328" s="1"/>
      <c r="V328" s="6"/>
      <c r="W328" s="1767"/>
      <c r="X328" s="1766"/>
      <c r="Y328" s="1766"/>
      <c r="Z328" s="1766"/>
      <c r="AA328" s="1766"/>
      <c r="AB328" s="1766"/>
      <c r="AC328" s="1766"/>
      <c r="AD328" s="1767"/>
      <c r="AE328" s="1766"/>
      <c r="AF328" s="1766"/>
      <c r="AG328" s="1766"/>
      <c r="AH328" s="1768"/>
      <c r="AI328" s="1799"/>
      <c r="AJ328" s="1770"/>
      <c r="AK328" s="1771"/>
      <c r="AM328" s="13"/>
    </row>
    <row r="329" spans="1:39" s="5" customFormat="1">
      <c r="A329" s="1"/>
      <c r="B329" s="1"/>
      <c r="C329" s="4"/>
      <c r="D329" s="3"/>
      <c r="E329" s="4"/>
      <c r="F329" s="4"/>
      <c r="G329" s="4"/>
      <c r="H329" s="6"/>
      <c r="I329" s="6"/>
      <c r="J329" s="6"/>
      <c r="K329" s="11"/>
      <c r="P329" s="7"/>
      <c r="S329" s="6"/>
      <c r="T329" s="6"/>
      <c r="U329" s="1"/>
      <c r="V329" s="6"/>
      <c r="W329" s="1767"/>
      <c r="X329" s="1766"/>
      <c r="Y329" s="1766"/>
      <c r="Z329" s="1766"/>
      <c r="AA329" s="1766"/>
      <c r="AB329" s="1766"/>
      <c r="AC329" s="1766"/>
      <c r="AD329" s="1767"/>
      <c r="AE329" s="1766"/>
      <c r="AF329" s="1766"/>
      <c r="AG329" s="1766"/>
      <c r="AH329" s="1768"/>
      <c r="AI329" s="1799"/>
      <c r="AJ329" s="1770"/>
      <c r="AK329" s="1771"/>
      <c r="AM329" s="13"/>
    </row>
    <row r="330" spans="1:39" s="5" customFormat="1">
      <c r="A330" s="1"/>
      <c r="B330" s="1"/>
      <c r="C330" s="4"/>
      <c r="D330" s="3"/>
      <c r="E330" s="4"/>
      <c r="F330" s="4"/>
      <c r="G330" s="4"/>
      <c r="H330" s="6"/>
      <c r="I330" s="6"/>
      <c r="J330" s="6"/>
      <c r="K330" s="11"/>
      <c r="P330" s="7"/>
      <c r="S330" s="6"/>
      <c r="T330" s="6"/>
      <c r="U330" s="1"/>
      <c r="V330" s="6"/>
      <c r="W330" s="1767"/>
      <c r="X330" s="1766"/>
      <c r="Y330" s="1766"/>
      <c r="Z330" s="1766"/>
      <c r="AA330" s="1766"/>
      <c r="AB330" s="1766"/>
      <c r="AC330" s="1766"/>
      <c r="AD330" s="1767"/>
      <c r="AE330" s="1766"/>
      <c r="AF330" s="1766"/>
      <c r="AG330" s="1766"/>
      <c r="AH330" s="1768"/>
      <c r="AI330" s="1799"/>
      <c r="AJ330" s="1770"/>
      <c r="AK330" s="1771"/>
      <c r="AM330" s="13"/>
    </row>
    <row r="331" spans="1:39" s="5" customFormat="1">
      <c r="A331" s="1"/>
      <c r="B331" s="1"/>
      <c r="C331" s="4"/>
      <c r="D331" s="3"/>
      <c r="E331" s="4"/>
      <c r="F331" s="4"/>
      <c r="G331" s="4"/>
      <c r="H331" s="6"/>
      <c r="I331" s="6"/>
      <c r="J331" s="6"/>
      <c r="K331" s="11"/>
      <c r="P331" s="7"/>
      <c r="S331" s="6"/>
      <c r="T331" s="6"/>
      <c r="U331" s="1"/>
      <c r="V331" s="6"/>
      <c r="W331" s="1767"/>
      <c r="X331" s="1766"/>
      <c r="Y331" s="1766"/>
      <c r="Z331" s="1766"/>
      <c r="AA331" s="1766"/>
      <c r="AB331" s="1766"/>
      <c r="AC331" s="1766"/>
      <c r="AD331" s="1767"/>
      <c r="AE331" s="1766"/>
      <c r="AF331" s="1766"/>
      <c r="AG331" s="1766"/>
      <c r="AH331" s="1768"/>
      <c r="AI331" s="1799"/>
      <c r="AJ331" s="1770"/>
      <c r="AK331" s="1771"/>
      <c r="AM331" s="13"/>
    </row>
    <row r="332" spans="1:39" s="5" customFormat="1">
      <c r="A332" s="1"/>
      <c r="B332" s="1"/>
      <c r="C332" s="4"/>
      <c r="D332" s="3"/>
      <c r="E332" s="4"/>
      <c r="F332" s="4"/>
      <c r="G332" s="4"/>
      <c r="H332" s="6"/>
      <c r="I332" s="6"/>
      <c r="J332" s="6"/>
      <c r="K332" s="11"/>
      <c r="P332" s="7"/>
      <c r="S332" s="6"/>
      <c r="T332" s="6"/>
      <c r="U332" s="1"/>
      <c r="V332" s="6"/>
      <c r="W332" s="1767"/>
      <c r="X332" s="1766"/>
      <c r="Y332" s="1766"/>
      <c r="Z332" s="1766"/>
      <c r="AA332" s="1766"/>
      <c r="AB332" s="1766"/>
      <c r="AC332" s="1766"/>
      <c r="AD332" s="1767"/>
      <c r="AE332" s="1766"/>
      <c r="AF332" s="1766"/>
      <c r="AG332" s="1766"/>
      <c r="AH332" s="1768"/>
      <c r="AI332" s="1799"/>
      <c r="AJ332" s="1770"/>
      <c r="AK332" s="1771"/>
      <c r="AM332" s="13"/>
    </row>
    <row r="333" spans="1:39" s="5" customFormat="1">
      <c r="A333" s="1"/>
      <c r="B333" s="1"/>
      <c r="C333" s="4"/>
      <c r="D333" s="3"/>
      <c r="E333" s="4"/>
      <c r="F333" s="4"/>
      <c r="G333" s="4"/>
      <c r="H333" s="6"/>
      <c r="I333" s="6"/>
      <c r="J333" s="6"/>
      <c r="K333" s="11"/>
      <c r="P333" s="7"/>
      <c r="S333" s="6"/>
      <c r="T333" s="6"/>
      <c r="U333" s="1"/>
      <c r="V333" s="6"/>
      <c r="W333" s="1767"/>
      <c r="X333" s="1766"/>
      <c r="Y333" s="1766"/>
      <c r="Z333" s="1766"/>
      <c r="AA333" s="1766"/>
      <c r="AB333" s="1766"/>
      <c r="AC333" s="1766"/>
      <c r="AD333" s="1767"/>
      <c r="AE333" s="1766"/>
      <c r="AF333" s="1766"/>
      <c r="AG333" s="1766"/>
      <c r="AH333" s="1768"/>
      <c r="AI333" s="1799"/>
      <c r="AJ333" s="1770"/>
      <c r="AK333" s="1771"/>
      <c r="AM333" s="13"/>
    </row>
    <row r="334" spans="1:39" s="5" customFormat="1">
      <c r="A334" s="1"/>
      <c r="B334" s="1"/>
      <c r="C334" s="4"/>
      <c r="D334" s="3"/>
      <c r="E334" s="4"/>
      <c r="F334" s="4"/>
      <c r="G334" s="4"/>
      <c r="H334" s="6"/>
      <c r="I334" s="6"/>
      <c r="J334" s="6"/>
      <c r="K334" s="11"/>
      <c r="P334" s="7"/>
      <c r="S334" s="6"/>
      <c r="T334" s="6"/>
      <c r="U334" s="1"/>
      <c r="V334" s="6"/>
      <c r="W334" s="1767"/>
      <c r="X334" s="1766"/>
      <c r="Y334" s="1766"/>
      <c r="Z334" s="1766"/>
      <c r="AA334" s="1766"/>
      <c r="AB334" s="1766"/>
      <c r="AC334" s="1766"/>
      <c r="AD334" s="1767"/>
      <c r="AE334" s="1766"/>
      <c r="AF334" s="1766"/>
      <c r="AG334" s="1766"/>
      <c r="AH334" s="1768"/>
      <c r="AI334" s="1799"/>
      <c r="AJ334" s="1770"/>
      <c r="AK334" s="1771"/>
      <c r="AM334" s="13"/>
    </row>
  </sheetData>
  <mergeCells count="96">
    <mergeCell ref="A148:A149"/>
    <mergeCell ref="C148:C149"/>
    <mergeCell ref="B148:B149"/>
    <mergeCell ref="E148:E149"/>
    <mergeCell ref="D148:D149"/>
    <mergeCell ref="P148:P149"/>
    <mergeCell ref="O148:O149"/>
    <mergeCell ref="M148:M149"/>
    <mergeCell ref="F148:F149"/>
    <mergeCell ref="L148:L149"/>
    <mergeCell ref="G148:G149"/>
    <mergeCell ref="H148:H149"/>
    <mergeCell ref="I148:I149"/>
    <mergeCell ref="J148:J149"/>
    <mergeCell ref="K148:K149"/>
    <mergeCell ref="C91:C92"/>
    <mergeCell ref="A62:N62"/>
    <mergeCell ref="A89:A90"/>
    <mergeCell ref="A91:A92"/>
    <mergeCell ref="J89:J92"/>
    <mergeCell ref="L89:L92"/>
    <mergeCell ref="K89:K90"/>
    <mergeCell ref="K91:K92"/>
    <mergeCell ref="B89:B90"/>
    <mergeCell ref="B91:B92"/>
    <mergeCell ref="G89:G92"/>
    <mergeCell ref="I89:I92"/>
    <mergeCell ref="H89:H92"/>
    <mergeCell ref="F89:F92"/>
    <mergeCell ref="E89:E92"/>
    <mergeCell ref="A2:Q2"/>
    <mergeCell ref="D3:L3"/>
    <mergeCell ref="A19:L19"/>
    <mergeCell ref="A35:L35"/>
    <mergeCell ref="A6:M6"/>
    <mergeCell ref="C4:F4"/>
    <mergeCell ref="Z85:Z86"/>
    <mergeCell ref="U85:U86"/>
    <mergeCell ref="V85:V86"/>
    <mergeCell ref="W85:W86"/>
    <mergeCell ref="D89:D90"/>
    <mergeCell ref="AB85:AB86"/>
    <mergeCell ref="AC85:AC86"/>
    <mergeCell ref="AD85:AD86"/>
    <mergeCell ref="AI85:AI86"/>
    <mergeCell ref="D91:D92"/>
    <mergeCell ref="AH85:AH86"/>
    <mergeCell ref="L85:L86"/>
    <mergeCell ref="O85:O86"/>
    <mergeCell ref="M85:M86"/>
    <mergeCell ref="AF85:AF86"/>
    <mergeCell ref="P89:P92"/>
    <mergeCell ref="O89:O92"/>
    <mergeCell ref="M89:M92"/>
    <mergeCell ref="AE85:AE86"/>
    <mergeCell ref="X85:X86"/>
    <mergeCell ref="Y85:Y86"/>
    <mergeCell ref="AJ85:AJ86"/>
    <mergeCell ref="A85:A86"/>
    <mergeCell ref="B85:B86"/>
    <mergeCell ref="J85:J86"/>
    <mergeCell ref="H85:H86"/>
    <mergeCell ref="S85:S86"/>
    <mergeCell ref="AG85:AG86"/>
    <mergeCell ref="P85:P86"/>
    <mergeCell ref="F85:F86"/>
    <mergeCell ref="C85:C86"/>
    <mergeCell ref="D85:D86"/>
    <mergeCell ref="E85:E86"/>
    <mergeCell ref="G85:G86"/>
    <mergeCell ref="I85:I86"/>
    <mergeCell ref="K85:K86"/>
    <mergeCell ref="AA85:AA86"/>
    <mergeCell ref="AH89:AH92"/>
    <mergeCell ref="A94:N94"/>
    <mergeCell ref="E101:E102"/>
    <mergeCell ref="G101:G102"/>
    <mergeCell ref="I101:I102"/>
    <mergeCell ref="H101:H102"/>
    <mergeCell ref="J101:J102"/>
    <mergeCell ref="M101:M102"/>
    <mergeCell ref="B101:B102"/>
    <mergeCell ref="C101:C102"/>
    <mergeCell ref="D101:D102"/>
    <mergeCell ref="F101:F102"/>
    <mergeCell ref="K101:K102"/>
    <mergeCell ref="S89:S92"/>
    <mergeCell ref="AH101:AH102"/>
    <mergeCell ref="C89:C90"/>
    <mergeCell ref="C146:D146"/>
    <mergeCell ref="S101:S102"/>
    <mergeCell ref="A101:A102"/>
    <mergeCell ref="L101:L102"/>
    <mergeCell ref="O101:O102"/>
    <mergeCell ref="P101:P102"/>
    <mergeCell ref="A123:N123"/>
  </mergeCells>
  <hyperlinks>
    <hyperlink ref="E17" r:id="rId1" display="javascript:void(0)" xr:uid="{B677CD9F-595E-4A88-B8D1-EDAD01760806}"/>
  </hyperlinks>
  <pageMargins left="0.7" right="0.7" top="0.75" bottom="0.75" header="0.3" footer="0.3"/>
  <pageSetup paperSize="9"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C9154-A283-4618-A698-155D034C8359}">
  <sheetPr codeName="Sheet1"/>
  <dimension ref="A1:AD551"/>
  <sheetViews>
    <sheetView zoomScaleNormal="100" workbookViewId="0">
      <pane xSplit="9" ySplit="4" topLeftCell="J136" activePane="bottomRight" state="frozen"/>
      <selection activeCell="J47" sqref="J47"/>
      <selection pane="topRight" activeCell="J47" sqref="J47"/>
      <selection pane="bottomLeft" activeCell="J47" sqref="J47"/>
      <selection pane="bottomRight" activeCell="E150" sqref="E150"/>
    </sheetView>
  </sheetViews>
  <sheetFormatPr defaultColWidth="10.33203125" defaultRowHeight="15.6"/>
  <cols>
    <col min="1" max="1" width="7" style="1" customWidth="1"/>
    <col min="2" max="2" width="19.109375" style="1454" customWidth="1"/>
    <col min="3" max="3" width="14.109375" style="537" customWidth="1"/>
    <col min="4" max="4" width="14.88671875" style="4" customWidth="1"/>
    <col min="5" max="5" width="10.5546875" style="4" customWidth="1"/>
    <col min="6" max="7" width="5.109375" style="6" customWidth="1"/>
    <col min="8" max="8" width="25.44140625" style="7" customWidth="1"/>
    <col min="9" max="9" width="17.33203125" style="551" customWidth="1"/>
    <col min="10" max="10" width="21.33203125" style="11" customWidth="1"/>
    <col min="11" max="11" width="13.33203125" style="11" customWidth="1"/>
    <col min="12" max="12" width="34.33203125" style="270" customWidth="1"/>
    <col min="13" max="13" width="18.44140625" style="270" customWidth="1"/>
    <col min="14" max="14" width="18.6640625" style="271" customWidth="1"/>
    <col min="15" max="15" width="16.6640625" style="272" customWidth="1"/>
    <col min="16" max="16" width="15.109375" style="273" customWidth="1"/>
    <col min="17" max="17" width="37.109375" style="5" customWidth="1"/>
    <col min="18" max="181" width="10.33203125" style="13"/>
    <col min="182" max="182" width="7" style="13" customWidth="1"/>
    <col min="183" max="183" width="13" style="13" customWidth="1"/>
    <col min="184" max="184" width="14.109375" style="13" customWidth="1"/>
    <col min="185" max="185" width="17.33203125" style="13" customWidth="1"/>
    <col min="186" max="186" width="18.88671875" style="13" customWidth="1"/>
    <col min="187" max="187" width="14.109375" style="13" customWidth="1"/>
    <col min="188" max="188" width="21.5546875" style="13" customWidth="1"/>
    <col min="189" max="190" width="14.109375" style="13" customWidth="1"/>
    <col min="191" max="191" width="15" style="13" customWidth="1"/>
    <col min="192" max="192" width="13.33203125" style="13" customWidth="1"/>
    <col min="193" max="193" width="17" style="13" customWidth="1"/>
    <col min="194" max="194" width="24.88671875" style="13" customWidth="1"/>
    <col min="195" max="195" width="14.44140625" style="13" customWidth="1"/>
    <col min="196" max="196" width="23.109375" style="13" customWidth="1"/>
    <col min="197" max="197" width="13.109375" style="13" customWidth="1"/>
    <col min="198" max="201" width="0" style="13" hidden="1" customWidth="1"/>
    <col min="202" max="437" width="10.33203125" style="13"/>
    <col min="438" max="438" width="7" style="13" customWidth="1"/>
    <col min="439" max="439" width="13" style="13" customWidth="1"/>
    <col min="440" max="440" width="14.109375" style="13" customWidth="1"/>
    <col min="441" max="441" width="17.33203125" style="13" customWidth="1"/>
    <col min="442" max="442" width="18.88671875" style="13" customWidth="1"/>
    <col min="443" max="443" width="14.109375" style="13" customWidth="1"/>
    <col min="444" max="444" width="21.5546875" style="13" customWidth="1"/>
    <col min="445" max="446" width="14.109375" style="13" customWidth="1"/>
    <col min="447" max="447" width="15" style="13" customWidth="1"/>
    <col min="448" max="448" width="13.33203125" style="13" customWidth="1"/>
    <col min="449" max="449" width="17" style="13" customWidth="1"/>
    <col min="450" max="450" width="24.88671875" style="13" customWidth="1"/>
    <col min="451" max="451" width="14.44140625" style="13" customWidth="1"/>
    <col min="452" max="452" width="23.109375" style="13" customWidth="1"/>
    <col min="453" max="453" width="13.109375" style="13" customWidth="1"/>
    <col min="454" max="457" width="0" style="13" hidden="1" customWidth="1"/>
    <col min="458" max="693" width="10.33203125" style="13"/>
    <col min="694" max="694" width="7" style="13" customWidth="1"/>
    <col min="695" max="695" width="13" style="13" customWidth="1"/>
    <col min="696" max="696" width="14.109375" style="13" customWidth="1"/>
    <col min="697" max="697" width="17.33203125" style="13" customWidth="1"/>
    <col min="698" max="698" width="18.88671875" style="13" customWidth="1"/>
    <col min="699" max="699" width="14.109375" style="13" customWidth="1"/>
    <col min="700" max="700" width="21.5546875" style="13" customWidth="1"/>
    <col min="701" max="702" width="14.109375" style="13" customWidth="1"/>
    <col min="703" max="703" width="15" style="13" customWidth="1"/>
    <col min="704" max="704" width="13.33203125" style="13" customWidth="1"/>
    <col min="705" max="705" width="17" style="13" customWidth="1"/>
    <col min="706" max="706" width="24.88671875" style="13" customWidth="1"/>
    <col min="707" max="707" width="14.44140625" style="13" customWidth="1"/>
    <col min="708" max="708" width="23.109375" style="13" customWidth="1"/>
    <col min="709" max="709" width="13.109375" style="13" customWidth="1"/>
    <col min="710" max="713" width="0" style="13" hidden="1" customWidth="1"/>
    <col min="714" max="949" width="10.33203125" style="13"/>
    <col min="950" max="950" width="7" style="13" customWidth="1"/>
    <col min="951" max="951" width="13" style="13" customWidth="1"/>
    <col min="952" max="952" width="14.109375" style="13" customWidth="1"/>
    <col min="953" max="953" width="17.33203125" style="13" customWidth="1"/>
    <col min="954" max="954" width="18.88671875" style="13" customWidth="1"/>
    <col min="955" max="955" width="14.109375" style="13" customWidth="1"/>
    <col min="956" max="956" width="21.5546875" style="13" customWidth="1"/>
    <col min="957" max="958" width="14.109375" style="13" customWidth="1"/>
    <col min="959" max="959" width="15" style="13" customWidth="1"/>
    <col min="960" max="960" width="13.33203125" style="13" customWidth="1"/>
    <col min="961" max="961" width="17" style="13" customWidth="1"/>
    <col min="962" max="962" width="24.88671875" style="13" customWidth="1"/>
    <col min="963" max="963" width="14.44140625" style="13" customWidth="1"/>
    <col min="964" max="964" width="23.109375" style="13" customWidth="1"/>
    <col min="965" max="965" width="13.109375" style="13" customWidth="1"/>
    <col min="966" max="969" width="0" style="13" hidden="1" customWidth="1"/>
    <col min="970" max="1205" width="10.33203125" style="13"/>
    <col min="1206" max="1206" width="7" style="13" customWidth="1"/>
    <col min="1207" max="1207" width="13" style="13" customWidth="1"/>
    <col min="1208" max="1208" width="14.109375" style="13" customWidth="1"/>
    <col min="1209" max="1209" width="17.33203125" style="13" customWidth="1"/>
    <col min="1210" max="1210" width="18.88671875" style="13" customWidth="1"/>
    <col min="1211" max="1211" width="14.109375" style="13" customWidth="1"/>
    <col min="1212" max="1212" width="21.5546875" style="13" customWidth="1"/>
    <col min="1213" max="1214" width="14.109375" style="13" customWidth="1"/>
    <col min="1215" max="1215" width="15" style="13" customWidth="1"/>
    <col min="1216" max="1216" width="13.33203125" style="13" customWidth="1"/>
    <col min="1217" max="1217" width="17" style="13" customWidth="1"/>
    <col min="1218" max="1218" width="24.88671875" style="13" customWidth="1"/>
    <col min="1219" max="1219" width="14.44140625" style="13" customWidth="1"/>
    <col min="1220" max="1220" width="23.109375" style="13" customWidth="1"/>
    <col min="1221" max="1221" width="13.109375" style="13" customWidth="1"/>
    <col min="1222" max="1225" width="0" style="13" hidden="1" customWidth="1"/>
    <col min="1226" max="1461" width="10.33203125" style="13"/>
    <col min="1462" max="1462" width="7" style="13" customWidth="1"/>
    <col min="1463" max="1463" width="13" style="13" customWidth="1"/>
    <col min="1464" max="1464" width="14.109375" style="13" customWidth="1"/>
    <col min="1465" max="1465" width="17.33203125" style="13" customWidth="1"/>
    <col min="1466" max="1466" width="18.88671875" style="13" customWidth="1"/>
    <col min="1467" max="1467" width="14.109375" style="13" customWidth="1"/>
    <col min="1468" max="1468" width="21.5546875" style="13" customWidth="1"/>
    <col min="1469" max="1470" width="14.109375" style="13" customWidth="1"/>
    <col min="1471" max="1471" width="15" style="13" customWidth="1"/>
    <col min="1472" max="1472" width="13.33203125" style="13" customWidth="1"/>
    <col min="1473" max="1473" width="17" style="13" customWidth="1"/>
    <col min="1474" max="1474" width="24.88671875" style="13" customWidth="1"/>
    <col min="1475" max="1475" width="14.44140625" style="13" customWidth="1"/>
    <col min="1476" max="1476" width="23.109375" style="13" customWidth="1"/>
    <col min="1477" max="1477" width="13.109375" style="13" customWidth="1"/>
    <col min="1478" max="1481" width="0" style="13" hidden="1" customWidth="1"/>
    <col min="1482" max="1717" width="10.33203125" style="13"/>
    <col min="1718" max="1718" width="7" style="13" customWidth="1"/>
    <col min="1719" max="1719" width="13" style="13" customWidth="1"/>
    <col min="1720" max="1720" width="14.109375" style="13" customWidth="1"/>
    <col min="1721" max="1721" width="17.33203125" style="13" customWidth="1"/>
    <col min="1722" max="1722" width="18.88671875" style="13" customWidth="1"/>
    <col min="1723" max="1723" width="14.109375" style="13" customWidth="1"/>
    <col min="1724" max="1724" width="21.5546875" style="13" customWidth="1"/>
    <col min="1725" max="1726" width="14.109375" style="13" customWidth="1"/>
    <col min="1727" max="1727" width="15" style="13" customWidth="1"/>
    <col min="1728" max="1728" width="13.33203125" style="13" customWidth="1"/>
    <col min="1729" max="1729" width="17" style="13" customWidth="1"/>
    <col min="1730" max="1730" width="24.88671875" style="13" customWidth="1"/>
    <col min="1731" max="1731" width="14.44140625" style="13" customWidth="1"/>
    <col min="1732" max="1732" width="23.109375" style="13" customWidth="1"/>
    <col min="1733" max="1733" width="13.109375" style="13" customWidth="1"/>
    <col min="1734" max="1737" width="0" style="13" hidden="1" customWidth="1"/>
    <col min="1738" max="1973" width="10.33203125" style="13"/>
    <col min="1974" max="1974" width="7" style="13" customWidth="1"/>
    <col min="1975" max="1975" width="13" style="13" customWidth="1"/>
    <col min="1976" max="1976" width="14.109375" style="13" customWidth="1"/>
    <col min="1977" max="1977" width="17.33203125" style="13" customWidth="1"/>
    <col min="1978" max="1978" width="18.88671875" style="13" customWidth="1"/>
    <col min="1979" max="1979" width="14.109375" style="13" customWidth="1"/>
    <col min="1980" max="1980" width="21.5546875" style="13" customWidth="1"/>
    <col min="1981" max="1982" width="14.109375" style="13" customWidth="1"/>
    <col min="1983" max="1983" width="15" style="13" customWidth="1"/>
    <col min="1984" max="1984" width="13.33203125" style="13" customWidth="1"/>
    <col min="1985" max="1985" width="17" style="13" customWidth="1"/>
    <col min="1986" max="1986" width="24.88671875" style="13" customWidth="1"/>
    <col min="1987" max="1987" width="14.44140625" style="13" customWidth="1"/>
    <col min="1988" max="1988" width="23.109375" style="13" customWidth="1"/>
    <col min="1989" max="1989" width="13.109375" style="13" customWidth="1"/>
    <col min="1990" max="1993" width="0" style="13" hidden="1" customWidth="1"/>
    <col min="1994" max="2229" width="10.33203125" style="13"/>
    <col min="2230" max="2230" width="7" style="13" customWidth="1"/>
    <col min="2231" max="2231" width="13" style="13" customWidth="1"/>
    <col min="2232" max="2232" width="14.109375" style="13" customWidth="1"/>
    <col min="2233" max="2233" width="17.33203125" style="13" customWidth="1"/>
    <col min="2234" max="2234" width="18.88671875" style="13" customWidth="1"/>
    <col min="2235" max="2235" width="14.109375" style="13" customWidth="1"/>
    <col min="2236" max="2236" width="21.5546875" style="13" customWidth="1"/>
    <col min="2237" max="2238" width="14.109375" style="13" customWidth="1"/>
    <col min="2239" max="2239" width="15" style="13" customWidth="1"/>
    <col min="2240" max="2240" width="13.33203125" style="13" customWidth="1"/>
    <col min="2241" max="2241" width="17" style="13" customWidth="1"/>
    <col min="2242" max="2242" width="24.88671875" style="13" customWidth="1"/>
    <col min="2243" max="2243" width="14.44140625" style="13" customWidth="1"/>
    <col min="2244" max="2244" width="23.109375" style="13" customWidth="1"/>
    <col min="2245" max="2245" width="13.109375" style="13" customWidth="1"/>
    <col min="2246" max="2249" width="0" style="13" hidden="1" customWidth="1"/>
    <col min="2250" max="2485" width="10.33203125" style="13"/>
    <col min="2486" max="2486" width="7" style="13" customWidth="1"/>
    <col min="2487" max="2487" width="13" style="13" customWidth="1"/>
    <col min="2488" max="2488" width="14.109375" style="13" customWidth="1"/>
    <col min="2489" max="2489" width="17.33203125" style="13" customWidth="1"/>
    <col min="2490" max="2490" width="18.88671875" style="13" customWidth="1"/>
    <col min="2491" max="2491" width="14.109375" style="13" customWidth="1"/>
    <col min="2492" max="2492" width="21.5546875" style="13" customWidth="1"/>
    <col min="2493" max="2494" width="14.109375" style="13" customWidth="1"/>
    <col min="2495" max="2495" width="15" style="13" customWidth="1"/>
    <col min="2496" max="2496" width="13.33203125" style="13" customWidth="1"/>
    <col min="2497" max="2497" width="17" style="13" customWidth="1"/>
    <col min="2498" max="2498" width="24.88671875" style="13" customWidth="1"/>
    <col min="2499" max="2499" width="14.44140625" style="13" customWidth="1"/>
    <col min="2500" max="2500" width="23.109375" style="13" customWidth="1"/>
    <col min="2501" max="2501" width="13.109375" style="13" customWidth="1"/>
    <col min="2502" max="2505" width="0" style="13" hidden="1" customWidth="1"/>
    <col min="2506" max="2741" width="10.33203125" style="13"/>
    <col min="2742" max="2742" width="7" style="13" customWidth="1"/>
    <col min="2743" max="2743" width="13" style="13" customWidth="1"/>
    <col min="2744" max="2744" width="14.109375" style="13" customWidth="1"/>
    <col min="2745" max="2745" width="17.33203125" style="13" customWidth="1"/>
    <col min="2746" max="2746" width="18.88671875" style="13" customWidth="1"/>
    <col min="2747" max="2747" width="14.109375" style="13" customWidth="1"/>
    <col min="2748" max="2748" width="21.5546875" style="13" customWidth="1"/>
    <col min="2749" max="2750" width="14.109375" style="13" customWidth="1"/>
    <col min="2751" max="2751" width="15" style="13" customWidth="1"/>
    <col min="2752" max="2752" width="13.33203125" style="13" customWidth="1"/>
    <col min="2753" max="2753" width="17" style="13" customWidth="1"/>
    <col min="2754" max="2754" width="24.88671875" style="13" customWidth="1"/>
    <col min="2755" max="2755" width="14.44140625" style="13" customWidth="1"/>
    <col min="2756" max="2756" width="23.109375" style="13" customWidth="1"/>
    <col min="2757" max="2757" width="13.109375" style="13" customWidth="1"/>
    <col min="2758" max="2761" width="0" style="13" hidden="1" customWidth="1"/>
    <col min="2762" max="2997" width="10.33203125" style="13"/>
    <col min="2998" max="2998" width="7" style="13" customWidth="1"/>
    <col min="2999" max="2999" width="13" style="13" customWidth="1"/>
    <col min="3000" max="3000" width="14.109375" style="13" customWidth="1"/>
    <col min="3001" max="3001" width="17.33203125" style="13" customWidth="1"/>
    <col min="3002" max="3002" width="18.88671875" style="13" customWidth="1"/>
    <col min="3003" max="3003" width="14.109375" style="13" customWidth="1"/>
    <col min="3004" max="3004" width="21.5546875" style="13" customWidth="1"/>
    <col min="3005" max="3006" width="14.109375" style="13" customWidth="1"/>
    <col min="3007" max="3007" width="15" style="13" customWidth="1"/>
    <col min="3008" max="3008" width="13.33203125" style="13" customWidth="1"/>
    <col min="3009" max="3009" width="17" style="13" customWidth="1"/>
    <col min="3010" max="3010" width="24.88671875" style="13" customWidth="1"/>
    <col min="3011" max="3011" width="14.44140625" style="13" customWidth="1"/>
    <col min="3012" max="3012" width="23.109375" style="13" customWidth="1"/>
    <col min="3013" max="3013" width="13.109375" style="13" customWidth="1"/>
    <col min="3014" max="3017" width="0" style="13" hidden="1" customWidth="1"/>
    <col min="3018" max="3253" width="10.33203125" style="13"/>
    <col min="3254" max="3254" width="7" style="13" customWidth="1"/>
    <col min="3255" max="3255" width="13" style="13" customWidth="1"/>
    <col min="3256" max="3256" width="14.109375" style="13" customWidth="1"/>
    <col min="3257" max="3257" width="17.33203125" style="13" customWidth="1"/>
    <col min="3258" max="3258" width="18.88671875" style="13" customWidth="1"/>
    <col min="3259" max="3259" width="14.109375" style="13" customWidth="1"/>
    <col min="3260" max="3260" width="21.5546875" style="13" customWidth="1"/>
    <col min="3261" max="3262" width="14.109375" style="13" customWidth="1"/>
    <col min="3263" max="3263" width="15" style="13" customWidth="1"/>
    <col min="3264" max="3264" width="13.33203125" style="13" customWidth="1"/>
    <col min="3265" max="3265" width="17" style="13" customWidth="1"/>
    <col min="3266" max="3266" width="24.88671875" style="13" customWidth="1"/>
    <col min="3267" max="3267" width="14.44140625" style="13" customWidth="1"/>
    <col min="3268" max="3268" width="23.109375" style="13" customWidth="1"/>
    <col min="3269" max="3269" width="13.109375" style="13" customWidth="1"/>
    <col min="3270" max="3273" width="0" style="13" hidden="1" customWidth="1"/>
    <col min="3274" max="3509" width="10.33203125" style="13"/>
    <col min="3510" max="3510" width="7" style="13" customWidth="1"/>
    <col min="3511" max="3511" width="13" style="13" customWidth="1"/>
    <col min="3512" max="3512" width="14.109375" style="13" customWidth="1"/>
    <col min="3513" max="3513" width="17.33203125" style="13" customWidth="1"/>
    <col min="3514" max="3514" width="18.88671875" style="13" customWidth="1"/>
    <col min="3515" max="3515" width="14.109375" style="13" customWidth="1"/>
    <col min="3516" max="3516" width="21.5546875" style="13" customWidth="1"/>
    <col min="3517" max="3518" width="14.109375" style="13" customWidth="1"/>
    <col min="3519" max="3519" width="15" style="13" customWidth="1"/>
    <col min="3520" max="3520" width="13.33203125" style="13" customWidth="1"/>
    <col min="3521" max="3521" width="17" style="13" customWidth="1"/>
    <col min="3522" max="3522" width="24.88671875" style="13" customWidth="1"/>
    <col min="3523" max="3523" width="14.44140625" style="13" customWidth="1"/>
    <col min="3524" max="3524" width="23.109375" style="13" customWidth="1"/>
    <col min="3525" max="3525" width="13.109375" style="13" customWidth="1"/>
    <col min="3526" max="3529" width="0" style="13" hidden="1" customWidth="1"/>
    <col min="3530" max="3765" width="10.33203125" style="13"/>
    <col min="3766" max="3766" width="7" style="13" customWidth="1"/>
    <col min="3767" max="3767" width="13" style="13" customWidth="1"/>
    <col min="3768" max="3768" width="14.109375" style="13" customWidth="1"/>
    <col min="3769" max="3769" width="17.33203125" style="13" customWidth="1"/>
    <col min="3770" max="3770" width="18.88671875" style="13" customWidth="1"/>
    <col min="3771" max="3771" width="14.109375" style="13" customWidth="1"/>
    <col min="3772" max="3772" width="21.5546875" style="13" customWidth="1"/>
    <col min="3773" max="3774" width="14.109375" style="13" customWidth="1"/>
    <col min="3775" max="3775" width="15" style="13" customWidth="1"/>
    <col min="3776" max="3776" width="13.33203125" style="13" customWidth="1"/>
    <col min="3777" max="3777" width="17" style="13" customWidth="1"/>
    <col min="3778" max="3778" width="24.88671875" style="13" customWidth="1"/>
    <col min="3779" max="3779" width="14.44140625" style="13" customWidth="1"/>
    <col min="3780" max="3780" width="23.109375" style="13" customWidth="1"/>
    <col min="3781" max="3781" width="13.109375" style="13" customWidth="1"/>
    <col min="3782" max="3785" width="0" style="13" hidden="1" customWidth="1"/>
    <col min="3786" max="4021" width="10.33203125" style="13"/>
    <col min="4022" max="4022" width="7" style="13" customWidth="1"/>
    <col min="4023" max="4023" width="13" style="13" customWidth="1"/>
    <col min="4024" max="4024" width="14.109375" style="13" customWidth="1"/>
    <col min="4025" max="4025" width="17.33203125" style="13" customWidth="1"/>
    <col min="4026" max="4026" width="18.88671875" style="13" customWidth="1"/>
    <col min="4027" max="4027" width="14.109375" style="13" customWidth="1"/>
    <col min="4028" max="4028" width="21.5546875" style="13" customWidth="1"/>
    <col min="4029" max="4030" width="14.109375" style="13" customWidth="1"/>
    <col min="4031" max="4031" width="15" style="13" customWidth="1"/>
    <col min="4032" max="4032" width="13.33203125" style="13" customWidth="1"/>
    <col min="4033" max="4033" width="17" style="13" customWidth="1"/>
    <col min="4034" max="4034" width="24.88671875" style="13" customWidth="1"/>
    <col min="4035" max="4035" width="14.44140625" style="13" customWidth="1"/>
    <col min="4036" max="4036" width="23.109375" style="13" customWidth="1"/>
    <col min="4037" max="4037" width="13.109375" style="13" customWidth="1"/>
    <col min="4038" max="4041" width="0" style="13" hidden="1" customWidth="1"/>
    <col min="4042" max="4277" width="10.33203125" style="13"/>
    <col min="4278" max="4278" width="7" style="13" customWidth="1"/>
    <col min="4279" max="4279" width="13" style="13" customWidth="1"/>
    <col min="4280" max="4280" width="14.109375" style="13" customWidth="1"/>
    <col min="4281" max="4281" width="17.33203125" style="13" customWidth="1"/>
    <col min="4282" max="4282" width="18.88671875" style="13" customWidth="1"/>
    <col min="4283" max="4283" width="14.109375" style="13" customWidth="1"/>
    <col min="4284" max="4284" width="21.5546875" style="13" customWidth="1"/>
    <col min="4285" max="4286" width="14.109375" style="13" customWidth="1"/>
    <col min="4287" max="4287" width="15" style="13" customWidth="1"/>
    <col min="4288" max="4288" width="13.33203125" style="13" customWidth="1"/>
    <col min="4289" max="4289" width="17" style="13" customWidth="1"/>
    <col min="4290" max="4290" width="24.88671875" style="13" customWidth="1"/>
    <col min="4291" max="4291" width="14.44140625" style="13" customWidth="1"/>
    <col min="4292" max="4292" width="23.109375" style="13" customWidth="1"/>
    <col min="4293" max="4293" width="13.109375" style="13" customWidth="1"/>
    <col min="4294" max="4297" width="0" style="13" hidden="1" customWidth="1"/>
    <col min="4298" max="4533" width="10.33203125" style="13"/>
    <col min="4534" max="4534" width="7" style="13" customWidth="1"/>
    <col min="4535" max="4535" width="13" style="13" customWidth="1"/>
    <col min="4536" max="4536" width="14.109375" style="13" customWidth="1"/>
    <col min="4537" max="4537" width="17.33203125" style="13" customWidth="1"/>
    <col min="4538" max="4538" width="18.88671875" style="13" customWidth="1"/>
    <col min="4539" max="4539" width="14.109375" style="13" customWidth="1"/>
    <col min="4540" max="4540" width="21.5546875" style="13" customWidth="1"/>
    <col min="4541" max="4542" width="14.109375" style="13" customWidth="1"/>
    <col min="4543" max="4543" width="15" style="13" customWidth="1"/>
    <col min="4544" max="4544" width="13.33203125" style="13" customWidth="1"/>
    <col min="4545" max="4545" width="17" style="13" customWidth="1"/>
    <col min="4546" max="4546" width="24.88671875" style="13" customWidth="1"/>
    <col min="4547" max="4547" width="14.44140625" style="13" customWidth="1"/>
    <col min="4548" max="4548" width="23.109375" style="13" customWidth="1"/>
    <col min="4549" max="4549" width="13.109375" style="13" customWidth="1"/>
    <col min="4550" max="4553" width="0" style="13" hidden="1" customWidth="1"/>
    <col min="4554" max="4789" width="10.33203125" style="13"/>
    <col min="4790" max="4790" width="7" style="13" customWidth="1"/>
    <col min="4791" max="4791" width="13" style="13" customWidth="1"/>
    <col min="4792" max="4792" width="14.109375" style="13" customWidth="1"/>
    <col min="4793" max="4793" width="17.33203125" style="13" customWidth="1"/>
    <col min="4794" max="4794" width="18.88671875" style="13" customWidth="1"/>
    <col min="4795" max="4795" width="14.109375" style="13" customWidth="1"/>
    <col min="4796" max="4796" width="21.5546875" style="13" customWidth="1"/>
    <col min="4797" max="4798" width="14.109375" style="13" customWidth="1"/>
    <col min="4799" max="4799" width="15" style="13" customWidth="1"/>
    <col min="4800" max="4800" width="13.33203125" style="13" customWidth="1"/>
    <col min="4801" max="4801" width="17" style="13" customWidth="1"/>
    <col min="4802" max="4802" width="24.88671875" style="13" customWidth="1"/>
    <col min="4803" max="4803" width="14.44140625" style="13" customWidth="1"/>
    <col min="4804" max="4804" width="23.109375" style="13" customWidth="1"/>
    <col min="4805" max="4805" width="13.109375" style="13" customWidth="1"/>
    <col min="4806" max="4809" width="0" style="13" hidden="1" customWidth="1"/>
    <col min="4810" max="5045" width="10.33203125" style="13"/>
    <col min="5046" max="5046" width="7" style="13" customWidth="1"/>
    <col min="5047" max="5047" width="13" style="13" customWidth="1"/>
    <col min="5048" max="5048" width="14.109375" style="13" customWidth="1"/>
    <col min="5049" max="5049" width="17.33203125" style="13" customWidth="1"/>
    <col min="5050" max="5050" width="18.88671875" style="13" customWidth="1"/>
    <col min="5051" max="5051" width="14.109375" style="13" customWidth="1"/>
    <col min="5052" max="5052" width="21.5546875" style="13" customWidth="1"/>
    <col min="5053" max="5054" width="14.109375" style="13" customWidth="1"/>
    <col min="5055" max="5055" width="15" style="13" customWidth="1"/>
    <col min="5056" max="5056" width="13.33203125" style="13" customWidth="1"/>
    <col min="5057" max="5057" width="17" style="13" customWidth="1"/>
    <col min="5058" max="5058" width="24.88671875" style="13" customWidth="1"/>
    <col min="5059" max="5059" width="14.44140625" style="13" customWidth="1"/>
    <col min="5060" max="5060" width="23.109375" style="13" customWidth="1"/>
    <col min="5061" max="5061" width="13.109375" style="13" customWidth="1"/>
    <col min="5062" max="5065" width="0" style="13" hidden="1" customWidth="1"/>
    <col min="5066" max="5301" width="10.33203125" style="13"/>
    <col min="5302" max="5302" width="7" style="13" customWidth="1"/>
    <col min="5303" max="5303" width="13" style="13" customWidth="1"/>
    <col min="5304" max="5304" width="14.109375" style="13" customWidth="1"/>
    <col min="5305" max="5305" width="17.33203125" style="13" customWidth="1"/>
    <col min="5306" max="5306" width="18.88671875" style="13" customWidth="1"/>
    <col min="5307" max="5307" width="14.109375" style="13" customWidth="1"/>
    <col min="5308" max="5308" width="21.5546875" style="13" customWidth="1"/>
    <col min="5309" max="5310" width="14.109375" style="13" customWidth="1"/>
    <col min="5311" max="5311" width="15" style="13" customWidth="1"/>
    <col min="5312" max="5312" width="13.33203125" style="13" customWidth="1"/>
    <col min="5313" max="5313" width="17" style="13" customWidth="1"/>
    <col min="5314" max="5314" width="24.88671875" style="13" customWidth="1"/>
    <col min="5315" max="5315" width="14.44140625" style="13" customWidth="1"/>
    <col min="5316" max="5316" width="23.109375" style="13" customWidth="1"/>
    <col min="5317" max="5317" width="13.109375" style="13" customWidth="1"/>
    <col min="5318" max="5321" width="0" style="13" hidden="1" customWidth="1"/>
    <col min="5322" max="5557" width="10.33203125" style="13"/>
    <col min="5558" max="5558" width="7" style="13" customWidth="1"/>
    <col min="5559" max="5559" width="13" style="13" customWidth="1"/>
    <col min="5560" max="5560" width="14.109375" style="13" customWidth="1"/>
    <col min="5561" max="5561" width="17.33203125" style="13" customWidth="1"/>
    <col min="5562" max="5562" width="18.88671875" style="13" customWidth="1"/>
    <col min="5563" max="5563" width="14.109375" style="13" customWidth="1"/>
    <col min="5564" max="5564" width="21.5546875" style="13" customWidth="1"/>
    <col min="5565" max="5566" width="14.109375" style="13" customWidth="1"/>
    <col min="5567" max="5567" width="15" style="13" customWidth="1"/>
    <col min="5568" max="5568" width="13.33203125" style="13" customWidth="1"/>
    <col min="5569" max="5569" width="17" style="13" customWidth="1"/>
    <col min="5570" max="5570" width="24.88671875" style="13" customWidth="1"/>
    <col min="5571" max="5571" width="14.44140625" style="13" customWidth="1"/>
    <col min="5572" max="5572" width="23.109375" style="13" customWidth="1"/>
    <col min="5573" max="5573" width="13.109375" style="13" customWidth="1"/>
    <col min="5574" max="5577" width="0" style="13" hidden="1" customWidth="1"/>
    <col min="5578" max="5813" width="10.33203125" style="13"/>
    <col min="5814" max="5814" width="7" style="13" customWidth="1"/>
    <col min="5815" max="5815" width="13" style="13" customWidth="1"/>
    <col min="5816" max="5816" width="14.109375" style="13" customWidth="1"/>
    <col min="5817" max="5817" width="17.33203125" style="13" customWidth="1"/>
    <col min="5818" max="5818" width="18.88671875" style="13" customWidth="1"/>
    <col min="5819" max="5819" width="14.109375" style="13" customWidth="1"/>
    <col min="5820" max="5820" width="21.5546875" style="13" customWidth="1"/>
    <col min="5821" max="5822" width="14.109375" style="13" customWidth="1"/>
    <col min="5823" max="5823" width="15" style="13" customWidth="1"/>
    <col min="5824" max="5824" width="13.33203125" style="13" customWidth="1"/>
    <col min="5825" max="5825" width="17" style="13" customWidth="1"/>
    <col min="5826" max="5826" width="24.88671875" style="13" customWidth="1"/>
    <col min="5827" max="5827" width="14.44140625" style="13" customWidth="1"/>
    <col min="5828" max="5828" width="23.109375" style="13" customWidth="1"/>
    <col min="5829" max="5829" width="13.109375" style="13" customWidth="1"/>
    <col min="5830" max="5833" width="0" style="13" hidden="1" customWidth="1"/>
    <col min="5834" max="6069" width="10.33203125" style="13"/>
    <col min="6070" max="6070" width="7" style="13" customWidth="1"/>
    <col min="6071" max="6071" width="13" style="13" customWidth="1"/>
    <col min="6072" max="6072" width="14.109375" style="13" customWidth="1"/>
    <col min="6073" max="6073" width="17.33203125" style="13" customWidth="1"/>
    <col min="6074" max="6074" width="18.88671875" style="13" customWidth="1"/>
    <col min="6075" max="6075" width="14.109375" style="13" customWidth="1"/>
    <col min="6076" max="6076" width="21.5546875" style="13" customWidth="1"/>
    <col min="6077" max="6078" width="14.109375" style="13" customWidth="1"/>
    <col min="6079" max="6079" width="15" style="13" customWidth="1"/>
    <col min="6080" max="6080" width="13.33203125" style="13" customWidth="1"/>
    <col min="6081" max="6081" width="17" style="13" customWidth="1"/>
    <col min="6082" max="6082" width="24.88671875" style="13" customWidth="1"/>
    <col min="6083" max="6083" width="14.44140625" style="13" customWidth="1"/>
    <col min="6084" max="6084" width="23.109375" style="13" customWidth="1"/>
    <col min="6085" max="6085" width="13.109375" style="13" customWidth="1"/>
    <col min="6086" max="6089" width="0" style="13" hidden="1" customWidth="1"/>
    <col min="6090" max="6325" width="10.33203125" style="13"/>
    <col min="6326" max="6326" width="7" style="13" customWidth="1"/>
    <col min="6327" max="6327" width="13" style="13" customWidth="1"/>
    <col min="6328" max="6328" width="14.109375" style="13" customWidth="1"/>
    <col min="6329" max="6329" width="17.33203125" style="13" customWidth="1"/>
    <col min="6330" max="6330" width="18.88671875" style="13" customWidth="1"/>
    <col min="6331" max="6331" width="14.109375" style="13" customWidth="1"/>
    <col min="6332" max="6332" width="21.5546875" style="13" customWidth="1"/>
    <col min="6333" max="6334" width="14.109375" style="13" customWidth="1"/>
    <col min="6335" max="6335" width="15" style="13" customWidth="1"/>
    <col min="6336" max="6336" width="13.33203125" style="13" customWidth="1"/>
    <col min="6337" max="6337" width="17" style="13" customWidth="1"/>
    <col min="6338" max="6338" width="24.88671875" style="13" customWidth="1"/>
    <col min="6339" max="6339" width="14.44140625" style="13" customWidth="1"/>
    <col min="6340" max="6340" width="23.109375" style="13" customWidth="1"/>
    <col min="6341" max="6341" width="13.109375" style="13" customWidth="1"/>
    <col min="6342" max="6345" width="0" style="13" hidden="1" customWidth="1"/>
    <col min="6346" max="6581" width="10.33203125" style="13"/>
    <col min="6582" max="6582" width="7" style="13" customWidth="1"/>
    <col min="6583" max="6583" width="13" style="13" customWidth="1"/>
    <col min="6584" max="6584" width="14.109375" style="13" customWidth="1"/>
    <col min="6585" max="6585" width="17.33203125" style="13" customWidth="1"/>
    <col min="6586" max="6586" width="18.88671875" style="13" customWidth="1"/>
    <col min="6587" max="6587" width="14.109375" style="13" customWidth="1"/>
    <col min="6588" max="6588" width="21.5546875" style="13" customWidth="1"/>
    <col min="6589" max="6590" width="14.109375" style="13" customWidth="1"/>
    <col min="6591" max="6591" width="15" style="13" customWidth="1"/>
    <col min="6592" max="6592" width="13.33203125" style="13" customWidth="1"/>
    <col min="6593" max="6593" width="17" style="13" customWidth="1"/>
    <col min="6594" max="6594" width="24.88671875" style="13" customWidth="1"/>
    <col min="6595" max="6595" width="14.44140625" style="13" customWidth="1"/>
    <col min="6596" max="6596" width="23.109375" style="13" customWidth="1"/>
    <col min="6597" max="6597" width="13.109375" style="13" customWidth="1"/>
    <col min="6598" max="6601" width="0" style="13" hidden="1" customWidth="1"/>
    <col min="6602" max="6837" width="10.33203125" style="13"/>
    <col min="6838" max="6838" width="7" style="13" customWidth="1"/>
    <col min="6839" max="6839" width="13" style="13" customWidth="1"/>
    <col min="6840" max="6840" width="14.109375" style="13" customWidth="1"/>
    <col min="6841" max="6841" width="17.33203125" style="13" customWidth="1"/>
    <col min="6842" max="6842" width="18.88671875" style="13" customWidth="1"/>
    <col min="6843" max="6843" width="14.109375" style="13" customWidth="1"/>
    <col min="6844" max="6844" width="21.5546875" style="13" customWidth="1"/>
    <col min="6845" max="6846" width="14.109375" style="13" customWidth="1"/>
    <col min="6847" max="6847" width="15" style="13" customWidth="1"/>
    <col min="6848" max="6848" width="13.33203125" style="13" customWidth="1"/>
    <col min="6849" max="6849" width="17" style="13" customWidth="1"/>
    <col min="6850" max="6850" width="24.88671875" style="13" customWidth="1"/>
    <col min="6851" max="6851" width="14.44140625" style="13" customWidth="1"/>
    <col min="6852" max="6852" width="23.109375" style="13" customWidth="1"/>
    <col min="6853" max="6853" width="13.109375" style="13" customWidth="1"/>
    <col min="6854" max="6857" width="0" style="13" hidden="1" customWidth="1"/>
    <col min="6858" max="7093" width="10.33203125" style="13"/>
    <col min="7094" max="7094" width="7" style="13" customWidth="1"/>
    <col min="7095" max="7095" width="13" style="13" customWidth="1"/>
    <col min="7096" max="7096" width="14.109375" style="13" customWidth="1"/>
    <col min="7097" max="7097" width="17.33203125" style="13" customWidth="1"/>
    <col min="7098" max="7098" width="18.88671875" style="13" customWidth="1"/>
    <col min="7099" max="7099" width="14.109375" style="13" customWidth="1"/>
    <col min="7100" max="7100" width="21.5546875" style="13" customWidth="1"/>
    <col min="7101" max="7102" width="14.109375" style="13" customWidth="1"/>
    <col min="7103" max="7103" width="15" style="13" customWidth="1"/>
    <col min="7104" max="7104" width="13.33203125" style="13" customWidth="1"/>
    <col min="7105" max="7105" width="17" style="13" customWidth="1"/>
    <col min="7106" max="7106" width="24.88671875" style="13" customWidth="1"/>
    <col min="7107" max="7107" width="14.44140625" style="13" customWidth="1"/>
    <col min="7108" max="7108" width="23.109375" style="13" customWidth="1"/>
    <col min="7109" max="7109" width="13.109375" style="13" customWidth="1"/>
    <col min="7110" max="7113" width="0" style="13" hidden="1" customWidth="1"/>
    <col min="7114" max="7349" width="10.33203125" style="13"/>
    <col min="7350" max="7350" width="7" style="13" customWidth="1"/>
    <col min="7351" max="7351" width="13" style="13" customWidth="1"/>
    <col min="7352" max="7352" width="14.109375" style="13" customWidth="1"/>
    <col min="7353" max="7353" width="17.33203125" style="13" customWidth="1"/>
    <col min="7354" max="7354" width="18.88671875" style="13" customWidth="1"/>
    <col min="7355" max="7355" width="14.109375" style="13" customWidth="1"/>
    <col min="7356" max="7356" width="21.5546875" style="13" customWidth="1"/>
    <col min="7357" max="7358" width="14.109375" style="13" customWidth="1"/>
    <col min="7359" max="7359" width="15" style="13" customWidth="1"/>
    <col min="7360" max="7360" width="13.33203125" style="13" customWidth="1"/>
    <col min="7361" max="7361" width="17" style="13" customWidth="1"/>
    <col min="7362" max="7362" width="24.88671875" style="13" customWidth="1"/>
    <col min="7363" max="7363" width="14.44140625" style="13" customWidth="1"/>
    <col min="7364" max="7364" width="23.109375" style="13" customWidth="1"/>
    <col min="7365" max="7365" width="13.109375" style="13" customWidth="1"/>
    <col min="7366" max="7369" width="0" style="13" hidden="1" customWidth="1"/>
    <col min="7370" max="7605" width="10.33203125" style="13"/>
    <col min="7606" max="7606" width="7" style="13" customWidth="1"/>
    <col min="7607" max="7607" width="13" style="13" customWidth="1"/>
    <col min="7608" max="7608" width="14.109375" style="13" customWidth="1"/>
    <col min="7609" max="7609" width="17.33203125" style="13" customWidth="1"/>
    <col min="7610" max="7610" width="18.88671875" style="13" customWidth="1"/>
    <col min="7611" max="7611" width="14.109375" style="13" customWidth="1"/>
    <col min="7612" max="7612" width="21.5546875" style="13" customWidth="1"/>
    <col min="7613" max="7614" width="14.109375" style="13" customWidth="1"/>
    <col min="7615" max="7615" width="15" style="13" customWidth="1"/>
    <col min="7616" max="7616" width="13.33203125" style="13" customWidth="1"/>
    <col min="7617" max="7617" width="17" style="13" customWidth="1"/>
    <col min="7618" max="7618" width="24.88671875" style="13" customWidth="1"/>
    <col min="7619" max="7619" width="14.44140625" style="13" customWidth="1"/>
    <col min="7620" max="7620" width="23.109375" style="13" customWidth="1"/>
    <col min="7621" max="7621" width="13.109375" style="13" customWidth="1"/>
    <col min="7622" max="7625" width="0" style="13" hidden="1" customWidth="1"/>
    <col min="7626" max="7861" width="10.33203125" style="13"/>
    <col min="7862" max="7862" width="7" style="13" customWidth="1"/>
    <col min="7863" max="7863" width="13" style="13" customWidth="1"/>
    <col min="7864" max="7864" width="14.109375" style="13" customWidth="1"/>
    <col min="7865" max="7865" width="17.33203125" style="13" customWidth="1"/>
    <col min="7866" max="7866" width="18.88671875" style="13" customWidth="1"/>
    <col min="7867" max="7867" width="14.109375" style="13" customWidth="1"/>
    <col min="7868" max="7868" width="21.5546875" style="13" customWidth="1"/>
    <col min="7869" max="7870" width="14.109375" style="13" customWidth="1"/>
    <col min="7871" max="7871" width="15" style="13" customWidth="1"/>
    <col min="7872" max="7872" width="13.33203125" style="13" customWidth="1"/>
    <col min="7873" max="7873" width="17" style="13" customWidth="1"/>
    <col min="7874" max="7874" width="24.88671875" style="13" customWidth="1"/>
    <col min="7875" max="7875" width="14.44140625" style="13" customWidth="1"/>
    <col min="7876" max="7876" width="23.109375" style="13" customWidth="1"/>
    <col min="7877" max="7877" width="13.109375" style="13" customWidth="1"/>
    <col min="7878" max="7881" width="0" style="13" hidden="1" customWidth="1"/>
    <col min="7882" max="8117" width="10.33203125" style="13"/>
    <col min="8118" max="8118" width="7" style="13" customWidth="1"/>
    <col min="8119" max="8119" width="13" style="13" customWidth="1"/>
    <col min="8120" max="8120" width="14.109375" style="13" customWidth="1"/>
    <col min="8121" max="8121" width="17.33203125" style="13" customWidth="1"/>
    <col min="8122" max="8122" width="18.88671875" style="13" customWidth="1"/>
    <col min="8123" max="8123" width="14.109375" style="13" customWidth="1"/>
    <col min="8124" max="8124" width="21.5546875" style="13" customWidth="1"/>
    <col min="8125" max="8126" width="14.109375" style="13" customWidth="1"/>
    <col min="8127" max="8127" width="15" style="13" customWidth="1"/>
    <col min="8128" max="8128" width="13.33203125" style="13" customWidth="1"/>
    <col min="8129" max="8129" width="17" style="13" customWidth="1"/>
    <col min="8130" max="8130" width="24.88671875" style="13" customWidth="1"/>
    <col min="8131" max="8131" width="14.44140625" style="13" customWidth="1"/>
    <col min="8132" max="8132" width="23.109375" style="13" customWidth="1"/>
    <col min="8133" max="8133" width="13.109375" style="13" customWidth="1"/>
    <col min="8134" max="8137" width="0" style="13" hidden="1" customWidth="1"/>
    <col min="8138" max="8373" width="10.33203125" style="13"/>
    <col min="8374" max="8374" width="7" style="13" customWidth="1"/>
    <col min="8375" max="8375" width="13" style="13" customWidth="1"/>
    <col min="8376" max="8376" width="14.109375" style="13" customWidth="1"/>
    <col min="8377" max="8377" width="17.33203125" style="13" customWidth="1"/>
    <col min="8378" max="8378" width="18.88671875" style="13" customWidth="1"/>
    <col min="8379" max="8379" width="14.109375" style="13" customWidth="1"/>
    <col min="8380" max="8380" width="21.5546875" style="13" customWidth="1"/>
    <col min="8381" max="8382" width="14.109375" style="13" customWidth="1"/>
    <col min="8383" max="8383" width="15" style="13" customWidth="1"/>
    <col min="8384" max="8384" width="13.33203125" style="13" customWidth="1"/>
    <col min="8385" max="8385" width="17" style="13" customWidth="1"/>
    <col min="8386" max="8386" width="24.88671875" style="13" customWidth="1"/>
    <col min="8387" max="8387" width="14.44140625" style="13" customWidth="1"/>
    <col min="8388" max="8388" width="23.109375" style="13" customWidth="1"/>
    <col min="8389" max="8389" width="13.109375" style="13" customWidth="1"/>
    <col min="8390" max="8393" width="0" style="13" hidden="1" customWidth="1"/>
    <col min="8394" max="8629" width="10.33203125" style="13"/>
    <col min="8630" max="8630" width="7" style="13" customWidth="1"/>
    <col min="8631" max="8631" width="13" style="13" customWidth="1"/>
    <col min="8632" max="8632" width="14.109375" style="13" customWidth="1"/>
    <col min="8633" max="8633" width="17.33203125" style="13" customWidth="1"/>
    <col min="8634" max="8634" width="18.88671875" style="13" customWidth="1"/>
    <col min="8635" max="8635" width="14.109375" style="13" customWidth="1"/>
    <col min="8636" max="8636" width="21.5546875" style="13" customWidth="1"/>
    <col min="8637" max="8638" width="14.109375" style="13" customWidth="1"/>
    <col min="8639" max="8639" width="15" style="13" customWidth="1"/>
    <col min="8640" max="8640" width="13.33203125" style="13" customWidth="1"/>
    <col min="8641" max="8641" width="17" style="13" customWidth="1"/>
    <col min="8642" max="8642" width="24.88671875" style="13" customWidth="1"/>
    <col min="8643" max="8643" width="14.44140625" style="13" customWidth="1"/>
    <col min="8644" max="8644" width="23.109375" style="13" customWidth="1"/>
    <col min="8645" max="8645" width="13.109375" style="13" customWidth="1"/>
    <col min="8646" max="8649" width="0" style="13" hidden="1" customWidth="1"/>
    <col min="8650" max="8885" width="10.33203125" style="13"/>
    <col min="8886" max="8886" width="7" style="13" customWidth="1"/>
    <col min="8887" max="8887" width="13" style="13" customWidth="1"/>
    <col min="8888" max="8888" width="14.109375" style="13" customWidth="1"/>
    <col min="8889" max="8889" width="17.33203125" style="13" customWidth="1"/>
    <col min="8890" max="8890" width="18.88671875" style="13" customWidth="1"/>
    <col min="8891" max="8891" width="14.109375" style="13" customWidth="1"/>
    <col min="8892" max="8892" width="21.5546875" style="13" customWidth="1"/>
    <col min="8893" max="8894" width="14.109375" style="13" customWidth="1"/>
    <col min="8895" max="8895" width="15" style="13" customWidth="1"/>
    <col min="8896" max="8896" width="13.33203125" style="13" customWidth="1"/>
    <col min="8897" max="8897" width="17" style="13" customWidth="1"/>
    <col min="8898" max="8898" width="24.88671875" style="13" customWidth="1"/>
    <col min="8899" max="8899" width="14.44140625" style="13" customWidth="1"/>
    <col min="8900" max="8900" width="23.109375" style="13" customWidth="1"/>
    <col min="8901" max="8901" width="13.109375" style="13" customWidth="1"/>
    <col min="8902" max="8905" width="0" style="13" hidden="1" customWidth="1"/>
    <col min="8906" max="9141" width="10.33203125" style="13"/>
    <col min="9142" max="9142" width="7" style="13" customWidth="1"/>
    <col min="9143" max="9143" width="13" style="13" customWidth="1"/>
    <col min="9144" max="9144" width="14.109375" style="13" customWidth="1"/>
    <col min="9145" max="9145" width="17.33203125" style="13" customWidth="1"/>
    <col min="9146" max="9146" width="18.88671875" style="13" customWidth="1"/>
    <col min="9147" max="9147" width="14.109375" style="13" customWidth="1"/>
    <col min="9148" max="9148" width="21.5546875" style="13" customWidth="1"/>
    <col min="9149" max="9150" width="14.109375" style="13" customWidth="1"/>
    <col min="9151" max="9151" width="15" style="13" customWidth="1"/>
    <col min="9152" max="9152" width="13.33203125" style="13" customWidth="1"/>
    <col min="9153" max="9153" width="17" style="13" customWidth="1"/>
    <col min="9154" max="9154" width="24.88671875" style="13" customWidth="1"/>
    <col min="9155" max="9155" width="14.44140625" style="13" customWidth="1"/>
    <col min="9156" max="9156" width="23.109375" style="13" customWidth="1"/>
    <col min="9157" max="9157" width="13.109375" style="13" customWidth="1"/>
    <col min="9158" max="9161" width="0" style="13" hidden="1" customWidth="1"/>
    <col min="9162" max="9397" width="10.33203125" style="13"/>
    <col min="9398" max="9398" width="7" style="13" customWidth="1"/>
    <col min="9399" max="9399" width="13" style="13" customWidth="1"/>
    <col min="9400" max="9400" width="14.109375" style="13" customWidth="1"/>
    <col min="9401" max="9401" width="17.33203125" style="13" customWidth="1"/>
    <col min="9402" max="9402" width="18.88671875" style="13" customWidth="1"/>
    <col min="9403" max="9403" width="14.109375" style="13" customWidth="1"/>
    <col min="9404" max="9404" width="21.5546875" style="13" customWidth="1"/>
    <col min="9405" max="9406" width="14.109375" style="13" customWidth="1"/>
    <col min="9407" max="9407" width="15" style="13" customWidth="1"/>
    <col min="9408" max="9408" width="13.33203125" style="13" customWidth="1"/>
    <col min="9409" max="9409" width="17" style="13" customWidth="1"/>
    <col min="9410" max="9410" width="24.88671875" style="13" customWidth="1"/>
    <col min="9411" max="9411" width="14.44140625" style="13" customWidth="1"/>
    <col min="9412" max="9412" width="23.109375" style="13" customWidth="1"/>
    <col min="9413" max="9413" width="13.109375" style="13" customWidth="1"/>
    <col min="9414" max="9417" width="0" style="13" hidden="1" customWidth="1"/>
    <col min="9418" max="9653" width="10.33203125" style="13"/>
    <col min="9654" max="9654" width="7" style="13" customWidth="1"/>
    <col min="9655" max="9655" width="13" style="13" customWidth="1"/>
    <col min="9656" max="9656" width="14.109375" style="13" customWidth="1"/>
    <col min="9657" max="9657" width="17.33203125" style="13" customWidth="1"/>
    <col min="9658" max="9658" width="18.88671875" style="13" customWidth="1"/>
    <col min="9659" max="9659" width="14.109375" style="13" customWidth="1"/>
    <col min="9660" max="9660" width="21.5546875" style="13" customWidth="1"/>
    <col min="9661" max="9662" width="14.109375" style="13" customWidth="1"/>
    <col min="9663" max="9663" width="15" style="13" customWidth="1"/>
    <col min="9664" max="9664" width="13.33203125" style="13" customWidth="1"/>
    <col min="9665" max="9665" width="17" style="13" customWidth="1"/>
    <col min="9666" max="9666" width="24.88671875" style="13" customWidth="1"/>
    <col min="9667" max="9667" width="14.44140625" style="13" customWidth="1"/>
    <col min="9668" max="9668" width="23.109375" style="13" customWidth="1"/>
    <col min="9669" max="9669" width="13.109375" style="13" customWidth="1"/>
    <col min="9670" max="9673" width="0" style="13" hidden="1" customWidth="1"/>
    <col min="9674" max="9909" width="10.33203125" style="13"/>
    <col min="9910" max="9910" width="7" style="13" customWidth="1"/>
    <col min="9911" max="9911" width="13" style="13" customWidth="1"/>
    <col min="9912" max="9912" width="14.109375" style="13" customWidth="1"/>
    <col min="9913" max="9913" width="17.33203125" style="13" customWidth="1"/>
    <col min="9914" max="9914" width="18.88671875" style="13" customWidth="1"/>
    <col min="9915" max="9915" width="14.109375" style="13" customWidth="1"/>
    <col min="9916" max="9916" width="21.5546875" style="13" customWidth="1"/>
    <col min="9917" max="9918" width="14.109375" style="13" customWidth="1"/>
    <col min="9919" max="9919" width="15" style="13" customWidth="1"/>
    <col min="9920" max="9920" width="13.33203125" style="13" customWidth="1"/>
    <col min="9921" max="9921" width="17" style="13" customWidth="1"/>
    <col min="9922" max="9922" width="24.88671875" style="13" customWidth="1"/>
    <col min="9923" max="9923" width="14.44140625" style="13" customWidth="1"/>
    <col min="9924" max="9924" width="23.109375" style="13" customWidth="1"/>
    <col min="9925" max="9925" width="13.109375" style="13" customWidth="1"/>
    <col min="9926" max="9929" width="0" style="13" hidden="1" customWidth="1"/>
    <col min="9930" max="10165" width="10.33203125" style="13"/>
    <col min="10166" max="10166" width="7" style="13" customWidth="1"/>
    <col min="10167" max="10167" width="13" style="13" customWidth="1"/>
    <col min="10168" max="10168" width="14.109375" style="13" customWidth="1"/>
    <col min="10169" max="10169" width="17.33203125" style="13" customWidth="1"/>
    <col min="10170" max="10170" width="18.88671875" style="13" customWidth="1"/>
    <col min="10171" max="10171" width="14.109375" style="13" customWidth="1"/>
    <col min="10172" max="10172" width="21.5546875" style="13" customWidth="1"/>
    <col min="10173" max="10174" width="14.109375" style="13" customWidth="1"/>
    <col min="10175" max="10175" width="15" style="13" customWidth="1"/>
    <col min="10176" max="10176" width="13.33203125" style="13" customWidth="1"/>
    <col min="10177" max="10177" width="17" style="13" customWidth="1"/>
    <col min="10178" max="10178" width="24.88671875" style="13" customWidth="1"/>
    <col min="10179" max="10179" width="14.44140625" style="13" customWidth="1"/>
    <col min="10180" max="10180" width="23.109375" style="13" customWidth="1"/>
    <col min="10181" max="10181" width="13.109375" style="13" customWidth="1"/>
    <col min="10182" max="10185" width="0" style="13" hidden="1" customWidth="1"/>
    <col min="10186" max="10421" width="10.33203125" style="13"/>
    <col min="10422" max="10422" width="7" style="13" customWidth="1"/>
    <col min="10423" max="10423" width="13" style="13" customWidth="1"/>
    <col min="10424" max="10424" width="14.109375" style="13" customWidth="1"/>
    <col min="10425" max="10425" width="17.33203125" style="13" customWidth="1"/>
    <col min="10426" max="10426" width="18.88671875" style="13" customWidth="1"/>
    <col min="10427" max="10427" width="14.109375" style="13" customWidth="1"/>
    <col min="10428" max="10428" width="21.5546875" style="13" customWidth="1"/>
    <col min="10429" max="10430" width="14.109375" style="13" customWidth="1"/>
    <col min="10431" max="10431" width="15" style="13" customWidth="1"/>
    <col min="10432" max="10432" width="13.33203125" style="13" customWidth="1"/>
    <col min="10433" max="10433" width="17" style="13" customWidth="1"/>
    <col min="10434" max="10434" width="24.88671875" style="13" customWidth="1"/>
    <col min="10435" max="10435" width="14.44140625" style="13" customWidth="1"/>
    <col min="10436" max="10436" width="23.109375" style="13" customWidth="1"/>
    <col min="10437" max="10437" width="13.109375" style="13" customWidth="1"/>
    <col min="10438" max="10441" width="0" style="13" hidden="1" customWidth="1"/>
    <col min="10442" max="10677" width="10.33203125" style="13"/>
    <col min="10678" max="10678" width="7" style="13" customWidth="1"/>
    <col min="10679" max="10679" width="13" style="13" customWidth="1"/>
    <col min="10680" max="10680" width="14.109375" style="13" customWidth="1"/>
    <col min="10681" max="10681" width="17.33203125" style="13" customWidth="1"/>
    <col min="10682" max="10682" width="18.88671875" style="13" customWidth="1"/>
    <col min="10683" max="10683" width="14.109375" style="13" customWidth="1"/>
    <col min="10684" max="10684" width="21.5546875" style="13" customWidth="1"/>
    <col min="10685" max="10686" width="14.109375" style="13" customWidth="1"/>
    <col min="10687" max="10687" width="15" style="13" customWidth="1"/>
    <col min="10688" max="10688" width="13.33203125" style="13" customWidth="1"/>
    <col min="10689" max="10689" width="17" style="13" customWidth="1"/>
    <col min="10690" max="10690" width="24.88671875" style="13" customWidth="1"/>
    <col min="10691" max="10691" width="14.44140625" style="13" customWidth="1"/>
    <col min="10692" max="10692" width="23.109375" style="13" customWidth="1"/>
    <col min="10693" max="10693" width="13.109375" style="13" customWidth="1"/>
    <col min="10694" max="10697" width="0" style="13" hidden="1" customWidth="1"/>
    <col min="10698" max="10933" width="10.33203125" style="13"/>
    <col min="10934" max="10934" width="7" style="13" customWidth="1"/>
    <col min="10935" max="10935" width="13" style="13" customWidth="1"/>
    <col min="10936" max="10936" width="14.109375" style="13" customWidth="1"/>
    <col min="10937" max="10937" width="17.33203125" style="13" customWidth="1"/>
    <col min="10938" max="10938" width="18.88671875" style="13" customWidth="1"/>
    <col min="10939" max="10939" width="14.109375" style="13" customWidth="1"/>
    <col min="10940" max="10940" width="21.5546875" style="13" customWidth="1"/>
    <col min="10941" max="10942" width="14.109375" style="13" customWidth="1"/>
    <col min="10943" max="10943" width="15" style="13" customWidth="1"/>
    <col min="10944" max="10944" width="13.33203125" style="13" customWidth="1"/>
    <col min="10945" max="10945" width="17" style="13" customWidth="1"/>
    <col min="10946" max="10946" width="24.88671875" style="13" customWidth="1"/>
    <col min="10947" max="10947" width="14.44140625" style="13" customWidth="1"/>
    <col min="10948" max="10948" width="23.109375" style="13" customWidth="1"/>
    <col min="10949" max="10949" width="13.109375" style="13" customWidth="1"/>
    <col min="10950" max="10953" width="0" style="13" hidden="1" customWidth="1"/>
    <col min="10954" max="11189" width="10.33203125" style="13"/>
    <col min="11190" max="11190" width="7" style="13" customWidth="1"/>
    <col min="11191" max="11191" width="13" style="13" customWidth="1"/>
    <col min="11192" max="11192" width="14.109375" style="13" customWidth="1"/>
    <col min="11193" max="11193" width="17.33203125" style="13" customWidth="1"/>
    <col min="11194" max="11194" width="18.88671875" style="13" customWidth="1"/>
    <col min="11195" max="11195" width="14.109375" style="13" customWidth="1"/>
    <col min="11196" max="11196" width="21.5546875" style="13" customWidth="1"/>
    <col min="11197" max="11198" width="14.109375" style="13" customWidth="1"/>
    <col min="11199" max="11199" width="15" style="13" customWidth="1"/>
    <col min="11200" max="11200" width="13.33203125" style="13" customWidth="1"/>
    <col min="11201" max="11201" width="17" style="13" customWidth="1"/>
    <col min="11202" max="11202" width="24.88671875" style="13" customWidth="1"/>
    <col min="11203" max="11203" width="14.44140625" style="13" customWidth="1"/>
    <col min="11204" max="11204" width="23.109375" style="13" customWidth="1"/>
    <col min="11205" max="11205" width="13.109375" style="13" customWidth="1"/>
    <col min="11206" max="11209" width="0" style="13" hidden="1" customWidth="1"/>
    <col min="11210" max="11445" width="10.33203125" style="13"/>
    <col min="11446" max="11446" width="7" style="13" customWidth="1"/>
    <col min="11447" max="11447" width="13" style="13" customWidth="1"/>
    <col min="11448" max="11448" width="14.109375" style="13" customWidth="1"/>
    <col min="11449" max="11449" width="17.33203125" style="13" customWidth="1"/>
    <col min="11450" max="11450" width="18.88671875" style="13" customWidth="1"/>
    <col min="11451" max="11451" width="14.109375" style="13" customWidth="1"/>
    <col min="11452" max="11452" width="21.5546875" style="13" customWidth="1"/>
    <col min="11453" max="11454" width="14.109375" style="13" customWidth="1"/>
    <col min="11455" max="11455" width="15" style="13" customWidth="1"/>
    <col min="11456" max="11456" width="13.33203125" style="13" customWidth="1"/>
    <col min="11457" max="11457" width="17" style="13" customWidth="1"/>
    <col min="11458" max="11458" width="24.88671875" style="13" customWidth="1"/>
    <col min="11459" max="11459" width="14.44140625" style="13" customWidth="1"/>
    <col min="11460" max="11460" width="23.109375" style="13" customWidth="1"/>
    <col min="11461" max="11461" width="13.109375" style="13" customWidth="1"/>
    <col min="11462" max="11465" width="0" style="13" hidden="1" customWidth="1"/>
    <col min="11466" max="11701" width="10.33203125" style="13"/>
    <col min="11702" max="11702" width="7" style="13" customWidth="1"/>
    <col min="11703" max="11703" width="13" style="13" customWidth="1"/>
    <col min="11704" max="11704" width="14.109375" style="13" customWidth="1"/>
    <col min="11705" max="11705" width="17.33203125" style="13" customWidth="1"/>
    <col min="11706" max="11706" width="18.88671875" style="13" customWidth="1"/>
    <col min="11707" max="11707" width="14.109375" style="13" customWidth="1"/>
    <col min="11708" max="11708" width="21.5546875" style="13" customWidth="1"/>
    <col min="11709" max="11710" width="14.109375" style="13" customWidth="1"/>
    <col min="11711" max="11711" width="15" style="13" customWidth="1"/>
    <col min="11712" max="11712" width="13.33203125" style="13" customWidth="1"/>
    <col min="11713" max="11713" width="17" style="13" customWidth="1"/>
    <col min="11714" max="11714" width="24.88671875" style="13" customWidth="1"/>
    <col min="11715" max="11715" width="14.44140625" style="13" customWidth="1"/>
    <col min="11716" max="11716" width="23.109375" style="13" customWidth="1"/>
    <col min="11717" max="11717" width="13.109375" style="13" customWidth="1"/>
    <col min="11718" max="11721" width="0" style="13" hidden="1" customWidth="1"/>
    <col min="11722" max="11957" width="10.33203125" style="13"/>
    <col min="11958" max="11958" width="7" style="13" customWidth="1"/>
    <col min="11959" max="11959" width="13" style="13" customWidth="1"/>
    <col min="11960" max="11960" width="14.109375" style="13" customWidth="1"/>
    <col min="11961" max="11961" width="17.33203125" style="13" customWidth="1"/>
    <col min="11962" max="11962" width="18.88671875" style="13" customWidth="1"/>
    <col min="11963" max="11963" width="14.109375" style="13" customWidth="1"/>
    <col min="11964" max="11964" width="21.5546875" style="13" customWidth="1"/>
    <col min="11965" max="11966" width="14.109375" style="13" customWidth="1"/>
    <col min="11967" max="11967" width="15" style="13" customWidth="1"/>
    <col min="11968" max="11968" width="13.33203125" style="13" customWidth="1"/>
    <col min="11969" max="11969" width="17" style="13" customWidth="1"/>
    <col min="11970" max="11970" width="24.88671875" style="13" customWidth="1"/>
    <col min="11971" max="11971" width="14.44140625" style="13" customWidth="1"/>
    <col min="11972" max="11972" width="23.109375" style="13" customWidth="1"/>
    <col min="11973" max="11973" width="13.109375" style="13" customWidth="1"/>
    <col min="11974" max="11977" width="0" style="13" hidden="1" customWidth="1"/>
    <col min="11978" max="12213" width="10.33203125" style="13"/>
    <col min="12214" max="12214" width="7" style="13" customWidth="1"/>
    <col min="12215" max="12215" width="13" style="13" customWidth="1"/>
    <col min="12216" max="12216" width="14.109375" style="13" customWidth="1"/>
    <col min="12217" max="12217" width="17.33203125" style="13" customWidth="1"/>
    <col min="12218" max="12218" width="18.88671875" style="13" customWidth="1"/>
    <col min="12219" max="12219" width="14.109375" style="13" customWidth="1"/>
    <col min="12220" max="12220" width="21.5546875" style="13" customWidth="1"/>
    <col min="12221" max="12222" width="14.109375" style="13" customWidth="1"/>
    <col min="12223" max="12223" width="15" style="13" customWidth="1"/>
    <col min="12224" max="12224" width="13.33203125" style="13" customWidth="1"/>
    <col min="12225" max="12225" width="17" style="13" customWidth="1"/>
    <col min="12226" max="12226" width="24.88671875" style="13" customWidth="1"/>
    <col min="12227" max="12227" width="14.44140625" style="13" customWidth="1"/>
    <col min="12228" max="12228" width="23.109375" style="13" customWidth="1"/>
    <col min="12229" max="12229" width="13.109375" style="13" customWidth="1"/>
    <col min="12230" max="12233" width="0" style="13" hidden="1" customWidth="1"/>
    <col min="12234" max="12469" width="10.33203125" style="13"/>
    <col min="12470" max="12470" width="7" style="13" customWidth="1"/>
    <col min="12471" max="12471" width="13" style="13" customWidth="1"/>
    <col min="12472" max="12472" width="14.109375" style="13" customWidth="1"/>
    <col min="12473" max="12473" width="17.33203125" style="13" customWidth="1"/>
    <col min="12474" max="12474" width="18.88671875" style="13" customWidth="1"/>
    <col min="12475" max="12475" width="14.109375" style="13" customWidth="1"/>
    <col min="12476" max="12476" width="21.5546875" style="13" customWidth="1"/>
    <col min="12477" max="12478" width="14.109375" style="13" customWidth="1"/>
    <col min="12479" max="12479" width="15" style="13" customWidth="1"/>
    <col min="12480" max="12480" width="13.33203125" style="13" customWidth="1"/>
    <col min="12481" max="12481" width="17" style="13" customWidth="1"/>
    <col min="12482" max="12482" width="24.88671875" style="13" customWidth="1"/>
    <col min="12483" max="12483" width="14.44140625" style="13" customWidth="1"/>
    <col min="12484" max="12484" width="23.109375" style="13" customWidth="1"/>
    <col min="12485" max="12485" width="13.109375" style="13" customWidth="1"/>
    <col min="12486" max="12489" width="0" style="13" hidden="1" customWidth="1"/>
    <col min="12490" max="12725" width="10.33203125" style="13"/>
    <col min="12726" max="12726" width="7" style="13" customWidth="1"/>
    <col min="12727" max="12727" width="13" style="13" customWidth="1"/>
    <col min="12728" max="12728" width="14.109375" style="13" customWidth="1"/>
    <col min="12729" max="12729" width="17.33203125" style="13" customWidth="1"/>
    <col min="12730" max="12730" width="18.88671875" style="13" customWidth="1"/>
    <col min="12731" max="12731" width="14.109375" style="13" customWidth="1"/>
    <col min="12732" max="12732" width="21.5546875" style="13" customWidth="1"/>
    <col min="12733" max="12734" width="14.109375" style="13" customWidth="1"/>
    <col min="12735" max="12735" width="15" style="13" customWidth="1"/>
    <col min="12736" max="12736" width="13.33203125" style="13" customWidth="1"/>
    <col min="12737" max="12737" width="17" style="13" customWidth="1"/>
    <col min="12738" max="12738" width="24.88671875" style="13" customWidth="1"/>
    <col min="12739" max="12739" width="14.44140625" style="13" customWidth="1"/>
    <col min="12740" max="12740" width="23.109375" style="13" customWidth="1"/>
    <col min="12741" max="12741" width="13.109375" style="13" customWidth="1"/>
    <col min="12742" max="12745" width="0" style="13" hidden="1" customWidth="1"/>
    <col min="12746" max="12981" width="10.33203125" style="13"/>
    <col min="12982" max="12982" width="7" style="13" customWidth="1"/>
    <col min="12983" max="12983" width="13" style="13" customWidth="1"/>
    <col min="12984" max="12984" width="14.109375" style="13" customWidth="1"/>
    <col min="12985" max="12985" width="17.33203125" style="13" customWidth="1"/>
    <col min="12986" max="12986" width="18.88671875" style="13" customWidth="1"/>
    <col min="12987" max="12987" width="14.109375" style="13" customWidth="1"/>
    <col min="12988" max="12988" width="21.5546875" style="13" customWidth="1"/>
    <col min="12989" max="12990" width="14.109375" style="13" customWidth="1"/>
    <col min="12991" max="12991" width="15" style="13" customWidth="1"/>
    <col min="12992" max="12992" width="13.33203125" style="13" customWidth="1"/>
    <col min="12993" max="12993" width="17" style="13" customWidth="1"/>
    <col min="12994" max="12994" width="24.88671875" style="13" customWidth="1"/>
    <col min="12995" max="12995" width="14.44140625" style="13" customWidth="1"/>
    <col min="12996" max="12996" width="23.109375" style="13" customWidth="1"/>
    <col min="12997" max="12997" width="13.109375" style="13" customWidth="1"/>
    <col min="12998" max="13001" width="0" style="13" hidden="1" customWidth="1"/>
    <col min="13002" max="13237" width="10.33203125" style="13"/>
    <col min="13238" max="13238" width="7" style="13" customWidth="1"/>
    <col min="13239" max="13239" width="13" style="13" customWidth="1"/>
    <col min="13240" max="13240" width="14.109375" style="13" customWidth="1"/>
    <col min="13241" max="13241" width="17.33203125" style="13" customWidth="1"/>
    <col min="13242" max="13242" width="18.88671875" style="13" customWidth="1"/>
    <col min="13243" max="13243" width="14.109375" style="13" customWidth="1"/>
    <col min="13244" max="13244" width="21.5546875" style="13" customWidth="1"/>
    <col min="13245" max="13246" width="14.109375" style="13" customWidth="1"/>
    <col min="13247" max="13247" width="15" style="13" customWidth="1"/>
    <col min="13248" max="13248" width="13.33203125" style="13" customWidth="1"/>
    <col min="13249" max="13249" width="17" style="13" customWidth="1"/>
    <col min="13250" max="13250" width="24.88671875" style="13" customWidth="1"/>
    <col min="13251" max="13251" width="14.44140625" style="13" customWidth="1"/>
    <col min="13252" max="13252" width="23.109375" style="13" customWidth="1"/>
    <col min="13253" max="13253" width="13.109375" style="13" customWidth="1"/>
    <col min="13254" max="13257" width="0" style="13" hidden="1" customWidth="1"/>
    <col min="13258" max="13493" width="10.33203125" style="13"/>
    <col min="13494" max="13494" width="7" style="13" customWidth="1"/>
    <col min="13495" max="13495" width="13" style="13" customWidth="1"/>
    <col min="13496" max="13496" width="14.109375" style="13" customWidth="1"/>
    <col min="13497" max="13497" width="17.33203125" style="13" customWidth="1"/>
    <col min="13498" max="13498" width="18.88671875" style="13" customWidth="1"/>
    <col min="13499" max="13499" width="14.109375" style="13" customWidth="1"/>
    <col min="13500" max="13500" width="21.5546875" style="13" customWidth="1"/>
    <col min="13501" max="13502" width="14.109375" style="13" customWidth="1"/>
    <col min="13503" max="13503" width="15" style="13" customWidth="1"/>
    <col min="13504" max="13504" width="13.33203125" style="13" customWidth="1"/>
    <col min="13505" max="13505" width="17" style="13" customWidth="1"/>
    <col min="13506" max="13506" width="24.88671875" style="13" customWidth="1"/>
    <col min="13507" max="13507" width="14.44140625" style="13" customWidth="1"/>
    <col min="13508" max="13508" width="23.109375" style="13" customWidth="1"/>
    <col min="13509" max="13509" width="13.109375" style="13" customWidth="1"/>
    <col min="13510" max="13513" width="0" style="13" hidden="1" customWidth="1"/>
    <col min="13514" max="13749" width="10.33203125" style="13"/>
    <col min="13750" max="13750" width="7" style="13" customWidth="1"/>
    <col min="13751" max="13751" width="13" style="13" customWidth="1"/>
    <col min="13752" max="13752" width="14.109375" style="13" customWidth="1"/>
    <col min="13753" max="13753" width="17.33203125" style="13" customWidth="1"/>
    <col min="13754" max="13754" width="18.88671875" style="13" customWidth="1"/>
    <col min="13755" max="13755" width="14.109375" style="13" customWidth="1"/>
    <col min="13756" max="13756" width="21.5546875" style="13" customWidth="1"/>
    <col min="13757" max="13758" width="14.109375" style="13" customWidth="1"/>
    <col min="13759" max="13759" width="15" style="13" customWidth="1"/>
    <col min="13760" max="13760" width="13.33203125" style="13" customWidth="1"/>
    <col min="13761" max="13761" width="17" style="13" customWidth="1"/>
    <col min="13762" max="13762" width="24.88671875" style="13" customWidth="1"/>
    <col min="13763" max="13763" width="14.44140625" style="13" customWidth="1"/>
    <col min="13764" max="13764" width="23.109375" style="13" customWidth="1"/>
    <col min="13765" max="13765" width="13.109375" style="13" customWidth="1"/>
    <col min="13766" max="13769" width="0" style="13" hidden="1" customWidth="1"/>
    <col min="13770" max="14005" width="10.33203125" style="13"/>
    <col min="14006" max="14006" width="7" style="13" customWidth="1"/>
    <col min="14007" max="14007" width="13" style="13" customWidth="1"/>
    <col min="14008" max="14008" width="14.109375" style="13" customWidth="1"/>
    <col min="14009" max="14009" width="17.33203125" style="13" customWidth="1"/>
    <col min="14010" max="14010" width="18.88671875" style="13" customWidth="1"/>
    <col min="14011" max="14011" width="14.109375" style="13" customWidth="1"/>
    <col min="14012" max="14012" width="21.5546875" style="13" customWidth="1"/>
    <col min="14013" max="14014" width="14.109375" style="13" customWidth="1"/>
    <col min="14015" max="14015" width="15" style="13" customWidth="1"/>
    <col min="14016" max="14016" width="13.33203125" style="13" customWidth="1"/>
    <col min="14017" max="14017" width="17" style="13" customWidth="1"/>
    <col min="14018" max="14018" width="24.88671875" style="13" customWidth="1"/>
    <col min="14019" max="14019" width="14.44140625" style="13" customWidth="1"/>
    <col min="14020" max="14020" width="23.109375" style="13" customWidth="1"/>
    <col min="14021" max="14021" width="13.109375" style="13" customWidth="1"/>
    <col min="14022" max="14025" width="0" style="13" hidden="1" customWidth="1"/>
    <col min="14026" max="14261" width="10.33203125" style="13"/>
    <col min="14262" max="14262" width="7" style="13" customWidth="1"/>
    <col min="14263" max="14263" width="13" style="13" customWidth="1"/>
    <col min="14264" max="14264" width="14.109375" style="13" customWidth="1"/>
    <col min="14265" max="14265" width="17.33203125" style="13" customWidth="1"/>
    <col min="14266" max="14266" width="18.88671875" style="13" customWidth="1"/>
    <col min="14267" max="14267" width="14.109375" style="13" customWidth="1"/>
    <col min="14268" max="14268" width="21.5546875" style="13" customWidth="1"/>
    <col min="14269" max="14270" width="14.109375" style="13" customWidth="1"/>
    <col min="14271" max="14271" width="15" style="13" customWidth="1"/>
    <col min="14272" max="14272" width="13.33203125" style="13" customWidth="1"/>
    <col min="14273" max="14273" width="17" style="13" customWidth="1"/>
    <col min="14274" max="14274" width="24.88671875" style="13" customWidth="1"/>
    <col min="14275" max="14275" width="14.44140625" style="13" customWidth="1"/>
    <col min="14276" max="14276" width="23.109375" style="13" customWidth="1"/>
    <col min="14277" max="14277" width="13.109375" style="13" customWidth="1"/>
    <col min="14278" max="14281" width="0" style="13" hidden="1" customWidth="1"/>
    <col min="14282" max="14517" width="10.33203125" style="13"/>
    <col min="14518" max="14518" width="7" style="13" customWidth="1"/>
    <col min="14519" max="14519" width="13" style="13" customWidth="1"/>
    <col min="14520" max="14520" width="14.109375" style="13" customWidth="1"/>
    <col min="14521" max="14521" width="17.33203125" style="13" customWidth="1"/>
    <col min="14522" max="14522" width="18.88671875" style="13" customWidth="1"/>
    <col min="14523" max="14523" width="14.109375" style="13" customWidth="1"/>
    <col min="14524" max="14524" width="21.5546875" style="13" customWidth="1"/>
    <col min="14525" max="14526" width="14.109375" style="13" customWidth="1"/>
    <col min="14527" max="14527" width="15" style="13" customWidth="1"/>
    <col min="14528" max="14528" width="13.33203125" style="13" customWidth="1"/>
    <col min="14529" max="14529" width="17" style="13" customWidth="1"/>
    <col min="14530" max="14530" width="24.88671875" style="13" customWidth="1"/>
    <col min="14531" max="14531" width="14.44140625" style="13" customWidth="1"/>
    <col min="14532" max="14532" width="23.109375" style="13" customWidth="1"/>
    <col min="14533" max="14533" width="13.109375" style="13" customWidth="1"/>
    <col min="14534" max="14537" width="0" style="13" hidden="1" customWidth="1"/>
    <col min="14538" max="14773" width="10.33203125" style="13"/>
    <col min="14774" max="14774" width="7" style="13" customWidth="1"/>
    <col min="14775" max="14775" width="13" style="13" customWidth="1"/>
    <col min="14776" max="14776" width="14.109375" style="13" customWidth="1"/>
    <col min="14777" max="14777" width="17.33203125" style="13" customWidth="1"/>
    <col min="14778" max="14778" width="18.88671875" style="13" customWidth="1"/>
    <col min="14779" max="14779" width="14.109375" style="13" customWidth="1"/>
    <col min="14780" max="14780" width="21.5546875" style="13" customWidth="1"/>
    <col min="14781" max="14782" width="14.109375" style="13" customWidth="1"/>
    <col min="14783" max="14783" width="15" style="13" customWidth="1"/>
    <col min="14784" max="14784" width="13.33203125" style="13" customWidth="1"/>
    <col min="14785" max="14785" width="17" style="13" customWidth="1"/>
    <col min="14786" max="14786" width="24.88671875" style="13" customWidth="1"/>
    <col min="14787" max="14787" width="14.44140625" style="13" customWidth="1"/>
    <col min="14788" max="14788" width="23.109375" style="13" customWidth="1"/>
    <col min="14789" max="14789" width="13.109375" style="13" customWidth="1"/>
    <col min="14790" max="14793" width="0" style="13" hidden="1" customWidth="1"/>
    <col min="14794" max="15029" width="10.33203125" style="13"/>
    <col min="15030" max="15030" width="7" style="13" customWidth="1"/>
    <col min="15031" max="15031" width="13" style="13" customWidth="1"/>
    <col min="15032" max="15032" width="14.109375" style="13" customWidth="1"/>
    <col min="15033" max="15033" width="17.33203125" style="13" customWidth="1"/>
    <col min="15034" max="15034" width="18.88671875" style="13" customWidth="1"/>
    <col min="15035" max="15035" width="14.109375" style="13" customWidth="1"/>
    <col min="15036" max="15036" width="21.5546875" style="13" customWidth="1"/>
    <col min="15037" max="15038" width="14.109375" style="13" customWidth="1"/>
    <col min="15039" max="15039" width="15" style="13" customWidth="1"/>
    <col min="15040" max="15040" width="13.33203125" style="13" customWidth="1"/>
    <col min="15041" max="15041" width="17" style="13" customWidth="1"/>
    <col min="15042" max="15042" width="24.88671875" style="13" customWidth="1"/>
    <col min="15043" max="15043" width="14.44140625" style="13" customWidth="1"/>
    <col min="15044" max="15044" width="23.109375" style="13" customWidth="1"/>
    <col min="15045" max="15045" width="13.109375" style="13" customWidth="1"/>
    <col min="15046" max="15049" width="0" style="13" hidden="1" customWidth="1"/>
    <col min="15050" max="15285" width="10.33203125" style="13"/>
    <col min="15286" max="15286" width="7" style="13" customWidth="1"/>
    <col min="15287" max="15287" width="13" style="13" customWidth="1"/>
    <col min="15288" max="15288" width="14.109375" style="13" customWidth="1"/>
    <col min="15289" max="15289" width="17.33203125" style="13" customWidth="1"/>
    <col min="15290" max="15290" width="18.88671875" style="13" customWidth="1"/>
    <col min="15291" max="15291" width="14.109375" style="13" customWidth="1"/>
    <col min="15292" max="15292" width="21.5546875" style="13" customWidth="1"/>
    <col min="15293" max="15294" width="14.109375" style="13" customWidth="1"/>
    <col min="15295" max="15295" width="15" style="13" customWidth="1"/>
    <col min="15296" max="15296" width="13.33203125" style="13" customWidth="1"/>
    <col min="15297" max="15297" width="17" style="13" customWidth="1"/>
    <col min="15298" max="15298" width="24.88671875" style="13" customWidth="1"/>
    <col min="15299" max="15299" width="14.44140625" style="13" customWidth="1"/>
    <col min="15300" max="15300" width="23.109375" style="13" customWidth="1"/>
    <col min="15301" max="15301" width="13.109375" style="13" customWidth="1"/>
    <col min="15302" max="15305" width="0" style="13" hidden="1" customWidth="1"/>
    <col min="15306" max="15541" width="10.33203125" style="13"/>
    <col min="15542" max="15542" width="7" style="13" customWidth="1"/>
    <col min="15543" max="15543" width="13" style="13" customWidth="1"/>
    <col min="15544" max="15544" width="14.109375" style="13" customWidth="1"/>
    <col min="15545" max="15545" width="17.33203125" style="13" customWidth="1"/>
    <col min="15546" max="15546" width="18.88671875" style="13" customWidth="1"/>
    <col min="15547" max="15547" width="14.109375" style="13" customWidth="1"/>
    <col min="15548" max="15548" width="21.5546875" style="13" customWidth="1"/>
    <col min="15549" max="15550" width="14.109375" style="13" customWidth="1"/>
    <col min="15551" max="15551" width="15" style="13" customWidth="1"/>
    <col min="15552" max="15552" width="13.33203125" style="13" customWidth="1"/>
    <col min="15553" max="15553" width="17" style="13" customWidth="1"/>
    <col min="15554" max="15554" width="24.88671875" style="13" customWidth="1"/>
    <col min="15555" max="15555" width="14.44140625" style="13" customWidth="1"/>
    <col min="15556" max="15556" width="23.109375" style="13" customWidth="1"/>
    <col min="15557" max="15557" width="13.109375" style="13" customWidth="1"/>
    <col min="15558" max="15561" width="0" style="13" hidden="1" customWidth="1"/>
    <col min="15562" max="15797" width="10.33203125" style="13"/>
    <col min="15798" max="15798" width="7" style="13" customWidth="1"/>
    <col min="15799" max="15799" width="13" style="13" customWidth="1"/>
    <col min="15800" max="15800" width="14.109375" style="13" customWidth="1"/>
    <col min="15801" max="15801" width="17.33203125" style="13" customWidth="1"/>
    <col min="15802" max="15802" width="18.88671875" style="13" customWidth="1"/>
    <col min="15803" max="15803" width="14.109375" style="13" customWidth="1"/>
    <col min="15804" max="15804" width="21.5546875" style="13" customWidth="1"/>
    <col min="15805" max="15806" width="14.109375" style="13" customWidth="1"/>
    <col min="15807" max="15807" width="15" style="13" customWidth="1"/>
    <col min="15808" max="15808" width="13.33203125" style="13" customWidth="1"/>
    <col min="15809" max="15809" width="17" style="13" customWidth="1"/>
    <col min="15810" max="15810" width="24.88671875" style="13" customWidth="1"/>
    <col min="15811" max="15811" width="14.44140625" style="13" customWidth="1"/>
    <col min="15812" max="15812" width="23.109375" style="13" customWidth="1"/>
    <col min="15813" max="15813" width="13.109375" style="13" customWidth="1"/>
    <col min="15814" max="15817" width="0" style="13" hidden="1" customWidth="1"/>
    <col min="15818" max="16053" width="10.33203125" style="13"/>
    <col min="16054" max="16054" width="7" style="13" customWidth="1"/>
    <col min="16055" max="16055" width="13" style="13" customWidth="1"/>
    <col min="16056" max="16056" width="14.109375" style="13" customWidth="1"/>
    <col min="16057" max="16057" width="17.33203125" style="13" customWidth="1"/>
    <col min="16058" max="16058" width="18.88671875" style="13" customWidth="1"/>
    <col min="16059" max="16059" width="14.109375" style="13" customWidth="1"/>
    <col min="16060" max="16060" width="21.5546875" style="13" customWidth="1"/>
    <col min="16061" max="16062" width="14.109375" style="13" customWidth="1"/>
    <col min="16063" max="16063" width="15" style="13" customWidth="1"/>
    <col min="16064" max="16064" width="13.33203125" style="13" customWidth="1"/>
    <col min="16065" max="16065" width="17" style="13" customWidth="1"/>
    <col min="16066" max="16066" width="24.88671875" style="13" customWidth="1"/>
    <col min="16067" max="16067" width="14.44140625" style="13" customWidth="1"/>
    <col min="16068" max="16068" width="23.109375" style="13" customWidth="1"/>
    <col min="16069" max="16069" width="13.109375" style="13" customWidth="1"/>
    <col min="16070" max="16073" width="0" style="13" hidden="1" customWidth="1"/>
    <col min="16074" max="16384" width="10.33203125" style="13"/>
  </cols>
  <sheetData>
    <row r="1" spans="1:24" ht="15" customHeight="1">
      <c r="L1" s="282"/>
      <c r="M1" s="1153"/>
      <c r="N1" s="278"/>
      <c r="O1" s="278"/>
      <c r="P1" s="283"/>
    </row>
    <row r="2" spans="1:24" ht="20.25" customHeight="1">
      <c r="A2" s="3755" t="s">
        <v>661</v>
      </c>
      <c r="B2" s="3756"/>
      <c r="C2" s="3756"/>
      <c r="D2" s="3756"/>
      <c r="E2" s="3756"/>
      <c r="F2" s="3756"/>
      <c r="G2" s="3756"/>
      <c r="H2" s="3756"/>
      <c r="I2" s="552"/>
      <c r="L2" s="322"/>
      <c r="M2" s="322"/>
      <c r="N2" s="322"/>
      <c r="O2" s="322"/>
      <c r="P2" s="322"/>
      <c r="Q2" s="13"/>
    </row>
    <row r="3" spans="1:24">
      <c r="B3" s="4" t="s">
        <v>659</v>
      </c>
      <c r="C3" s="1940" t="s">
        <v>4054</v>
      </c>
      <c r="D3" s="1162"/>
      <c r="E3" s="1162"/>
      <c r="F3" s="1162"/>
      <c r="G3" s="1162"/>
      <c r="H3" s="1162"/>
      <c r="I3" s="1162"/>
      <c r="J3" s="1162"/>
      <c r="K3" s="1162"/>
      <c r="L3" s="1162"/>
      <c r="M3" s="1162"/>
      <c r="N3" s="1162"/>
      <c r="O3" s="1162"/>
      <c r="P3" s="1162"/>
      <c r="Q3" s="1162"/>
      <c r="R3" s="1162"/>
      <c r="S3" s="1162"/>
      <c r="T3" s="1162"/>
      <c r="U3" s="1162"/>
      <c r="V3" s="1162"/>
      <c r="W3" s="1162"/>
      <c r="X3" s="1162"/>
    </row>
    <row r="4" spans="1:24" ht="26.4">
      <c r="A4" s="29" t="s">
        <v>2</v>
      </c>
      <c r="B4" s="166" t="s">
        <v>3</v>
      </c>
      <c r="C4" s="538" t="s">
        <v>4</v>
      </c>
      <c r="D4" s="384" t="s">
        <v>5</v>
      </c>
      <c r="E4" s="30" t="s">
        <v>401</v>
      </c>
      <c r="F4" s="33" t="s">
        <v>8</v>
      </c>
      <c r="G4" s="33" t="s">
        <v>9</v>
      </c>
      <c r="H4" s="323" t="s">
        <v>1888</v>
      </c>
      <c r="I4" s="553" t="s">
        <v>15</v>
      </c>
      <c r="J4" s="40" t="s">
        <v>4209</v>
      </c>
      <c r="K4" s="758" t="s">
        <v>3223</v>
      </c>
      <c r="L4" s="221" t="s">
        <v>197</v>
      </c>
      <c r="M4" s="1154" t="s">
        <v>4051</v>
      </c>
      <c r="N4" s="218" t="s">
        <v>198</v>
      </c>
      <c r="O4" s="219" t="s">
        <v>199</v>
      </c>
      <c r="P4" s="222" t="s">
        <v>200</v>
      </c>
      <c r="Q4" s="36" t="s">
        <v>204</v>
      </c>
    </row>
    <row r="5" spans="1:24" ht="13.2">
      <c r="A5" s="3297" t="s">
        <v>654</v>
      </c>
      <c r="B5" s="3298"/>
      <c r="C5" s="3298"/>
      <c r="D5" s="3298"/>
      <c r="E5" s="3298"/>
      <c r="F5" s="3298"/>
      <c r="G5" s="3298"/>
      <c r="H5" s="3298"/>
      <c r="I5" s="554"/>
      <c r="J5" s="369"/>
      <c r="K5" s="369"/>
      <c r="L5" s="346"/>
      <c r="M5" s="346"/>
      <c r="N5" s="346"/>
      <c r="O5" s="346"/>
      <c r="P5" s="346"/>
      <c r="Q5" s="346"/>
    </row>
    <row r="6" spans="1:24">
      <c r="A6" s="44">
        <v>1</v>
      </c>
      <c r="B6" s="348">
        <v>305442212260</v>
      </c>
      <c r="C6" s="539" t="s">
        <v>747</v>
      </c>
      <c r="D6" s="47" t="s">
        <v>870</v>
      </c>
      <c r="E6" s="126" t="s">
        <v>210</v>
      </c>
      <c r="F6" s="167"/>
      <c r="G6" s="167"/>
      <c r="H6" s="160"/>
      <c r="I6" s="555" t="s">
        <v>749</v>
      </c>
      <c r="J6" s="53" t="s">
        <v>748</v>
      </c>
      <c r="L6" s="208"/>
      <c r="M6" s="1155"/>
      <c r="N6" s="341">
        <v>650000</v>
      </c>
      <c r="O6" s="342">
        <f>+N6*1.1</f>
        <v>715000</v>
      </c>
      <c r="P6" s="252"/>
      <c r="Q6" s="130"/>
    </row>
    <row r="7" spans="1:24">
      <c r="A7" s="44">
        <v>2</v>
      </c>
      <c r="B7" s="348">
        <v>305442133530</v>
      </c>
      <c r="C7" s="539" t="s">
        <v>747</v>
      </c>
      <c r="D7" s="47" t="s">
        <v>746</v>
      </c>
      <c r="E7" s="126" t="s">
        <v>210</v>
      </c>
      <c r="F7" s="167"/>
      <c r="G7" s="167"/>
      <c r="H7" s="160"/>
      <c r="I7" s="555" t="s">
        <v>750</v>
      </c>
      <c r="J7" s="53" t="s">
        <v>748</v>
      </c>
      <c r="L7" s="249"/>
      <c r="M7" s="1026"/>
      <c r="N7" s="341">
        <v>650000</v>
      </c>
      <c r="O7" s="342">
        <f t="shared" ref="O7:O21" si="0">+N7*1.1</f>
        <v>715000</v>
      </c>
      <c r="P7" s="252"/>
      <c r="Q7" s="130"/>
    </row>
    <row r="8" spans="1:24" ht="13.2">
      <c r="A8" s="3297" t="s">
        <v>867</v>
      </c>
      <c r="B8" s="3298"/>
      <c r="C8" s="3298"/>
      <c r="D8" s="3298"/>
      <c r="E8" s="3298"/>
      <c r="F8" s="3298"/>
      <c r="G8" s="3298"/>
      <c r="H8" s="3298"/>
      <c r="I8" s="554"/>
      <c r="J8" s="369"/>
      <c r="K8" s="369"/>
      <c r="L8" s="346"/>
      <c r="M8" s="346"/>
      <c r="N8" s="346"/>
      <c r="O8" s="346"/>
      <c r="P8" s="346"/>
      <c r="Q8" s="346"/>
    </row>
    <row r="9" spans="1:24" ht="21" customHeight="1">
      <c r="A9" s="44">
        <v>1</v>
      </c>
      <c r="B9" s="345">
        <v>305532046060</v>
      </c>
      <c r="C9" s="540" t="s">
        <v>1035</v>
      </c>
      <c r="D9" s="47" t="s">
        <v>1038</v>
      </c>
      <c r="E9" s="126" t="s">
        <v>748</v>
      </c>
      <c r="F9" s="167"/>
      <c r="G9" s="167"/>
      <c r="H9" s="161"/>
      <c r="I9" s="556" t="s">
        <v>1037</v>
      </c>
      <c r="J9" s="61" t="s">
        <v>748</v>
      </c>
      <c r="L9" s="249"/>
      <c r="M9" s="1026"/>
      <c r="N9" s="341">
        <v>650000</v>
      </c>
      <c r="O9" s="342">
        <f t="shared" si="0"/>
        <v>715000</v>
      </c>
      <c r="P9" s="252"/>
      <c r="Q9" s="321"/>
    </row>
    <row r="10" spans="1:24" ht="12.75" customHeight="1">
      <c r="A10" s="326">
        <v>2</v>
      </c>
      <c r="B10" s="345">
        <v>305532151210</v>
      </c>
      <c r="C10" s="540" t="s">
        <v>1035</v>
      </c>
      <c r="D10" s="47" t="s">
        <v>1040</v>
      </c>
      <c r="E10" s="126" t="s">
        <v>748</v>
      </c>
      <c r="F10" s="167"/>
      <c r="G10" s="167"/>
      <c r="H10" s="139"/>
      <c r="I10" s="557" t="s">
        <v>1039</v>
      </c>
      <c r="J10" s="61" t="s">
        <v>748</v>
      </c>
      <c r="L10" s="249"/>
      <c r="M10" s="1026"/>
      <c r="N10" s="341">
        <v>650000</v>
      </c>
      <c r="O10" s="342">
        <f t="shared" si="0"/>
        <v>715000</v>
      </c>
      <c r="P10" s="252"/>
      <c r="Q10" s="142"/>
    </row>
    <row r="11" spans="1:24">
      <c r="A11" s="326">
        <f>+A10+1</f>
        <v>3</v>
      </c>
      <c r="B11" s="345">
        <v>305532316040</v>
      </c>
      <c r="C11" s="540" t="s">
        <v>1035</v>
      </c>
      <c r="D11" s="47" t="s">
        <v>1042</v>
      </c>
      <c r="E11" s="126" t="s">
        <v>748</v>
      </c>
      <c r="F11" s="167"/>
      <c r="G11" s="167"/>
      <c r="H11" s="162"/>
      <c r="I11" s="558" t="s">
        <v>1041</v>
      </c>
      <c r="J11" s="61" t="s">
        <v>748</v>
      </c>
      <c r="L11" s="249"/>
      <c r="M11" s="1026"/>
      <c r="N11" s="341">
        <v>650000</v>
      </c>
      <c r="O11" s="342">
        <f t="shared" si="0"/>
        <v>715000</v>
      </c>
      <c r="P11" s="252"/>
      <c r="Q11" s="142"/>
    </row>
    <row r="12" spans="1:24">
      <c r="A12" s="326">
        <f t="shared" ref="A12:A43" si="1">+A11+1</f>
        <v>4</v>
      </c>
      <c r="B12" s="442">
        <v>305546961330</v>
      </c>
      <c r="C12" s="540" t="s">
        <v>1096</v>
      </c>
      <c r="D12" s="47" t="s">
        <v>1099</v>
      </c>
      <c r="E12" s="126" t="s">
        <v>748</v>
      </c>
      <c r="F12" s="167"/>
      <c r="G12" s="167"/>
      <c r="H12" s="162"/>
      <c r="I12" s="558" t="s">
        <v>1098</v>
      </c>
      <c r="J12" s="61" t="s">
        <v>748</v>
      </c>
      <c r="L12" s="249"/>
      <c r="M12" s="1026"/>
      <c r="N12" s="341">
        <v>650000</v>
      </c>
      <c r="O12" s="342">
        <f t="shared" si="0"/>
        <v>715000</v>
      </c>
      <c r="P12" s="252"/>
      <c r="Q12" s="142"/>
    </row>
    <row r="13" spans="1:24">
      <c r="A13" s="326">
        <f t="shared" si="1"/>
        <v>5</v>
      </c>
      <c r="B13" s="442">
        <v>305548418400</v>
      </c>
      <c r="C13" s="540" t="s">
        <v>1096</v>
      </c>
      <c r="D13" s="47" t="s">
        <v>1101</v>
      </c>
      <c r="E13" s="126" t="s">
        <v>748</v>
      </c>
      <c r="F13" s="167"/>
      <c r="G13" s="167"/>
      <c r="H13" s="162"/>
      <c r="I13" s="558" t="s">
        <v>1100</v>
      </c>
      <c r="J13" s="61" t="s">
        <v>748</v>
      </c>
      <c r="L13" s="249"/>
      <c r="M13" s="1026"/>
      <c r="N13" s="341">
        <v>650000</v>
      </c>
      <c r="O13" s="342">
        <f t="shared" si="0"/>
        <v>715000</v>
      </c>
      <c r="P13" s="252"/>
      <c r="Q13" s="142"/>
    </row>
    <row r="14" spans="1:24">
      <c r="A14" s="326">
        <f t="shared" si="1"/>
        <v>6</v>
      </c>
      <c r="B14" s="442">
        <v>305548497460</v>
      </c>
      <c r="C14" s="540" t="s">
        <v>1096</v>
      </c>
      <c r="D14" s="47" t="s">
        <v>1103</v>
      </c>
      <c r="E14" s="126" t="s">
        <v>748</v>
      </c>
      <c r="F14" s="167"/>
      <c r="G14" s="167"/>
      <c r="H14" s="162"/>
      <c r="I14" s="558" t="s">
        <v>1102</v>
      </c>
      <c r="J14" s="61" t="s">
        <v>748</v>
      </c>
      <c r="L14" s="249"/>
      <c r="M14" s="1026"/>
      <c r="N14" s="341">
        <v>650000</v>
      </c>
      <c r="O14" s="342">
        <f t="shared" si="0"/>
        <v>715000</v>
      </c>
      <c r="P14" s="252"/>
      <c r="Q14" s="142"/>
    </row>
    <row r="15" spans="1:24">
      <c r="A15" s="326">
        <f t="shared" si="1"/>
        <v>7</v>
      </c>
      <c r="B15" s="443" t="s">
        <v>1177</v>
      </c>
      <c r="C15" s="540" t="s">
        <v>1178</v>
      </c>
      <c r="D15" s="47" t="s">
        <v>1180</v>
      </c>
      <c r="E15" s="126" t="s">
        <v>748</v>
      </c>
      <c r="F15" s="167"/>
      <c r="G15" s="167"/>
      <c r="H15" s="143"/>
      <c r="I15" s="558" t="s">
        <v>1179</v>
      </c>
      <c r="J15" s="92" t="s">
        <v>748</v>
      </c>
      <c r="K15" s="92"/>
      <c r="L15" s="249"/>
      <c r="M15" s="1026"/>
      <c r="N15" s="341">
        <v>650000</v>
      </c>
      <c r="O15" s="342">
        <f t="shared" si="0"/>
        <v>715000</v>
      </c>
      <c r="P15" s="252"/>
      <c r="Q15" s="142"/>
    </row>
    <row r="16" spans="1:24" ht="13.2">
      <c r="A16" s="3297" t="s">
        <v>1036</v>
      </c>
      <c r="B16" s="3298"/>
      <c r="C16" s="3298"/>
      <c r="D16" s="3298"/>
      <c r="E16" s="3298"/>
      <c r="F16" s="3298"/>
      <c r="G16" s="3298"/>
      <c r="H16" s="3298"/>
      <c r="I16" s="554"/>
      <c r="J16" s="369"/>
      <c r="K16" s="369"/>
      <c r="L16" s="346"/>
      <c r="M16" s="346"/>
      <c r="N16" s="346"/>
      <c r="O16" s="346"/>
      <c r="P16" s="346"/>
      <c r="Q16" s="346"/>
    </row>
    <row r="17" spans="1:20">
      <c r="A17" s="326">
        <v>1</v>
      </c>
      <c r="B17" s="443">
        <v>305584363510</v>
      </c>
      <c r="C17" s="541" t="s">
        <v>1204</v>
      </c>
      <c r="D17" s="47" t="s">
        <v>1206</v>
      </c>
      <c r="E17" s="126" t="s">
        <v>748</v>
      </c>
      <c r="F17" s="167"/>
      <c r="G17" s="167"/>
      <c r="H17" s="143"/>
      <c r="I17" s="558" t="s">
        <v>1205</v>
      </c>
      <c r="J17" s="92" t="s">
        <v>748</v>
      </c>
      <c r="K17" s="92"/>
      <c r="L17" s="249"/>
      <c r="M17" s="1026"/>
      <c r="N17" s="341">
        <v>650000</v>
      </c>
      <c r="O17" s="342">
        <f t="shared" si="0"/>
        <v>715000</v>
      </c>
      <c r="P17" s="252"/>
      <c r="Q17" s="141"/>
    </row>
    <row r="18" spans="1:20">
      <c r="A18" s="326">
        <f t="shared" si="1"/>
        <v>2</v>
      </c>
      <c r="B18" s="443">
        <v>305588213400</v>
      </c>
      <c r="C18" s="541" t="s">
        <v>1207</v>
      </c>
      <c r="D18" s="47" t="s">
        <v>1214</v>
      </c>
      <c r="E18" s="126" t="s">
        <v>748</v>
      </c>
      <c r="F18" s="167"/>
      <c r="G18" s="167"/>
      <c r="H18" s="149"/>
      <c r="I18" s="559" t="s">
        <v>1208</v>
      </c>
      <c r="J18" s="92" t="s">
        <v>748</v>
      </c>
      <c r="K18" s="92"/>
      <c r="L18" s="249"/>
      <c r="M18" s="1026"/>
      <c r="N18" s="341">
        <v>650000</v>
      </c>
      <c r="O18" s="342">
        <f t="shared" si="0"/>
        <v>715000</v>
      </c>
      <c r="P18" s="252"/>
      <c r="Q18" s="141"/>
    </row>
    <row r="19" spans="1:20">
      <c r="A19" s="326">
        <f t="shared" si="1"/>
        <v>3</v>
      </c>
      <c r="B19" s="443">
        <v>305588375430</v>
      </c>
      <c r="C19" s="541" t="s">
        <v>1207</v>
      </c>
      <c r="D19" s="47" t="s">
        <v>1210</v>
      </c>
      <c r="E19" s="126" t="s">
        <v>748</v>
      </c>
      <c r="F19" s="167"/>
      <c r="G19" s="167"/>
      <c r="H19" s="144"/>
      <c r="I19" s="559" t="s">
        <v>1209</v>
      </c>
      <c r="J19" s="92" t="s">
        <v>748</v>
      </c>
      <c r="K19" s="92"/>
      <c r="L19" s="249"/>
      <c r="M19" s="1026"/>
      <c r="N19" s="341">
        <v>650000</v>
      </c>
      <c r="O19" s="342">
        <f t="shared" si="0"/>
        <v>715000</v>
      </c>
      <c r="P19" s="252"/>
      <c r="Q19" s="141"/>
    </row>
    <row r="20" spans="1:20">
      <c r="A20" s="326">
        <f t="shared" si="1"/>
        <v>4</v>
      </c>
      <c r="B20" s="443">
        <v>305608137830</v>
      </c>
      <c r="C20" s="540" t="s">
        <v>1238</v>
      </c>
      <c r="D20" s="47" t="s">
        <v>1241</v>
      </c>
      <c r="E20" s="126" t="s">
        <v>748</v>
      </c>
      <c r="F20" s="167"/>
      <c r="G20" s="167"/>
      <c r="H20" s="144"/>
      <c r="I20" s="559" t="s">
        <v>1240</v>
      </c>
      <c r="J20" s="92" t="s">
        <v>748</v>
      </c>
      <c r="K20" s="92"/>
      <c r="L20" s="249"/>
      <c r="M20" s="1026"/>
      <c r="N20" s="341">
        <v>650000</v>
      </c>
      <c r="O20" s="342">
        <f t="shared" si="0"/>
        <v>715000</v>
      </c>
      <c r="P20" s="252"/>
      <c r="Q20" s="141"/>
    </row>
    <row r="21" spans="1:20" ht="16.2" thickBot="1">
      <c r="A21" s="326">
        <f t="shared" si="1"/>
        <v>5</v>
      </c>
      <c r="B21" s="443" t="s">
        <v>1243</v>
      </c>
      <c r="C21" s="540" t="s">
        <v>1238</v>
      </c>
      <c r="D21" s="47" t="s">
        <v>1242</v>
      </c>
      <c r="E21" s="126" t="s">
        <v>748</v>
      </c>
      <c r="F21" s="167"/>
      <c r="G21" s="167"/>
      <c r="H21" s="140"/>
      <c r="I21" s="559" t="s">
        <v>1257</v>
      </c>
      <c r="J21" s="79" t="s">
        <v>748</v>
      </c>
      <c r="K21" s="79"/>
      <c r="L21" s="249"/>
      <c r="M21" s="1026"/>
      <c r="N21" s="341">
        <v>650000</v>
      </c>
      <c r="O21" s="342">
        <f t="shared" si="0"/>
        <v>715000</v>
      </c>
      <c r="P21" s="252"/>
      <c r="Q21" s="141"/>
    </row>
    <row r="22" spans="1:20" ht="14.4">
      <c r="A22" s="3297" t="s">
        <v>1239</v>
      </c>
      <c r="B22" s="3298"/>
      <c r="C22" s="3298"/>
      <c r="D22" s="3298"/>
      <c r="E22" s="3298"/>
      <c r="F22" s="3298"/>
      <c r="G22" s="3298"/>
      <c r="H22" s="3298"/>
      <c r="I22" s="554"/>
      <c r="J22" s="369"/>
      <c r="K22" s="369"/>
      <c r="L22" s="346"/>
      <c r="M22" s="346"/>
      <c r="N22" s="346"/>
      <c r="O22" s="346"/>
      <c r="P22" s="346"/>
      <c r="Q22" s="346"/>
      <c r="T22" s="454"/>
    </row>
    <row r="23" spans="1:20">
      <c r="A23" s="326">
        <v>1</v>
      </c>
      <c r="B23" s="443">
        <v>305656231550</v>
      </c>
      <c r="C23" s="540">
        <v>45118</v>
      </c>
      <c r="D23" s="47" t="s">
        <v>1288</v>
      </c>
      <c r="E23" s="126" t="s">
        <v>210</v>
      </c>
      <c r="F23" s="167"/>
      <c r="G23" s="167"/>
      <c r="H23" s="140"/>
      <c r="I23" s="560" t="s">
        <v>1280</v>
      </c>
      <c r="J23" s="79"/>
      <c r="K23" s="79"/>
      <c r="L23" s="249"/>
      <c r="M23" s="1026"/>
      <c r="N23" s="341">
        <v>650000</v>
      </c>
      <c r="O23" s="342">
        <f>+N23*1.08</f>
        <v>702000</v>
      </c>
      <c r="P23" s="252"/>
      <c r="Q23" s="141"/>
    </row>
    <row r="24" spans="1:20">
      <c r="A24" s="326">
        <f t="shared" si="1"/>
        <v>2</v>
      </c>
      <c r="B24" s="443">
        <v>305656334600</v>
      </c>
      <c r="C24" s="540">
        <v>45118</v>
      </c>
      <c r="D24" s="47" t="s">
        <v>1287</v>
      </c>
      <c r="E24" s="126" t="s">
        <v>210</v>
      </c>
      <c r="F24" s="167"/>
      <c r="G24" s="167"/>
      <c r="H24" s="151"/>
      <c r="I24" s="560" t="s">
        <v>1281</v>
      </c>
      <c r="J24" s="79"/>
      <c r="K24" s="79"/>
      <c r="L24" s="249"/>
      <c r="M24" s="1026"/>
      <c r="N24" s="341">
        <v>650000</v>
      </c>
      <c r="O24" s="342">
        <f t="shared" ref="O24:O32" si="2">+N24*1.08</f>
        <v>702000</v>
      </c>
      <c r="P24" s="252"/>
      <c r="Q24" s="141"/>
    </row>
    <row r="25" spans="1:20">
      <c r="A25" s="326">
        <f t="shared" si="1"/>
        <v>3</v>
      </c>
      <c r="B25" s="443">
        <v>305656444500</v>
      </c>
      <c r="C25" s="540">
        <v>45118</v>
      </c>
      <c r="D25" s="47" t="s">
        <v>1446</v>
      </c>
      <c r="E25" s="126" t="s">
        <v>210</v>
      </c>
      <c r="F25" s="167"/>
      <c r="G25" s="167"/>
      <c r="H25" s="140"/>
      <c r="I25" s="560" t="s">
        <v>1282</v>
      </c>
      <c r="J25" s="79"/>
      <c r="K25" s="79"/>
      <c r="L25" s="249"/>
      <c r="M25" s="1026"/>
      <c r="N25" s="341">
        <v>650000</v>
      </c>
      <c r="O25" s="342">
        <f t="shared" si="2"/>
        <v>702000</v>
      </c>
      <c r="P25" s="252"/>
      <c r="Q25" s="141"/>
    </row>
    <row r="26" spans="1:20">
      <c r="A26" s="326">
        <f t="shared" si="1"/>
        <v>4</v>
      </c>
      <c r="B26" s="443">
        <v>305656572560</v>
      </c>
      <c r="C26" s="540">
        <v>45118</v>
      </c>
      <c r="D26" s="47" t="s">
        <v>1447</v>
      </c>
      <c r="E26" s="126" t="s">
        <v>210</v>
      </c>
      <c r="F26" s="167"/>
      <c r="G26" s="167"/>
      <c r="H26" s="151"/>
      <c r="I26" s="560" t="s">
        <v>1283</v>
      </c>
      <c r="J26" s="79"/>
      <c r="K26" s="79"/>
      <c r="L26" s="249"/>
      <c r="M26" s="1026"/>
      <c r="N26" s="341">
        <v>650000</v>
      </c>
      <c r="O26" s="342">
        <f t="shared" si="2"/>
        <v>702000</v>
      </c>
      <c r="P26" s="252"/>
      <c r="Q26" s="141"/>
    </row>
    <row r="27" spans="1:20">
      <c r="A27" s="326">
        <f t="shared" si="1"/>
        <v>5</v>
      </c>
      <c r="B27" s="443">
        <v>305657397200</v>
      </c>
      <c r="C27" s="540">
        <v>45118</v>
      </c>
      <c r="D27" s="47" t="s">
        <v>1286</v>
      </c>
      <c r="E27" s="126" t="s">
        <v>210</v>
      </c>
      <c r="F27" s="167"/>
      <c r="G27" s="167"/>
      <c r="H27" s="151"/>
      <c r="I27" s="560" t="s">
        <v>1284</v>
      </c>
      <c r="J27" s="79"/>
      <c r="K27" s="79"/>
      <c r="L27" s="249"/>
      <c r="M27" s="1026"/>
      <c r="N27" s="341">
        <v>650000</v>
      </c>
      <c r="O27" s="342">
        <f t="shared" si="2"/>
        <v>702000</v>
      </c>
      <c r="P27" s="252"/>
      <c r="Q27" s="141"/>
    </row>
    <row r="28" spans="1:20">
      <c r="A28" s="326">
        <f t="shared" si="1"/>
        <v>6</v>
      </c>
      <c r="B28" s="443">
        <v>305657644260</v>
      </c>
      <c r="C28" s="540">
        <v>45118</v>
      </c>
      <c r="D28" s="47" t="s">
        <v>1448</v>
      </c>
      <c r="E28" s="126" t="s">
        <v>210</v>
      </c>
      <c r="F28" s="167"/>
      <c r="G28" s="167"/>
      <c r="H28" s="337"/>
      <c r="I28" s="561" t="s">
        <v>1285</v>
      </c>
      <c r="J28" s="79"/>
      <c r="K28" s="79"/>
      <c r="L28" s="249"/>
      <c r="M28" s="1026"/>
      <c r="N28" s="341">
        <v>650000</v>
      </c>
      <c r="O28" s="342">
        <f t="shared" si="2"/>
        <v>702000</v>
      </c>
      <c r="P28" s="252"/>
      <c r="Q28" s="141"/>
    </row>
    <row r="29" spans="1:20">
      <c r="A29" s="326">
        <f t="shared" si="1"/>
        <v>7</v>
      </c>
      <c r="B29" s="443" t="s">
        <v>1348</v>
      </c>
      <c r="C29" s="540" t="s">
        <v>1343</v>
      </c>
      <c r="D29" s="47" t="s">
        <v>1449</v>
      </c>
      <c r="E29" s="126" t="s">
        <v>210</v>
      </c>
      <c r="F29" s="167"/>
      <c r="G29" s="167"/>
      <c r="H29" s="151"/>
      <c r="I29" s="560" t="s">
        <v>1349</v>
      </c>
      <c r="J29" s="79"/>
      <c r="K29" s="79"/>
      <c r="L29" s="249"/>
      <c r="M29" s="1026"/>
      <c r="N29" s="341">
        <v>650000</v>
      </c>
      <c r="O29" s="342">
        <f t="shared" si="2"/>
        <v>702000</v>
      </c>
      <c r="P29" s="252"/>
      <c r="Q29" s="141"/>
    </row>
    <row r="30" spans="1:20">
      <c r="A30" s="326">
        <f t="shared" si="1"/>
        <v>8</v>
      </c>
      <c r="B30" s="443" t="s">
        <v>1350</v>
      </c>
      <c r="C30" s="540" t="s">
        <v>1343</v>
      </c>
      <c r="D30" s="394" t="s">
        <v>1352</v>
      </c>
      <c r="E30" s="126" t="s">
        <v>210</v>
      </c>
      <c r="F30" s="167"/>
      <c r="G30" s="167"/>
      <c r="H30" s="151"/>
      <c r="I30" s="560" t="s">
        <v>1351</v>
      </c>
      <c r="J30" s="79"/>
      <c r="K30" s="79"/>
      <c r="L30" s="249"/>
      <c r="M30" s="1026"/>
      <c r="N30" s="341">
        <v>650000</v>
      </c>
      <c r="O30" s="342">
        <f t="shared" si="2"/>
        <v>702000</v>
      </c>
      <c r="P30" s="252"/>
      <c r="Q30" s="141"/>
    </row>
    <row r="31" spans="1:20">
      <c r="A31" s="326">
        <f t="shared" si="1"/>
        <v>9</v>
      </c>
      <c r="B31" s="443">
        <v>305680235950</v>
      </c>
      <c r="C31" s="540" t="s">
        <v>1343</v>
      </c>
      <c r="D31" s="47" t="s">
        <v>1353</v>
      </c>
      <c r="E31" s="126" t="s">
        <v>210</v>
      </c>
      <c r="F31" s="167"/>
      <c r="G31" s="167"/>
      <c r="H31" s="151"/>
      <c r="I31" s="560"/>
      <c r="J31" s="79"/>
      <c r="K31" s="79"/>
      <c r="L31" s="249"/>
      <c r="M31" s="1026"/>
      <c r="N31" s="341">
        <v>650000</v>
      </c>
      <c r="O31" s="342">
        <f t="shared" si="2"/>
        <v>702000</v>
      </c>
      <c r="P31" s="252"/>
      <c r="Q31" s="141"/>
    </row>
    <row r="32" spans="1:20" ht="16.2" thickBot="1">
      <c r="A32" s="326">
        <f t="shared" si="1"/>
        <v>10</v>
      </c>
      <c r="B32" s="443">
        <v>305680053730</v>
      </c>
      <c r="C32" s="540" t="s">
        <v>1343</v>
      </c>
      <c r="D32" s="47" t="s">
        <v>1450</v>
      </c>
      <c r="E32" s="126" t="s">
        <v>210</v>
      </c>
      <c r="F32" s="167"/>
      <c r="G32" s="167"/>
      <c r="H32" s="151"/>
      <c r="I32" s="560" t="s">
        <v>1354</v>
      </c>
      <c r="J32" s="79"/>
      <c r="K32" s="79"/>
      <c r="L32" s="249"/>
      <c r="M32" s="1026"/>
      <c r="N32" s="341">
        <v>650000</v>
      </c>
      <c r="O32" s="342">
        <f t="shared" si="2"/>
        <v>702000</v>
      </c>
      <c r="P32" s="252"/>
      <c r="Q32" s="141"/>
    </row>
    <row r="33" spans="1:20" ht="14.4">
      <c r="A33" s="3297" t="s">
        <v>1374</v>
      </c>
      <c r="B33" s="3298"/>
      <c r="C33" s="3298"/>
      <c r="D33" s="3298"/>
      <c r="E33" s="3298"/>
      <c r="F33" s="3298"/>
      <c r="G33" s="3298"/>
      <c r="H33" s="3298"/>
      <c r="I33" s="554"/>
      <c r="J33" s="369"/>
      <c r="K33" s="369"/>
      <c r="L33" s="346"/>
      <c r="M33" s="346"/>
      <c r="N33" s="346"/>
      <c r="O33" s="346"/>
      <c r="P33" s="346"/>
      <c r="Q33" s="346"/>
      <c r="T33" s="454"/>
    </row>
    <row r="34" spans="1:20">
      <c r="A34" s="326">
        <v>1</v>
      </c>
      <c r="B34" s="442">
        <v>305739854360</v>
      </c>
      <c r="C34" s="540" t="s">
        <v>1482</v>
      </c>
      <c r="D34" s="47" t="s">
        <v>1476</v>
      </c>
      <c r="E34" s="153" t="s">
        <v>210</v>
      </c>
      <c r="F34" s="167"/>
      <c r="G34" s="167"/>
      <c r="H34" s="151"/>
      <c r="I34" s="560" t="s">
        <v>1475</v>
      </c>
      <c r="J34" s="79"/>
      <c r="K34" s="79"/>
      <c r="L34" s="249"/>
      <c r="M34" s="1026"/>
      <c r="N34" s="341">
        <v>650000</v>
      </c>
      <c r="O34" s="342">
        <f>+N34*1.08</f>
        <v>702000</v>
      </c>
      <c r="P34" s="252"/>
      <c r="Q34" s="141"/>
    </row>
    <row r="35" spans="1:20">
      <c r="A35" s="326">
        <f t="shared" si="1"/>
        <v>2</v>
      </c>
      <c r="B35" s="442" t="s">
        <v>1478</v>
      </c>
      <c r="C35" s="540" t="s">
        <v>1482</v>
      </c>
      <c r="D35" s="47" t="s">
        <v>1477</v>
      </c>
      <c r="E35" s="126" t="s">
        <v>210</v>
      </c>
      <c r="F35" s="167"/>
      <c r="G35" s="167"/>
      <c r="H35" s="151"/>
      <c r="I35" s="560" t="s">
        <v>1479</v>
      </c>
      <c r="J35" s="79"/>
      <c r="K35" s="79"/>
      <c r="L35" s="249"/>
      <c r="M35" s="1026"/>
      <c r="N35" s="341">
        <v>650000</v>
      </c>
      <c r="O35" s="342">
        <f>+N35*1.08</f>
        <v>702000</v>
      </c>
      <c r="P35" s="252"/>
      <c r="Q35" s="141"/>
    </row>
    <row r="36" spans="1:20">
      <c r="A36" s="326">
        <f t="shared" si="1"/>
        <v>3</v>
      </c>
      <c r="B36" s="442">
        <v>305743448640</v>
      </c>
      <c r="C36" s="540" t="s">
        <v>1474</v>
      </c>
      <c r="D36" s="47" t="s">
        <v>1483</v>
      </c>
      <c r="E36" s="126" t="s">
        <v>210</v>
      </c>
      <c r="F36" s="167"/>
      <c r="G36" s="167"/>
      <c r="H36" s="151"/>
      <c r="I36" s="560" t="s">
        <v>1484</v>
      </c>
      <c r="J36" s="79"/>
      <c r="K36" s="79"/>
      <c r="L36" s="249"/>
      <c r="M36" s="1026"/>
      <c r="N36" s="341">
        <v>650000</v>
      </c>
      <c r="O36" s="342">
        <f t="shared" ref="O36:O43" si="3">+N36*1.08</f>
        <v>702000</v>
      </c>
      <c r="P36" s="252"/>
      <c r="Q36" s="141"/>
    </row>
    <row r="37" spans="1:20" ht="16.2" thickBot="1">
      <c r="A37" s="326">
        <f t="shared" si="1"/>
        <v>4</v>
      </c>
      <c r="B37" s="497">
        <v>305761895150</v>
      </c>
      <c r="C37" s="540" t="s">
        <v>1515</v>
      </c>
      <c r="D37" s="379" t="s">
        <v>1517</v>
      </c>
      <c r="E37" s="126" t="s">
        <v>748</v>
      </c>
      <c r="F37" s="167"/>
      <c r="G37" s="167"/>
      <c r="H37" s="151"/>
      <c r="I37" s="560" t="s">
        <v>1518</v>
      </c>
      <c r="J37" s="79"/>
      <c r="K37" s="79"/>
      <c r="L37" s="249"/>
      <c r="M37" s="1026"/>
      <c r="N37" s="341">
        <v>650000</v>
      </c>
      <c r="O37" s="342">
        <f t="shared" si="3"/>
        <v>702000</v>
      </c>
      <c r="P37" s="252"/>
      <c r="Q37" s="141"/>
    </row>
    <row r="38" spans="1:20" ht="14.4">
      <c r="A38" s="3297" t="s">
        <v>1507</v>
      </c>
      <c r="B38" s="3298"/>
      <c r="C38" s="3298"/>
      <c r="D38" s="3298"/>
      <c r="E38" s="3298"/>
      <c r="F38" s="3298"/>
      <c r="G38" s="3298"/>
      <c r="H38" s="3298"/>
      <c r="I38" s="554"/>
      <c r="J38" s="369"/>
      <c r="K38" s="369"/>
      <c r="L38" s="346"/>
      <c r="M38" s="346"/>
      <c r="N38" s="346"/>
      <c r="O38" s="346"/>
      <c r="P38" s="346"/>
      <c r="Q38" s="346"/>
      <c r="T38" s="454"/>
    </row>
    <row r="39" spans="1:20">
      <c r="A39" s="326">
        <v>1</v>
      </c>
      <c r="B39" s="442">
        <v>305822646200</v>
      </c>
      <c r="C39" s="540" t="s">
        <v>1610</v>
      </c>
      <c r="D39" s="47" t="s">
        <v>1612</v>
      </c>
      <c r="E39" s="126"/>
      <c r="F39" s="167"/>
      <c r="G39" s="167"/>
      <c r="H39" s="151"/>
      <c r="I39" s="560" t="s">
        <v>1611</v>
      </c>
      <c r="J39" s="79"/>
      <c r="K39" s="79"/>
      <c r="L39" s="249"/>
      <c r="M39" s="1026"/>
      <c r="N39" s="341">
        <v>650000</v>
      </c>
      <c r="O39" s="342">
        <f t="shared" si="3"/>
        <v>702000</v>
      </c>
      <c r="P39" s="252"/>
      <c r="Q39" s="141"/>
    </row>
    <row r="40" spans="1:20">
      <c r="A40" s="326">
        <f t="shared" si="1"/>
        <v>2</v>
      </c>
      <c r="B40" s="497">
        <v>305822995240</v>
      </c>
      <c r="C40" s="540" t="s">
        <v>1610</v>
      </c>
      <c r="D40" s="530" t="s">
        <v>1614</v>
      </c>
      <c r="E40" s="126"/>
      <c r="F40" s="167"/>
      <c r="G40" s="167"/>
      <c r="H40" s="151"/>
      <c r="I40" s="560" t="s">
        <v>1613</v>
      </c>
      <c r="J40" s="79"/>
      <c r="K40" s="79"/>
      <c r="L40" s="249"/>
      <c r="M40" s="1026"/>
      <c r="N40" s="341">
        <v>650000</v>
      </c>
      <c r="O40" s="342">
        <f t="shared" si="3"/>
        <v>702000</v>
      </c>
      <c r="P40" s="252"/>
      <c r="Q40" s="141"/>
    </row>
    <row r="41" spans="1:20">
      <c r="A41" s="326">
        <f t="shared" si="1"/>
        <v>3</v>
      </c>
      <c r="B41" s="497">
        <v>305831333900</v>
      </c>
      <c r="C41" s="540" t="s">
        <v>1632</v>
      </c>
      <c r="D41" s="47" t="s">
        <v>1647</v>
      </c>
      <c r="E41" s="126"/>
      <c r="F41" s="167"/>
      <c r="G41" s="167"/>
      <c r="H41" s="151"/>
      <c r="I41" s="560" t="s">
        <v>1648</v>
      </c>
      <c r="J41" s="79"/>
      <c r="K41" s="79"/>
      <c r="L41" s="249"/>
      <c r="M41" s="1026"/>
      <c r="N41" s="341">
        <v>650000</v>
      </c>
      <c r="O41" s="342">
        <f t="shared" si="3"/>
        <v>702000</v>
      </c>
      <c r="P41" s="252"/>
      <c r="Q41" s="141"/>
    </row>
    <row r="42" spans="1:20">
      <c r="A42" s="326">
        <f t="shared" si="1"/>
        <v>4</v>
      </c>
      <c r="B42" s="497">
        <v>305831342040</v>
      </c>
      <c r="C42" s="540" t="s">
        <v>1632</v>
      </c>
      <c r="D42" s="47" t="s">
        <v>1651</v>
      </c>
      <c r="E42" s="126"/>
      <c r="F42" s="167"/>
      <c r="G42" s="167"/>
      <c r="H42" s="151"/>
      <c r="I42" s="560" t="s">
        <v>1649</v>
      </c>
      <c r="J42" s="79"/>
      <c r="K42" s="79"/>
      <c r="L42" s="249"/>
      <c r="M42" s="1026"/>
      <c r="N42" s="341">
        <v>650000</v>
      </c>
      <c r="O42" s="342">
        <f t="shared" si="3"/>
        <v>702000</v>
      </c>
      <c r="P42" s="252"/>
      <c r="Q42" s="141"/>
    </row>
    <row r="43" spans="1:20" ht="16.2" thickBot="1">
      <c r="A43" s="326">
        <f t="shared" si="1"/>
        <v>5</v>
      </c>
      <c r="B43" s="497">
        <v>305831347640</v>
      </c>
      <c r="C43" s="540" t="s">
        <v>1632</v>
      </c>
      <c r="D43" s="332" t="s">
        <v>1652</v>
      </c>
      <c r="E43" s="444"/>
      <c r="F43" s="167"/>
      <c r="G43" s="167"/>
      <c r="H43" s="337"/>
      <c r="I43" s="560" t="s">
        <v>1650</v>
      </c>
      <c r="J43" s="519"/>
      <c r="K43" s="769"/>
      <c r="L43" s="397"/>
      <c r="M43" s="1066"/>
      <c r="N43" s="341">
        <v>650000</v>
      </c>
      <c r="O43" s="415">
        <f t="shared" si="3"/>
        <v>702000</v>
      </c>
      <c r="P43" s="520"/>
      <c r="Q43" s="336"/>
    </row>
    <row r="44" spans="1:20" ht="14.4">
      <c r="A44" s="3297" t="s">
        <v>1626</v>
      </c>
      <c r="B44" s="3298"/>
      <c r="C44" s="3298"/>
      <c r="D44" s="3298"/>
      <c r="E44" s="3298"/>
      <c r="F44" s="3298"/>
      <c r="G44" s="3298"/>
      <c r="H44" s="3298"/>
      <c r="I44" s="554"/>
      <c r="J44" s="369"/>
      <c r="K44" s="369"/>
      <c r="L44" s="346"/>
      <c r="M44" s="346"/>
      <c r="N44" s="346"/>
      <c r="O44" s="346"/>
      <c r="P44" s="346"/>
      <c r="Q44" s="346"/>
      <c r="T44" s="454"/>
    </row>
    <row r="45" spans="1:20">
      <c r="A45" s="98">
        <v>1</v>
      </c>
      <c r="B45" s="536" t="s">
        <v>1678</v>
      </c>
      <c r="C45" s="542">
        <v>45203</v>
      </c>
      <c r="D45" s="332" t="s">
        <v>1677</v>
      </c>
      <c r="E45" s="166"/>
      <c r="F45" s="87"/>
      <c r="G45" s="87"/>
      <c r="H45" s="521"/>
      <c r="I45" s="562" t="s">
        <v>1679</v>
      </c>
      <c r="J45" s="89"/>
      <c r="K45" s="89"/>
      <c r="L45" s="249"/>
      <c r="M45" s="1026"/>
      <c r="N45" s="341">
        <v>650000</v>
      </c>
      <c r="O45" s="415">
        <f t="shared" ref="O45:O50" si="4">+N45*1.08</f>
        <v>702000</v>
      </c>
      <c r="P45" s="252"/>
      <c r="Q45" s="46"/>
    </row>
    <row r="46" spans="1:20">
      <c r="A46" s="98">
        <v>2</v>
      </c>
      <c r="B46" s="536" t="s">
        <v>1698</v>
      </c>
      <c r="C46" s="542">
        <v>45209</v>
      </c>
      <c r="D46" s="332" t="s">
        <v>1682</v>
      </c>
      <c r="E46" s="166"/>
      <c r="F46" s="87"/>
      <c r="G46" s="87"/>
      <c r="H46" s="521"/>
      <c r="I46" s="563" t="s">
        <v>1681</v>
      </c>
      <c r="J46" s="89"/>
      <c r="K46" s="89"/>
      <c r="L46" s="249"/>
      <c r="M46" s="1026"/>
      <c r="N46" s="341">
        <v>650000</v>
      </c>
      <c r="O46" s="415">
        <f t="shared" si="4"/>
        <v>702000</v>
      </c>
      <c r="P46" s="252"/>
      <c r="Q46" s="46"/>
    </row>
    <row r="47" spans="1:20">
      <c r="A47" s="98">
        <v>3</v>
      </c>
      <c r="B47" s="536" t="s">
        <v>1697</v>
      </c>
      <c r="C47" s="542">
        <v>45209</v>
      </c>
      <c r="D47" s="332" t="s">
        <v>1683</v>
      </c>
      <c r="E47" s="166"/>
      <c r="F47" s="87"/>
      <c r="G47" s="87"/>
      <c r="H47" s="521"/>
      <c r="I47" s="563" t="s">
        <v>1684</v>
      </c>
      <c r="J47" s="89"/>
      <c r="K47" s="89"/>
      <c r="L47" s="249"/>
      <c r="M47" s="1026"/>
      <c r="N47" s="341">
        <v>650000</v>
      </c>
      <c r="O47" s="415">
        <f t="shared" si="4"/>
        <v>702000</v>
      </c>
      <c r="P47" s="252"/>
      <c r="Q47" s="46"/>
    </row>
    <row r="48" spans="1:20">
      <c r="A48" s="98">
        <v>4</v>
      </c>
      <c r="B48" s="536" t="s">
        <v>1758</v>
      </c>
      <c r="C48" s="540" t="s">
        <v>1718</v>
      </c>
      <c r="D48" s="332" t="s">
        <v>1723</v>
      </c>
      <c r="E48" s="166"/>
      <c r="F48" s="87"/>
      <c r="G48" s="87"/>
      <c r="H48" s="521"/>
      <c r="I48" s="563" t="s">
        <v>1722</v>
      </c>
      <c r="J48" s="89"/>
      <c r="K48" s="89"/>
      <c r="L48" s="249">
        <v>13971.583999999997</v>
      </c>
      <c r="M48" s="1026"/>
      <c r="N48" s="341">
        <v>650000</v>
      </c>
      <c r="O48" s="415">
        <f t="shared" si="4"/>
        <v>702000</v>
      </c>
      <c r="P48" s="252"/>
      <c r="Q48" s="46"/>
    </row>
    <row r="49" spans="1:17">
      <c r="A49" s="98">
        <v>5</v>
      </c>
      <c r="B49" s="536" t="s">
        <v>1759</v>
      </c>
      <c r="C49" s="540" t="s">
        <v>1729</v>
      </c>
      <c r="D49" s="332" t="s">
        <v>1738</v>
      </c>
      <c r="E49" s="166"/>
      <c r="F49" s="87"/>
      <c r="G49" s="87"/>
      <c r="H49" s="521"/>
      <c r="I49" s="563" t="s">
        <v>1737</v>
      </c>
      <c r="J49" s="89"/>
      <c r="K49" s="89"/>
      <c r="L49" s="249"/>
      <c r="M49" s="1026"/>
      <c r="N49" s="341">
        <v>650000</v>
      </c>
      <c r="O49" s="415">
        <f t="shared" si="4"/>
        <v>702000</v>
      </c>
      <c r="P49" s="252"/>
      <c r="Q49" s="46"/>
    </row>
    <row r="50" spans="1:17">
      <c r="A50" s="98">
        <v>6</v>
      </c>
      <c r="B50" s="536" t="s">
        <v>1760</v>
      </c>
      <c r="C50" s="540" t="s">
        <v>1729</v>
      </c>
      <c r="D50" s="332" t="s">
        <v>1740</v>
      </c>
      <c r="E50" s="166"/>
      <c r="F50" s="87"/>
      <c r="G50" s="87"/>
      <c r="H50" s="521"/>
      <c r="I50" s="563" t="s">
        <v>1739</v>
      </c>
      <c r="J50" s="89"/>
      <c r="K50" s="89"/>
      <c r="L50" s="249"/>
      <c r="M50" s="1026"/>
      <c r="N50" s="341">
        <v>650000</v>
      </c>
      <c r="O50" s="415">
        <f t="shared" si="4"/>
        <v>702000</v>
      </c>
      <c r="P50" s="252"/>
      <c r="Q50" s="46"/>
    </row>
    <row r="51" spans="1:17" ht="13.2">
      <c r="A51" s="3297" t="s">
        <v>1721</v>
      </c>
      <c r="B51" s="3298"/>
      <c r="C51" s="3298"/>
      <c r="D51" s="3298"/>
      <c r="E51" s="3298"/>
      <c r="F51" s="3298"/>
      <c r="G51" s="3298"/>
      <c r="H51" s="3298"/>
      <c r="I51" s="554"/>
      <c r="J51" s="369"/>
      <c r="K51" s="369"/>
      <c r="L51" s="346"/>
      <c r="M51" s="346"/>
      <c r="N51" s="346"/>
      <c r="O51" s="346"/>
      <c r="P51" s="346"/>
      <c r="Q51" s="346"/>
    </row>
    <row r="52" spans="1:17">
      <c r="A52" s="98">
        <v>1</v>
      </c>
      <c r="B52" s="536" t="s">
        <v>1840</v>
      </c>
      <c r="C52" s="540" t="s">
        <v>1817</v>
      </c>
      <c r="D52" s="179" t="s">
        <v>1819</v>
      </c>
      <c r="E52" s="166"/>
      <c r="F52" s="87"/>
      <c r="G52" s="87"/>
      <c r="H52" s="548" t="s">
        <v>1890</v>
      </c>
      <c r="I52" s="563" t="s">
        <v>1818</v>
      </c>
      <c r="J52" s="89"/>
      <c r="K52" s="89"/>
      <c r="L52" s="249"/>
      <c r="M52" s="1026"/>
      <c r="N52" s="341">
        <v>650000</v>
      </c>
      <c r="O52" s="415">
        <f>+N52*1.08</f>
        <v>702000</v>
      </c>
      <c r="P52" s="252"/>
      <c r="Q52" s="46"/>
    </row>
    <row r="53" spans="1:17">
      <c r="A53" s="98">
        <v>2</v>
      </c>
      <c r="B53" s="536" t="s">
        <v>1841</v>
      </c>
      <c r="C53" s="540" t="s">
        <v>1817</v>
      </c>
      <c r="D53" s="179" t="s">
        <v>1821</v>
      </c>
      <c r="E53" s="166"/>
      <c r="F53" s="87"/>
      <c r="G53" s="87"/>
      <c r="H53" s="548" t="s">
        <v>1891</v>
      </c>
      <c r="I53" s="563" t="s">
        <v>1820</v>
      </c>
      <c r="J53" s="89"/>
      <c r="K53" s="89"/>
      <c r="L53" s="249"/>
      <c r="M53" s="1026"/>
      <c r="N53" s="341">
        <v>650000</v>
      </c>
      <c r="O53" s="415">
        <f t="shared" ref="O53:O58" si="5">+N53*1.08</f>
        <v>702000</v>
      </c>
      <c r="P53" s="252"/>
      <c r="Q53" s="46"/>
    </row>
    <row r="54" spans="1:17">
      <c r="A54" s="98">
        <v>3</v>
      </c>
      <c r="B54" s="536" t="s">
        <v>1842</v>
      </c>
      <c r="C54" s="540" t="s">
        <v>1817</v>
      </c>
      <c r="D54" s="179" t="s">
        <v>1823</v>
      </c>
      <c r="E54" s="166"/>
      <c r="F54" s="87"/>
      <c r="G54" s="87"/>
      <c r="H54" s="548" t="s">
        <v>1892</v>
      </c>
      <c r="I54" s="563" t="s">
        <v>1822</v>
      </c>
      <c r="J54" s="89"/>
      <c r="K54" s="89"/>
      <c r="L54" s="249"/>
      <c r="M54" s="1026"/>
      <c r="N54" s="341">
        <v>650000</v>
      </c>
      <c r="O54" s="415">
        <f t="shared" si="5"/>
        <v>702000</v>
      </c>
      <c r="P54" s="252"/>
      <c r="Q54" s="46"/>
    </row>
    <row r="55" spans="1:17">
      <c r="A55" s="98">
        <v>4</v>
      </c>
      <c r="B55" s="536" t="s">
        <v>1843</v>
      </c>
      <c r="C55" s="540" t="s">
        <v>1817</v>
      </c>
      <c r="D55" s="179" t="s">
        <v>1825</v>
      </c>
      <c r="E55" s="166"/>
      <c r="F55" s="87"/>
      <c r="G55" s="87"/>
      <c r="H55" s="548" t="s">
        <v>1893</v>
      </c>
      <c r="I55" s="563" t="s">
        <v>1824</v>
      </c>
      <c r="J55" s="89"/>
      <c r="K55" s="89"/>
      <c r="L55" s="249"/>
      <c r="M55" s="1026"/>
      <c r="N55" s="341">
        <v>650000</v>
      </c>
      <c r="O55" s="415">
        <f t="shared" si="5"/>
        <v>702000</v>
      </c>
      <c r="P55" s="252"/>
      <c r="Q55" s="46"/>
    </row>
    <row r="56" spans="1:17">
      <c r="A56" s="98">
        <v>5</v>
      </c>
      <c r="B56" s="536" t="s">
        <v>1866</v>
      </c>
      <c r="C56" s="540" t="s">
        <v>1847</v>
      </c>
      <c r="D56" s="179" t="s">
        <v>1849</v>
      </c>
      <c r="E56" s="166"/>
      <c r="F56" s="87"/>
      <c r="G56" s="87"/>
      <c r="H56" s="548" t="s">
        <v>1894</v>
      </c>
      <c r="I56" s="563" t="s">
        <v>1848</v>
      </c>
      <c r="J56" s="89"/>
      <c r="K56" s="89"/>
      <c r="L56" s="249"/>
      <c r="M56" s="1026"/>
      <c r="N56" s="341">
        <v>650000</v>
      </c>
      <c r="O56" s="415">
        <f t="shared" si="5"/>
        <v>702000</v>
      </c>
      <c r="P56" s="252"/>
      <c r="Q56" s="46"/>
    </row>
    <row r="57" spans="1:17">
      <c r="A57" s="98">
        <v>6</v>
      </c>
      <c r="B57" s="536" t="s">
        <v>1867</v>
      </c>
      <c r="C57" s="540" t="s">
        <v>1847</v>
      </c>
      <c r="D57" s="179" t="s">
        <v>1851</v>
      </c>
      <c r="E57" s="166"/>
      <c r="F57" s="87"/>
      <c r="G57" s="87"/>
      <c r="H57" s="548" t="s">
        <v>1895</v>
      </c>
      <c r="I57" s="563" t="s">
        <v>1850</v>
      </c>
      <c r="J57" s="89"/>
      <c r="K57" s="89"/>
      <c r="L57" s="249"/>
      <c r="M57" s="1026"/>
      <c r="N57" s="341">
        <v>650000</v>
      </c>
      <c r="O57" s="415">
        <f t="shared" si="5"/>
        <v>702000</v>
      </c>
      <c r="P57" s="252"/>
      <c r="Q57" s="46"/>
    </row>
    <row r="58" spans="1:17">
      <c r="A58" s="98">
        <v>7</v>
      </c>
      <c r="B58" s="536" t="s">
        <v>1868</v>
      </c>
      <c r="C58" s="540" t="s">
        <v>1847</v>
      </c>
      <c r="D58" s="179" t="s">
        <v>1853</v>
      </c>
      <c r="E58" s="166"/>
      <c r="F58" s="87"/>
      <c r="G58" s="87"/>
      <c r="H58" s="548" t="s">
        <v>1896</v>
      </c>
      <c r="I58" s="563" t="s">
        <v>1852</v>
      </c>
      <c r="J58" s="89"/>
      <c r="K58" s="89"/>
      <c r="L58" s="249"/>
      <c r="M58" s="1026"/>
      <c r="N58" s="341">
        <v>650000</v>
      </c>
      <c r="O58" s="415">
        <f t="shared" si="5"/>
        <v>702000</v>
      </c>
      <c r="P58" s="252"/>
      <c r="Q58" s="46"/>
    </row>
    <row r="59" spans="1:17">
      <c r="A59" s="98">
        <v>8</v>
      </c>
      <c r="B59" s="536" t="s">
        <v>1903</v>
      </c>
      <c r="C59" s="540" t="s">
        <v>1847</v>
      </c>
      <c r="D59" s="179" t="s">
        <v>1899</v>
      </c>
      <c r="E59" s="166"/>
      <c r="F59" s="87"/>
      <c r="G59" s="87"/>
      <c r="H59" s="548" t="s">
        <v>1898</v>
      </c>
      <c r="I59" s="563" t="s">
        <v>1897</v>
      </c>
      <c r="J59" s="89"/>
      <c r="K59" s="89"/>
      <c r="L59" s="249"/>
      <c r="M59" s="1026"/>
      <c r="N59" s="341">
        <v>650000</v>
      </c>
      <c r="O59" s="415">
        <f t="shared" ref="O59:O65" si="6">+N59*1.08</f>
        <v>702000</v>
      </c>
      <c r="P59" s="252"/>
      <c r="Q59" s="46"/>
    </row>
    <row r="60" spans="1:17">
      <c r="A60" s="98">
        <v>9</v>
      </c>
      <c r="B60" s="536" t="s">
        <v>1904</v>
      </c>
      <c r="C60" s="540" t="s">
        <v>1847</v>
      </c>
      <c r="D60" s="549" t="s">
        <v>1902</v>
      </c>
      <c r="E60" s="166"/>
      <c r="F60" s="87"/>
      <c r="G60" s="87"/>
      <c r="H60" s="548" t="s">
        <v>1901</v>
      </c>
      <c r="I60" s="563" t="s">
        <v>1900</v>
      </c>
      <c r="J60" s="89"/>
      <c r="K60" s="89"/>
      <c r="L60" s="249"/>
      <c r="M60" s="1026"/>
      <c r="N60" s="341">
        <v>650000</v>
      </c>
      <c r="O60" s="415">
        <f t="shared" si="6"/>
        <v>702000</v>
      </c>
      <c r="P60" s="252"/>
      <c r="Q60" s="46"/>
    </row>
    <row r="61" spans="1:17">
      <c r="A61" s="98">
        <v>10</v>
      </c>
      <c r="B61" s="536" t="s">
        <v>1886</v>
      </c>
      <c r="C61" s="540" t="s">
        <v>1887</v>
      </c>
      <c r="D61" s="179" t="s">
        <v>1884</v>
      </c>
      <c r="E61" s="166"/>
      <c r="F61" s="87"/>
      <c r="G61" s="87"/>
      <c r="H61" s="548" t="s">
        <v>1889</v>
      </c>
      <c r="I61" s="563" t="s">
        <v>1885</v>
      </c>
      <c r="J61" s="89"/>
      <c r="K61" s="89"/>
      <c r="L61" s="249"/>
      <c r="M61" s="1026"/>
      <c r="N61" s="341">
        <v>650000</v>
      </c>
      <c r="O61" s="415">
        <f t="shared" si="6"/>
        <v>702000</v>
      </c>
      <c r="P61" s="252"/>
      <c r="Q61" s="46"/>
    </row>
    <row r="62" spans="1:17">
      <c r="A62" s="98">
        <v>11</v>
      </c>
      <c r="B62" s="536" t="s">
        <v>1917</v>
      </c>
      <c r="C62" s="540" t="s">
        <v>1905</v>
      </c>
      <c r="D62" s="179" t="s">
        <v>1910</v>
      </c>
      <c r="E62" s="166"/>
      <c r="F62" s="87"/>
      <c r="G62" s="87"/>
      <c r="H62" s="548" t="s">
        <v>1919</v>
      </c>
      <c r="I62" s="563" t="s">
        <v>1909</v>
      </c>
      <c r="J62" s="89"/>
      <c r="K62" s="89"/>
      <c r="L62" s="249"/>
      <c r="M62" s="1026"/>
      <c r="N62" s="341">
        <v>650000</v>
      </c>
      <c r="O62" s="415">
        <f t="shared" si="6"/>
        <v>702000</v>
      </c>
      <c r="P62" s="252"/>
      <c r="Q62" s="46"/>
    </row>
    <row r="63" spans="1:17">
      <c r="A63" s="98">
        <v>12</v>
      </c>
      <c r="B63" s="536" t="s">
        <v>1918</v>
      </c>
      <c r="C63" s="540" t="s">
        <v>1905</v>
      </c>
      <c r="D63" s="179" t="s">
        <v>1912</v>
      </c>
      <c r="E63" s="166"/>
      <c r="F63" s="87"/>
      <c r="G63" s="87"/>
      <c r="H63" s="548" t="s">
        <v>1920</v>
      </c>
      <c r="I63" s="563" t="s">
        <v>1911</v>
      </c>
      <c r="J63" s="89"/>
      <c r="K63" s="89"/>
      <c r="L63" s="249"/>
      <c r="M63" s="1026"/>
      <c r="N63" s="341">
        <v>650000</v>
      </c>
      <c r="O63" s="415">
        <f t="shared" si="6"/>
        <v>702000</v>
      </c>
      <c r="P63" s="252"/>
      <c r="Q63" s="46"/>
    </row>
    <row r="64" spans="1:17">
      <c r="A64" s="98">
        <v>13</v>
      </c>
      <c r="B64" s="536" t="s">
        <v>1922</v>
      </c>
      <c r="C64" s="540" t="s">
        <v>1905</v>
      </c>
      <c r="D64" s="179" t="s">
        <v>1921</v>
      </c>
      <c r="E64" s="166"/>
      <c r="F64" s="87"/>
      <c r="G64" s="87"/>
      <c r="H64" s="550" t="s">
        <v>1924</v>
      </c>
      <c r="I64" s="563" t="s">
        <v>1923</v>
      </c>
      <c r="J64" s="89"/>
      <c r="K64" s="89"/>
      <c r="L64" s="249"/>
      <c r="M64" s="1026"/>
      <c r="N64" s="341">
        <v>650000</v>
      </c>
      <c r="O64" s="415">
        <f t="shared" si="6"/>
        <v>702000</v>
      </c>
      <c r="P64" s="252"/>
      <c r="Q64" s="46"/>
    </row>
    <row r="65" spans="1:17">
      <c r="A65" s="98">
        <v>14</v>
      </c>
      <c r="B65" s="536" t="s">
        <v>1925</v>
      </c>
      <c r="C65" s="540" t="s">
        <v>1905</v>
      </c>
      <c r="D65" s="179" t="s">
        <v>1927</v>
      </c>
      <c r="E65" s="166"/>
      <c r="F65" s="87"/>
      <c r="G65" s="87"/>
      <c r="H65" s="550" t="s">
        <v>1928</v>
      </c>
      <c r="I65" s="563" t="s">
        <v>1926</v>
      </c>
      <c r="J65" s="89"/>
      <c r="K65" s="89"/>
      <c r="L65" s="249"/>
      <c r="M65" s="1026"/>
      <c r="N65" s="341">
        <v>650000</v>
      </c>
      <c r="O65" s="415">
        <f t="shared" si="6"/>
        <v>702000</v>
      </c>
      <c r="P65" s="252"/>
      <c r="Q65" s="46"/>
    </row>
    <row r="66" spans="1:17" ht="13.2">
      <c r="A66" s="3297" t="s">
        <v>1869</v>
      </c>
      <c r="B66" s="3298"/>
      <c r="C66" s="3298"/>
      <c r="D66" s="3298"/>
      <c r="E66" s="3298"/>
      <c r="F66" s="3298"/>
      <c r="G66" s="3298"/>
      <c r="H66" s="3298"/>
      <c r="I66" s="554"/>
      <c r="J66" s="369"/>
      <c r="K66" s="369"/>
      <c r="L66" s="346"/>
      <c r="M66" s="346"/>
      <c r="N66" s="346"/>
      <c r="O66" s="346"/>
      <c r="P66" s="346"/>
      <c r="Q66" s="346"/>
    </row>
    <row r="67" spans="1:17">
      <c r="A67" s="98">
        <v>1</v>
      </c>
      <c r="B67" s="442">
        <v>306062685630</v>
      </c>
      <c r="C67" s="542">
        <v>45272</v>
      </c>
      <c r="D67" s="179" t="s">
        <v>1954</v>
      </c>
      <c r="E67" s="166"/>
      <c r="F67" s="87"/>
      <c r="G67" s="87"/>
      <c r="H67" s="550" t="s">
        <v>1978</v>
      </c>
      <c r="I67" s="563" t="s">
        <v>1953</v>
      </c>
      <c r="J67" s="89"/>
      <c r="K67" s="89"/>
      <c r="L67" s="249"/>
      <c r="M67" s="1026"/>
      <c r="N67" s="341">
        <v>650000</v>
      </c>
      <c r="O67" s="415">
        <f t="shared" ref="O67:O72" si="7">+N67*1.08</f>
        <v>702000</v>
      </c>
      <c r="P67" s="252"/>
      <c r="Q67" s="46"/>
    </row>
    <row r="68" spans="1:17">
      <c r="A68" s="98">
        <v>2</v>
      </c>
      <c r="B68" s="442">
        <v>306062883250</v>
      </c>
      <c r="C68" s="542">
        <v>45272</v>
      </c>
      <c r="D68" s="179" t="s">
        <v>1955</v>
      </c>
      <c r="E68" s="166"/>
      <c r="F68" s="87"/>
      <c r="G68" s="87"/>
      <c r="H68" s="550" t="s">
        <v>1979</v>
      </c>
      <c r="I68" s="562">
        <v>122300027402885</v>
      </c>
      <c r="J68" s="89"/>
      <c r="K68" s="89"/>
      <c r="L68" s="249"/>
      <c r="M68" s="1026"/>
      <c r="N68" s="341">
        <v>650000</v>
      </c>
      <c r="O68" s="415">
        <f t="shared" si="7"/>
        <v>702000</v>
      </c>
      <c r="P68" s="252"/>
      <c r="Q68" s="46"/>
    </row>
    <row r="69" spans="1:17">
      <c r="A69" s="98">
        <v>3</v>
      </c>
      <c r="B69" s="442">
        <v>306063131530</v>
      </c>
      <c r="C69" s="542">
        <v>45272</v>
      </c>
      <c r="D69" s="179" t="s">
        <v>1956</v>
      </c>
      <c r="E69" s="166"/>
      <c r="F69" s="87"/>
      <c r="G69" s="87"/>
      <c r="H69" s="550" t="s">
        <v>1980</v>
      </c>
      <c r="I69" s="562">
        <v>122300027406288</v>
      </c>
      <c r="J69" s="89"/>
      <c r="K69" s="89"/>
      <c r="L69" s="249"/>
      <c r="M69" s="1026"/>
      <c r="N69" s="341">
        <v>650000</v>
      </c>
      <c r="O69" s="415">
        <f t="shared" si="7"/>
        <v>702000</v>
      </c>
      <c r="P69" s="252"/>
      <c r="Q69" s="46"/>
    </row>
    <row r="70" spans="1:17">
      <c r="A70" s="98">
        <v>4</v>
      </c>
      <c r="B70" s="442">
        <v>306063313860</v>
      </c>
      <c r="C70" s="542">
        <v>45272</v>
      </c>
      <c r="D70" s="179" t="s">
        <v>1957</v>
      </c>
      <c r="E70" s="166"/>
      <c r="F70" s="87"/>
      <c r="G70" s="87"/>
      <c r="H70" s="550" t="s">
        <v>1981</v>
      </c>
      <c r="I70" s="562">
        <v>122300027408587</v>
      </c>
      <c r="J70" s="89"/>
      <c r="K70" s="89"/>
      <c r="L70" s="249"/>
      <c r="M70" s="1026"/>
      <c r="N70" s="341">
        <v>650000</v>
      </c>
      <c r="O70" s="415">
        <f t="shared" si="7"/>
        <v>702000</v>
      </c>
      <c r="P70" s="252"/>
      <c r="Q70" s="46"/>
    </row>
    <row r="71" spans="1:17">
      <c r="A71" s="98">
        <v>5</v>
      </c>
      <c r="B71" s="442">
        <v>306090252700</v>
      </c>
      <c r="C71" s="540" t="s">
        <v>2022</v>
      </c>
      <c r="D71" s="179" t="s">
        <v>2024</v>
      </c>
      <c r="E71" s="166"/>
      <c r="F71" s="87"/>
      <c r="G71" s="87"/>
      <c r="H71" s="550" t="s">
        <v>2023</v>
      </c>
      <c r="I71" s="562">
        <v>122300027740181</v>
      </c>
      <c r="J71" s="89"/>
      <c r="K71" s="89"/>
      <c r="L71" s="249"/>
      <c r="M71" s="1026"/>
      <c r="N71" s="341">
        <v>650000</v>
      </c>
      <c r="O71" s="415">
        <f t="shared" si="7"/>
        <v>702000</v>
      </c>
      <c r="P71" s="252"/>
      <c r="Q71" s="46"/>
    </row>
    <row r="72" spans="1:17">
      <c r="A72" s="98">
        <v>6</v>
      </c>
      <c r="B72" s="442">
        <v>306090344510</v>
      </c>
      <c r="C72" s="540" t="s">
        <v>2022</v>
      </c>
      <c r="D72" s="179" t="s">
        <v>2027</v>
      </c>
      <c r="E72" s="166"/>
      <c r="F72" s="87"/>
      <c r="G72" s="87"/>
      <c r="H72" s="550" t="s">
        <v>2026</v>
      </c>
      <c r="I72" s="563" t="s">
        <v>2025</v>
      </c>
      <c r="J72" s="89"/>
      <c r="K72" s="89"/>
      <c r="L72" s="249"/>
      <c r="M72" s="1026"/>
      <c r="N72" s="341">
        <v>650000</v>
      </c>
      <c r="O72" s="415">
        <f t="shared" si="7"/>
        <v>702000</v>
      </c>
      <c r="P72" s="252"/>
      <c r="Q72" s="46"/>
    </row>
    <row r="73" spans="1:17">
      <c r="A73" s="98">
        <v>7</v>
      </c>
      <c r="B73" s="442">
        <v>306093395660</v>
      </c>
      <c r="C73" s="540" t="s">
        <v>2015</v>
      </c>
      <c r="D73" s="179" t="s">
        <v>2029</v>
      </c>
      <c r="E73" s="166"/>
      <c r="F73" s="87"/>
      <c r="G73" s="87"/>
      <c r="H73" s="117" t="s">
        <v>2028</v>
      </c>
      <c r="I73" s="562">
        <v>122300027779738</v>
      </c>
      <c r="J73" s="89"/>
      <c r="K73" s="89"/>
      <c r="L73" s="249"/>
      <c r="M73" s="1026"/>
      <c r="N73" s="341">
        <v>650000</v>
      </c>
      <c r="O73" s="415">
        <f>+N73*1.08</f>
        <v>702000</v>
      </c>
      <c r="P73" s="252"/>
      <c r="Q73" s="46"/>
    </row>
    <row r="74" spans="1:17">
      <c r="A74" s="98">
        <v>8</v>
      </c>
      <c r="B74" s="442">
        <v>306098691900</v>
      </c>
      <c r="C74" s="540" t="s">
        <v>2017</v>
      </c>
      <c r="D74" s="179" t="s">
        <v>2039</v>
      </c>
      <c r="E74" s="166"/>
      <c r="F74" s="87"/>
      <c r="G74" s="87"/>
      <c r="H74" s="117" t="s">
        <v>2038</v>
      </c>
      <c r="I74" s="562">
        <v>122300027844691</v>
      </c>
      <c r="J74" s="89"/>
      <c r="K74" s="89"/>
      <c r="L74" s="249"/>
      <c r="M74" s="1026"/>
      <c r="N74" s="341">
        <v>650000</v>
      </c>
      <c r="O74" s="415">
        <f>+N74*1.08</f>
        <v>702000</v>
      </c>
      <c r="P74" s="252"/>
      <c r="Q74" s="46"/>
    </row>
    <row r="75" spans="1:17">
      <c r="A75" s="98">
        <v>9</v>
      </c>
      <c r="B75" s="442">
        <v>306100258130</v>
      </c>
      <c r="C75" s="540" t="s">
        <v>2017</v>
      </c>
      <c r="D75" s="179" t="s">
        <v>2040</v>
      </c>
      <c r="E75" s="166"/>
      <c r="F75" s="87"/>
      <c r="G75" s="87"/>
      <c r="H75" s="116" t="s">
        <v>2041</v>
      </c>
      <c r="I75" s="562">
        <v>122300027848956</v>
      </c>
      <c r="J75" s="89"/>
      <c r="K75" s="89"/>
      <c r="L75" s="249"/>
      <c r="M75" s="1026"/>
      <c r="N75" s="341">
        <v>650000</v>
      </c>
      <c r="O75" s="415">
        <f>+N75*1.08</f>
        <v>702000</v>
      </c>
      <c r="P75" s="252"/>
      <c r="Q75" s="46"/>
    </row>
    <row r="76" spans="1:17" ht="13.2">
      <c r="A76" s="3297" t="s">
        <v>1991</v>
      </c>
      <c r="B76" s="3298"/>
      <c r="C76" s="3298"/>
      <c r="D76" s="3298"/>
      <c r="E76" s="3298"/>
      <c r="F76" s="3298"/>
      <c r="G76" s="3298"/>
      <c r="H76" s="3298"/>
      <c r="I76" s="554"/>
      <c r="J76" s="369"/>
      <c r="K76" s="369"/>
      <c r="L76" s="346"/>
      <c r="M76" s="346"/>
      <c r="N76" s="346"/>
      <c r="O76" s="346"/>
      <c r="P76" s="346"/>
      <c r="Q76" s="346"/>
    </row>
    <row r="77" spans="1:17">
      <c r="A77" s="98">
        <v>1</v>
      </c>
      <c r="B77" s="442">
        <v>306140690720</v>
      </c>
      <c r="C77" s="541" t="s">
        <v>2077</v>
      </c>
      <c r="D77" s="179" t="s">
        <v>2078</v>
      </c>
      <c r="E77" s="166"/>
      <c r="F77" s="87"/>
      <c r="G77" s="87"/>
      <c r="H77" s="548" t="s">
        <v>2152</v>
      </c>
      <c r="I77" s="562">
        <v>122400024003531</v>
      </c>
      <c r="J77" s="89"/>
      <c r="K77" s="89"/>
      <c r="L77" s="249"/>
      <c r="M77" s="1026"/>
      <c r="N77" s="341">
        <v>650000</v>
      </c>
      <c r="O77" s="415">
        <f t="shared" ref="O77:O82" si="8">+N77*1.08</f>
        <v>702000</v>
      </c>
      <c r="P77" s="252"/>
      <c r="Q77" s="46"/>
    </row>
    <row r="78" spans="1:17">
      <c r="A78" s="98">
        <v>2</v>
      </c>
      <c r="B78" s="525">
        <v>306142316820</v>
      </c>
      <c r="C78" s="541" t="s">
        <v>2079</v>
      </c>
      <c r="D78" s="179" t="s">
        <v>2080</v>
      </c>
      <c r="E78" s="166"/>
      <c r="F78" s="87"/>
      <c r="G78" s="87"/>
      <c r="H78" s="548" t="s">
        <v>2153</v>
      </c>
      <c r="I78" s="562">
        <v>122400024024448</v>
      </c>
      <c r="J78" s="89"/>
      <c r="K78" s="89"/>
      <c r="L78" s="249"/>
      <c r="M78" s="1026"/>
      <c r="N78" s="341">
        <v>650000</v>
      </c>
      <c r="O78" s="415">
        <f t="shared" si="8"/>
        <v>702000</v>
      </c>
      <c r="P78" s="252"/>
      <c r="Q78" s="46"/>
    </row>
    <row r="79" spans="1:17">
      <c r="A79" s="98">
        <v>3</v>
      </c>
      <c r="B79" s="442">
        <v>306142547710</v>
      </c>
      <c r="C79" s="541" t="s">
        <v>2079</v>
      </c>
      <c r="D79" s="179" t="s">
        <v>2081</v>
      </c>
      <c r="E79" s="166"/>
      <c r="F79" s="87"/>
      <c r="G79" s="87"/>
      <c r="H79" s="548" t="s">
        <v>2154</v>
      </c>
      <c r="I79" s="562">
        <v>122400024027571</v>
      </c>
      <c r="J79" s="89"/>
      <c r="K79" s="89"/>
      <c r="L79" s="249"/>
      <c r="M79" s="1026"/>
      <c r="N79" s="341">
        <v>650000</v>
      </c>
      <c r="O79" s="415">
        <f t="shared" si="8"/>
        <v>702000</v>
      </c>
      <c r="P79" s="252"/>
      <c r="Q79" s="46"/>
    </row>
    <row r="80" spans="1:17">
      <c r="A80" s="98">
        <v>4</v>
      </c>
      <c r="B80" s="442">
        <v>306142399530</v>
      </c>
      <c r="C80" s="541" t="s">
        <v>2079</v>
      </c>
      <c r="D80" s="179" t="s">
        <v>2082</v>
      </c>
      <c r="E80" s="166"/>
      <c r="F80" s="87"/>
      <c r="G80" s="87"/>
      <c r="H80" s="548" t="s">
        <v>2155</v>
      </c>
      <c r="I80" s="562">
        <v>122400024025467</v>
      </c>
      <c r="J80" s="89"/>
      <c r="K80" s="89"/>
      <c r="L80" s="249"/>
      <c r="M80" s="1026"/>
      <c r="N80" s="341">
        <v>650000</v>
      </c>
      <c r="O80" s="415">
        <f t="shared" si="8"/>
        <v>702000</v>
      </c>
      <c r="P80" s="252"/>
      <c r="Q80" s="46"/>
    </row>
    <row r="81" spans="1:17">
      <c r="A81" s="98">
        <v>5</v>
      </c>
      <c r="B81" s="442">
        <v>306158309240</v>
      </c>
      <c r="C81" s="540" t="s">
        <v>2110</v>
      </c>
      <c r="D81" s="179" t="s">
        <v>2114</v>
      </c>
      <c r="E81" s="166"/>
      <c r="F81" s="87"/>
      <c r="G81" s="87"/>
      <c r="H81" s="548" t="s">
        <v>2156</v>
      </c>
      <c r="I81" s="562">
        <v>122400024224479</v>
      </c>
      <c r="J81" s="89"/>
      <c r="K81" s="89"/>
      <c r="L81" s="249"/>
      <c r="M81" s="1026"/>
      <c r="N81" s="341">
        <v>650000</v>
      </c>
      <c r="O81" s="415">
        <f t="shared" si="8"/>
        <v>702000</v>
      </c>
      <c r="P81" s="252"/>
      <c r="Q81" s="46"/>
    </row>
    <row r="82" spans="1:17">
      <c r="A82" s="98">
        <v>6</v>
      </c>
      <c r="B82" s="442">
        <v>306161177840</v>
      </c>
      <c r="C82" s="540" t="s">
        <v>2121</v>
      </c>
      <c r="D82" s="179" t="s">
        <v>2122</v>
      </c>
      <c r="E82" s="166"/>
      <c r="F82" s="87"/>
      <c r="G82" s="87"/>
      <c r="H82" s="548" t="s">
        <v>2157</v>
      </c>
      <c r="I82" s="562">
        <v>122400024268839</v>
      </c>
      <c r="J82" s="89"/>
      <c r="K82" s="89"/>
      <c r="L82" s="249"/>
      <c r="M82" s="1026"/>
      <c r="N82" s="341">
        <v>650000</v>
      </c>
      <c r="O82" s="415">
        <f t="shared" si="8"/>
        <v>702000</v>
      </c>
      <c r="P82" s="252"/>
      <c r="Q82" s="46"/>
    </row>
    <row r="83" spans="1:17" ht="13.2">
      <c r="A83" s="3297" t="s">
        <v>2104</v>
      </c>
      <c r="B83" s="3298"/>
      <c r="C83" s="3298"/>
      <c r="D83" s="3298"/>
      <c r="E83" s="3298"/>
      <c r="F83" s="3298"/>
      <c r="G83" s="3298"/>
      <c r="H83" s="3298"/>
      <c r="I83" s="554"/>
      <c r="J83" s="369"/>
      <c r="K83" s="369"/>
      <c r="L83" s="346"/>
      <c r="M83" s="346"/>
      <c r="N83" s="346"/>
      <c r="O83" s="346"/>
      <c r="P83" s="346"/>
      <c r="Q83" s="346"/>
    </row>
    <row r="84" spans="1:17">
      <c r="A84" s="98">
        <v>1</v>
      </c>
      <c r="B84" s="442">
        <v>306191127820</v>
      </c>
      <c r="C84" s="592">
        <v>45324</v>
      </c>
      <c r="D84" s="179" t="s">
        <v>2164</v>
      </c>
      <c r="E84" s="166"/>
      <c r="F84" s="87"/>
      <c r="G84" s="87"/>
      <c r="H84" s="548" t="s">
        <v>2217</v>
      </c>
      <c r="I84" s="562" t="s">
        <v>2163</v>
      </c>
      <c r="J84" s="591"/>
      <c r="K84" s="591"/>
      <c r="L84" s="591"/>
      <c r="M84" s="1156"/>
      <c r="N84" s="341">
        <v>650000</v>
      </c>
      <c r="O84" s="415">
        <f>+N84*1.08</f>
        <v>702000</v>
      </c>
      <c r="P84" s="252"/>
      <c r="Q84" s="46"/>
    </row>
    <row r="85" spans="1:17">
      <c r="A85" s="98">
        <v>2</v>
      </c>
      <c r="B85" s="442">
        <v>306191335830</v>
      </c>
      <c r="C85" s="592">
        <v>45324</v>
      </c>
      <c r="D85" s="179" t="s">
        <v>2165</v>
      </c>
      <c r="E85" s="166"/>
      <c r="F85" s="87"/>
      <c r="G85" s="87"/>
      <c r="H85" s="548" t="s">
        <v>2218</v>
      </c>
      <c r="I85" s="562">
        <v>122400024639553</v>
      </c>
      <c r="J85" s="89"/>
      <c r="K85" s="89"/>
      <c r="L85" s="249"/>
      <c r="M85" s="1026"/>
      <c r="N85" s="341">
        <v>650000</v>
      </c>
      <c r="O85" s="415">
        <f>+N85*1.08</f>
        <v>702000</v>
      </c>
      <c r="P85" s="252"/>
      <c r="Q85" s="46"/>
    </row>
    <row r="86" spans="1:17">
      <c r="A86" s="98">
        <v>3</v>
      </c>
      <c r="B86" s="442">
        <v>306194523960</v>
      </c>
      <c r="C86" s="592">
        <v>45325</v>
      </c>
      <c r="D86" s="179" t="s">
        <v>2167</v>
      </c>
      <c r="E86" s="594" t="s">
        <v>2168</v>
      </c>
      <c r="F86" s="87"/>
      <c r="G86" s="87"/>
      <c r="H86" s="548" t="s">
        <v>2219</v>
      </c>
      <c r="I86" s="562">
        <v>122400024641809</v>
      </c>
      <c r="J86" s="89"/>
      <c r="K86" s="89"/>
      <c r="L86" s="249"/>
      <c r="M86" s="1026"/>
      <c r="N86" s="341">
        <v>650000</v>
      </c>
      <c r="O86" s="415">
        <f>+N86*1.08</f>
        <v>702000</v>
      </c>
      <c r="P86" s="252"/>
      <c r="Q86" s="46"/>
    </row>
    <row r="87" spans="1:17">
      <c r="A87" s="98">
        <v>4</v>
      </c>
      <c r="B87" s="442">
        <v>306230588810</v>
      </c>
      <c r="C87" s="592" t="s">
        <v>2214</v>
      </c>
      <c r="D87" s="179" t="s">
        <v>2215</v>
      </c>
      <c r="E87" s="166"/>
      <c r="F87" s="87"/>
      <c r="G87" s="87"/>
      <c r="H87" s="548" t="s">
        <v>2221</v>
      </c>
      <c r="I87" s="562">
        <v>122400025129980</v>
      </c>
      <c r="J87" s="89"/>
      <c r="K87" s="89"/>
      <c r="L87" s="249"/>
      <c r="M87" s="1026"/>
      <c r="N87" s="341">
        <v>650000</v>
      </c>
      <c r="O87" s="415">
        <f>+N87*1.08</f>
        <v>702000</v>
      </c>
      <c r="P87" s="252"/>
      <c r="Q87" s="46"/>
    </row>
    <row r="88" spans="1:17">
      <c r="A88" s="98">
        <v>5</v>
      </c>
      <c r="B88" s="442">
        <v>306230690530</v>
      </c>
      <c r="C88" s="592" t="s">
        <v>2214</v>
      </c>
      <c r="D88" s="179" t="s">
        <v>2216</v>
      </c>
      <c r="E88" s="166"/>
      <c r="F88" s="87"/>
      <c r="G88" s="87"/>
      <c r="H88" s="548" t="s">
        <v>2220</v>
      </c>
      <c r="I88" s="562">
        <v>122400025131227</v>
      </c>
      <c r="J88" s="89"/>
      <c r="K88" s="89"/>
      <c r="L88" s="249"/>
      <c r="M88" s="1026"/>
      <c r="N88" s="341">
        <v>650000</v>
      </c>
      <c r="O88" s="415">
        <f>+N88*1.08</f>
        <v>702000</v>
      </c>
      <c r="P88" s="252"/>
      <c r="Q88" s="46"/>
    </row>
    <row r="89" spans="1:17" ht="13.2">
      <c r="A89" s="3297" t="s">
        <v>2192</v>
      </c>
      <c r="B89" s="3298"/>
      <c r="C89" s="3298"/>
      <c r="D89" s="3298"/>
      <c r="E89" s="3298"/>
      <c r="F89" s="3298"/>
      <c r="G89" s="3298"/>
      <c r="H89" s="3298"/>
      <c r="I89" s="554"/>
      <c r="J89" s="369"/>
      <c r="K89" s="369"/>
      <c r="L89" s="346"/>
      <c r="M89" s="346"/>
      <c r="N89" s="597">
        <f>SUM(N83:N88)</f>
        <v>3250000</v>
      </c>
      <c r="O89" s="346"/>
      <c r="P89" s="346"/>
      <c r="Q89" s="346"/>
    </row>
    <row r="90" spans="1:17">
      <c r="A90" s="98">
        <v>1</v>
      </c>
      <c r="B90" s="442">
        <v>306245787210</v>
      </c>
      <c r="C90" s="596" t="s">
        <v>2235</v>
      </c>
      <c r="D90" s="179" t="s">
        <v>2236</v>
      </c>
      <c r="E90" s="166"/>
      <c r="F90" s="87"/>
      <c r="G90" s="87"/>
      <c r="H90" s="548" t="s">
        <v>2319</v>
      </c>
      <c r="I90" s="562">
        <v>122400025323208</v>
      </c>
      <c r="J90" s="89"/>
      <c r="K90" s="89"/>
      <c r="L90" s="249"/>
      <c r="M90" s="1026"/>
      <c r="N90" s="341">
        <v>650000</v>
      </c>
      <c r="O90" s="415">
        <f t="shared" ref="O90:O97" si="9">+N90*1.08</f>
        <v>702000</v>
      </c>
      <c r="P90" s="252"/>
      <c r="Q90" s="46"/>
    </row>
    <row r="91" spans="1:17">
      <c r="A91" s="98">
        <v>2</v>
      </c>
      <c r="B91" s="442">
        <v>306246093920</v>
      </c>
      <c r="C91" s="596" t="s">
        <v>2235</v>
      </c>
      <c r="D91" s="179" t="s">
        <v>2237</v>
      </c>
      <c r="E91" s="166"/>
      <c r="F91" s="87"/>
      <c r="G91" s="87"/>
      <c r="H91" s="548" t="s">
        <v>2320</v>
      </c>
      <c r="I91" s="562">
        <v>122400025327475</v>
      </c>
      <c r="J91" s="89"/>
      <c r="K91" s="89"/>
      <c r="L91" s="249"/>
      <c r="M91" s="1026"/>
      <c r="N91" s="341">
        <v>650000</v>
      </c>
      <c r="O91" s="415">
        <f t="shared" si="9"/>
        <v>702000</v>
      </c>
      <c r="P91" s="252"/>
      <c r="Q91" s="46"/>
    </row>
    <row r="92" spans="1:17">
      <c r="A92" s="98">
        <v>3</v>
      </c>
      <c r="B92" s="442">
        <v>306245932220</v>
      </c>
      <c r="C92" s="596" t="s">
        <v>2235</v>
      </c>
      <c r="D92" s="179" t="s">
        <v>2238</v>
      </c>
      <c r="E92" s="166"/>
      <c r="F92" s="87"/>
      <c r="G92" s="87"/>
      <c r="H92" s="548" t="s">
        <v>2321</v>
      </c>
      <c r="I92" s="562">
        <v>122400025325144</v>
      </c>
      <c r="J92" s="89"/>
      <c r="K92" s="89"/>
      <c r="L92" s="249"/>
      <c r="M92" s="1026"/>
      <c r="N92" s="341">
        <v>650000</v>
      </c>
      <c r="O92" s="415">
        <f t="shared" si="9"/>
        <v>702000</v>
      </c>
      <c r="P92" s="252"/>
      <c r="Q92" s="46"/>
    </row>
    <row r="93" spans="1:17">
      <c r="A93" s="98">
        <v>4</v>
      </c>
      <c r="B93" s="442">
        <v>306264685110</v>
      </c>
      <c r="C93" s="592" t="s">
        <v>2260</v>
      </c>
      <c r="D93" s="179" t="s">
        <v>2261</v>
      </c>
      <c r="E93" s="166"/>
      <c r="F93" s="87"/>
      <c r="G93" s="87"/>
      <c r="H93" s="548" t="s">
        <v>2322</v>
      </c>
      <c r="I93" s="562">
        <v>122400025561510</v>
      </c>
      <c r="J93" s="89"/>
      <c r="K93" s="89"/>
      <c r="L93" s="249"/>
      <c r="M93" s="1026"/>
      <c r="N93" s="341">
        <v>650000</v>
      </c>
      <c r="O93" s="415">
        <f t="shared" si="9"/>
        <v>702000</v>
      </c>
      <c r="P93" s="252"/>
      <c r="Q93" s="46"/>
    </row>
    <row r="94" spans="1:17">
      <c r="A94" s="98">
        <v>5</v>
      </c>
      <c r="B94" s="442">
        <v>306264838410</v>
      </c>
      <c r="C94" s="592" t="s">
        <v>2260</v>
      </c>
      <c r="D94" s="179" t="s">
        <v>2263</v>
      </c>
      <c r="E94" s="166"/>
      <c r="F94" s="87"/>
      <c r="G94" s="87"/>
      <c r="H94" s="548" t="s">
        <v>2323</v>
      </c>
      <c r="I94" s="598" t="s">
        <v>2262</v>
      </c>
      <c r="J94" s="89"/>
      <c r="K94" s="89"/>
      <c r="L94" s="249"/>
      <c r="M94" s="1026"/>
      <c r="N94" s="341">
        <v>650000</v>
      </c>
      <c r="O94" s="415">
        <f t="shared" si="9"/>
        <v>702000</v>
      </c>
      <c r="P94" s="252"/>
      <c r="Q94" s="46"/>
    </row>
    <row r="95" spans="1:17">
      <c r="A95" s="98">
        <v>6</v>
      </c>
      <c r="B95" s="442">
        <v>306297051340</v>
      </c>
      <c r="C95" s="592" t="s">
        <v>2302</v>
      </c>
      <c r="D95" s="179" t="s">
        <v>2313</v>
      </c>
      <c r="E95" s="166"/>
      <c r="F95" s="87"/>
      <c r="G95" s="87"/>
      <c r="H95" s="548" t="s">
        <v>2314</v>
      </c>
      <c r="I95" s="562">
        <v>132400025976496</v>
      </c>
      <c r="J95" s="89"/>
      <c r="K95" s="89"/>
      <c r="L95" s="249"/>
      <c r="M95" s="1026"/>
      <c r="N95" s="341">
        <v>650000</v>
      </c>
      <c r="O95" s="415">
        <f t="shared" si="9"/>
        <v>702000</v>
      </c>
      <c r="P95" s="252"/>
      <c r="Q95" s="46"/>
    </row>
    <row r="96" spans="1:17">
      <c r="A96" s="98">
        <v>7</v>
      </c>
      <c r="B96" s="442">
        <v>306299921820</v>
      </c>
      <c r="C96" s="592" t="s">
        <v>2312</v>
      </c>
      <c r="D96" s="179" t="s">
        <v>2317</v>
      </c>
      <c r="E96" s="166"/>
      <c r="F96" s="87"/>
      <c r="G96" s="87"/>
      <c r="H96" s="548" t="s">
        <v>2318</v>
      </c>
      <c r="I96" s="562">
        <v>122400026010696</v>
      </c>
      <c r="J96" s="89"/>
      <c r="K96" s="89"/>
      <c r="L96" s="249"/>
      <c r="M96" s="1026"/>
      <c r="N96" s="341">
        <v>650000</v>
      </c>
      <c r="O96" s="415">
        <f t="shared" si="9"/>
        <v>702000</v>
      </c>
      <c r="P96" s="252"/>
      <c r="Q96" s="46"/>
    </row>
    <row r="97" spans="1:30">
      <c r="A97" s="98">
        <v>8</v>
      </c>
      <c r="B97" s="442">
        <v>306299956600</v>
      </c>
      <c r="C97" s="592" t="s">
        <v>2312</v>
      </c>
      <c r="D97" s="179" t="s">
        <v>2315</v>
      </c>
      <c r="E97" s="166"/>
      <c r="F97" s="87"/>
      <c r="G97" s="87"/>
      <c r="H97" s="548" t="s">
        <v>2316</v>
      </c>
      <c r="I97" s="562">
        <v>122400026011047</v>
      </c>
      <c r="J97" s="89"/>
      <c r="K97" s="89"/>
      <c r="L97" s="249"/>
      <c r="M97" s="1026"/>
      <c r="N97" s="341">
        <v>650000</v>
      </c>
      <c r="O97" s="415">
        <f t="shared" si="9"/>
        <v>702000</v>
      </c>
      <c r="P97" s="252"/>
      <c r="Q97" s="46"/>
    </row>
    <row r="98" spans="1:30" ht="13.2">
      <c r="A98" s="3297" t="s">
        <v>2293</v>
      </c>
      <c r="B98" s="3298"/>
      <c r="C98" s="3298"/>
      <c r="D98" s="3298"/>
      <c r="E98" s="3298"/>
      <c r="F98" s="3298"/>
      <c r="G98" s="3298"/>
      <c r="H98" s="3298"/>
      <c r="I98" s="554"/>
      <c r="J98" s="369"/>
      <c r="K98" s="369"/>
      <c r="L98" s="346"/>
      <c r="M98" s="346"/>
      <c r="N98" s="597">
        <f>SUM(N90:N97)</f>
        <v>5200000</v>
      </c>
      <c r="O98" s="346"/>
      <c r="P98" s="346"/>
      <c r="Q98" s="346"/>
    </row>
    <row r="99" spans="1:30">
      <c r="A99" s="98">
        <v>1</v>
      </c>
      <c r="B99" s="442">
        <v>306320935340</v>
      </c>
      <c r="C99" s="592">
        <v>45385</v>
      </c>
      <c r="D99" s="179" t="s">
        <v>2367</v>
      </c>
      <c r="E99" s="166"/>
      <c r="F99" s="87"/>
      <c r="G99" s="87"/>
      <c r="H99" s="548" t="s">
        <v>2372</v>
      </c>
      <c r="I99" s="562" t="s">
        <v>2371</v>
      </c>
      <c r="J99" s="89"/>
      <c r="K99" s="89"/>
      <c r="L99" s="249"/>
      <c r="M99" s="1026"/>
      <c r="N99" s="341">
        <v>650000</v>
      </c>
      <c r="O99" s="415">
        <f t="shared" ref="O99:O104" si="10">+N99*1.08</f>
        <v>702000</v>
      </c>
      <c r="P99" s="252"/>
      <c r="Q99" s="46"/>
    </row>
    <row r="100" spans="1:30">
      <c r="A100" s="98">
        <v>2</v>
      </c>
      <c r="B100" s="442">
        <v>306320766860</v>
      </c>
      <c r="C100" s="592">
        <v>45385</v>
      </c>
      <c r="D100" s="179" t="s">
        <v>2368</v>
      </c>
      <c r="E100" s="166"/>
      <c r="F100" s="87"/>
      <c r="G100" s="87"/>
      <c r="H100" s="548" t="s">
        <v>2373</v>
      </c>
      <c r="I100" s="562">
        <v>122400026279891</v>
      </c>
      <c r="J100" s="89"/>
      <c r="K100" s="89"/>
      <c r="L100" s="249"/>
      <c r="M100" s="1026"/>
      <c r="N100" s="341">
        <v>650000</v>
      </c>
      <c r="O100" s="415">
        <f t="shared" si="10"/>
        <v>702000</v>
      </c>
      <c r="P100" s="252"/>
      <c r="Q100" s="46"/>
    </row>
    <row r="101" spans="1:30">
      <c r="A101" s="98">
        <v>3</v>
      </c>
      <c r="B101" s="442">
        <v>306325057900</v>
      </c>
      <c r="C101" s="592">
        <v>45387</v>
      </c>
      <c r="D101" s="179" t="s">
        <v>2369</v>
      </c>
      <c r="E101" s="166"/>
      <c r="F101" s="87"/>
      <c r="G101" s="87"/>
      <c r="H101" s="548" t="s">
        <v>2374</v>
      </c>
      <c r="I101" s="562">
        <v>122400026337437</v>
      </c>
      <c r="J101" s="89"/>
      <c r="K101" s="89"/>
      <c r="L101" s="249"/>
      <c r="M101" s="1026"/>
      <c r="N101" s="341">
        <v>650000</v>
      </c>
      <c r="O101" s="415">
        <f t="shared" si="10"/>
        <v>702000</v>
      </c>
      <c r="P101" s="252"/>
      <c r="Q101" s="46"/>
    </row>
    <row r="102" spans="1:30">
      <c r="A102" s="98">
        <v>4</v>
      </c>
      <c r="B102" s="442">
        <v>306325005030</v>
      </c>
      <c r="C102" s="592">
        <v>45387</v>
      </c>
      <c r="D102" s="179" t="s">
        <v>2370</v>
      </c>
      <c r="E102" s="166"/>
      <c r="F102" s="87"/>
      <c r="G102" s="87"/>
      <c r="H102" s="548" t="s">
        <v>2375</v>
      </c>
      <c r="I102" s="562">
        <v>122400026336711</v>
      </c>
      <c r="J102" s="89"/>
      <c r="K102" s="89"/>
      <c r="L102" s="249"/>
      <c r="M102" s="1026"/>
      <c r="N102" s="341">
        <v>650000</v>
      </c>
      <c r="O102" s="415">
        <f t="shared" si="10"/>
        <v>702000</v>
      </c>
      <c r="P102" s="252"/>
      <c r="Q102" s="46"/>
    </row>
    <row r="103" spans="1:30">
      <c r="A103" s="98">
        <v>5</v>
      </c>
      <c r="B103" s="442">
        <v>306324918820</v>
      </c>
      <c r="C103" s="592">
        <v>45387</v>
      </c>
      <c r="D103" s="179" t="s">
        <v>2462</v>
      </c>
      <c r="E103" s="166"/>
      <c r="F103" s="87"/>
      <c r="G103" s="87"/>
      <c r="H103" s="548" t="s">
        <v>2376</v>
      </c>
      <c r="I103" s="562">
        <v>122400026334839</v>
      </c>
      <c r="J103" s="89"/>
      <c r="K103" s="89"/>
      <c r="L103" s="249"/>
      <c r="M103" s="1026"/>
      <c r="N103" s="341">
        <v>650000</v>
      </c>
      <c r="O103" s="415">
        <f t="shared" si="10"/>
        <v>702000</v>
      </c>
      <c r="P103" s="252"/>
      <c r="Q103" s="46"/>
    </row>
    <row r="104" spans="1:30">
      <c r="A104" s="98">
        <v>6</v>
      </c>
      <c r="B104" s="442">
        <v>306343586420</v>
      </c>
      <c r="C104" s="592">
        <v>45394</v>
      </c>
      <c r="D104" s="179" t="s">
        <v>2463</v>
      </c>
      <c r="E104" s="166"/>
      <c r="F104" s="87"/>
      <c r="G104" s="87"/>
      <c r="H104" s="548" t="s">
        <v>2428</v>
      </c>
      <c r="I104" s="562" t="s">
        <v>2427</v>
      </c>
      <c r="J104" s="615" t="s">
        <v>123</v>
      </c>
      <c r="K104" s="89"/>
      <c r="L104" s="249"/>
      <c r="M104" s="1026"/>
      <c r="N104" s="341">
        <v>650000</v>
      </c>
      <c r="O104" s="415">
        <f t="shared" si="10"/>
        <v>702000</v>
      </c>
      <c r="P104" s="252"/>
      <c r="Q104" s="46"/>
    </row>
    <row r="105" spans="1:30" ht="13.2">
      <c r="A105" s="3297" t="s">
        <v>2469</v>
      </c>
      <c r="B105" s="3298"/>
      <c r="C105" s="3298"/>
      <c r="D105" s="3298"/>
      <c r="E105" s="3298"/>
      <c r="F105" s="3298"/>
      <c r="G105" s="3298"/>
      <c r="H105" s="3298"/>
      <c r="I105" s="554"/>
      <c r="J105" s="369"/>
      <c r="K105" s="369"/>
      <c r="L105" s="346"/>
      <c r="M105" s="346"/>
      <c r="N105" s="597">
        <f>SUM(N97:N104)</f>
        <v>9750000</v>
      </c>
      <c r="O105" s="346"/>
      <c r="P105" s="346"/>
      <c r="Q105" s="346"/>
    </row>
    <row r="106" spans="1:30">
      <c r="A106" s="98">
        <v>1</v>
      </c>
      <c r="B106" s="442">
        <v>306429735640</v>
      </c>
      <c r="C106" s="592" t="s">
        <v>2580</v>
      </c>
      <c r="D106" s="179" t="s">
        <v>2582</v>
      </c>
      <c r="E106" s="166"/>
      <c r="F106" s="87"/>
      <c r="G106" s="87"/>
      <c r="H106" s="548" t="s">
        <v>2581</v>
      </c>
      <c r="I106" s="562">
        <v>122400027689704</v>
      </c>
      <c r="J106" s="89"/>
      <c r="K106" s="89"/>
      <c r="L106" s="249"/>
      <c r="M106" s="1026"/>
      <c r="N106" s="341">
        <v>650000</v>
      </c>
      <c r="O106" s="415">
        <f>+N106*1.08</f>
        <v>702000</v>
      </c>
      <c r="P106" s="252"/>
      <c r="Q106" s="46"/>
    </row>
    <row r="107" spans="1:30">
      <c r="A107" s="98">
        <v>2</v>
      </c>
      <c r="B107" s="442">
        <v>306429848010</v>
      </c>
      <c r="C107" s="592" t="s">
        <v>2580</v>
      </c>
      <c r="D107" s="179" t="s">
        <v>2583</v>
      </c>
      <c r="E107" s="166"/>
      <c r="F107" s="87"/>
      <c r="G107" s="87"/>
      <c r="H107" s="548" t="s">
        <v>2584</v>
      </c>
      <c r="I107" s="562">
        <v>122400027691738</v>
      </c>
      <c r="J107" s="89"/>
      <c r="K107" s="89"/>
      <c r="L107" s="249"/>
      <c r="M107" s="1026"/>
      <c r="N107" s="341">
        <v>650000</v>
      </c>
      <c r="O107" s="415">
        <f>+N107*1.08</f>
        <v>702000</v>
      </c>
      <c r="P107" s="252"/>
      <c r="Q107" s="46"/>
    </row>
    <row r="108" spans="1:30" ht="13.2">
      <c r="A108" s="3297" t="s">
        <v>3132</v>
      </c>
      <c r="B108" s="3298"/>
      <c r="C108" s="3298"/>
      <c r="D108" s="3298"/>
      <c r="E108" s="3298"/>
      <c r="F108" s="3298"/>
      <c r="G108" s="3298"/>
      <c r="H108" s="3298"/>
      <c r="I108" s="554"/>
      <c r="J108" s="369"/>
      <c r="K108" s="369"/>
      <c r="L108" s="346"/>
      <c r="M108" s="346"/>
      <c r="N108" s="597">
        <f>SUM(N100:N107)</f>
        <v>14300000</v>
      </c>
      <c r="O108" s="346"/>
      <c r="P108" s="346"/>
      <c r="Q108" s="346"/>
    </row>
    <row r="109" spans="1:30">
      <c r="A109" s="98">
        <v>1</v>
      </c>
      <c r="B109" s="442">
        <v>306702372600</v>
      </c>
      <c r="C109" s="596" t="s">
        <v>3179</v>
      </c>
      <c r="D109" s="179" t="s">
        <v>3185</v>
      </c>
      <c r="E109" s="166"/>
      <c r="F109" s="87"/>
      <c r="G109" s="87"/>
      <c r="H109" s="117" t="s">
        <v>3180</v>
      </c>
      <c r="I109" s="562">
        <v>122400031225086</v>
      </c>
      <c r="J109" s="758"/>
      <c r="K109" s="758"/>
      <c r="L109" s="249"/>
      <c r="M109" s="1026"/>
      <c r="N109" s="341">
        <v>650000</v>
      </c>
      <c r="O109" s="415">
        <f t="shared" ref="O109:O119" si="11">+N109*1.08</f>
        <v>702000</v>
      </c>
      <c r="P109" s="252"/>
      <c r="Q109" s="46"/>
    </row>
    <row r="110" spans="1:30">
      <c r="A110" s="98">
        <v>2</v>
      </c>
      <c r="B110" s="442">
        <v>306702199330</v>
      </c>
      <c r="C110" s="596" t="s">
        <v>3179</v>
      </c>
      <c r="D110" s="179" t="s">
        <v>3186</v>
      </c>
      <c r="E110" s="166"/>
      <c r="F110" s="87"/>
      <c r="G110" s="87"/>
      <c r="H110" s="117" t="s">
        <v>3181</v>
      </c>
      <c r="I110" s="562">
        <v>122400031223021</v>
      </c>
      <c r="J110" s="89"/>
      <c r="K110" s="89"/>
      <c r="L110" s="759"/>
      <c r="M110" s="1157"/>
      <c r="N110" s="341">
        <v>650000</v>
      </c>
      <c r="O110" s="415">
        <f t="shared" si="11"/>
        <v>702000</v>
      </c>
      <c r="P110" s="760"/>
      <c r="Q110" s="761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>
      <c r="A111" s="98">
        <v>3</v>
      </c>
      <c r="B111" s="443">
        <v>306702208910</v>
      </c>
      <c r="C111" s="596" t="s">
        <v>3179</v>
      </c>
      <c r="D111" s="179" t="s">
        <v>3187</v>
      </c>
      <c r="E111" s="166"/>
      <c r="F111" s="87"/>
      <c r="G111" s="87"/>
      <c r="H111" s="117" t="s">
        <v>3182</v>
      </c>
      <c r="I111" s="562" t="s">
        <v>3184</v>
      </c>
      <c r="J111" s="89"/>
      <c r="K111" s="89"/>
      <c r="L111" s="759"/>
      <c r="M111" s="1157"/>
      <c r="N111" s="341">
        <v>650000</v>
      </c>
      <c r="O111" s="415">
        <f t="shared" si="11"/>
        <v>702000</v>
      </c>
      <c r="P111" s="760"/>
      <c r="Q111" s="761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>
      <c r="A112" s="98">
        <v>4</v>
      </c>
      <c r="B112" s="443">
        <v>306719425630</v>
      </c>
      <c r="C112" s="596" t="s">
        <v>3214</v>
      </c>
      <c r="D112" s="179" t="s">
        <v>3222</v>
      </c>
      <c r="E112" s="166"/>
      <c r="F112" s="87"/>
      <c r="G112" s="87"/>
      <c r="H112" s="117" t="s">
        <v>3209</v>
      </c>
      <c r="I112" s="562">
        <v>122400031444255</v>
      </c>
      <c r="J112" s="89"/>
      <c r="K112" s="817"/>
      <c r="L112" s="89" t="s">
        <v>3224</v>
      </c>
      <c r="M112" s="1158"/>
      <c r="N112" s="341">
        <v>650000</v>
      </c>
      <c r="O112" s="415">
        <f t="shared" si="11"/>
        <v>702000</v>
      </c>
      <c r="P112" s="252"/>
      <c r="Q112" s="46"/>
    </row>
    <row r="113" spans="1:28">
      <c r="A113" s="98">
        <v>5</v>
      </c>
      <c r="B113" s="442">
        <v>306719424010</v>
      </c>
      <c r="C113" s="596" t="s">
        <v>3214</v>
      </c>
      <c r="D113" s="179" t="s">
        <v>3226</v>
      </c>
      <c r="E113" s="166"/>
      <c r="F113" s="87"/>
      <c r="G113" s="87"/>
      <c r="H113" s="117" t="s">
        <v>3210</v>
      </c>
      <c r="I113" s="562">
        <v>122400031444197</v>
      </c>
      <c r="J113" s="89"/>
      <c r="K113" s="817"/>
      <c r="L113" s="89" t="s">
        <v>3225</v>
      </c>
      <c r="M113" s="1158"/>
      <c r="N113" s="341">
        <v>650000</v>
      </c>
      <c r="O113" s="415">
        <f t="shared" si="11"/>
        <v>702000</v>
      </c>
      <c r="P113" s="252"/>
      <c r="Q113" s="46"/>
    </row>
    <row r="114" spans="1:28">
      <c r="A114" s="98">
        <v>6</v>
      </c>
      <c r="B114" s="443">
        <v>306719421540</v>
      </c>
      <c r="C114" s="596" t="s">
        <v>3214</v>
      </c>
      <c r="D114" s="179" t="s">
        <v>3228</v>
      </c>
      <c r="E114" s="166"/>
      <c r="F114" s="87"/>
      <c r="G114" s="87"/>
      <c r="H114" s="117" t="s">
        <v>3211</v>
      </c>
      <c r="I114" s="562">
        <v>122400031444126</v>
      </c>
      <c r="J114" s="89"/>
      <c r="K114" s="817"/>
      <c r="L114" s="89" t="s">
        <v>3227</v>
      </c>
      <c r="M114" s="1158"/>
      <c r="N114" s="1598">
        <v>650000</v>
      </c>
      <c r="O114" s="1602">
        <f t="shared" si="11"/>
        <v>702000</v>
      </c>
      <c r="P114" s="1599"/>
      <c r="Q114" s="46"/>
    </row>
    <row r="115" spans="1:28" ht="13.2">
      <c r="A115" s="3405" t="s">
        <v>3330</v>
      </c>
      <c r="B115" s="3312"/>
      <c r="C115" s="3312"/>
      <c r="D115" s="3312"/>
      <c r="E115" s="3312"/>
      <c r="F115" s="3312"/>
      <c r="G115" s="3312"/>
      <c r="H115" s="3312"/>
      <c r="I115" s="554"/>
      <c r="J115" s="369"/>
      <c r="K115" s="369"/>
      <c r="L115" s="346"/>
      <c r="M115" s="346"/>
      <c r="N115" s="597">
        <f>SUM(N109:N114)</f>
        <v>3900000</v>
      </c>
      <c r="O115" s="1603">
        <f>SUM(O109:O114)</f>
        <v>4212000</v>
      </c>
      <c r="P115" s="1607"/>
      <c r="Q115" s="346"/>
    </row>
    <row r="116" spans="1:28">
      <c r="A116" s="98">
        <v>1</v>
      </c>
      <c r="B116" s="442">
        <v>306800813340</v>
      </c>
      <c r="C116" s="596" t="s">
        <v>3424</v>
      </c>
      <c r="D116" s="179" t="s">
        <v>3471</v>
      </c>
      <c r="E116" s="166"/>
      <c r="F116" s="87"/>
      <c r="G116" s="87"/>
      <c r="H116" s="117" t="s">
        <v>3458</v>
      </c>
      <c r="I116" s="562">
        <v>122400032479896</v>
      </c>
      <c r="J116" s="89"/>
      <c r="K116" s="89" t="s">
        <v>3470</v>
      </c>
      <c r="L116" s="89" t="s">
        <v>3463</v>
      </c>
      <c r="M116" s="1158"/>
      <c r="N116" s="1598">
        <v>650000</v>
      </c>
      <c r="O116" s="1602">
        <f t="shared" si="11"/>
        <v>702000</v>
      </c>
      <c r="P116" s="1510"/>
      <c r="Q116" s="1604"/>
    </row>
    <row r="117" spans="1:28">
      <c r="A117" s="98">
        <v>2</v>
      </c>
      <c r="B117" s="442">
        <v>306800814850</v>
      </c>
      <c r="C117" s="596" t="s">
        <v>3424</v>
      </c>
      <c r="D117" s="179" t="s">
        <v>3472</v>
      </c>
      <c r="E117" s="166"/>
      <c r="F117" s="87"/>
      <c r="G117" s="87"/>
      <c r="H117" s="117" t="s">
        <v>3459</v>
      </c>
      <c r="I117" s="562">
        <v>122400032480021</v>
      </c>
      <c r="J117" s="89"/>
      <c r="K117" s="89" t="s">
        <v>3465</v>
      </c>
      <c r="L117" s="89" t="s">
        <v>3464</v>
      </c>
      <c r="M117" s="1158"/>
      <c r="N117" s="1598">
        <v>650000</v>
      </c>
      <c r="O117" s="1602">
        <f t="shared" si="11"/>
        <v>702000</v>
      </c>
      <c r="P117" s="1510"/>
      <c r="Q117" s="1604"/>
    </row>
    <row r="118" spans="1:28">
      <c r="A118" s="98">
        <v>3</v>
      </c>
      <c r="B118" s="442">
        <v>306800816400</v>
      </c>
      <c r="C118" s="596" t="s">
        <v>3424</v>
      </c>
      <c r="D118" s="179" t="s">
        <v>3473</v>
      </c>
      <c r="E118" s="166"/>
      <c r="F118" s="87"/>
      <c r="G118" s="87"/>
      <c r="H118" s="117" t="s">
        <v>3460</v>
      </c>
      <c r="I118" s="562">
        <v>122400032480096</v>
      </c>
      <c r="J118" s="89"/>
      <c r="K118" s="89" t="s">
        <v>3467</v>
      </c>
      <c r="L118" s="89" t="s">
        <v>3466</v>
      </c>
      <c r="M118" s="1158"/>
      <c r="N118" s="1598">
        <v>650000</v>
      </c>
      <c r="O118" s="1602">
        <f t="shared" si="11"/>
        <v>702000</v>
      </c>
      <c r="P118" s="1510"/>
      <c r="Q118" s="1604"/>
    </row>
    <row r="119" spans="1:28">
      <c r="A119" s="98">
        <v>4</v>
      </c>
      <c r="B119" s="442">
        <v>306802251400</v>
      </c>
      <c r="C119" s="596" t="s">
        <v>3462</v>
      </c>
      <c r="D119" s="179" t="s">
        <v>3474</v>
      </c>
      <c r="E119" s="166"/>
      <c r="F119" s="87"/>
      <c r="G119" s="87"/>
      <c r="H119" s="117" t="s">
        <v>3461</v>
      </c>
      <c r="I119" s="562">
        <v>122400032499924</v>
      </c>
      <c r="J119" s="89"/>
      <c r="K119" s="89" t="s">
        <v>3469</v>
      </c>
      <c r="L119" s="89" t="s">
        <v>3468</v>
      </c>
      <c r="M119" s="1158"/>
      <c r="N119" s="1598">
        <v>650000</v>
      </c>
      <c r="O119" s="1602">
        <f t="shared" si="11"/>
        <v>702000</v>
      </c>
      <c r="P119" s="1510"/>
      <c r="Q119" s="1604"/>
    </row>
    <row r="120" spans="1:28">
      <c r="A120" s="98">
        <v>5</v>
      </c>
      <c r="B120" s="442">
        <v>306829751560</v>
      </c>
      <c r="C120" s="596" t="s">
        <v>3507</v>
      </c>
      <c r="D120" s="179" t="s">
        <v>3554</v>
      </c>
      <c r="E120" s="166"/>
      <c r="F120" s="87"/>
      <c r="G120" s="87"/>
      <c r="H120" s="117" t="s">
        <v>3528</v>
      </c>
      <c r="I120" s="562">
        <v>122400032842541</v>
      </c>
      <c r="J120" s="89"/>
      <c r="K120" s="89" t="s">
        <v>3518</v>
      </c>
      <c r="L120" s="89" t="s">
        <v>3463</v>
      </c>
      <c r="M120" s="1158"/>
      <c r="N120" s="1598">
        <v>650000</v>
      </c>
      <c r="O120" s="1602">
        <f>+N120*1.08</f>
        <v>702000</v>
      </c>
      <c r="P120" s="1510"/>
      <c r="Q120" s="1604"/>
    </row>
    <row r="121" spans="1:28" ht="13.2">
      <c r="A121" s="3405" t="s">
        <v>3560</v>
      </c>
      <c r="B121" s="3312"/>
      <c r="C121" s="3312"/>
      <c r="D121" s="3312"/>
      <c r="E121" s="3312"/>
      <c r="F121" s="3312"/>
      <c r="G121" s="3312"/>
      <c r="H121" s="3312"/>
      <c r="I121" s="554"/>
      <c r="J121" s="369"/>
      <c r="K121" s="369"/>
      <c r="L121" s="346"/>
      <c r="M121" s="346"/>
      <c r="N121" s="597">
        <f>SUM(N116:N120)</f>
        <v>3250000</v>
      </c>
      <c r="O121" s="1603">
        <f>SUM(O116:O120)</f>
        <v>3510000</v>
      </c>
      <c r="P121" s="1607"/>
      <c r="Q121" s="346"/>
    </row>
    <row r="122" spans="1:28">
      <c r="A122" s="98">
        <v>1</v>
      </c>
      <c r="B122" s="442">
        <v>306922277600</v>
      </c>
      <c r="C122" s="592" t="s">
        <v>4029</v>
      </c>
      <c r="D122" s="179" t="s">
        <v>4045</v>
      </c>
      <c r="E122" s="179"/>
      <c r="F122" s="87"/>
      <c r="G122" s="87"/>
      <c r="H122" s="1150" t="s">
        <v>4034</v>
      </c>
      <c r="I122" s="1219" t="s">
        <v>4033</v>
      </c>
      <c r="J122" s="1005"/>
      <c r="K122" s="89" t="s">
        <v>4040</v>
      </c>
      <c r="L122" s="89" t="s">
        <v>4042</v>
      </c>
      <c r="M122" s="1160">
        <v>11562</v>
      </c>
      <c r="N122" s="1598">
        <v>650000</v>
      </c>
      <c r="O122" s="1602">
        <f>+N122*1.08</f>
        <v>702000</v>
      </c>
      <c r="P122" s="1472"/>
      <c r="Q122" s="1600"/>
      <c r="R122" s="1005"/>
      <c r="S122" s="1005"/>
      <c r="T122" s="1005"/>
      <c r="U122" s="1005"/>
      <c r="V122" s="1005"/>
      <c r="W122" s="1005"/>
      <c r="X122" s="1005"/>
      <c r="Y122" s="1005"/>
      <c r="Z122" s="1005"/>
      <c r="AA122" s="1005"/>
      <c r="AB122" s="1005"/>
    </row>
    <row r="123" spans="1:28">
      <c r="A123" s="98">
        <v>2</v>
      </c>
      <c r="B123" s="442">
        <v>306922938840</v>
      </c>
      <c r="C123" s="592" t="s">
        <v>4039</v>
      </c>
      <c r="D123" s="179" t="s">
        <v>4046</v>
      </c>
      <c r="E123" s="179"/>
      <c r="F123" s="98">
        <v>1</v>
      </c>
      <c r="G123" s="87"/>
      <c r="H123" s="1151" t="s">
        <v>4035</v>
      </c>
      <c r="I123" s="1003">
        <v>122400034020721</v>
      </c>
      <c r="J123" s="1004"/>
      <c r="K123" s="1004" t="s">
        <v>4041</v>
      </c>
      <c r="L123" s="89" t="s">
        <v>3468</v>
      </c>
      <c r="M123" s="1160">
        <v>250000</v>
      </c>
      <c r="N123" s="1598">
        <v>650000</v>
      </c>
      <c r="O123" s="1602">
        <f>+N123*1.08</f>
        <v>702000</v>
      </c>
      <c r="P123" s="1510"/>
      <c r="Q123" s="1605"/>
    </row>
    <row r="124" spans="1:28" ht="13.2">
      <c r="A124" s="3405" t="s">
        <v>4111</v>
      </c>
      <c r="B124" s="3312"/>
      <c r="C124" s="3312"/>
      <c r="D124" s="3312"/>
      <c r="E124" s="3312"/>
      <c r="F124" s="3312"/>
      <c r="G124" s="3312"/>
      <c r="H124" s="3312"/>
      <c r="I124" s="1220"/>
      <c r="J124" s="369"/>
      <c r="K124" s="369"/>
      <c r="L124" s="346"/>
      <c r="M124" s="346"/>
      <c r="N124" s="597">
        <f>SUM(N122:N123)</f>
        <v>1300000</v>
      </c>
      <c r="O124" s="1603">
        <f>SUM(O122:O123)</f>
        <v>1404000</v>
      </c>
      <c r="P124" s="1607"/>
      <c r="Q124" s="346"/>
    </row>
    <row r="125" spans="1:28">
      <c r="A125" s="98">
        <v>1</v>
      </c>
      <c r="B125" s="442">
        <v>306981885400</v>
      </c>
      <c r="C125" s="592">
        <v>45638</v>
      </c>
      <c r="D125" s="179" t="s">
        <v>4217</v>
      </c>
      <c r="E125" s="166"/>
      <c r="F125" s="98">
        <v>1</v>
      </c>
      <c r="G125" s="87"/>
      <c r="H125" s="1151" t="s">
        <v>4198</v>
      </c>
      <c r="I125" s="1221">
        <v>122400034738454</v>
      </c>
      <c r="J125" s="1221" t="s">
        <v>4210</v>
      </c>
      <c r="K125" s="1222" t="s">
        <v>4190</v>
      </c>
      <c r="L125" s="89" t="s">
        <v>4191</v>
      </c>
      <c r="M125" s="1158"/>
      <c r="N125" s="1598">
        <v>650000</v>
      </c>
      <c r="O125" s="1602">
        <f>+N125*1.08</f>
        <v>702000</v>
      </c>
      <c r="P125" s="1472"/>
      <c r="Q125" s="1601"/>
      <c r="R125" s="1006"/>
      <c r="S125" s="1006"/>
      <c r="T125" s="1006"/>
      <c r="U125" s="1006"/>
      <c r="V125" s="1006"/>
      <c r="W125" s="1006"/>
      <c r="X125" s="1006"/>
      <c r="Y125" s="1006"/>
      <c r="Z125" s="1006"/>
      <c r="AA125" s="1006"/>
      <c r="AB125" s="1006"/>
    </row>
    <row r="126" spans="1:28" ht="13.2">
      <c r="A126" s="3405" t="s">
        <v>4302</v>
      </c>
      <c r="B126" s="3312"/>
      <c r="C126" s="3312"/>
      <c r="D126" s="3312"/>
      <c r="E126" s="3312"/>
      <c r="F126" s="3312"/>
      <c r="G126" s="3312"/>
      <c r="H126" s="3312"/>
      <c r="I126" s="1220"/>
      <c r="J126" s="369"/>
      <c r="K126" s="369"/>
      <c r="L126" s="346"/>
      <c r="M126" s="346"/>
      <c r="N126" s="597">
        <f>SUM(N125)</f>
        <v>650000</v>
      </c>
      <c r="O126" s="1603">
        <f>SUM(O125)</f>
        <v>702000</v>
      </c>
      <c r="P126" s="1607"/>
      <c r="Q126" s="346"/>
    </row>
    <row r="127" spans="1:28">
      <c r="A127" s="98">
        <v>1</v>
      </c>
      <c r="B127" s="442">
        <v>307078482930</v>
      </c>
      <c r="C127" s="592" t="s">
        <v>4478</v>
      </c>
      <c r="D127" s="179" t="s">
        <v>4706</v>
      </c>
      <c r="E127" s="166"/>
      <c r="F127" s="98">
        <v>1</v>
      </c>
      <c r="G127" s="87"/>
      <c r="H127" s="1151" t="s">
        <v>4687</v>
      </c>
      <c r="I127" s="1221">
        <v>122500028562035</v>
      </c>
      <c r="J127" s="1221" t="s">
        <v>4505</v>
      </c>
      <c r="K127" s="1222" t="s">
        <v>4484</v>
      </c>
      <c r="L127" s="89" t="s">
        <v>4191</v>
      </c>
      <c r="M127" s="1159"/>
      <c r="N127" s="1598">
        <v>650000</v>
      </c>
      <c r="O127" s="1602">
        <f>+N127*1.08</f>
        <v>702000</v>
      </c>
      <c r="P127" s="1472"/>
      <c r="Q127" s="1600"/>
      <c r="R127" s="1005"/>
    </row>
    <row r="128" spans="1:28" ht="13.2">
      <c r="A128" s="3757" t="s">
        <v>4675</v>
      </c>
      <c r="B128" s="3406"/>
      <c r="C128" s="3406"/>
      <c r="D128" s="3406"/>
      <c r="E128" s="3406"/>
      <c r="F128" s="3406"/>
      <c r="G128" s="3406"/>
      <c r="H128" s="3406"/>
      <c r="I128" s="1220"/>
      <c r="J128" s="369"/>
      <c r="K128" s="369"/>
      <c r="L128" s="346"/>
      <c r="M128" s="346"/>
      <c r="N128" s="597">
        <f>SUM(N127)</f>
        <v>650000</v>
      </c>
      <c r="O128" s="1603">
        <f>SUM(O127)</f>
        <v>702000</v>
      </c>
      <c r="P128" s="1607"/>
      <c r="Q128" s="346"/>
    </row>
    <row r="129" spans="1:29">
      <c r="A129" s="98">
        <v>1</v>
      </c>
      <c r="B129" s="442">
        <v>307152091910</v>
      </c>
      <c r="C129" s="596" t="s">
        <v>4826</v>
      </c>
      <c r="D129" s="179" t="s">
        <v>4876</v>
      </c>
      <c r="E129" s="166"/>
      <c r="F129" s="87"/>
      <c r="G129" s="87"/>
      <c r="H129" s="117" t="s">
        <v>4846</v>
      </c>
      <c r="I129" s="562">
        <v>122500029513739</v>
      </c>
      <c r="J129" s="89"/>
      <c r="K129" s="89" t="s">
        <v>4837</v>
      </c>
      <c r="L129" s="89" t="s">
        <v>4191</v>
      </c>
      <c r="M129" s="1026"/>
      <c r="N129" s="1598">
        <v>650000</v>
      </c>
      <c r="O129" s="1602">
        <f>+N129*1.08</f>
        <v>702000</v>
      </c>
      <c r="P129" s="1510"/>
      <c r="Q129" s="1604"/>
    </row>
    <row r="130" spans="1:29">
      <c r="A130" s="98">
        <v>2</v>
      </c>
      <c r="B130" s="442">
        <v>307152133910</v>
      </c>
      <c r="C130" s="596" t="s">
        <v>4826</v>
      </c>
      <c r="D130" s="179" t="s">
        <v>4877</v>
      </c>
      <c r="E130" s="166"/>
      <c r="F130" s="87"/>
      <c r="G130" s="87"/>
      <c r="H130" s="117" t="s">
        <v>4847</v>
      </c>
      <c r="I130" s="116" t="s">
        <v>4845</v>
      </c>
      <c r="J130" s="1005"/>
      <c r="K130" s="89" t="s">
        <v>4839</v>
      </c>
      <c r="L130" s="89" t="s">
        <v>4838</v>
      </c>
      <c r="M130" s="1159"/>
      <c r="N130" s="341">
        <v>650000</v>
      </c>
      <c r="O130" s="415">
        <f>+N130*1.08</f>
        <v>702000</v>
      </c>
      <c r="P130" s="1472"/>
      <c r="Q130" s="1600"/>
      <c r="R130" s="1005"/>
    </row>
    <row r="131" spans="1:29">
      <c r="A131" s="98">
        <v>3</v>
      </c>
      <c r="B131" s="442">
        <v>307164858620</v>
      </c>
      <c r="C131" s="596" t="s">
        <v>4888</v>
      </c>
      <c r="D131" s="179" t="s">
        <v>4934</v>
      </c>
      <c r="E131" s="166"/>
      <c r="F131" s="87"/>
      <c r="G131" s="87"/>
      <c r="H131" s="1532" t="s">
        <v>4914</v>
      </c>
      <c r="I131" s="1618">
        <v>122500029672780</v>
      </c>
      <c r="J131" s="1539" t="s">
        <v>4881</v>
      </c>
      <c r="K131" s="89" t="s">
        <v>4878</v>
      </c>
      <c r="L131" s="89" t="s">
        <v>3466</v>
      </c>
      <c r="M131" s="1518"/>
      <c r="N131" s="1598">
        <v>650000</v>
      </c>
      <c r="O131" s="1602">
        <f>+N131*1.08</f>
        <v>702000</v>
      </c>
      <c r="P131" s="1510"/>
      <c r="Q131" s="1606"/>
    </row>
    <row r="132" spans="1:29" ht="13.2">
      <c r="A132" s="3757" t="s">
        <v>4935</v>
      </c>
      <c r="B132" s="3406"/>
      <c r="C132" s="3406"/>
      <c r="D132" s="3406"/>
      <c r="E132" s="3406"/>
      <c r="F132" s="3406"/>
      <c r="G132" s="3406"/>
      <c r="H132" s="3406"/>
      <c r="I132" s="1645"/>
      <c r="J132" s="1851"/>
      <c r="K132" s="369"/>
      <c r="L132" s="346"/>
      <c r="M132" s="346"/>
      <c r="N132" s="597">
        <f>SUM(N129:N131)</f>
        <v>1950000</v>
      </c>
      <c r="O132" s="1603">
        <f>SUM(O129:O131)</f>
        <v>2106000</v>
      </c>
      <c r="P132" s="346"/>
      <c r="Q132" s="346"/>
    </row>
    <row r="133" spans="1:29" ht="12.75" customHeight="1">
      <c r="A133" s="98">
        <v>1</v>
      </c>
      <c r="B133" s="442">
        <v>307197271050</v>
      </c>
      <c r="C133" s="596" t="s">
        <v>4944</v>
      </c>
      <c r="D133" s="179" t="s">
        <v>5050</v>
      </c>
      <c r="E133" s="166"/>
      <c r="F133" s="98">
        <v>1</v>
      </c>
      <c r="G133" s="87"/>
      <c r="H133" s="1532" t="s">
        <v>5001</v>
      </c>
      <c r="I133" s="1532" t="s">
        <v>5000</v>
      </c>
      <c r="J133" s="1221" t="s">
        <v>5055</v>
      </c>
      <c r="K133" s="89" t="s">
        <v>5051</v>
      </c>
      <c r="L133" s="89" t="s">
        <v>4191</v>
      </c>
      <c r="M133" s="1455"/>
      <c r="N133" s="1598">
        <v>650000</v>
      </c>
      <c r="O133" s="1602">
        <f>+N133*1.08</f>
        <v>702000</v>
      </c>
      <c r="P133" s="1455"/>
      <c r="Q133" s="1455"/>
      <c r="R133" s="1455"/>
      <c r="S133" s="1455"/>
      <c r="T133" s="1455"/>
      <c r="U133" s="1455"/>
      <c r="V133" s="1455"/>
      <c r="W133" s="1455"/>
      <c r="X133" s="1455"/>
      <c r="Y133" s="1455"/>
      <c r="Z133" s="1455"/>
      <c r="AA133" s="1455"/>
      <c r="AB133" s="1455"/>
      <c r="AC133" s="1455"/>
    </row>
    <row r="134" spans="1:29" ht="13.2">
      <c r="A134" s="3757" t="s">
        <v>5220</v>
      </c>
      <c r="B134" s="3406"/>
      <c r="C134" s="3406"/>
      <c r="D134" s="3406"/>
      <c r="E134" s="3406"/>
      <c r="F134" s="3406"/>
      <c r="G134" s="3406"/>
      <c r="H134" s="3406"/>
      <c r="I134" s="1645"/>
      <c r="J134" s="1851"/>
      <c r="K134" s="369"/>
      <c r="L134" s="346"/>
      <c r="M134" s="1607"/>
      <c r="N134" s="597">
        <f>SUM(N133)</f>
        <v>650000</v>
      </c>
      <c r="O134" s="1603">
        <f>SUM(O133)</f>
        <v>702000</v>
      </c>
      <c r="P134" s="346"/>
      <c r="Q134" s="346"/>
    </row>
    <row r="135" spans="1:29">
      <c r="A135" s="98">
        <v>1</v>
      </c>
      <c r="B135" s="442">
        <v>307315065430</v>
      </c>
      <c r="C135" s="596" t="s">
        <v>5387</v>
      </c>
      <c r="D135" s="179" t="s">
        <v>5442</v>
      </c>
      <c r="E135" s="166"/>
      <c r="F135" s="87"/>
      <c r="G135" s="87"/>
      <c r="H135" s="1151" t="s">
        <v>5390</v>
      </c>
      <c r="I135" s="1582">
        <v>122500031613338</v>
      </c>
      <c r="J135" s="1539" t="s">
        <v>4881</v>
      </c>
      <c r="K135" s="89" t="s">
        <v>5380</v>
      </c>
      <c r="L135" s="2030" t="s">
        <v>3466</v>
      </c>
      <c r="M135" s="1518"/>
      <c r="N135" s="2031">
        <v>650000</v>
      </c>
      <c r="O135" s="1602">
        <f>+N135*1.08</f>
        <v>702000</v>
      </c>
      <c r="P135" s="782"/>
      <c r="Q135" s="795"/>
    </row>
    <row r="136" spans="1:29">
      <c r="A136" s="98">
        <v>2</v>
      </c>
      <c r="B136" s="442">
        <v>307314959730</v>
      </c>
      <c r="C136" s="596" t="s">
        <v>5387</v>
      </c>
      <c r="D136" s="2007" t="s">
        <v>5443</v>
      </c>
      <c r="E136" s="166"/>
      <c r="F136" s="87"/>
      <c r="G136" s="87"/>
      <c r="H136" s="1943" t="s">
        <v>5388</v>
      </c>
      <c r="I136" s="1568">
        <v>122500031608266</v>
      </c>
      <c r="J136" s="89"/>
      <c r="K136" s="89" t="s">
        <v>5381</v>
      </c>
      <c r="L136" s="2030" t="s">
        <v>4838</v>
      </c>
      <c r="M136" s="1518"/>
      <c r="N136" s="2031">
        <v>650000</v>
      </c>
      <c r="O136" s="1602">
        <f>+N136*1.08</f>
        <v>702000</v>
      </c>
      <c r="P136" s="252"/>
      <c r="Q136" s="46"/>
    </row>
    <row r="137" spans="1:29">
      <c r="A137" s="98">
        <v>3</v>
      </c>
      <c r="B137" s="442">
        <v>307315003020</v>
      </c>
      <c r="C137" s="596" t="s">
        <v>5387</v>
      </c>
      <c r="D137" s="179" t="s">
        <v>5444</v>
      </c>
      <c r="E137" s="166"/>
      <c r="F137" s="87"/>
      <c r="G137" s="87"/>
      <c r="H137" s="117" t="s">
        <v>5389</v>
      </c>
      <c r="I137" s="1943">
        <v>122500031609088</v>
      </c>
      <c r="J137" s="89"/>
      <c r="K137" s="89" t="s">
        <v>5383</v>
      </c>
      <c r="L137" s="2030" t="s">
        <v>5382</v>
      </c>
      <c r="M137" s="1518"/>
      <c r="N137" s="2031">
        <v>650000</v>
      </c>
      <c r="O137" s="1602">
        <f>+N137*1.08</f>
        <v>702000</v>
      </c>
      <c r="P137" s="252"/>
      <c r="Q137" s="46"/>
    </row>
    <row r="138" spans="1:29" ht="13.2">
      <c r="A138" s="3757" t="s">
        <v>5776</v>
      </c>
      <c r="B138" s="3406"/>
      <c r="C138" s="3406"/>
      <c r="D138" s="3406"/>
      <c r="E138" s="3406"/>
      <c r="F138" s="3406"/>
      <c r="G138" s="3406"/>
      <c r="H138" s="3406"/>
      <c r="I138" s="1645"/>
      <c r="J138" s="1851"/>
      <c r="K138" s="369"/>
      <c r="L138" s="346"/>
      <c r="M138" s="346"/>
      <c r="N138" s="597">
        <f>SUM(N137)</f>
        <v>650000</v>
      </c>
      <c r="O138" s="1603">
        <f>SUM(O137)</f>
        <v>702000</v>
      </c>
      <c r="P138" s="346"/>
      <c r="Q138" s="346"/>
    </row>
    <row r="139" spans="1:29">
      <c r="A139" s="98">
        <v>1</v>
      </c>
      <c r="B139" s="179">
        <v>307497149910</v>
      </c>
      <c r="C139" s="592" t="s">
        <v>6018</v>
      </c>
      <c r="D139" s="179" t="s">
        <v>6156</v>
      </c>
      <c r="E139" s="166"/>
      <c r="F139" s="98"/>
      <c r="G139" s="98"/>
      <c r="H139" s="117" t="s">
        <v>6048</v>
      </c>
      <c r="I139" s="1943">
        <v>122500034002867</v>
      </c>
      <c r="J139" s="1539" t="s">
        <v>4881</v>
      </c>
      <c r="K139" s="89" t="s">
        <v>6049</v>
      </c>
      <c r="L139" s="2030" t="s">
        <v>3466</v>
      </c>
      <c r="M139" s="1026"/>
      <c r="N139" s="2031">
        <v>650000</v>
      </c>
      <c r="O139" s="1602">
        <f>+N139*1.08</f>
        <v>702000</v>
      </c>
      <c r="P139" s="252"/>
      <c r="Q139" s="46"/>
    </row>
    <row r="140" spans="1:29" ht="13.2">
      <c r="A140" s="3757" t="s">
        <v>6100</v>
      </c>
      <c r="B140" s="3406"/>
      <c r="C140" s="3406"/>
      <c r="D140" s="3406"/>
      <c r="E140" s="3406"/>
      <c r="F140" s="3406"/>
      <c r="G140" s="3406"/>
      <c r="H140" s="3406"/>
      <c r="I140" s="2682"/>
      <c r="J140" s="1851"/>
      <c r="K140" s="369"/>
      <c r="L140" s="346"/>
      <c r="M140" s="346"/>
      <c r="N140" s="597">
        <f>SUM(N139)</f>
        <v>650000</v>
      </c>
      <c r="O140" s="1603">
        <f>SUM(O139)</f>
        <v>702000</v>
      </c>
      <c r="P140" s="346"/>
      <c r="Q140" s="346"/>
    </row>
    <row r="141" spans="1:29">
      <c r="A141" s="98">
        <v>1</v>
      </c>
      <c r="B141" s="745" t="s">
        <v>6332</v>
      </c>
      <c r="C141" s="596" t="s">
        <v>6264</v>
      </c>
      <c r="D141" s="179" t="s">
        <v>6522</v>
      </c>
      <c r="E141" s="166"/>
      <c r="F141" s="98"/>
      <c r="G141" s="98"/>
      <c r="H141" s="117" t="s">
        <v>6330</v>
      </c>
      <c r="I141" s="1943">
        <v>122500034915093</v>
      </c>
      <c r="J141" s="89"/>
      <c r="K141" s="89" t="s">
        <v>6331</v>
      </c>
      <c r="L141" s="2030" t="s">
        <v>3466</v>
      </c>
      <c r="M141" s="1026"/>
      <c r="N141" s="2031">
        <v>650000</v>
      </c>
      <c r="O141" s="1602">
        <f>+N141*1.08</f>
        <v>702000</v>
      </c>
      <c r="P141" s="252"/>
      <c r="Q141" s="46"/>
    </row>
    <row r="142" spans="1:29">
      <c r="A142" s="98">
        <v>2</v>
      </c>
      <c r="B142" s="179">
        <v>307578793450</v>
      </c>
      <c r="C142" s="596" t="s">
        <v>6373</v>
      </c>
      <c r="D142" s="179" t="s">
        <v>6523</v>
      </c>
      <c r="E142" s="166"/>
      <c r="F142" s="87"/>
      <c r="G142" s="87"/>
      <c r="H142" s="117" t="s">
        <v>6386</v>
      </c>
      <c r="I142" s="1943">
        <v>122500035044065</v>
      </c>
      <c r="J142" s="89"/>
      <c r="K142" s="89" t="s">
        <v>6387</v>
      </c>
      <c r="L142" s="2030" t="s">
        <v>6388</v>
      </c>
      <c r="M142" s="1026"/>
      <c r="N142" s="2031">
        <v>650000</v>
      </c>
      <c r="O142" s="1602">
        <f t="shared" ref="O142:O144" si="12">+N142*1.08</f>
        <v>702000</v>
      </c>
      <c r="P142" s="252"/>
      <c r="Q142" s="46"/>
    </row>
    <row r="143" spans="1:29">
      <c r="A143" s="98">
        <v>3</v>
      </c>
      <c r="B143" s="179">
        <v>307602766130</v>
      </c>
      <c r="C143" s="596" t="s">
        <v>6441</v>
      </c>
      <c r="D143" s="179" t="s">
        <v>6524</v>
      </c>
      <c r="E143" s="166"/>
      <c r="F143" s="87"/>
      <c r="G143" s="87"/>
      <c r="H143" s="117" t="s">
        <v>6461</v>
      </c>
      <c r="I143" s="1943">
        <v>122500035354340</v>
      </c>
      <c r="J143" s="89"/>
      <c r="K143" s="89" t="s">
        <v>6476</v>
      </c>
      <c r="L143" s="2030" t="s">
        <v>6388</v>
      </c>
      <c r="M143" s="1026"/>
      <c r="N143" s="2031">
        <v>650000</v>
      </c>
      <c r="O143" s="1602">
        <f t="shared" si="12"/>
        <v>702000</v>
      </c>
      <c r="P143" s="252"/>
      <c r="Q143" s="46"/>
    </row>
    <row r="144" spans="1:29">
      <c r="A144" s="98">
        <v>4</v>
      </c>
      <c r="B144" s="179">
        <v>307603667620</v>
      </c>
      <c r="C144" s="596" t="s">
        <v>6441</v>
      </c>
      <c r="D144" s="179" t="s">
        <v>6525</v>
      </c>
      <c r="E144" s="166"/>
      <c r="F144" s="87"/>
      <c r="G144" s="87"/>
      <c r="H144" s="117" t="s">
        <v>6478</v>
      </c>
      <c r="I144" s="1943">
        <v>122500035367969</v>
      </c>
      <c r="J144" s="89"/>
      <c r="K144" s="89" t="s">
        <v>6475</v>
      </c>
      <c r="L144" s="2030" t="s">
        <v>6477</v>
      </c>
      <c r="M144" s="1026"/>
      <c r="N144" s="2031">
        <v>650000</v>
      </c>
      <c r="O144" s="1602">
        <f t="shared" si="12"/>
        <v>702000</v>
      </c>
      <c r="P144" s="252"/>
      <c r="Q144" s="46"/>
    </row>
    <row r="145" spans="1:28" ht="13.2">
      <c r="A145" s="3757" t="s">
        <v>6848</v>
      </c>
      <c r="B145" s="3406"/>
      <c r="C145" s="3406"/>
      <c r="D145" s="3406"/>
      <c r="E145" s="3406"/>
      <c r="F145" s="3406"/>
      <c r="G145" s="3406"/>
      <c r="H145" s="3406"/>
      <c r="I145" s="2682"/>
      <c r="J145" s="1851"/>
      <c r="K145" s="369"/>
      <c r="L145" s="346"/>
      <c r="M145" s="346"/>
      <c r="N145" s="597">
        <f>+SUM(N141:N144)</f>
        <v>2600000</v>
      </c>
      <c r="O145" s="597">
        <f>+SUM(O141:O144)</f>
        <v>2808000</v>
      </c>
      <c r="P145" s="346"/>
      <c r="Q145" s="346"/>
    </row>
    <row r="146" spans="1:28">
      <c r="A146" s="98">
        <v>1</v>
      </c>
      <c r="B146" s="179">
        <v>307741330800</v>
      </c>
      <c r="C146" s="596" t="s">
        <v>6926</v>
      </c>
      <c r="D146" s="179" t="s">
        <v>7050</v>
      </c>
      <c r="E146" s="166"/>
      <c r="F146" s="87"/>
      <c r="G146" s="87"/>
      <c r="H146" s="117" t="s">
        <v>6933</v>
      </c>
      <c r="I146" s="1943">
        <v>122500037144893</v>
      </c>
      <c r="J146" s="1943"/>
      <c r="K146" s="509" t="s">
        <v>6934</v>
      </c>
      <c r="L146" s="2030" t="s">
        <v>3466</v>
      </c>
      <c r="M146" s="1943"/>
      <c r="N146" s="2031">
        <v>650000</v>
      </c>
      <c r="O146" s="1602">
        <f t="shared" ref="O146" si="13">+N146*1.08</f>
        <v>702000</v>
      </c>
      <c r="P146" s="1943"/>
      <c r="Q146" s="1943"/>
      <c r="R146" s="1943"/>
      <c r="S146" s="1943"/>
      <c r="T146" s="1943"/>
      <c r="U146" s="1943"/>
      <c r="V146" s="1943"/>
      <c r="W146" s="1943"/>
      <c r="X146" s="1943"/>
      <c r="Y146" s="1943"/>
      <c r="Z146" s="1943"/>
      <c r="AA146" s="1943"/>
      <c r="AB146" s="1943"/>
    </row>
    <row r="147" spans="1:28" ht="13.2">
      <c r="A147" s="3757" t="s">
        <v>7096</v>
      </c>
      <c r="B147" s="3406"/>
      <c r="C147" s="3406"/>
      <c r="D147" s="3406"/>
      <c r="E147" s="3406"/>
      <c r="F147" s="3406"/>
      <c r="G147" s="3406"/>
      <c r="H147" s="3406"/>
      <c r="I147" s="2682"/>
      <c r="J147" s="1851"/>
      <c r="K147" s="369"/>
      <c r="L147" s="346"/>
      <c r="M147" s="346"/>
      <c r="N147" s="597">
        <f>SUM(N146)</f>
        <v>650000</v>
      </c>
      <c r="O147" s="597">
        <f>SUM(O146)</f>
        <v>702000</v>
      </c>
      <c r="P147" s="346"/>
      <c r="Q147" s="346"/>
    </row>
    <row r="148" spans="1:28">
      <c r="A148" s="98">
        <v>1</v>
      </c>
      <c r="B148" s="179">
        <v>307840088050</v>
      </c>
      <c r="C148" s="596" t="s">
        <v>7262</v>
      </c>
      <c r="D148" s="179" t="s">
        <v>7300</v>
      </c>
      <c r="E148" s="166"/>
      <c r="F148" s="87"/>
      <c r="G148" s="87"/>
      <c r="H148" s="117" t="s">
        <v>7299</v>
      </c>
      <c r="I148" s="1943">
        <v>122500038417319</v>
      </c>
      <c r="J148" s="89"/>
      <c r="K148" s="509" t="s">
        <v>7298</v>
      </c>
      <c r="L148" s="2030" t="s">
        <v>3466</v>
      </c>
      <c r="M148" s="1026"/>
      <c r="N148" s="2031">
        <v>650000</v>
      </c>
      <c r="O148" s="1602">
        <f t="shared" ref="O148" si="14">+N148*1.08</f>
        <v>702000</v>
      </c>
      <c r="P148" s="252"/>
      <c r="Q148" s="46"/>
    </row>
    <row r="149" spans="1:28" ht="13.2">
      <c r="A149" s="3757" t="s">
        <v>7545</v>
      </c>
      <c r="B149" s="3406"/>
      <c r="C149" s="3406"/>
      <c r="D149" s="3406"/>
      <c r="E149" s="3406"/>
      <c r="F149" s="3406"/>
      <c r="G149" s="3406"/>
      <c r="H149" s="3406"/>
      <c r="I149" s="2682"/>
      <c r="J149" s="1851"/>
      <c r="K149" s="369"/>
      <c r="L149" s="346"/>
      <c r="M149" s="346"/>
      <c r="N149" s="597">
        <f>SUM(N148)</f>
        <v>650000</v>
      </c>
      <c r="O149" s="597">
        <f>SUM(O148)</f>
        <v>702000</v>
      </c>
      <c r="P149" s="346"/>
      <c r="Q149" s="346"/>
    </row>
    <row r="150" spans="1:28" ht="13.2">
      <c r="A150" s="98"/>
      <c r="B150" s="442"/>
      <c r="C150" s="592"/>
      <c r="D150" s="166"/>
      <c r="E150" s="166"/>
      <c r="F150" s="87"/>
      <c r="G150" s="87"/>
      <c r="H150" s="1472"/>
      <c r="I150" s="1472"/>
      <c r="J150" s="1472"/>
      <c r="K150" s="1472"/>
      <c r="L150" s="1472"/>
      <c r="M150" s="1472"/>
      <c r="N150" s="1472"/>
      <c r="O150" s="1472"/>
      <c r="P150" s="1472"/>
      <c r="Q150" s="1472"/>
    </row>
    <row r="151" spans="1:28">
      <c r="A151" s="98"/>
      <c r="B151" s="442"/>
      <c r="C151" s="592"/>
      <c r="D151" s="166"/>
      <c r="E151" s="166"/>
      <c r="F151" s="87"/>
      <c r="G151" s="87"/>
      <c r="H151" s="521"/>
      <c r="I151" s="562"/>
      <c r="J151" s="89"/>
      <c r="K151" s="89"/>
      <c r="L151" s="249"/>
      <c r="M151" s="1026"/>
      <c r="N151" s="250"/>
      <c r="O151" s="251"/>
      <c r="P151" s="252"/>
      <c r="Q151" s="46"/>
    </row>
    <row r="152" spans="1:28">
      <c r="A152" s="98"/>
      <c r="B152" s="442"/>
      <c r="C152" s="592"/>
      <c r="D152" s="166"/>
      <c r="E152" s="166"/>
      <c r="F152" s="87"/>
      <c r="G152" s="87"/>
      <c r="H152" s="521"/>
      <c r="I152" s="562"/>
      <c r="J152" s="89"/>
      <c r="K152" s="89"/>
      <c r="L152" s="249"/>
      <c r="M152" s="1026"/>
      <c r="N152" s="250"/>
      <c r="O152" s="251"/>
      <c r="P152" s="252"/>
      <c r="Q152" s="46"/>
    </row>
    <row r="153" spans="1:28">
      <c r="A153" s="98"/>
      <c r="B153" s="442"/>
      <c r="C153" s="592"/>
      <c r="D153" s="166"/>
      <c r="E153" s="166"/>
      <c r="F153" s="87"/>
      <c r="G153" s="87"/>
      <c r="H153" s="521"/>
      <c r="I153" s="562"/>
      <c r="J153" s="89"/>
      <c r="K153" s="89"/>
      <c r="L153" s="249"/>
      <c r="M153" s="1026"/>
      <c r="N153" s="250"/>
      <c r="O153" s="251"/>
      <c r="P153" s="252"/>
      <c r="Q153" s="46"/>
    </row>
    <row r="154" spans="1:28">
      <c r="A154" s="98"/>
      <c r="B154" s="442"/>
      <c r="C154" s="592"/>
      <c r="D154" s="166"/>
      <c r="E154" s="166"/>
      <c r="F154" s="87"/>
      <c r="G154" s="87"/>
      <c r="H154" s="521"/>
      <c r="I154" s="562"/>
      <c r="J154" s="89"/>
      <c r="K154" s="89"/>
      <c r="L154" s="249"/>
      <c r="M154" s="1026"/>
      <c r="N154" s="250"/>
      <c r="O154" s="251"/>
      <c r="P154" s="252"/>
      <c r="Q154" s="46"/>
    </row>
    <row r="155" spans="1:28">
      <c r="A155" s="98"/>
      <c r="B155" s="442"/>
      <c r="C155" s="592"/>
      <c r="D155" s="166"/>
      <c r="E155" s="166"/>
      <c r="F155" s="87"/>
      <c r="G155" s="87"/>
      <c r="H155" s="521"/>
      <c r="I155" s="562"/>
      <c r="J155" s="89"/>
      <c r="K155" s="89"/>
      <c r="L155" s="249"/>
      <c r="M155" s="1026"/>
      <c r="N155" s="250"/>
      <c r="O155" s="251"/>
      <c r="P155" s="252"/>
      <c r="Q155" s="46"/>
    </row>
    <row r="156" spans="1:28">
      <c r="A156" s="98"/>
      <c r="B156" s="442"/>
      <c r="C156" s="592"/>
      <c r="D156" s="166"/>
      <c r="E156" s="166"/>
      <c r="F156" s="87"/>
      <c r="G156" s="87"/>
      <c r="H156" s="521"/>
      <c r="I156" s="562"/>
      <c r="J156" s="89"/>
      <c r="K156" s="89"/>
      <c r="L156" s="249"/>
      <c r="M156" s="1026"/>
      <c r="N156" s="250"/>
      <c r="O156" s="251"/>
      <c r="P156" s="252"/>
      <c r="Q156" s="46"/>
    </row>
    <row r="157" spans="1:28">
      <c r="A157" s="98"/>
      <c r="B157" s="442"/>
      <c r="C157" s="592"/>
      <c r="D157" s="166"/>
      <c r="E157" s="166"/>
      <c r="F157" s="87"/>
      <c r="G157" s="87"/>
      <c r="H157" s="521"/>
      <c r="I157" s="562"/>
      <c r="J157" s="89"/>
      <c r="K157" s="89"/>
      <c r="L157" s="249"/>
      <c r="M157" s="1026"/>
      <c r="N157" s="250"/>
      <c r="O157" s="251"/>
      <c r="P157" s="252"/>
      <c r="Q157" s="46"/>
    </row>
    <row r="158" spans="1:28">
      <c r="A158" s="98"/>
      <c r="B158" s="442"/>
      <c r="C158" s="592"/>
      <c r="D158" s="166"/>
      <c r="E158" s="166"/>
      <c r="F158" s="87"/>
      <c r="G158" s="87"/>
      <c r="H158" s="521"/>
      <c r="I158" s="562"/>
      <c r="J158" s="89"/>
      <c r="K158" s="89"/>
      <c r="L158" s="249"/>
      <c r="M158" s="1026"/>
      <c r="N158" s="250"/>
      <c r="O158" s="251"/>
      <c r="P158" s="252"/>
      <c r="Q158" s="46"/>
    </row>
    <row r="159" spans="1:28">
      <c r="A159" s="98"/>
      <c r="B159" s="442"/>
      <c r="C159" s="592"/>
      <c r="D159" s="166"/>
      <c r="E159" s="166"/>
      <c r="F159" s="87"/>
      <c r="G159" s="87"/>
      <c r="H159" s="521"/>
      <c r="I159" s="562"/>
      <c r="J159" s="89"/>
      <c r="K159" s="89"/>
      <c r="L159" s="249"/>
      <c r="M159" s="1026"/>
      <c r="N159" s="250"/>
      <c r="O159" s="251"/>
      <c r="P159" s="252"/>
      <c r="Q159" s="46"/>
    </row>
    <row r="160" spans="1:28">
      <c r="A160" s="98"/>
      <c r="B160" s="442"/>
      <c r="C160" s="592"/>
      <c r="D160" s="166"/>
      <c r="E160" s="166"/>
      <c r="F160" s="87"/>
      <c r="G160" s="87"/>
      <c r="H160" s="521"/>
      <c r="I160" s="562"/>
      <c r="J160" s="89"/>
      <c r="K160" s="89"/>
      <c r="L160" s="249"/>
      <c r="M160" s="1026"/>
      <c r="N160" s="250"/>
      <c r="O160" s="251"/>
      <c r="P160" s="252"/>
      <c r="Q160" s="46"/>
    </row>
    <row r="161" spans="1:17">
      <c r="A161" s="98"/>
      <c r="B161" s="442"/>
      <c r="C161" s="46"/>
      <c r="D161" s="166"/>
      <c r="E161" s="166"/>
      <c r="F161" s="87"/>
      <c r="G161" s="87"/>
      <c r="H161" s="521"/>
      <c r="I161" s="562"/>
      <c r="J161" s="89"/>
      <c r="K161" s="89"/>
      <c r="L161" s="249"/>
      <c r="M161" s="1026"/>
      <c r="N161" s="250"/>
      <c r="O161" s="251"/>
      <c r="P161" s="252"/>
      <c r="Q161" s="46"/>
    </row>
    <row r="162" spans="1:17">
      <c r="A162" s="98"/>
      <c r="B162" s="442"/>
      <c r="C162" s="46"/>
      <c r="D162" s="166"/>
      <c r="E162" s="166"/>
      <c r="F162" s="87"/>
      <c r="G162" s="87"/>
      <c r="H162" s="521"/>
      <c r="I162" s="562"/>
      <c r="J162" s="89"/>
      <c r="K162" s="89"/>
      <c r="L162" s="249"/>
      <c r="M162" s="1026"/>
      <c r="N162" s="250"/>
      <c r="O162" s="251"/>
      <c r="P162" s="252"/>
      <c r="Q162" s="46"/>
    </row>
    <row r="163" spans="1:17">
      <c r="A163" s="98"/>
      <c r="B163" s="442"/>
      <c r="C163" s="46"/>
      <c r="D163" s="166"/>
      <c r="E163" s="166"/>
      <c r="F163" s="87"/>
      <c r="G163" s="87"/>
      <c r="H163" s="521"/>
      <c r="I163" s="562"/>
      <c r="J163" s="89"/>
      <c r="K163" s="89"/>
      <c r="L163" s="249"/>
      <c r="M163" s="1026"/>
      <c r="N163" s="250"/>
      <c r="O163" s="251"/>
      <c r="P163" s="252"/>
      <c r="Q163" s="46"/>
    </row>
    <row r="164" spans="1:17">
      <c r="A164" s="98"/>
      <c r="B164" s="442"/>
      <c r="C164" s="46"/>
      <c r="D164" s="166"/>
      <c r="E164" s="166"/>
      <c r="F164" s="87"/>
      <c r="G164" s="87"/>
      <c r="H164" s="521"/>
      <c r="I164" s="562"/>
      <c r="J164" s="89"/>
      <c r="K164" s="89"/>
      <c r="L164" s="249"/>
      <c r="M164" s="1026"/>
      <c r="N164" s="250"/>
      <c r="O164" s="251"/>
      <c r="P164" s="252"/>
      <c r="Q164" s="46"/>
    </row>
    <row r="165" spans="1:17">
      <c r="A165" s="98"/>
      <c r="B165" s="442"/>
      <c r="C165" s="46"/>
      <c r="D165" s="166"/>
      <c r="E165" s="166"/>
      <c r="F165" s="87"/>
      <c r="G165" s="87"/>
      <c r="H165" s="521"/>
      <c r="I165" s="562"/>
      <c r="J165" s="89"/>
      <c r="K165" s="89"/>
      <c r="L165" s="249"/>
      <c r="M165" s="1026"/>
      <c r="N165" s="250"/>
      <c r="O165" s="251"/>
      <c r="P165" s="252"/>
      <c r="Q165" s="46"/>
    </row>
    <row r="166" spans="1:17">
      <c r="A166" s="98"/>
      <c r="B166" s="442"/>
      <c r="C166" s="46"/>
      <c r="D166" s="166"/>
      <c r="E166" s="166"/>
      <c r="F166" s="87"/>
      <c r="G166" s="87"/>
      <c r="H166" s="521"/>
      <c r="I166" s="562"/>
      <c r="J166" s="89"/>
      <c r="K166" s="89"/>
      <c r="L166" s="249"/>
      <c r="M166" s="1026"/>
      <c r="N166" s="250"/>
      <c r="O166" s="251"/>
      <c r="P166" s="252"/>
      <c r="Q166" s="46"/>
    </row>
    <row r="167" spans="1:17">
      <c r="A167" s="98"/>
      <c r="B167" s="442"/>
      <c r="C167" s="46"/>
      <c r="D167" s="166"/>
      <c r="E167" s="166"/>
      <c r="F167" s="87"/>
      <c r="G167" s="87"/>
      <c r="H167" s="521"/>
      <c r="I167" s="562"/>
      <c r="J167" s="89"/>
      <c r="K167" s="89"/>
      <c r="L167" s="249"/>
      <c r="M167" s="1026"/>
      <c r="N167" s="250"/>
      <c r="O167" s="251"/>
      <c r="P167" s="252"/>
      <c r="Q167" s="46"/>
    </row>
    <row r="168" spans="1:17">
      <c r="A168" s="98"/>
      <c r="B168" s="442"/>
      <c r="C168" s="46"/>
      <c r="D168" s="166"/>
      <c r="E168" s="166"/>
      <c r="F168" s="87"/>
      <c r="G168" s="87"/>
      <c r="H168" s="521"/>
      <c r="I168" s="562"/>
      <c r="J168" s="89"/>
      <c r="K168" s="89"/>
      <c r="L168" s="249"/>
      <c r="M168" s="1026"/>
      <c r="N168" s="250"/>
      <c r="O168" s="251"/>
      <c r="P168" s="252"/>
      <c r="Q168" s="46"/>
    </row>
    <row r="169" spans="1:17">
      <c r="A169" s="98"/>
      <c r="B169" s="442"/>
      <c r="C169" s="46"/>
      <c r="D169" s="166"/>
      <c r="E169" s="166"/>
      <c r="F169" s="87"/>
      <c r="G169" s="87"/>
      <c r="H169" s="521"/>
      <c r="I169" s="562"/>
      <c r="J169" s="89"/>
      <c r="K169" s="89"/>
      <c r="L169" s="249"/>
      <c r="M169" s="1026"/>
      <c r="N169" s="250"/>
      <c r="O169" s="251"/>
      <c r="P169" s="252"/>
      <c r="Q169" s="46"/>
    </row>
    <row r="170" spans="1:17">
      <c r="A170" s="98"/>
      <c r="B170" s="442"/>
      <c r="C170" s="46"/>
      <c r="D170" s="166"/>
      <c r="E170" s="166"/>
      <c r="F170" s="87"/>
      <c r="G170" s="87"/>
      <c r="H170" s="521"/>
      <c r="I170" s="562"/>
      <c r="J170" s="89"/>
      <c r="K170" s="89"/>
      <c r="L170" s="249"/>
      <c r="M170" s="1026"/>
      <c r="N170" s="250"/>
      <c r="O170" s="251"/>
      <c r="P170" s="252"/>
      <c r="Q170" s="46"/>
    </row>
    <row r="171" spans="1:17">
      <c r="A171" s="98"/>
      <c r="B171" s="442"/>
      <c r="C171" s="46"/>
      <c r="D171" s="166"/>
      <c r="E171" s="166"/>
      <c r="F171" s="87"/>
      <c r="G171" s="87"/>
      <c r="H171" s="521"/>
      <c r="I171" s="562"/>
      <c r="J171" s="89"/>
      <c r="K171" s="89"/>
      <c r="L171" s="249"/>
      <c r="M171" s="1026"/>
      <c r="N171" s="250"/>
      <c r="O171" s="251"/>
      <c r="P171" s="252"/>
      <c r="Q171" s="46"/>
    </row>
    <row r="172" spans="1:17">
      <c r="A172" s="98"/>
      <c r="B172" s="442"/>
      <c r="C172" s="46"/>
      <c r="D172" s="166"/>
      <c r="E172" s="166"/>
      <c r="F172" s="87"/>
      <c r="G172" s="87"/>
      <c r="H172" s="521"/>
      <c r="I172" s="562"/>
      <c r="J172" s="89"/>
      <c r="K172" s="89"/>
      <c r="L172" s="249"/>
      <c r="M172" s="1026"/>
      <c r="N172" s="250"/>
      <c r="O172" s="251"/>
      <c r="P172" s="252"/>
      <c r="Q172" s="46"/>
    </row>
    <row r="173" spans="1:17">
      <c r="A173" s="98"/>
      <c r="B173" s="442"/>
      <c r="C173" s="46"/>
      <c r="D173" s="166"/>
      <c r="E173" s="166"/>
      <c r="F173" s="87"/>
      <c r="G173" s="87"/>
      <c r="H173" s="521"/>
      <c r="I173" s="562"/>
      <c r="J173" s="89"/>
      <c r="K173" s="89"/>
      <c r="L173" s="249"/>
      <c r="M173" s="1026"/>
      <c r="N173" s="250"/>
      <c r="O173" s="251"/>
      <c r="P173" s="252"/>
      <c r="Q173" s="46"/>
    </row>
    <row r="174" spans="1:17">
      <c r="A174" s="98"/>
      <c r="B174" s="442"/>
      <c r="C174" s="46"/>
      <c r="D174" s="166"/>
      <c r="E174" s="166"/>
      <c r="F174" s="87"/>
      <c r="G174" s="87"/>
      <c r="H174" s="521"/>
      <c r="I174" s="562"/>
      <c r="J174" s="89"/>
      <c r="K174" s="89"/>
      <c r="L174" s="249"/>
      <c r="M174" s="1026"/>
      <c r="N174" s="250"/>
      <c r="O174" s="251"/>
      <c r="P174" s="252"/>
      <c r="Q174" s="46"/>
    </row>
    <row r="175" spans="1:17">
      <c r="A175" s="98"/>
      <c r="B175" s="442"/>
      <c r="C175" s="46"/>
      <c r="D175" s="166"/>
      <c r="E175" s="166"/>
      <c r="F175" s="87"/>
      <c r="G175" s="87"/>
      <c r="H175" s="521"/>
      <c r="I175" s="562"/>
      <c r="J175" s="89"/>
      <c r="K175" s="89"/>
      <c r="L175" s="249"/>
      <c r="M175" s="1026"/>
      <c r="N175" s="250"/>
      <c r="O175" s="251"/>
      <c r="P175" s="252"/>
      <c r="Q175" s="46"/>
    </row>
    <row r="176" spans="1:17">
      <c r="A176" s="98"/>
      <c r="B176" s="442"/>
      <c r="C176" s="46"/>
      <c r="D176" s="166"/>
      <c r="E176" s="166"/>
      <c r="F176" s="87"/>
      <c r="G176" s="87"/>
      <c r="H176" s="521"/>
      <c r="I176" s="562"/>
      <c r="J176" s="89"/>
      <c r="K176" s="89"/>
      <c r="L176" s="249"/>
      <c r="M176" s="1026"/>
      <c r="N176" s="250"/>
      <c r="O176" s="251"/>
      <c r="P176" s="252"/>
      <c r="Q176" s="46"/>
    </row>
    <row r="177" spans="1:17">
      <c r="A177" s="98"/>
      <c r="B177" s="442"/>
      <c r="C177" s="46"/>
      <c r="D177" s="166"/>
      <c r="E177" s="166"/>
      <c r="F177" s="87"/>
      <c r="G177" s="87"/>
      <c r="H177" s="521"/>
      <c r="I177" s="562"/>
      <c r="J177" s="89"/>
      <c r="K177" s="89"/>
      <c r="L177" s="249"/>
      <c r="M177" s="1026"/>
      <c r="N177" s="250"/>
      <c r="O177" s="251"/>
      <c r="P177" s="252"/>
      <c r="Q177" s="46"/>
    </row>
    <row r="178" spans="1:17">
      <c r="A178" s="98"/>
      <c r="B178" s="442"/>
      <c r="C178" s="46"/>
      <c r="D178" s="166"/>
      <c r="E178" s="166"/>
      <c r="F178" s="87"/>
      <c r="G178" s="87"/>
      <c r="H178" s="521"/>
      <c r="I178" s="562"/>
      <c r="J178" s="89"/>
      <c r="K178" s="89"/>
      <c r="L178" s="249"/>
      <c r="M178" s="1026"/>
      <c r="N178" s="250"/>
      <c r="O178" s="251"/>
      <c r="P178" s="252"/>
      <c r="Q178" s="46"/>
    </row>
    <row r="179" spans="1:17">
      <c r="A179" s="98"/>
      <c r="B179" s="442"/>
      <c r="C179" s="46"/>
      <c r="D179" s="166"/>
      <c r="E179" s="166"/>
      <c r="F179" s="87"/>
      <c r="G179" s="87"/>
      <c r="H179" s="521"/>
      <c r="I179" s="562"/>
      <c r="J179" s="89"/>
      <c r="K179" s="89"/>
      <c r="L179" s="249"/>
      <c r="M179" s="1026"/>
      <c r="N179" s="250"/>
      <c r="O179" s="251"/>
      <c r="P179" s="252"/>
      <c r="Q179" s="46"/>
    </row>
    <row r="180" spans="1:17">
      <c r="A180" s="98"/>
      <c r="B180" s="442"/>
      <c r="C180" s="46"/>
      <c r="D180" s="166"/>
      <c r="E180" s="166"/>
      <c r="F180" s="87"/>
      <c r="G180" s="87"/>
      <c r="H180" s="521"/>
      <c r="I180" s="562"/>
      <c r="J180" s="89"/>
      <c r="K180" s="89"/>
      <c r="L180" s="249"/>
      <c r="M180" s="1026"/>
      <c r="N180" s="250"/>
      <c r="O180" s="251"/>
      <c r="P180" s="252"/>
      <c r="Q180" s="46"/>
    </row>
    <row r="181" spans="1:17">
      <c r="A181" s="98"/>
      <c r="B181" s="442"/>
      <c r="C181" s="46"/>
      <c r="D181" s="166"/>
      <c r="E181" s="166"/>
      <c r="F181" s="87"/>
      <c r="G181" s="87"/>
      <c r="H181" s="521"/>
      <c r="I181" s="562"/>
      <c r="J181" s="89"/>
      <c r="K181" s="89"/>
      <c r="L181" s="249"/>
      <c r="M181" s="1026"/>
      <c r="N181" s="250"/>
      <c r="O181" s="251"/>
      <c r="P181" s="252"/>
      <c r="Q181" s="46"/>
    </row>
    <row r="182" spans="1:17">
      <c r="A182" s="98"/>
      <c r="B182" s="442"/>
      <c r="C182" s="46"/>
      <c r="D182" s="166"/>
      <c r="E182" s="166"/>
      <c r="F182" s="87"/>
      <c r="G182" s="87"/>
      <c r="H182" s="521"/>
      <c r="I182" s="562"/>
      <c r="J182" s="89"/>
      <c r="K182" s="89"/>
      <c r="L182" s="249"/>
      <c r="M182" s="1026"/>
      <c r="N182" s="250"/>
      <c r="O182" s="251"/>
      <c r="P182" s="252"/>
      <c r="Q182" s="46"/>
    </row>
    <row r="183" spans="1:17">
      <c r="A183" s="98"/>
      <c r="B183" s="442"/>
      <c r="C183" s="46"/>
      <c r="D183" s="166"/>
      <c r="E183" s="166"/>
      <c r="F183" s="87"/>
      <c r="G183" s="87"/>
      <c r="H183" s="521"/>
      <c r="I183" s="562"/>
      <c r="J183" s="89"/>
      <c r="K183" s="89"/>
      <c r="L183" s="249"/>
      <c r="M183" s="1026"/>
      <c r="N183" s="250"/>
      <c r="O183" s="251"/>
      <c r="P183" s="252"/>
      <c r="Q183" s="46"/>
    </row>
    <row r="184" spans="1:17">
      <c r="A184" s="98"/>
      <c r="B184" s="442"/>
      <c r="C184" s="46"/>
      <c r="D184" s="166"/>
      <c r="E184" s="166"/>
      <c r="F184" s="87"/>
      <c r="G184" s="87"/>
      <c r="H184" s="521"/>
      <c r="I184" s="562"/>
      <c r="J184" s="89"/>
      <c r="K184" s="89"/>
      <c r="L184" s="249"/>
      <c r="M184" s="1026"/>
      <c r="N184" s="250"/>
      <c r="O184" s="251"/>
      <c r="P184" s="252"/>
      <c r="Q184" s="46"/>
    </row>
    <row r="185" spans="1:17">
      <c r="A185" s="98"/>
      <c r="B185" s="442"/>
      <c r="C185" s="46"/>
      <c r="D185" s="166"/>
      <c r="E185" s="166"/>
      <c r="F185" s="87"/>
      <c r="G185" s="87"/>
      <c r="H185" s="521"/>
      <c r="I185" s="562"/>
      <c r="J185" s="89"/>
      <c r="K185" s="89"/>
      <c r="L185" s="249"/>
      <c r="M185" s="1026"/>
      <c r="N185" s="250"/>
      <c r="O185" s="251"/>
      <c r="P185" s="252"/>
      <c r="Q185" s="46"/>
    </row>
    <row r="186" spans="1:17">
      <c r="A186" s="98"/>
      <c r="B186" s="442"/>
      <c r="C186" s="46"/>
      <c r="D186" s="166"/>
      <c r="E186" s="166"/>
      <c r="F186" s="87"/>
      <c r="G186" s="87"/>
      <c r="H186" s="521"/>
      <c r="I186" s="562"/>
      <c r="J186" s="89"/>
      <c r="K186" s="89"/>
      <c r="L186" s="249"/>
      <c r="M186" s="1026"/>
      <c r="N186" s="250"/>
      <c r="O186" s="251"/>
      <c r="P186" s="252"/>
      <c r="Q186" s="46"/>
    </row>
    <row r="187" spans="1:17">
      <c r="A187" s="98"/>
      <c r="B187" s="442"/>
      <c r="C187" s="46"/>
      <c r="D187" s="166"/>
      <c r="E187" s="166"/>
      <c r="F187" s="87"/>
      <c r="G187" s="87"/>
      <c r="H187" s="521"/>
      <c r="I187" s="562"/>
      <c r="J187" s="89"/>
      <c r="K187" s="89"/>
      <c r="L187" s="249"/>
      <c r="M187" s="1026"/>
      <c r="N187" s="250"/>
      <c r="O187" s="251"/>
      <c r="P187" s="252"/>
      <c r="Q187" s="46"/>
    </row>
    <row r="188" spans="1:17">
      <c r="A188" s="98"/>
      <c r="B188" s="442"/>
      <c r="C188" s="46"/>
      <c r="D188" s="166"/>
      <c r="E188" s="166"/>
      <c r="F188" s="87"/>
      <c r="G188" s="87"/>
      <c r="H188" s="521"/>
      <c r="I188" s="562"/>
      <c r="J188" s="89"/>
      <c r="K188" s="89"/>
      <c r="L188" s="249"/>
      <c r="M188" s="1026"/>
      <c r="N188" s="250"/>
      <c r="O188" s="251"/>
      <c r="P188" s="252"/>
      <c r="Q188" s="46"/>
    </row>
    <row r="189" spans="1:17">
      <c r="A189" s="98"/>
      <c r="B189" s="442"/>
      <c r="C189" s="46"/>
      <c r="D189" s="166"/>
      <c r="E189" s="166"/>
      <c r="F189" s="87"/>
      <c r="G189" s="87"/>
      <c r="H189" s="521"/>
      <c r="I189" s="562"/>
      <c r="J189" s="89"/>
      <c r="K189" s="89"/>
      <c r="L189" s="249"/>
      <c r="M189" s="1026"/>
      <c r="N189" s="250"/>
      <c r="O189" s="251"/>
      <c r="P189" s="252"/>
      <c r="Q189" s="46"/>
    </row>
    <row r="190" spans="1:17">
      <c r="A190" s="98"/>
      <c r="B190" s="442"/>
      <c r="C190" s="46"/>
      <c r="D190" s="166"/>
      <c r="E190" s="166"/>
      <c r="F190" s="87"/>
      <c r="G190" s="87"/>
      <c r="H190" s="521"/>
      <c r="I190" s="562"/>
      <c r="J190" s="89"/>
      <c r="K190" s="89"/>
      <c r="L190" s="249"/>
      <c r="M190" s="1026"/>
      <c r="N190" s="250"/>
      <c r="O190" s="251"/>
      <c r="P190" s="252"/>
      <c r="Q190" s="46"/>
    </row>
    <row r="191" spans="1:17">
      <c r="A191" s="98"/>
      <c r="B191" s="442"/>
      <c r="C191" s="46"/>
      <c r="D191" s="166"/>
      <c r="E191" s="166"/>
      <c r="F191" s="87"/>
      <c r="G191" s="87"/>
      <c r="H191" s="521"/>
      <c r="I191" s="562"/>
      <c r="J191" s="89"/>
      <c r="K191" s="89"/>
      <c r="L191" s="249"/>
      <c r="M191" s="1026"/>
      <c r="N191" s="250"/>
      <c r="O191" s="251"/>
      <c r="P191" s="252"/>
      <c r="Q191" s="46"/>
    </row>
    <row r="192" spans="1:17">
      <c r="A192" s="98"/>
      <c r="B192" s="442"/>
      <c r="C192" s="46"/>
      <c r="D192" s="166"/>
      <c r="E192" s="166"/>
      <c r="F192" s="87"/>
      <c r="G192" s="87"/>
      <c r="H192" s="521"/>
      <c r="I192" s="562"/>
      <c r="J192" s="89"/>
      <c r="K192" s="89"/>
      <c r="L192" s="249"/>
      <c r="M192" s="1026"/>
      <c r="N192" s="250"/>
      <c r="O192" s="251"/>
      <c r="P192" s="252"/>
      <c r="Q192" s="46"/>
    </row>
    <row r="193" spans="1:17">
      <c r="A193" s="98"/>
      <c r="B193" s="442"/>
      <c r="C193" s="46"/>
      <c r="D193" s="166"/>
      <c r="E193" s="166"/>
      <c r="F193" s="87"/>
      <c r="G193" s="87"/>
      <c r="H193" s="521"/>
      <c r="I193" s="562"/>
      <c r="J193" s="89"/>
      <c r="K193" s="89"/>
      <c r="L193" s="249"/>
      <c r="M193" s="1026"/>
      <c r="N193" s="250"/>
      <c r="O193" s="251"/>
      <c r="P193" s="252"/>
      <c r="Q193" s="46"/>
    </row>
    <row r="194" spans="1:17">
      <c r="A194" s="98"/>
      <c r="B194" s="442"/>
      <c r="C194" s="46"/>
      <c r="D194" s="166"/>
      <c r="E194" s="166"/>
      <c r="F194" s="87"/>
      <c r="G194" s="87"/>
      <c r="H194" s="521"/>
      <c r="I194" s="562"/>
      <c r="J194" s="89"/>
      <c r="K194" s="89"/>
      <c r="L194" s="249"/>
      <c r="M194" s="1026"/>
      <c r="N194" s="250"/>
      <c r="O194" s="251"/>
      <c r="P194" s="252"/>
      <c r="Q194" s="46"/>
    </row>
    <row r="195" spans="1:17">
      <c r="A195" s="98"/>
      <c r="B195" s="442"/>
      <c r="C195" s="46"/>
      <c r="D195" s="166"/>
      <c r="E195" s="166"/>
      <c r="F195" s="87"/>
      <c r="G195" s="87"/>
      <c r="H195" s="521"/>
      <c r="I195" s="562"/>
      <c r="J195" s="89"/>
      <c r="K195" s="89"/>
      <c r="L195" s="249"/>
      <c r="M195" s="1026"/>
      <c r="N195" s="250"/>
      <c r="O195" s="251"/>
      <c r="P195" s="252"/>
      <c r="Q195" s="46"/>
    </row>
    <row r="196" spans="1:17">
      <c r="A196" s="98"/>
      <c r="B196" s="442"/>
      <c r="C196" s="46"/>
      <c r="D196" s="166"/>
      <c r="E196" s="166"/>
      <c r="F196" s="87"/>
      <c r="G196" s="87"/>
      <c r="H196" s="521"/>
      <c r="I196" s="562"/>
      <c r="J196" s="89"/>
      <c r="K196" s="89"/>
      <c r="L196" s="249"/>
      <c r="M196" s="1026"/>
      <c r="N196" s="250"/>
      <c r="O196" s="251"/>
      <c r="P196" s="252"/>
      <c r="Q196" s="46"/>
    </row>
    <row r="197" spans="1:17">
      <c r="A197" s="98"/>
      <c r="B197" s="442"/>
      <c r="C197" s="46"/>
      <c r="D197" s="166"/>
      <c r="E197" s="166"/>
      <c r="F197" s="87"/>
      <c r="G197" s="87"/>
      <c r="H197" s="521"/>
      <c r="I197" s="562"/>
      <c r="J197" s="89"/>
      <c r="K197" s="89"/>
      <c r="L197" s="249"/>
      <c r="M197" s="1026"/>
      <c r="N197" s="250"/>
      <c r="O197" s="251"/>
      <c r="P197" s="252"/>
      <c r="Q197" s="46"/>
    </row>
    <row r="198" spans="1:17">
      <c r="A198" s="98"/>
      <c r="B198" s="442"/>
      <c r="C198" s="46"/>
      <c r="D198" s="166"/>
      <c r="E198" s="166"/>
      <c r="F198" s="87"/>
      <c r="G198" s="87"/>
      <c r="H198" s="521"/>
      <c r="I198" s="562"/>
      <c r="J198" s="89"/>
      <c r="K198" s="89"/>
      <c r="L198" s="249"/>
      <c r="M198" s="1026"/>
      <c r="N198" s="250"/>
      <c r="O198" s="251"/>
      <c r="P198" s="252"/>
      <c r="Q198" s="46"/>
    </row>
    <row r="199" spans="1:17">
      <c r="A199" s="98"/>
      <c r="B199" s="442"/>
      <c r="C199" s="46"/>
      <c r="D199" s="166"/>
      <c r="E199" s="166"/>
      <c r="F199" s="87"/>
      <c r="G199" s="87"/>
      <c r="H199" s="521"/>
      <c r="I199" s="562"/>
      <c r="J199" s="89"/>
      <c r="K199" s="89"/>
      <c r="L199" s="249"/>
      <c r="M199" s="1026"/>
      <c r="N199" s="250"/>
      <c r="O199" s="251"/>
      <c r="P199" s="252"/>
      <c r="Q199" s="46"/>
    </row>
    <row r="200" spans="1:17">
      <c r="A200" s="98"/>
      <c r="B200" s="442"/>
      <c r="C200" s="46"/>
      <c r="D200" s="166"/>
      <c r="E200" s="166"/>
      <c r="F200" s="87"/>
      <c r="G200" s="87"/>
      <c r="H200" s="521"/>
      <c r="I200" s="562"/>
      <c r="J200" s="89"/>
      <c r="K200" s="89"/>
      <c r="L200" s="249"/>
      <c r="M200" s="1026"/>
      <c r="N200" s="250"/>
      <c r="O200" s="251"/>
      <c r="P200" s="252"/>
      <c r="Q200" s="46"/>
    </row>
    <row r="201" spans="1:17">
      <c r="A201" s="98"/>
      <c r="B201" s="442"/>
      <c r="C201" s="46"/>
      <c r="D201" s="166"/>
      <c r="E201" s="166"/>
      <c r="F201" s="87"/>
      <c r="G201" s="87"/>
      <c r="H201" s="521"/>
      <c r="I201" s="562"/>
      <c r="J201" s="89"/>
      <c r="K201" s="89"/>
      <c r="L201" s="249"/>
      <c r="M201" s="1026"/>
      <c r="N201" s="250"/>
      <c r="O201" s="251"/>
      <c r="P201" s="252"/>
      <c r="Q201" s="46"/>
    </row>
    <row r="202" spans="1:17">
      <c r="A202" s="98"/>
      <c r="B202" s="442"/>
      <c r="C202" s="46"/>
      <c r="D202" s="166"/>
      <c r="E202" s="166"/>
      <c r="F202" s="87"/>
      <c r="G202" s="87"/>
      <c r="H202" s="521"/>
      <c r="I202" s="562"/>
      <c r="J202" s="89"/>
      <c r="K202" s="89"/>
      <c r="L202" s="249"/>
      <c r="M202" s="1026"/>
      <c r="N202" s="250"/>
      <c r="O202" s="251"/>
      <c r="P202" s="252"/>
      <c r="Q202" s="46"/>
    </row>
    <row r="203" spans="1:17">
      <c r="A203" s="98"/>
      <c r="B203" s="442"/>
      <c r="C203" s="46"/>
      <c r="D203" s="166"/>
      <c r="E203" s="166"/>
      <c r="F203" s="87"/>
      <c r="G203" s="87"/>
      <c r="H203" s="521"/>
      <c r="I203" s="562"/>
      <c r="J203" s="89"/>
      <c r="K203" s="89"/>
      <c r="L203" s="249"/>
      <c r="M203" s="1026"/>
      <c r="N203" s="250"/>
      <c r="O203" s="251"/>
      <c r="P203" s="252"/>
      <c r="Q203" s="46"/>
    </row>
    <row r="204" spans="1:17">
      <c r="A204" s="98"/>
      <c r="B204" s="442"/>
      <c r="C204" s="46"/>
      <c r="D204" s="166"/>
      <c r="E204" s="166"/>
      <c r="F204" s="87"/>
      <c r="G204" s="87"/>
      <c r="H204" s="521"/>
      <c r="I204" s="562"/>
      <c r="J204" s="89"/>
      <c r="K204" s="89"/>
      <c r="L204" s="249"/>
      <c r="M204" s="1026"/>
      <c r="N204" s="250"/>
      <c r="O204" s="251"/>
      <c r="P204" s="252"/>
      <c r="Q204" s="46"/>
    </row>
    <row r="205" spans="1:17">
      <c r="A205" s="98"/>
      <c r="B205" s="442"/>
      <c r="C205" s="46"/>
      <c r="D205" s="166"/>
      <c r="E205" s="166"/>
      <c r="F205" s="87"/>
      <c r="G205" s="87"/>
      <c r="H205" s="521"/>
      <c r="I205" s="562"/>
      <c r="J205" s="89"/>
      <c r="K205" s="89"/>
      <c r="L205" s="249"/>
      <c r="M205" s="1026"/>
      <c r="N205" s="250"/>
      <c r="O205" s="251"/>
      <c r="P205" s="252"/>
      <c r="Q205" s="46"/>
    </row>
    <row r="206" spans="1:17">
      <c r="A206" s="98"/>
      <c r="B206" s="442"/>
      <c r="C206" s="46"/>
      <c r="D206" s="166"/>
      <c r="E206" s="166"/>
      <c r="F206" s="87"/>
      <c r="G206" s="87"/>
      <c r="H206" s="521"/>
      <c r="I206" s="562"/>
      <c r="J206" s="89"/>
      <c r="K206" s="89"/>
      <c r="L206" s="249"/>
      <c r="M206" s="1026"/>
      <c r="N206" s="250"/>
      <c r="O206" s="251"/>
      <c r="P206" s="252"/>
      <c r="Q206" s="46"/>
    </row>
    <row r="207" spans="1:17">
      <c r="A207" s="98"/>
      <c r="B207" s="442"/>
      <c r="C207" s="46"/>
      <c r="D207" s="166"/>
      <c r="E207" s="166"/>
      <c r="F207" s="87"/>
      <c r="G207" s="87"/>
      <c r="H207" s="521"/>
      <c r="I207" s="562"/>
      <c r="J207" s="89"/>
      <c r="K207" s="89"/>
      <c r="L207" s="249"/>
      <c r="M207" s="1026"/>
      <c r="N207" s="250"/>
      <c r="O207" s="251"/>
      <c r="P207" s="252"/>
      <c r="Q207" s="46"/>
    </row>
    <row r="208" spans="1:17">
      <c r="A208" s="98"/>
      <c r="B208" s="442"/>
      <c r="C208" s="46"/>
      <c r="D208" s="166"/>
      <c r="E208" s="166"/>
      <c r="F208" s="87"/>
      <c r="G208" s="87"/>
      <c r="H208" s="521"/>
      <c r="I208" s="562"/>
      <c r="J208" s="89"/>
      <c r="K208" s="89"/>
      <c r="L208" s="249"/>
      <c r="M208" s="1026"/>
      <c r="N208" s="250"/>
      <c r="O208" s="251"/>
      <c r="P208" s="252"/>
      <c r="Q208" s="46"/>
    </row>
    <row r="209" spans="1:17">
      <c r="A209" s="98"/>
      <c r="B209" s="442"/>
      <c r="C209" s="46"/>
      <c r="D209" s="166"/>
      <c r="E209" s="166"/>
      <c r="F209" s="87"/>
      <c r="G209" s="87"/>
      <c r="H209" s="521"/>
      <c r="I209" s="562"/>
      <c r="J209" s="89"/>
      <c r="K209" s="89"/>
      <c r="L209" s="249"/>
      <c r="M209" s="1026"/>
      <c r="N209" s="250"/>
      <c r="O209" s="251"/>
      <c r="P209" s="252"/>
      <c r="Q209" s="46"/>
    </row>
    <row r="210" spans="1:17">
      <c r="A210" s="98"/>
      <c r="B210" s="442"/>
      <c r="C210" s="46"/>
      <c r="D210" s="166"/>
      <c r="E210" s="166"/>
      <c r="F210" s="87"/>
      <c r="G210" s="87"/>
      <c r="H210" s="521"/>
      <c r="I210" s="562"/>
      <c r="J210" s="89"/>
      <c r="K210" s="89"/>
      <c r="L210" s="249"/>
      <c r="M210" s="1026"/>
      <c r="N210" s="250"/>
      <c r="O210" s="251"/>
      <c r="P210" s="252"/>
      <c r="Q210" s="46"/>
    </row>
    <row r="211" spans="1:17">
      <c r="A211" s="98"/>
      <c r="B211" s="442"/>
      <c r="C211" s="46"/>
      <c r="D211" s="166"/>
      <c r="E211" s="166"/>
      <c r="F211" s="87"/>
      <c r="G211" s="87"/>
      <c r="H211" s="521"/>
      <c r="I211" s="562"/>
      <c r="J211" s="89"/>
      <c r="K211" s="89"/>
      <c r="L211" s="249"/>
      <c r="M211" s="1026"/>
      <c r="N211" s="250"/>
      <c r="O211" s="251"/>
      <c r="P211" s="252"/>
      <c r="Q211" s="46"/>
    </row>
    <row r="212" spans="1:17">
      <c r="A212" s="98"/>
      <c r="B212" s="442"/>
      <c r="C212" s="46"/>
      <c r="D212" s="166"/>
      <c r="E212" s="166"/>
      <c r="F212" s="87"/>
      <c r="G212" s="87"/>
      <c r="H212" s="521"/>
      <c r="I212" s="562"/>
      <c r="J212" s="89"/>
      <c r="K212" s="89"/>
      <c r="L212" s="249"/>
      <c r="M212" s="1026"/>
      <c r="N212" s="250"/>
      <c r="O212" s="251"/>
      <c r="P212" s="252"/>
      <c r="Q212" s="46"/>
    </row>
    <row r="213" spans="1:17">
      <c r="A213" s="98"/>
      <c r="B213" s="442"/>
      <c r="C213" s="46"/>
      <c r="D213" s="166"/>
      <c r="E213" s="166"/>
      <c r="F213" s="87"/>
      <c r="G213" s="87"/>
      <c r="H213" s="521"/>
      <c r="I213" s="562"/>
      <c r="J213" s="89"/>
      <c r="K213" s="89"/>
      <c r="L213" s="249"/>
      <c r="M213" s="1026"/>
      <c r="N213" s="250"/>
      <c r="O213" s="251"/>
      <c r="P213" s="252"/>
      <c r="Q213" s="46"/>
    </row>
    <row r="214" spans="1:17">
      <c r="A214" s="98"/>
      <c r="B214" s="442"/>
      <c r="C214" s="46"/>
      <c r="D214" s="166"/>
      <c r="E214" s="166"/>
      <c r="F214" s="87"/>
      <c r="G214" s="87"/>
      <c r="H214" s="521"/>
      <c r="I214" s="562"/>
      <c r="J214" s="89"/>
      <c r="K214" s="89"/>
      <c r="L214" s="249"/>
      <c r="M214" s="1026"/>
      <c r="N214" s="250"/>
      <c r="O214" s="251"/>
      <c r="P214" s="252"/>
      <c r="Q214" s="46"/>
    </row>
    <row r="215" spans="1:17">
      <c r="A215" s="98"/>
      <c r="B215" s="442"/>
      <c r="C215" s="46"/>
      <c r="D215" s="166"/>
      <c r="E215" s="166"/>
      <c r="F215" s="87"/>
      <c r="G215" s="87"/>
      <c r="H215" s="521"/>
      <c r="I215" s="562"/>
      <c r="J215" s="89"/>
      <c r="K215" s="89"/>
      <c r="L215" s="249"/>
      <c r="M215" s="1026"/>
      <c r="N215" s="250"/>
      <c r="O215" s="251"/>
      <c r="P215" s="252"/>
      <c r="Q215" s="46"/>
    </row>
    <row r="216" spans="1:17">
      <c r="A216" s="98"/>
      <c r="B216" s="442"/>
      <c r="C216" s="46"/>
      <c r="D216" s="166"/>
      <c r="E216" s="166"/>
      <c r="F216" s="87"/>
      <c r="G216" s="87"/>
      <c r="H216" s="521"/>
      <c r="I216" s="562"/>
      <c r="J216" s="89"/>
      <c r="K216" s="89"/>
      <c r="L216" s="249"/>
      <c r="M216" s="1026"/>
      <c r="N216" s="250"/>
      <c r="O216" s="251"/>
      <c r="P216" s="252"/>
      <c r="Q216" s="46"/>
    </row>
    <row r="217" spans="1:17">
      <c r="A217" s="98"/>
      <c r="B217" s="442"/>
      <c r="C217" s="46"/>
      <c r="D217" s="166"/>
      <c r="E217" s="166"/>
      <c r="F217" s="87"/>
      <c r="G217" s="87"/>
      <c r="H217" s="521"/>
      <c r="I217" s="562"/>
      <c r="J217" s="89"/>
      <c r="K217" s="89"/>
      <c r="L217" s="249"/>
      <c r="M217" s="1026"/>
      <c r="N217" s="250"/>
      <c r="O217" s="251"/>
      <c r="P217" s="252"/>
      <c r="Q217" s="46"/>
    </row>
    <row r="218" spans="1:17">
      <c r="A218" s="98"/>
      <c r="B218" s="442"/>
      <c r="C218" s="46"/>
      <c r="D218" s="166"/>
      <c r="E218" s="166"/>
      <c r="F218" s="87"/>
      <c r="G218" s="87"/>
      <c r="H218" s="521"/>
      <c r="I218" s="562"/>
      <c r="J218" s="89"/>
      <c r="K218" s="89"/>
      <c r="L218" s="249"/>
      <c r="M218" s="1026"/>
      <c r="N218" s="250"/>
      <c r="O218" s="251"/>
      <c r="P218" s="252"/>
      <c r="Q218" s="46"/>
    </row>
    <row r="219" spans="1:17">
      <c r="A219" s="98"/>
      <c r="B219" s="442"/>
      <c r="C219" s="46"/>
      <c r="D219" s="166"/>
      <c r="E219" s="166"/>
      <c r="F219" s="87"/>
      <c r="G219" s="87"/>
      <c r="H219" s="521"/>
      <c r="I219" s="562"/>
      <c r="J219" s="89"/>
      <c r="K219" s="89"/>
      <c r="L219" s="249"/>
      <c r="M219" s="1026"/>
      <c r="N219" s="250"/>
      <c r="O219" s="251"/>
      <c r="P219" s="252"/>
      <c r="Q219" s="46"/>
    </row>
    <row r="220" spans="1:17">
      <c r="A220" s="98"/>
      <c r="B220" s="442"/>
      <c r="C220" s="46"/>
      <c r="D220" s="166"/>
      <c r="E220" s="166"/>
      <c r="F220" s="87"/>
      <c r="G220" s="87"/>
      <c r="H220" s="521"/>
      <c r="I220" s="562"/>
      <c r="J220" s="89"/>
      <c r="K220" s="89"/>
      <c r="L220" s="249"/>
      <c r="M220" s="1026"/>
      <c r="N220" s="250"/>
      <c r="O220" s="251"/>
      <c r="P220" s="252"/>
      <c r="Q220" s="46"/>
    </row>
    <row r="221" spans="1:17">
      <c r="A221" s="98"/>
      <c r="B221" s="442"/>
      <c r="C221" s="46"/>
      <c r="D221" s="166"/>
      <c r="E221" s="166"/>
      <c r="F221" s="87"/>
      <c r="G221" s="87"/>
      <c r="H221" s="521"/>
      <c r="I221" s="562"/>
      <c r="J221" s="89"/>
      <c r="K221" s="89"/>
      <c r="L221" s="249"/>
      <c r="M221" s="1026"/>
      <c r="N221" s="250"/>
      <c r="O221" s="251"/>
      <c r="P221" s="252"/>
      <c r="Q221" s="46"/>
    </row>
    <row r="222" spans="1:17">
      <c r="A222" s="98"/>
      <c r="B222" s="442"/>
      <c r="C222" s="46"/>
      <c r="D222" s="166"/>
      <c r="E222" s="166"/>
      <c r="F222" s="87"/>
      <c r="G222" s="87"/>
      <c r="H222" s="521"/>
      <c r="I222" s="562"/>
      <c r="J222" s="89"/>
      <c r="K222" s="89"/>
      <c r="L222" s="249"/>
      <c r="M222" s="1026"/>
      <c r="N222" s="250"/>
      <c r="O222" s="251"/>
      <c r="P222" s="252"/>
      <c r="Q222" s="46"/>
    </row>
    <row r="223" spans="1:17">
      <c r="A223" s="98"/>
      <c r="B223" s="442"/>
      <c r="C223" s="46"/>
      <c r="D223" s="166"/>
      <c r="E223" s="166"/>
      <c r="F223" s="87"/>
      <c r="G223" s="87"/>
      <c r="H223" s="521"/>
      <c r="I223" s="562"/>
      <c r="J223" s="89"/>
      <c r="K223" s="89"/>
      <c r="L223" s="249"/>
      <c r="M223" s="1026"/>
      <c r="N223" s="250"/>
      <c r="O223" s="251"/>
      <c r="P223" s="252"/>
      <c r="Q223" s="46"/>
    </row>
    <row r="224" spans="1:17">
      <c r="A224" s="98"/>
      <c r="B224" s="442"/>
      <c r="C224" s="46"/>
      <c r="D224" s="166"/>
      <c r="E224" s="166"/>
      <c r="F224" s="87"/>
      <c r="G224" s="87"/>
      <c r="H224" s="521"/>
      <c r="I224" s="562"/>
      <c r="J224" s="89"/>
      <c r="K224" s="89"/>
      <c r="L224" s="249"/>
      <c r="M224" s="1026"/>
      <c r="N224" s="250"/>
      <c r="O224" s="251"/>
      <c r="P224" s="252"/>
      <c r="Q224" s="46"/>
    </row>
    <row r="225" spans="1:17">
      <c r="A225" s="98"/>
      <c r="B225" s="442"/>
      <c r="C225" s="46"/>
      <c r="D225" s="166"/>
      <c r="E225" s="166"/>
      <c r="F225" s="87"/>
      <c r="G225" s="87"/>
      <c r="H225" s="521"/>
      <c r="I225" s="562"/>
      <c r="J225" s="89"/>
      <c r="K225" s="89"/>
      <c r="L225" s="249"/>
      <c r="M225" s="1026"/>
      <c r="N225" s="250"/>
      <c r="O225" s="251"/>
      <c r="P225" s="252"/>
      <c r="Q225" s="46"/>
    </row>
    <row r="226" spans="1:17">
      <c r="A226" s="98"/>
      <c r="B226" s="442"/>
      <c r="C226" s="46"/>
      <c r="D226" s="166"/>
      <c r="E226" s="166"/>
      <c r="F226" s="87"/>
      <c r="G226" s="87"/>
      <c r="H226" s="521"/>
      <c r="I226" s="562"/>
      <c r="J226" s="89"/>
      <c r="K226" s="89"/>
      <c r="L226" s="249"/>
      <c r="M226" s="1026"/>
      <c r="N226" s="250"/>
      <c r="O226" s="251"/>
      <c r="P226" s="252"/>
      <c r="Q226" s="46"/>
    </row>
    <row r="227" spans="1:17">
      <c r="A227" s="98"/>
      <c r="B227" s="442"/>
      <c r="C227" s="46"/>
      <c r="D227" s="166"/>
      <c r="E227" s="166"/>
      <c r="F227" s="87"/>
      <c r="G227" s="87"/>
      <c r="H227" s="521"/>
      <c r="I227" s="562"/>
      <c r="J227" s="89"/>
      <c r="K227" s="89"/>
      <c r="L227" s="249"/>
      <c r="M227" s="1026"/>
      <c r="N227" s="250"/>
      <c r="O227" s="251"/>
      <c r="P227" s="252"/>
      <c r="Q227" s="46"/>
    </row>
    <row r="228" spans="1:17">
      <c r="A228" s="98"/>
      <c r="B228" s="442"/>
      <c r="C228" s="46"/>
      <c r="D228" s="166"/>
      <c r="E228" s="166"/>
      <c r="F228" s="87"/>
      <c r="G228" s="87"/>
      <c r="H228" s="521"/>
      <c r="I228" s="562"/>
      <c r="J228" s="89"/>
      <c r="K228" s="89"/>
      <c r="L228" s="249"/>
      <c r="M228" s="1026"/>
      <c r="N228" s="250"/>
      <c r="O228" s="251"/>
      <c r="P228" s="252"/>
      <c r="Q228" s="46"/>
    </row>
    <row r="229" spans="1:17">
      <c r="A229" s="98"/>
      <c r="B229" s="442"/>
      <c r="C229" s="46"/>
      <c r="D229" s="166"/>
      <c r="E229" s="166"/>
      <c r="F229" s="87"/>
      <c r="G229" s="87"/>
      <c r="H229" s="521"/>
      <c r="I229" s="562"/>
      <c r="J229" s="89"/>
      <c r="K229" s="89"/>
      <c r="L229" s="249"/>
      <c r="M229" s="1026"/>
      <c r="N229" s="250"/>
      <c r="O229" s="251"/>
      <c r="P229" s="252"/>
      <c r="Q229" s="46"/>
    </row>
    <row r="230" spans="1:17">
      <c r="A230" s="98"/>
      <c r="B230" s="442"/>
      <c r="C230" s="46"/>
      <c r="D230" s="166"/>
      <c r="E230" s="166"/>
      <c r="F230" s="87"/>
      <c r="G230" s="87"/>
      <c r="H230" s="521"/>
      <c r="I230" s="562"/>
      <c r="J230" s="89"/>
      <c r="K230" s="89"/>
      <c r="L230" s="249"/>
      <c r="M230" s="1026"/>
      <c r="N230" s="250"/>
      <c r="O230" s="251"/>
      <c r="P230" s="252"/>
      <c r="Q230" s="46"/>
    </row>
    <row r="231" spans="1:17">
      <c r="A231" s="98"/>
      <c r="B231" s="442"/>
      <c r="C231" s="46"/>
      <c r="D231" s="166"/>
      <c r="E231" s="166"/>
      <c r="F231" s="87"/>
      <c r="G231" s="87"/>
      <c r="H231" s="521"/>
      <c r="I231" s="562"/>
      <c r="J231" s="89"/>
      <c r="K231" s="89"/>
      <c r="L231" s="249"/>
      <c r="M231" s="1026"/>
      <c r="N231" s="250"/>
      <c r="O231" s="251"/>
      <c r="P231" s="252"/>
      <c r="Q231" s="46"/>
    </row>
    <row r="232" spans="1:17">
      <c r="A232" s="98"/>
      <c r="B232" s="442"/>
      <c r="C232" s="46"/>
      <c r="D232" s="166"/>
      <c r="E232" s="166"/>
      <c r="F232" s="87"/>
      <c r="G232" s="87"/>
      <c r="H232" s="521"/>
      <c r="I232" s="562"/>
      <c r="J232" s="89"/>
      <c r="K232" s="89"/>
      <c r="L232" s="249"/>
      <c r="M232" s="1026"/>
      <c r="N232" s="250"/>
      <c r="O232" s="251"/>
      <c r="P232" s="252"/>
      <c r="Q232" s="46"/>
    </row>
    <row r="233" spans="1:17">
      <c r="A233" s="98"/>
      <c r="B233" s="442"/>
      <c r="C233" s="46"/>
      <c r="D233" s="166"/>
      <c r="E233" s="166"/>
      <c r="F233" s="87"/>
      <c r="G233" s="87"/>
      <c r="H233" s="521"/>
      <c r="I233" s="562"/>
      <c r="J233" s="89"/>
      <c r="K233" s="89"/>
      <c r="L233" s="249"/>
      <c r="M233" s="1026"/>
      <c r="N233" s="250"/>
      <c r="O233" s="251"/>
      <c r="P233" s="252"/>
      <c r="Q233" s="46"/>
    </row>
    <row r="234" spans="1:17">
      <c r="A234" s="98"/>
      <c r="B234" s="442"/>
      <c r="C234" s="46"/>
      <c r="D234" s="166"/>
      <c r="E234" s="166"/>
      <c r="F234" s="87"/>
      <c r="G234" s="87"/>
      <c r="H234" s="521"/>
      <c r="I234" s="562"/>
      <c r="J234" s="89"/>
      <c r="K234" s="89"/>
      <c r="L234" s="249"/>
      <c r="M234" s="1026"/>
      <c r="N234" s="250"/>
      <c r="O234" s="251"/>
      <c r="P234" s="252"/>
      <c r="Q234" s="46"/>
    </row>
    <row r="235" spans="1:17">
      <c r="A235" s="98"/>
      <c r="B235" s="442"/>
      <c r="C235" s="46"/>
      <c r="D235" s="166"/>
      <c r="E235" s="166"/>
      <c r="F235" s="87"/>
      <c r="G235" s="87"/>
      <c r="H235" s="521"/>
      <c r="I235" s="562"/>
      <c r="J235" s="89"/>
      <c r="K235" s="89"/>
      <c r="L235" s="249"/>
      <c r="M235" s="1026"/>
      <c r="N235" s="250"/>
      <c r="O235" s="251"/>
      <c r="P235" s="252"/>
      <c r="Q235" s="46"/>
    </row>
    <row r="236" spans="1:17">
      <c r="A236" s="98"/>
      <c r="B236" s="442"/>
      <c r="C236" s="46"/>
      <c r="D236" s="166"/>
      <c r="E236" s="166"/>
      <c r="F236" s="87"/>
      <c r="G236" s="87"/>
      <c r="H236" s="521"/>
      <c r="I236" s="562"/>
      <c r="J236" s="89"/>
      <c r="K236" s="89"/>
      <c r="L236" s="249"/>
      <c r="M236" s="1026"/>
      <c r="N236" s="250"/>
      <c r="O236" s="251"/>
      <c r="P236" s="252"/>
      <c r="Q236" s="46"/>
    </row>
    <row r="237" spans="1:17">
      <c r="A237" s="98"/>
      <c r="B237" s="442"/>
      <c r="C237" s="46"/>
      <c r="D237" s="166"/>
      <c r="E237" s="166"/>
      <c r="F237" s="87"/>
      <c r="G237" s="87"/>
      <c r="H237" s="521"/>
      <c r="I237" s="562"/>
      <c r="J237" s="89"/>
      <c r="K237" s="89"/>
      <c r="L237" s="249"/>
      <c r="M237" s="1026"/>
      <c r="N237" s="250"/>
      <c r="O237" s="251"/>
      <c r="P237" s="252"/>
      <c r="Q237" s="46"/>
    </row>
    <row r="238" spans="1:17">
      <c r="A238" s="98"/>
      <c r="B238" s="442"/>
      <c r="C238" s="540"/>
      <c r="D238" s="166"/>
      <c r="E238" s="166"/>
      <c r="F238" s="87"/>
      <c r="G238" s="87"/>
      <c r="H238" s="521"/>
      <c r="I238" s="562"/>
      <c r="J238" s="89"/>
      <c r="K238" s="89"/>
      <c r="L238" s="249"/>
      <c r="M238" s="1026"/>
      <c r="N238" s="250"/>
      <c r="O238" s="251"/>
      <c r="P238" s="252"/>
      <c r="Q238" s="46"/>
    </row>
    <row r="239" spans="1:17">
      <c r="A239" s="98"/>
      <c r="B239" s="442"/>
      <c r="C239" s="540"/>
      <c r="D239" s="166"/>
      <c r="E239" s="166"/>
      <c r="F239" s="87"/>
      <c r="G239" s="87"/>
      <c r="H239" s="521"/>
      <c r="I239" s="562"/>
      <c r="J239" s="89"/>
      <c r="K239" s="89"/>
      <c r="L239" s="249"/>
      <c r="M239" s="1026"/>
      <c r="N239" s="250"/>
      <c r="O239" s="251"/>
      <c r="P239" s="252"/>
      <c r="Q239" s="46"/>
    </row>
    <row r="240" spans="1:17">
      <c r="A240" s="98"/>
      <c r="B240" s="442"/>
      <c r="C240" s="540"/>
      <c r="D240" s="166"/>
      <c r="E240" s="166"/>
      <c r="F240" s="87"/>
      <c r="G240" s="87"/>
      <c r="H240" s="521"/>
      <c r="I240" s="562"/>
      <c r="J240" s="89"/>
      <c r="K240" s="89"/>
      <c r="L240" s="249"/>
      <c r="M240" s="1026"/>
      <c r="N240" s="250"/>
      <c r="O240" s="251"/>
      <c r="P240" s="252"/>
      <c r="Q240" s="46"/>
    </row>
    <row r="241" spans="1:17">
      <c r="A241" s="98"/>
      <c r="B241" s="442"/>
      <c r="C241" s="540"/>
      <c r="D241" s="166"/>
      <c r="E241" s="166"/>
      <c r="F241" s="87"/>
      <c r="G241" s="87"/>
      <c r="H241" s="521"/>
      <c r="I241" s="562"/>
      <c r="J241" s="89"/>
      <c r="K241" s="89"/>
      <c r="L241" s="249"/>
      <c r="M241" s="1026"/>
      <c r="N241" s="250"/>
      <c r="O241" s="251"/>
      <c r="P241" s="252"/>
      <c r="Q241" s="46"/>
    </row>
    <row r="242" spans="1:17">
      <c r="A242" s="98"/>
      <c r="B242" s="442"/>
      <c r="C242" s="540"/>
      <c r="D242" s="166"/>
      <c r="E242" s="166"/>
      <c r="F242" s="87"/>
      <c r="G242" s="87"/>
      <c r="H242" s="521"/>
      <c r="I242" s="562"/>
      <c r="J242" s="89"/>
      <c r="K242" s="89"/>
      <c r="L242" s="249"/>
      <c r="M242" s="1026"/>
      <c r="N242" s="250"/>
      <c r="O242" s="251"/>
      <c r="P242" s="252"/>
      <c r="Q242" s="46"/>
    </row>
    <row r="243" spans="1:17">
      <c r="A243" s="98"/>
      <c r="B243" s="442"/>
      <c r="C243" s="540"/>
      <c r="D243" s="166"/>
      <c r="E243" s="166"/>
      <c r="F243" s="87"/>
      <c r="G243" s="87"/>
      <c r="H243" s="521"/>
      <c r="I243" s="562"/>
      <c r="J243" s="89"/>
      <c r="K243" s="89"/>
      <c r="L243" s="249"/>
      <c r="M243" s="1026"/>
      <c r="N243" s="250"/>
      <c r="O243" s="251"/>
      <c r="P243" s="252"/>
      <c r="Q243" s="46"/>
    </row>
    <row r="244" spans="1:17">
      <c r="A244" s="98"/>
      <c r="B244" s="442"/>
      <c r="C244" s="540"/>
      <c r="D244" s="166"/>
      <c r="E244" s="166"/>
      <c r="F244" s="87"/>
      <c r="G244" s="87"/>
      <c r="H244" s="521"/>
      <c r="I244" s="562"/>
      <c r="J244" s="89"/>
      <c r="K244" s="89"/>
      <c r="L244" s="249"/>
      <c r="M244" s="1026"/>
      <c r="N244" s="250"/>
      <c r="O244" s="251"/>
      <c r="P244" s="252"/>
      <c r="Q244" s="46"/>
    </row>
    <row r="245" spans="1:17">
      <c r="A245" s="98"/>
      <c r="B245" s="442"/>
      <c r="C245" s="540"/>
      <c r="D245" s="166"/>
      <c r="E245" s="166"/>
      <c r="F245" s="87"/>
      <c r="G245" s="87"/>
      <c r="H245" s="521"/>
      <c r="I245" s="562"/>
      <c r="J245" s="89"/>
      <c r="K245" s="89"/>
      <c r="L245" s="249"/>
      <c r="M245" s="1026"/>
      <c r="N245" s="250"/>
      <c r="O245" s="251"/>
      <c r="P245" s="252"/>
      <c r="Q245" s="46"/>
    </row>
    <row r="246" spans="1:17">
      <c r="A246" s="98"/>
      <c r="B246" s="442"/>
      <c r="C246" s="540"/>
      <c r="D246" s="166"/>
      <c r="E246" s="166"/>
      <c r="F246" s="87"/>
      <c r="G246" s="87"/>
      <c r="H246" s="521"/>
      <c r="I246" s="562"/>
      <c r="J246" s="89"/>
      <c r="K246" s="89"/>
      <c r="L246" s="249"/>
      <c r="M246" s="1026"/>
      <c r="N246" s="250"/>
      <c r="O246" s="251"/>
      <c r="P246" s="252"/>
      <c r="Q246" s="46"/>
    </row>
    <row r="247" spans="1:17">
      <c r="A247" s="98"/>
      <c r="B247" s="442"/>
      <c r="C247" s="540"/>
      <c r="D247" s="166"/>
      <c r="E247" s="166"/>
      <c r="F247" s="87"/>
      <c r="G247" s="87"/>
      <c r="H247" s="521"/>
      <c r="I247" s="562"/>
      <c r="J247" s="89"/>
      <c r="K247" s="89"/>
      <c r="L247" s="249"/>
      <c r="M247" s="1026"/>
      <c r="N247" s="250"/>
      <c r="O247" s="251"/>
      <c r="P247" s="252"/>
      <c r="Q247" s="46"/>
    </row>
    <row r="248" spans="1:17">
      <c r="A248" s="98"/>
      <c r="B248" s="442"/>
      <c r="C248" s="540"/>
      <c r="D248" s="166"/>
      <c r="E248" s="166"/>
      <c r="F248" s="87"/>
      <c r="G248" s="87"/>
      <c r="H248" s="521"/>
      <c r="I248" s="562"/>
      <c r="J248" s="89"/>
      <c r="K248" s="89"/>
      <c r="L248" s="249"/>
      <c r="M248" s="1026"/>
      <c r="N248" s="250"/>
      <c r="O248" s="251"/>
      <c r="P248" s="252"/>
      <c r="Q248" s="46"/>
    </row>
    <row r="249" spans="1:17">
      <c r="A249" s="98"/>
      <c r="B249" s="442"/>
      <c r="C249" s="540"/>
      <c r="D249" s="166"/>
      <c r="E249" s="166"/>
      <c r="F249" s="87"/>
      <c r="G249" s="87"/>
      <c r="H249" s="521"/>
      <c r="I249" s="562"/>
      <c r="J249" s="89"/>
      <c r="K249" s="89"/>
      <c r="L249" s="249"/>
      <c r="M249" s="1026"/>
      <c r="N249" s="250"/>
      <c r="O249" s="251"/>
      <c r="P249" s="252"/>
      <c r="Q249" s="46"/>
    </row>
    <row r="250" spans="1:17">
      <c r="A250" s="98"/>
      <c r="B250" s="442"/>
      <c r="C250" s="540"/>
      <c r="D250" s="166"/>
      <c r="E250" s="166"/>
      <c r="F250" s="87"/>
      <c r="G250" s="87"/>
      <c r="H250" s="521"/>
      <c r="I250" s="562"/>
      <c r="J250" s="89"/>
      <c r="K250" s="89"/>
      <c r="L250" s="249"/>
      <c r="M250" s="1026"/>
      <c r="N250" s="250"/>
      <c r="O250" s="251"/>
      <c r="P250" s="252"/>
      <c r="Q250" s="46"/>
    </row>
    <row r="251" spans="1:17">
      <c r="A251" s="98"/>
      <c r="B251" s="442"/>
      <c r="C251" s="540"/>
      <c r="D251" s="166"/>
      <c r="E251" s="166"/>
      <c r="F251" s="87"/>
      <c r="G251" s="87"/>
      <c r="H251" s="521"/>
      <c r="I251" s="562"/>
      <c r="J251" s="89"/>
      <c r="K251" s="89"/>
      <c r="L251" s="249"/>
      <c r="M251" s="1026"/>
      <c r="N251" s="250"/>
      <c r="O251" s="251"/>
      <c r="P251" s="252"/>
      <c r="Q251" s="46"/>
    </row>
    <row r="252" spans="1:17">
      <c r="A252" s="98"/>
      <c r="B252" s="442"/>
      <c r="C252" s="540"/>
      <c r="D252" s="166"/>
      <c r="E252" s="166"/>
      <c r="F252" s="87"/>
      <c r="G252" s="87"/>
      <c r="H252" s="521"/>
      <c r="I252" s="562"/>
      <c r="J252" s="89"/>
      <c r="K252" s="89"/>
      <c r="L252" s="249"/>
      <c r="M252" s="1026"/>
      <c r="N252" s="250"/>
      <c r="O252" s="251"/>
      <c r="P252" s="252"/>
      <c r="Q252" s="46"/>
    </row>
    <row r="253" spans="1:17">
      <c r="A253" s="98"/>
      <c r="B253" s="442"/>
      <c r="C253" s="540"/>
      <c r="D253" s="166"/>
      <c r="E253" s="166"/>
      <c r="F253" s="87"/>
      <c r="G253" s="87"/>
      <c r="H253" s="521"/>
      <c r="I253" s="562"/>
      <c r="J253" s="89"/>
      <c r="K253" s="89"/>
      <c r="L253" s="249"/>
      <c r="M253" s="1026"/>
      <c r="N253" s="250"/>
      <c r="O253" s="251"/>
      <c r="P253" s="252"/>
      <c r="Q253" s="46"/>
    </row>
    <row r="254" spans="1:17">
      <c r="A254" s="98"/>
      <c r="B254" s="442"/>
      <c r="C254" s="540"/>
      <c r="D254" s="166"/>
      <c r="E254" s="166"/>
      <c r="F254" s="87"/>
      <c r="G254" s="87"/>
      <c r="H254" s="521"/>
      <c r="I254" s="562"/>
      <c r="J254" s="89"/>
      <c r="K254" s="89"/>
      <c r="L254" s="249"/>
      <c r="M254" s="1026"/>
      <c r="N254" s="250"/>
      <c r="O254" s="251"/>
      <c r="P254" s="252"/>
      <c r="Q254" s="46"/>
    </row>
    <row r="255" spans="1:17">
      <c r="A255" s="98"/>
      <c r="B255" s="442"/>
      <c r="C255" s="540"/>
      <c r="D255" s="166"/>
      <c r="E255" s="166"/>
      <c r="F255" s="87"/>
      <c r="G255" s="87"/>
      <c r="H255" s="521"/>
      <c r="I255" s="562"/>
      <c r="J255" s="89"/>
      <c r="K255" s="89"/>
      <c r="L255" s="249"/>
      <c r="M255" s="1026"/>
      <c r="N255" s="250"/>
      <c r="O255" s="251"/>
      <c r="P255" s="252"/>
      <c r="Q255" s="46"/>
    </row>
    <row r="256" spans="1:17">
      <c r="A256" s="98"/>
      <c r="B256" s="442"/>
      <c r="C256" s="540"/>
      <c r="D256" s="166"/>
      <c r="E256" s="166"/>
      <c r="F256" s="87"/>
      <c r="G256" s="87"/>
      <c r="H256" s="521"/>
      <c r="I256" s="562"/>
      <c r="J256" s="89"/>
      <c r="K256" s="89"/>
      <c r="L256" s="249"/>
      <c r="M256" s="1026"/>
      <c r="N256" s="250"/>
      <c r="O256" s="251"/>
      <c r="P256" s="252"/>
      <c r="Q256" s="46"/>
    </row>
    <row r="257" spans="1:17">
      <c r="A257" s="98"/>
      <c r="B257" s="442"/>
      <c r="C257" s="540"/>
      <c r="D257" s="166"/>
      <c r="E257" s="166"/>
      <c r="F257" s="87"/>
      <c r="G257" s="87"/>
      <c r="H257" s="521"/>
      <c r="I257" s="562"/>
      <c r="J257" s="89"/>
      <c r="K257" s="89"/>
      <c r="L257" s="249"/>
      <c r="M257" s="1026"/>
      <c r="N257" s="250"/>
      <c r="O257" s="251"/>
      <c r="P257" s="252"/>
      <c r="Q257" s="46"/>
    </row>
    <row r="258" spans="1:17">
      <c r="A258" s="98"/>
      <c r="B258" s="442"/>
      <c r="C258" s="540"/>
      <c r="D258" s="166"/>
      <c r="E258" s="166"/>
      <c r="F258" s="87"/>
      <c r="G258" s="87"/>
      <c r="H258" s="521"/>
      <c r="I258" s="562"/>
      <c r="J258" s="89"/>
      <c r="K258" s="89"/>
      <c r="L258" s="249"/>
      <c r="M258" s="1026"/>
      <c r="N258" s="250"/>
      <c r="O258" s="251"/>
      <c r="P258" s="252"/>
      <c r="Q258" s="46"/>
    </row>
    <row r="259" spans="1:17">
      <c r="A259" s="98"/>
      <c r="B259" s="442"/>
      <c r="C259" s="540"/>
      <c r="D259" s="166"/>
      <c r="E259" s="166"/>
      <c r="F259" s="87"/>
      <c r="G259" s="87"/>
      <c r="H259" s="521"/>
      <c r="I259" s="562"/>
      <c r="J259" s="89"/>
      <c r="K259" s="89"/>
      <c r="L259" s="249"/>
      <c r="M259" s="1026"/>
      <c r="N259" s="250"/>
      <c r="O259" s="251"/>
      <c r="P259" s="252"/>
      <c r="Q259" s="46"/>
    </row>
    <row r="260" spans="1:17">
      <c r="A260" s="98"/>
      <c r="B260" s="442"/>
      <c r="C260" s="540"/>
      <c r="D260" s="166"/>
      <c r="E260" s="166"/>
      <c r="F260" s="87"/>
      <c r="G260" s="87"/>
      <c r="H260" s="521"/>
      <c r="I260" s="562"/>
      <c r="J260" s="89"/>
      <c r="K260" s="89"/>
      <c r="L260" s="249"/>
      <c r="M260" s="1026"/>
      <c r="N260" s="250"/>
      <c r="O260" s="251"/>
      <c r="P260" s="252"/>
      <c r="Q260" s="46"/>
    </row>
    <row r="261" spans="1:17">
      <c r="A261" s="98"/>
      <c r="B261" s="442"/>
      <c r="C261" s="540"/>
      <c r="D261" s="166"/>
      <c r="E261" s="166"/>
      <c r="F261" s="87"/>
      <c r="G261" s="87"/>
      <c r="H261" s="521"/>
      <c r="I261" s="562"/>
      <c r="J261" s="89"/>
      <c r="K261" s="89"/>
      <c r="L261" s="249"/>
      <c r="M261" s="1026"/>
      <c r="N261" s="250"/>
      <c r="O261" s="251"/>
      <c r="P261" s="252"/>
      <c r="Q261" s="46"/>
    </row>
    <row r="262" spans="1:17">
      <c r="A262" s="98"/>
      <c r="B262" s="442"/>
      <c r="C262" s="540"/>
      <c r="D262" s="166"/>
      <c r="E262" s="166"/>
      <c r="F262" s="87"/>
      <c r="G262" s="87"/>
      <c r="H262" s="521"/>
      <c r="I262" s="562"/>
      <c r="J262" s="89"/>
      <c r="K262" s="89"/>
      <c r="L262" s="249"/>
      <c r="M262" s="1026"/>
      <c r="N262" s="250"/>
      <c r="O262" s="251"/>
      <c r="P262" s="252"/>
      <c r="Q262" s="46"/>
    </row>
    <row r="263" spans="1:17">
      <c r="A263" s="98"/>
      <c r="B263" s="442"/>
      <c r="C263" s="540"/>
      <c r="D263" s="166"/>
      <c r="E263" s="166"/>
      <c r="F263" s="87"/>
      <c r="G263" s="87"/>
      <c r="H263" s="521"/>
      <c r="I263" s="562"/>
      <c r="J263" s="89"/>
      <c r="K263" s="89"/>
      <c r="L263" s="249"/>
      <c r="M263" s="1026"/>
      <c r="N263" s="250"/>
      <c r="O263" s="251"/>
      <c r="P263" s="252"/>
      <c r="Q263" s="46"/>
    </row>
    <row r="264" spans="1:17">
      <c r="A264" s="98"/>
      <c r="B264" s="442"/>
      <c r="C264" s="540"/>
      <c r="D264" s="166"/>
      <c r="E264" s="166"/>
      <c r="F264" s="87"/>
      <c r="G264" s="87"/>
      <c r="H264" s="521"/>
      <c r="I264" s="562"/>
      <c r="J264" s="89"/>
      <c r="K264" s="89"/>
      <c r="L264" s="249"/>
      <c r="M264" s="1026"/>
      <c r="N264" s="250"/>
      <c r="O264" s="251"/>
      <c r="P264" s="252"/>
      <c r="Q264" s="46"/>
    </row>
    <row r="265" spans="1:17">
      <c r="A265" s="98"/>
      <c r="B265" s="442"/>
      <c r="C265" s="540"/>
      <c r="D265" s="166"/>
      <c r="E265" s="166"/>
      <c r="F265" s="87"/>
      <c r="G265" s="87"/>
      <c r="H265" s="521"/>
      <c r="I265" s="562"/>
      <c r="J265" s="89"/>
      <c r="K265" s="89"/>
      <c r="L265" s="249"/>
      <c r="M265" s="1026"/>
      <c r="N265" s="250"/>
      <c r="O265" s="251"/>
      <c r="P265" s="252"/>
      <c r="Q265" s="46"/>
    </row>
    <row r="266" spans="1:17">
      <c r="A266" s="98"/>
      <c r="B266" s="442"/>
      <c r="C266" s="540"/>
      <c r="D266" s="166"/>
      <c r="E266" s="166"/>
      <c r="F266" s="87"/>
      <c r="G266" s="87"/>
      <c r="H266" s="521"/>
      <c r="I266" s="562"/>
      <c r="J266" s="89"/>
      <c r="K266" s="89"/>
      <c r="L266" s="249"/>
      <c r="M266" s="1026"/>
      <c r="N266" s="250"/>
      <c r="O266" s="251"/>
      <c r="P266" s="252"/>
      <c r="Q266" s="46"/>
    </row>
    <row r="267" spans="1:17">
      <c r="A267" s="98"/>
      <c r="B267" s="442"/>
      <c r="C267" s="540"/>
      <c r="D267" s="166"/>
      <c r="E267" s="166"/>
      <c r="F267" s="87"/>
      <c r="G267" s="87"/>
      <c r="H267" s="521"/>
      <c r="I267" s="562"/>
      <c r="J267" s="89"/>
      <c r="K267" s="89"/>
      <c r="L267" s="249"/>
      <c r="M267" s="1026"/>
      <c r="N267" s="250"/>
      <c r="O267" s="251"/>
      <c r="P267" s="252"/>
      <c r="Q267" s="46"/>
    </row>
    <row r="268" spans="1:17">
      <c r="A268" s="98"/>
      <c r="B268" s="442"/>
      <c r="C268" s="540"/>
      <c r="D268" s="166"/>
      <c r="E268" s="166"/>
      <c r="F268" s="87"/>
      <c r="G268" s="87"/>
      <c r="H268" s="521"/>
      <c r="I268" s="562"/>
      <c r="J268" s="89"/>
      <c r="K268" s="89"/>
      <c r="L268" s="249"/>
      <c r="M268" s="1026"/>
      <c r="N268" s="250"/>
      <c r="O268" s="251"/>
      <c r="P268" s="252"/>
      <c r="Q268" s="46"/>
    </row>
    <row r="269" spans="1:17">
      <c r="A269" s="98"/>
      <c r="B269" s="442"/>
      <c r="C269" s="540"/>
      <c r="D269" s="166"/>
      <c r="E269" s="166"/>
      <c r="F269" s="87"/>
      <c r="G269" s="87"/>
      <c r="H269" s="521"/>
      <c r="I269" s="562"/>
      <c r="J269" s="89"/>
      <c r="K269" s="89"/>
      <c r="L269" s="249"/>
      <c r="M269" s="1026"/>
      <c r="N269" s="250"/>
      <c r="O269" s="251"/>
      <c r="P269" s="252"/>
      <c r="Q269" s="46"/>
    </row>
    <row r="270" spans="1:17">
      <c r="A270" s="98"/>
      <c r="B270" s="442"/>
      <c r="C270" s="540"/>
      <c r="D270" s="166"/>
      <c r="E270" s="166"/>
      <c r="F270" s="87"/>
      <c r="G270" s="87"/>
      <c r="H270" s="521"/>
      <c r="I270" s="562"/>
      <c r="J270" s="89"/>
      <c r="K270" s="89"/>
      <c r="L270" s="249"/>
      <c r="M270" s="1026"/>
      <c r="N270" s="250"/>
      <c r="O270" s="251"/>
      <c r="P270" s="252"/>
      <c r="Q270" s="46"/>
    </row>
    <row r="271" spans="1:17">
      <c r="A271" s="98"/>
      <c r="B271" s="442"/>
      <c r="C271" s="540"/>
      <c r="D271" s="166"/>
      <c r="E271" s="166"/>
      <c r="F271" s="87"/>
      <c r="G271" s="87"/>
      <c r="H271" s="521"/>
      <c r="I271" s="562"/>
      <c r="J271" s="89"/>
      <c r="K271" s="89"/>
      <c r="L271" s="249"/>
      <c r="M271" s="1026"/>
      <c r="N271" s="250"/>
      <c r="O271" s="251"/>
      <c r="P271" s="252"/>
      <c r="Q271" s="46"/>
    </row>
    <row r="272" spans="1:17">
      <c r="A272" s="98"/>
      <c r="B272" s="442"/>
      <c r="C272" s="540"/>
      <c r="D272" s="166"/>
      <c r="E272" s="166"/>
      <c r="F272" s="87"/>
      <c r="G272" s="87"/>
      <c r="H272" s="521"/>
      <c r="I272" s="562"/>
      <c r="J272" s="89"/>
      <c r="K272" s="89"/>
      <c r="L272" s="249"/>
      <c r="M272" s="1026"/>
      <c r="N272" s="250"/>
      <c r="O272" s="251"/>
      <c r="P272" s="252"/>
      <c r="Q272" s="46"/>
    </row>
    <row r="273" spans="1:17">
      <c r="A273" s="98"/>
      <c r="B273" s="442"/>
      <c r="C273" s="540"/>
      <c r="D273" s="166"/>
      <c r="E273" s="166"/>
      <c r="F273" s="87"/>
      <c r="G273" s="87"/>
      <c r="H273" s="521"/>
      <c r="I273" s="562"/>
      <c r="J273" s="89"/>
      <c r="K273" s="89"/>
      <c r="L273" s="249"/>
      <c r="M273" s="1026"/>
      <c r="N273" s="250"/>
      <c r="O273" s="251"/>
      <c r="P273" s="252"/>
      <c r="Q273" s="46"/>
    </row>
    <row r="274" spans="1:17">
      <c r="A274" s="98"/>
      <c r="B274" s="442"/>
      <c r="C274" s="540"/>
      <c r="D274" s="166"/>
      <c r="E274" s="166"/>
      <c r="F274" s="87"/>
      <c r="G274" s="87"/>
      <c r="H274" s="521"/>
      <c r="I274" s="562"/>
      <c r="J274" s="89"/>
      <c r="K274" s="89"/>
      <c r="L274" s="249"/>
      <c r="M274" s="1026"/>
      <c r="N274" s="250"/>
      <c r="O274" s="251"/>
      <c r="P274" s="252"/>
      <c r="Q274" s="46"/>
    </row>
    <row r="275" spans="1:17">
      <c r="A275" s="98"/>
      <c r="B275" s="442"/>
      <c r="C275" s="540"/>
      <c r="D275" s="166"/>
      <c r="E275" s="166"/>
      <c r="F275" s="87"/>
      <c r="G275" s="87"/>
      <c r="H275" s="521"/>
      <c r="I275" s="562"/>
      <c r="J275" s="89"/>
      <c r="K275" s="89"/>
      <c r="L275" s="249"/>
      <c r="M275" s="1026"/>
      <c r="N275" s="250"/>
      <c r="O275" s="251"/>
      <c r="P275" s="252"/>
      <c r="Q275" s="46"/>
    </row>
    <row r="276" spans="1:17">
      <c r="A276" s="98"/>
      <c r="B276" s="442"/>
      <c r="C276" s="540"/>
      <c r="D276" s="166"/>
      <c r="E276" s="166"/>
      <c r="F276" s="87"/>
      <c r="G276" s="87"/>
      <c r="H276" s="521"/>
      <c r="I276" s="562"/>
      <c r="J276" s="89"/>
      <c r="K276" s="89"/>
      <c r="L276" s="249"/>
      <c r="M276" s="1026"/>
      <c r="N276" s="250"/>
      <c r="O276" s="251"/>
      <c r="P276" s="252"/>
      <c r="Q276" s="46"/>
    </row>
    <row r="277" spans="1:17">
      <c r="A277" s="98"/>
      <c r="B277" s="442"/>
      <c r="C277" s="540"/>
      <c r="D277" s="166"/>
      <c r="E277" s="166"/>
      <c r="F277" s="87"/>
      <c r="G277" s="87"/>
      <c r="H277" s="521"/>
      <c r="I277" s="562"/>
      <c r="J277" s="89"/>
      <c r="K277" s="89"/>
      <c r="L277" s="249"/>
      <c r="M277" s="1026"/>
      <c r="N277" s="250"/>
      <c r="O277" s="251"/>
      <c r="P277" s="252"/>
      <c r="Q277" s="46"/>
    </row>
    <row r="278" spans="1:17">
      <c r="A278" s="98"/>
      <c r="B278" s="442"/>
      <c r="C278" s="540"/>
      <c r="D278" s="166"/>
      <c r="E278" s="166"/>
      <c r="F278" s="87"/>
      <c r="G278" s="87"/>
      <c r="H278" s="521"/>
      <c r="I278" s="562"/>
      <c r="J278" s="89"/>
      <c r="K278" s="89"/>
      <c r="L278" s="249"/>
      <c r="M278" s="1026"/>
      <c r="N278" s="250"/>
      <c r="O278" s="251"/>
      <c r="P278" s="252"/>
      <c r="Q278" s="46"/>
    </row>
    <row r="279" spans="1:17">
      <c r="A279" s="98"/>
      <c r="B279" s="442"/>
      <c r="C279" s="540"/>
      <c r="D279" s="166"/>
      <c r="E279" s="166"/>
      <c r="F279" s="87"/>
      <c r="G279" s="87"/>
      <c r="H279" s="521"/>
      <c r="I279" s="562"/>
      <c r="J279" s="89"/>
      <c r="K279" s="89"/>
      <c r="L279" s="249"/>
      <c r="M279" s="1026"/>
      <c r="N279" s="250"/>
      <c r="O279" s="251"/>
      <c r="P279" s="252"/>
      <c r="Q279" s="46"/>
    </row>
    <row r="280" spans="1:17">
      <c r="A280" s="98"/>
      <c r="B280" s="442"/>
      <c r="C280" s="540"/>
      <c r="D280" s="166"/>
      <c r="E280" s="166"/>
      <c r="F280" s="87"/>
      <c r="G280" s="87"/>
      <c r="H280" s="521"/>
      <c r="I280" s="562"/>
      <c r="J280" s="89"/>
      <c r="K280" s="89"/>
      <c r="L280" s="249"/>
      <c r="M280" s="1026"/>
      <c r="N280" s="250"/>
      <c r="O280" s="251"/>
      <c r="P280" s="252"/>
      <c r="Q280" s="46"/>
    </row>
    <row r="281" spans="1:17">
      <c r="A281" s="98"/>
      <c r="B281" s="442"/>
      <c r="C281" s="540"/>
      <c r="D281" s="166"/>
      <c r="E281" s="166"/>
      <c r="F281" s="87"/>
      <c r="G281" s="87"/>
      <c r="H281" s="521"/>
      <c r="I281" s="562"/>
      <c r="J281" s="89"/>
      <c r="K281" s="89"/>
      <c r="L281" s="249"/>
      <c r="M281" s="1026"/>
      <c r="N281" s="250"/>
      <c r="O281" s="251"/>
      <c r="P281" s="252"/>
      <c r="Q281" s="46"/>
    </row>
    <row r="282" spans="1:17">
      <c r="A282" s="98"/>
      <c r="B282" s="442"/>
      <c r="C282" s="540"/>
      <c r="D282" s="166"/>
      <c r="E282" s="166"/>
      <c r="F282" s="87"/>
      <c r="G282" s="87"/>
      <c r="H282" s="521"/>
      <c r="I282" s="562"/>
      <c r="J282" s="89"/>
      <c r="K282" s="89"/>
      <c r="L282" s="249"/>
      <c r="M282" s="1026"/>
      <c r="N282" s="250"/>
      <c r="O282" s="251"/>
      <c r="P282" s="252"/>
      <c r="Q282" s="46"/>
    </row>
    <row r="283" spans="1:17">
      <c r="A283" s="98"/>
      <c r="B283" s="442"/>
      <c r="C283" s="540"/>
      <c r="D283" s="166"/>
      <c r="E283" s="166"/>
      <c r="F283" s="87"/>
      <c r="G283" s="87"/>
      <c r="H283" s="521"/>
      <c r="I283" s="562"/>
      <c r="J283" s="89"/>
      <c r="K283" s="89"/>
      <c r="L283" s="249"/>
      <c r="M283" s="1026"/>
      <c r="N283" s="250"/>
      <c r="O283" s="251"/>
      <c r="P283" s="252"/>
      <c r="Q283" s="46"/>
    </row>
    <row r="284" spans="1:17">
      <c r="A284" s="98"/>
      <c r="B284" s="442"/>
      <c r="C284" s="540"/>
      <c r="D284" s="166"/>
      <c r="E284" s="166"/>
      <c r="F284" s="87"/>
      <c r="G284" s="87"/>
      <c r="H284" s="521"/>
      <c r="I284" s="562"/>
      <c r="J284" s="89"/>
      <c r="K284" s="89"/>
      <c r="L284" s="249"/>
      <c r="M284" s="1026"/>
      <c r="N284" s="250"/>
      <c r="O284" s="251"/>
      <c r="P284" s="252"/>
      <c r="Q284" s="46"/>
    </row>
    <row r="285" spans="1:17">
      <c r="A285" s="98"/>
      <c r="B285" s="442"/>
      <c r="C285" s="540"/>
      <c r="D285" s="166"/>
      <c r="E285" s="166"/>
      <c r="F285" s="87"/>
      <c r="G285" s="87"/>
      <c r="H285" s="521"/>
      <c r="I285" s="562"/>
      <c r="J285" s="89"/>
      <c r="K285" s="89"/>
      <c r="L285" s="249"/>
      <c r="M285" s="1026"/>
      <c r="N285" s="250"/>
      <c r="O285" s="251"/>
      <c r="P285" s="252"/>
      <c r="Q285" s="46"/>
    </row>
    <row r="286" spans="1:17">
      <c r="A286" s="98"/>
      <c r="B286" s="442"/>
      <c r="C286" s="540"/>
      <c r="D286" s="166"/>
      <c r="E286" s="166"/>
      <c r="F286" s="87"/>
      <c r="G286" s="87"/>
      <c r="H286" s="521"/>
      <c r="I286" s="562"/>
      <c r="J286" s="89"/>
      <c r="K286" s="89"/>
      <c r="L286" s="249"/>
      <c r="M286" s="1026"/>
      <c r="N286" s="250"/>
      <c r="O286" s="251"/>
      <c r="P286" s="252"/>
      <c r="Q286" s="46"/>
    </row>
    <row r="287" spans="1:17">
      <c r="A287" s="98"/>
      <c r="B287" s="442"/>
      <c r="C287" s="540"/>
      <c r="D287" s="166"/>
      <c r="E287" s="166"/>
      <c r="F287" s="87"/>
      <c r="G287" s="87"/>
      <c r="H287" s="521"/>
      <c r="I287" s="562"/>
      <c r="J287" s="89"/>
      <c r="K287" s="89"/>
      <c r="L287" s="249"/>
      <c r="M287" s="1026"/>
      <c r="N287" s="250"/>
      <c r="O287" s="251"/>
      <c r="P287" s="252"/>
      <c r="Q287" s="46"/>
    </row>
    <row r="288" spans="1:17">
      <c r="A288" s="98"/>
      <c r="B288" s="442"/>
      <c r="C288" s="540"/>
      <c r="D288" s="166"/>
      <c r="E288" s="166"/>
      <c r="F288" s="87"/>
      <c r="G288" s="87"/>
      <c r="H288" s="521"/>
      <c r="I288" s="562"/>
      <c r="J288" s="89"/>
      <c r="K288" s="89"/>
      <c r="L288" s="249"/>
      <c r="M288" s="1026"/>
      <c r="N288" s="250"/>
      <c r="O288" s="251"/>
      <c r="P288" s="252"/>
      <c r="Q288" s="46"/>
    </row>
    <row r="289" spans="1:17">
      <c r="A289" s="98"/>
      <c r="B289" s="442"/>
      <c r="C289" s="540"/>
      <c r="D289" s="166"/>
      <c r="E289" s="166"/>
      <c r="F289" s="87"/>
      <c r="G289" s="87"/>
      <c r="H289" s="521"/>
      <c r="I289" s="562"/>
      <c r="J289" s="89"/>
      <c r="K289" s="89"/>
      <c r="L289" s="249"/>
      <c r="M289" s="1026"/>
      <c r="N289" s="250"/>
      <c r="O289" s="251"/>
      <c r="P289" s="252"/>
      <c r="Q289" s="46"/>
    </row>
    <row r="290" spans="1:17">
      <c r="A290" s="98"/>
      <c r="B290" s="442"/>
      <c r="C290" s="540"/>
      <c r="D290" s="166"/>
      <c r="E290" s="166"/>
      <c r="F290" s="87"/>
      <c r="G290" s="87"/>
      <c r="H290" s="521"/>
      <c r="I290" s="562"/>
      <c r="J290" s="89"/>
      <c r="K290" s="89"/>
      <c r="L290" s="249"/>
      <c r="M290" s="1026"/>
      <c r="N290" s="250"/>
      <c r="O290" s="251"/>
      <c r="P290" s="252"/>
      <c r="Q290" s="46"/>
    </row>
    <row r="291" spans="1:17">
      <c r="A291" s="98"/>
      <c r="B291" s="442"/>
      <c r="C291" s="540"/>
      <c r="D291" s="166"/>
      <c r="E291" s="166"/>
      <c r="F291" s="87"/>
      <c r="G291" s="87"/>
      <c r="H291" s="521"/>
      <c r="I291" s="562"/>
      <c r="J291" s="89"/>
      <c r="K291" s="89"/>
      <c r="L291" s="249"/>
      <c r="M291" s="1026"/>
      <c r="N291" s="250"/>
      <c r="O291" s="251"/>
      <c r="P291" s="252"/>
      <c r="Q291" s="46"/>
    </row>
    <row r="292" spans="1:17">
      <c r="A292" s="98"/>
      <c r="B292" s="442"/>
      <c r="C292" s="540"/>
      <c r="D292" s="166"/>
      <c r="E292" s="166"/>
      <c r="F292" s="87"/>
      <c r="G292" s="87"/>
      <c r="H292" s="521"/>
      <c r="I292" s="562"/>
      <c r="J292" s="89"/>
      <c r="K292" s="89"/>
      <c r="L292" s="249"/>
      <c r="M292" s="1026"/>
      <c r="N292" s="250"/>
      <c r="O292" s="251"/>
      <c r="P292" s="252"/>
      <c r="Q292" s="46"/>
    </row>
    <row r="293" spans="1:17">
      <c r="A293" s="98"/>
      <c r="B293" s="442"/>
      <c r="C293" s="540"/>
      <c r="D293" s="166"/>
      <c r="E293" s="166"/>
      <c r="F293" s="87"/>
      <c r="G293" s="87"/>
      <c r="H293" s="521"/>
      <c r="I293" s="562"/>
      <c r="J293" s="89"/>
      <c r="K293" s="89"/>
      <c r="L293" s="249"/>
      <c r="M293" s="1026"/>
      <c r="N293" s="250"/>
      <c r="O293" s="251"/>
      <c r="P293" s="252"/>
      <c r="Q293" s="46"/>
    </row>
    <row r="294" spans="1:17">
      <c r="A294" s="98"/>
      <c r="B294" s="442"/>
      <c r="C294" s="540"/>
      <c r="D294" s="166"/>
      <c r="E294" s="166"/>
      <c r="F294" s="87"/>
      <c r="G294" s="87"/>
      <c r="H294" s="521"/>
      <c r="I294" s="562"/>
      <c r="J294" s="89"/>
      <c r="K294" s="89"/>
      <c r="L294" s="249"/>
      <c r="M294" s="1026"/>
      <c r="N294" s="250"/>
      <c r="O294" s="251"/>
      <c r="P294" s="252"/>
      <c r="Q294" s="46"/>
    </row>
    <row r="295" spans="1:17">
      <c r="A295" s="98"/>
      <c r="B295" s="442"/>
      <c r="C295" s="540"/>
      <c r="D295" s="166"/>
      <c r="E295" s="166"/>
      <c r="F295" s="87"/>
      <c r="G295" s="87"/>
      <c r="H295" s="521"/>
      <c r="I295" s="562"/>
      <c r="J295" s="89"/>
      <c r="K295" s="89"/>
      <c r="L295" s="249"/>
      <c r="M295" s="1026"/>
      <c r="N295" s="250"/>
      <c r="O295" s="251"/>
      <c r="P295" s="252"/>
      <c r="Q295" s="46"/>
    </row>
    <row r="296" spans="1:17">
      <c r="A296" s="98"/>
      <c r="B296" s="442"/>
      <c r="C296" s="540"/>
      <c r="D296" s="166"/>
      <c r="E296" s="166"/>
      <c r="F296" s="87"/>
      <c r="G296" s="87"/>
      <c r="H296" s="521"/>
      <c r="I296" s="562"/>
      <c r="J296" s="89"/>
      <c r="K296" s="89"/>
      <c r="L296" s="249"/>
      <c r="M296" s="1026"/>
      <c r="N296" s="250"/>
      <c r="O296" s="251"/>
      <c r="P296" s="252"/>
      <c r="Q296" s="46"/>
    </row>
    <row r="297" spans="1:17">
      <c r="A297" s="98"/>
      <c r="B297" s="442"/>
      <c r="C297" s="540"/>
      <c r="D297" s="166"/>
      <c r="E297" s="166"/>
      <c r="F297" s="87"/>
      <c r="G297" s="87"/>
      <c r="H297" s="521"/>
      <c r="I297" s="562"/>
      <c r="J297" s="89"/>
      <c r="K297" s="89"/>
      <c r="L297" s="249"/>
      <c r="M297" s="1026"/>
      <c r="N297" s="250"/>
      <c r="O297" s="251"/>
      <c r="P297" s="252"/>
      <c r="Q297" s="46"/>
    </row>
    <row r="298" spans="1:17">
      <c r="A298" s="98"/>
      <c r="B298" s="442"/>
      <c r="C298" s="540"/>
      <c r="D298" s="166"/>
      <c r="E298" s="166"/>
      <c r="F298" s="87"/>
      <c r="G298" s="87"/>
      <c r="H298" s="521"/>
      <c r="I298" s="562"/>
      <c r="J298" s="89"/>
      <c r="K298" s="89"/>
      <c r="L298" s="249"/>
      <c r="M298" s="1026"/>
      <c r="N298" s="250"/>
      <c r="O298" s="251"/>
      <c r="P298" s="252"/>
      <c r="Q298" s="46"/>
    </row>
    <row r="299" spans="1:17">
      <c r="A299" s="98"/>
      <c r="B299" s="442"/>
      <c r="C299" s="540"/>
      <c r="D299" s="166"/>
      <c r="E299" s="166"/>
      <c r="F299" s="87"/>
      <c r="G299" s="87"/>
      <c r="H299" s="521"/>
      <c r="I299" s="562"/>
      <c r="J299" s="89"/>
      <c r="K299" s="89"/>
      <c r="L299" s="249"/>
      <c r="M299" s="1026"/>
      <c r="N299" s="250"/>
      <c r="O299" s="251"/>
      <c r="P299" s="252"/>
      <c r="Q299" s="46"/>
    </row>
    <row r="300" spans="1:17">
      <c r="A300" s="98"/>
      <c r="B300" s="442"/>
      <c r="C300" s="540"/>
      <c r="D300" s="166"/>
      <c r="E300" s="166"/>
      <c r="F300" s="87"/>
      <c r="G300" s="87"/>
      <c r="H300" s="521"/>
      <c r="I300" s="562"/>
      <c r="J300" s="89"/>
      <c r="K300" s="89"/>
      <c r="L300" s="249"/>
      <c r="M300" s="1026"/>
      <c r="N300" s="250"/>
      <c r="O300" s="251"/>
      <c r="P300" s="252"/>
      <c r="Q300" s="46"/>
    </row>
    <row r="301" spans="1:17">
      <c r="A301" s="98"/>
      <c r="B301" s="442"/>
      <c r="C301" s="540"/>
      <c r="D301" s="166"/>
      <c r="E301" s="166"/>
      <c r="F301" s="87"/>
      <c r="G301" s="87"/>
      <c r="H301" s="521"/>
      <c r="I301" s="562"/>
      <c r="J301" s="89"/>
      <c r="K301" s="89"/>
      <c r="L301" s="249"/>
      <c r="M301" s="1026"/>
      <c r="N301" s="250"/>
      <c r="O301" s="251"/>
      <c r="P301" s="252"/>
      <c r="Q301" s="46"/>
    </row>
    <row r="302" spans="1:17">
      <c r="A302" s="98"/>
      <c r="B302" s="442"/>
      <c r="C302" s="540"/>
      <c r="D302" s="166"/>
      <c r="E302" s="166"/>
      <c r="F302" s="87"/>
      <c r="G302" s="87"/>
      <c r="H302" s="521"/>
      <c r="I302" s="562"/>
      <c r="J302" s="89"/>
      <c r="K302" s="89"/>
      <c r="L302" s="249"/>
      <c r="M302" s="1026"/>
      <c r="N302" s="250"/>
      <c r="O302" s="251"/>
      <c r="P302" s="252"/>
      <c r="Q302" s="46"/>
    </row>
    <row r="303" spans="1:17">
      <c r="A303" s="98"/>
      <c r="B303" s="442"/>
      <c r="C303" s="540"/>
      <c r="D303" s="166"/>
      <c r="E303" s="166"/>
      <c r="F303" s="87"/>
      <c r="G303" s="87"/>
      <c r="H303" s="521"/>
      <c r="I303" s="562"/>
      <c r="J303" s="89"/>
      <c r="K303" s="89"/>
      <c r="L303" s="249"/>
      <c r="M303" s="1026"/>
      <c r="N303" s="250"/>
      <c r="O303" s="251"/>
      <c r="P303" s="252"/>
      <c r="Q303" s="46"/>
    </row>
    <row r="304" spans="1:17">
      <c r="A304" s="98"/>
      <c r="B304" s="442"/>
      <c r="C304" s="540"/>
      <c r="D304" s="166"/>
      <c r="E304" s="166"/>
      <c r="F304" s="87"/>
      <c r="G304" s="87"/>
      <c r="H304" s="521"/>
      <c r="I304" s="562"/>
      <c r="J304" s="89"/>
      <c r="K304" s="89"/>
      <c r="L304" s="249"/>
      <c r="M304" s="1026"/>
      <c r="N304" s="250"/>
      <c r="O304" s="251"/>
      <c r="P304" s="252"/>
      <c r="Q304" s="46"/>
    </row>
    <row r="305" spans="1:17">
      <c r="A305" s="98"/>
      <c r="B305" s="442"/>
      <c r="C305" s="540"/>
      <c r="D305" s="166"/>
      <c r="E305" s="166"/>
      <c r="F305" s="87"/>
      <c r="G305" s="87"/>
      <c r="H305" s="521"/>
      <c r="I305" s="562"/>
      <c r="J305" s="89"/>
      <c r="K305" s="89"/>
      <c r="L305" s="249"/>
      <c r="M305" s="1026"/>
      <c r="N305" s="250"/>
      <c r="O305" s="251"/>
      <c r="P305" s="252"/>
      <c r="Q305" s="46"/>
    </row>
    <row r="306" spans="1:17">
      <c r="A306" s="98"/>
      <c r="B306" s="442"/>
      <c r="C306" s="540"/>
      <c r="D306" s="166"/>
      <c r="E306" s="166"/>
      <c r="F306" s="87"/>
      <c r="G306" s="87"/>
      <c r="H306" s="521"/>
      <c r="I306" s="562"/>
      <c r="J306" s="89"/>
      <c r="K306" s="89"/>
      <c r="L306" s="249"/>
      <c r="M306" s="1026"/>
      <c r="N306" s="250"/>
      <c r="O306" s="251"/>
      <c r="P306" s="252"/>
      <c r="Q306" s="46"/>
    </row>
    <row r="307" spans="1:17">
      <c r="A307" s="98"/>
      <c r="B307" s="442"/>
      <c r="C307" s="540"/>
      <c r="D307" s="166"/>
      <c r="E307" s="166"/>
      <c r="F307" s="87"/>
      <c r="G307" s="87"/>
      <c r="H307" s="521"/>
      <c r="I307" s="562"/>
      <c r="J307" s="89"/>
      <c r="K307" s="89"/>
      <c r="L307" s="249"/>
      <c r="M307" s="1026"/>
      <c r="N307" s="250"/>
      <c r="O307" s="251"/>
      <c r="P307" s="252"/>
      <c r="Q307" s="46"/>
    </row>
    <row r="308" spans="1:17">
      <c r="A308" s="98"/>
      <c r="B308" s="442"/>
      <c r="C308" s="540"/>
      <c r="D308" s="166"/>
      <c r="E308" s="166"/>
      <c r="F308" s="87"/>
      <c r="G308" s="87"/>
      <c r="H308" s="521"/>
      <c r="I308" s="562"/>
      <c r="J308" s="89"/>
      <c r="K308" s="89"/>
      <c r="L308" s="249"/>
      <c r="M308" s="1026"/>
      <c r="N308" s="250"/>
      <c r="O308" s="251"/>
      <c r="P308" s="252"/>
      <c r="Q308" s="46"/>
    </row>
    <row r="309" spans="1:17">
      <c r="A309" s="98"/>
      <c r="B309" s="442"/>
      <c r="C309" s="540"/>
      <c r="D309" s="166"/>
      <c r="E309" s="166"/>
      <c r="F309" s="87"/>
      <c r="G309" s="87"/>
      <c r="H309" s="521"/>
      <c r="I309" s="562"/>
      <c r="J309" s="89"/>
      <c r="K309" s="89"/>
      <c r="L309" s="249"/>
      <c r="M309" s="1026"/>
      <c r="N309" s="250"/>
      <c r="O309" s="251"/>
      <c r="P309" s="252"/>
      <c r="Q309" s="46"/>
    </row>
    <row r="310" spans="1:17">
      <c r="A310" s="98"/>
      <c r="B310" s="442"/>
      <c r="C310" s="540"/>
      <c r="D310" s="166"/>
      <c r="E310" s="166"/>
      <c r="F310" s="87"/>
      <c r="G310" s="87"/>
      <c r="H310" s="521"/>
      <c r="I310" s="562"/>
      <c r="J310" s="89"/>
      <c r="K310" s="89"/>
      <c r="L310" s="249"/>
      <c r="M310" s="1026"/>
      <c r="N310" s="250"/>
      <c r="O310" s="251"/>
      <c r="P310" s="252"/>
      <c r="Q310" s="46"/>
    </row>
    <row r="311" spans="1:17">
      <c r="A311" s="98"/>
      <c r="B311" s="442"/>
      <c r="C311" s="540"/>
      <c r="D311" s="166"/>
      <c r="E311" s="166"/>
      <c r="F311" s="87"/>
      <c r="G311" s="87"/>
      <c r="H311" s="521"/>
      <c r="I311" s="562"/>
      <c r="J311" s="89"/>
      <c r="K311" s="89"/>
      <c r="L311" s="249"/>
      <c r="M311" s="1026"/>
      <c r="N311" s="250"/>
      <c r="O311" s="251"/>
      <c r="P311" s="252"/>
      <c r="Q311" s="46"/>
    </row>
    <row r="312" spans="1:17">
      <c r="A312" s="98"/>
      <c r="B312" s="442"/>
      <c r="C312" s="540"/>
      <c r="D312" s="166"/>
      <c r="E312" s="166"/>
      <c r="F312" s="87"/>
      <c r="G312" s="87"/>
      <c r="H312" s="521"/>
      <c r="I312" s="562"/>
      <c r="J312" s="89"/>
      <c r="K312" s="89"/>
      <c r="L312" s="249"/>
      <c r="M312" s="1026"/>
      <c r="N312" s="250"/>
      <c r="O312" s="251"/>
      <c r="P312" s="252"/>
      <c r="Q312" s="46"/>
    </row>
    <row r="313" spans="1:17">
      <c r="A313" s="98"/>
      <c r="B313" s="442"/>
      <c r="C313" s="540"/>
      <c r="D313" s="166"/>
      <c r="E313" s="166"/>
      <c r="F313" s="87"/>
      <c r="G313" s="87"/>
      <c r="H313" s="521"/>
      <c r="I313" s="562"/>
      <c r="J313" s="89"/>
      <c r="K313" s="89"/>
      <c r="L313" s="249"/>
      <c r="M313" s="1026"/>
      <c r="N313" s="250"/>
      <c r="O313" s="251"/>
      <c r="P313" s="252"/>
      <c r="Q313" s="46"/>
    </row>
    <row r="314" spans="1:17">
      <c r="A314" s="98"/>
      <c r="B314" s="442"/>
      <c r="C314" s="540"/>
      <c r="D314" s="166"/>
      <c r="E314" s="166"/>
      <c r="F314" s="87"/>
      <c r="G314" s="87"/>
      <c r="H314" s="521"/>
      <c r="I314" s="562"/>
      <c r="J314" s="89"/>
      <c r="K314" s="89"/>
      <c r="L314" s="249"/>
      <c r="M314" s="1026"/>
      <c r="N314" s="250"/>
      <c r="O314" s="251"/>
      <c r="P314" s="252"/>
      <c r="Q314" s="46"/>
    </row>
    <row r="315" spans="1:17">
      <c r="A315" s="98"/>
      <c r="B315" s="442"/>
      <c r="C315" s="540"/>
      <c r="D315" s="166"/>
      <c r="E315" s="166"/>
      <c r="F315" s="87"/>
      <c r="G315" s="87"/>
      <c r="H315" s="521"/>
      <c r="I315" s="562"/>
      <c r="J315" s="89"/>
      <c r="K315" s="89"/>
      <c r="L315" s="249"/>
      <c r="M315" s="1026"/>
      <c r="N315" s="250"/>
      <c r="O315" s="251"/>
      <c r="P315" s="252"/>
      <c r="Q315" s="46"/>
    </row>
    <row r="316" spans="1:17">
      <c r="A316" s="98"/>
      <c r="B316" s="442"/>
      <c r="C316" s="540"/>
      <c r="D316" s="166"/>
      <c r="E316" s="166"/>
      <c r="F316" s="87"/>
      <c r="G316" s="87"/>
      <c r="H316" s="521"/>
      <c r="I316" s="562"/>
      <c r="J316" s="89"/>
      <c r="K316" s="89"/>
      <c r="L316" s="249"/>
      <c r="M316" s="1026"/>
      <c r="N316" s="250"/>
      <c r="O316" s="251"/>
      <c r="P316" s="252"/>
      <c r="Q316" s="46"/>
    </row>
    <row r="317" spans="1:17">
      <c r="A317" s="98"/>
      <c r="B317" s="442"/>
      <c r="C317" s="540"/>
      <c r="D317" s="166"/>
      <c r="E317" s="166"/>
      <c r="F317" s="87"/>
      <c r="G317" s="87"/>
      <c r="H317" s="521"/>
      <c r="I317" s="562"/>
      <c r="J317" s="89"/>
      <c r="K317" s="89"/>
      <c r="L317" s="249"/>
      <c r="M317" s="1026"/>
      <c r="N317" s="250"/>
      <c r="O317" s="251"/>
      <c r="P317" s="252"/>
      <c r="Q317" s="46"/>
    </row>
    <row r="318" spans="1:17">
      <c r="A318" s="98"/>
      <c r="B318" s="442"/>
      <c r="C318" s="540"/>
      <c r="D318" s="166"/>
      <c r="E318" s="166"/>
      <c r="F318" s="87"/>
      <c r="G318" s="87"/>
      <c r="H318" s="521"/>
      <c r="I318" s="562"/>
      <c r="J318" s="89"/>
      <c r="K318" s="89"/>
      <c r="L318" s="249"/>
      <c r="M318" s="1026"/>
      <c r="N318" s="250"/>
      <c r="O318" s="251"/>
      <c r="P318" s="252"/>
      <c r="Q318" s="46"/>
    </row>
    <row r="319" spans="1:17">
      <c r="A319" s="98"/>
      <c r="B319" s="442"/>
      <c r="C319" s="540"/>
      <c r="D319" s="166"/>
      <c r="E319" s="166"/>
      <c r="F319" s="87"/>
      <c r="G319" s="87"/>
      <c r="H319" s="521"/>
      <c r="I319" s="562"/>
      <c r="J319" s="89"/>
      <c r="K319" s="89"/>
      <c r="L319" s="249"/>
      <c r="M319" s="1026"/>
      <c r="N319" s="250"/>
      <c r="O319" s="251"/>
      <c r="P319" s="252"/>
      <c r="Q319" s="46"/>
    </row>
    <row r="320" spans="1:17">
      <c r="A320" s="98"/>
      <c r="B320" s="442"/>
      <c r="C320" s="540"/>
      <c r="D320" s="166"/>
      <c r="E320" s="166"/>
      <c r="F320" s="87"/>
      <c r="G320" s="87"/>
      <c r="H320" s="521"/>
      <c r="I320" s="562"/>
      <c r="J320" s="89"/>
      <c r="K320" s="89"/>
      <c r="L320" s="249"/>
      <c r="M320" s="1026"/>
      <c r="N320" s="250"/>
      <c r="O320" s="251"/>
      <c r="P320" s="252"/>
      <c r="Q320" s="46"/>
    </row>
    <row r="321" spans="1:17">
      <c r="A321" s="98"/>
      <c r="B321" s="442"/>
      <c r="C321" s="540"/>
      <c r="D321" s="166"/>
      <c r="E321" s="166"/>
      <c r="F321" s="87"/>
      <c r="G321" s="87"/>
      <c r="H321" s="521"/>
      <c r="I321" s="562"/>
      <c r="J321" s="89"/>
      <c r="K321" s="89"/>
      <c r="L321" s="249"/>
      <c r="M321" s="1026"/>
      <c r="N321" s="250"/>
      <c r="O321" s="251"/>
      <c r="P321" s="252"/>
      <c r="Q321" s="46"/>
    </row>
    <row r="322" spans="1:17">
      <c r="A322" s="98"/>
      <c r="B322" s="442"/>
      <c r="C322" s="540"/>
      <c r="D322" s="166"/>
      <c r="E322" s="166"/>
      <c r="F322" s="87"/>
      <c r="G322" s="87"/>
      <c r="H322" s="521"/>
      <c r="I322" s="562"/>
      <c r="J322" s="89"/>
      <c r="K322" s="89"/>
      <c r="L322" s="249"/>
      <c r="M322" s="1026"/>
      <c r="N322" s="250"/>
      <c r="O322" s="251"/>
      <c r="P322" s="252"/>
      <c r="Q322" s="46"/>
    </row>
    <row r="323" spans="1:17">
      <c r="A323" s="98"/>
      <c r="B323" s="442"/>
      <c r="C323" s="540"/>
      <c r="D323" s="166"/>
      <c r="E323" s="166"/>
      <c r="F323" s="87"/>
      <c r="G323" s="87"/>
      <c r="H323" s="521"/>
      <c r="I323" s="562"/>
      <c r="J323" s="89"/>
      <c r="K323" s="89"/>
      <c r="L323" s="249"/>
      <c r="M323" s="1026"/>
      <c r="N323" s="250"/>
      <c r="O323" s="251"/>
      <c r="P323" s="252"/>
      <c r="Q323" s="46"/>
    </row>
    <row r="324" spans="1:17">
      <c r="A324" s="98"/>
      <c r="B324" s="442"/>
      <c r="C324" s="540"/>
      <c r="D324" s="166"/>
      <c r="E324" s="166"/>
      <c r="F324" s="87"/>
      <c r="G324" s="87"/>
      <c r="H324" s="521"/>
      <c r="I324" s="562"/>
      <c r="J324" s="89"/>
      <c r="K324" s="89"/>
      <c r="L324" s="249"/>
      <c r="M324" s="1026"/>
      <c r="N324" s="250"/>
      <c r="O324" s="251"/>
      <c r="P324" s="252"/>
      <c r="Q324" s="46"/>
    </row>
    <row r="325" spans="1:17">
      <c r="A325" s="98"/>
      <c r="B325" s="442"/>
      <c r="C325" s="540"/>
      <c r="D325" s="166"/>
      <c r="E325" s="166"/>
      <c r="F325" s="87"/>
      <c r="G325" s="87"/>
      <c r="H325" s="521"/>
      <c r="I325" s="562"/>
      <c r="J325" s="89"/>
      <c r="K325" s="89"/>
      <c r="L325" s="249"/>
      <c r="M325" s="1026"/>
      <c r="N325" s="250"/>
      <c r="O325" s="251"/>
      <c r="P325" s="252"/>
      <c r="Q325" s="46"/>
    </row>
    <row r="326" spans="1:17">
      <c r="A326" s="98"/>
      <c r="B326" s="442"/>
      <c r="C326" s="540"/>
      <c r="D326" s="166"/>
      <c r="E326" s="166"/>
      <c r="F326" s="87"/>
      <c r="G326" s="87"/>
      <c r="H326" s="521"/>
      <c r="I326" s="562"/>
      <c r="J326" s="89"/>
      <c r="K326" s="89"/>
      <c r="L326" s="249"/>
      <c r="M326" s="1026"/>
      <c r="N326" s="250"/>
      <c r="O326" s="251"/>
      <c r="P326" s="252"/>
      <c r="Q326" s="46"/>
    </row>
    <row r="327" spans="1:17">
      <c r="A327" s="98"/>
      <c r="B327" s="442"/>
      <c r="C327" s="540"/>
      <c r="D327" s="166"/>
      <c r="E327" s="166"/>
      <c r="F327" s="87"/>
      <c r="G327" s="87"/>
      <c r="H327" s="521"/>
      <c r="I327" s="562"/>
      <c r="J327" s="89"/>
      <c r="K327" s="89"/>
      <c r="L327" s="249"/>
      <c r="M327" s="1026"/>
      <c r="N327" s="250"/>
      <c r="O327" s="251"/>
      <c r="P327" s="252"/>
      <c r="Q327" s="46"/>
    </row>
    <row r="328" spans="1:17">
      <c r="A328" s="98"/>
      <c r="B328" s="442"/>
      <c r="C328" s="540"/>
      <c r="D328" s="166"/>
      <c r="E328" s="166"/>
      <c r="F328" s="87"/>
      <c r="G328" s="87"/>
      <c r="H328" s="521"/>
      <c r="I328" s="562"/>
      <c r="J328" s="89"/>
      <c r="K328" s="89"/>
      <c r="L328" s="249"/>
      <c r="M328" s="1026"/>
      <c r="N328" s="250"/>
      <c r="O328" s="251"/>
      <c r="P328" s="252"/>
      <c r="Q328" s="46"/>
    </row>
    <row r="329" spans="1:17">
      <c r="A329" s="98"/>
      <c r="B329" s="442"/>
      <c r="C329" s="540"/>
      <c r="D329" s="166"/>
      <c r="E329" s="166"/>
      <c r="F329" s="87"/>
      <c r="G329" s="87"/>
      <c r="H329" s="521"/>
      <c r="I329" s="562"/>
      <c r="J329" s="89"/>
      <c r="K329" s="89"/>
      <c r="L329" s="249"/>
      <c r="M329" s="1026"/>
      <c r="N329" s="250"/>
      <c r="O329" s="251"/>
      <c r="P329" s="252"/>
      <c r="Q329" s="46"/>
    </row>
    <row r="330" spans="1:17">
      <c r="A330" s="98"/>
      <c r="B330" s="442"/>
      <c r="C330" s="540"/>
      <c r="D330" s="166"/>
      <c r="E330" s="166"/>
      <c r="F330" s="87"/>
      <c r="G330" s="87"/>
      <c r="H330" s="521"/>
      <c r="I330" s="562"/>
      <c r="J330" s="89"/>
      <c r="K330" s="89"/>
      <c r="L330" s="249"/>
      <c r="M330" s="1026"/>
      <c r="N330" s="250"/>
      <c r="O330" s="251"/>
      <c r="P330" s="252"/>
      <c r="Q330" s="46"/>
    </row>
    <row r="331" spans="1:17">
      <c r="A331" s="98"/>
      <c r="B331" s="442"/>
      <c r="C331" s="540"/>
      <c r="D331" s="166"/>
      <c r="E331" s="166"/>
      <c r="F331" s="87"/>
      <c r="G331" s="87"/>
      <c r="H331" s="521"/>
      <c r="I331" s="562"/>
      <c r="J331" s="89"/>
      <c r="K331" s="89"/>
      <c r="L331" s="249"/>
      <c r="M331" s="1026"/>
      <c r="N331" s="250"/>
      <c r="O331" s="251"/>
      <c r="P331" s="252"/>
      <c r="Q331" s="46"/>
    </row>
    <row r="332" spans="1:17">
      <c r="A332" s="98"/>
      <c r="B332" s="442"/>
      <c r="C332" s="540"/>
      <c r="D332" s="166"/>
      <c r="E332" s="166"/>
      <c r="F332" s="87"/>
      <c r="G332" s="87"/>
      <c r="H332" s="521"/>
      <c r="I332" s="562"/>
      <c r="J332" s="89"/>
      <c r="K332" s="89"/>
      <c r="L332" s="249"/>
      <c r="M332" s="1026"/>
      <c r="N332" s="250"/>
      <c r="O332" s="251"/>
      <c r="P332" s="252"/>
      <c r="Q332" s="46"/>
    </row>
    <row r="333" spans="1:17">
      <c r="A333" s="98"/>
      <c r="B333" s="442"/>
      <c r="C333" s="540"/>
      <c r="D333" s="166"/>
      <c r="E333" s="166"/>
      <c r="F333" s="87"/>
      <c r="G333" s="87"/>
      <c r="H333" s="521"/>
      <c r="I333" s="562"/>
      <c r="J333" s="89"/>
      <c r="K333" s="89"/>
      <c r="L333" s="249"/>
      <c r="M333" s="1026"/>
      <c r="N333" s="250"/>
      <c r="O333" s="251"/>
      <c r="P333" s="252"/>
      <c r="Q333" s="46"/>
    </row>
    <row r="334" spans="1:17">
      <c r="A334" s="98"/>
      <c r="B334" s="442"/>
      <c r="C334" s="540"/>
      <c r="D334" s="166"/>
      <c r="E334" s="166"/>
      <c r="F334" s="87"/>
      <c r="G334" s="87"/>
      <c r="H334" s="521"/>
      <c r="I334" s="562"/>
      <c r="J334" s="89"/>
      <c r="K334" s="89"/>
      <c r="L334" s="249"/>
      <c r="M334" s="1026"/>
      <c r="N334" s="250"/>
      <c r="O334" s="251"/>
      <c r="P334" s="252"/>
      <c r="Q334" s="46"/>
    </row>
    <row r="335" spans="1:17">
      <c r="A335" s="98"/>
      <c r="B335" s="442"/>
      <c r="C335" s="540"/>
      <c r="D335" s="166"/>
      <c r="E335" s="166"/>
      <c r="F335" s="87"/>
      <c r="G335" s="87"/>
      <c r="H335" s="521"/>
      <c r="I335" s="562"/>
      <c r="J335" s="89"/>
      <c r="K335" s="89"/>
      <c r="L335" s="249"/>
      <c r="M335" s="1026"/>
      <c r="N335" s="250"/>
      <c r="O335" s="251"/>
      <c r="P335" s="252"/>
      <c r="Q335" s="46"/>
    </row>
    <row r="336" spans="1:17">
      <c r="A336" s="98"/>
      <c r="B336" s="442"/>
      <c r="C336" s="540"/>
      <c r="D336" s="166"/>
      <c r="E336" s="166"/>
      <c r="F336" s="87"/>
      <c r="G336" s="87"/>
      <c r="H336" s="521"/>
      <c r="I336" s="562"/>
      <c r="J336" s="89"/>
      <c r="K336" s="89"/>
      <c r="L336" s="249"/>
      <c r="M336" s="1026"/>
      <c r="N336" s="250"/>
      <c r="O336" s="251"/>
      <c r="P336" s="252"/>
      <c r="Q336" s="46"/>
    </row>
    <row r="337" spans="1:17">
      <c r="A337" s="98"/>
      <c r="B337" s="442"/>
      <c r="C337" s="540"/>
      <c r="D337" s="166"/>
      <c r="E337" s="166"/>
      <c r="F337" s="87"/>
      <c r="G337" s="87"/>
      <c r="H337" s="521"/>
      <c r="I337" s="562"/>
      <c r="J337" s="89"/>
      <c r="K337" s="89"/>
      <c r="L337" s="249"/>
      <c r="M337" s="1026"/>
      <c r="N337" s="250"/>
      <c r="O337" s="251"/>
      <c r="P337" s="252"/>
      <c r="Q337" s="46"/>
    </row>
    <row r="338" spans="1:17">
      <c r="A338" s="98"/>
      <c r="B338" s="442"/>
      <c r="C338" s="540"/>
      <c r="D338" s="166"/>
      <c r="E338" s="166"/>
      <c r="F338" s="87"/>
      <c r="G338" s="87"/>
      <c r="H338" s="521"/>
      <c r="I338" s="562"/>
      <c r="J338" s="89"/>
      <c r="K338" s="89"/>
      <c r="L338" s="249"/>
      <c r="M338" s="1026"/>
      <c r="N338" s="250"/>
      <c r="O338" s="251"/>
      <c r="P338" s="252"/>
      <c r="Q338" s="46"/>
    </row>
    <row r="339" spans="1:17">
      <c r="A339" s="98"/>
      <c r="B339" s="442"/>
      <c r="C339" s="540"/>
      <c r="D339" s="166"/>
      <c r="E339" s="166"/>
      <c r="F339" s="87"/>
      <c r="G339" s="87"/>
      <c r="H339" s="521"/>
      <c r="I339" s="562"/>
      <c r="J339" s="89"/>
      <c r="K339" s="89"/>
      <c r="L339" s="249"/>
      <c r="M339" s="1026"/>
      <c r="N339" s="250"/>
      <c r="O339" s="251"/>
      <c r="P339" s="252"/>
      <c r="Q339" s="46"/>
    </row>
    <row r="340" spans="1:17">
      <c r="A340" s="98"/>
      <c r="B340" s="442"/>
      <c r="C340" s="540"/>
      <c r="D340" s="166"/>
      <c r="E340" s="166"/>
      <c r="F340" s="87"/>
      <c r="G340" s="87"/>
      <c r="H340" s="521"/>
      <c r="I340" s="562"/>
      <c r="J340" s="89"/>
      <c r="K340" s="89"/>
      <c r="L340" s="249"/>
      <c r="M340" s="1026"/>
      <c r="N340" s="250"/>
      <c r="O340" s="251"/>
      <c r="P340" s="252"/>
      <c r="Q340" s="46"/>
    </row>
    <row r="341" spans="1:17">
      <c r="A341" s="98"/>
      <c r="B341" s="442"/>
      <c r="C341" s="540"/>
      <c r="D341" s="166"/>
      <c r="E341" s="166"/>
      <c r="F341" s="87"/>
      <c r="G341" s="87"/>
      <c r="H341" s="521"/>
      <c r="I341" s="562"/>
      <c r="J341" s="89"/>
      <c r="K341" s="89"/>
      <c r="L341" s="249"/>
      <c r="M341" s="1026"/>
      <c r="N341" s="250"/>
      <c r="O341" s="251"/>
      <c r="P341" s="252"/>
      <c r="Q341" s="46"/>
    </row>
    <row r="342" spans="1:17">
      <c r="A342" s="98"/>
      <c r="B342" s="442"/>
      <c r="C342" s="540"/>
      <c r="D342" s="166"/>
      <c r="E342" s="166"/>
      <c r="F342" s="87"/>
      <c r="G342" s="87"/>
      <c r="H342" s="521"/>
      <c r="I342" s="562"/>
      <c r="J342" s="89"/>
      <c r="K342" s="89"/>
      <c r="L342" s="249"/>
      <c r="M342" s="1026"/>
      <c r="N342" s="250"/>
      <c r="O342" s="251"/>
      <c r="P342" s="252"/>
      <c r="Q342" s="46"/>
    </row>
    <row r="343" spans="1:17">
      <c r="A343" s="98"/>
      <c r="B343" s="442"/>
      <c r="C343" s="540"/>
      <c r="D343" s="166"/>
      <c r="E343" s="166"/>
      <c r="F343" s="87"/>
      <c r="G343" s="87"/>
      <c r="H343" s="521"/>
      <c r="I343" s="562"/>
      <c r="J343" s="89"/>
      <c r="K343" s="89"/>
      <c r="L343" s="249"/>
      <c r="M343" s="1026"/>
      <c r="N343" s="250"/>
      <c r="O343" s="251"/>
      <c r="P343" s="252"/>
      <c r="Q343" s="46"/>
    </row>
    <row r="344" spans="1:17">
      <c r="A344" s="98"/>
      <c r="B344" s="442"/>
      <c r="C344" s="540"/>
      <c r="D344" s="166"/>
      <c r="E344" s="166"/>
      <c r="F344" s="87"/>
      <c r="G344" s="87"/>
      <c r="H344" s="521"/>
      <c r="I344" s="562"/>
      <c r="J344" s="89"/>
      <c r="K344" s="89"/>
      <c r="L344" s="249"/>
      <c r="M344" s="1026"/>
      <c r="N344" s="250"/>
      <c r="O344" s="251"/>
      <c r="P344" s="252"/>
      <c r="Q344" s="46"/>
    </row>
    <row r="345" spans="1:17">
      <c r="A345" s="98"/>
      <c r="B345" s="442"/>
      <c r="C345" s="540"/>
      <c r="D345" s="166"/>
      <c r="E345" s="166"/>
      <c r="F345" s="87"/>
      <c r="G345" s="87"/>
      <c r="H345" s="521"/>
      <c r="I345" s="562"/>
      <c r="J345" s="89"/>
      <c r="K345" s="89"/>
      <c r="L345" s="249"/>
      <c r="M345" s="1026"/>
      <c r="N345" s="250"/>
      <c r="O345" s="251"/>
      <c r="P345" s="252"/>
      <c r="Q345" s="46"/>
    </row>
    <row r="346" spans="1:17">
      <c r="A346" s="98"/>
      <c r="B346" s="442"/>
      <c r="C346" s="540"/>
      <c r="D346" s="166"/>
      <c r="E346" s="166"/>
      <c r="F346" s="87"/>
      <c r="G346" s="87"/>
      <c r="H346" s="521"/>
      <c r="I346" s="562"/>
      <c r="J346" s="89"/>
      <c r="K346" s="89"/>
      <c r="L346" s="249"/>
      <c r="M346" s="1026"/>
      <c r="N346" s="250"/>
      <c r="O346" s="251"/>
      <c r="P346" s="252"/>
      <c r="Q346" s="46"/>
    </row>
    <row r="347" spans="1:17">
      <c r="A347" s="98"/>
      <c r="B347" s="442"/>
      <c r="C347" s="540"/>
      <c r="D347" s="166"/>
      <c r="E347" s="166"/>
      <c r="F347" s="87"/>
      <c r="G347" s="87"/>
      <c r="H347" s="521"/>
      <c r="I347" s="562"/>
      <c r="J347" s="89"/>
      <c r="K347" s="89"/>
      <c r="L347" s="249"/>
      <c r="M347" s="1026"/>
      <c r="N347" s="250"/>
      <c r="O347" s="251"/>
      <c r="P347" s="252"/>
      <c r="Q347" s="46"/>
    </row>
    <row r="348" spans="1:17">
      <c r="A348" s="98"/>
      <c r="B348" s="442"/>
      <c r="C348" s="540"/>
      <c r="D348" s="166"/>
      <c r="E348" s="166"/>
      <c r="F348" s="87"/>
      <c r="G348" s="87"/>
      <c r="H348" s="521"/>
      <c r="I348" s="562"/>
      <c r="J348" s="89"/>
      <c r="K348" s="89"/>
      <c r="L348" s="249"/>
      <c r="M348" s="1026"/>
      <c r="N348" s="250"/>
      <c r="O348" s="251"/>
      <c r="P348" s="252"/>
      <c r="Q348" s="46"/>
    </row>
    <row r="349" spans="1:17">
      <c r="A349" s="98"/>
      <c r="B349" s="442"/>
      <c r="C349" s="540"/>
      <c r="D349" s="166"/>
      <c r="E349" s="166"/>
      <c r="F349" s="87"/>
      <c r="G349" s="87"/>
      <c r="H349" s="521"/>
      <c r="I349" s="562"/>
      <c r="J349" s="89"/>
      <c r="K349" s="89"/>
      <c r="L349" s="249"/>
      <c r="M349" s="1026"/>
      <c r="N349" s="250"/>
      <c r="O349" s="251"/>
      <c r="P349" s="252"/>
      <c r="Q349" s="46"/>
    </row>
    <row r="350" spans="1:17">
      <c r="A350" s="98"/>
      <c r="B350" s="442"/>
      <c r="C350" s="540"/>
      <c r="D350" s="166"/>
      <c r="E350" s="166"/>
      <c r="F350" s="87"/>
      <c r="G350" s="87"/>
      <c r="H350" s="521"/>
      <c r="I350" s="562"/>
      <c r="J350" s="89"/>
      <c r="K350" s="89"/>
      <c r="L350" s="249"/>
      <c r="M350" s="1026"/>
      <c r="N350" s="250"/>
      <c r="O350" s="251"/>
      <c r="P350" s="252"/>
      <c r="Q350" s="46"/>
    </row>
    <row r="351" spans="1:17">
      <c r="A351" s="98"/>
      <c r="B351" s="442"/>
      <c r="C351" s="540"/>
      <c r="D351" s="166"/>
      <c r="E351" s="166"/>
      <c r="F351" s="87"/>
      <c r="G351" s="87"/>
      <c r="H351" s="521"/>
      <c r="I351" s="562"/>
      <c r="J351" s="89"/>
      <c r="K351" s="89"/>
      <c r="L351" s="249"/>
      <c r="M351" s="1026"/>
      <c r="N351" s="250"/>
      <c r="O351" s="251"/>
      <c r="P351" s="252"/>
      <c r="Q351" s="46"/>
    </row>
    <row r="352" spans="1:17">
      <c r="A352" s="98"/>
      <c r="B352" s="442"/>
      <c r="C352" s="540"/>
      <c r="D352" s="166"/>
      <c r="E352" s="166"/>
      <c r="F352" s="87"/>
      <c r="G352" s="87"/>
      <c r="H352" s="521"/>
      <c r="I352" s="562"/>
      <c r="J352" s="89"/>
      <c r="K352" s="89"/>
      <c r="L352" s="249"/>
      <c r="M352" s="1026"/>
      <c r="N352" s="250"/>
      <c r="O352" s="251"/>
      <c r="P352" s="252"/>
      <c r="Q352" s="46"/>
    </row>
    <row r="353" spans="1:17">
      <c r="A353" s="98"/>
      <c r="B353" s="442"/>
      <c r="C353" s="540"/>
      <c r="D353" s="166"/>
      <c r="E353" s="166"/>
      <c r="F353" s="87"/>
      <c r="G353" s="87"/>
      <c r="H353" s="521"/>
      <c r="I353" s="562"/>
      <c r="J353" s="89"/>
      <c r="K353" s="89"/>
      <c r="L353" s="249"/>
      <c r="M353" s="1026"/>
      <c r="N353" s="250"/>
      <c r="O353" s="251"/>
      <c r="P353" s="252"/>
      <c r="Q353" s="46"/>
    </row>
    <row r="354" spans="1:17">
      <c r="A354" s="98"/>
      <c r="B354" s="442"/>
      <c r="C354" s="540"/>
      <c r="D354" s="166"/>
      <c r="E354" s="166"/>
      <c r="F354" s="87"/>
      <c r="G354" s="87"/>
      <c r="H354" s="521"/>
      <c r="I354" s="562"/>
      <c r="J354" s="89"/>
      <c r="K354" s="89"/>
      <c r="L354" s="249"/>
      <c r="M354" s="1026"/>
      <c r="N354" s="250"/>
      <c r="O354" s="251"/>
      <c r="P354" s="252"/>
      <c r="Q354" s="46"/>
    </row>
    <row r="355" spans="1:17">
      <c r="A355" s="98"/>
      <c r="B355" s="442"/>
      <c r="C355" s="540"/>
      <c r="D355" s="166"/>
      <c r="E355" s="166"/>
      <c r="F355" s="87"/>
      <c r="G355" s="87"/>
      <c r="H355" s="521"/>
      <c r="I355" s="562"/>
      <c r="J355" s="89"/>
      <c r="K355" s="89"/>
      <c r="L355" s="249"/>
      <c r="M355" s="1026"/>
      <c r="N355" s="250"/>
      <c r="O355" s="251"/>
      <c r="P355" s="252"/>
      <c r="Q355" s="46"/>
    </row>
    <row r="356" spans="1:17">
      <c r="A356" s="98"/>
      <c r="B356" s="442"/>
      <c r="C356" s="540"/>
      <c r="D356" s="166"/>
      <c r="E356" s="166"/>
      <c r="F356" s="87"/>
      <c r="G356" s="87"/>
      <c r="H356" s="521"/>
      <c r="I356" s="562"/>
      <c r="J356" s="89"/>
      <c r="K356" s="89"/>
      <c r="L356" s="249"/>
      <c r="M356" s="1026"/>
      <c r="N356" s="250"/>
      <c r="O356" s="251"/>
      <c r="P356" s="252"/>
      <c r="Q356" s="46"/>
    </row>
    <row r="357" spans="1:17">
      <c r="A357" s="98"/>
      <c r="B357" s="442"/>
      <c r="C357" s="540"/>
      <c r="D357" s="166"/>
      <c r="E357" s="166"/>
      <c r="F357" s="87"/>
      <c r="G357" s="87"/>
      <c r="H357" s="521"/>
      <c r="I357" s="562"/>
      <c r="J357" s="89"/>
      <c r="K357" s="89"/>
      <c r="L357" s="249"/>
      <c r="M357" s="1026"/>
      <c r="N357" s="250"/>
      <c r="O357" s="251"/>
      <c r="P357" s="252"/>
      <c r="Q357" s="46"/>
    </row>
    <row r="358" spans="1:17">
      <c r="A358" s="98"/>
      <c r="B358" s="442"/>
      <c r="C358" s="540"/>
      <c r="D358" s="166"/>
      <c r="E358" s="166"/>
      <c r="F358" s="87"/>
      <c r="G358" s="87"/>
      <c r="H358" s="521"/>
      <c r="I358" s="562"/>
      <c r="J358" s="89"/>
      <c r="K358" s="89"/>
      <c r="L358" s="249"/>
      <c r="M358" s="1026"/>
      <c r="N358" s="250"/>
      <c r="O358" s="251"/>
      <c r="P358" s="252"/>
      <c r="Q358" s="46"/>
    </row>
    <row r="359" spans="1:17">
      <c r="A359" s="98"/>
      <c r="B359" s="442"/>
      <c r="C359" s="540"/>
      <c r="D359" s="166"/>
      <c r="E359" s="166"/>
      <c r="F359" s="87"/>
      <c r="G359" s="87"/>
      <c r="H359" s="521"/>
      <c r="I359" s="562"/>
      <c r="J359" s="89"/>
      <c r="K359" s="89"/>
      <c r="L359" s="249"/>
      <c r="M359" s="1026"/>
      <c r="N359" s="250"/>
      <c r="O359" s="251"/>
      <c r="P359" s="252"/>
      <c r="Q359" s="46"/>
    </row>
    <row r="360" spans="1:17">
      <c r="A360" s="98"/>
      <c r="B360" s="442"/>
      <c r="C360" s="540"/>
      <c r="D360" s="166"/>
      <c r="E360" s="166"/>
      <c r="F360" s="87"/>
      <c r="G360" s="87"/>
      <c r="H360" s="521"/>
      <c r="I360" s="562"/>
      <c r="J360" s="89"/>
      <c r="K360" s="89"/>
      <c r="L360" s="249"/>
      <c r="M360" s="1026"/>
      <c r="N360" s="250"/>
      <c r="O360" s="251"/>
      <c r="P360" s="252"/>
      <c r="Q360" s="46"/>
    </row>
    <row r="361" spans="1:17">
      <c r="A361" s="98"/>
      <c r="B361" s="442"/>
      <c r="C361" s="540"/>
      <c r="D361" s="166"/>
      <c r="E361" s="166"/>
      <c r="F361" s="87"/>
      <c r="G361" s="87"/>
      <c r="H361" s="521"/>
      <c r="I361" s="562"/>
      <c r="J361" s="89"/>
      <c r="K361" s="89"/>
      <c r="L361" s="249"/>
      <c r="M361" s="1026"/>
      <c r="N361" s="250"/>
      <c r="O361" s="251"/>
      <c r="P361" s="252"/>
      <c r="Q361" s="46"/>
    </row>
    <row r="362" spans="1:17">
      <c r="A362" s="98"/>
      <c r="B362" s="442"/>
      <c r="C362" s="540"/>
      <c r="D362" s="166"/>
      <c r="E362" s="166"/>
      <c r="F362" s="87"/>
      <c r="G362" s="87"/>
      <c r="H362" s="521"/>
      <c r="I362" s="562"/>
      <c r="J362" s="89"/>
      <c r="K362" s="89"/>
      <c r="L362" s="249"/>
      <c r="M362" s="1026"/>
      <c r="N362" s="250"/>
      <c r="O362" s="251"/>
      <c r="P362" s="252"/>
      <c r="Q362" s="46"/>
    </row>
    <row r="363" spans="1:17">
      <c r="A363" s="98"/>
      <c r="B363" s="442"/>
      <c r="C363" s="540"/>
      <c r="D363" s="166"/>
      <c r="E363" s="166"/>
      <c r="F363" s="87"/>
      <c r="G363" s="87"/>
      <c r="H363" s="521"/>
      <c r="I363" s="562"/>
      <c r="J363" s="89"/>
      <c r="K363" s="89"/>
      <c r="L363" s="249"/>
      <c r="M363" s="1026"/>
      <c r="N363" s="250"/>
      <c r="O363" s="251"/>
      <c r="P363" s="252"/>
      <c r="Q363" s="46"/>
    </row>
    <row r="364" spans="1:17">
      <c r="A364" s="98"/>
      <c r="B364" s="442"/>
      <c r="C364" s="540"/>
      <c r="D364" s="166"/>
      <c r="E364" s="166"/>
      <c r="F364" s="87"/>
      <c r="G364" s="87"/>
      <c r="H364" s="521"/>
      <c r="I364" s="562"/>
      <c r="J364" s="89"/>
      <c r="K364" s="89"/>
      <c r="L364" s="249"/>
      <c r="M364" s="1026"/>
      <c r="N364" s="250"/>
      <c r="O364" s="251"/>
      <c r="P364" s="252"/>
      <c r="Q364" s="46"/>
    </row>
    <row r="365" spans="1:17">
      <c r="A365" s="98"/>
      <c r="B365" s="442"/>
      <c r="C365" s="540"/>
      <c r="D365" s="166"/>
      <c r="E365" s="166"/>
      <c r="F365" s="87"/>
      <c r="G365" s="87"/>
      <c r="H365" s="521"/>
      <c r="I365" s="562"/>
      <c r="J365" s="89"/>
      <c r="K365" s="89"/>
      <c r="L365" s="249"/>
      <c r="M365" s="1026"/>
      <c r="N365" s="250"/>
      <c r="O365" s="251"/>
      <c r="P365" s="252"/>
      <c r="Q365" s="46"/>
    </row>
    <row r="366" spans="1:17">
      <c r="A366" s="98"/>
      <c r="B366" s="442"/>
      <c r="C366" s="540"/>
      <c r="D366" s="166"/>
      <c r="E366" s="166"/>
      <c r="F366" s="87"/>
      <c r="G366" s="87"/>
      <c r="H366" s="521"/>
      <c r="I366" s="562"/>
      <c r="J366" s="89"/>
      <c r="K366" s="89"/>
      <c r="L366" s="249"/>
      <c r="M366" s="1026"/>
      <c r="N366" s="250"/>
      <c r="O366" s="251"/>
      <c r="P366" s="252"/>
      <c r="Q366" s="46"/>
    </row>
    <row r="367" spans="1:17">
      <c r="A367" s="98"/>
      <c r="B367" s="442"/>
      <c r="C367" s="540"/>
      <c r="D367" s="166"/>
      <c r="E367" s="166"/>
      <c r="F367" s="87"/>
      <c r="G367" s="87"/>
      <c r="H367" s="521"/>
      <c r="I367" s="562"/>
      <c r="J367" s="89"/>
      <c r="K367" s="89"/>
      <c r="L367" s="249"/>
      <c r="M367" s="1026"/>
      <c r="N367" s="250"/>
      <c r="O367" s="251"/>
      <c r="P367" s="252"/>
      <c r="Q367" s="46"/>
    </row>
    <row r="368" spans="1:17">
      <c r="A368" s="98"/>
      <c r="B368" s="442"/>
      <c r="C368" s="540"/>
      <c r="D368" s="166"/>
      <c r="E368" s="166"/>
      <c r="F368" s="87"/>
      <c r="G368" s="87"/>
      <c r="H368" s="521"/>
      <c r="I368" s="562"/>
      <c r="J368" s="89"/>
      <c r="K368" s="89"/>
      <c r="L368" s="249"/>
      <c r="M368" s="1026"/>
      <c r="N368" s="250"/>
      <c r="O368" s="251"/>
      <c r="P368" s="252"/>
      <c r="Q368" s="46"/>
    </row>
    <row r="369" spans="1:17">
      <c r="A369" s="98"/>
      <c r="B369" s="442"/>
      <c r="C369" s="540"/>
      <c r="D369" s="166"/>
      <c r="E369" s="166"/>
      <c r="F369" s="87"/>
      <c r="G369" s="87"/>
      <c r="H369" s="521"/>
      <c r="I369" s="562"/>
      <c r="J369" s="89"/>
      <c r="K369" s="89"/>
      <c r="L369" s="249"/>
      <c r="M369" s="1026"/>
      <c r="N369" s="250"/>
      <c r="O369" s="251"/>
      <c r="P369" s="252"/>
      <c r="Q369" s="46"/>
    </row>
    <row r="370" spans="1:17">
      <c r="A370" s="98"/>
      <c r="B370" s="442"/>
      <c r="C370" s="540"/>
      <c r="D370" s="166"/>
      <c r="E370" s="166"/>
      <c r="F370" s="87"/>
      <c r="G370" s="87"/>
      <c r="H370" s="521"/>
      <c r="I370" s="562"/>
      <c r="J370" s="89"/>
      <c r="K370" s="89"/>
      <c r="L370" s="249"/>
      <c r="M370" s="1026"/>
      <c r="N370" s="250"/>
      <c r="O370" s="251"/>
      <c r="P370" s="252"/>
      <c r="Q370" s="46"/>
    </row>
    <row r="371" spans="1:17">
      <c r="A371" s="98"/>
      <c r="B371" s="442"/>
      <c r="C371" s="540"/>
      <c r="D371" s="166"/>
      <c r="E371" s="166"/>
      <c r="F371" s="87"/>
      <c r="G371" s="87"/>
      <c r="H371" s="521"/>
      <c r="I371" s="562"/>
      <c r="J371" s="89"/>
      <c r="K371" s="89"/>
      <c r="L371" s="249"/>
      <c r="M371" s="1026"/>
      <c r="N371" s="250"/>
      <c r="O371" s="251"/>
      <c r="P371" s="252"/>
      <c r="Q371" s="46"/>
    </row>
    <row r="372" spans="1:17">
      <c r="A372" s="98"/>
      <c r="B372" s="442"/>
      <c r="C372" s="540"/>
      <c r="D372" s="166"/>
      <c r="E372" s="166"/>
      <c r="F372" s="87"/>
      <c r="G372" s="87"/>
      <c r="H372" s="521"/>
      <c r="I372" s="562"/>
      <c r="J372" s="89"/>
      <c r="K372" s="89"/>
      <c r="L372" s="249"/>
      <c r="M372" s="1026"/>
      <c r="N372" s="250"/>
      <c r="O372" s="251"/>
      <c r="P372" s="252"/>
      <c r="Q372" s="46"/>
    </row>
    <row r="373" spans="1:17">
      <c r="A373" s="98"/>
      <c r="B373" s="442"/>
      <c r="C373" s="540"/>
      <c r="D373" s="166"/>
      <c r="E373" s="166"/>
      <c r="F373" s="87"/>
      <c r="G373" s="87"/>
      <c r="H373" s="521"/>
      <c r="I373" s="562"/>
      <c r="J373" s="89"/>
      <c r="K373" s="89"/>
      <c r="L373" s="249"/>
      <c r="M373" s="1026"/>
      <c r="N373" s="250"/>
      <c r="O373" s="251"/>
      <c r="P373" s="252"/>
      <c r="Q373" s="46"/>
    </row>
    <row r="374" spans="1:17">
      <c r="A374" s="98"/>
      <c r="B374" s="442"/>
      <c r="C374" s="540"/>
      <c r="D374" s="166"/>
      <c r="E374" s="166"/>
      <c r="F374" s="87"/>
      <c r="G374" s="87"/>
      <c r="H374" s="521"/>
      <c r="I374" s="562"/>
      <c r="J374" s="89"/>
      <c r="K374" s="89"/>
      <c r="L374" s="249"/>
      <c r="M374" s="1026"/>
      <c r="N374" s="250"/>
      <c r="O374" s="251"/>
      <c r="P374" s="252"/>
      <c r="Q374" s="46"/>
    </row>
    <row r="375" spans="1:17">
      <c r="A375" s="98"/>
      <c r="B375" s="442"/>
      <c r="C375" s="540"/>
      <c r="D375" s="166"/>
      <c r="E375" s="166"/>
      <c r="F375" s="87"/>
      <c r="G375" s="87"/>
      <c r="H375" s="521"/>
      <c r="I375" s="562"/>
      <c r="J375" s="89"/>
      <c r="K375" s="89"/>
      <c r="L375" s="249"/>
      <c r="M375" s="1026"/>
      <c r="N375" s="250"/>
      <c r="O375" s="251"/>
      <c r="P375" s="252"/>
      <c r="Q375" s="46"/>
    </row>
    <row r="376" spans="1:17">
      <c r="A376" s="98"/>
      <c r="B376" s="442"/>
      <c r="C376" s="540"/>
      <c r="D376" s="166"/>
      <c r="E376" s="166"/>
      <c r="F376" s="87"/>
      <c r="G376" s="87"/>
      <c r="H376" s="521"/>
      <c r="I376" s="562"/>
      <c r="J376" s="89"/>
      <c r="K376" s="89"/>
      <c r="L376" s="249"/>
      <c r="M376" s="1026"/>
      <c r="N376" s="250"/>
      <c r="O376" s="251"/>
      <c r="P376" s="252"/>
      <c r="Q376" s="46"/>
    </row>
    <row r="377" spans="1:17">
      <c r="A377" s="98"/>
      <c r="B377" s="442"/>
      <c r="C377" s="540"/>
      <c r="D377" s="166"/>
      <c r="E377" s="166"/>
      <c r="F377" s="87"/>
      <c r="G377" s="87"/>
      <c r="H377" s="521"/>
      <c r="I377" s="562"/>
      <c r="J377" s="89"/>
      <c r="K377" s="89"/>
      <c r="L377" s="249"/>
      <c r="M377" s="1026"/>
      <c r="N377" s="250"/>
      <c r="O377" s="251"/>
      <c r="P377" s="252"/>
      <c r="Q377" s="46"/>
    </row>
    <row r="378" spans="1:17">
      <c r="A378" s="98"/>
      <c r="B378" s="442"/>
      <c r="C378" s="540"/>
      <c r="D378" s="166"/>
      <c r="E378" s="166"/>
      <c r="F378" s="87"/>
      <c r="G378" s="87"/>
      <c r="H378" s="521"/>
      <c r="I378" s="562"/>
      <c r="J378" s="89"/>
      <c r="K378" s="89"/>
      <c r="L378" s="249"/>
      <c r="M378" s="1026"/>
      <c r="N378" s="250"/>
      <c r="O378" s="251"/>
      <c r="P378" s="252"/>
      <c r="Q378" s="46"/>
    </row>
    <row r="379" spans="1:17">
      <c r="A379" s="98"/>
      <c r="B379" s="442"/>
      <c r="C379" s="540"/>
      <c r="D379" s="166"/>
      <c r="E379" s="166"/>
      <c r="F379" s="87"/>
      <c r="G379" s="87"/>
      <c r="H379" s="521"/>
      <c r="I379" s="562"/>
      <c r="J379" s="89"/>
      <c r="K379" s="89"/>
      <c r="L379" s="249"/>
      <c r="M379" s="1026"/>
      <c r="N379" s="250"/>
      <c r="O379" s="251"/>
      <c r="P379" s="252"/>
      <c r="Q379" s="46"/>
    </row>
    <row r="380" spans="1:17">
      <c r="A380" s="98"/>
      <c r="B380" s="442"/>
      <c r="C380" s="540"/>
      <c r="D380" s="166"/>
      <c r="E380" s="166"/>
      <c r="F380" s="87"/>
      <c r="G380" s="87"/>
      <c r="H380" s="521"/>
      <c r="I380" s="562"/>
      <c r="J380" s="89"/>
      <c r="K380" s="89"/>
      <c r="L380" s="249"/>
      <c r="M380" s="1026"/>
      <c r="N380" s="250"/>
      <c r="O380" s="251"/>
      <c r="P380" s="252"/>
      <c r="Q380" s="46"/>
    </row>
    <row r="381" spans="1:17">
      <c r="A381" s="98"/>
      <c r="B381" s="442"/>
      <c r="C381" s="540"/>
      <c r="D381" s="166"/>
      <c r="E381" s="166"/>
      <c r="F381" s="87"/>
      <c r="G381" s="87"/>
      <c r="H381" s="521"/>
      <c r="I381" s="562"/>
      <c r="J381" s="89"/>
      <c r="K381" s="89"/>
      <c r="L381" s="249"/>
      <c r="M381" s="1026"/>
      <c r="N381" s="250"/>
      <c r="O381" s="251"/>
      <c r="P381" s="252"/>
      <c r="Q381" s="46"/>
    </row>
    <row r="382" spans="1:17">
      <c r="A382" s="98"/>
      <c r="B382" s="442"/>
      <c r="C382" s="540"/>
      <c r="D382" s="166"/>
      <c r="E382" s="166"/>
      <c r="F382" s="87"/>
      <c r="G382" s="87"/>
      <c r="H382" s="521"/>
      <c r="I382" s="562"/>
      <c r="J382" s="89"/>
      <c r="K382" s="89"/>
      <c r="L382" s="249"/>
      <c r="M382" s="1026"/>
      <c r="N382" s="250"/>
      <c r="O382" s="251"/>
      <c r="P382" s="252"/>
      <c r="Q382" s="46"/>
    </row>
    <row r="383" spans="1:17">
      <c r="A383" s="98"/>
      <c r="B383" s="442"/>
      <c r="C383" s="540"/>
      <c r="D383" s="166"/>
      <c r="E383" s="166"/>
      <c r="F383" s="87"/>
      <c r="G383" s="87"/>
      <c r="H383" s="521"/>
      <c r="I383" s="562"/>
      <c r="J383" s="89"/>
      <c r="K383" s="89"/>
      <c r="L383" s="249"/>
      <c r="M383" s="1026"/>
      <c r="N383" s="250"/>
      <c r="O383" s="251"/>
      <c r="P383" s="252"/>
      <c r="Q383" s="46"/>
    </row>
    <row r="384" spans="1:17">
      <c r="A384" s="98"/>
      <c r="B384" s="442"/>
      <c r="C384" s="540"/>
      <c r="D384" s="166"/>
      <c r="E384" s="166"/>
      <c r="F384" s="87"/>
      <c r="G384" s="87"/>
      <c r="H384" s="521"/>
      <c r="I384" s="562"/>
      <c r="J384" s="89"/>
      <c r="K384" s="89"/>
      <c r="L384" s="249"/>
      <c r="M384" s="1026"/>
      <c r="N384" s="250"/>
      <c r="O384" s="251"/>
      <c r="P384" s="252"/>
      <c r="Q384" s="46"/>
    </row>
    <row r="385" spans="1:17">
      <c r="A385" s="98"/>
      <c r="B385" s="442"/>
      <c r="C385" s="540"/>
      <c r="D385" s="166"/>
      <c r="E385" s="166"/>
      <c r="F385" s="87"/>
      <c r="G385" s="87"/>
      <c r="H385" s="521"/>
      <c r="I385" s="562"/>
      <c r="J385" s="89"/>
      <c r="K385" s="89"/>
      <c r="L385" s="249"/>
      <c r="M385" s="1026"/>
      <c r="N385" s="250"/>
      <c r="O385" s="251"/>
      <c r="P385" s="252"/>
      <c r="Q385" s="46"/>
    </row>
    <row r="386" spans="1:17">
      <c r="A386" s="98"/>
      <c r="B386" s="442"/>
      <c r="C386" s="540"/>
      <c r="D386" s="166"/>
      <c r="E386" s="166"/>
      <c r="F386" s="87"/>
      <c r="G386" s="87"/>
      <c r="H386" s="521"/>
      <c r="I386" s="562"/>
      <c r="J386" s="89"/>
      <c r="K386" s="89"/>
      <c r="L386" s="249"/>
      <c r="M386" s="1026"/>
      <c r="N386" s="250"/>
      <c r="O386" s="251"/>
      <c r="P386" s="252"/>
      <c r="Q386" s="46"/>
    </row>
    <row r="387" spans="1:17">
      <c r="A387" s="98"/>
      <c r="B387" s="442"/>
      <c r="C387" s="540"/>
      <c r="D387" s="166"/>
      <c r="E387" s="166"/>
      <c r="F387" s="87"/>
      <c r="G387" s="87"/>
      <c r="H387" s="521"/>
      <c r="I387" s="562"/>
      <c r="J387" s="89"/>
      <c r="K387" s="89"/>
      <c r="L387" s="249"/>
      <c r="M387" s="1026"/>
      <c r="N387" s="250"/>
      <c r="O387" s="251"/>
      <c r="P387" s="252"/>
      <c r="Q387" s="46"/>
    </row>
    <row r="388" spans="1:17">
      <c r="A388" s="98"/>
      <c r="B388" s="442"/>
      <c r="C388" s="540"/>
      <c r="D388" s="166"/>
      <c r="E388" s="166"/>
      <c r="F388" s="87"/>
      <c r="G388" s="87"/>
      <c r="H388" s="521"/>
      <c r="I388" s="562"/>
      <c r="J388" s="89"/>
      <c r="K388" s="89"/>
      <c r="L388" s="249"/>
      <c r="M388" s="1026"/>
      <c r="N388" s="250"/>
      <c r="O388" s="251"/>
      <c r="P388" s="252"/>
      <c r="Q388" s="46"/>
    </row>
    <row r="389" spans="1:17">
      <c r="A389" s="98"/>
      <c r="B389" s="442"/>
      <c r="C389" s="540"/>
      <c r="D389" s="166"/>
      <c r="E389" s="166"/>
      <c r="F389" s="87"/>
      <c r="G389" s="87"/>
      <c r="H389" s="521"/>
      <c r="I389" s="562"/>
      <c r="J389" s="89"/>
      <c r="K389" s="89"/>
      <c r="L389" s="249"/>
      <c r="M389" s="1026"/>
      <c r="N389" s="250"/>
      <c r="O389" s="251"/>
      <c r="P389" s="252"/>
      <c r="Q389" s="46"/>
    </row>
    <row r="390" spans="1:17">
      <c r="A390" s="98"/>
      <c r="B390" s="442"/>
      <c r="C390" s="540"/>
      <c r="D390" s="166"/>
      <c r="E390" s="166"/>
      <c r="F390" s="87"/>
      <c r="G390" s="87"/>
      <c r="H390" s="521"/>
      <c r="I390" s="562"/>
      <c r="J390" s="89"/>
      <c r="K390" s="89"/>
      <c r="L390" s="249"/>
      <c r="M390" s="1026"/>
      <c r="N390" s="250"/>
      <c r="O390" s="251"/>
      <c r="P390" s="252"/>
      <c r="Q390" s="46"/>
    </row>
    <row r="391" spans="1:17">
      <c r="A391" s="98"/>
      <c r="B391" s="442"/>
      <c r="C391" s="540"/>
      <c r="D391" s="166"/>
      <c r="E391" s="166"/>
      <c r="F391" s="87"/>
      <c r="G391" s="87"/>
      <c r="H391" s="521"/>
      <c r="I391" s="562"/>
      <c r="J391" s="89"/>
      <c r="K391" s="89"/>
      <c r="L391" s="249"/>
      <c r="M391" s="1026"/>
      <c r="N391" s="250"/>
      <c r="O391" s="251"/>
      <c r="P391" s="252"/>
      <c r="Q391" s="46"/>
    </row>
    <row r="392" spans="1:17">
      <c r="A392" s="98"/>
      <c r="B392" s="442"/>
      <c r="C392" s="540"/>
      <c r="D392" s="166"/>
      <c r="E392" s="166"/>
      <c r="F392" s="87"/>
      <c r="G392" s="87"/>
      <c r="H392" s="521"/>
      <c r="I392" s="562"/>
      <c r="J392" s="89"/>
      <c r="K392" s="89"/>
      <c r="L392" s="249"/>
      <c r="M392" s="1026"/>
      <c r="N392" s="250"/>
      <c r="O392" s="251"/>
      <c r="P392" s="252"/>
      <c r="Q392" s="46"/>
    </row>
    <row r="393" spans="1:17">
      <c r="A393" s="98"/>
      <c r="B393" s="442"/>
      <c r="C393" s="540"/>
      <c r="D393" s="166"/>
      <c r="E393" s="166"/>
      <c r="F393" s="87"/>
      <c r="G393" s="87"/>
      <c r="H393" s="521"/>
      <c r="I393" s="562"/>
      <c r="J393" s="89"/>
      <c r="K393" s="89"/>
      <c r="L393" s="249"/>
      <c r="M393" s="1026"/>
      <c r="N393" s="250"/>
      <c r="O393" s="251"/>
      <c r="P393" s="252"/>
      <c r="Q393" s="46"/>
    </row>
    <row r="394" spans="1:17">
      <c r="A394" s="98"/>
      <c r="B394" s="442"/>
      <c r="C394" s="540"/>
      <c r="D394" s="166"/>
      <c r="E394" s="166"/>
      <c r="F394" s="87"/>
      <c r="G394" s="87"/>
      <c r="H394" s="521"/>
      <c r="I394" s="562"/>
      <c r="J394" s="89"/>
      <c r="K394" s="89"/>
      <c r="L394" s="249"/>
      <c r="M394" s="1026"/>
      <c r="N394" s="250"/>
      <c r="O394" s="251"/>
      <c r="P394" s="252"/>
      <c r="Q394" s="46"/>
    </row>
    <row r="395" spans="1:17">
      <c r="A395" s="98"/>
      <c r="B395" s="442"/>
      <c r="C395" s="540"/>
      <c r="D395" s="166"/>
      <c r="E395" s="166"/>
      <c r="F395" s="87"/>
      <c r="G395" s="87"/>
      <c r="H395" s="521"/>
      <c r="I395" s="562"/>
      <c r="J395" s="89"/>
      <c r="K395" s="89"/>
      <c r="L395" s="249"/>
      <c r="M395" s="1026"/>
      <c r="N395" s="250"/>
      <c r="O395" s="251"/>
      <c r="P395" s="252"/>
      <c r="Q395" s="46"/>
    </row>
    <row r="396" spans="1:17">
      <c r="A396" s="98"/>
      <c r="B396" s="442"/>
      <c r="C396" s="540"/>
      <c r="D396" s="166"/>
      <c r="E396" s="166"/>
      <c r="F396" s="87"/>
      <c r="G396" s="87"/>
      <c r="H396" s="521"/>
      <c r="I396" s="562"/>
      <c r="J396" s="89"/>
      <c r="K396" s="89"/>
      <c r="L396" s="249"/>
      <c r="M396" s="1026"/>
      <c r="N396" s="250"/>
      <c r="O396" s="251"/>
      <c r="P396" s="252"/>
      <c r="Q396" s="46"/>
    </row>
    <row r="397" spans="1:17">
      <c r="A397" s="98"/>
      <c r="B397" s="442"/>
      <c r="C397" s="540"/>
      <c r="D397" s="166"/>
      <c r="E397" s="166"/>
      <c r="F397" s="87"/>
      <c r="G397" s="87"/>
      <c r="H397" s="521"/>
      <c r="I397" s="562"/>
      <c r="J397" s="89"/>
      <c r="K397" s="89"/>
      <c r="L397" s="249"/>
      <c r="M397" s="1026"/>
      <c r="N397" s="250"/>
      <c r="O397" s="251"/>
      <c r="P397" s="252"/>
      <c r="Q397" s="46"/>
    </row>
    <row r="398" spans="1:17">
      <c r="A398" s="98"/>
      <c r="B398" s="442"/>
      <c r="C398" s="540"/>
      <c r="D398" s="166"/>
      <c r="E398" s="166"/>
      <c r="F398" s="87"/>
      <c r="G398" s="87"/>
      <c r="H398" s="521"/>
      <c r="I398" s="562"/>
      <c r="J398" s="89"/>
      <c r="K398" s="89"/>
      <c r="L398" s="249"/>
      <c r="M398" s="1026"/>
      <c r="N398" s="250"/>
      <c r="O398" s="251"/>
      <c r="P398" s="252"/>
      <c r="Q398" s="46"/>
    </row>
    <row r="399" spans="1:17">
      <c r="A399" s="98"/>
      <c r="B399" s="442"/>
      <c r="C399" s="540"/>
      <c r="D399" s="166"/>
      <c r="E399" s="166"/>
      <c r="F399" s="87"/>
      <c r="G399" s="87"/>
      <c r="H399" s="521"/>
      <c r="I399" s="562"/>
      <c r="J399" s="89"/>
      <c r="K399" s="89"/>
      <c r="L399" s="249"/>
      <c r="M399" s="1026"/>
      <c r="N399" s="250"/>
      <c r="O399" s="251"/>
      <c r="P399" s="252"/>
      <c r="Q399" s="46"/>
    </row>
    <row r="400" spans="1:17">
      <c r="A400" s="98"/>
      <c r="B400" s="442"/>
      <c r="C400" s="540"/>
      <c r="D400" s="166"/>
      <c r="E400" s="166"/>
      <c r="F400" s="87"/>
      <c r="G400" s="87"/>
      <c r="H400" s="521"/>
      <c r="I400" s="562"/>
      <c r="J400" s="89"/>
      <c r="K400" s="89"/>
      <c r="L400" s="249"/>
      <c r="M400" s="1026"/>
      <c r="N400" s="250"/>
      <c r="O400" s="251"/>
      <c r="P400" s="252"/>
      <c r="Q400" s="46"/>
    </row>
    <row r="401" spans="1:17">
      <c r="A401" s="98"/>
      <c r="B401" s="442"/>
      <c r="C401" s="540"/>
      <c r="D401" s="166"/>
      <c r="E401" s="166"/>
      <c r="F401" s="87"/>
      <c r="G401" s="87"/>
      <c r="H401" s="521"/>
      <c r="I401" s="562"/>
      <c r="J401" s="89"/>
      <c r="K401" s="89"/>
      <c r="L401" s="249"/>
      <c r="M401" s="1026"/>
      <c r="N401" s="250"/>
      <c r="O401" s="251"/>
      <c r="P401" s="252"/>
      <c r="Q401" s="46"/>
    </row>
    <row r="402" spans="1:17">
      <c r="A402" s="98"/>
      <c r="B402" s="442"/>
      <c r="C402" s="540"/>
      <c r="D402" s="166"/>
      <c r="E402" s="166"/>
      <c r="F402" s="87"/>
      <c r="G402" s="87"/>
      <c r="H402" s="521"/>
      <c r="I402" s="562"/>
      <c r="J402" s="89"/>
      <c r="K402" s="89"/>
      <c r="L402" s="249"/>
      <c r="M402" s="1026"/>
      <c r="N402" s="250"/>
      <c r="O402" s="251"/>
      <c r="P402" s="252"/>
      <c r="Q402" s="46"/>
    </row>
    <row r="403" spans="1:17">
      <c r="A403" s="98"/>
      <c r="B403" s="442"/>
      <c r="C403" s="540"/>
      <c r="D403" s="166"/>
      <c r="E403" s="166"/>
      <c r="F403" s="87"/>
      <c r="G403" s="87"/>
      <c r="H403" s="521"/>
      <c r="I403" s="562"/>
      <c r="J403" s="89"/>
      <c r="K403" s="89"/>
      <c r="L403" s="249"/>
      <c r="M403" s="1026"/>
      <c r="N403" s="250"/>
      <c r="O403" s="251"/>
      <c r="P403" s="252"/>
      <c r="Q403" s="46"/>
    </row>
    <row r="404" spans="1:17">
      <c r="A404" s="98"/>
      <c r="B404" s="442"/>
      <c r="C404" s="540"/>
      <c r="D404" s="166"/>
      <c r="E404" s="166"/>
      <c r="F404" s="87"/>
      <c r="G404" s="87"/>
      <c r="H404" s="521"/>
      <c r="I404" s="562"/>
      <c r="J404" s="89"/>
      <c r="K404" s="89"/>
      <c r="L404" s="249"/>
      <c r="M404" s="1026"/>
      <c r="N404" s="250"/>
      <c r="O404" s="251"/>
      <c r="P404" s="252"/>
      <c r="Q404" s="46"/>
    </row>
    <row r="405" spans="1:17">
      <c r="A405" s="98"/>
      <c r="B405" s="442"/>
      <c r="C405" s="540"/>
      <c r="D405" s="166"/>
      <c r="E405" s="166"/>
      <c r="F405" s="87"/>
      <c r="G405" s="87"/>
      <c r="H405" s="521"/>
      <c r="I405" s="562"/>
      <c r="J405" s="89"/>
      <c r="K405" s="89"/>
      <c r="L405" s="249"/>
      <c r="M405" s="1026"/>
      <c r="N405" s="250"/>
      <c r="O405" s="251"/>
      <c r="P405" s="252"/>
      <c r="Q405" s="46"/>
    </row>
    <row r="406" spans="1:17">
      <c r="A406" s="98"/>
      <c r="B406" s="442"/>
      <c r="C406" s="540"/>
      <c r="D406" s="166"/>
      <c r="E406" s="166"/>
      <c r="F406" s="87"/>
      <c r="G406" s="87"/>
      <c r="H406" s="521"/>
      <c r="I406" s="562"/>
      <c r="J406" s="89"/>
      <c r="K406" s="89"/>
      <c r="L406" s="249"/>
      <c r="M406" s="1026"/>
      <c r="N406" s="250"/>
      <c r="O406" s="251"/>
      <c r="P406" s="252"/>
      <c r="Q406" s="46"/>
    </row>
    <row r="407" spans="1:17">
      <c r="A407" s="98"/>
      <c r="B407" s="442"/>
      <c r="C407" s="540"/>
      <c r="D407" s="166"/>
      <c r="E407" s="166"/>
      <c r="F407" s="87"/>
      <c r="G407" s="87"/>
      <c r="H407" s="521"/>
      <c r="I407" s="562"/>
      <c r="J407" s="89"/>
      <c r="K407" s="89"/>
      <c r="L407" s="249"/>
      <c r="M407" s="1026"/>
      <c r="N407" s="250"/>
      <c r="O407" s="251"/>
      <c r="P407" s="252"/>
      <c r="Q407" s="46"/>
    </row>
    <row r="408" spans="1:17">
      <c r="A408" s="98"/>
      <c r="B408" s="442"/>
      <c r="C408" s="540"/>
      <c r="D408" s="166"/>
      <c r="E408" s="166"/>
      <c r="F408" s="87"/>
      <c r="G408" s="87"/>
      <c r="H408" s="521"/>
      <c r="I408" s="562"/>
      <c r="J408" s="89"/>
      <c r="K408" s="89"/>
      <c r="L408" s="249"/>
      <c r="M408" s="1026"/>
      <c r="N408" s="250"/>
      <c r="O408" s="251"/>
      <c r="P408" s="252"/>
      <c r="Q408" s="46"/>
    </row>
    <row r="409" spans="1:17">
      <c r="A409" s="98"/>
      <c r="B409" s="442"/>
      <c r="C409" s="540"/>
      <c r="D409" s="166"/>
      <c r="E409" s="166"/>
      <c r="F409" s="87"/>
      <c r="G409" s="87"/>
      <c r="H409" s="521"/>
      <c r="I409" s="562"/>
      <c r="J409" s="89"/>
      <c r="K409" s="89"/>
      <c r="L409" s="249"/>
      <c r="M409" s="1026"/>
      <c r="N409" s="250"/>
      <c r="O409" s="251"/>
      <c r="P409" s="252"/>
      <c r="Q409" s="46"/>
    </row>
    <row r="410" spans="1:17">
      <c r="A410" s="98"/>
      <c r="B410" s="442"/>
      <c r="C410" s="540"/>
      <c r="D410" s="166"/>
      <c r="E410" s="166"/>
      <c r="F410" s="87"/>
      <c r="G410" s="87"/>
      <c r="H410" s="521"/>
      <c r="I410" s="562"/>
      <c r="J410" s="89"/>
      <c r="K410" s="89"/>
      <c r="L410" s="249"/>
      <c r="M410" s="1026"/>
      <c r="N410" s="250"/>
      <c r="O410" s="251"/>
      <c r="P410" s="252"/>
      <c r="Q410" s="46"/>
    </row>
    <row r="411" spans="1:17">
      <c r="A411" s="98"/>
      <c r="B411" s="442"/>
      <c r="C411" s="540"/>
      <c r="D411" s="166"/>
      <c r="E411" s="166"/>
      <c r="F411" s="87"/>
      <c r="G411" s="87"/>
      <c r="H411" s="521"/>
      <c r="I411" s="562"/>
      <c r="J411" s="89"/>
      <c r="K411" s="89"/>
      <c r="L411" s="249"/>
      <c r="M411" s="1026"/>
      <c r="N411" s="250"/>
      <c r="O411" s="251"/>
      <c r="P411" s="252"/>
      <c r="Q411" s="46"/>
    </row>
    <row r="412" spans="1:17">
      <c r="A412" s="98"/>
      <c r="B412" s="442"/>
      <c r="C412" s="540"/>
      <c r="D412" s="166"/>
      <c r="E412" s="166"/>
      <c r="F412" s="87"/>
      <c r="G412" s="87"/>
      <c r="H412" s="521"/>
      <c r="I412" s="562"/>
      <c r="J412" s="89"/>
      <c r="K412" s="89"/>
      <c r="L412" s="249"/>
      <c r="M412" s="1026"/>
      <c r="N412" s="250"/>
      <c r="O412" s="251"/>
      <c r="P412" s="252"/>
      <c r="Q412" s="46"/>
    </row>
    <row r="413" spans="1:17">
      <c r="A413" s="98"/>
      <c r="B413" s="442"/>
      <c r="C413" s="540"/>
      <c r="D413" s="166"/>
      <c r="E413" s="166"/>
      <c r="F413" s="87"/>
      <c r="G413" s="87"/>
      <c r="H413" s="521"/>
      <c r="I413" s="562"/>
      <c r="J413" s="89"/>
      <c r="K413" s="89"/>
      <c r="L413" s="249"/>
      <c r="M413" s="1026"/>
      <c r="N413" s="250"/>
      <c r="O413" s="251"/>
      <c r="P413" s="252"/>
      <c r="Q413" s="46"/>
    </row>
    <row r="414" spans="1:17">
      <c r="A414" s="98"/>
      <c r="B414" s="442"/>
      <c r="C414" s="540"/>
      <c r="D414" s="166"/>
      <c r="E414" s="166"/>
      <c r="F414" s="87"/>
      <c r="G414" s="87"/>
      <c r="H414" s="521"/>
      <c r="I414" s="562"/>
      <c r="J414" s="89"/>
      <c r="K414" s="89"/>
      <c r="L414" s="249"/>
      <c r="M414" s="1026"/>
      <c r="N414" s="250"/>
      <c r="O414" s="251"/>
      <c r="P414" s="252"/>
      <c r="Q414" s="46"/>
    </row>
    <row r="415" spans="1:17">
      <c r="A415" s="98"/>
      <c r="B415" s="442"/>
      <c r="C415" s="540"/>
      <c r="D415" s="166"/>
      <c r="E415" s="166"/>
      <c r="F415" s="87"/>
      <c r="G415" s="87"/>
      <c r="H415" s="521"/>
      <c r="I415" s="562"/>
      <c r="J415" s="89"/>
      <c r="K415" s="89"/>
      <c r="L415" s="249"/>
      <c r="M415" s="1026"/>
      <c r="N415" s="250"/>
      <c r="O415" s="251"/>
      <c r="P415" s="252"/>
      <c r="Q415" s="46"/>
    </row>
    <row r="416" spans="1:17">
      <c r="A416" s="98"/>
      <c r="B416" s="442"/>
      <c r="C416" s="540"/>
      <c r="D416" s="166"/>
      <c r="E416" s="166"/>
      <c r="F416" s="87"/>
      <c r="G416" s="87"/>
      <c r="H416" s="521"/>
      <c r="I416" s="562"/>
      <c r="J416" s="89"/>
      <c r="K416" s="89"/>
      <c r="L416" s="249"/>
      <c r="M416" s="1026"/>
      <c r="N416" s="250"/>
      <c r="O416" s="251"/>
      <c r="P416" s="252"/>
      <c r="Q416" s="46"/>
    </row>
    <row r="417" spans="1:17">
      <c r="A417" s="98"/>
      <c r="B417" s="442"/>
      <c r="C417" s="540"/>
      <c r="D417" s="166"/>
      <c r="E417" s="166"/>
      <c r="F417" s="87"/>
      <c r="G417" s="87"/>
      <c r="H417" s="521"/>
      <c r="I417" s="562"/>
      <c r="J417" s="89"/>
      <c r="K417" s="89"/>
      <c r="L417" s="249"/>
      <c r="M417" s="1026"/>
      <c r="N417" s="250"/>
      <c r="O417" s="251"/>
      <c r="P417" s="252"/>
      <c r="Q417" s="46"/>
    </row>
    <row r="418" spans="1:17">
      <c r="A418" s="98"/>
      <c r="B418" s="442"/>
      <c r="C418" s="540"/>
      <c r="D418" s="166"/>
      <c r="E418" s="166"/>
      <c r="F418" s="87"/>
      <c r="G418" s="87"/>
      <c r="H418" s="521"/>
      <c r="I418" s="562"/>
      <c r="J418" s="89"/>
      <c r="K418" s="89"/>
      <c r="L418" s="249"/>
      <c r="M418" s="1026"/>
      <c r="N418" s="250"/>
      <c r="O418" s="251"/>
      <c r="P418" s="252"/>
      <c r="Q418" s="46"/>
    </row>
    <row r="419" spans="1:17">
      <c r="A419" s="98"/>
      <c r="B419" s="442"/>
      <c r="C419" s="540"/>
      <c r="D419" s="166"/>
      <c r="E419" s="166"/>
      <c r="F419" s="87"/>
      <c r="G419" s="87"/>
      <c r="H419" s="521"/>
      <c r="I419" s="562"/>
      <c r="J419" s="89"/>
      <c r="K419" s="89"/>
      <c r="L419" s="249"/>
      <c r="M419" s="1026"/>
      <c r="N419" s="250"/>
      <c r="O419" s="251"/>
      <c r="P419" s="252"/>
      <c r="Q419" s="46"/>
    </row>
    <row r="420" spans="1:17">
      <c r="A420" s="98"/>
      <c r="B420" s="442"/>
      <c r="C420" s="540"/>
      <c r="D420" s="166"/>
      <c r="E420" s="166"/>
      <c r="F420" s="87"/>
      <c r="G420" s="87"/>
      <c r="H420" s="521"/>
      <c r="I420" s="562"/>
      <c r="J420" s="89"/>
      <c r="K420" s="89"/>
      <c r="L420" s="249"/>
      <c r="M420" s="1026"/>
      <c r="N420" s="250"/>
      <c r="O420" s="251"/>
      <c r="P420" s="252"/>
      <c r="Q420" s="46"/>
    </row>
    <row r="421" spans="1:17">
      <c r="A421" s="98"/>
      <c r="B421" s="442"/>
      <c r="C421" s="540"/>
      <c r="D421" s="166"/>
      <c r="E421" s="166"/>
      <c r="F421" s="87"/>
      <c r="G421" s="87"/>
      <c r="H421" s="521"/>
      <c r="I421" s="562"/>
      <c r="J421" s="89"/>
      <c r="K421" s="89"/>
      <c r="L421" s="249"/>
      <c r="M421" s="1026"/>
      <c r="N421" s="250"/>
      <c r="O421" s="251"/>
      <c r="P421" s="252"/>
      <c r="Q421" s="46"/>
    </row>
    <row r="422" spans="1:17">
      <c r="A422" s="98"/>
      <c r="B422" s="442"/>
      <c r="C422" s="540"/>
      <c r="D422" s="166"/>
      <c r="E422" s="166"/>
      <c r="F422" s="87"/>
      <c r="G422" s="87"/>
      <c r="H422" s="521"/>
      <c r="I422" s="562"/>
      <c r="J422" s="89"/>
      <c r="K422" s="89"/>
      <c r="L422" s="249"/>
      <c r="M422" s="1026"/>
      <c r="N422" s="250"/>
      <c r="O422" s="251"/>
      <c r="P422" s="252"/>
      <c r="Q422" s="46"/>
    </row>
    <row r="423" spans="1:17">
      <c r="A423" s="98"/>
      <c r="B423" s="442"/>
      <c r="C423" s="540"/>
      <c r="D423" s="166"/>
      <c r="E423" s="166"/>
      <c r="F423" s="87"/>
      <c r="G423" s="87"/>
      <c r="H423" s="521"/>
      <c r="I423" s="562"/>
      <c r="J423" s="89"/>
      <c r="K423" s="89"/>
      <c r="L423" s="249"/>
      <c r="M423" s="1026"/>
      <c r="N423" s="250"/>
      <c r="O423" s="251"/>
      <c r="P423" s="252"/>
      <c r="Q423" s="46"/>
    </row>
    <row r="424" spans="1:17">
      <c r="A424" s="98"/>
      <c r="B424" s="442"/>
      <c r="C424" s="540"/>
      <c r="D424" s="166"/>
      <c r="E424" s="166"/>
      <c r="F424" s="87"/>
      <c r="G424" s="87"/>
      <c r="H424" s="521"/>
      <c r="I424" s="562"/>
      <c r="J424" s="89"/>
      <c r="K424" s="89"/>
      <c r="L424" s="249"/>
      <c r="M424" s="1026"/>
      <c r="N424" s="250"/>
      <c r="O424" s="251"/>
      <c r="P424" s="252"/>
      <c r="Q424" s="46"/>
    </row>
    <row r="425" spans="1:17">
      <c r="A425" s="98"/>
      <c r="B425" s="442"/>
      <c r="C425" s="540"/>
      <c r="D425" s="166"/>
      <c r="E425" s="166"/>
      <c r="F425" s="87"/>
      <c r="G425" s="87"/>
      <c r="H425" s="521"/>
      <c r="I425" s="562"/>
      <c r="J425" s="89"/>
      <c r="K425" s="89"/>
      <c r="L425" s="249"/>
      <c r="M425" s="1026"/>
      <c r="N425" s="250"/>
      <c r="O425" s="251"/>
      <c r="P425" s="252"/>
      <c r="Q425" s="46"/>
    </row>
    <row r="426" spans="1:17">
      <c r="A426" s="98"/>
      <c r="B426" s="442"/>
      <c r="C426" s="540"/>
      <c r="D426" s="166"/>
      <c r="E426" s="166"/>
      <c r="F426" s="87"/>
      <c r="G426" s="87"/>
      <c r="H426" s="521"/>
      <c r="I426" s="562"/>
      <c r="J426" s="89"/>
      <c r="K426" s="89"/>
      <c r="L426" s="249"/>
      <c r="M426" s="1026"/>
      <c r="N426" s="250"/>
      <c r="O426" s="251"/>
      <c r="P426" s="252"/>
      <c r="Q426" s="46"/>
    </row>
    <row r="427" spans="1:17">
      <c r="A427" s="98"/>
      <c r="B427" s="442"/>
      <c r="C427" s="540"/>
      <c r="D427" s="166"/>
      <c r="E427" s="166"/>
      <c r="F427" s="87"/>
      <c r="G427" s="87"/>
      <c r="H427" s="521"/>
      <c r="I427" s="562"/>
      <c r="J427" s="89"/>
      <c r="K427" s="89"/>
      <c r="L427" s="249"/>
      <c r="M427" s="1026"/>
      <c r="N427" s="250"/>
      <c r="O427" s="251"/>
      <c r="P427" s="252"/>
      <c r="Q427" s="46"/>
    </row>
    <row r="428" spans="1:17">
      <c r="A428" s="98"/>
      <c r="B428" s="442"/>
      <c r="C428" s="540"/>
      <c r="D428" s="166"/>
      <c r="E428" s="166"/>
      <c r="F428" s="87"/>
      <c r="G428" s="87"/>
      <c r="H428" s="521"/>
      <c r="I428" s="562"/>
      <c r="J428" s="89"/>
      <c r="K428" s="89"/>
      <c r="L428" s="249"/>
      <c r="M428" s="1026"/>
      <c r="N428" s="250"/>
      <c r="O428" s="251"/>
      <c r="P428" s="252"/>
      <c r="Q428" s="46"/>
    </row>
    <row r="429" spans="1:17">
      <c r="A429" s="98"/>
      <c r="B429" s="442"/>
      <c r="C429" s="540"/>
      <c r="D429" s="166"/>
      <c r="E429" s="166"/>
      <c r="F429" s="87"/>
      <c r="G429" s="87"/>
      <c r="H429" s="521"/>
      <c r="I429" s="562"/>
      <c r="J429" s="89"/>
      <c r="K429" s="89"/>
      <c r="L429" s="249"/>
      <c r="M429" s="1026"/>
      <c r="N429" s="250"/>
      <c r="O429" s="251"/>
      <c r="P429" s="252"/>
      <c r="Q429" s="46"/>
    </row>
    <row r="430" spans="1:17">
      <c r="A430" s="98"/>
      <c r="B430" s="442"/>
      <c r="C430" s="540"/>
      <c r="D430" s="166"/>
      <c r="E430" s="166"/>
      <c r="F430" s="87"/>
      <c r="G430" s="87"/>
      <c r="H430" s="521"/>
      <c r="I430" s="562"/>
      <c r="J430" s="89"/>
      <c r="K430" s="89"/>
      <c r="L430" s="249"/>
      <c r="M430" s="1026"/>
      <c r="N430" s="250"/>
      <c r="O430" s="251"/>
      <c r="P430" s="252"/>
      <c r="Q430" s="46"/>
    </row>
    <row r="431" spans="1:17">
      <c r="A431" s="98"/>
      <c r="B431" s="442"/>
      <c r="C431" s="540"/>
      <c r="D431" s="166"/>
      <c r="E431" s="166"/>
      <c r="F431" s="87"/>
      <c r="G431" s="87"/>
      <c r="H431" s="521"/>
      <c r="I431" s="562"/>
      <c r="J431" s="89"/>
      <c r="K431" s="89"/>
      <c r="L431" s="249"/>
      <c r="M431" s="1026"/>
      <c r="N431" s="250"/>
      <c r="O431" s="251"/>
      <c r="P431" s="252"/>
      <c r="Q431" s="46"/>
    </row>
    <row r="432" spans="1:17">
      <c r="A432" s="98"/>
      <c r="B432" s="442"/>
      <c r="C432" s="540"/>
      <c r="D432" s="166"/>
      <c r="E432" s="166"/>
      <c r="F432" s="87"/>
      <c r="G432" s="87"/>
      <c r="H432" s="521"/>
      <c r="I432" s="562"/>
      <c r="J432" s="89"/>
      <c r="K432" s="89"/>
      <c r="L432" s="249"/>
      <c r="M432" s="1026"/>
      <c r="N432" s="250"/>
      <c r="O432" s="251"/>
      <c r="P432" s="252"/>
      <c r="Q432" s="46"/>
    </row>
    <row r="433" spans="1:17">
      <c r="A433" s="98"/>
      <c r="B433" s="442"/>
      <c r="C433" s="540"/>
      <c r="D433" s="166"/>
      <c r="E433" s="166"/>
      <c r="F433" s="87"/>
      <c r="G433" s="87"/>
      <c r="H433" s="521"/>
      <c r="I433" s="562"/>
      <c r="J433" s="89"/>
      <c r="K433" s="89"/>
      <c r="L433" s="249"/>
      <c r="M433" s="1026"/>
      <c r="N433" s="250"/>
      <c r="O433" s="251"/>
      <c r="P433" s="252"/>
      <c r="Q433" s="46"/>
    </row>
    <row r="434" spans="1:17">
      <c r="A434" s="98"/>
      <c r="B434" s="442"/>
      <c r="C434" s="540"/>
      <c r="D434" s="166"/>
      <c r="E434" s="166"/>
      <c r="F434" s="87"/>
      <c r="G434" s="87"/>
      <c r="H434" s="521"/>
      <c r="I434" s="562"/>
      <c r="J434" s="89"/>
      <c r="K434" s="89"/>
      <c r="L434" s="249"/>
      <c r="M434" s="1026"/>
      <c r="N434" s="250"/>
      <c r="O434" s="251"/>
      <c r="P434" s="252"/>
      <c r="Q434" s="46"/>
    </row>
    <row r="435" spans="1:17">
      <c r="A435" s="98"/>
      <c r="B435" s="442"/>
      <c r="C435" s="540"/>
      <c r="D435" s="166"/>
      <c r="E435" s="166"/>
      <c r="F435" s="87"/>
      <c r="G435" s="87"/>
      <c r="H435" s="521"/>
      <c r="I435" s="562"/>
      <c r="J435" s="89"/>
      <c r="K435" s="89"/>
      <c r="L435" s="249"/>
      <c r="M435" s="1026"/>
      <c r="N435" s="250"/>
      <c r="O435" s="251"/>
      <c r="P435" s="252"/>
      <c r="Q435" s="46"/>
    </row>
    <row r="436" spans="1:17">
      <c r="A436" s="98"/>
      <c r="B436" s="442"/>
      <c r="C436" s="540"/>
      <c r="D436" s="166"/>
      <c r="E436" s="166"/>
      <c r="F436" s="87"/>
      <c r="G436" s="87"/>
      <c r="H436" s="521"/>
      <c r="I436" s="562"/>
      <c r="J436" s="89"/>
      <c r="K436" s="89"/>
      <c r="L436" s="249"/>
      <c r="M436" s="1026"/>
      <c r="N436" s="250"/>
      <c r="O436" s="251"/>
      <c r="P436" s="252"/>
      <c r="Q436" s="46"/>
    </row>
    <row r="437" spans="1:17">
      <c r="A437" s="98"/>
      <c r="B437" s="442"/>
      <c r="C437" s="540"/>
      <c r="D437" s="166"/>
      <c r="E437" s="166"/>
      <c r="F437" s="87"/>
      <c r="G437" s="87"/>
      <c r="H437" s="521"/>
      <c r="I437" s="562"/>
      <c r="J437" s="89"/>
      <c r="K437" s="89"/>
      <c r="L437" s="249"/>
      <c r="M437" s="1026"/>
      <c r="N437" s="250"/>
      <c r="O437" s="251"/>
      <c r="P437" s="252"/>
      <c r="Q437" s="46"/>
    </row>
    <row r="438" spans="1:17">
      <c r="A438" s="98"/>
      <c r="B438" s="442"/>
      <c r="C438" s="540"/>
      <c r="D438" s="166"/>
      <c r="E438" s="166"/>
      <c r="F438" s="87"/>
      <c r="G438" s="87"/>
      <c r="H438" s="521"/>
      <c r="I438" s="562"/>
      <c r="J438" s="89"/>
      <c r="K438" s="89"/>
      <c r="L438" s="249"/>
      <c r="M438" s="1026"/>
      <c r="N438" s="250"/>
      <c r="O438" s="251"/>
      <c r="P438" s="252"/>
      <c r="Q438" s="46"/>
    </row>
    <row r="439" spans="1:17">
      <c r="A439" s="98"/>
      <c r="B439" s="442"/>
      <c r="C439" s="540"/>
      <c r="D439" s="166"/>
      <c r="E439" s="166"/>
      <c r="F439" s="87"/>
      <c r="G439" s="87"/>
      <c r="H439" s="521"/>
      <c r="I439" s="562"/>
      <c r="J439" s="89"/>
      <c r="K439" s="89"/>
      <c r="L439" s="249"/>
      <c r="M439" s="1026"/>
      <c r="N439" s="250"/>
      <c r="O439" s="251"/>
      <c r="P439" s="252"/>
      <c r="Q439" s="46"/>
    </row>
    <row r="440" spans="1:17">
      <c r="A440" s="98"/>
      <c r="B440" s="442"/>
      <c r="C440" s="540"/>
      <c r="D440" s="166"/>
      <c r="E440" s="166"/>
      <c r="F440" s="87"/>
      <c r="G440" s="87"/>
      <c r="H440" s="521"/>
      <c r="I440" s="562"/>
      <c r="J440" s="89"/>
      <c r="K440" s="89"/>
      <c r="L440" s="249"/>
      <c r="M440" s="1026"/>
      <c r="N440" s="250"/>
      <c r="O440" s="251"/>
      <c r="P440" s="252"/>
      <c r="Q440" s="46"/>
    </row>
    <row r="441" spans="1:17">
      <c r="A441" s="98"/>
      <c r="B441" s="442"/>
      <c r="C441" s="540"/>
      <c r="D441" s="166"/>
      <c r="E441" s="166"/>
      <c r="F441" s="87"/>
      <c r="G441" s="87"/>
      <c r="H441" s="521"/>
      <c r="I441" s="562"/>
      <c r="J441" s="89"/>
      <c r="K441" s="89"/>
      <c r="L441" s="249"/>
      <c r="M441" s="1026"/>
      <c r="N441" s="250"/>
      <c r="O441" s="251"/>
      <c r="P441" s="252"/>
      <c r="Q441" s="46"/>
    </row>
    <row r="442" spans="1:17">
      <c r="A442" s="98"/>
      <c r="B442" s="442"/>
      <c r="C442" s="540"/>
      <c r="D442" s="166"/>
      <c r="E442" s="166"/>
      <c r="F442" s="87"/>
      <c r="G442" s="87"/>
      <c r="H442" s="521"/>
      <c r="I442" s="562"/>
      <c r="J442" s="89"/>
      <c r="K442" s="89"/>
      <c r="L442" s="249"/>
      <c r="M442" s="1026"/>
      <c r="N442" s="250"/>
      <c r="O442" s="251"/>
      <c r="P442" s="252"/>
      <c r="Q442" s="46"/>
    </row>
    <row r="443" spans="1:17">
      <c r="A443" s="98"/>
      <c r="B443" s="442"/>
      <c r="C443" s="540"/>
      <c r="D443" s="166"/>
      <c r="E443" s="166"/>
      <c r="F443" s="87"/>
      <c r="G443" s="87"/>
      <c r="H443" s="521"/>
      <c r="I443" s="562"/>
      <c r="J443" s="89"/>
      <c r="K443" s="89"/>
      <c r="L443" s="249"/>
      <c r="M443" s="1026"/>
      <c r="N443" s="250"/>
      <c r="O443" s="251"/>
      <c r="P443" s="252"/>
      <c r="Q443" s="46"/>
    </row>
    <row r="444" spans="1:17">
      <c r="A444" s="98"/>
      <c r="B444" s="442"/>
      <c r="C444" s="540"/>
      <c r="D444" s="166"/>
      <c r="E444" s="166"/>
      <c r="F444" s="87"/>
      <c r="G444" s="87"/>
      <c r="H444" s="521"/>
      <c r="I444" s="562"/>
      <c r="J444" s="89"/>
      <c r="K444" s="89"/>
      <c r="L444" s="249"/>
      <c r="M444" s="1026"/>
      <c r="N444" s="250"/>
      <c r="O444" s="251"/>
      <c r="P444" s="252"/>
      <c r="Q444" s="46"/>
    </row>
    <row r="445" spans="1:17">
      <c r="A445" s="98"/>
      <c r="B445" s="442"/>
      <c r="C445" s="540"/>
      <c r="D445" s="166"/>
      <c r="E445" s="166"/>
      <c r="F445" s="87"/>
      <c r="G445" s="87"/>
      <c r="H445" s="521"/>
      <c r="I445" s="562"/>
      <c r="J445" s="89"/>
      <c r="K445" s="89"/>
      <c r="L445" s="249"/>
      <c r="M445" s="1026"/>
      <c r="N445" s="250"/>
      <c r="O445" s="251"/>
      <c r="P445" s="252"/>
      <c r="Q445" s="46"/>
    </row>
    <row r="446" spans="1:17">
      <c r="A446" s="98"/>
      <c r="B446" s="442"/>
      <c r="C446" s="540"/>
      <c r="D446" s="166"/>
      <c r="E446" s="166"/>
      <c r="F446" s="87"/>
      <c r="G446" s="87"/>
      <c r="H446" s="521"/>
      <c r="I446" s="562"/>
      <c r="J446" s="89"/>
      <c r="K446" s="89"/>
      <c r="L446" s="249"/>
      <c r="M446" s="1026"/>
      <c r="N446" s="250"/>
      <c r="O446" s="251"/>
      <c r="P446" s="252"/>
      <c r="Q446" s="46"/>
    </row>
    <row r="447" spans="1:17">
      <c r="A447" s="98"/>
      <c r="B447" s="442"/>
      <c r="C447" s="540"/>
      <c r="D447" s="166"/>
      <c r="E447" s="166"/>
      <c r="F447" s="87"/>
      <c r="G447" s="87"/>
      <c r="H447" s="521"/>
      <c r="I447" s="562"/>
      <c r="J447" s="89"/>
      <c r="K447" s="89"/>
      <c r="L447" s="249"/>
      <c r="M447" s="1026"/>
      <c r="N447" s="250"/>
      <c r="O447" s="251"/>
      <c r="P447" s="252"/>
      <c r="Q447" s="46"/>
    </row>
    <row r="448" spans="1:17">
      <c r="A448" s="98"/>
      <c r="B448" s="442"/>
      <c r="C448" s="540"/>
      <c r="D448" s="166"/>
      <c r="E448" s="166"/>
      <c r="F448" s="87"/>
      <c r="G448" s="87"/>
      <c r="H448" s="521"/>
      <c r="I448" s="562"/>
      <c r="J448" s="89"/>
      <c r="K448" s="89"/>
      <c r="L448" s="249"/>
      <c r="M448" s="1026"/>
      <c r="N448" s="250"/>
      <c r="O448" s="251"/>
      <c r="P448" s="252"/>
      <c r="Q448" s="46"/>
    </row>
    <row r="449" spans="1:17">
      <c r="A449" s="98"/>
      <c r="B449" s="442"/>
      <c r="C449" s="540"/>
      <c r="D449" s="166"/>
      <c r="E449" s="166"/>
      <c r="F449" s="87"/>
      <c r="G449" s="87"/>
      <c r="H449" s="521"/>
      <c r="I449" s="562"/>
      <c r="J449" s="89"/>
      <c r="K449" s="89"/>
      <c r="L449" s="249"/>
      <c r="M449" s="1026"/>
      <c r="N449" s="250"/>
      <c r="O449" s="251"/>
      <c r="P449" s="252"/>
      <c r="Q449" s="46"/>
    </row>
    <row r="450" spans="1:17">
      <c r="A450" s="98"/>
      <c r="B450" s="442"/>
      <c r="C450" s="540"/>
      <c r="D450" s="166"/>
      <c r="E450" s="166"/>
      <c r="F450" s="87"/>
      <c r="G450" s="87"/>
      <c r="H450" s="521"/>
      <c r="I450" s="562"/>
      <c r="J450" s="89"/>
      <c r="K450" s="89"/>
      <c r="L450" s="249"/>
      <c r="M450" s="1026"/>
      <c r="N450" s="250"/>
      <c r="O450" s="251"/>
      <c r="P450" s="252"/>
      <c r="Q450" s="46"/>
    </row>
    <row r="451" spans="1:17">
      <c r="A451" s="98"/>
      <c r="B451" s="442"/>
      <c r="C451" s="540"/>
      <c r="D451" s="166"/>
      <c r="E451" s="166"/>
      <c r="F451" s="87"/>
      <c r="G451" s="87"/>
      <c r="H451" s="521"/>
      <c r="I451" s="562"/>
      <c r="J451" s="89"/>
      <c r="K451" s="89"/>
      <c r="L451" s="249"/>
      <c r="M451" s="1026"/>
      <c r="N451" s="250"/>
      <c r="O451" s="251"/>
      <c r="P451" s="252"/>
      <c r="Q451" s="46"/>
    </row>
    <row r="452" spans="1:17">
      <c r="A452" s="98"/>
      <c r="B452" s="442"/>
      <c r="C452" s="540"/>
      <c r="D452" s="166"/>
      <c r="E452" s="166"/>
      <c r="F452" s="87"/>
      <c r="G452" s="87"/>
      <c r="H452" s="521"/>
      <c r="I452" s="562"/>
      <c r="J452" s="89"/>
      <c r="K452" s="89"/>
      <c r="L452" s="249"/>
      <c r="M452" s="1026"/>
      <c r="N452" s="250"/>
      <c r="O452" s="251"/>
      <c r="P452" s="252"/>
      <c r="Q452" s="46"/>
    </row>
    <row r="453" spans="1:17">
      <c r="A453" s="98"/>
      <c r="B453" s="442"/>
      <c r="C453" s="540"/>
      <c r="D453" s="166"/>
      <c r="E453" s="166"/>
      <c r="F453" s="87"/>
      <c r="G453" s="87"/>
      <c r="H453" s="521"/>
      <c r="I453" s="562"/>
      <c r="J453" s="89"/>
      <c r="K453" s="89"/>
      <c r="L453" s="249"/>
      <c r="M453" s="1026"/>
      <c r="N453" s="250"/>
      <c r="O453" s="251"/>
      <c r="P453" s="252"/>
      <c r="Q453" s="46"/>
    </row>
    <row r="454" spans="1:17">
      <c r="A454" s="98"/>
      <c r="B454" s="442"/>
      <c r="C454" s="540"/>
      <c r="D454" s="166"/>
      <c r="E454" s="166"/>
      <c r="F454" s="87"/>
      <c r="G454" s="87"/>
      <c r="H454" s="521"/>
      <c r="I454" s="562"/>
      <c r="J454" s="89"/>
      <c r="K454" s="89"/>
      <c r="L454" s="249"/>
      <c r="M454" s="1026"/>
      <c r="N454" s="250"/>
      <c r="O454" s="251"/>
      <c r="P454" s="252"/>
      <c r="Q454" s="46"/>
    </row>
    <row r="455" spans="1:17">
      <c r="A455" s="98"/>
      <c r="B455" s="442"/>
      <c r="C455" s="540"/>
      <c r="D455" s="166"/>
      <c r="E455" s="166"/>
      <c r="F455" s="87"/>
      <c r="G455" s="87"/>
      <c r="H455" s="521"/>
      <c r="I455" s="562"/>
      <c r="J455" s="89"/>
      <c r="K455" s="89"/>
      <c r="L455" s="249"/>
      <c r="M455" s="1026"/>
      <c r="N455" s="250"/>
      <c r="O455" s="251"/>
      <c r="P455" s="252"/>
      <c r="Q455" s="46"/>
    </row>
    <row r="456" spans="1:17">
      <c r="A456" s="98"/>
      <c r="B456" s="442"/>
      <c r="C456" s="540"/>
      <c r="D456" s="166"/>
      <c r="E456" s="166"/>
      <c r="F456" s="87"/>
      <c r="G456" s="87"/>
      <c r="H456" s="521"/>
      <c r="I456" s="562"/>
      <c r="J456" s="89"/>
      <c r="K456" s="89"/>
      <c r="L456" s="249"/>
      <c r="M456" s="1026"/>
      <c r="N456" s="250"/>
      <c r="O456" s="251"/>
      <c r="P456" s="252"/>
      <c r="Q456" s="46"/>
    </row>
    <row r="457" spans="1:17">
      <c r="A457" s="98"/>
      <c r="B457" s="442"/>
      <c r="C457" s="540"/>
      <c r="D457" s="166"/>
      <c r="E457" s="166"/>
      <c r="F457" s="87"/>
      <c r="G457" s="87"/>
      <c r="H457" s="521"/>
      <c r="I457" s="562"/>
      <c r="J457" s="89"/>
      <c r="K457" s="89"/>
      <c r="L457" s="249"/>
      <c r="M457" s="1026"/>
      <c r="N457" s="250"/>
      <c r="O457" s="251"/>
      <c r="P457" s="252"/>
      <c r="Q457" s="46"/>
    </row>
    <row r="458" spans="1:17">
      <c r="A458" s="98"/>
      <c r="B458" s="442"/>
      <c r="C458" s="540"/>
      <c r="D458" s="166"/>
      <c r="E458" s="166"/>
      <c r="F458" s="87"/>
      <c r="G458" s="87"/>
      <c r="H458" s="521"/>
      <c r="I458" s="562"/>
      <c r="J458" s="89"/>
      <c r="K458" s="89"/>
      <c r="L458" s="249"/>
      <c r="M458" s="1026"/>
      <c r="N458" s="250"/>
      <c r="O458" s="251"/>
      <c r="P458" s="252"/>
      <c r="Q458" s="46"/>
    </row>
    <row r="459" spans="1:17">
      <c r="A459" s="98"/>
      <c r="B459" s="442"/>
      <c r="C459" s="540"/>
      <c r="D459" s="166"/>
      <c r="E459" s="166"/>
      <c r="F459" s="87"/>
      <c r="G459" s="87"/>
      <c r="H459" s="521"/>
      <c r="I459" s="562"/>
      <c r="J459" s="89"/>
      <c r="K459" s="89"/>
      <c r="L459" s="249"/>
      <c r="M459" s="1026"/>
      <c r="N459" s="250"/>
      <c r="O459" s="251"/>
      <c r="P459" s="252"/>
      <c r="Q459" s="46"/>
    </row>
    <row r="460" spans="1:17">
      <c r="A460" s="98"/>
      <c r="B460" s="442"/>
      <c r="C460" s="540"/>
      <c r="D460" s="166"/>
      <c r="E460" s="166"/>
      <c r="F460" s="87"/>
      <c r="G460" s="87"/>
      <c r="H460" s="521"/>
      <c r="I460" s="562"/>
      <c r="J460" s="89"/>
      <c r="K460" s="89"/>
      <c r="L460" s="249"/>
      <c r="M460" s="1026"/>
      <c r="N460" s="250"/>
      <c r="O460" s="251"/>
      <c r="P460" s="252"/>
      <c r="Q460" s="46"/>
    </row>
    <row r="461" spans="1:17">
      <c r="A461" s="98"/>
      <c r="B461" s="442"/>
      <c r="C461" s="540"/>
      <c r="D461" s="166"/>
      <c r="E461" s="166"/>
      <c r="F461" s="87"/>
      <c r="G461" s="87"/>
      <c r="H461" s="521"/>
      <c r="I461" s="562"/>
      <c r="J461" s="89"/>
      <c r="K461" s="89"/>
      <c r="L461" s="249"/>
      <c r="M461" s="1026"/>
      <c r="N461" s="250"/>
      <c r="O461" s="251"/>
      <c r="P461" s="252"/>
      <c r="Q461" s="46"/>
    </row>
    <row r="462" spans="1:17">
      <c r="A462" s="98"/>
      <c r="B462" s="442"/>
      <c r="C462" s="540"/>
      <c r="D462" s="166"/>
      <c r="E462" s="166"/>
      <c r="F462" s="87"/>
      <c r="G462" s="87"/>
      <c r="H462" s="521"/>
      <c r="I462" s="562"/>
      <c r="J462" s="89"/>
      <c r="K462" s="89"/>
      <c r="L462" s="249"/>
      <c r="M462" s="1026"/>
      <c r="N462" s="250"/>
      <c r="O462" s="251"/>
      <c r="P462" s="252"/>
      <c r="Q462" s="46"/>
    </row>
    <row r="463" spans="1:17">
      <c r="A463" s="98"/>
      <c r="B463" s="442"/>
      <c r="C463" s="540"/>
      <c r="D463" s="166"/>
      <c r="E463" s="166"/>
      <c r="F463" s="87"/>
      <c r="G463" s="87"/>
      <c r="H463" s="521"/>
      <c r="I463" s="562"/>
      <c r="J463" s="89"/>
      <c r="K463" s="89"/>
      <c r="L463" s="249"/>
      <c r="M463" s="1026"/>
      <c r="N463" s="250"/>
      <c r="O463" s="251"/>
      <c r="P463" s="252"/>
      <c r="Q463" s="46"/>
    </row>
    <row r="464" spans="1:17">
      <c r="A464" s="98"/>
      <c r="B464" s="442"/>
      <c r="C464" s="540"/>
      <c r="D464" s="166"/>
      <c r="E464" s="166"/>
      <c r="F464" s="87"/>
      <c r="G464" s="87"/>
      <c r="H464" s="521"/>
      <c r="I464" s="562"/>
      <c r="J464" s="89"/>
      <c r="K464" s="89"/>
      <c r="L464" s="249"/>
      <c r="M464" s="1026"/>
      <c r="N464" s="250"/>
      <c r="O464" s="251"/>
      <c r="P464" s="252"/>
      <c r="Q464" s="46"/>
    </row>
    <row r="465" spans="1:17">
      <c r="A465" s="98"/>
      <c r="B465" s="442"/>
      <c r="C465" s="540"/>
      <c r="D465" s="166"/>
      <c r="E465" s="166"/>
      <c r="F465" s="87"/>
      <c r="G465" s="87"/>
      <c r="H465" s="521"/>
      <c r="I465" s="562"/>
      <c r="J465" s="89"/>
      <c r="K465" s="89"/>
      <c r="L465" s="249"/>
      <c r="M465" s="1026"/>
      <c r="N465" s="250"/>
      <c r="O465" s="251"/>
      <c r="P465" s="252"/>
      <c r="Q465" s="46"/>
    </row>
    <row r="466" spans="1:17">
      <c r="A466" s="98"/>
      <c r="B466" s="442"/>
      <c r="C466" s="540"/>
      <c r="D466" s="166"/>
      <c r="E466" s="166"/>
      <c r="F466" s="87"/>
      <c r="G466" s="87"/>
      <c r="H466" s="521"/>
      <c r="I466" s="562"/>
      <c r="J466" s="89"/>
      <c r="K466" s="89"/>
      <c r="L466" s="249"/>
      <c r="M466" s="1026"/>
      <c r="N466" s="250"/>
      <c r="O466" s="251"/>
      <c r="P466" s="252"/>
      <c r="Q466" s="46"/>
    </row>
    <row r="467" spans="1:17">
      <c r="A467" s="98"/>
      <c r="B467" s="442"/>
      <c r="C467" s="540"/>
      <c r="D467" s="166"/>
      <c r="E467" s="166"/>
      <c r="F467" s="87"/>
      <c r="G467" s="87"/>
      <c r="H467" s="521"/>
      <c r="I467" s="562"/>
      <c r="J467" s="89"/>
      <c r="K467" s="89"/>
      <c r="L467" s="249"/>
      <c r="M467" s="1026"/>
      <c r="N467" s="250"/>
      <c r="O467" s="251"/>
      <c r="P467" s="252"/>
      <c r="Q467" s="46"/>
    </row>
    <row r="468" spans="1:17">
      <c r="A468" s="98"/>
      <c r="B468" s="442"/>
      <c r="C468" s="540"/>
      <c r="D468" s="166"/>
      <c r="E468" s="166"/>
      <c r="F468" s="87"/>
      <c r="G468" s="87"/>
      <c r="H468" s="521"/>
      <c r="I468" s="562"/>
      <c r="J468" s="89"/>
      <c r="K468" s="89"/>
      <c r="L468" s="249"/>
      <c r="M468" s="1026"/>
      <c r="N468" s="250"/>
      <c r="O468" s="251"/>
      <c r="P468" s="252"/>
      <c r="Q468" s="46"/>
    </row>
    <row r="469" spans="1:17">
      <c r="A469" s="98"/>
      <c r="B469" s="442"/>
      <c r="C469" s="540"/>
      <c r="D469" s="166"/>
      <c r="E469" s="166"/>
      <c r="F469" s="87"/>
      <c r="G469" s="87"/>
      <c r="H469" s="521"/>
      <c r="I469" s="562"/>
      <c r="J469" s="89"/>
      <c r="K469" s="89"/>
      <c r="L469" s="249"/>
      <c r="M469" s="1026"/>
      <c r="N469" s="250"/>
      <c r="O469" s="251"/>
      <c r="P469" s="252"/>
      <c r="Q469" s="46"/>
    </row>
    <row r="470" spans="1:17">
      <c r="A470" s="98"/>
      <c r="B470" s="442"/>
      <c r="C470" s="540"/>
      <c r="D470" s="166"/>
      <c r="E470" s="166"/>
      <c r="F470" s="87"/>
      <c r="G470" s="87"/>
      <c r="H470" s="521"/>
      <c r="I470" s="562"/>
      <c r="J470" s="89"/>
      <c r="K470" s="89"/>
      <c r="L470" s="249"/>
      <c r="M470" s="1026"/>
      <c r="N470" s="250"/>
      <c r="O470" s="251"/>
      <c r="P470" s="252"/>
      <c r="Q470" s="46"/>
    </row>
    <row r="471" spans="1:17">
      <c r="A471" s="98"/>
      <c r="B471" s="442"/>
      <c r="C471" s="540"/>
      <c r="D471" s="166"/>
      <c r="E471" s="166"/>
      <c r="F471" s="87"/>
      <c r="G471" s="87"/>
      <c r="H471" s="521"/>
      <c r="I471" s="562"/>
      <c r="J471" s="89"/>
      <c r="K471" s="89"/>
      <c r="L471" s="249"/>
      <c r="M471" s="1026"/>
      <c r="N471" s="250"/>
      <c r="O471" s="251"/>
      <c r="P471" s="252"/>
      <c r="Q471" s="46"/>
    </row>
    <row r="472" spans="1:17">
      <c r="A472" s="98"/>
      <c r="B472" s="442"/>
      <c r="C472" s="540"/>
      <c r="D472" s="166"/>
      <c r="E472" s="166"/>
      <c r="F472" s="87"/>
      <c r="G472" s="87"/>
      <c r="H472" s="521"/>
      <c r="I472" s="562"/>
      <c r="J472" s="89"/>
      <c r="K472" s="89"/>
      <c r="L472" s="249"/>
      <c r="M472" s="1026"/>
      <c r="N472" s="250"/>
      <c r="O472" s="251"/>
      <c r="P472" s="252"/>
      <c r="Q472" s="46"/>
    </row>
    <row r="473" spans="1:17">
      <c r="A473" s="98"/>
      <c r="B473" s="442"/>
      <c r="C473" s="540"/>
      <c r="D473" s="166"/>
      <c r="E473" s="166"/>
      <c r="F473" s="87"/>
      <c r="G473" s="87"/>
      <c r="H473" s="521"/>
      <c r="I473" s="562"/>
      <c r="J473" s="89"/>
      <c r="K473" s="89"/>
      <c r="L473" s="249"/>
      <c r="M473" s="1026"/>
      <c r="N473" s="250"/>
      <c r="O473" s="251"/>
      <c r="P473" s="252"/>
      <c r="Q473" s="46"/>
    </row>
    <row r="474" spans="1:17">
      <c r="A474" s="98"/>
      <c r="B474" s="442"/>
      <c r="C474" s="540"/>
      <c r="D474" s="166"/>
      <c r="E474" s="166"/>
      <c r="F474" s="87"/>
      <c r="G474" s="87"/>
      <c r="H474" s="521"/>
      <c r="I474" s="562"/>
      <c r="J474" s="89"/>
      <c r="K474" s="89"/>
      <c r="L474" s="249"/>
      <c r="M474" s="1026"/>
      <c r="N474" s="250"/>
      <c r="O474" s="251"/>
      <c r="P474" s="252"/>
      <c r="Q474" s="46"/>
    </row>
    <row r="475" spans="1:17">
      <c r="A475" s="98"/>
      <c r="B475" s="442"/>
      <c r="C475" s="540"/>
      <c r="D475" s="166"/>
      <c r="E475" s="166"/>
      <c r="F475" s="87"/>
      <c r="G475" s="87"/>
      <c r="H475" s="521"/>
      <c r="I475" s="562"/>
      <c r="J475" s="89"/>
      <c r="K475" s="89"/>
      <c r="L475" s="249"/>
      <c r="M475" s="1026"/>
      <c r="N475" s="250"/>
      <c r="O475" s="251"/>
      <c r="P475" s="252"/>
      <c r="Q475" s="46"/>
    </row>
    <row r="476" spans="1:17">
      <c r="A476" s="98"/>
      <c r="B476" s="442"/>
      <c r="C476" s="540"/>
      <c r="D476" s="166"/>
      <c r="E476" s="166"/>
      <c r="F476" s="87"/>
      <c r="G476" s="87"/>
      <c r="H476" s="521"/>
      <c r="I476" s="562"/>
      <c r="J476" s="89"/>
      <c r="K476" s="89"/>
      <c r="L476" s="249"/>
      <c r="M476" s="1026"/>
      <c r="N476" s="250"/>
      <c r="O476" s="251"/>
      <c r="P476" s="252"/>
      <c r="Q476" s="46"/>
    </row>
    <row r="477" spans="1:17">
      <c r="A477" s="98"/>
      <c r="B477" s="442"/>
      <c r="C477" s="540"/>
      <c r="D477" s="166"/>
      <c r="E477" s="166"/>
      <c r="F477" s="87"/>
      <c r="G477" s="87"/>
      <c r="H477" s="521"/>
      <c r="I477" s="562"/>
      <c r="J477" s="89"/>
      <c r="K477" s="89"/>
      <c r="L477" s="249"/>
      <c r="M477" s="1026"/>
      <c r="N477" s="250"/>
      <c r="O477" s="251"/>
      <c r="P477" s="252"/>
      <c r="Q477" s="46"/>
    </row>
    <row r="478" spans="1:17">
      <c r="A478" s="98"/>
      <c r="B478" s="442"/>
      <c r="C478" s="540"/>
      <c r="D478" s="166"/>
      <c r="E478" s="166"/>
      <c r="F478" s="87"/>
      <c r="G478" s="87"/>
      <c r="H478" s="521"/>
      <c r="I478" s="562"/>
      <c r="J478" s="89"/>
      <c r="K478" s="89"/>
      <c r="L478" s="249"/>
      <c r="M478" s="1026"/>
      <c r="N478" s="250"/>
      <c r="O478" s="251"/>
      <c r="P478" s="252"/>
      <c r="Q478" s="46"/>
    </row>
    <row r="479" spans="1:17">
      <c r="A479" s="98"/>
      <c r="B479" s="442"/>
      <c r="C479" s="540"/>
      <c r="D479" s="166"/>
      <c r="E479" s="166"/>
      <c r="F479" s="87"/>
      <c r="G479" s="87"/>
      <c r="H479" s="521"/>
      <c r="I479" s="562"/>
      <c r="J479" s="89"/>
      <c r="K479" s="89"/>
      <c r="L479" s="249"/>
      <c r="M479" s="1026"/>
      <c r="N479" s="250"/>
      <c r="O479" s="251"/>
      <c r="P479" s="252"/>
      <c r="Q479" s="46"/>
    </row>
    <row r="480" spans="1:17">
      <c r="A480" s="98"/>
      <c r="B480" s="442"/>
      <c r="C480" s="540"/>
      <c r="D480" s="166"/>
      <c r="E480" s="166"/>
      <c r="F480" s="87"/>
      <c r="G480" s="87"/>
      <c r="H480" s="521"/>
      <c r="I480" s="562"/>
      <c r="J480" s="89"/>
      <c r="K480" s="89"/>
      <c r="L480" s="249"/>
      <c r="M480" s="1026"/>
      <c r="N480" s="250"/>
      <c r="O480" s="251"/>
      <c r="P480" s="252"/>
      <c r="Q480" s="46"/>
    </row>
    <row r="481" spans="1:17">
      <c r="A481" s="98"/>
      <c r="B481" s="442"/>
      <c r="C481" s="540"/>
      <c r="D481" s="166"/>
      <c r="E481" s="166"/>
      <c r="F481" s="87"/>
      <c r="G481" s="87"/>
      <c r="H481" s="521"/>
      <c r="I481" s="562"/>
      <c r="J481" s="89"/>
      <c r="K481" s="89"/>
      <c r="L481" s="249"/>
      <c r="M481" s="1026"/>
      <c r="N481" s="250"/>
      <c r="O481" s="251"/>
      <c r="P481" s="252"/>
      <c r="Q481" s="46"/>
    </row>
    <row r="482" spans="1:17">
      <c r="A482" s="98"/>
      <c r="B482" s="442"/>
      <c r="C482" s="540"/>
      <c r="D482" s="166"/>
      <c r="E482" s="166"/>
      <c r="F482" s="87"/>
      <c r="G482" s="87"/>
      <c r="H482" s="521"/>
      <c r="I482" s="562"/>
      <c r="J482" s="89"/>
      <c r="K482" s="89"/>
      <c r="L482" s="249"/>
      <c r="M482" s="1026"/>
      <c r="N482" s="250"/>
      <c r="O482" s="251"/>
      <c r="P482" s="252"/>
      <c r="Q482" s="46"/>
    </row>
    <row r="483" spans="1:17">
      <c r="A483" s="98"/>
      <c r="B483" s="442"/>
      <c r="C483" s="540"/>
      <c r="D483" s="166"/>
      <c r="E483" s="166"/>
      <c r="F483" s="87"/>
      <c r="G483" s="87"/>
      <c r="H483" s="521"/>
      <c r="I483" s="562"/>
      <c r="J483" s="89"/>
      <c r="K483" s="89"/>
      <c r="L483" s="249"/>
      <c r="M483" s="1026"/>
      <c r="N483" s="250"/>
      <c r="O483" s="251"/>
      <c r="P483" s="252"/>
      <c r="Q483" s="46"/>
    </row>
    <row r="484" spans="1:17">
      <c r="A484" s="98"/>
      <c r="B484" s="442"/>
      <c r="C484" s="540"/>
      <c r="D484" s="166"/>
      <c r="E484" s="166"/>
      <c r="F484" s="87"/>
      <c r="G484" s="87"/>
      <c r="H484" s="521"/>
      <c r="I484" s="562"/>
      <c r="J484" s="89"/>
      <c r="K484" s="89"/>
      <c r="L484" s="249"/>
      <c r="M484" s="1026"/>
      <c r="N484" s="250"/>
      <c r="O484" s="251"/>
      <c r="P484" s="252"/>
      <c r="Q484" s="46"/>
    </row>
    <row r="485" spans="1:17">
      <c r="A485" s="98"/>
      <c r="B485" s="442"/>
      <c r="C485" s="540"/>
      <c r="D485" s="166"/>
      <c r="E485" s="166"/>
      <c r="F485" s="87"/>
      <c r="G485" s="87"/>
      <c r="H485" s="521"/>
      <c r="I485" s="562"/>
      <c r="J485" s="89"/>
      <c r="K485" s="89"/>
      <c r="L485" s="249"/>
      <c r="M485" s="1026"/>
      <c r="N485" s="250"/>
      <c r="O485" s="251"/>
      <c r="P485" s="252"/>
      <c r="Q485" s="46"/>
    </row>
    <row r="486" spans="1:17">
      <c r="A486" s="98"/>
      <c r="B486" s="442"/>
      <c r="C486" s="540"/>
      <c r="D486" s="166"/>
      <c r="E486" s="166"/>
      <c r="F486" s="87"/>
      <c r="G486" s="87"/>
      <c r="H486" s="521"/>
      <c r="I486" s="562"/>
      <c r="J486" s="89"/>
      <c r="K486" s="89"/>
      <c r="L486" s="249"/>
      <c r="M486" s="1026"/>
      <c r="N486" s="250"/>
      <c r="O486" s="251"/>
      <c r="P486" s="252"/>
      <c r="Q486" s="46"/>
    </row>
    <row r="487" spans="1:17">
      <c r="A487" s="98"/>
      <c r="B487" s="442"/>
      <c r="C487" s="540"/>
      <c r="D487" s="166"/>
      <c r="E487" s="166"/>
      <c r="F487" s="87"/>
      <c r="G487" s="87"/>
      <c r="H487" s="521"/>
      <c r="I487" s="562"/>
      <c r="J487" s="89"/>
      <c r="K487" s="89"/>
      <c r="L487" s="249"/>
      <c r="M487" s="1026"/>
      <c r="N487" s="250"/>
      <c r="O487" s="251"/>
      <c r="P487" s="252"/>
      <c r="Q487" s="46"/>
    </row>
    <row r="488" spans="1:17">
      <c r="A488" s="98"/>
      <c r="B488" s="442"/>
      <c r="C488" s="540"/>
      <c r="D488" s="166"/>
      <c r="E488" s="166"/>
      <c r="F488" s="87"/>
      <c r="G488" s="87"/>
      <c r="H488" s="521"/>
      <c r="I488" s="562"/>
      <c r="J488" s="89"/>
      <c r="K488" s="89"/>
      <c r="L488" s="249"/>
      <c r="M488" s="1026"/>
      <c r="N488" s="250"/>
      <c r="O488" s="251"/>
      <c r="P488" s="252"/>
      <c r="Q488" s="46"/>
    </row>
    <row r="489" spans="1:17">
      <c r="A489" s="98"/>
      <c r="B489" s="442"/>
      <c r="C489" s="540"/>
      <c r="D489" s="166"/>
      <c r="E489" s="166"/>
      <c r="F489" s="87"/>
      <c r="G489" s="87"/>
      <c r="H489" s="521"/>
      <c r="I489" s="562"/>
      <c r="J489" s="89"/>
      <c r="K489" s="89"/>
      <c r="L489" s="249"/>
      <c r="M489" s="1026"/>
      <c r="N489" s="250"/>
      <c r="O489" s="251"/>
      <c r="P489" s="252"/>
      <c r="Q489" s="46"/>
    </row>
    <row r="490" spans="1:17">
      <c r="A490" s="98"/>
      <c r="B490" s="442"/>
      <c r="C490" s="540"/>
      <c r="D490" s="166"/>
      <c r="E490" s="166"/>
      <c r="F490" s="87"/>
      <c r="G490" s="87"/>
      <c r="H490" s="521"/>
      <c r="I490" s="562"/>
      <c r="J490" s="89"/>
      <c r="K490" s="89"/>
      <c r="L490" s="249"/>
      <c r="M490" s="1026"/>
      <c r="N490" s="250"/>
      <c r="O490" s="251"/>
      <c r="P490" s="252"/>
      <c r="Q490" s="46"/>
    </row>
    <row r="491" spans="1:17">
      <c r="A491" s="98"/>
      <c r="B491" s="442"/>
      <c r="C491" s="540"/>
      <c r="D491" s="166"/>
      <c r="E491" s="166"/>
      <c r="F491" s="87"/>
      <c r="G491" s="87"/>
      <c r="H491" s="521"/>
      <c r="I491" s="562"/>
      <c r="J491" s="89"/>
      <c r="K491" s="89"/>
      <c r="L491" s="249"/>
      <c r="M491" s="1026"/>
      <c r="N491" s="250"/>
      <c r="O491" s="251"/>
      <c r="P491" s="252"/>
      <c r="Q491" s="46"/>
    </row>
    <row r="492" spans="1:17">
      <c r="A492" s="98"/>
      <c r="B492" s="442"/>
      <c r="C492" s="540"/>
      <c r="D492" s="166"/>
      <c r="E492" s="166"/>
      <c r="F492" s="87"/>
      <c r="G492" s="87"/>
      <c r="H492" s="521"/>
      <c r="I492" s="562"/>
      <c r="J492" s="89"/>
      <c r="K492" s="89"/>
      <c r="L492" s="249"/>
      <c r="M492" s="1026"/>
      <c r="N492" s="250"/>
      <c r="O492" s="251"/>
      <c r="P492" s="252"/>
      <c r="Q492" s="46"/>
    </row>
    <row r="493" spans="1:17">
      <c r="A493" s="98"/>
      <c r="B493" s="442"/>
      <c r="C493" s="540"/>
      <c r="D493" s="166"/>
      <c r="E493" s="166"/>
      <c r="F493" s="87"/>
      <c r="G493" s="87"/>
      <c r="H493" s="521"/>
      <c r="I493" s="562"/>
      <c r="J493" s="89"/>
      <c r="K493" s="89"/>
      <c r="L493" s="249"/>
      <c r="M493" s="1026"/>
      <c r="N493" s="250"/>
      <c r="O493" s="251"/>
      <c r="P493" s="252"/>
      <c r="Q493" s="46"/>
    </row>
    <row r="494" spans="1:17">
      <c r="A494" s="98"/>
      <c r="B494" s="442"/>
      <c r="C494" s="540"/>
      <c r="D494" s="166"/>
      <c r="E494" s="166"/>
      <c r="F494" s="87"/>
      <c r="G494" s="87"/>
      <c r="H494" s="521"/>
      <c r="I494" s="562"/>
      <c r="J494" s="89"/>
      <c r="K494" s="89"/>
      <c r="L494" s="249"/>
      <c r="M494" s="1026"/>
      <c r="N494" s="250"/>
      <c r="O494" s="251"/>
      <c r="P494" s="252"/>
      <c r="Q494" s="46"/>
    </row>
    <row r="495" spans="1:17">
      <c r="A495" s="98"/>
      <c r="B495" s="442"/>
      <c r="C495" s="540"/>
      <c r="D495" s="166"/>
      <c r="E495" s="166"/>
      <c r="F495" s="87"/>
      <c r="G495" s="87"/>
      <c r="H495" s="521"/>
      <c r="I495" s="562"/>
      <c r="J495" s="89"/>
      <c r="K495" s="89"/>
      <c r="L495" s="249"/>
      <c r="M495" s="1026"/>
      <c r="N495" s="250"/>
      <c r="O495" s="251"/>
      <c r="P495" s="252"/>
      <c r="Q495" s="46"/>
    </row>
    <row r="496" spans="1:17">
      <c r="A496" s="98"/>
      <c r="B496" s="442"/>
      <c r="C496" s="540"/>
      <c r="D496" s="166"/>
      <c r="E496" s="166"/>
      <c r="F496" s="87"/>
      <c r="G496" s="87"/>
      <c r="H496" s="521"/>
      <c r="I496" s="562"/>
      <c r="J496" s="89"/>
      <c r="K496" s="89"/>
      <c r="L496" s="249"/>
      <c r="M496" s="1026"/>
      <c r="N496" s="250"/>
      <c r="O496" s="251"/>
      <c r="P496" s="252"/>
      <c r="Q496" s="46"/>
    </row>
    <row r="497" spans="1:17">
      <c r="A497" s="98"/>
      <c r="B497" s="442"/>
      <c r="C497" s="540"/>
      <c r="D497" s="166"/>
      <c r="E497" s="166"/>
      <c r="F497" s="87"/>
      <c r="G497" s="87"/>
      <c r="H497" s="521"/>
      <c r="I497" s="562"/>
      <c r="J497" s="89"/>
      <c r="K497" s="89"/>
      <c r="L497" s="249"/>
      <c r="M497" s="1026"/>
      <c r="N497" s="250"/>
      <c r="O497" s="251"/>
      <c r="P497" s="252"/>
      <c r="Q497" s="46"/>
    </row>
    <row r="498" spans="1:17">
      <c r="A498" s="98"/>
      <c r="B498" s="442"/>
      <c r="C498" s="540"/>
      <c r="D498" s="166"/>
      <c r="E498" s="166"/>
      <c r="F498" s="87"/>
      <c r="G498" s="87"/>
      <c r="H498" s="521"/>
      <c r="I498" s="562"/>
      <c r="J498" s="89"/>
      <c r="K498" s="89"/>
      <c r="L498" s="249"/>
      <c r="M498" s="1026"/>
      <c r="N498" s="250"/>
      <c r="O498" s="251"/>
      <c r="P498" s="252"/>
      <c r="Q498" s="46"/>
    </row>
    <row r="499" spans="1:17">
      <c r="A499" s="98"/>
      <c r="B499" s="442"/>
      <c r="C499" s="540"/>
      <c r="D499" s="166"/>
      <c r="E499" s="166"/>
      <c r="F499" s="87"/>
      <c r="G499" s="87"/>
      <c r="H499" s="521"/>
      <c r="I499" s="562"/>
      <c r="J499" s="89"/>
      <c r="K499" s="89"/>
      <c r="L499" s="249"/>
      <c r="M499" s="1026"/>
      <c r="N499" s="250"/>
      <c r="O499" s="251"/>
      <c r="P499" s="252"/>
      <c r="Q499" s="46"/>
    </row>
    <row r="500" spans="1:17">
      <c r="A500" s="98"/>
      <c r="B500" s="442"/>
      <c r="C500" s="540"/>
      <c r="D500" s="166"/>
      <c r="E500" s="166"/>
      <c r="F500" s="87"/>
      <c r="G500" s="87"/>
      <c r="H500" s="521"/>
      <c r="I500" s="562"/>
      <c r="J500" s="89"/>
      <c r="K500" s="89"/>
      <c r="L500" s="249"/>
      <c r="M500" s="1026"/>
      <c r="N500" s="250"/>
      <c r="O500" s="251"/>
      <c r="P500" s="252"/>
      <c r="Q500" s="46"/>
    </row>
    <row r="501" spans="1:17">
      <c r="A501" s="98"/>
      <c r="B501" s="442"/>
      <c r="C501" s="540"/>
      <c r="D501" s="166"/>
      <c r="E501" s="166"/>
      <c r="F501" s="87"/>
      <c r="G501" s="87"/>
      <c r="H501" s="521"/>
      <c r="I501" s="562"/>
      <c r="J501" s="89"/>
      <c r="K501" s="89"/>
      <c r="L501" s="249"/>
      <c r="M501" s="1026"/>
      <c r="N501" s="250"/>
      <c r="O501" s="251"/>
      <c r="P501" s="252"/>
      <c r="Q501" s="46"/>
    </row>
    <row r="502" spans="1:17">
      <c r="A502" s="98"/>
      <c r="B502" s="442"/>
      <c r="C502" s="540"/>
      <c r="D502" s="166"/>
      <c r="E502" s="166"/>
      <c r="F502" s="87"/>
      <c r="G502" s="87"/>
      <c r="H502" s="521"/>
      <c r="I502" s="562"/>
      <c r="J502" s="89"/>
      <c r="K502" s="89"/>
      <c r="L502" s="249"/>
      <c r="M502" s="1026"/>
      <c r="N502" s="250"/>
      <c r="O502" s="251"/>
      <c r="P502" s="252"/>
      <c r="Q502" s="46"/>
    </row>
    <row r="503" spans="1:17">
      <c r="A503" s="98"/>
      <c r="B503" s="442"/>
      <c r="C503" s="540"/>
      <c r="D503" s="166"/>
      <c r="E503" s="166"/>
      <c r="F503" s="87"/>
      <c r="G503" s="87"/>
      <c r="H503" s="521"/>
      <c r="I503" s="562"/>
      <c r="J503" s="89"/>
      <c r="K503" s="89"/>
      <c r="L503" s="249"/>
      <c r="M503" s="1026"/>
      <c r="N503" s="250"/>
      <c r="O503" s="251"/>
      <c r="P503" s="252"/>
      <c r="Q503" s="46"/>
    </row>
    <row r="504" spans="1:17">
      <c r="A504" s="98"/>
      <c r="B504" s="442"/>
      <c r="C504" s="540"/>
      <c r="D504" s="166"/>
      <c r="E504" s="166"/>
      <c r="F504" s="87"/>
      <c r="G504" s="87"/>
      <c r="H504" s="521"/>
      <c r="I504" s="562"/>
      <c r="J504" s="89"/>
      <c r="K504" s="89"/>
      <c r="L504" s="249"/>
      <c r="M504" s="1026"/>
      <c r="N504" s="250"/>
      <c r="O504" s="251"/>
      <c r="P504" s="252"/>
      <c r="Q504" s="46"/>
    </row>
    <row r="505" spans="1:17">
      <c r="A505" s="98"/>
      <c r="B505" s="442"/>
      <c r="C505" s="540"/>
      <c r="D505" s="166"/>
      <c r="E505" s="166"/>
      <c r="F505" s="87"/>
      <c r="G505" s="87"/>
      <c r="H505" s="521"/>
      <c r="I505" s="562"/>
      <c r="J505" s="89"/>
      <c r="K505" s="89"/>
      <c r="L505" s="249"/>
      <c r="M505" s="1026"/>
      <c r="N505" s="250"/>
      <c r="O505" s="251"/>
      <c r="P505" s="252"/>
      <c r="Q505" s="46"/>
    </row>
    <row r="506" spans="1:17">
      <c r="A506" s="98"/>
      <c r="B506" s="442"/>
      <c r="C506" s="540"/>
      <c r="D506" s="166"/>
      <c r="E506" s="166"/>
      <c r="F506" s="87"/>
      <c r="G506" s="87"/>
      <c r="H506" s="521"/>
      <c r="I506" s="562"/>
      <c r="J506" s="89"/>
      <c r="K506" s="89"/>
      <c r="L506" s="249"/>
      <c r="M506" s="1026"/>
      <c r="N506" s="250"/>
      <c r="O506" s="251"/>
      <c r="P506" s="252"/>
      <c r="Q506" s="46"/>
    </row>
    <row r="507" spans="1:17">
      <c r="A507" s="98"/>
      <c r="B507" s="442"/>
      <c r="C507" s="540"/>
      <c r="D507" s="166"/>
      <c r="E507" s="166"/>
      <c r="F507" s="87"/>
      <c r="G507" s="87"/>
      <c r="H507" s="521"/>
      <c r="I507" s="562"/>
      <c r="J507" s="89"/>
      <c r="K507" s="89"/>
      <c r="L507" s="249"/>
      <c r="M507" s="1026"/>
      <c r="N507" s="250"/>
      <c r="O507" s="251"/>
      <c r="P507" s="252"/>
      <c r="Q507" s="46"/>
    </row>
    <row r="508" spans="1:17">
      <c r="A508" s="98"/>
      <c r="B508" s="442"/>
      <c r="C508" s="540"/>
      <c r="D508" s="166"/>
      <c r="E508" s="166"/>
      <c r="F508" s="87"/>
      <c r="G508" s="87"/>
      <c r="H508" s="521"/>
      <c r="I508" s="562"/>
      <c r="J508" s="89"/>
      <c r="K508" s="89"/>
      <c r="L508" s="249"/>
      <c r="M508" s="1026"/>
      <c r="N508" s="250"/>
      <c r="O508" s="251"/>
      <c r="P508" s="252"/>
      <c r="Q508" s="46"/>
    </row>
    <row r="509" spans="1:17">
      <c r="A509" s="98"/>
      <c r="B509" s="442"/>
      <c r="C509" s="540"/>
      <c r="D509" s="166"/>
      <c r="E509" s="166"/>
      <c r="F509" s="87"/>
      <c r="G509" s="87"/>
      <c r="H509" s="521"/>
      <c r="I509" s="562"/>
      <c r="J509" s="89"/>
      <c r="K509" s="89"/>
      <c r="L509" s="249"/>
      <c r="M509" s="1026"/>
      <c r="N509" s="250"/>
      <c r="O509" s="251"/>
      <c r="P509" s="252"/>
      <c r="Q509" s="46"/>
    </row>
    <row r="510" spans="1:17">
      <c r="A510" s="98"/>
      <c r="B510" s="442"/>
      <c r="C510" s="540"/>
      <c r="D510" s="166"/>
      <c r="E510" s="166"/>
      <c r="F510" s="87"/>
      <c r="G510" s="87"/>
      <c r="H510" s="521"/>
      <c r="I510" s="562"/>
      <c r="J510" s="89"/>
      <c r="K510" s="89"/>
      <c r="L510" s="249"/>
      <c r="M510" s="1026"/>
      <c r="N510" s="250"/>
      <c r="O510" s="251"/>
      <c r="P510" s="252"/>
      <c r="Q510" s="46"/>
    </row>
    <row r="511" spans="1:17">
      <c r="A511" s="98"/>
      <c r="B511" s="442"/>
      <c r="C511" s="540"/>
      <c r="D511" s="166"/>
      <c r="E511" s="166"/>
      <c r="F511" s="87"/>
      <c r="G511" s="87"/>
      <c r="H511" s="521"/>
      <c r="I511" s="562"/>
      <c r="J511" s="89"/>
      <c r="K511" s="89"/>
      <c r="L511" s="249"/>
      <c r="M511" s="1026"/>
      <c r="N511" s="250"/>
      <c r="O511" s="251"/>
      <c r="P511" s="252"/>
      <c r="Q511" s="46"/>
    </row>
    <row r="512" spans="1:17">
      <c r="A512" s="98"/>
      <c r="B512" s="442"/>
      <c r="C512" s="540"/>
      <c r="D512" s="166"/>
      <c r="E512" s="166"/>
      <c r="F512" s="87"/>
      <c r="G512" s="87"/>
      <c r="H512" s="521"/>
      <c r="I512" s="562"/>
      <c r="J512" s="89"/>
      <c r="K512" s="89"/>
      <c r="L512" s="249"/>
      <c r="M512" s="1026"/>
      <c r="N512" s="250"/>
      <c r="O512" s="251"/>
      <c r="P512" s="252"/>
      <c r="Q512" s="46"/>
    </row>
    <row r="513" spans="1:17">
      <c r="A513" s="98"/>
      <c r="B513" s="442"/>
      <c r="C513" s="540"/>
      <c r="D513" s="166"/>
      <c r="E513" s="166"/>
      <c r="F513" s="87"/>
      <c r="G513" s="87"/>
      <c r="H513" s="521"/>
      <c r="I513" s="562"/>
      <c r="J513" s="89"/>
      <c r="K513" s="89"/>
      <c r="L513" s="249"/>
      <c r="M513" s="1026"/>
      <c r="N513" s="250"/>
      <c r="O513" s="251"/>
      <c r="P513" s="252"/>
      <c r="Q513" s="46"/>
    </row>
    <row r="514" spans="1:17">
      <c r="A514" s="98"/>
      <c r="B514" s="442"/>
      <c r="C514" s="540"/>
      <c r="D514" s="166"/>
      <c r="E514" s="166"/>
      <c r="F514" s="87"/>
      <c r="G514" s="87"/>
      <c r="H514" s="521"/>
      <c r="I514" s="562"/>
      <c r="J514" s="89"/>
      <c r="K514" s="89"/>
      <c r="L514" s="249"/>
      <c r="M514" s="1026"/>
      <c r="N514" s="250"/>
      <c r="O514" s="251"/>
      <c r="P514" s="252"/>
      <c r="Q514" s="46"/>
    </row>
    <row r="515" spans="1:17">
      <c r="A515" s="98"/>
      <c r="B515" s="442"/>
      <c r="C515" s="540"/>
      <c r="D515" s="166"/>
      <c r="E515" s="166"/>
      <c r="F515" s="87"/>
      <c r="G515" s="87"/>
      <c r="H515" s="521"/>
      <c r="I515" s="562"/>
      <c r="J515" s="89"/>
      <c r="K515" s="89"/>
      <c r="L515" s="249"/>
      <c r="M515" s="1026"/>
      <c r="N515" s="250"/>
      <c r="O515" s="251"/>
      <c r="P515" s="252"/>
      <c r="Q515" s="46"/>
    </row>
    <row r="516" spans="1:17">
      <c r="A516" s="98"/>
      <c r="B516" s="442"/>
      <c r="C516" s="540"/>
      <c r="D516" s="166"/>
      <c r="E516" s="166"/>
      <c r="F516" s="87"/>
      <c r="G516" s="87"/>
      <c r="H516" s="521"/>
      <c r="I516" s="562"/>
      <c r="J516" s="89"/>
      <c r="K516" s="89"/>
      <c r="L516" s="249"/>
      <c r="M516" s="1026"/>
      <c r="N516" s="250"/>
      <c r="O516" s="251"/>
      <c r="P516" s="252"/>
      <c r="Q516" s="46"/>
    </row>
    <row r="517" spans="1:17">
      <c r="A517" s="98"/>
      <c r="B517" s="442"/>
      <c r="C517" s="540"/>
      <c r="D517" s="166"/>
      <c r="E517" s="166"/>
      <c r="F517" s="87"/>
      <c r="G517" s="87"/>
      <c r="H517" s="521"/>
      <c r="I517" s="562"/>
      <c r="J517" s="89"/>
      <c r="K517" s="89"/>
      <c r="L517" s="249"/>
      <c r="M517" s="1026"/>
      <c r="N517" s="250"/>
      <c r="O517" s="251"/>
      <c r="P517" s="252"/>
      <c r="Q517" s="46"/>
    </row>
    <row r="518" spans="1:17">
      <c r="A518" s="98"/>
      <c r="B518" s="442"/>
      <c r="C518" s="540"/>
      <c r="D518" s="166"/>
      <c r="E518" s="166"/>
      <c r="F518" s="87"/>
      <c r="G518" s="87"/>
      <c r="H518" s="521"/>
      <c r="I518" s="562"/>
      <c r="J518" s="89"/>
      <c r="K518" s="89"/>
      <c r="L518" s="249"/>
      <c r="M518" s="1026"/>
      <c r="N518" s="250"/>
      <c r="O518" s="251"/>
      <c r="P518" s="252"/>
      <c r="Q518" s="46"/>
    </row>
    <row r="519" spans="1:17">
      <c r="A519" s="98"/>
      <c r="B519" s="442"/>
      <c r="C519" s="540"/>
      <c r="D519" s="166"/>
      <c r="E519" s="166"/>
      <c r="F519" s="87"/>
      <c r="G519" s="87"/>
      <c r="H519" s="521"/>
      <c r="I519" s="562"/>
      <c r="J519" s="89"/>
      <c r="K519" s="89"/>
      <c r="L519" s="249"/>
      <c r="M519" s="1026"/>
      <c r="N519" s="250"/>
      <c r="O519" s="251"/>
      <c r="P519" s="252"/>
      <c r="Q519" s="46"/>
    </row>
    <row r="520" spans="1:17">
      <c r="A520" s="98"/>
      <c r="B520" s="442"/>
      <c r="C520" s="540"/>
      <c r="D520" s="166"/>
      <c r="E520" s="166"/>
      <c r="F520" s="87"/>
      <c r="G520" s="87"/>
      <c r="H520" s="521"/>
      <c r="I520" s="562"/>
      <c r="J520" s="89"/>
      <c r="K520" s="89"/>
      <c r="L520" s="249"/>
      <c r="M520" s="1026"/>
      <c r="N520" s="250"/>
      <c r="O520" s="251"/>
      <c r="P520" s="252"/>
      <c r="Q520" s="46"/>
    </row>
    <row r="521" spans="1:17">
      <c r="A521" s="98"/>
      <c r="B521" s="442"/>
      <c r="C521" s="540"/>
      <c r="D521" s="166"/>
      <c r="E521" s="166"/>
      <c r="F521" s="87"/>
      <c r="G521" s="87"/>
      <c r="H521" s="521"/>
      <c r="I521" s="562"/>
      <c r="J521" s="89"/>
      <c r="K521" s="89"/>
      <c r="L521" s="249"/>
      <c r="M521" s="1026"/>
      <c r="N521" s="250"/>
      <c r="O521" s="251"/>
      <c r="P521" s="252"/>
      <c r="Q521" s="46"/>
    </row>
    <row r="522" spans="1:17">
      <c r="A522" s="98"/>
      <c r="B522" s="442"/>
      <c r="C522" s="540"/>
      <c r="D522" s="166"/>
      <c r="E522" s="166"/>
      <c r="F522" s="87"/>
      <c r="G522" s="87"/>
      <c r="H522" s="521"/>
      <c r="I522" s="562"/>
      <c r="J522" s="89"/>
      <c r="K522" s="89"/>
      <c r="L522" s="249"/>
      <c r="M522" s="1026"/>
      <c r="N522" s="250"/>
      <c r="O522" s="251"/>
      <c r="P522" s="252"/>
      <c r="Q522" s="46"/>
    </row>
    <row r="523" spans="1:17">
      <c r="A523" s="98"/>
      <c r="B523" s="442"/>
      <c r="C523" s="540"/>
      <c r="D523" s="166"/>
      <c r="E523" s="166"/>
      <c r="F523" s="87"/>
      <c r="G523" s="87"/>
      <c r="H523" s="521"/>
      <c r="I523" s="562"/>
      <c r="J523" s="89"/>
      <c r="K523" s="89"/>
      <c r="L523" s="249"/>
      <c r="M523" s="1026"/>
      <c r="N523" s="250"/>
      <c r="O523" s="251"/>
      <c r="P523" s="252"/>
      <c r="Q523" s="46"/>
    </row>
    <row r="524" spans="1:17">
      <c r="A524" s="98"/>
      <c r="B524" s="442"/>
      <c r="C524" s="540"/>
      <c r="D524" s="166"/>
      <c r="E524" s="166"/>
      <c r="F524" s="87"/>
      <c r="G524" s="87"/>
      <c r="H524" s="521"/>
      <c r="I524" s="562"/>
      <c r="J524" s="89"/>
      <c r="K524" s="89"/>
      <c r="L524" s="249"/>
      <c r="M524" s="1026"/>
      <c r="N524" s="250"/>
      <c r="O524" s="251"/>
      <c r="P524" s="252"/>
      <c r="Q524" s="46"/>
    </row>
    <row r="525" spans="1:17">
      <c r="A525" s="98"/>
      <c r="B525" s="442"/>
      <c r="C525" s="540"/>
      <c r="D525" s="166"/>
      <c r="E525" s="166"/>
      <c r="F525" s="87"/>
      <c r="G525" s="87"/>
      <c r="H525" s="521"/>
      <c r="I525" s="562"/>
      <c r="J525" s="89"/>
      <c r="K525" s="89"/>
      <c r="L525" s="249"/>
      <c r="M525" s="1026"/>
      <c r="N525" s="250"/>
      <c r="O525" s="251"/>
      <c r="P525" s="252"/>
      <c r="Q525" s="46"/>
    </row>
    <row r="526" spans="1:17">
      <c r="A526" s="98"/>
      <c r="B526" s="442"/>
      <c r="C526" s="540"/>
      <c r="D526" s="166"/>
      <c r="E526" s="166"/>
      <c r="F526" s="87"/>
      <c r="G526" s="87"/>
      <c r="H526" s="521"/>
      <c r="I526" s="562"/>
      <c r="J526" s="89"/>
      <c r="K526" s="89"/>
      <c r="L526" s="249"/>
      <c r="M526" s="1026"/>
      <c r="N526" s="250"/>
      <c r="O526" s="251"/>
      <c r="P526" s="252"/>
      <c r="Q526" s="46"/>
    </row>
    <row r="527" spans="1:17">
      <c r="A527" s="98"/>
      <c r="B527" s="442"/>
      <c r="C527" s="540"/>
      <c r="D527" s="166"/>
      <c r="E527" s="166"/>
      <c r="F527" s="87"/>
      <c r="G527" s="87"/>
      <c r="H527" s="521"/>
      <c r="I527" s="562"/>
      <c r="J527" s="89"/>
      <c r="K527" s="89"/>
      <c r="L527" s="249"/>
      <c r="M527" s="1026"/>
      <c r="N527" s="250"/>
      <c r="O527" s="251"/>
      <c r="P527" s="252"/>
      <c r="Q527" s="46"/>
    </row>
    <row r="528" spans="1:17">
      <c r="A528" s="98"/>
      <c r="B528" s="442"/>
      <c r="C528" s="540"/>
      <c r="D528" s="166"/>
      <c r="E528" s="166"/>
      <c r="F528" s="87"/>
      <c r="G528" s="87"/>
      <c r="H528" s="521"/>
      <c r="I528" s="562"/>
      <c r="J528" s="89"/>
      <c r="K528" s="89"/>
      <c r="L528" s="249"/>
      <c r="M528" s="1026"/>
      <c r="N528" s="250"/>
      <c r="O528" s="251"/>
      <c r="P528" s="252"/>
      <c r="Q528" s="46"/>
    </row>
    <row r="529" spans="1:17">
      <c r="A529" s="98"/>
      <c r="B529" s="442"/>
      <c r="C529" s="540"/>
      <c r="D529" s="166"/>
      <c r="E529" s="166"/>
      <c r="F529" s="87"/>
      <c r="G529" s="87"/>
      <c r="H529" s="521"/>
      <c r="I529" s="562"/>
      <c r="J529" s="89"/>
      <c r="K529" s="89"/>
      <c r="L529" s="249"/>
      <c r="M529" s="1026"/>
      <c r="N529" s="250"/>
      <c r="O529" s="251"/>
      <c r="P529" s="252"/>
      <c r="Q529" s="46"/>
    </row>
    <row r="530" spans="1:17">
      <c r="A530" s="98"/>
      <c r="B530" s="442"/>
      <c r="C530" s="540"/>
      <c r="D530" s="166"/>
      <c r="E530" s="166"/>
      <c r="F530" s="87"/>
      <c r="G530" s="87"/>
      <c r="H530" s="521"/>
      <c r="I530" s="562"/>
      <c r="J530" s="89"/>
      <c r="K530" s="89"/>
      <c r="L530" s="249"/>
      <c r="M530" s="1026"/>
      <c r="N530" s="250"/>
      <c r="O530" s="251"/>
      <c r="P530" s="252"/>
      <c r="Q530" s="46"/>
    </row>
    <row r="531" spans="1:17">
      <c r="A531" s="98"/>
      <c r="B531" s="442"/>
      <c r="C531" s="540"/>
      <c r="D531" s="166"/>
      <c r="E531" s="166"/>
      <c r="F531" s="87"/>
      <c r="G531" s="87"/>
      <c r="H531" s="521"/>
      <c r="I531" s="562"/>
      <c r="J531" s="89"/>
      <c r="K531" s="89"/>
      <c r="L531" s="249"/>
      <c r="M531" s="1026"/>
      <c r="N531" s="250"/>
      <c r="O531" s="251"/>
      <c r="P531" s="252"/>
      <c r="Q531" s="46"/>
    </row>
    <row r="532" spans="1:17">
      <c r="A532" s="98"/>
      <c r="B532" s="442"/>
      <c r="C532" s="540"/>
      <c r="D532" s="166"/>
      <c r="E532" s="166"/>
      <c r="F532" s="87"/>
      <c r="G532" s="87"/>
      <c r="H532" s="521"/>
      <c r="I532" s="562"/>
      <c r="J532" s="89"/>
      <c r="K532" s="89"/>
      <c r="L532" s="249"/>
      <c r="M532" s="1026"/>
      <c r="N532" s="250"/>
      <c r="O532" s="251"/>
      <c r="P532" s="252"/>
      <c r="Q532" s="46"/>
    </row>
    <row r="533" spans="1:17">
      <c r="A533" s="98"/>
      <c r="B533" s="442"/>
      <c r="C533" s="540"/>
      <c r="D533" s="166"/>
      <c r="E533" s="166"/>
      <c r="F533" s="87"/>
      <c r="G533" s="87"/>
      <c r="H533" s="521"/>
      <c r="I533" s="562"/>
      <c r="J533" s="89"/>
      <c r="K533" s="89"/>
      <c r="L533" s="249"/>
      <c r="M533" s="1026"/>
      <c r="N533" s="250"/>
      <c r="O533" s="251"/>
      <c r="P533" s="252"/>
      <c r="Q533" s="46"/>
    </row>
    <row r="534" spans="1:17">
      <c r="A534" s="98"/>
      <c r="B534" s="442"/>
      <c r="C534" s="540"/>
      <c r="D534" s="166"/>
      <c r="E534" s="166"/>
      <c r="F534" s="87"/>
      <c r="G534" s="87"/>
      <c r="H534" s="521"/>
      <c r="I534" s="562"/>
      <c r="J534" s="89"/>
      <c r="K534" s="89"/>
      <c r="L534" s="249"/>
      <c r="M534" s="1026"/>
      <c r="N534" s="250"/>
      <c r="O534" s="251"/>
      <c r="P534" s="252"/>
      <c r="Q534" s="46"/>
    </row>
    <row r="535" spans="1:17">
      <c r="A535" s="98"/>
      <c r="B535" s="442"/>
      <c r="C535" s="540"/>
      <c r="D535" s="166"/>
      <c r="E535" s="166"/>
      <c r="F535" s="87"/>
      <c r="G535" s="87"/>
      <c r="H535" s="521"/>
      <c r="I535" s="562"/>
      <c r="J535" s="89"/>
      <c r="K535" s="89"/>
      <c r="L535" s="249"/>
      <c r="M535" s="1026"/>
      <c r="N535" s="250"/>
      <c r="O535" s="251"/>
      <c r="P535" s="252"/>
      <c r="Q535" s="46"/>
    </row>
    <row r="536" spans="1:17">
      <c r="A536" s="98"/>
      <c r="B536" s="442"/>
      <c r="C536" s="540"/>
      <c r="D536" s="166"/>
      <c r="E536" s="166"/>
      <c r="F536" s="87"/>
      <c r="G536" s="87"/>
      <c r="H536" s="521"/>
      <c r="I536" s="562"/>
      <c r="J536" s="89"/>
      <c r="K536" s="89"/>
      <c r="L536" s="249"/>
      <c r="M536" s="1026"/>
      <c r="N536" s="250"/>
      <c r="O536" s="251"/>
      <c r="P536" s="252"/>
      <c r="Q536" s="46"/>
    </row>
    <row r="537" spans="1:17">
      <c r="A537" s="98"/>
      <c r="B537" s="442"/>
      <c r="C537" s="540"/>
      <c r="D537" s="166"/>
      <c r="E537" s="166"/>
      <c r="F537" s="87"/>
      <c r="G537" s="87"/>
      <c r="H537" s="521"/>
      <c r="I537" s="562"/>
      <c r="J537" s="89"/>
      <c r="K537" s="89"/>
      <c r="L537" s="249"/>
      <c r="M537" s="1026"/>
      <c r="N537" s="250"/>
      <c r="O537" s="251"/>
      <c r="P537" s="252"/>
      <c r="Q537" s="46"/>
    </row>
    <row r="538" spans="1:17">
      <c r="A538" s="98"/>
      <c r="B538" s="442"/>
      <c r="C538" s="540"/>
      <c r="D538" s="166"/>
      <c r="E538" s="166"/>
      <c r="F538" s="87"/>
      <c r="G538" s="87"/>
      <c r="H538" s="521"/>
      <c r="I538" s="562"/>
      <c r="J538" s="89"/>
      <c r="K538" s="89"/>
      <c r="L538" s="249"/>
      <c r="M538" s="1026"/>
      <c r="N538" s="250"/>
      <c r="O538" s="251"/>
      <c r="P538" s="252"/>
      <c r="Q538" s="46"/>
    </row>
    <row r="539" spans="1:17">
      <c r="A539" s="98"/>
      <c r="B539" s="442"/>
      <c r="C539" s="540"/>
      <c r="D539" s="166"/>
      <c r="E539" s="166"/>
      <c r="F539" s="87"/>
      <c r="G539" s="87"/>
      <c r="H539" s="521"/>
      <c r="I539" s="562"/>
      <c r="J539" s="89"/>
      <c r="K539" s="89"/>
      <c r="L539" s="249"/>
      <c r="M539" s="1026"/>
      <c r="N539" s="250"/>
      <c r="O539" s="251"/>
      <c r="P539" s="252"/>
      <c r="Q539" s="46"/>
    </row>
    <row r="540" spans="1:17">
      <c r="A540" s="98"/>
      <c r="B540" s="442"/>
      <c r="C540" s="540"/>
      <c r="D540" s="166"/>
      <c r="E540" s="166"/>
      <c r="F540" s="87"/>
      <c r="G540" s="87"/>
      <c r="H540" s="521"/>
      <c r="I540" s="562"/>
      <c r="J540" s="89"/>
      <c r="K540" s="89"/>
      <c r="L540" s="249"/>
      <c r="M540" s="1026"/>
      <c r="N540" s="250"/>
      <c r="O540" s="251"/>
      <c r="P540" s="252"/>
      <c r="Q540" s="46"/>
    </row>
    <row r="541" spans="1:17">
      <c r="A541" s="98"/>
      <c r="B541" s="442"/>
      <c r="C541" s="540"/>
      <c r="D541" s="166"/>
      <c r="E541" s="166"/>
      <c r="F541" s="87"/>
      <c r="G541" s="87"/>
      <c r="H541" s="521"/>
      <c r="I541" s="562"/>
      <c r="J541" s="89"/>
      <c r="K541" s="89"/>
      <c r="L541" s="249"/>
      <c r="M541" s="1026"/>
      <c r="N541" s="250"/>
      <c r="O541" s="251"/>
      <c r="P541" s="252"/>
      <c r="Q541" s="46"/>
    </row>
    <row r="542" spans="1:17">
      <c r="A542" s="98"/>
      <c r="B542" s="442"/>
      <c r="C542" s="540"/>
      <c r="D542" s="166"/>
      <c r="E542" s="166"/>
      <c r="F542" s="87"/>
      <c r="G542" s="87"/>
      <c r="H542" s="521"/>
      <c r="I542" s="562"/>
      <c r="J542" s="89"/>
      <c r="K542" s="89"/>
      <c r="L542" s="249"/>
      <c r="M542" s="1026"/>
      <c r="N542" s="250"/>
      <c r="O542" s="251"/>
      <c r="P542" s="252"/>
      <c r="Q542" s="46"/>
    </row>
    <row r="543" spans="1:17">
      <c r="A543" s="98"/>
      <c r="B543" s="442"/>
      <c r="C543" s="540"/>
      <c r="D543" s="166"/>
      <c r="E543" s="166"/>
      <c r="F543" s="87"/>
      <c r="G543" s="87"/>
      <c r="H543" s="521"/>
      <c r="I543" s="562"/>
      <c r="J543" s="89"/>
      <c r="K543" s="89"/>
      <c r="L543" s="249"/>
      <c r="M543" s="1026"/>
      <c r="N543" s="250"/>
      <c r="O543" s="251"/>
      <c r="P543" s="252"/>
      <c r="Q543" s="46"/>
    </row>
    <row r="544" spans="1:17">
      <c r="A544" s="98"/>
      <c r="B544" s="442"/>
      <c r="C544" s="540"/>
      <c r="D544" s="166"/>
      <c r="E544" s="166"/>
      <c r="F544" s="87"/>
      <c r="G544" s="87"/>
      <c r="H544" s="521"/>
      <c r="I544" s="562"/>
      <c r="J544" s="89"/>
      <c r="K544" s="89"/>
      <c r="L544" s="249"/>
      <c r="M544" s="1026"/>
      <c r="N544" s="250"/>
      <c r="O544" s="251"/>
      <c r="P544" s="252"/>
      <c r="Q544" s="46"/>
    </row>
    <row r="545" spans="1:17">
      <c r="A545" s="98"/>
      <c r="B545" s="442"/>
      <c r="C545" s="540"/>
      <c r="D545" s="166"/>
      <c r="E545" s="166"/>
      <c r="F545" s="87"/>
      <c r="G545" s="87"/>
      <c r="H545" s="521"/>
      <c r="I545" s="562"/>
      <c r="J545" s="89"/>
      <c r="K545" s="89"/>
      <c r="L545" s="249"/>
      <c r="M545" s="1026"/>
      <c r="N545" s="250"/>
      <c r="O545" s="251"/>
      <c r="P545" s="252"/>
      <c r="Q545" s="46"/>
    </row>
    <row r="546" spans="1:17">
      <c r="A546" s="98"/>
      <c r="B546" s="442"/>
      <c r="C546" s="540"/>
      <c r="D546" s="166"/>
      <c r="E546" s="166"/>
      <c r="F546" s="87"/>
      <c r="G546" s="87"/>
      <c r="H546" s="521"/>
      <c r="I546" s="562"/>
      <c r="J546" s="89"/>
      <c r="K546" s="89"/>
      <c r="L546" s="249"/>
      <c r="M546" s="1026"/>
      <c r="N546" s="250"/>
      <c r="O546" s="251"/>
      <c r="P546" s="252"/>
      <c r="Q546" s="46"/>
    </row>
    <row r="547" spans="1:17">
      <c r="A547" s="98"/>
      <c r="B547" s="442"/>
      <c r="C547" s="540"/>
      <c r="D547" s="166"/>
      <c r="E547" s="166"/>
      <c r="F547" s="87"/>
      <c r="G547" s="87"/>
      <c r="H547" s="521"/>
      <c r="I547" s="562"/>
      <c r="J547" s="89"/>
      <c r="K547" s="89"/>
      <c r="L547" s="249"/>
      <c r="M547" s="1026"/>
      <c r="N547" s="250"/>
      <c r="O547" s="251"/>
      <c r="P547" s="252"/>
      <c r="Q547" s="46"/>
    </row>
    <row r="548" spans="1:17">
      <c r="A548" s="98"/>
      <c r="B548" s="442"/>
      <c r="C548" s="540"/>
      <c r="D548" s="166"/>
      <c r="E548" s="166"/>
      <c r="F548" s="87"/>
      <c r="G548" s="87"/>
      <c r="H548" s="521"/>
      <c r="I548" s="562"/>
      <c r="J548" s="89"/>
      <c r="K548" s="89"/>
      <c r="L548" s="249"/>
      <c r="M548" s="1026"/>
      <c r="N548" s="250"/>
      <c r="O548" s="251"/>
      <c r="P548" s="252"/>
      <c r="Q548" s="46"/>
    </row>
    <row r="549" spans="1:17">
      <c r="A549" s="98"/>
      <c r="B549" s="442"/>
      <c r="C549" s="540"/>
      <c r="D549" s="166"/>
      <c r="E549" s="166"/>
      <c r="F549" s="87"/>
      <c r="G549" s="87"/>
      <c r="H549" s="521"/>
      <c r="I549" s="562"/>
      <c r="J549" s="89"/>
      <c r="K549" s="89"/>
      <c r="L549" s="249"/>
      <c r="M549" s="1026"/>
      <c r="N549" s="250"/>
      <c r="O549" s="251"/>
      <c r="P549" s="252"/>
      <c r="Q549" s="46"/>
    </row>
    <row r="550" spans="1:17">
      <c r="A550" s="98"/>
      <c r="B550" s="442"/>
      <c r="C550" s="540"/>
      <c r="D550" s="166"/>
      <c r="E550" s="166"/>
      <c r="F550" s="87"/>
      <c r="G550" s="87"/>
      <c r="H550" s="521"/>
      <c r="I550" s="562"/>
      <c r="J550" s="89"/>
      <c r="K550" s="89"/>
      <c r="L550" s="249"/>
      <c r="M550" s="1026"/>
      <c r="N550" s="250"/>
      <c r="O550" s="251"/>
      <c r="P550" s="252"/>
      <c r="Q550" s="46"/>
    </row>
    <row r="551" spans="1:17">
      <c r="A551" s="98"/>
      <c r="B551" s="442"/>
      <c r="C551" s="540"/>
      <c r="D551" s="166"/>
      <c r="E551" s="166"/>
      <c r="F551" s="87"/>
      <c r="G551" s="87"/>
      <c r="H551" s="521"/>
      <c r="I551" s="562"/>
      <c r="J551" s="89"/>
      <c r="K551" s="89"/>
      <c r="L551" s="249"/>
      <c r="M551" s="1026"/>
      <c r="N551" s="250"/>
      <c r="O551" s="251"/>
      <c r="P551" s="252"/>
      <c r="Q551" s="46"/>
    </row>
  </sheetData>
  <mergeCells count="28">
    <mergeCell ref="A149:H149"/>
    <mergeCell ref="A76:H76"/>
    <mergeCell ref="A108:H108"/>
    <mergeCell ref="A105:H105"/>
    <mergeCell ref="A89:H89"/>
    <mergeCell ref="A83:H83"/>
    <mergeCell ref="A124:H124"/>
    <mergeCell ref="A128:H128"/>
    <mergeCell ref="A134:H134"/>
    <mergeCell ref="A147:H147"/>
    <mergeCell ref="A145:H145"/>
    <mergeCell ref="A140:H140"/>
    <mergeCell ref="A132:H132"/>
    <mergeCell ref="A126:H126"/>
    <mergeCell ref="A138:H138"/>
    <mergeCell ref="A2:H2"/>
    <mergeCell ref="A5:H5"/>
    <mergeCell ref="A8:H8"/>
    <mergeCell ref="A16:H16"/>
    <mergeCell ref="A22:H22"/>
    <mergeCell ref="A33:H33"/>
    <mergeCell ref="A121:H121"/>
    <mergeCell ref="A66:H66"/>
    <mergeCell ref="A51:H51"/>
    <mergeCell ref="A44:H44"/>
    <mergeCell ref="A38:H38"/>
    <mergeCell ref="A98:H98"/>
    <mergeCell ref="A115:H115"/>
  </mergeCells>
  <phoneticPr fontId="49" type="noConversion"/>
  <hyperlinks>
    <hyperlink ref="D6" r:id="rId1" display="javascript:void(0)" xr:uid="{9BFBC91D-E945-42B0-B6F5-BD635A714935}"/>
    <hyperlink ref="D20" r:id="rId2" display="javascript:void(0)" xr:uid="{9DF9B1FF-8E8F-47F2-9B62-F53960A66948}"/>
    <hyperlink ref="D21" r:id="rId3" display="javascript:void(0)" xr:uid="{172652E4-78D1-4B84-BF93-77F70B9785BA}"/>
    <hyperlink ref="B36" r:id="rId4" display="javascript:void(0)" xr:uid="{94AAD6E0-B192-4F83-AB22-A4AE6556F382}"/>
    <hyperlink ref="B42" r:id="rId5" display="javascript:void(0)" xr:uid="{E6E7C93C-F5A7-4061-B61D-12E7C32A1E9B}"/>
    <hyperlink ref="B43" r:id="rId6" display="javascript:void(0)" xr:uid="{0BD9CA1E-11E5-40E7-9557-78ADA0B8271D}"/>
    <hyperlink ref="B95" r:id="rId7" display="javascript:void(0)" xr:uid="{C64F20D6-F3D2-4F6E-B7C2-C79805DE8FB5}"/>
    <hyperlink ref="B96" r:id="rId8" display="javascript:void(0)" xr:uid="{1C445169-9997-4E5B-80BA-880B26C906F6}"/>
    <hyperlink ref="B100" r:id="rId9" display="javascript:void(0)" xr:uid="{4CFDF104-45E4-4928-8388-BBBDF9E1D159}"/>
    <hyperlink ref="D102" r:id="rId10" display="javascript:void(0)" xr:uid="{ECDF1F6F-6B31-43B4-9334-9870A648E4FA}"/>
    <hyperlink ref="B107" r:id="rId11" display="javascript:void(0)" xr:uid="{86EF899A-A69F-4C36-807C-6563D3571972}"/>
  </hyperlinks>
  <pageMargins left="0.7" right="0.7" top="0.75" bottom="0.75" header="0.3" footer="0.3"/>
  <pageSetup paperSize="9" orientation="portrait" r:id="rId12"/>
  <drawing r:id="rId13"/>
  <legacyDrawing r:id="rId14"/>
  <controls>
    <mc:AlternateContent xmlns:mc="http://schemas.openxmlformats.org/markup-compatibility/2006">
      <mc:Choice Requires="x14">
        <control shapeId="18433" r:id="rId15" name="Control 1">
          <controlPr defaultSize="0" r:id="rId16">
            <anchor moveWithCells="1">
              <from>
                <xdr:col>3</xdr:col>
                <xdr:colOff>0</xdr:colOff>
                <xdr:row>101</xdr:row>
                <xdr:rowOff>7620</xdr:rowOff>
              </from>
              <to>
                <xdr:col>3</xdr:col>
                <xdr:colOff>228600</xdr:colOff>
                <xdr:row>102</xdr:row>
                <xdr:rowOff>30480</xdr:rowOff>
              </to>
            </anchor>
          </controlPr>
        </control>
      </mc:Choice>
      <mc:Fallback>
        <control shapeId="18433" r:id="rId15" name="Control 1"/>
      </mc:Fallback>
    </mc:AlternateContent>
  </control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B2E14-F490-41EF-8FEE-EA15F2BC6151}">
  <dimension ref="A1:AG309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7" sqref="K17"/>
    </sheetView>
  </sheetViews>
  <sheetFormatPr defaultColWidth="10.33203125" defaultRowHeight="13.2"/>
  <cols>
    <col min="1" max="1" width="3.88671875" style="1" customWidth="1"/>
    <col min="2" max="2" width="19.33203125" style="6" customWidth="1"/>
    <col min="3" max="3" width="34" style="4" hidden="1" customWidth="1"/>
    <col min="4" max="4" width="38" style="4" customWidth="1"/>
    <col min="5" max="5" width="19.88671875" style="4" customWidth="1"/>
    <col min="6" max="8" width="5.109375" style="6" customWidth="1"/>
    <col min="9" max="9" width="8.88671875" style="6" customWidth="1"/>
    <col min="10" max="10" width="10.88671875" style="5" customWidth="1"/>
    <col min="11" max="11" width="20.5546875" style="7" customWidth="1"/>
    <col min="12" max="12" width="14.6640625" style="5" customWidth="1"/>
    <col min="13" max="13" width="12.33203125" style="5" hidden="1" customWidth="1"/>
    <col min="14" max="14" width="11.5546875" style="6" hidden="1" customWidth="1"/>
    <col min="15" max="15" width="10" style="1" hidden="1" customWidth="1"/>
    <col min="16" max="16" width="12.44140625" style="6" hidden="1" customWidth="1"/>
    <col min="17" max="18" width="15.33203125" style="1767" hidden="1" customWidth="1"/>
    <col min="19" max="19" width="12.6640625" style="1766" hidden="1" customWidth="1"/>
    <col min="20" max="20" width="13.109375" style="1766" hidden="1" customWidth="1"/>
    <col min="21" max="21" width="13" style="1766" hidden="1" customWidth="1"/>
    <col min="22" max="22" width="11.88671875" style="1766" hidden="1" customWidth="1"/>
    <col min="23" max="23" width="15.33203125" style="1767" hidden="1" customWidth="1"/>
    <col min="24" max="24" width="13.33203125" style="1766" hidden="1" customWidth="1"/>
    <col min="25" max="25" width="16.33203125" style="1766" hidden="1" customWidth="1"/>
    <col min="26" max="26" width="34.33203125" style="1768" customWidth="1"/>
    <col min="27" max="27" width="19.44140625" style="1766" customWidth="1"/>
    <col min="28" max="28" width="18.6640625" style="1799" customWidth="1"/>
    <col min="29" max="29" width="18.5546875" style="1770" customWidth="1"/>
    <col min="30" max="30" width="18.5546875" style="1771" customWidth="1"/>
    <col min="31" max="31" width="19" style="5" customWidth="1"/>
    <col min="32" max="195" width="10.33203125" style="13"/>
    <col min="196" max="196" width="7" style="13" customWidth="1"/>
    <col min="197" max="197" width="13" style="13" customWidth="1"/>
    <col min="198" max="198" width="14.109375" style="13" customWidth="1"/>
    <col min="199" max="199" width="17.33203125" style="13" customWidth="1"/>
    <col min="200" max="200" width="18.88671875" style="13" customWidth="1"/>
    <col min="201" max="201" width="14.109375" style="13" customWidth="1"/>
    <col min="202" max="202" width="21.5546875" style="13" customWidth="1"/>
    <col min="203" max="204" width="14.109375" style="13" customWidth="1"/>
    <col min="205" max="205" width="15" style="13" customWidth="1"/>
    <col min="206" max="206" width="13.33203125" style="13" customWidth="1"/>
    <col min="207" max="207" width="17" style="13" customWidth="1"/>
    <col min="208" max="208" width="24.88671875" style="13" customWidth="1"/>
    <col min="209" max="209" width="14.44140625" style="13" customWidth="1"/>
    <col min="210" max="210" width="23.109375" style="13" customWidth="1"/>
    <col min="211" max="211" width="13.109375" style="13" customWidth="1"/>
    <col min="212" max="215" width="0" style="13" hidden="1" customWidth="1"/>
    <col min="216" max="451" width="10.33203125" style="13"/>
    <col min="452" max="452" width="7" style="13" customWidth="1"/>
    <col min="453" max="453" width="13" style="13" customWidth="1"/>
    <col min="454" max="454" width="14.109375" style="13" customWidth="1"/>
    <col min="455" max="455" width="17.33203125" style="13" customWidth="1"/>
    <col min="456" max="456" width="18.88671875" style="13" customWidth="1"/>
    <col min="457" max="457" width="14.109375" style="13" customWidth="1"/>
    <col min="458" max="458" width="21.5546875" style="13" customWidth="1"/>
    <col min="459" max="460" width="14.109375" style="13" customWidth="1"/>
    <col min="461" max="461" width="15" style="13" customWidth="1"/>
    <col min="462" max="462" width="13.33203125" style="13" customWidth="1"/>
    <col min="463" max="463" width="17" style="13" customWidth="1"/>
    <col min="464" max="464" width="24.88671875" style="13" customWidth="1"/>
    <col min="465" max="465" width="14.44140625" style="13" customWidth="1"/>
    <col min="466" max="466" width="23.109375" style="13" customWidth="1"/>
    <col min="467" max="467" width="13.109375" style="13" customWidth="1"/>
    <col min="468" max="471" width="0" style="13" hidden="1" customWidth="1"/>
    <col min="472" max="707" width="10.33203125" style="13"/>
    <col min="708" max="708" width="7" style="13" customWidth="1"/>
    <col min="709" max="709" width="13" style="13" customWidth="1"/>
    <col min="710" max="710" width="14.109375" style="13" customWidth="1"/>
    <col min="711" max="711" width="17.33203125" style="13" customWidth="1"/>
    <col min="712" max="712" width="18.88671875" style="13" customWidth="1"/>
    <col min="713" max="713" width="14.109375" style="13" customWidth="1"/>
    <col min="714" max="714" width="21.5546875" style="13" customWidth="1"/>
    <col min="715" max="716" width="14.109375" style="13" customWidth="1"/>
    <col min="717" max="717" width="15" style="13" customWidth="1"/>
    <col min="718" max="718" width="13.33203125" style="13" customWidth="1"/>
    <col min="719" max="719" width="17" style="13" customWidth="1"/>
    <col min="720" max="720" width="24.88671875" style="13" customWidth="1"/>
    <col min="721" max="721" width="14.44140625" style="13" customWidth="1"/>
    <col min="722" max="722" width="23.109375" style="13" customWidth="1"/>
    <col min="723" max="723" width="13.109375" style="13" customWidth="1"/>
    <col min="724" max="727" width="0" style="13" hidden="1" customWidth="1"/>
    <col min="728" max="963" width="10.33203125" style="13"/>
    <col min="964" max="964" width="7" style="13" customWidth="1"/>
    <col min="965" max="965" width="13" style="13" customWidth="1"/>
    <col min="966" max="966" width="14.109375" style="13" customWidth="1"/>
    <col min="967" max="967" width="17.33203125" style="13" customWidth="1"/>
    <col min="968" max="968" width="18.88671875" style="13" customWidth="1"/>
    <col min="969" max="969" width="14.109375" style="13" customWidth="1"/>
    <col min="970" max="970" width="21.5546875" style="13" customWidth="1"/>
    <col min="971" max="972" width="14.109375" style="13" customWidth="1"/>
    <col min="973" max="973" width="15" style="13" customWidth="1"/>
    <col min="974" max="974" width="13.33203125" style="13" customWidth="1"/>
    <col min="975" max="975" width="17" style="13" customWidth="1"/>
    <col min="976" max="976" width="24.88671875" style="13" customWidth="1"/>
    <col min="977" max="977" width="14.44140625" style="13" customWidth="1"/>
    <col min="978" max="978" width="23.109375" style="13" customWidth="1"/>
    <col min="979" max="979" width="13.109375" style="13" customWidth="1"/>
    <col min="980" max="983" width="0" style="13" hidden="1" customWidth="1"/>
    <col min="984" max="1219" width="10.33203125" style="13"/>
    <col min="1220" max="1220" width="7" style="13" customWidth="1"/>
    <col min="1221" max="1221" width="13" style="13" customWidth="1"/>
    <col min="1222" max="1222" width="14.109375" style="13" customWidth="1"/>
    <col min="1223" max="1223" width="17.33203125" style="13" customWidth="1"/>
    <col min="1224" max="1224" width="18.88671875" style="13" customWidth="1"/>
    <col min="1225" max="1225" width="14.109375" style="13" customWidth="1"/>
    <col min="1226" max="1226" width="21.5546875" style="13" customWidth="1"/>
    <col min="1227" max="1228" width="14.109375" style="13" customWidth="1"/>
    <col min="1229" max="1229" width="15" style="13" customWidth="1"/>
    <col min="1230" max="1230" width="13.33203125" style="13" customWidth="1"/>
    <col min="1231" max="1231" width="17" style="13" customWidth="1"/>
    <col min="1232" max="1232" width="24.88671875" style="13" customWidth="1"/>
    <col min="1233" max="1233" width="14.44140625" style="13" customWidth="1"/>
    <col min="1234" max="1234" width="23.109375" style="13" customWidth="1"/>
    <col min="1235" max="1235" width="13.109375" style="13" customWidth="1"/>
    <col min="1236" max="1239" width="0" style="13" hidden="1" customWidth="1"/>
    <col min="1240" max="1475" width="10.33203125" style="13"/>
    <col min="1476" max="1476" width="7" style="13" customWidth="1"/>
    <col min="1477" max="1477" width="13" style="13" customWidth="1"/>
    <col min="1478" max="1478" width="14.109375" style="13" customWidth="1"/>
    <col min="1479" max="1479" width="17.33203125" style="13" customWidth="1"/>
    <col min="1480" max="1480" width="18.88671875" style="13" customWidth="1"/>
    <col min="1481" max="1481" width="14.109375" style="13" customWidth="1"/>
    <col min="1482" max="1482" width="21.5546875" style="13" customWidth="1"/>
    <col min="1483" max="1484" width="14.109375" style="13" customWidth="1"/>
    <col min="1485" max="1485" width="15" style="13" customWidth="1"/>
    <col min="1486" max="1486" width="13.33203125" style="13" customWidth="1"/>
    <col min="1487" max="1487" width="17" style="13" customWidth="1"/>
    <col min="1488" max="1488" width="24.88671875" style="13" customWidth="1"/>
    <col min="1489" max="1489" width="14.44140625" style="13" customWidth="1"/>
    <col min="1490" max="1490" width="23.109375" style="13" customWidth="1"/>
    <col min="1491" max="1491" width="13.109375" style="13" customWidth="1"/>
    <col min="1492" max="1495" width="0" style="13" hidden="1" customWidth="1"/>
    <col min="1496" max="1731" width="10.33203125" style="13"/>
    <col min="1732" max="1732" width="7" style="13" customWidth="1"/>
    <col min="1733" max="1733" width="13" style="13" customWidth="1"/>
    <col min="1734" max="1734" width="14.109375" style="13" customWidth="1"/>
    <col min="1735" max="1735" width="17.33203125" style="13" customWidth="1"/>
    <col min="1736" max="1736" width="18.88671875" style="13" customWidth="1"/>
    <col min="1737" max="1737" width="14.109375" style="13" customWidth="1"/>
    <col min="1738" max="1738" width="21.5546875" style="13" customWidth="1"/>
    <col min="1739" max="1740" width="14.109375" style="13" customWidth="1"/>
    <col min="1741" max="1741" width="15" style="13" customWidth="1"/>
    <col min="1742" max="1742" width="13.33203125" style="13" customWidth="1"/>
    <col min="1743" max="1743" width="17" style="13" customWidth="1"/>
    <col min="1744" max="1744" width="24.88671875" style="13" customWidth="1"/>
    <col min="1745" max="1745" width="14.44140625" style="13" customWidth="1"/>
    <col min="1746" max="1746" width="23.109375" style="13" customWidth="1"/>
    <col min="1747" max="1747" width="13.109375" style="13" customWidth="1"/>
    <col min="1748" max="1751" width="0" style="13" hidden="1" customWidth="1"/>
    <col min="1752" max="1987" width="10.33203125" style="13"/>
    <col min="1988" max="1988" width="7" style="13" customWidth="1"/>
    <col min="1989" max="1989" width="13" style="13" customWidth="1"/>
    <col min="1990" max="1990" width="14.109375" style="13" customWidth="1"/>
    <col min="1991" max="1991" width="17.33203125" style="13" customWidth="1"/>
    <col min="1992" max="1992" width="18.88671875" style="13" customWidth="1"/>
    <col min="1993" max="1993" width="14.109375" style="13" customWidth="1"/>
    <col min="1994" max="1994" width="21.5546875" style="13" customWidth="1"/>
    <col min="1995" max="1996" width="14.109375" style="13" customWidth="1"/>
    <col min="1997" max="1997" width="15" style="13" customWidth="1"/>
    <col min="1998" max="1998" width="13.33203125" style="13" customWidth="1"/>
    <col min="1999" max="1999" width="17" style="13" customWidth="1"/>
    <col min="2000" max="2000" width="24.88671875" style="13" customWidth="1"/>
    <col min="2001" max="2001" width="14.44140625" style="13" customWidth="1"/>
    <col min="2002" max="2002" width="23.109375" style="13" customWidth="1"/>
    <col min="2003" max="2003" width="13.109375" style="13" customWidth="1"/>
    <col min="2004" max="2007" width="0" style="13" hidden="1" customWidth="1"/>
    <col min="2008" max="2243" width="10.33203125" style="13"/>
    <col min="2244" max="2244" width="7" style="13" customWidth="1"/>
    <col min="2245" max="2245" width="13" style="13" customWidth="1"/>
    <col min="2246" max="2246" width="14.109375" style="13" customWidth="1"/>
    <col min="2247" max="2247" width="17.33203125" style="13" customWidth="1"/>
    <col min="2248" max="2248" width="18.88671875" style="13" customWidth="1"/>
    <col min="2249" max="2249" width="14.109375" style="13" customWidth="1"/>
    <col min="2250" max="2250" width="21.5546875" style="13" customWidth="1"/>
    <col min="2251" max="2252" width="14.109375" style="13" customWidth="1"/>
    <col min="2253" max="2253" width="15" style="13" customWidth="1"/>
    <col min="2254" max="2254" width="13.33203125" style="13" customWidth="1"/>
    <col min="2255" max="2255" width="17" style="13" customWidth="1"/>
    <col min="2256" max="2256" width="24.88671875" style="13" customWidth="1"/>
    <col min="2257" max="2257" width="14.44140625" style="13" customWidth="1"/>
    <col min="2258" max="2258" width="23.109375" style="13" customWidth="1"/>
    <col min="2259" max="2259" width="13.109375" style="13" customWidth="1"/>
    <col min="2260" max="2263" width="0" style="13" hidden="1" customWidth="1"/>
    <col min="2264" max="2499" width="10.33203125" style="13"/>
    <col min="2500" max="2500" width="7" style="13" customWidth="1"/>
    <col min="2501" max="2501" width="13" style="13" customWidth="1"/>
    <col min="2502" max="2502" width="14.109375" style="13" customWidth="1"/>
    <col min="2503" max="2503" width="17.33203125" style="13" customWidth="1"/>
    <col min="2504" max="2504" width="18.88671875" style="13" customWidth="1"/>
    <col min="2505" max="2505" width="14.109375" style="13" customWidth="1"/>
    <col min="2506" max="2506" width="21.5546875" style="13" customWidth="1"/>
    <col min="2507" max="2508" width="14.109375" style="13" customWidth="1"/>
    <col min="2509" max="2509" width="15" style="13" customWidth="1"/>
    <col min="2510" max="2510" width="13.33203125" style="13" customWidth="1"/>
    <col min="2511" max="2511" width="17" style="13" customWidth="1"/>
    <col min="2512" max="2512" width="24.88671875" style="13" customWidth="1"/>
    <col min="2513" max="2513" width="14.44140625" style="13" customWidth="1"/>
    <col min="2514" max="2514" width="23.109375" style="13" customWidth="1"/>
    <col min="2515" max="2515" width="13.109375" style="13" customWidth="1"/>
    <col min="2516" max="2519" width="0" style="13" hidden="1" customWidth="1"/>
    <col min="2520" max="2755" width="10.33203125" style="13"/>
    <col min="2756" max="2756" width="7" style="13" customWidth="1"/>
    <col min="2757" max="2757" width="13" style="13" customWidth="1"/>
    <col min="2758" max="2758" width="14.109375" style="13" customWidth="1"/>
    <col min="2759" max="2759" width="17.33203125" style="13" customWidth="1"/>
    <col min="2760" max="2760" width="18.88671875" style="13" customWidth="1"/>
    <col min="2761" max="2761" width="14.109375" style="13" customWidth="1"/>
    <col min="2762" max="2762" width="21.5546875" style="13" customWidth="1"/>
    <col min="2763" max="2764" width="14.109375" style="13" customWidth="1"/>
    <col min="2765" max="2765" width="15" style="13" customWidth="1"/>
    <col min="2766" max="2766" width="13.33203125" style="13" customWidth="1"/>
    <col min="2767" max="2767" width="17" style="13" customWidth="1"/>
    <col min="2768" max="2768" width="24.88671875" style="13" customWidth="1"/>
    <col min="2769" max="2769" width="14.44140625" style="13" customWidth="1"/>
    <col min="2770" max="2770" width="23.109375" style="13" customWidth="1"/>
    <col min="2771" max="2771" width="13.109375" style="13" customWidth="1"/>
    <col min="2772" max="2775" width="0" style="13" hidden="1" customWidth="1"/>
    <col min="2776" max="3011" width="10.33203125" style="13"/>
    <col min="3012" max="3012" width="7" style="13" customWidth="1"/>
    <col min="3013" max="3013" width="13" style="13" customWidth="1"/>
    <col min="3014" max="3014" width="14.109375" style="13" customWidth="1"/>
    <col min="3015" max="3015" width="17.33203125" style="13" customWidth="1"/>
    <col min="3016" max="3016" width="18.88671875" style="13" customWidth="1"/>
    <col min="3017" max="3017" width="14.109375" style="13" customWidth="1"/>
    <col min="3018" max="3018" width="21.5546875" style="13" customWidth="1"/>
    <col min="3019" max="3020" width="14.109375" style="13" customWidth="1"/>
    <col min="3021" max="3021" width="15" style="13" customWidth="1"/>
    <col min="3022" max="3022" width="13.33203125" style="13" customWidth="1"/>
    <col min="3023" max="3023" width="17" style="13" customWidth="1"/>
    <col min="3024" max="3024" width="24.88671875" style="13" customWidth="1"/>
    <col min="3025" max="3025" width="14.44140625" style="13" customWidth="1"/>
    <col min="3026" max="3026" width="23.109375" style="13" customWidth="1"/>
    <col min="3027" max="3027" width="13.109375" style="13" customWidth="1"/>
    <col min="3028" max="3031" width="0" style="13" hidden="1" customWidth="1"/>
    <col min="3032" max="3267" width="10.33203125" style="13"/>
    <col min="3268" max="3268" width="7" style="13" customWidth="1"/>
    <col min="3269" max="3269" width="13" style="13" customWidth="1"/>
    <col min="3270" max="3270" width="14.109375" style="13" customWidth="1"/>
    <col min="3271" max="3271" width="17.33203125" style="13" customWidth="1"/>
    <col min="3272" max="3272" width="18.88671875" style="13" customWidth="1"/>
    <col min="3273" max="3273" width="14.109375" style="13" customWidth="1"/>
    <col min="3274" max="3274" width="21.5546875" style="13" customWidth="1"/>
    <col min="3275" max="3276" width="14.109375" style="13" customWidth="1"/>
    <col min="3277" max="3277" width="15" style="13" customWidth="1"/>
    <col min="3278" max="3278" width="13.33203125" style="13" customWidth="1"/>
    <col min="3279" max="3279" width="17" style="13" customWidth="1"/>
    <col min="3280" max="3280" width="24.88671875" style="13" customWidth="1"/>
    <col min="3281" max="3281" width="14.44140625" style="13" customWidth="1"/>
    <col min="3282" max="3282" width="23.109375" style="13" customWidth="1"/>
    <col min="3283" max="3283" width="13.109375" style="13" customWidth="1"/>
    <col min="3284" max="3287" width="0" style="13" hidden="1" customWidth="1"/>
    <col min="3288" max="3523" width="10.33203125" style="13"/>
    <col min="3524" max="3524" width="7" style="13" customWidth="1"/>
    <col min="3525" max="3525" width="13" style="13" customWidth="1"/>
    <col min="3526" max="3526" width="14.109375" style="13" customWidth="1"/>
    <col min="3527" max="3527" width="17.33203125" style="13" customWidth="1"/>
    <col min="3528" max="3528" width="18.88671875" style="13" customWidth="1"/>
    <col min="3529" max="3529" width="14.109375" style="13" customWidth="1"/>
    <col min="3530" max="3530" width="21.5546875" style="13" customWidth="1"/>
    <col min="3531" max="3532" width="14.109375" style="13" customWidth="1"/>
    <col min="3533" max="3533" width="15" style="13" customWidth="1"/>
    <col min="3534" max="3534" width="13.33203125" style="13" customWidth="1"/>
    <col min="3535" max="3535" width="17" style="13" customWidth="1"/>
    <col min="3536" max="3536" width="24.88671875" style="13" customWidth="1"/>
    <col min="3537" max="3537" width="14.44140625" style="13" customWidth="1"/>
    <col min="3538" max="3538" width="23.109375" style="13" customWidth="1"/>
    <col min="3539" max="3539" width="13.109375" style="13" customWidth="1"/>
    <col min="3540" max="3543" width="0" style="13" hidden="1" customWidth="1"/>
    <col min="3544" max="3779" width="10.33203125" style="13"/>
    <col min="3780" max="3780" width="7" style="13" customWidth="1"/>
    <col min="3781" max="3781" width="13" style="13" customWidth="1"/>
    <col min="3782" max="3782" width="14.109375" style="13" customWidth="1"/>
    <col min="3783" max="3783" width="17.33203125" style="13" customWidth="1"/>
    <col min="3784" max="3784" width="18.88671875" style="13" customWidth="1"/>
    <col min="3785" max="3785" width="14.109375" style="13" customWidth="1"/>
    <col min="3786" max="3786" width="21.5546875" style="13" customWidth="1"/>
    <col min="3787" max="3788" width="14.109375" style="13" customWidth="1"/>
    <col min="3789" max="3789" width="15" style="13" customWidth="1"/>
    <col min="3790" max="3790" width="13.33203125" style="13" customWidth="1"/>
    <col min="3791" max="3791" width="17" style="13" customWidth="1"/>
    <col min="3792" max="3792" width="24.88671875" style="13" customWidth="1"/>
    <col min="3793" max="3793" width="14.44140625" style="13" customWidth="1"/>
    <col min="3794" max="3794" width="23.109375" style="13" customWidth="1"/>
    <col min="3795" max="3795" width="13.109375" style="13" customWidth="1"/>
    <col min="3796" max="3799" width="0" style="13" hidden="1" customWidth="1"/>
    <col min="3800" max="4035" width="10.33203125" style="13"/>
    <col min="4036" max="4036" width="7" style="13" customWidth="1"/>
    <col min="4037" max="4037" width="13" style="13" customWidth="1"/>
    <col min="4038" max="4038" width="14.109375" style="13" customWidth="1"/>
    <col min="4039" max="4039" width="17.33203125" style="13" customWidth="1"/>
    <col min="4040" max="4040" width="18.88671875" style="13" customWidth="1"/>
    <col min="4041" max="4041" width="14.109375" style="13" customWidth="1"/>
    <col min="4042" max="4042" width="21.5546875" style="13" customWidth="1"/>
    <col min="4043" max="4044" width="14.109375" style="13" customWidth="1"/>
    <col min="4045" max="4045" width="15" style="13" customWidth="1"/>
    <col min="4046" max="4046" width="13.33203125" style="13" customWidth="1"/>
    <col min="4047" max="4047" width="17" style="13" customWidth="1"/>
    <col min="4048" max="4048" width="24.88671875" style="13" customWidth="1"/>
    <col min="4049" max="4049" width="14.44140625" style="13" customWidth="1"/>
    <col min="4050" max="4050" width="23.109375" style="13" customWidth="1"/>
    <col min="4051" max="4051" width="13.109375" style="13" customWidth="1"/>
    <col min="4052" max="4055" width="0" style="13" hidden="1" customWidth="1"/>
    <col min="4056" max="4291" width="10.33203125" style="13"/>
    <col min="4292" max="4292" width="7" style="13" customWidth="1"/>
    <col min="4293" max="4293" width="13" style="13" customWidth="1"/>
    <col min="4294" max="4294" width="14.109375" style="13" customWidth="1"/>
    <col min="4295" max="4295" width="17.33203125" style="13" customWidth="1"/>
    <col min="4296" max="4296" width="18.88671875" style="13" customWidth="1"/>
    <col min="4297" max="4297" width="14.109375" style="13" customWidth="1"/>
    <col min="4298" max="4298" width="21.5546875" style="13" customWidth="1"/>
    <col min="4299" max="4300" width="14.109375" style="13" customWidth="1"/>
    <col min="4301" max="4301" width="15" style="13" customWidth="1"/>
    <col min="4302" max="4302" width="13.33203125" style="13" customWidth="1"/>
    <col min="4303" max="4303" width="17" style="13" customWidth="1"/>
    <col min="4304" max="4304" width="24.88671875" style="13" customWidth="1"/>
    <col min="4305" max="4305" width="14.44140625" style="13" customWidth="1"/>
    <col min="4306" max="4306" width="23.109375" style="13" customWidth="1"/>
    <col min="4307" max="4307" width="13.109375" style="13" customWidth="1"/>
    <col min="4308" max="4311" width="0" style="13" hidden="1" customWidth="1"/>
    <col min="4312" max="4547" width="10.33203125" style="13"/>
    <col min="4548" max="4548" width="7" style="13" customWidth="1"/>
    <col min="4549" max="4549" width="13" style="13" customWidth="1"/>
    <col min="4550" max="4550" width="14.109375" style="13" customWidth="1"/>
    <col min="4551" max="4551" width="17.33203125" style="13" customWidth="1"/>
    <col min="4552" max="4552" width="18.88671875" style="13" customWidth="1"/>
    <col min="4553" max="4553" width="14.109375" style="13" customWidth="1"/>
    <col min="4554" max="4554" width="21.5546875" style="13" customWidth="1"/>
    <col min="4555" max="4556" width="14.109375" style="13" customWidth="1"/>
    <col min="4557" max="4557" width="15" style="13" customWidth="1"/>
    <col min="4558" max="4558" width="13.33203125" style="13" customWidth="1"/>
    <col min="4559" max="4559" width="17" style="13" customWidth="1"/>
    <col min="4560" max="4560" width="24.88671875" style="13" customWidth="1"/>
    <col min="4561" max="4561" width="14.44140625" style="13" customWidth="1"/>
    <col min="4562" max="4562" width="23.109375" style="13" customWidth="1"/>
    <col min="4563" max="4563" width="13.109375" style="13" customWidth="1"/>
    <col min="4564" max="4567" width="0" style="13" hidden="1" customWidth="1"/>
    <col min="4568" max="4803" width="10.33203125" style="13"/>
    <col min="4804" max="4804" width="7" style="13" customWidth="1"/>
    <col min="4805" max="4805" width="13" style="13" customWidth="1"/>
    <col min="4806" max="4806" width="14.109375" style="13" customWidth="1"/>
    <col min="4807" max="4807" width="17.33203125" style="13" customWidth="1"/>
    <col min="4808" max="4808" width="18.88671875" style="13" customWidth="1"/>
    <col min="4809" max="4809" width="14.109375" style="13" customWidth="1"/>
    <col min="4810" max="4810" width="21.5546875" style="13" customWidth="1"/>
    <col min="4811" max="4812" width="14.109375" style="13" customWidth="1"/>
    <col min="4813" max="4813" width="15" style="13" customWidth="1"/>
    <col min="4814" max="4814" width="13.33203125" style="13" customWidth="1"/>
    <col min="4815" max="4815" width="17" style="13" customWidth="1"/>
    <col min="4816" max="4816" width="24.88671875" style="13" customWidth="1"/>
    <col min="4817" max="4817" width="14.44140625" style="13" customWidth="1"/>
    <col min="4818" max="4818" width="23.109375" style="13" customWidth="1"/>
    <col min="4819" max="4819" width="13.109375" style="13" customWidth="1"/>
    <col min="4820" max="4823" width="0" style="13" hidden="1" customWidth="1"/>
    <col min="4824" max="5059" width="10.33203125" style="13"/>
    <col min="5060" max="5060" width="7" style="13" customWidth="1"/>
    <col min="5061" max="5061" width="13" style="13" customWidth="1"/>
    <col min="5062" max="5062" width="14.109375" style="13" customWidth="1"/>
    <col min="5063" max="5063" width="17.33203125" style="13" customWidth="1"/>
    <col min="5064" max="5064" width="18.88671875" style="13" customWidth="1"/>
    <col min="5065" max="5065" width="14.109375" style="13" customWidth="1"/>
    <col min="5066" max="5066" width="21.5546875" style="13" customWidth="1"/>
    <col min="5067" max="5068" width="14.109375" style="13" customWidth="1"/>
    <col min="5069" max="5069" width="15" style="13" customWidth="1"/>
    <col min="5070" max="5070" width="13.33203125" style="13" customWidth="1"/>
    <col min="5071" max="5071" width="17" style="13" customWidth="1"/>
    <col min="5072" max="5072" width="24.88671875" style="13" customWidth="1"/>
    <col min="5073" max="5073" width="14.44140625" style="13" customWidth="1"/>
    <col min="5074" max="5074" width="23.109375" style="13" customWidth="1"/>
    <col min="5075" max="5075" width="13.109375" style="13" customWidth="1"/>
    <col min="5076" max="5079" width="0" style="13" hidden="1" customWidth="1"/>
    <col min="5080" max="5315" width="10.33203125" style="13"/>
    <col min="5316" max="5316" width="7" style="13" customWidth="1"/>
    <col min="5317" max="5317" width="13" style="13" customWidth="1"/>
    <col min="5318" max="5318" width="14.109375" style="13" customWidth="1"/>
    <col min="5319" max="5319" width="17.33203125" style="13" customWidth="1"/>
    <col min="5320" max="5320" width="18.88671875" style="13" customWidth="1"/>
    <col min="5321" max="5321" width="14.109375" style="13" customWidth="1"/>
    <col min="5322" max="5322" width="21.5546875" style="13" customWidth="1"/>
    <col min="5323" max="5324" width="14.109375" style="13" customWidth="1"/>
    <col min="5325" max="5325" width="15" style="13" customWidth="1"/>
    <col min="5326" max="5326" width="13.33203125" style="13" customWidth="1"/>
    <col min="5327" max="5327" width="17" style="13" customWidth="1"/>
    <col min="5328" max="5328" width="24.88671875" style="13" customWidth="1"/>
    <col min="5329" max="5329" width="14.44140625" style="13" customWidth="1"/>
    <col min="5330" max="5330" width="23.109375" style="13" customWidth="1"/>
    <col min="5331" max="5331" width="13.109375" style="13" customWidth="1"/>
    <col min="5332" max="5335" width="0" style="13" hidden="1" customWidth="1"/>
    <col min="5336" max="5571" width="10.33203125" style="13"/>
    <col min="5572" max="5572" width="7" style="13" customWidth="1"/>
    <col min="5573" max="5573" width="13" style="13" customWidth="1"/>
    <col min="5574" max="5574" width="14.109375" style="13" customWidth="1"/>
    <col min="5575" max="5575" width="17.33203125" style="13" customWidth="1"/>
    <col min="5576" max="5576" width="18.88671875" style="13" customWidth="1"/>
    <col min="5577" max="5577" width="14.109375" style="13" customWidth="1"/>
    <col min="5578" max="5578" width="21.5546875" style="13" customWidth="1"/>
    <col min="5579" max="5580" width="14.109375" style="13" customWidth="1"/>
    <col min="5581" max="5581" width="15" style="13" customWidth="1"/>
    <col min="5582" max="5582" width="13.33203125" style="13" customWidth="1"/>
    <col min="5583" max="5583" width="17" style="13" customWidth="1"/>
    <col min="5584" max="5584" width="24.88671875" style="13" customWidth="1"/>
    <col min="5585" max="5585" width="14.44140625" style="13" customWidth="1"/>
    <col min="5586" max="5586" width="23.109375" style="13" customWidth="1"/>
    <col min="5587" max="5587" width="13.109375" style="13" customWidth="1"/>
    <col min="5588" max="5591" width="0" style="13" hidden="1" customWidth="1"/>
    <col min="5592" max="5827" width="10.33203125" style="13"/>
    <col min="5828" max="5828" width="7" style="13" customWidth="1"/>
    <col min="5829" max="5829" width="13" style="13" customWidth="1"/>
    <col min="5830" max="5830" width="14.109375" style="13" customWidth="1"/>
    <col min="5831" max="5831" width="17.33203125" style="13" customWidth="1"/>
    <col min="5832" max="5832" width="18.88671875" style="13" customWidth="1"/>
    <col min="5833" max="5833" width="14.109375" style="13" customWidth="1"/>
    <col min="5834" max="5834" width="21.5546875" style="13" customWidth="1"/>
    <col min="5835" max="5836" width="14.109375" style="13" customWidth="1"/>
    <col min="5837" max="5837" width="15" style="13" customWidth="1"/>
    <col min="5838" max="5838" width="13.33203125" style="13" customWidth="1"/>
    <col min="5839" max="5839" width="17" style="13" customWidth="1"/>
    <col min="5840" max="5840" width="24.88671875" style="13" customWidth="1"/>
    <col min="5841" max="5841" width="14.44140625" style="13" customWidth="1"/>
    <col min="5842" max="5842" width="23.109375" style="13" customWidth="1"/>
    <col min="5843" max="5843" width="13.109375" style="13" customWidth="1"/>
    <col min="5844" max="5847" width="0" style="13" hidden="1" customWidth="1"/>
    <col min="5848" max="6083" width="10.33203125" style="13"/>
    <col min="6084" max="6084" width="7" style="13" customWidth="1"/>
    <col min="6085" max="6085" width="13" style="13" customWidth="1"/>
    <col min="6086" max="6086" width="14.109375" style="13" customWidth="1"/>
    <col min="6087" max="6087" width="17.33203125" style="13" customWidth="1"/>
    <col min="6088" max="6088" width="18.88671875" style="13" customWidth="1"/>
    <col min="6089" max="6089" width="14.109375" style="13" customWidth="1"/>
    <col min="6090" max="6090" width="21.5546875" style="13" customWidth="1"/>
    <col min="6091" max="6092" width="14.109375" style="13" customWidth="1"/>
    <col min="6093" max="6093" width="15" style="13" customWidth="1"/>
    <col min="6094" max="6094" width="13.33203125" style="13" customWidth="1"/>
    <col min="6095" max="6095" width="17" style="13" customWidth="1"/>
    <col min="6096" max="6096" width="24.88671875" style="13" customWidth="1"/>
    <col min="6097" max="6097" width="14.44140625" style="13" customWidth="1"/>
    <col min="6098" max="6098" width="23.109375" style="13" customWidth="1"/>
    <col min="6099" max="6099" width="13.109375" style="13" customWidth="1"/>
    <col min="6100" max="6103" width="0" style="13" hidden="1" customWidth="1"/>
    <col min="6104" max="6339" width="10.33203125" style="13"/>
    <col min="6340" max="6340" width="7" style="13" customWidth="1"/>
    <col min="6341" max="6341" width="13" style="13" customWidth="1"/>
    <col min="6342" max="6342" width="14.109375" style="13" customWidth="1"/>
    <col min="6343" max="6343" width="17.33203125" style="13" customWidth="1"/>
    <col min="6344" max="6344" width="18.88671875" style="13" customWidth="1"/>
    <col min="6345" max="6345" width="14.109375" style="13" customWidth="1"/>
    <col min="6346" max="6346" width="21.5546875" style="13" customWidth="1"/>
    <col min="6347" max="6348" width="14.109375" style="13" customWidth="1"/>
    <col min="6349" max="6349" width="15" style="13" customWidth="1"/>
    <col min="6350" max="6350" width="13.33203125" style="13" customWidth="1"/>
    <col min="6351" max="6351" width="17" style="13" customWidth="1"/>
    <col min="6352" max="6352" width="24.88671875" style="13" customWidth="1"/>
    <col min="6353" max="6353" width="14.44140625" style="13" customWidth="1"/>
    <col min="6354" max="6354" width="23.109375" style="13" customWidth="1"/>
    <col min="6355" max="6355" width="13.109375" style="13" customWidth="1"/>
    <col min="6356" max="6359" width="0" style="13" hidden="1" customWidth="1"/>
    <col min="6360" max="6595" width="10.33203125" style="13"/>
    <col min="6596" max="6596" width="7" style="13" customWidth="1"/>
    <col min="6597" max="6597" width="13" style="13" customWidth="1"/>
    <col min="6598" max="6598" width="14.109375" style="13" customWidth="1"/>
    <col min="6599" max="6599" width="17.33203125" style="13" customWidth="1"/>
    <col min="6600" max="6600" width="18.88671875" style="13" customWidth="1"/>
    <col min="6601" max="6601" width="14.109375" style="13" customWidth="1"/>
    <col min="6602" max="6602" width="21.5546875" style="13" customWidth="1"/>
    <col min="6603" max="6604" width="14.109375" style="13" customWidth="1"/>
    <col min="6605" max="6605" width="15" style="13" customWidth="1"/>
    <col min="6606" max="6606" width="13.33203125" style="13" customWidth="1"/>
    <col min="6607" max="6607" width="17" style="13" customWidth="1"/>
    <col min="6608" max="6608" width="24.88671875" style="13" customWidth="1"/>
    <col min="6609" max="6609" width="14.44140625" style="13" customWidth="1"/>
    <col min="6610" max="6610" width="23.109375" style="13" customWidth="1"/>
    <col min="6611" max="6611" width="13.109375" style="13" customWidth="1"/>
    <col min="6612" max="6615" width="0" style="13" hidden="1" customWidth="1"/>
    <col min="6616" max="6851" width="10.33203125" style="13"/>
    <col min="6852" max="6852" width="7" style="13" customWidth="1"/>
    <col min="6853" max="6853" width="13" style="13" customWidth="1"/>
    <col min="6854" max="6854" width="14.109375" style="13" customWidth="1"/>
    <col min="6855" max="6855" width="17.33203125" style="13" customWidth="1"/>
    <col min="6856" max="6856" width="18.88671875" style="13" customWidth="1"/>
    <col min="6857" max="6857" width="14.109375" style="13" customWidth="1"/>
    <col min="6858" max="6858" width="21.5546875" style="13" customWidth="1"/>
    <col min="6859" max="6860" width="14.109375" style="13" customWidth="1"/>
    <col min="6861" max="6861" width="15" style="13" customWidth="1"/>
    <col min="6862" max="6862" width="13.33203125" style="13" customWidth="1"/>
    <col min="6863" max="6863" width="17" style="13" customWidth="1"/>
    <col min="6864" max="6864" width="24.88671875" style="13" customWidth="1"/>
    <col min="6865" max="6865" width="14.44140625" style="13" customWidth="1"/>
    <col min="6866" max="6866" width="23.109375" style="13" customWidth="1"/>
    <col min="6867" max="6867" width="13.109375" style="13" customWidth="1"/>
    <col min="6868" max="6871" width="0" style="13" hidden="1" customWidth="1"/>
    <col min="6872" max="7107" width="10.33203125" style="13"/>
    <col min="7108" max="7108" width="7" style="13" customWidth="1"/>
    <col min="7109" max="7109" width="13" style="13" customWidth="1"/>
    <col min="7110" max="7110" width="14.109375" style="13" customWidth="1"/>
    <col min="7111" max="7111" width="17.33203125" style="13" customWidth="1"/>
    <col min="7112" max="7112" width="18.88671875" style="13" customWidth="1"/>
    <col min="7113" max="7113" width="14.109375" style="13" customWidth="1"/>
    <col min="7114" max="7114" width="21.5546875" style="13" customWidth="1"/>
    <col min="7115" max="7116" width="14.109375" style="13" customWidth="1"/>
    <col min="7117" max="7117" width="15" style="13" customWidth="1"/>
    <col min="7118" max="7118" width="13.33203125" style="13" customWidth="1"/>
    <col min="7119" max="7119" width="17" style="13" customWidth="1"/>
    <col min="7120" max="7120" width="24.88671875" style="13" customWidth="1"/>
    <col min="7121" max="7121" width="14.44140625" style="13" customWidth="1"/>
    <col min="7122" max="7122" width="23.109375" style="13" customWidth="1"/>
    <col min="7123" max="7123" width="13.109375" style="13" customWidth="1"/>
    <col min="7124" max="7127" width="0" style="13" hidden="1" customWidth="1"/>
    <col min="7128" max="7363" width="10.33203125" style="13"/>
    <col min="7364" max="7364" width="7" style="13" customWidth="1"/>
    <col min="7365" max="7365" width="13" style="13" customWidth="1"/>
    <col min="7366" max="7366" width="14.109375" style="13" customWidth="1"/>
    <col min="7367" max="7367" width="17.33203125" style="13" customWidth="1"/>
    <col min="7368" max="7368" width="18.88671875" style="13" customWidth="1"/>
    <col min="7369" max="7369" width="14.109375" style="13" customWidth="1"/>
    <col min="7370" max="7370" width="21.5546875" style="13" customWidth="1"/>
    <col min="7371" max="7372" width="14.109375" style="13" customWidth="1"/>
    <col min="7373" max="7373" width="15" style="13" customWidth="1"/>
    <col min="7374" max="7374" width="13.33203125" style="13" customWidth="1"/>
    <col min="7375" max="7375" width="17" style="13" customWidth="1"/>
    <col min="7376" max="7376" width="24.88671875" style="13" customWidth="1"/>
    <col min="7377" max="7377" width="14.44140625" style="13" customWidth="1"/>
    <col min="7378" max="7378" width="23.109375" style="13" customWidth="1"/>
    <col min="7379" max="7379" width="13.109375" style="13" customWidth="1"/>
    <col min="7380" max="7383" width="0" style="13" hidden="1" customWidth="1"/>
    <col min="7384" max="7619" width="10.33203125" style="13"/>
    <col min="7620" max="7620" width="7" style="13" customWidth="1"/>
    <col min="7621" max="7621" width="13" style="13" customWidth="1"/>
    <col min="7622" max="7622" width="14.109375" style="13" customWidth="1"/>
    <col min="7623" max="7623" width="17.33203125" style="13" customWidth="1"/>
    <col min="7624" max="7624" width="18.88671875" style="13" customWidth="1"/>
    <col min="7625" max="7625" width="14.109375" style="13" customWidth="1"/>
    <col min="7626" max="7626" width="21.5546875" style="13" customWidth="1"/>
    <col min="7627" max="7628" width="14.109375" style="13" customWidth="1"/>
    <col min="7629" max="7629" width="15" style="13" customWidth="1"/>
    <col min="7630" max="7630" width="13.33203125" style="13" customWidth="1"/>
    <col min="7631" max="7631" width="17" style="13" customWidth="1"/>
    <col min="7632" max="7632" width="24.88671875" style="13" customWidth="1"/>
    <col min="7633" max="7633" width="14.44140625" style="13" customWidth="1"/>
    <col min="7634" max="7634" width="23.109375" style="13" customWidth="1"/>
    <col min="7635" max="7635" width="13.109375" style="13" customWidth="1"/>
    <col min="7636" max="7639" width="0" style="13" hidden="1" customWidth="1"/>
    <col min="7640" max="7875" width="10.33203125" style="13"/>
    <col min="7876" max="7876" width="7" style="13" customWidth="1"/>
    <col min="7877" max="7877" width="13" style="13" customWidth="1"/>
    <col min="7878" max="7878" width="14.109375" style="13" customWidth="1"/>
    <col min="7879" max="7879" width="17.33203125" style="13" customWidth="1"/>
    <col min="7880" max="7880" width="18.88671875" style="13" customWidth="1"/>
    <col min="7881" max="7881" width="14.109375" style="13" customWidth="1"/>
    <col min="7882" max="7882" width="21.5546875" style="13" customWidth="1"/>
    <col min="7883" max="7884" width="14.109375" style="13" customWidth="1"/>
    <col min="7885" max="7885" width="15" style="13" customWidth="1"/>
    <col min="7886" max="7886" width="13.33203125" style="13" customWidth="1"/>
    <col min="7887" max="7887" width="17" style="13" customWidth="1"/>
    <col min="7888" max="7888" width="24.88671875" style="13" customWidth="1"/>
    <col min="7889" max="7889" width="14.44140625" style="13" customWidth="1"/>
    <col min="7890" max="7890" width="23.109375" style="13" customWidth="1"/>
    <col min="7891" max="7891" width="13.109375" style="13" customWidth="1"/>
    <col min="7892" max="7895" width="0" style="13" hidden="1" customWidth="1"/>
    <col min="7896" max="8131" width="10.33203125" style="13"/>
    <col min="8132" max="8132" width="7" style="13" customWidth="1"/>
    <col min="8133" max="8133" width="13" style="13" customWidth="1"/>
    <col min="8134" max="8134" width="14.109375" style="13" customWidth="1"/>
    <col min="8135" max="8135" width="17.33203125" style="13" customWidth="1"/>
    <col min="8136" max="8136" width="18.88671875" style="13" customWidth="1"/>
    <col min="8137" max="8137" width="14.109375" style="13" customWidth="1"/>
    <col min="8138" max="8138" width="21.5546875" style="13" customWidth="1"/>
    <col min="8139" max="8140" width="14.109375" style="13" customWidth="1"/>
    <col min="8141" max="8141" width="15" style="13" customWidth="1"/>
    <col min="8142" max="8142" width="13.33203125" style="13" customWidth="1"/>
    <col min="8143" max="8143" width="17" style="13" customWidth="1"/>
    <col min="8144" max="8144" width="24.88671875" style="13" customWidth="1"/>
    <col min="8145" max="8145" width="14.44140625" style="13" customWidth="1"/>
    <col min="8146" max="8146" width="23.109375" style="13" customWidth="1"/>
    <col min="8147" max="8147" width="13.109375" style="13" customWidth="1"/>
    <col min="8148" max="8151" width="0" style="13" hidden="1" customWidth="1"/>
    <col min="8152" max="8387" width="10.33203125" style="13"/>
    <col min="8388" max="8388" width="7" style="13" customWidth="1"/>
    <col min="8389" max="8389" width="13" style="13" customWidth="1"/>
    <col min="8390" max="8390" width="14.109375" style="13" customWidth="1"/>
    <col min="8391" max="8391" width="17.33203125" style="13" customWidth="1"/>
    <col min="8392" max="8392" width="18.88671875" style="13" customWidth="1"/>
    <col min="8393" max="8393" width="14.109375" style="13" customWidth="1"/>
    <col min="8394" max="8394" width="21.5546875" style="13" customWidth="1"/>
    <col min="8395" max="8396" width="14.109375" style="13" customWidth="1"/>
    <col min="8397" max="8397" width="15" style="13" customWidth="1"/>
    <col min="8398" max="8398" width="13.33203125" style="13" customWidth="1"/>
    <col min="8399" max="8399" width="17" style="13" customWidth="1"/>
    <col min="8400" max="8400" width="24.88671875" style="13" customWidth="1"/>
    <col min="8401" max="8401" width="14.44140625" style="13" customWidth="1"/>
    <col min="8402" max="8402" width="23.109375" style="13" customWidth="1"/>
    <col min="8403" max="8403" width="13.109375" style="13" customWidth="1"/>
    <col min="8404" max="8407" width="0" style="13" hidden="1" customWidth="1"/>
    <col min="8408" max="8643" width="10.33203125" style="13"/>
    <col min="8644" max="8644" width="7" style="13" customWidth="1"/>
    <col min="8645" max="8645" width="13" style="13" customWidth="1"/>
    <col min="8646" max="8646" width="14.109375" style="13" customWidth="1"/>
    <col min="8647" max="8647" width="17.33203125" style="13" customWidth="1"/>
    <col min="8648" max="8648" width="18.88671875" style="13" customWidth="1"/>
    <col min="8649" max="8649" width="14.109375" style="13" customWidth="1"/>
    <col min="8650" max="8650" width="21.5546875" style="13" customWidth="1"/>
    <col min="8651" max="8652" width="14.109375" style="13" customWidth="1"/>
    <col min="8653" max="8653" width="15" style="13" customWidth="1"/>
    <col min="8654" max="8654" width="13.33203125" style="13" customWidth="1"/>
    <col min="8655" max="8655" width="17" style="13" customWidth="1"/>
    <col min="8656" max="8656" width="24.88671875" style="13" customWidth="1"/>
    <col min="8657" max="8657" width="14.44140625" style="13" customWidth="1"/>
    <col min="8658" max="8658" width="23.109375" style="13" customWidth="1"/>
    <col min="8659" max="8659" width="13.109375" style="13" customWidth="1"/>
    <col min="8660" max="8663" width="0" style="13" hidden="1" customWidth="1"/>
    <col min="8664" max="8899" width="10.33203125" style="13"/>
    <col min="8900" max="8900" width="7" style="13" customWidth="1"/>
    <col min="8901" max="8901" width="13" style="13" customWidth="1"/>
    <col min="8902" max="8902" width="14.109375" style="13" customWidth="1"/>
    <col min="8903" max="8903" width="17.33203125" style="13" customWidth="1"/>
    <col min="8904" max="8904" width="18.88671875" style="13" customWidth="1"/>
    <col min="8905" max="8905" width="14.109375" style="13" customWidth="1"/>
    <col min="8906" max="8906" width="21.5546875" style="13" customWidth="1"/>
    <col min="8907" max="8908" width="14.109375" style="13" customWidth="1"/>
    <col min="8909" max="8909" width="15" style="13" customWidth="1"/>
    <col min="8910" max="8910" width="13.33203125" style="13" customWidth="1"/>
    <col min="8911" max="8911" width="17" style="13" customWidth="1"/>
    <col min="8912" max="8912" width="24.88671875" style="13" customWidth="1"/>
    <col min="8913" max="8913" width="14.44140625" style="13" customWidth="1"/>
    <col min="8914" max="8914" width="23.109375" style="13" customWidth="1"/>
    <col min="8915" max="8915" width="13.109375" style="13" customWidth="1"/>
    <col min="8916" max="8919" width="0" style="13" hidden="1" customWidth="1"/>
    <col min="8920" max="9155" width="10.33203125" style="13"/>
    <col min="9156" max="9156" width="7" style="13" customWidth="1"/>
    <col min="9157" max="9157" width="13" style="13" customWidth="1"/>
    <col min="9158" max="9158" width="14.109375" style="13" customWidth="1"/>
    <col min="9159" max="9159" width="17.33203125" style="13" customWidth="1"/>
    <col min="9160" max="9160" width="18.88671875" style="13" customWidth="1"/>
    <col min="9161" max="9161" width="14.109375" style="13" customWidth="1"/>
    <col min="9162" max="9162" width="21.5546875" style="13" customWidth="1"/>
    <col min="9163" max="9164" width="14.109375" style="13" customWidth="1"/>
    <col min="9165" max="9165" width="15" style="13" customWidth="1"/>
    <col min="9166" max="9166" width="13.33203125" style="13" customWidth="1"/>
    <col min="9167" max="9167" width="17" style="13" customWidth="1"/>
    <col min="9168" max="9168" width="24.88671875" style="13" customWidth="1"/>
    <col min="9169" max="9169" width="14.44140625" style="13" customWidth="1"/>
    <col min="9170" max="9170" width="23.109375" style="13" customWidth="1"/>
    <col min="9171" max="9171" width="13.109375" style="13" customWidth="1"/>
    <col min="9172" max="9175" width="0" style="13" hidden="1" customWidth="1"/>
    <col min="9176" max="9411" width="10.33203125" style="13"/>
    <col min="9412" max="9412" width="7" style="13" customWidth="1"/>
    <col min="9413" max="9413" width="13" style="13" customWidth="1"/>
    <col min="9414" max="9414" width="14.109375" style="13" customWidth="1"/>
    <col min="9415" max="9415" width="17.33203125" style="13" customWidth="1"/>
    <col min="9416" max="9416" width="18.88671875" style="13" customWidth="1"/>
    <col min="9417" max="9417" width="14.109375" style="13" customWidth="1"/>
    <col min="9418" max="9418" width="21.5546875" style="13" customWidth="1"/>
    <col min="9419" max="9420" width="14.109375" style="13" customWidth="1"/>
    <col min="9421" max="9421" width="15" style="13" customWidth="1"/>
    <col min="9422" max="9422" width="13.33203125" style="13" customWidth="1"/>
    <col min="9423" max="9423" width="17" style="13" customWidth="1"/>
    <col min="9424" max="9424" width="24.88671875" style="13" customWidth="1"/>
    <col min="9425" max="9425" width="14.44140625" style="13" customWidth="1"/>
    <col min="9426" max="9426" width="23.109375" style="13" customWidth="1"/>
    <col min="9427" max="9427" width="13.109375" style="13" customWidth="1"/>
    <col min="9428" max="9431" width="0" style="13" hidden="1" customWidth="1"/>
    <col min="9432" max="9667" width="10.33203125" style="13"/>
    <col min="9668" max="9668" width="7" style="13" customWidth="1"/>
    <col min="9669" max="9669" width="13" style="13" customWidth="1"/>
    <col min="9670" max="9670" width="14.109375" style="13" customWidth="1"/>
    <col min="9671" max="9671" width="17.33203125" style="13" customWidth="1"/>
    <col min="9672" max="9672" width="18.88671875" style="13" customWidth="1"/>
    <col min="9673" max="9673" width="14.109375" style="13" customWidth="1"/>
    <col min="9674" max="9674" width="21.5546875" style="13" customWidth="1"/>
    <col min="9675" max="9676" width="14.109375" style="13" customWidth="1"/>
    <col min="9677" max="9677" width="15" style="13" customWidth="1"/>
    <col min="9678" max="9678" width="13.33203125" style="13" customWidth="1"/>
    <col min="9679" max="9679" width="17" style="13" customWidth="1"/>
    <col min="9680" max="9680" width="24.88671875" style="13" customWidth="1"/>
    <col min="9681" max="9681" width="14.44140625" style="13" customWidth="1"/>
    <col min="9682" max="9682" width="23.109375" style="13" customWidth="1"/>
    <col min="9683" max="9683" width="13.109375" style="13" customWidth="1"/>
    <col min="9684" max="9687" width="0" style="13" hidden="1" customWidth="1"/>
    <col min="9688" max="9923" width="10.33203125" style="13"/>
    <col min="9924" max="9924" width="7" style="13" customWidth="1"/>
    <col min="9925" max="9925" width="13" style="13" customWidth="1"/>
    <col min="9926" max="9926" width="14.109375" style="13" customWidth="1"/>
    <col min="9927" max="9927" width="17.33203125" style="13" customWidth="1"/>
    <col min="9928" max="9928" width="18.88671875" style="13" customWidth="1"/>
    <col min="9929" max="9929" width="14.109375" style="13" customWidth="1"/>
    <col min="9930" max="9930" width="21.5546875" style="13" customWidth="1"/>
    <col min="9931" max="9932" width="14.109375" style="13" customWidth="1"/>
    <col min="9933" max="9933" width="15" style="13" customWidth="1"/>
    <col min="9934" max="9934" width="13.33203125" style="13" customWidth="1"/>
    <col min="9935" max="9935" width="17" style="13" customWidth="1"/>
    <col min="9936" max="9936" width="24.88671875" style="13" customWidth="1"/>
    <col min="9937" max="9937" width="14.44140625" style="13" customWidth="1"/>
    <col min="9938" max="9938" width="23.109375" style="13" customWidth="1"/>
    <col min="9939" max="9939" width="13.109375" style="13" customWidth="1"/>
    <col min="9940" max="9943" width="0" style="13" hidden="1" customWidth="1"/>
    <col min="9944" max="10179" width="10.33203125" style="13"/>
    <col min="10180" max="10180" width="7" style="13" customWidth="1"/>
    <col min="10181" max="10181" width="13" style="13" customWidth="1"/>
    <col min="10182" max="10182" width="14.109375" style="13" customWidth="1"/>
    <col min="10183" max="10183" width="17.33203125" style="13" customWidth="1"/>
    <col min="10184" max="10184" width="18.88671875" style="13" customWidth="1"/>
    <col min="10185" max="10185" width="14.109375" style="13" customWidth="1"/>
    <col min="10186" max="10186" width="21.5546875" style="13" customWidth="1"/>
    <col min="10187" max="10188" width="14.109375" style="13" customWidth="1"/>
    <col min="10189" max="10189" width="15" style="13" customWidth="1"/>
    <col min="10190" max="10190" width="13.33203125" style="13" customWidth="1"/>
    <col min="10191" max="10191" width="17" style="13" customWidth="1"/>
    <col min="10192" max="10192" width="24.88671875" style="13" customWidth="1"/>
    <col min="10193" max="10193" width="14.44140625" style="13" customWidth="1"/>
    <col min="10194" max="10194" width="23.109375" style="13" customWidth="1"/>
    <col min="10195" max="10195" width="13.109375" style="13" customWidth="1"/>
    <col min="10196" max="10199" width="0" style="13" hidden="1" customWidth="1"/>
    <col min="10200" max="10435" width="10.33203125" style="13"/>
    <col min="10436" max="10436" width="7" style="13" customWidth="1"/>
    <col min="10437" max="10437" width="13" style="13" customWidth="1"/>
    <col min="10438" max="10438" width="14.109375" style="13" customWidth="1"/>
    <col min="10439" max="10439" width="17.33203125" style="13" customWidth="1"/>
    <col min="10440" max="10440" width="18.88671875" style="13" customWidth="1"/>
    <col min="10441" max="10441" width="14.109375" style="13" customWidth="1"/>
    <col min="10442" max="10442" width="21.5546875" style="13" customWidth="1"/>
    <col min="10443" max="10444" width="14.109375" style="13" customWidth="1"/>
    <col min="10445" max="10445" width="15" style="13" customWidth="1"/>
    <col min="10446" max="10446" width="13.33203125" style="13" customWidth="1"/>
    <col min="10447" max="10447" width="17" style="13" customWidth="1"/>
    <col min="10448" max="10448" width="24.88671875" style="13" customWidth="1"/>
    <col min="10449" max="10449" width="14.44140625" style="13" customWidth="1"/>
    <col min="10450" max="10450" width="23.109375" style="13" customWidth="1"/>
    <col min="10451" max="10451" width="13.109375" style="13" customWidth="1"/>
    <col min="10452" max="10455" width="0" style="13" hidden="1" customWidth="1"/>
    <col min="10456" max="10691" width="10.33203125" style="13"/>
    <col min="10692" max="10692" width="7" style="13" customWidth="1"/>
    <col min="10693" max="10693" width="13" style="13" customWidth="1"/>
    <col min="10694" max="10694" width="14.109375" style="13" customWidth="1"/>
    <col min="10695" max="10695" width="17.33203125" style="13" customWidth="1"/>
    <col min="10696" max="10696" width="18.88671875" style="13" customWidth="1"/>
    <col min="10697" max="10697" width="14.109375" style="13" customWidth="1"/>
    <col min="10698" max="10698" width="21.5546875" style="13" customWidth="1"/>
    <col min="10699" max="10700" width="14.109375" style="13" customWidth="1"/>
    <col min="10701" max="10701" width="15" style="13" customWidth="1"/>
    <col min="10702" max="10702" width="13.33203125" style="13" customWidth="1"/>
    <col min="10703" max="10703" width="17" style="13" customWidth="1"/>
    <col min="10704" max="10704" width="24.88671875" style="13" customWidth="1"/>
    <col min="10705" max="10705" width="14.44140625" style="13" customWidth="1"/>
    <col min="10706" max="10706" width="23.109375" style="13" customWidth="1"/>
    <col min="10707" max="10707" width="13.109375" style="13" customWidth="1"/>
    <col min="10708" max="10711" width="0" style="13" hidden="1" customWidth="1"/>
    <col min="10712" max="10947" width="10.33203125" style="13"/>
    <col min="10948" max="10948" width="7" style="13" customWidth="1"/>
    <col min="10949" max="10949" width="13" style="13" customWidth="1"/>
    <col min="10950" max="10950" width="14.109375" style="13" customWidth="1"/>
    <col min="10951" max="10951" width="17.33203125" style="13" customWidth="1"/>
    <col min="10952" max="10952" width="18.88671875" style="13" customWidth="1"/>
    <col min="10953" max="10953" width="14.109375" style="13" customWidth="1"/>
    <col min="10954" max="10954" width="21.5546875" style="13" customWidth="1"/>
    <col min="10955" max="10956" width="14.109375" style="13" customWidth="1"/>
    <col min="10957" max="10957" width="15" style="13" customWidth="1"/>
    <col min="10958" max="10958" width="13.33203125" style="13" customWidth="1"/>
    <col min="10959" max="10959" width="17" style="13" customWidth="1"/>
    <col min="10960" max="10960" width="24.88671875" style="13" customWidth="1"/>
    <col min="10961" max="10961" width="14.44140625" style="13" customWidth="1"/>
    <col min="10962" max="10962" width="23.109375" style="13" customWidth="1"/>
    <col min="10963" max="10963" width="13.109375" style="13" customWidth="1"/>
    <col min="10964" max="10967" width="0" style="13" hidden="1" customWidth="1"/>
    <col min="10968" max="11203" width="10.33203125" style="13"/>
    <col min="11204" max="11204" width="7" style="13" customWidth="1"/>
    <col min="11205" max="11205" width="13" style="13" customWidth="1"/>
    <col min="11206" max="11206" width="14.109375" style="13" customWidth="1"/>
    <col min="11207" max="11207" width="17.33203125" style="13" customWidth="1"/>
    <col min="11208" max="11208" width="18.88671875" style="13" customWidth="1"/>
    <col min="11209" max="11209" width="14.109375" style="13" customWidth="1"/>
    <col min="11210" max="11210" width="21.5546875" style="13" customWidth="1"/>
    <col min="11211" max="11212" width="14.109375" style="13" customWidth="1"/>
    <col min="11213" max="11213" width="15" style="13" customWidth="1"/>
    <col min="11214" max="11214" width="13.33203125" style="13" customWidth="1"/>
    <col min="11215" max="11215" width="17" style="13" customWidth="1"/>
    <col min="11216" max="11216" width="24.88671875" style="13" customWidth="1"/>
    <col min="11217" max="11217" width="14.44140625" style="13" customWidth="1"/>
    <col min="11218" max="11218" width="23.109375" style="13" customWidth="1"/>
    <col min="11219" max="11219" width="13.109375" style="13" customWidth="1"/>
    <col min="11220" max="11223" width="0" style="13" hidden="1" customWidth="1"/>
    <col min="11224" max="11459" width="10.33203125" style="13"/>
    <col min="11460" max="11460" width="7" style="13" customWidth="1"/>
    <col min="11461" max="11461" width="13" style="13" customWidth="1"/>
    <col min="11462" max="11462" width="14.109375" style="13" customWidth="1"/>
    <col min="11463" max="11463" width="17.33203125" style="13" customWidth="1"/>
    <col min="11464" max="11464" width="18.88671875" style="13" customWidth="1"/>
    <col min="11465" max="11465" width="14.109375" style="13" customWidth="1"/>
    <col min="11466" max="11466" width="21.5546875" style="13" customWidth="1"/>
    <col min="11467" max="11468" width="14.109375" style="13" customWidth="1"/>
    <col min="11469" max="11469" width="15" style="13" customWidth="1"/>
    <col min="11470" max="11470" width="13.33203125" style="13" customWidth="1"/>
    <col min="11471" max="11471" width="17" style="13" customWidth="1"/>
    <col min="11472" max="11472" width="24.88671875" style="13" customWidth="1"/>
    <col min="11473" max="11473" width="14.44140625" style="13" customWidth="1"/>
    <col min="11474" max="11474" width="23.109375" style="13" customWidth="1"/>
    <col min="11475" max="11475" width="13.109375" style="13" customWidth="1"/>
    <col min="11476" max="11479" width="0" style="13" hidden="1" customWidth="1"/>
    <col min="11480" max="11715" width="10.33203125" style="13"/>
    <col min="11716" max="11716" width="7" style="13" customWidth="1"/>
    <col min="11717" max="11717" width="13" style="13" customWidth="1"/>
    <col min="11718" max="11718" width="14.109375" style="13" customWidth="1"/>
    <col min="11719" max="11719" width="17.33203125" style="13" customWidth="1"/>
    <col min="11720" max="11720" width="18.88671875" style="13" customWidth="1"/>
    <col min="11721" max="11721" width="14.109375" style="13" customWidth="1"/>
    <col min="11722" max="11722" width="21.5546875" style="13" customWidth="1"/>
    <col min="11723" max="11724" width="14.109375" style="13" customWidth="1"/>
    <col min="11725" max="11725" width="15" style="13" customWidth="1"/>
    <col min="11726" max="11726" width="13.33203125" style="13" customWidth="1"/>
    <col min="11727" max="11727" width="17" style="13" customWidth="1"/>
    <col min="11728" max="11728" width="24.88671875" style="13" customWidth="1"/>
    <col min="11729" max="11729" width="14.44140625" style="13" customWidth="1"/>
    <col min="11730" max="11730" width="23.109375" style="13" customWidth="1"/>
    <col min="11731" max="11731" width="13.109375" style="13" customWidth="1"/>
    <col min="11732" max="11735" width="0" style="13" hidden="1" customWidth="1"/>
    <col min="11736" max="11971" width="10.33203125" style="13"/>
    <col min="11972" max="11972" width="7" style="13" customWidth="1"/>
    <col min="11973" max="11973" width="13" style="13" customWidth="1"/>
    <col min="11974" max="11974" width="14.109375" style="13" customWidth="1"/>
    <col min="11975" max="11975" width="17.33203125" style="13" customWidth="1"/>
    <col min="11976" max="11976" width="18.88671875" style="13" customWidth="1"/>
    <col min="11977" max="11977" width="14.109375" style="13" customWidth="1"/>
    <col min="11978" max="11978" width="21.5546875" style="13" customWidth="1"/>
    <col min="11979" max="11980" width="14.109375" style="13" customWidth="1"/>
    <col min="11981" max="11981" width="15" style="13" customWidth="1"/>
    <col min="11982" max="11982" width="13.33203125" style="13" customWidth="1"/>
    <col min="11983" max="11983" width="17" style="13" customWidth="1"/>
    <col min="11984" max="11984" width="24.88671875" style="13" customWidth="1"/>
    <col min="11985" max="11985" width="14.44140625" style="13" customWidth="1"/>
    <col min="11986" max="11986" width="23.109375" style="13" customWidth="1"/>
    <col min="11987" max="11987" width="13.109375" style="13" customWidth="1"/>
    <col min="11988" max="11991" width="0" style="13" hidden="1" customWidth="1"/>
    <col min="11992" max="12227" width="10.33203125" style="13"/>
    <col min="12228" max="12228" width="7" style="13" customWidth="1"/>
    <col min="12229" max="12229" width="13" style="13" customWidth="1"/>
    <col min="12230" max="12230" width="14.109375" style="13" customWidth="1"/>
    <col min="12231" max="12231" width="17.33203125" style="13" customWidth="1"/>
    <col min="12232" max="12232" width="18.88671875" style="13" customWidth="1"/>
    <col min="12233" max="12233" width="14.109375" style="13" customWidth="1"/>
    <col min="12234" max="12234" width="21.5546875" style="13" customWidth="1"/>
    <col min="12235" max="12236" width="14.109375" style="13" customWidth="1"/>
    <col min="12237" max="12237" width="15" style="13" customWidth="1"/>
    <col min="12238" max="12238" width="13.33203125" style="13" customWidth="1"/>
    <col min="12239" max="12239" width="17" style="13" customWidth="1"/>
    <col min="12240" max="12240" width="24.88671875" style="13" customWidth="1"/>
    <col min="12241" max="12241" width="14.44140625" style="13" customWidth="1"/>
    <col min="12242" max="12242" width="23.109375" style="13" customWidth="1"/>
    <col min="12243" max="12243" width="13.109375" style="13" customWidth="1"/>
    <col min="12244" max="12247" width="0" style="13" hidden="1" customWidth="1"/>
    <col min="12248" max="12483" width="10.33203125" style="13"/>
    <col min="12484" max="12484" width="7" style="13" customWidth="1"/>
    <col min="12485" max="12485" width="13" style="13" customWidth="1"/>
    <col min="12486" max="12486" width="14.109375" style="13" customWidth="1"/>
    <col min="12487" max="12487" width="17.33203125" style="13" customWidth="1"/>
    <col min="12488" max="12488" width="18.88671875" style="13" customWidth="1"/>
    <col min="12489" max="12489" width="14.109375" style="13" customWidth="1"/>
    <col min="12490" max="12490" width="21.5546875" style="13" customWidth="1"/>
    <col min="12491" max="12492" width="14.109375" style="13" customWidth="1"/>
    <col min="12493" max="12493" width="15" style="13" customWidth="1"/>
    <col min="12494" max="12494" width="13.33203125" style="13" customWidth="1"/>
    <col min="12495" max="12495" width="17" style="13" customWidth="1"/>
    <col min="12496" max="12496" width="24.88671875" style="13" customWidth="1"/>
    <col min="12497" max="12497" width="14.44140625" style="13" customWidth="1"/>
    <col min="12498" max="12498" width="23.109375" style="13" customWidth="1"/>
    <col min="12499" max="12499" width="13.109375" style="13" customWidth="1"/>
    <col min="12500" max="12503" width="0" style="13" hidden="1" customWidth="1"/>
    <col min="12504" max="12739" width="10.33203125" style="13"/>
    <col min="12740" max="12740" width="7" style="13" customWidth="1"/>
    <col min="12741" max="12741" width="13" style="13" customWidth="1"/>
    <col min="12742" max="12742" width="14.109375" style="13" customWidth="1"/>
    <col min="12743" max="12743" width="17.33203125" style="13" customWidth="1"/>
    <col min="12744" max="12744" width="18.88671875" style="13" customWidth="1"/>
    <col min="12745" max="12745" width="14.109375" style="13" customWidth="1"/>
    <col min="12746" max="12746" width="21.5546875" style="13" customWidth="1"/>
    <col min="12747" max="12748" width="14.109375" style="13" customWidth="1"/>
    <col min="12749" max="12749" width="15" style="13" customWidth="1"/>
    <col min="12750" max="12750" width="13.33203125" style="13" customWidth="1"/>
    <col min="12751" max="12751" width="17" style="13" customWidth="1"/>
    <col min="12752" max="12752" width="24.88671875" style="13" customWidth="1"/>
    <col min="12753" max="12753" width="14.44140625" style="13" customWidth="1"/>
    <col min="12754" max="12754" width="23.109375" style="13" customWidth="1"/>
    <col min="12755" max="12755" width="13.109375" style="13" customWidth="1"/>
    <col min="12756" max="12759" width="0" style="13" hidden="1" customWidth="1"/>
    <col min="12760" max="12995" width="10.33203125" style="13"/>
    <col min="12996" max="12996" width="7" style="13" customWidth="1"/>
    <col min="12997" max="12997" width="13" style="13" customWidth="1"/>
    <col min="12998" max="12998" width="14.109375" style="13" customWidth="1"/>
    <col min="12999" max="12999" width="17.33203125" style="13" customWidth="1"/>
    <col min="13000" max="13000" width="18.88671875" style="13" customWidth="1"/>
    <col min="13001" max="13001" width="14.109375" style="13" customWidth="1"/>
    <col min="13002" max="13002" width="21.5546875" style="13" customWidth="1"/>
    <col min="13003" max="13004" width="14.109375" style="13" customWidth="1"/>
    <col min="13005" max="13005" width="15" style="13" customWidth="1"/>
    <col min="13006" max="13006" width="13.33203125" style="13" customWidth="1"/>
    <col min="13007" max="13007" width="17" style="13" customWidth="1"/>
    <col min="13008" max="13008" width="24.88671875" style="13" customWidth="1"/>
    <col min="13009" max="13009" width="14.44140625" style="13" customWidth="1"/>
    <col min="13010" max="13010" width="23.109375" style="13" customWidth="1"/>
    <col min="13011" max="13011" width="13.109375" style="13" customWidth="1"/>
    <col min="13012" max="13015" width="0" style="13" hidden="1" customWidth="1"/>
    <col min="13016" max="13251" width="10.33203125" style="13"/>
    <col min="13252" max="13252" width="7" style="13" customWidth="1"/>
    <col min="13253" max="13253" width="13" style="13" customWidth="1"/>
    <col min="13254" max="13254" width="14.109375" style="13" customWidth="1"/>
    <col min="13255" max="13255" width="17.33203125" style="13" customWidth="1"/>
    <col min="13256" max="13256" width="18.88671875" style="13" customWidth="1"/>
    <col min="13257" max="13257" width="14.109375" style="13" customWidth="1"/>
    <col min="13258" max="13258" width="21.5546875" style="13" customWidth="1"/>
    <col min="13259" max="13260" width="14.109375" style="13" customWidth="1"/>
    <col min="13261" max="13261" width="15" style="13" customWidth="1"/>
    <col min="13262" max="13262" width="13.33203125" style="13" customWidth="1"/>
    <col min="13263" max="13263" width="17" style="13" customWidth="1"/>
    <col min="13264" max="13264" width="24.88671875" style="13" customWidth="1"/>
    <col min="13265" max="13265" width="14.44140625" style="13" customWidth="1"/>
    <col min="13266" max="13266" width="23.109375" style="13" customWidth="1"/>
    <col min="13267" max="13267" width="13.109375" style="13" customWidth="1"/>
    <col min="13268" max="13271" width="0" style="13" hidden="1" customWidth="1"/>
    <col min="13272" max="13507" width="10.33203125" style="13"/>
    <col min="13508" max="13508" width="7" style="13" customWidth="1"/>
    <col min="13509" max="13509" width="13" style="13" customWidth="1"/>
    <col min="13510" max="13510" width="14.109375" style="13" customWidth="1"/>
    <col min="13511" max="13511" width="17.33203125" style="13" customWidth="1"/>
    <col min="13512" max="13512" width="18.88671875" style="13" customWidth="1"/>
    <col min="13513" max="13513" width="14.109375" style="13" customWidth="1"/>
    <col min="13514" max="13514" width="21.5546875" style="13" customWidth="1"/>
    <col min="13515" max="13516" width="14.109375" style="13" customWidth="1"/>
    <col min="13517" max="13517" width="15" style="13" customWidth="1"/>
    <col min="13518" max="13518" width="13.33203125" style="13" customWidth="1"/>
    <col min="13519" max="13519" width="17" style="13" customWidth="1"/>
    <col min="13520" max="13520" width="24.88671875" style="13" customWidth="1"/>
    <col min="13521" max="13521" width="14.44140625" style="13" customWidth="1"/>
    <col min="13522" max="13522" width="23.109375" style="13" customWidth="1"/>
    <col min="13523" max="13523" width="13.109375" style="13" customWidth="1"/>
    <col min="13524" max="13527" width="0" style="13" hidden="1" customWidth="1"/>
    <col min="13528" max="13763" width="10.33203125" style="13"/>
    <col min="13764" max="13764" width="7" style="13" customWidth="1"/>
    <col min="13765" max="13765" width="13" style="13" customWidth="1"/>
    <col min="13766" max="13766" width="14.109375" style="13" customWidth="1"/>
    <col min="13767" max="13767" width="17.33203125" style="13" customWidth="1"/>
    <col min="13768" max="13768" width="18.88671875" style="13" customWidth="1"/>
    <col min="13769" max="13769" width="14.109375" style="13" customWidth="1"/>
    <col min="13770" max="13770" width="21.5546875" style="13" customWidth="1"/>
    <col min="13771" max="13772" width="14.109375" style="13" customWidth="1"/>
    <col min="13773" max="13773" width="15" style="13" customWidth="1"/>
    <col min="13774" max="13774" width="13.33203125" style="13" customWidth="1"/>
    <col min="13775" max="13775" width="17" style="13" customWidth="1"/>
    <col min="13776" max="13776" width="24.88671875" style="13" customWidth="1"/>
    <col min="13777" max="13777" width="14.44140625" style="13" customWidth="1"/>
    <col min="13778" max="13778" width="23.109375" style="13" customWidth="1"/>
    <col min="13779" max="13779" width="13.109375" style="13" customWidth="1"/>
    <col min="13780" max="13783" width="0" style="13" hidden="1" customWidth="1"/>
    <col min="13784" max="14019" width="10.33203125" style="13"/>
    <col min="14020" max="14020" width="7" style="13" customWidth="1"/>
    <col min="14021" max="14021" width="13" style="13" customWidth="1"/>
    <col min="14022" max="14022" width="14.109375" style="13" customWidth="1"/>
    <col min="14023" max="14023" width="17.33203125" style="13" customWidth="1"/>
    <col min="14024" max="14024" width="18.88671875" style="13" customWidth="1"/>
    <col min="14025" max="14025" width="14.109375" style="13" customWidth="1"/>
    <col min="14026" max="14026" width="21.5546875" style="13" customWidth="1"/>
    <col min="14027" max="14028" width="14.109375" style="13" customWidth="1"/>
    <col min="14029" max="14029" width="15" style="13" customWidth="1"/>
    <col min="14030" max="14030" width="13.33203125" style="13" customWidth="1"/>
    <col min="14031" max="14031" width="17" style="13" customWidth="1"/>
    <col min="14032" max="14032" width="24.88671875" style="13" customWidth="1"/>
    <col min="14033" max="14033" width="14.44140625" style="13" customWidth="1"/>
    <col min="14034" max="14034" width="23.109375" style="13" customWidth="1"/>
    <col min="14035" max="14035" width="13.109375" style="13" customWidth="1"/>
    <col min="14036" max="14039" width="0" style="13" hidden="1" customWidth="1"/>
    <col min="14040" max="14275" width="10.33203125" style="13"/>
    <col min="14276" max="14276" width="7" style="13" customWidth="1"/>
    <col min="14277" max="14277" width="13" style="13" customWidth="1"/>
    <col min="14278" max="14278" width="14.109375" style="13" customWidth="1"/>
    <col min="14279" max="14279" width="17.33203125" style="13" customWidth="1"/>
    <col min="14280" max="14280" width="18.88671875" style="13" customWidth="1"/>
    <col min="14281" max="14281" width="14.109375" style="13" customWidth="1"/>
    <col min="14282" max="14282" width="21.5546875" style="13" customWidth="1"/>
    <col min="14283" max="14284" width="14.109375" style="13" customWidth="1"/>
    <col min="14285" max="14285" width="15" style="13" customWidth="1"/>
    <col min="14286" max="14286" width="13.33203125" style="13" customWidth="1"/>
    <col min="14287" max="14287" width="17" style="13" customWidth="1"/>
    <col min="14288" max="14288" width="24.88671875" style="13" customWidth="1"/>
    <col min="14289" max="14289" width="14.44140625" style="13" customWidth="1"/>
    <col min="14290" max="14290" width="23.109375" style="13" customWidth="1"/>
    <col min="14291" max="14291" width="13.109375" style="13" customWidth="1"/>
    <col min="14292" max="14295" width="0" style="13" hidden="1" customWidth="1"/>
    <col min="14296" max="14531" width="10.33203125" style="13"/>
    <col min="14532" max="14532" width="7" style="13" customWidth="1"/>
    <col min="14533" max="14533" width="13" style="13" customWidth="1"/>
    <col min="14534" max="14534" width="14.109375" style="13" customWidth="1"/>
    <col min="14535" max="14535" width="17.33203125" style="13" customWidth="1"/>
    <col min="14536" max="14536" width="18.88671875" style="13" customWidth="1"/>
    <col min="14537" max="14537" width="14.109375" style="13" customWidth="1"/>
    <col min="14538" max="14538" width="21.5546875" style="13" customWidth="1"/>
    <col min="14539" max="14540" width="14.109375" style="13" customWidth="1"/>
    <col min="14541" max="14541" width="15" style="13" customWidth="1"/>
    <col min="14542" max="14542" width="13.33203125" style="13" customWidth="1"/>
    <col min="14543" max="14543" width="17" style="13" customWidth="1"/>
    <col min="14544" max="14544" width="24.88671875" style="13" customWidth="1"/>
    <col min="14545" max="14545" width="14.44140625" style="13" customWidth="1"/>
    <col min="14546" max="14546" width="23.109375" style="13" customWidth="1"/>
    <col min="14547" max="14547" width="13.109375" style="13" customWidth="1"/>
    <col min="14548" max="14551" width="0" style="13" hidden="1" customWidth="1"/>
    <col min="14552" max="14787" width="10.33203125" style="13"/>
    <col min="14788" max="14788" width="7" style="13" customWidth="1"/>
    <col min="14789" max="14789" width="13" style="13" customWidth="1"/>
    <col min="14790" max="14790" width="14.109375" style="13" customWidth="1"/>
    <col min="14791" max="14791" width="17.33203125" style="13" customWidth="1"/>
    <col min="14792" max="14792" width="18.88671875" style="13" customWidth="1"/>
    <col min="14793" max="14793" width="14.109375" style="13" customWidth="1"/>
    <col min="14794" max="14794" width="21.5546875" style="13" customWidth="1"/>
    <col min="14795" max="14796" width="14.109375" style="13" customWidth="1"/>
    <col min="14797" max="14797" width="15" style="13" customWidth="1"/>
    <col min="14798" max="14798" width="13.33203125" style="13" customWidth="1"/>
    <col min="14799" max="14799" width="17" style="13" customWidth="1"/>
    <col min="14800" max="14800" width="24.88671875" style="13" customWidth="1"/>
    <col min="14801" max="14801" width="14.44140625" style="13" customWidth="1"/>
    <col min="14802" max="14802" width="23.109375" style="13" customWidth="1"/>
    <col min="14803" max="14803" width="13.109375" style="13" customWidth="1"/>
    <col min="14804" max="14807" width="0" style="13" hidden="1" customWidth="1"/>
    <col min="14808" max="15043" width="10.33203125" style="13"/>
    <col min="15044" max="15044" width="7" style="13" customWidth="1"/>
    <col min="15045" max="15045" width="13" style="13" customWidth="1"/>
    <col min="15046" max="15046" width="14.109375" style="13" customWidth="1"/>
    <col min="15047" max="15047" width="17.33203125" style="13" customWidth="1"/>
    <col min="15048" max="15048" width="18.88671875" style="13" customWidth="1"/>
    <col min="15049" max="15049" width="14.109375" style="13" customWidth="1"/>
    <col min="15050" max="15050" width="21.5546875" style="13" customWidth="1"/>
    <col min="15051" max="15052" width="14.109375" style="13" customWidth="1"/>
    <col min="15053" max="15053" width="15" style="13" customWidth="1"/>
    <col min="15054" max="15054" width="13.33203125" style="13" customWidth="1"/>
    <col min="15055" max="15055" width="17" style="13" customWidth="1"/>
    <col min="15056" max="15056" width="24.88671875" style="13" customWidth="1"/>
    <col min="15057" max="15057" width="14.44140625" style="13" customWidth="1"/>
    <col min="15058" max="15058" width="23.109375" style="13" customWidth="1"/>
    <col min="15059" max="15059" width="13.109375" style="13" customWidth="1"/>
    <col min="15060" max="15063" width="0" style="13" hidden="1" customWidth="1"/>
    <col min="15064" max="15299" width="10.33203125" style="13"/>
    <col min="15300" max="15300" width="7" style="13" customWidth="1"/>
    <col min="15301" max="15301" width="13" style="13" customWidth="1"/>
    <col min="15302" max="15302" width="14.109375" style="13" customWidth="1"/>
    <col min="15303" max="15303" width="17.33203125" style="13" customWidth="1"/>
    <col min="15304" max="15304" width="18.88671875" style="13" customWidth="1"/>
    <col min="15305" max="15305" width="14.109375" style="13" customWidth="1"/>
    <col min="15306" max="15306" width="21.5546875" style="13" customWidth="1"/>
    <col min="15307" max="15308" width="14.109375" style="13" customWidth="1"/>
    <col min="15309" max="15309" width="15" style="13" customWidth="1"/>
    <col min="15310" max="15310" width="13.33203125" style="13" customWidth="1"/>
    <col min="15311" max="15311" width="17" style="13" customWidth="1"/>
    <col min="15312" max="15312" width="24.88671875" style="13" customWidth="1"/>
    <col min="15313" max="15313" width="14.44140625" style="13" customWidth="1"/>
    <col min="15314" max="15314" width="23.109375" style="13" customWidth="1"/>
    <col min="15315" max="15315" width="13.109375" style="13" customWidth="1"/>
    <col min="15316" max="15319" width="0" style="13" hidden="1" customWidth="1"/>
    <col min="15320" max="15555" width="10.33203125" style="13"/>
    <col min="15556" max="15556" width="7" style="13" customWidth="1"/>
    <col min="15557" max="15557" width="13" style="13" customWidth="1"/>
    <col min="15558" max="15558" width="14.109375" style="13" customWidth="1"/>
    <col min="15559" max="15559" width="17.33203125" style="13" customWidth="1"/>
    <col min="15560" max="15560" width="18.88671875" style="13" customWidth="1"/>
    <col min="15561" max="15561" width="14.109375" style="13" customWidth="1"/>
    <col min="15562" max="15562" width="21.5546875" style="13" customWidth="1"/>
    <col min="15563" max="15564" width="14.109375" style="13" customWidth="1"/>
    <col min="15565" max="15565" width="15" style="13" customWidth="1"/>
    <col min="15566" max="15566" width="13.33203125" style="13" customWidth="1"/>
    <col min="15567" max="15567" width="17" style="13" customWidth="1"/>
    <col min="15568" max="15568" width="24.88671875" style="13" customWidth="1"/>
    <col min="15569" max="15569" width="14.44140625" style="13" customWidth="1"/>
    <col min="15570" max="15570" width="23.109375" style="13" customWidth="1"/>
    <col min="15571" max="15571" width="13.109375" style="13" customWidth="1"/>
    <col min="15572" max="15575" width="0" style="13" hidden="1" customWidth="1"/>
    <col min="15576" max="15811" width="10.33203125" style="13"/>
    <col min="15812" max="15812" width="7" style="13" customWidth="1"/>
    <col min="15813" max="15813" width="13" style="13" customWidth="1"/>
    <col min="15814" max="15814" width="14.109375" style="13" customWidth="1"/>
    <col min="15815" max="15815" width="17.33203125" style="13" customWidth="1"/>
    <col min="15816" max="15816" width="18.88671875" style="13" customWidth="1"/>
    <col min="15817" max="15817" width="14.109375" style="13" customWidth="1"/>
    <col min="15818" max="15818" width="21.5546875" style="13" customWidth="1"/>
    <col min="15819" max="15820" width="14.109375" style="13" customWidth="1"/>
    <col min="15821" max="15821" width="15" style="13" customWidth="1"/>
    <col min="15822" max="15822" width="13.33203125" style="13" customWidth="1"/>
    <col min="15823" max="15823" width="17" style="13" customWidth="1"/>
    <col min="15824" max="15824" width="24.88671875" style="13" customWidth="1"/>
    <col min="15825" max="15825" width="14.44140625" style="13" customWidth="1"/>
    <col min="15826" max="15826" width="23.109375" style="13" customWidth="1"/>
    <col min="15827" max="15827" width="13.109375" style="13" customWidth="1"/>
    <col min="15828" max="15831" width="0" style="13" hidden="1" customWidth="1"/>
    <col min="15832" max="16067" width="10.33203125" style="13"/>
    <col min="16068" max="16068" width="7" style="13" customWidth="1"/>
    <col min="16069" max="16069" width="13" style="13" customWidth="1"/>
    <col min="16070" max="16070" width="14.109375" style="13" customWidth="1"/>
    <col min="16071" max="16071" width="17.33203125" style="13" customWidth="1"/>
    <col min="16072" max="16072" width="18.88671875" style="13" customWidth="1"/>
    <col min="16073" max="16073" width="14.109375" style="13" customWidth="1"/>
    <col min="16074" max="16074" width="21.5546875" style="13" customWidth="1"/>
    <col min="16075" max="16076" width="14.109375" style="13" customWidth="1"/>
    <col min="16077" max="16077" width="15" style="13" customWidth="1"/>
    <col min="16078" max="16078" width="13.33203125" style="13" customWidth="1"/>
    <col min="16079" max="16079" width="17" style="13" customWidth="1"/>
    <col min="16080" max="16080" width="24.88671875" style="13" customWidth="1"/>
    <col min="16081" max="16081" width="14.44140625" style="13" customWidth="1"/>
    <col min="16082" max="16082" width="23.109375" style="13" customWidth="1"/>
    <col min="16083" max="16083" width="13.109375" style="13" customWidth="1"/>
    <col min="16084" max="16087" width="0" style="13" hidden="1" customWidth="1"/>
    <col min="16088" max="16384" width="10.33203125" style="13"/>
  </cols>
  <sheetData>
    <row r="1" spans="1:33" ht="15" customHeight="1">
      <c r="B1" s="125"/>
      <c r="Q1" s="2543"/>
      <c r="R1" s="2543"/>
      <c r="S1" s="2544"/>
      <c r="T1" s="2544"/>
      <c r="U1" s="2544"/>
      <c r="V1" s="2544"/>
      <c r="W1" s="2543"/>
      <c r="X1" s="2543"/>
      <c r="Y1" s="2543"/>
      <c r="Z1" s="2545"/>
      <c r="AA1" s="2543"/>
      <c r="AB1" s="2543"/>
      <c r="AC1" s="2543"/>
      <c r="AD1" s="2546"/>
    </row>
    <row r="2" spans="1:33" s="723" customFormat="1" ht="20.25" customHeight="1">
      <c r="A2" s="3304" t="s">
        <v>6226</v>
      </c>
      <c r="B2" s="3305"/>
      <c r="C2" s="3305"/>
      <c r="D2" s="3305"/>
      <c r="E2" s="3305"/>
      <c r="F2" s="3305"/>
      <c r="G2" s="3305"/>
      <c r="H2" s="3305"/>
      <c r="I2" s="3305"/>
      <c r="J2" s="3305"/>
      <c r="K2" s="3305"/>
      <c r="L2" s="3305"/>
      <c r="M2" s="1763"/>
      <c r="N2" s="1764"/>
      <c r="O2" s="1763"/>
      <c r="P2" s="1764"/>
      <c r="Q2" s="1764"/>
      <c r="R2" s="1764"/>
      <c r="S2" s="1764"/>
      <c r="T2" s="1764"/>
      <c r="U2" s="1764"/>
      <c r="V2" s="1764"/>
      <c r="W2" s="1764"/>
      <c r="X2" s="1764"/>
      <c r="Y2" s="1764"/>
      <c r="Z2" s="1764"/>
      <c r="AA2" s="1764"/>
      <c r="AB2" s="1764"/>
      <c r="AC2" s="1764"/>
      <c r="AD2" s="1764"/>
    </row>
    <row r="3" spans="1:33">
      <c r="B3" s="2613" t="s">
        <v>6126</v>
      </c>
      <c r="C3" s="648"/>
      <c r="D3" s="3645"/>
      <c r="E3" s="3645"/>
      <c r="F3" s="3645"/>
      <c r="G3" s="3645"/>
      <c r="H3" s="3645"/>
      <c r="I3" s="2616"/>
      <c r="J3" s="1765"/>
      <c r="L3" s="1243"/>
      <c r="M3" s="1765"/>
    </row>
    <row r="4" spans="1:33" s="1801" customFormat="1" ht="39.6">
      <c r="A4" s="33" t="s">
        <v>2</v>
      </c>
      <c r="B4" s="1272" t="s">
        <v>6227</v>
      </c>
      <c r="C4" s="2547" t="s">
        <v>6228</v>
      </c>
      <c r="D4" s="2547" t="s">
        <v>6229</v>
      </c>
      <c r="E4" s="2548" t="s">
        <v>4399</v>
      </c>
      <c r="F4" s="33" t="s">
        <v>8</v>
      </c>
      <c r="G4" s="33" t="s">
        <v>9</v>
      </c>
      <c r="H4" s="33" t="s">
        <v>102</v>
      </c>
      <c r="I4" s="35" t="s">
        <v>17</v>
      </c>
      <c r="J4" s="323" t="s">
        <v>6232</v>
      </c>
      <c r="K4" s="323" t="s">
        <v>6230</v>
      </c>
      <c r="L4" s="323" t="s">
        <v>6231</v>
      </c>
      <c r="M4" s="323"/>
      <c r="N4" s="33"/>
      <c r="O4" s="2549"/>
      <c r="P4" s="2550" t="s">
        <v>4665</v>
      </c>
      <c r="Q4" s="2550" t="s">
        <v>4664</v>
      </c>
      <c r="R4" s="2550" t="s">
        <v>4678</v>
      </c>
      <c r="S4" s="2551" t="s">
        <v>1291</v>
      </c>
      <c r="T4" s="2551" t="s">
        <v>190</v>
      </c>
      <c r="U4" s="2551" t="s">
        <v>191</v>
      </c>
      <c r="V4" s="2550" t="s">
        <v>192</v>
      </c>
      <c r="W4" s="2550" t="s">
        <v>1313</v>
      </c>
      <c r="X4" s="2552" t="s">
        <v>194</v>
      </c>
      <c r="Y4" s="2552" t="s">
        <v>4652</v>
      </c>
      <c r="Z4" s="2553" t="s">
        <v>197</v>
      </c>
      <c r="AA4" s="2552" t="s">
        <v>195</v>
      </c>
      <c r="AB4" s="2550" t="s">
        <v>198</v>
      </c>
      <c r="AC4" s="2552" t="s">
        <v>199</v>
      </c>
      <c r="AD4" s="2554" t="s">
        <v>200</v>
      </c>
      <c r="AE4" s="2118"/>
    </row>
    <row r="5" spans="1:33" ht="15.75" customHeight="1">
      <c r="A5" s="3681" t="s">
        <v>6100</v>
      </c>
      <c r="B5" s="3682"/>
      <c r="C5" s="3682"/>
      <c r="D5" s="3682"/>
      <c r="E5" s="3682"/>
      <c r="F5" s="3682"/>
      <c r="G5" s="3682"/>
      <c r="H5" s="3682"/>
      <c r="I5" s="3682"/>
      <c r="J5" s="3682"/>
      <c r="K5" s="3682"/>
      <c r="L5" s="3682"/>
      <c r="M5" s="3682"/>
      <c r="N5" s="3682"/>
      <c r="O5" s="3682"/>
      <c r="P5" s="3682"/>
      <c r="Q5" s="3682"/>
      <c r="R5" s="3682"/>
      <c r="S5" s="3682"/>
      <c r="T5" s="3682"/>
      <c r="U5" s="3682"/>
      <c r="V5" s="3682"/>
      <c r="W5" s="3682"/>
      <c r="X5" s="3682"/>
      <c r="Y5" s="3682"/>
      <c r="Z5" s="3683"/>
      <c r="AA5" s="2640"/>
      <c r="AB5" s="2640"/>
      <c r="AC5" s="2640"/>
      <c r="AD5" s="2640"/>
      <c r="AE5" s="2191"/>
      <c r="AF5" s="6"/>
      <c r="AG5" s="5"/>
    </row>
    <row r="6" spans="1:33" s="2056" customFormat="1" ht="28.5" customHeight="1">
      <c r="A6" s="1057">
        <v>1</v>
      </c>
      <c r="B6" s="659" t="s">
        <v>6192</v>
      </c>
      <c r="C6" s="2626" t="s">
        <v>6236</v>
      </c>
      <c r="D6" s="1057" t="s">
        <v>6233</v>
      </c>
      <c r="E6" s="2747" t="s">
        <v>6458</v>
      </c>
      <c r="F6" s="2335"/>
      <c r="G6" s="1345">
        <v>2</v>
      </c>
      <c r="H6" s="1345"/>
      <c r="I6" s="1345">
        <v>1034</v>
      </c>
      <c r="J6" s="1345">
        <v>34000</v>
      </c>
      <c r="K6" s="2637" t="s">
        <v>6234</v>
      </c>
      <c r="L6" s="2638" t="s">
        <v>6235</v>
      </c>
      <c r="M6" s="1057"/>
      <c r="N6" s="2627"/>
      <c r="O6" s="2628"/>
      <c r="P6" s="2627"/>
      <c r="Q6" s="2629"/>
      <c r="R6" s="2629"/>
      <c r="S6" s="2630"/>
      <c r="T6" s="2631"/>
      <c r="U6" s="2627"/>
      <c r="V6" s="2627"/>
      <c r="W6" s="2629"/>
      <c r="X6" s="2627"/>
      <c r="Y6" s="2632"/>
      <c r="Z6" s="2633"/>
      <c r="AA6" s="1339"/>
      <c r="AB6" s="664">
        <f>4500000*G6</f>
        <v>9000000</v>
      </c>
      <c r="AC6" s="665">
        <f>+AB6*1.08</f>
        <v>9720000</v>
      </c>
      <c r="AD6" s="2634"/>
      <c r="AE6" s="1549"/>
      <c r="AF6" s="1549"/>
      <c r="AG6" s="1504"/>
    </row>
    <row r="7" spans="1:33" s="1504" customFormat="1" ht="19.5" customHeight="1">
      <c r="A7" s="1503">
        <f>+A6+1</f>
        <v>2</v>
      </c>
      <c r="B7" s="2050" t="s">
        <v>6324</v>
      </c>
      <c r="C7" s="2575"/>
      <c r="D7" s="1503" t="s">
        <v>6328</v>
      </c>
      <c r="E7" s="2747" t="s">
        <v>6457</v>
      </c>
      <c r="F7" s="2048"/>
      <c r="G7" s="2054">
        <v>1</v>
      </c>
      <c r="H7" s="2054"/>
      <c r="I7" s="2054"/>
      <c r="J7" s="2054"/>
      <c r="K7" s="1504" t="s">
        <v>6346</v>
      </c>
      <c r="L7" s="2687" t="s">
        <v>6347</v>
      </c>
      <c r="M7" s="2065"/>
      <c r="N7" s="2066"/>
      <c r="O7" s="2050"/>
      <c r="P7" s="2051"/>
      <c r="Q7" s="2051"/>
      <c r="R7" s="2051"/>
      <c r="S7" s="2053"/>
      <c r="T7" s="2053"/>
      <c r="U7" s="2052"/>
      <c r="V7" s="2052"/>
      <c r="W7" s="2053"/>
      <c r="X7" s="2052"/>
      <c r="Y7" s="2052"/>
      <c r="Z7" s="2054"/>
      <c r="AA7" s="1339"/>
      <c r="AB7" s="2201">
        <v>6500000</v>
      </c>
      <c r="AC7" s="665">
        <f t="shared" ref="AC7:AC14" si="0">+AB7*1.08</f>
        <v>7020000</v>
      </c>
      <c r="AD7" s="2097"/>
      <c r="AF7" s="2056"/>
    </row>
    <row r="8" spans="1:33" s="1504" customFormat="1" ht="15" customHeight="1">
      <c r="A8" s="1503">
        <f t="shared" ref="A8:A71" si="1">+A7+1</f>
        <v>3</v>
      </c>
      <c r="B8" s="2050" t="s">
        <v>6373</v>
      </c>
      <c r="C8" s="2054"/>
      <c r="D8" s="1503" t="s">
        <v>6372</v>
      </c>
      <c r="E8" s="2096" t="s">
        <v>6459</v>
      </c>
      <c r="F8" s="2048"/>
      <c r="G8" s="2054">
        <v>1</v>
      </c>
      <c r="H8" s="2054"/>
      <c r="I8" s="2054"/>
      <c r="J8" s="2054"/>
      <c r="K8" s="1504" t="s">
        <v>6384</v>
      </c>
      <c r="L8" s="2638" t="s">
        <v>6385</v>
      </c>
      <c r="M8" s="2065"/>
      <c r="N8" s="2066"/>
      <c r="O8" s="2050"/>
      <c r="P8" s="2051"/>
      <c r="Q8" s="2051"/>
      <c r="R8" s="2051"/>
      <c r="S8" s="2052"/>
      <c r="T8" s="2053"/>
      <c r="U8" s="2052"/>
      <c r="V8" s="2053"/>
      <c r="W8" s="2053"/>
      <c r="X8" s="2052"/>
      <c r="Y8" s="2052"/>
      <c r="Z8" s="2108"/>
      <c r="AA8" s="1339"/>
      <c r="AB8" s="2201">
        <v>7000000</v>
      </c>
      <c r="AC8" s="665">
        <f t="shared" si="0"/>
        <v>7560000.0000000009</v>
      </c>
      <c r="AD8" s="2097"/>
      <c r="AF8" s="2056"/>
    </row>
    <row r="9" spans="1:33" ht="15.75" customHeight="1">
      <c r="A9" s="3681" t="s">
        <v>6485</v>
      </c>
      <c r="B9" s="3682"/>
      <c r="C9" s="3682"/>
      <c r="D9" s="3682"/>
      <c r="E9" s="3682"/>
      <c r="F9" s="3682"/>
      <c r="G9" s="3682"/>
      <c r="H9" s="3682"/>
      <c r="I9" s="3682"/>
      <c r="J9" s="3682"/>
      <c r="K9" s="3682"/>
      <c r="L9" s="3682"/>
      <c r="M9" s="3682"/>
      <c r="N9" s="3682"/>
      <c r="O9" s="3682"/>
      <c r="P9" s="3682"/>
      <c r="Q9" s="3682"/>
      <c r="R9" s="3682"/>
      <c r="S9" s="3682"/>
      <c r="T9" s="3682"/>
      <c r="U9" s="3682"/>
      <c r="V9" s="3682"/>
      <c r="W9" s="3682"/>
      <c r="X9" s="3682"/>
      <c r="Y9" s="3682"/>
      <c r="Z9" s="3683"/>
      <c r="AA9" s="2640"/>
      <c r="AB9" s="2640"/>
      <c r="AC9" s="2640"/>
      <c r="AD9" s="2640"/>
      <c r="AE9" s="2191"/>
      <c r="AF9" s="6"/>
      <c r="AG9" s="5"/>
    </row>
    <row r="10" spans="1:33" s="1504" customFormat="1" ht="15" customHeight="1">
      <c r="A10" s="1503">
        <v>1</v>
      </c>
      <c r="B10" s="2054"/>
      <c r="C10" s="2054"/>
      <c r="D10" s="2054"/>
      <c r="E10" s="2054"/>
      <c r="F10" s="2048"/>
      <c r="G10" s="2054"/>
      <c r="H10" s="2054"/>
      <c r="I10" s="2054"/>
      <c r="J10" s="2054"/>
      <c r="L10" s="2638"/>
      <c r="M10" s="2065"/>
      <c r="N10" s="2066"/>
      <c r="O10" s="2050"/>
      <c r="P10" s="2051"/>
      <c r="Q10" s="2051"/>
      <c r="R10" s="2051"/>
      <c r="S10" s="2052"/>
      <c r="T10" s="2052"/>
      <c r="U10" s="2052"/>
      <c r="V10" s="2052"/>
      <c r="W10" s="2053"/>
      <c r="X10" s="2052"/>
      <c r="Y10" s="2267"/>
      <c r="Z10" s="2267"/>
      <c r="AA10" s="1339"/>
      <c r="AB10" s="2201"/>
      <c r="AC10" s="665">
        <f t="shared" si="0"/>
        <v>0</v>
      </c>
      <c r="AD10" s="1501"/>
      <c r="AE10" s="1501"/>
      <c r="AF10" s="1501"/>
      <c r="AG10" s="1501"/>
    </row>
    <row r="11" spans="1:33" s="1504" customFormat="1" ht="15" customHeight="1">
      <c r="A11" s="1503">
        <f t="shared" si="1"/>
        <v>2</v>
      </c>
      <c r="B11" s="2054"/>
      <c r="C11" s="2054"/>
      <c r="D11" s="2054"/>
      <c r="E11" s="2054"/>
      <c r="F11" s="2048"/>
      <c r="G11" s="2054"/>
      <c r="H11" s="2054"/>
      <c r="I11" s="2054"/>
      <c r="J11" s="2054"/>
      <c r="L11" s="2638"/>
      <c r="M11" s="2065"/>
      <c r="N11" s="2066"/>
      <c r="O11" s="2050"/>
      <c r="P11" s="2051"/>
      <c r="Q11" s="2051"/>
      <c r="R11" s="2051"/>
      <c r="S11" s="2052"/>
      <c r="T11" s="2052"/>
      <c r="U11" s="2052"/>
      <c r="V11" s="2052"/>
      <c r="W11" s="2053"/>
      <c r="X11" s="2052"/>
      <c r="Y11" s="2221"/>
      <c r="Z11" s="2223"/>
      <c r="AA11" s="1339"/>
      <c r="AB11" s="2201"/>
      <c r="AC11" s="665">
        <f t="shared" si="0"/>
        <v>0</v>
      </c>
      <c r="AD11" s="2225"/>
      <c r="AE11" s="1624"/>
      <c r="AF11" s="2226"/>
      <c r="AG11" s="1624"/>
    </row>
    <row r="12" spans="1:33" s="1504" customFormat="1" ht="15" customHeight="1">
      <c r="A12" s="1503">
        <f t="shared" si="1"/>
        <v>3</v>
      </c>
      <c r="B12" s="2054"/>
      <c r="C12" s="2054"/>
      <c r="D12" s="2054"/>
      <c r="E12" s="2054"/>
      <c r="F12" s="2048"/>
      <c r="G12" s="2054"/>
      <c r="H12" s="2054"/>
      <c r="I12" s="2054"/>
      <c r="J12" s="2054"/>
      <c r="L12" s="2638"/>
      <c r="M12" s="2065"/>
      <c r="N12" s="2066"/>
      <c r="O12" s="2050"/>
      <c r="P12" s="2051"/>
      <c r="Q12" s="2051"/>
      <c r="R12" s="2051"/>
      <c r="S12" s="2052"/>
      <c r="T12" s="2052"/>
      <c r="U12" s="2052"/>
      <c r="V12" s="2052"/>
      <c r="W12" s="2053"/>
      <c r="X12" s="2052"/>
      <c r="Y12" s="1501"/>
      <c r="Z12" s="1501"/>
      <c r="AA12" s="1339"/>
      <c r="AB12" s="2201"/>
      <c r="AC12" s="665">
        <f t="shared" si="0"/>
        <v>0</v>
      </c>
      <c r="AD12" s="1501"/>
      <c r="AE12" s="1501"/>
      <c r="AF12" s="1501"/>
      <c r="AG12" s="1501"/>
    </row>
    <row r="13" spans="1:33" s="1504" customFormat="1" ht="15" customHeight="1">
      <c r="A13" s="1503">
        <f t="shared" si="1"/>
        <v>4</v>
      </c>
      <c r="B13" s="2054"/>
      <c r="C13" s="2054"/>
      <c r="D13" s="2054"/>
      <c r="E13" s="2054"/>
      <c r="F13" s="2048"/>
      <c r="G13" s="2054"/>
      <c r="H13" s="2054"/>
      <c r="I13" s="2054"/>
      <c r="J13" s="2054"/>
      <c r="L13" s="2638"/>
      <c r="M13" s="2065"/>
      <c r="N13" s="2066"/>
      <c r="O13" s="2050"/>
      <c r="P13" s="2051"/>
      <c r="Q13" s="2051"/>
      <c r="R13" s="2051"/>
      <c r="S13" s="2052"/>
      <c r="T13" s="2052"/>
      <c r="U13" s="2052"/>
      <c r="V13" s="2052"/>
      <c r="W13" s="2053"/>
      <c r="X13" s="2052"/>
      <c r="Y13" s="2052"/>
      <c r="Z13" s="2054"/>
      <c r="AA13" s="1339"/>
      <c r="AB13" s="2201"/>
      <c r="AC13" s="665">
        <f t="shared" si="0"/>
        <v>0</v>
      </c>
      <c r="AD13" s="2097"/>
      <c r="AF13" s="2056"/>
    </row>
    <row r="14" spans="1:33" s="1504" customFormat="1" ht="15" customHeight="1">
      <c r="A14" s="1503">
        <f t="shared" si="1"/>
        <v>5</v>
      </c>
      <c r="B14" s="2054"/>
      <c r="C14" s="2054"/>
      <c r="D14" s="2054"/>
      <c r="E14" s="2054"/>
      <c r="F14" s="2048"/>
      <c r="G14" s="2054"/>
      <c r="H14" s="2054"/>
      <c r="I14" s="2054"/>
      <c r="J14" s="2054"/>
      <c r="L14" s="2638"/>
      <c r="M14" s="2065"/>
      <c r="N14" s="2066"/>
      <c r="O14" s="2050"/>
      <c r="P14" s="2051"/>
      <c r="Q14" s="2051"/>
      <c r="R14" s="2051"/>
      <c r="S14" s="2052"/>
      <c r="T14" s="2052"/>
      <c r="U14" s="2052"/>
      <c r="V14" s="2052"/>
      <c r="W14" s="2053"/>
      <c r="X14" s="2052"/>
      <c r="Y14" s="2052"/>
      <c r="Z14" s="2054"/>
      <c r="AA14" s="1339"/>
      <c r="AB14" s="2201"/>
      <c r="AC14" s="665">
        <f t="shared" si="0"/>
        <v>0</v>
      </c>
      <c r="AD14" s="2097"/>
      <c r="AF14" s="2056"/>
    </row>
    <row r="15" spans="1:33" s="1504" customFormat="1" ht="15" customHeight="1">
      <c r="A15" s="1503">
        <f t="shared" si="1"/>
        <v>6</v>
      </c>
      <c r="B15" s="2054"/>
      <c r="C15" s="2054"/>
      <c r="D15" s="2054"/>
      <c r="E15" s="2054"/>
      <c r="F15" s="2048"/>
      <c r="G15" s="2054"/>
      <c r="H15" s="2054"/>
      <c r="I15" s="2054"/>
      <c r="J15" s="2054"/>
      <c r="L15" s="2065"/>
      <c r="M15" s="2065"/>
      <c r="N15" s="2066"/>
      <c r="O15" s="2050"/>
      <c r="P15" s="2051"/>
      <c r="Q15" s="2051"/>
      <c r="R15" s="2051"/>
      <c r="S15" s="2052"/>
      <c r="T15" s="2052"/>
      <c r="U15" s="2052"/>
      <c r="V15" s="2052"/>
      <c r="W15" s="2053"/>
      <c r="X15" s="2052"/>
      <c r="Y15" s="2052"/>
      <c r="Z15" s="2054"/>
      <c r="AA15" s="2052"/>
      <c r="AB15" s="2051"/>
      <c r="AC15" s="2055"/>
      <c r="AD15" s="2097"/>
      <c r="AF15" s="2056"/>
    </row>
    <row r="16" spans="1:33" s="1504" customFormat="1" ht="15" customHeight="1">
      <c r="A16" s="1503">
        <f t="shared" si="1"/>
        <v>7</v>
      </c>
      <c r="B16" s="2054"/>
      <c r="C16" s="2054"/>
      <c r="D16" s="2054"/>
      <c r="E16" s="2054"/>
      <c r="F16" s="2048"/>
      <c r="G16" s="2054"/>
      <c r="H16" s="2054"/>
      <c r="I16" s="2054"/>
      <c r="J16" s="2054"/>
      <c r="L16" s="2065"/>
      <c r="M16" s="2065"/>
      <c r="N16" s="2066"/>
      <c r="O16" s="2050"/>
      <c r="P16" s="2051"/>
      <c r="Q16" s="2051"/>
      <c r="R16" s="2051"/>
      <c r="S16" s="2052"/>
      <c r="T16" s="2052"/>
      <c r="U16" s="2052"/>
      <c r="V16" s="2052"/>
      <c r="W16" s="2053"/>
      <c r="X16" s="2052"/>
      <c r="Y16" s="2052"/>
      <c r="Z16" s="2054"/>
      <c r="AA16" s="2052"/>
      <c r="AB16" s="2051"/>
      <c r="AC16" s="2055"/>
      <c r="AD16" s="2097"/>
      <c r="AF16" s="2056"/>
    </row>
    <row r="17" spans="1:33" s="2056" customFormat="1" ht="15" customHeight="1">
      <c r="A17" s="1503">
        <f t="shared" si="1"/>
        <v>8</v>
      </c>
      <c r="B17" s="2054"/>
      <c r="C17" s="2054"/>
      <c r="D17" s="2054"/>
      <c r="E17" s="2054"/>
      <c r="F17" s="2048"/>
      <c r="G17" s="2054"/>
      <c r="H17" s="2054"/>
      <c r="I17" s="2054"/>
      <c r="J17" s="2054"/>
      <c r="K17" s="1504"/>
      <c r="L17" s="2065"/>
      <c r="M17" s="2065"/>
      <c r="N17" s="2066"/>
      <c r="O17" s="2050"/>
      <c r="P17" s="2051"/>
      <c r="Q17" s="2051"/>
      <c r="R17" s="2051"/>
      <c r="S17" s="2052"/>
      <c r="T17" s="2052"/>
      <c r="U17" s="2052"/>
      <c r="V17" s="2052"/>
      <c r="W17" s="2053"/>
      <c r="X17" s="2052"/>
      <c r="Y17" s="2052"/>
      <c r="Z17" s="2096"/>
      <c r="AA17" s="2052"/>
      <c r="AB17" s="2051"/>
      <c r="AC17" s="2055"/>
      <c r="AD17" s="2097"/>
      <c r="AE17" s="1504"/>
    </row>
    <row r="18" spans="1:33" s="2056" customFormat="1" ht="15" customHeight="1">
      <c r="A18" s="1503">
        <f t="shared" si="1"/>
        <v>9</v>
      </c>
      <c r="B18" s="2054"/>
      <c r="C18" s="2054"/>
      <c r="D18" s="2054"/>
      <c r="E18" s="2054"/>
      <c r="F18" s="2048"/>
      <c r="G18" s="2054"/>
      <c r="H18" s="2054"/>
      <c r="I18" s="2054"/>
      <c r="J18" s="2054"/>
      <c r="K18" s="1504"/>
      <c r="N18" s="2101"/>
      <c r="O18" s="2102"/>
      <c r="P18" s="2101"/>
      <c r="Q18" s="2103"/>
      <c r="R18" s="2103"/>
      <c r="S18" s="2104"/>
      <c r="T18" s="2052"/>
      <c r="U18" s="2052"/>
      <c r="V18" s="2052"/>
      <c r="W18" s="2053"/>
      <c r="X18" s="2052"/>
      <c r="Y18" s="2105"/>
      <c r="Z18" s="2106"/>
      <c r="AA18" s="2105"/>
      <c r="AB18" s="2107"/>
      <c r="AC18" s="2107"/>
      <c r="AD18" s="2107"/>
      <c r="AE18" s="1549"/>
      <c r="AF18" s="1549"/>
      <c r="AG18" s="1504"/>
    </row>
    <row r="19" spans="1:33" s="1504" customFormat="1" ht="15" customHeight="1">
      <c r="A19" s="1503">
        <f t="shared" si="1"/>
        <v>10</v>
      </c>
      <c r="B19" s="2054"/>
      <c r="C19" s="2054"/>
      <c r="D19" s="2054"/>
      <c r="E19" s="2054"/>
      <c r="F19" s="2048"/>
      <c r="G19" s="2054"/>
      <c r="H19" s="2054"/>
      <c r="I19" s="2054"/>
      <c r="J19" s="2054"/>
      <c r="L19" s="2134"/>
      <c r="M19" s="2134"/>
      <c r="N19" s="2134"/>
      <c r="O19" s="2134"/>
      <c r="P19" s="2134"/>
      <c r="Q19" s="2051"/>
      <c r="R19" s="2051"/>
      <c r="S19" s="2052"/>
      <c r="T19" s="2052"/>
      <c r="U19" s="2052"/>
      <c r="V19" s="2052"/>
      <c r="W19" s="2053"/>
      <c r="X19" s="2052"/>
      <c r="Y19" s="2052"/>
      <c r="Z19" s="2054"/>
      <c r="AA19" s="2052"/>
      <c r="AB19" s="2051"/>
      <c r="AC19" s="2055"/>
      <c r="AD19" s="2097"/>
      <c r="AF19" s="2056"/>
    </row>
    <row r="20" spans="1:33" s="1504" customFormat="1" ht="15" customHeight="1">
      <c r="A20" s="1503">
        <f t="shared" si="1"/>
        <v>11</v>
      </c>
      <c r="B20" s="2054"/>
      <c r="C20" s="2054"/>
      <c r="D20" s="2054"/>
      <c r="E20" s="2054"/>
      <c r="F20" s="2048"/>
      <c r="G20" s="2054"/>
      <c r="H20" s="2054"/>
      <c r="I20" s="2054"/>
      <c r="J20" s="2054"/>
      <c r="L20" s="1944"/>
      <c r="M20" s="1944"/>
      <c r="N20" s="2050"/>
      <c r="O20" s="2050"/>
      <c r="P20" s="2051"/>
      <c r="Q20" s="2051"/>
      <c r="R20" s="2051"/>
      <c r="S20" s="2052"/>
      <c r="T20" s="2052"/>
      <c r="U20" s="2052"/>
      <c r="W20" s="2072"/>
      <c r="X20" s="2052"/>
      <c r="Y20" s="2052"/>
      <c r="Z20" s="2054"/>
      <c r="AA20" s="2052"/>
      <c r="AB20" s="2051"/>
      <c r="AC20" s="2055"/>
      <c r="AD20" s="2097"/>
      <c r="AF20" s="2056"/>
    </row>
    <row r="21" spans="1:33" s="1504" customFormat="1" ht="12.75" customHeight="1">
      <c r="A21" s="1503">
        <f t="shared" si="1"/>
        <v>12</v>
      </c>
      <c r="B21" s="2054"/>
      <c r="C21" s="2054"/>
      <c r="D21" s="2054"/>
      <c r="E21" s="2054"/>
      <c r="F21" s="2048"/>
      <c r="G21" s="2054"/>
      <c r="H21" s="2054"/>
      <c r="I21" s="2054"/>
      <c r="J21" s="2054"/>
      <c r="L21" s="2095"/>
      <c r="M21" s="2095"/>
      <c r="N21" s="2050"/>
      <c r="O21" s="2062"/>
      <c r="P21" s="2051"/>
      <c r="Q21" s="2051"/>
      <c r="R21" s="2051"/>
      <c r="S21" s="2052"/>
      <c r="T21" s="2052"/>
      <c r="U21" s="2052"/>
      <c r="V21" s="2073"/>
      <c r="W21" s="2053"/>
      <c r="X21" s="2052"/>
      <c r="Y21" s="2052"/>
      <c r="Z21" s="2099"/>
      <c r="AA21" s="2052"/>
      <c r="AB21" s="2051"/>
      <c r="AC21" s="2055"/>
      <c r="AD21" s="2097"/>
      <c r="AF21" s="2056"/>
    </row>
    <row r="22" spans="1:33" s="1504" customFormat="1" ht="12.75" customHeight="1">
      <c r="A22" s="1503">
        <f t="shared" si="1"/>
        <v>13</v>
      </c>
      <c r="B22" s="2054"/>
      <c r="C22" s="2054"/>
      <c r="D22" s="2054"/>
      <c r="E22" s="2054"/>
      <c r="F22" s="2048"/>
      <c r="G22" s="2054"/>
      <c r="H22" s="2054"/>
      <c r="I22" s="2054"/>
      <c r="J22" s="2054"/>
      <c r="L22" s="2035"/>
      <c r="M22" s="2035"/>
      <c r="N22" s="2050"/>
      <c r="O22" s="2050"/>
      <c r="P22" s="2051"/>
      <c r="Q22" s="2051"/>
      <c r="R22" s="2051"/>
      <c r="S22" s="2052"/>
      <c r="T22" s="2053"/>
      <c r="U22" s="2052"/>
      <c r="V22" s="2072"/>
      <c r="W22" s="2053"/>
      <c r="X22" s="2052"/>
      <c r="Y22" s="2052"/>
      <c r="Z22" s="2054"/>
      <c r="AA22" s="2052"/>
      <c r="AB22" s="2051"/>
      <c r="AC22" s="2055"/>
      <c r="AD22" s="2097"/>
      <c r="AF22" s="2056"/>
    </row>
    <row r="23" spans="1:33" s="1504" customFormat="1" ht="12.75" customHeight="1">
      <c r="A23" s="1503">
        <f t="shared" si="1"/>
        <v>14</v>
      </c>
      <c r="B23" s="2054"/>
      <c r="C23" s="2054"/>
      <c r="D23" s="2054"/>
      <c r="E23" s="2054"/>
      <c r="F23" s="2048"/>
      <c r="G23" s="2054"/>
      <c r="H23" s="2054"/>
      <c r="I23" s="2054"/>
      <c r="J23" s="2054"/>
      <c r="L23" s="2035"/>
      <c r="M23" s="2035"/>
      <c r="N23" s="2050"/>
      <c r="O23" s="2062"/>
      <c r="P23" s="2051"/>
      <c r="Q23" s="2051"/>
      <c r="R23" s="2051"/>
      <c r="S23" s="2052"/>
      <c r="T23" s="2052"/>
      <c r="U23" s="2052"/>
      <c r="V23" s="2052"/>
      <c r="W23" s="2053"/>
      <c r="X23" s="2052"/>
      <c r="Y23" s="2052"/>
      <c r="Z23" s="2054"/>
      <c r="AA23" s="2052"/>
      <c r="AB23" s="2051"/>
      <c r="AC23" s="2055"/>
      <c r="AD23" s="2097"/>
      <c r="AF23" s="2056"/>
    </row>
    <row r="24" spans="1:33" s="1504" customFormat="1" ht="15.6">
      <c r="A24" s="1503">
        <f t="shared" si="1"/>
        <v>15</v>
      </c>
      <c r="B24" s="2054"/>
      <c r="C24" s="2054"/>
      <c r="D24" s="2054"/>
      <c r="E24" s="2054"/>
      <c r="F24" s="2048"/>
      <c r="G24" s="2054"/>
      <c r="H24" s="2054"/>
      <c r="I24" s="2054"/>
      <c r="J24" s="2054"/>
      <c r="L24" s="2035"/>
      <c r="M24" s="2035"/>
      <c r="N24" s="2066"/>
      <c r="O24" s="2062"/>
      <c r="P24" s="2051"/>
      <c r="Q24" s="2051"/>
      <c r="R24" s="2051"/>
      <c r="S24" s="2053"/>
      <c r="T24" s="2052"/>
      <c r="U24" s="2052"/>
      <c r="V24" s="2052"/>
      <c r="W24" s="2053"/>
      <c r="X24" s="2052"/>
      <c r="Y24" s="2052"/>
      <c r="Z24" s="2054"/>
      <c r="AA24" s="2052"/>
      <c r="AB24" s="2051"/>
      <c r="AC24" s="2055"/>
      <c r="AD24" s="2097"/>
      <c r="AF24" s="2056"/>
    </row>
    <row r="25" spans="1:33" s="1504" customFormat="1" ht="16.5" customHeight="1">
      <c r="A25" s="1503">
        <f t="shared" si="1"/>
        <v>16</v>
      </c>
      <c r="B25" s="2054"/>
      <c r="C25" s="2054"/>
      <c r="D25" s="2054"/>
      <c r="E25" s="2054"/>
      <c r="F25" s="2048"/>
      <c r="G25" s="2054"/>
      <c r="H25" s="2054"/>
      <c r="I25" s="2054"/>
      <c r="J25" s="2054"/>
      <c r="L25" s="2035"/>
      <c r="M25" s="2035"/>
      <c r="N25" s="2050"/>
      <c r="O25" s="2062"/>
      <c r="P25" s="2051"/>
      <c r="Q25" s="2051"/>
      <c r="R25" s="2051"/>
      <c r="S25" s="2052"/>
      <c r="T25" s="2052"/>
      <c r="U25" s="2052"/>
      <c r="V25" s="2052"/>
      <c r="W25" s="2053"/>
      <c r="X25" s="2052"/>
      <c r="Y25" s="2052"/>
      <c r="Z25" s="2054"/>
      <c r="AA25" s="2052"/>
      <c r="AB25" s="2051"/>
      <c r="AC25" s="2055"/>
      <c r="AD25" s="2097"/>
      <c r="AF25" s="2056"/>
    </row>
    <row r="26" spans="1:33" s="1504" customFormat="1" ht="15.6">
      <c r="A26" s="1503">
        <f t="shared" si="1"/>
        <v>17</v>
      </c>
      <c r="B26" s="2054"/>
      <c r="C26" s="2054"/>
      <c r="D26" s="2054"/>
      <c r="E26" s="2054"/>
      <c r="F26" s="2048"/>
      <c r="G26" s="2054"/>
      <c r="H26" s="2054"/>
      <c r="I26" s="2054"/>
      <c r="J26" s="2054"/>
      <c r="L26" s="2035"/>
      <c r="M26" s="2035"/>
      <c r="N26" s="2050"/>
      <c r="O26" s="2062"/>
      <c r="P26" s="2051"/>
      <c r="Q26" s="2051"/>
      <c r="R26" s="2051"/>
      <c r="S26" s="2052"/>
      <c r="T26" s="2052"/>
      <c r="U26" s="2052"/>
      <c r="V26" s="2052"/>
      <c r="W26" s="2053"/>
      <c r="X26" s="2052"/>
      <c r="Y26" s="2052"/>
      <c r="Z26" s="2054"/>
      <c r="AA26" s="2052"/>
      <c r="AB26" s="2051"/>
      <c r="AC26" s="2055"/>
      <c r="AD26" s="2097"/>
      <c r="AF26" s="2056"/>
    </row>
    <row r="27" spans="1:33" s="1504" customFormat="1" ht="15.6">
      <c r="A27" s="1503">
        <f t="shared" si="1"/>
        <v>18</v>
      </c>
      <c r="B27" s="2054"/>
      <c r="C27" s="2054"/>
      <c r="D27" s="2054"/>
      <c r="E27" s="2054"/>
      <c r="F27" s="2048"/>
      <c r="G27" s="2054"/>
      <c r="H27" s="2054"/>
      <c r="I27" s="2054"/>
      <c r="J27" s="2054"/>
      <c r="L27" s="2035"/>
      <c r="M27" s="2035"/>
      <c r="N27" s="2050"/>
      <c r="O27" s="2062"/>
      <c r="P27" s="2051"/>
      <c r="Q27" s="2051"/>
      <c r="R27" s="2051"/>
      <c r="S27" s="2052"/>
      <c r="T27" s="2052"/>
      <c r="U27" s="2052"/>
      <c r="V27" s="2052"/>
      <c r="W27" s="2053"/>
      <c r="X27" s="2052"/>
      <c r="Y27" s="2052"/>
      <c r="Z27" s="2054"/>
      <c r="AA27" s="2052"/>
      <c r="AB27" s="2051"/>
      <c r="AC27" s="2055"/>
      <c r="AD27" s="2097"/>
      <c r="AF27" s="2056"/>
    </row>
    <row r="28" spans="1:33" s="1504" customFormat="1" ht="15.6">
      <c r="A28" s="1503">
        <f t="shared" si="1"/>
        <v>19</v>
      </c>
      <c r="B28" s="2054"/>
      <c r="C28" s="2054"/>
      <c r="D28" s="2054"/>
      <c r="E28" s="2054"/>
      <c r="F28" s="2048"/>
      <c r="G28" s="2054"/>
      <c r="H28" s="2054"/>
      <c r="I28" s="2054"/>
      <c r="J28" s="2054"/>
      <c r="L28" s="2035"/>
      <c r="M28" s="2035"/>
      <c r="N28" s="2050"/>
      <c r="O28" s="2062"/>
      <c r="P28" s="2051"/>
      <c r="Q28" s="2051"/>
      <c r="R28" s="2051"/>
      <c r="S28" s="2052"/>
      <c r="T28" s="2052"/>
      <c r="U28" s="2052"/>
      <c r="V28" s="2052"/>
      <c r="W28" s="2053"/>
      <c r="X28" s="2052"/>
      <c r="Y28" s="2052"/>
      <c r="Z28" s="2054"/>
      <c r="AA28" s="2052"/>
      <c r="AB28" s="2051"/>
      <c r="AC28" s="2055"/>
      <c r="AD28" s="2097"/>
      <c r="AF28" s="2056"/>
    </row>
    <row r="29" spans="1:33" s="1504" customFormat="1" ht="15.6">
      <c r="A29" s="1503">
        <f t="shared" si="1"/>
        <v>20</v>
      </c>
      <c r="B29" s="2054"/>
      <c r="C29" s="2054"/>
      <c r="D29" s="2054"/>
      <c r="E29" s="2054"/>
      <c r="F29" s="2048"/>
      <c r="G29" s="2054"/>
      <c r="H29" s="2054"/>
      <c r="I29" s="2054"/>
      <c r="J29" s="2054"/>
      <c r="L29" s="2035"/>
      <c r="M29" s="2035"/>
      <c r="N29" s="2075"/>
      <c r="O29" s="2050"/>
      <c r="P29" s="2066"/>
      <c r="Q29" s="2053"/>
      <c r="R29" s="2053"/>
      <c r="S29" s="2052"/>
      <c r="T29" s="2052"/>
      <c r="U29" s="2052"/>
      <c r="V29" s="2072"/>
      <c r="W29" s="2053"/>
      <c r="X29" s="2052"/>
      <c r="Y29" s="2052"/>
      <c r="Z29" s="2054"/>
      <c r="AA29" s="2052"/>
      <c r="AB29" s="2051"/>
      <c r="AC29" s="2055"/>
      <c r="AD29" s="2097"/>
      <c r="AF29" s="2056"/>
    </row>
    <row r="30" spans="1:33" s="2056" customFormat="1" ht="15.6">
      <c r="A30" s="1503">
        <f t="shared" si="1"/>
        <v>21</v>
      </c>
      <c r="B30" s="2054"/>
      <c r="C30" s="2054"/>
      <c r="D30" s="2054"/>
      <c r="E30" s="2054"/>
      <c r="F30" s="2048"/>
      <c r="G30" s="2054"/>
      <c r="H30" s="2054"/>
      <c r="I30" s="2054"/>
      <c r="J30" s="2054"/>
      <c r="K30" s="1504"/>
      <c r="N30" s="2101"/>
      <c r="O30" s="2102"/>
      <c r="P30" s="2101"/>
      <c r="Q30" s="2103"/>
      <c r="R30" s="2103"/>
      <c r="S30" s="2104"/>
      <c r="T30" s="2101"/>
      <c r="U30" s="2101"/>
      <c r="V30" s="2101"/>
      <c r="W30" s="2103"/>
      <c r="X30" s="2101"/>
      <c r="Y30" s="2105"/>
      <c r="Z30" s="2106"/>
      <c r="AA30" s="2105"/>
      <c r="AB30" s="2107"/>
      <c r="AC30" s="2107"/>
      <c r="AD30" s="2107"/>
      <c r="AE30" s="1549"/>
      <c r="AF30" s="1549"/>
      <c r="AG30" s="1504"/>
    </row>
    <row r="31" spans="1:33" s="1504" customFormat="1" ht="15.6">
      <c r="A31" s="1503">
        <f t="shared" si="1"/>
        <v>22</v>
      </c>
      <c r="B31" s="2054"/>
      <c r="C31" s="2054"/>
      <c r="D31" s="2054"/>
      <c r="E31" s="2054"/>
      <c r="F31" s="2048"/>
      <c r="G31" s="2054"/>
      <c r="H31" s="2054"/>
      <c r="I31" s="2054"/>
      <c r="J31" s="2054"/>
      <c r="L31" s="2035"/>
      <c r="M31" s="2035"/>
      <c r="N31" s="2075"/>
      <c r="O31" s="2062"/>
      <c r="P31" s="2051"/>
      <c r="Q31" s="2051"/>
      <c r="R31" s="2051"/>
      <c r="S31" s="2052"/>
      <c r="T31" s="2052"/>
      <c r="U31" s="2052"/>
      <c r="V31" s="2052"/>
      <c r="W31" s="2053"/>
      <c r="X31" s="2052"/>
      <c r="Y31" s="2052"/>
      <c r="Z31" s="2054"/>
      <c r="AA31" s="2052"/>
      <c r="AB31" s="2051"/>
      <c r="AC31" s="2055"/>
      <c r="AD31" s="2097"/>
      <c r="AF31" s="2056"/>
    </row>
    <row r="32" spans="1:33" s="1504" customFormat="1" ht="15.6">
      <c r="A32" s="1503">
        <f t="shared" si="1"/>
        <v>23</v>
      </c>
      <c r="B32" s="2054"/>
      <c r="C32" s="2054"/>
      <c r="D32" s="2054"/>
      <c r="E32" s="2054"/>
      <c r="F32" s="2048"/>
      <c r="G32" s="2054"/>
      <c r="H32" s="2054"/>
      <c r="I32" s="2054"/>
      <c r="J32" s="2054"/>
      <c r="L32" s="2035"/>
      <c r="M32" s="2035"/>
      <c r="N32" s="2075"/>
      <c r="O32" s="2062"/>
      <c r="P32" s="2051"/>
      <c r="Q32" s="2051"/>
      <c r="R32" s="2051"/>
      <c r="S32" s="2052"/>
      <c r="T32" s="2052"/>
      <c r="U32" s="2052"/>
      <c r="V32" s="2052"/>
      <c r="W32" s="2053"/>
      <c r="X32" s="2052"/>
      <c r="Y32" s="2052"/>
      <c r="Z32" s="2054"/>
      <c r="AA32" s="2052"/>
      <c r="AB32" s="2051"/>
      <c r="AC32" s="2055"/>
      <c r="AD32" s="2097"/>
      <c r="AF32" s="2056"/>
    </row>
    <row r="33" spans="1:33" s="1504" customFormat="1" ht="15.6">
      <c r="A33" s="1503">
        <f t="shared" si="1"/>
        <v>24</v>
      </c>
      <c r="B33" s="2054"/>
      <c r="C33" s="2054"/>
      <c r="D33" s="2054"/>
      <c r="E33" s="2054"/>
      <c r="F33" s="2048"/>
      <c r="G33" s="2054"/>
      <c r="H33" s="2054"/>
      <c r="I33" s="2054"/>
      <c r="J33" s="2054"/>
      <c r="L33" s="2035"/>
      <c r="M33" s="2035"/>
      <c r="N33" s="2066"/>
      <c r="O33" s="2050"/>
      <c r="P33" s="2051"/>
      <c r="Q33" s="2051"/>
      <c r="R33" s="2051"/>
      <c r="S33" s="2052"/>
      <c r="T33" s="2052"/>
      <c r="U33" s="2052"/>
      <c r="V33" s="2052"/>
      <c r="W33" s="2053"/>
      <c r="X33" s="2052"/>
      <c r="Y33" s="2052"/>
      <c r="Z33" s="2054"/>
      <c r="AA33" s="2052"/>
      <c r="AB33" s="2051"/>
      <c r="AC33" s="2055"/>
      <c r="AD33" s="2097"/>
      <c r="AF33" s="2056"/>
    </row>
    <row r="34" spans="1:33" s="1504" customFormat="1" ht="15.6">
      <c r="A34" s="1503">
        <f t="shared" si="1"/>
        <v>25</v>
      </c>
      <c r="B34" s="2054"/>
      <c r="C34" s="2054"/>
      <c r="D34" s="2054"/>
      <c r="E34" s="2054"/>
      <c r="F34" s="2048"/>
      <c r="G34" s="2054"/>
      <c r="H34" s="2054"/>
      <c r="I34" s="2054"/>
      <c r="J34" s="2054"/>
      <c r="L34" s="2035"/>
      <c r="M34" s="2035"/>
      <c r="N34" s="2066"/>
      <c r="O34" s="2050"/>
      <c r="P34" s="2051"/>
      <c r="Q34" s="2051"/>
      <c r="R34" s="2051"/>
      <c r="S34" s="2052"/>
      <c r="T34" s="2052"/>
      <c r="U34" s="2052"/>
      <c r="V34" s="2052"/>
      <c r="W34" s="2053"/>
      <c r="X34" s="2052"/>
      <c r="Y34" s="2052"/>
      <c r="Z34" s="2054"/>
      <c r="AA34" s="2052"/>
      <c r="AB34" s="2051"/>
      <c r="AC34" s="2055"/>
      <c r="AD34" s="2097"/>
      <c r="AF34" s="2056"/>
    </row>
    <row r="35" spans="1:33" s="1504" customFormat="1" ht="15.6">
      <c r="A35" s="1503">
        <f t="shared" si="1"/>
        <v>26</v>
      </c>
      <c r="B35" s="2054"/>
      <c r="C35" s="2054"/>
      <c r="D35" s="2054"/>
      <c r="E35" s="2054"/>
      <c r="F35" s="2048"/>
      <c r="G35" s="2054"/>
      <c r="H35" s="2054"/>
      <c r="I35" s="2054"/>
      <c r="J35" s="2054"/>
      <c r="L35" s="1944"/>
      <c r="M35" s="1944"/>
      <c r="N35" s="2066"/>
      <c r="O35" s="2050"/>
      <c r="P35" s="2051"/>
      <c r="Q35" s="2051"/>
      <c r="R35" s="2051"/>
      <c r="S35" s="2052"/>
      <c r="T35" s="2052"/>
      <c r="U35" s="2052"/>
      <c r="V35" s="2052"/>
      <c r="W35" s="2053"/>
      <c r="X35" s="2052"/>
      <c r="Y35" s="2052"/>
      <c r="Z35" s="2054"/>
      <c r="AA35" s="2052"/>
      <c r="AB35" s="2051"/>
      <c r="AC35" s="2055"/>
      <c r="AD35" s="2097"/>
      <c r="AF35" s="2056"/>
    </row>
    <row r="36" spans="1:33" s="1504" customFormat="1" ht="15.6">
      <c r="A36" s="1503">
        <f t="shared" si="1"/>
        <v>27</v>
      </c>
      <c r="B36" s="2054"/>
      <c r="C36" s="2054"/>
      <c r="D36" s="2054"/>
      <c r="E36" s="2054"/>
      <c r="F36" s="2048"/>
      <c r="G36" s="2054"/>
      <c r="H36" s="2054"/>
      <c r="I36" s="2054"/>
      <c r="J36" s="2054"/>
      <c r="L36" s="2047"/>
      <c r="M36" s="2047"/>
      <c r="N36" s="2066"/>
      <c r="O36" s="2050"/>
      <c r="P36" s="2066"/>
      <c r="Q36" s="2051"/>
      <c r="R36" s="2051"/>
      <c r="S36" s="2052"/>
      <c r="T36" s="2052"/>
      <c r="U36" s="2052"/>
      <c r="V36" s="2072"/>
      <c r="W36" s="2053"/>
      <c r="X36" s="2052"/>
      <c r="Y36" s="2052"/>
      <c r="Z36" s="2054"/>
      <c r="AA36" s="2052"/>
      <c r="AB36" s="2051"/>
      <c r="AC36" s="2055"/>
      <c r="AD36" s="2097"/>
      <c r="AF36" s="2056"/>
    </row>
    <row r="37" spans="1:33" s="1504" customFormat="1" ht="15.6">
      <c r="A37" s="1503">
        <f t="shared" si="1"/>
        <v>28</v>
      </c>
      <c r="B37" s="2054"/>
      <c r="C37" s="2054"/>
      <c r="D37" s="2054"/>
      <c r="E37" s="2054"/>
      <c r="F37" s="2048"/>
      <c r="G37" s="2054"/>
      <c r="H37" s="2054"/>
      <c r="I37" s="2054"/>
      <c r="J37" s="2054"/>
      <c r="L37" s="2035"/>
      <c r="M37" s="2035"/>
      <c r="N37" s="2066"/>
      <c r="O37" s="2050"/>
      <c r="P37" s="2051"/>
      <c r="Q37" s="2051"/>
      <c r="R37" s="2051"/>
      <c r="S37" s="2052"/>
      <c r="T37" s="2052"/>
      <c r="U37" s="2052"/>
      <c r="V37" s="2052"/>
      <c r="W37" s="2053"/>
      <c r="X37" s="2052"/>
      <c r="Y37" s="2052"/>
      <c r="Z37" s="2054"/>
      <c r="AA37" s="2052"/>
      <c r="AB37" s="2051"/>
      <c r="AC37" s="2055"/>
      <c r="AD37" s="2097"/>
      <c r="AF37" s="2056"/>
    </row>
    <row r="38" spans="1:33" s="1504" customFormat="1" ht="15.6">
      <c r="A38" s="1503">
        <f t="shared" si="1"/>
        <v>29</v>
      </c>
      <c r="B38" s="2054"/>
      <c r="C38" s="2054"/>
      <c r="D38" s="2054"/>
      <c r="E38" s="2054"/>
      <c r="F38" s="2048"/>
      <c r="G38" s="2054"/>
      <c r="H38" s="2054"/>
      <c r="I38" s="2054"/>
      <c r="J38" s="2054"/>
      <c r="L38" s="2035"/>
      <c r="M38" s="2035"/>
      <c r="N38" s="2066"/>
      <c r="O38" s="2050"/>
      <c r="P38" s="2051"/>
      <c r="Q38" s="2051"/>
      <c r="R38" s="2051"/>
      <c r="S38" s="2052"/>
      <c r="T38" s="2052"/>
      <c r="U38" s="2052"/>
      <c r="V38" s="2052"/>
      <c r="W38" s="2053"/>
      <c r="X38" s="2052"/>
      <c r="Y38" s="2052"/>
      <c r="Z38" s="2054"/>
      <c r="AA38" s="2052"/>
      <c r="AB38" s="2051"/>
      <c r="AC38" s="2055"/>
      <c r="AD38" s="2097"/>
      <c r="AF38" s="2056"/>
    </row>
    <row r="39" spans="1:33" s="2056" customFormat="1" ht="15.6">
      <c r="A39" s="1503">
        <f t="shared" si="1"/>
        <v>30</v>
      </c>
      <c r="B39" s="2054"/>
      <c r="C39" s="2054"/>
      <c r="D39" s="2054"/>
      <c r="E39" s="2054"/>
      <c r="F39" s="2048"/>
      <c r="G39" s="2054"/>
      <c r="H39" s="2054"/>
      <c r="I39" s="2054"/>
      <c r="J39" s="2054"/>
      <c r="K39" s="1504"/>
      <c r="N39" s="2101"/>
      <c r="O39" s="2102"/>
      <c r="P39" s="2101"/>
      <c r="Q39" s="2103"/>
      <c r="R39" s="2103"/>
      <c r="S39" s="2104"/>
      <c r="T39" s="2101"/>
      <c r="U39" s="2101"/>
      <c r="V39" s="2101"/>
      <c r="W39" s="2103"/>
      <c r="X39" s="2101"/>
      <c r="Y39" s="2105"/>
      <c r="Z39" s="2106"/>
      <c r="AA39" s="2105"/>
      <c r="AB39" s="2107"/>
      <c r="AC39" s="2107"/>
      <c r="AD39" s="2107"/>
      <c r="AE39" s="1549"/>
      <c r="AF39" s="1549"/>
      <c r="AG39" s="1504"/>
    </row>
    <row r="40" spans="1:33" s="1504" customFormat="1">
      <c r="A40" s="1503">
        <f t="shared" si="1"/>
        <v>31</v>
      </c>
      <c r="B40" s="2054"/>
      <c r="C40" s="2054"/>
      <c r="D40" s="2054"/>
      <c r="E40" s="2054"/>
      <c r="F40" s="2048"/>
      <c r="G40" s="2054"/>
      <c r="H40" s="2054"/>
      <c r="I40" s="2054"/>
      <c r="J40" s="2054"/>
      <c r="L40" s="2035"/>
      <c r="M40" s="2035"/>
      <c r="N40" s="2066"/>
      <c r="O40" s="2050"/>
      <c r="P40" s="2066"/>
      <c r="Q40" s="2053"/>
      <c r="R40" s="2053"/>
      <c r="S40" s="2052"/>
      <c r="T40" s="2052"/>
      <c r="U40" s="2052"/>
      <c r="V40" s="2052"/>
      <c r="W40" s="2053"/>
      <c r="X40" s="2052"/>
      <c r="Y40" s="2052"/>
      <c r="Z40" s="2054"/>
      <c r="AA40" s="2052"/>
      <c r="AB40" s="2051"/>
      <c r="AC40" s="2110"/>
      <c r="AD40" s="2097"/>
      <c r="AF40" s="2056"/>
    </row>
    <row r="41" spans="1:33" s="1504" customFormat="1">
      <c r="A41" s="1503">
        <f t="shared" si="1"/>
        <v>32</v>
      </c>
      <c r="B41" s="2054"/>
      <c r="C41" s="2054"/>
      <c r="D41" s="2054"/>
      <c r="E41" s="2054"/>
      <c r="F41" s="2048"/>
      <c r="G41" s="2054"/>
      <c r="H41" s="2054"/>
      <c r="I41" s="2054"/>
      <c r="J41" s="2054"/>
      <c r="L41" s="2035"/>
      <c r="M41" s="2035"/>
      <c r="N41" s="2066"/>
      <c r="O41" s="2050"/>
      <c r="P41" s="2066"/>
      <c r="Q41" s="2053"/>
      <c r="R41" s="2053"/>
      <c r="S41" s="2052"/>
      <c r="T41" s="2052"/>
      <c r="U41" s="2052"/>
      <c r="V41" s="2052"/>
      <c r="W41" s="2053"/>
      <c r="X41" s="2052"/>
      <c r="Y41" s="2052"/>
      <c r="Z41" s="2054"/>
      <c r="AA41" s="2052"/>
      <c r="AB41" s="2051"/>
      <c r="AC41" s="2110"/>
      <c r="AD41" s="2097"/>
      <c r="AF41" s="2056"/>
    </row>
    <row r="42" spans="1:33" s="1504" customFormat="1">
      <c r="A42" s="1503">
        <f t="shared" si="1"/>
        <v>33</v>
      </c>
      <c r="B42" s="2054"/>
      <c r="C42" s="2054"/>
      <c r="D42" s="2054"/>
      <c r="E42" s="2054"/>
      <c r="F42" s="2048"/>
      <c r="G42" s="2054"/>
      <c r="H42" s="2054"/>
      <c r="I42" s="2054"/>
      <c r="J42" s="2054"/>
      <c r="L42" s="2035"/>
      <c r="M42" s="2035"/>
      <c r="N42" s="2066"/>
      <c r="O42" s="2050"/>
      <c r="P42" s="2066"/>
      <c r="Q42" s="2053"/>
      <c r="R42" s="2053"/>
      <c r="S42" s="2052"/>
      <c r="T42" s="2052"/>
      <c r="U42" s="2052"/>
      <c r="V42" s="2052"/>
      <c r="W42" s="2053"/>
      <c r="X42" s="2052"/>
      <c r="Y42" s="2052"/>
      <c r="Z42" s="2054"/>
      <c r="AA42" s="2052"/>
      <c r="AB42" s="2051"/>
      <c r="AC42" s="2110"/>
      <c r="AD42" s="2097"/>
      <c r="AF42" s="2056"/>
    </row>
    <row r="43" spans="1:33" s="1504" customFormat="1">
      <c r="A43" s="1503">
        <f t="shared" si="1"/>
        <v>34</v>
      </c>
      <c r="B43" s="2054"/>
      <c r="C43" s="2054"/>
      <c r="D43" s="2054"/>
      <c r="E43" s="2054"/>
      <c r="F43" s="2048"/>
      <c r="G43" s="2054"/>
      <c r="H43" s="2054"/>
      <c r="I43" s="2054"/>
      <c r="J43" s="2054"/>
      <c r="L43" s="2035"/>
      <c r="M43" s="2035"/>
      <c r="N43" s="2066"/>
      <c r="O43" s="2050"/>
      <c r="P43" s="2066"/>
      <c r="Q43" s="2053"/>
      <c r="R43" s="2053"/>
      <c r="S43" s="2052"/>
      <c r="T43" s="2052"/>
      <c r="U43" s="2052"/>
      <c r="V43" s="2052"/>
      <c r="W43" s="2053"/>
      <c r="X43" s="2052"/>
      <c r="Y43" s="2052"/>
      <c r="Z43" s="2054"/>
      <c r="AA43" s="2052"/>
      <c r="AB43" s="2051"/>
      <c r="AC43" s="2110"/>
      <c r="AD43" s="2097"/>
      <c r="AF43" s="2056"/>
    </row>
    <row r="44" spans="1:33" s="1504" customFormat="1">
      <c r="A44" s="1503">
        <f t="shared" si="1"/>
        <v>35</v>
      </c>
      <c r="B44" s="2054"/>
      <c r="C44" s="2054"/>
      <c r="D44" s="2054"/>
      <c r="E44" s="2054"/>
      <c r="F44" s="2048"/>
      <c r="G44" s="2054"/>
      <c r="H44" s="2054"/>
      <c r="I44" s="2054"/>
      <c r="J44" s="2054"/>
      <c r="L44" s="2035"/>
      <c r="M44" s="2035"/>
      <c r="N44" s="2066"/>
      <c r="O44" s="2050"/>
      <c r="P44" s="2066"/>
      <c r="Q44" s="2053"/>
      <c r="R44" s="2053"/>
      <c r="S44" s="2052"/>
      <c r="T44" s="2052"/>
      <c r="U44" s="2052"/>
      <c r="V44" s="2052"/>
      <c r="W44" s="2053"/>
      <c r="X44" s="2052"/>
      <c r="Y44" s="2052"/>
      <c r="Z44" s="2054"/>
      <c r="AA44" s="2052"/>
      <c r="AB44" s="2051"/>
      <c r="AC44" s="2110"/>
      <c r="AD44" s="2097"/>
      <c r="AF44" s="2056"/>
    </row>
    <row r="45" spans="1:33" s="1504" customFormat="1">
      <c r="A45" s="1503">
        <f t="shared" si="1"/>
        <v>36</v>
      </c>
      <c r="B45" s="2054"/>
      <c r="C45" s="2054"/>
      <c r="D45" s="2054"/>
      <c r="E45" s="2054"/>
      <c r="F45" s="2048"/>
      <c r="G45" s="2054"/>
      <c r="H45" s="2054"/>
      <c r="I45" s="2054"/>
      <c r="J45" s="2054"/>
      <c r="L45" s="2035"/>
      <c r="M45" s="2035"/>
      <c r="N45" s="2066"/>
      <c r="O45" s="2050"/>
      <c r="P45" s="2066"/>
      <c r="Q45" s="2053"/>
      <c r="R45" s="2053"/>
      <c r="S45" s="2052"/>
      <c r="T45" s="2052"/>
      <c r="U45" s="2052"/>
      <c r="V45" s="2052"/>
      <c r="W45" s="2053"/>
      <c r="X45" s="2052"/>
      <c r="Y45" s="2052"/>
      <c r="Z45" s="2054"/>
      <c r="AA45" s="2052"/>
      <c r="AB45" s="2051"/>
      <c r="AC45" s="2110"/>
      <c r="AD45" s="2097"/>
      <c r="AF45" s="2056"/>
    </row>
    <row r="46" spans="1:33" s="1504" customFormat="1">
      <c r="A46" s="1503">
        <f t="shared" si="1"/>
        <v>37</v>
      </c>
      <c r="B46" s="2054"/>
      <c r="C46" s="2054"/>
      <c r="D46" s="2054"/>
      <c r="E46" s="2054"/>
      <c r="F46" s="2048"/>
      <c r="G46" s="2054"/>
      <c r="H46" s="2054"/>
      <c r="I46" s="2054"/>
      <c r="J46" s="2054"/>
      <c r="L46" s="2035"/>
      <c r="M46" s="2035"/>
      <c r="N46" s="2066"/>
      <c r="O46" s="2050"/>
      <c r="P46" s="2066"/>
      <c r="Q46" s="2053"/>
      <c r="R46" s="2053"/>
      <c r="S46" s="2052"/>
      <c r="T46" s="2052"/>
      <c r="U46" s="2052"/>
      <c r="V46" s="2052"/>
      <c r="W46" s="2053"/>
      <c r="X46" s="2052"/>
      <c r="Y46" s="2052"/>
      <c r="Z46" s="2054"/>
      <c r="AA46" s="2052"/>
      <c r="AB46" s="2051"/>
      <c r="AC46" s="2110"/>
      <c r="AD46" s="2097"/>
      <c r="AF46" s="2056"/>
    </row>
    <row r="47" spans="1:33" s="1504" customFormat="1">
      <c r="A47" s="1503">
        <f t="shared" si="1"/>
        <v>38</v>
      </c>
      <c r="B47" s="2054"/>
      <c r="C47" s="2054"/>
      <c r="D47" s="2054"/>
      <c r="E47" s="2054"/>
      <c r="F47" s="2048"/>
      <c r="G47" s="2054"/>
      <c r="H47" s="2054"/>
      <c r="I47" s="2054"/>
      <c r="J47" s="2054"/>
      <c r="L47" s="2035"/>
      <c r="M47" s="2035"/>
      <c r="N47" s="2066"/>
      <c r="O47" s="2050"/>
      <c r="P47" s="2066"/>
      <c r="Q47" s="2053"/>
      <c r="R47" s="2053"/>
      <c r="S47" s="2052"/>
      <c r="T47" s="2052"/>
      <c r="U47" s="2052"/>
      <c r="V47" s="2052"/>
      <c r="W47" s="2053"/>
      <c r="X47" s="2052"/>
      <c r="Y47" s="2052"/>
      <c r="Z47" s="2054"/>
      <c r="AA47" s="2052"/>
      <c r="AB47" s="2051"/>
      <c r="AC47" s="2110"/>
      <c r="AD47" s="2097"/>
      <c r="AF47" s="2056"/>
    </row>
    <row r="48" spans="1:33" s="1504" customFormat="1">
      <c r="A48" s="1503">
        <f t="shared" si="1"/>
        <v>39</v>
      </c>
      <c r="B48" s="2054"/>
      <c r="C48" s="2054"/>
      <c r="D48" s="2054"/>
      <c r="E48" s="2054"/>
      <c r="F48" s="2048"/>
      <c r="G48" s="2054"/>
      <c r="H48" s="2054"/>
      <c r="I48" s="2054"/>
      <c r="J48" s="2054"/>
      <c r="L48" s="2035"/>
      <c r="M48" s="2035"/>
      <c r="N48" s="2066"/>
      <c r="O48" s="2050"/>
      <c r="P48" s="2066"/>
      <c r="Q48" s="2053"/>
      <c r="R48" s="2053"/>
      <c r="S48" s="2052"/>
      <c r="T48" s="2052"/>
      <c r="U48" s="2052"/>
      <c r="V48" s="2052"/>
      <c r="W48" s="2053"/>
      <c r="X48" s="2052"/>
      <c r="Y48" s="2052"/>
      <c r="Z48" s="2054"/>
      <c r="AA48" s="2052"/>
      <c r="AB48" s="2051"/>
      <c r="AC48" s="2110"/>
      <c r="AD48" s="2097"/>
      <c r="AF48" s="2056"/>
    </row>
    <row r="49" spans="1:32" s="5" customFormat="1">
      <c r="A49" s="1503">
        <f t="shared" si="1"/>
        <v>40</v>
      </c>
      <c r="B49" s="2054"/>
      <c r="C49" s="2054"/>
      <c r="D49" s="2054"/>
      <c r="E49" s="2054"/>
      <c r="F49" s="2048"/>
      <c r="G49" s="2054"/>
      <c r="H49" s="2054"/>
      <c r="I49" s="2054"/>
      <c r="J49" s="2054"/>
      <c r="K49" s="1504"/>
      <c r="L49" s="2037"/>
      <c r="M49" s="2037"/>
      <c r="N49" s="2038"/>
      <c r="O49" s="659"/>
      <c r="P49" s="2038"/>
      <c r="Q49" s="1593"/>
      <c r="R49" s="1593"/>
      <c r="S49" s="1338"/>
      <c r="T49" s="1338"/>
      <c r="U49" s="1338"/>
      <c r="V49" s="1338"/>
      <c r="W49" s="1593"/>
      <c r="X49" s="1338"/>
      <c r="Y49" s="1338"/>
      <c r="Z49" s="1345"/>
      <c r="AA49" s="1338"/>
      <c r="AB49" s="2039"/>
      <c r="AC49" s="2112"/>
      <c r="AD49" s="2113"/>
      <c r="AF49" s="13"/>
    </row>
    <row r="50" spans="1:32" s="5" customFormat="1">
      <c r="A50" s="1503">
        <f t="shared" si="1"/>
        <v>41</v>
      </c>
      <c r="B50" s="2054"/>
      <c r="C50" s="2054"/>
      <c r="D50" s="2054"/>
      <c r="E50" s="2054"/>
      <c r="F50" s="2048"/>
      <c r="G50" s="2054"/>
      <c r="H50" s="2054"/>
      <c r="I50" s="2054"/>
      <c r="J50" s="2054"/>
      <c r="K50" s="1504"/>
      <c r="L50" s="2037"/>
      <c r="M50" s="2037"/>
      <c r="N50" s="2066"/>
      <c r="O50" s="2050"/>
      <c r="P50" s="2066"/>
      <c r="Q50" s="2053"/>
      <c r="R50" s="2053"/>
      <c r="S50" s="2052"/>
      <c r="T50" s="2052"/>
      <c r="U50" s="2052"/>
      <c r="V50" s="2052"/>
      <c r="W50" s="2053"/>
      <c r="X50" s="2052"/>
      <c r="Y50" s="2052"/>
      <c r="Z50" s="2054"/>
      <c r="AA50" s="2052"/>
      <c r="AB50" s="2051"/>
      <c r="AC50" s="2110"/>
      <c r="AD50" s="2097"/>
      <c r="AF50" s="13"/>
    </row>
    <row r="51" spans="1:32" s="5" customFormat="1">
      <c r="A51" s="1503">
        <f t="shared" si="1"/>
        <v>42</v>
      </c>
      <c r="B51" s="2054"/>
      <c r="C51" s="2054"/>
      <c r="D51" s="2054"/>
      <c r="E51" s="2054"/>
      <c r="F51" s="2048"/>
      <c r="G51" s="2054"/>
      <c r="H51" s="2054"/>
      <c r="I51" s="2054"/>
      <c r="J51" s="2054"/>
      <c r="K51" s="1504"/>
      <c r="L51" s="2037"/>
      <c r="M51" s="2037"/>
      <c r="N51" s="2066"/>
      <c r="O51" s="2050"/>
      <c r="P51" s="2066"/>
      <c r="Q51" s="2053"/>
      <c r="R51" s="2053"/>
      <c r="S51" s="2052"/>
      <c r="T51" s="2052"/>
      <c r="U51" s="2052"/>
      <c r="V51" s="2052"/>
      <c r="W51" s="2053"/>
      <c r="X51" s="2052"/>
      <c r="Y51" s="2052"/>
      <c r="Z51" s="2054"/>
      <c r="AA51" s="2052"/>
      <c r="AB51" s="2051"/>
      <c r="AC51" s="2110"/>
      <c r="AD51" s="2097"/>
      <c r="AF51" s="13"/>
    </row>
    <row r="52" spans="1:32" s="5" customFormat="1">
      <c r="A52" s="1503">
        <f t="shared" si="1"/>
        <v>43</v>
      </c>
      <c r="B52" s="2054"/>
      <c r="C52" s="2054"/>
      <c r="D52" s="2054"/>
      <c r="E52" s="2054"/>
      <c r="F52" s="2048"/>
      <c r="G52" s="2054"/>
      <c r="H52" s="2054"/>
      <c r="I52" s="2054"/>
      <c r="J52" s="2054"/>
      <c r="K52" s="1504"/>
      <c r="L52" s="2037"/>
      <c r="M52" s="2037"/>
      <c r="N52" s="2066"/>
      <c r="O52" s="2050"/>
      <c r="P52" s="2066"/>
      <c r="Q52" s="2053"/>
      <c r="R52" s="2053"/>
      <c r="S52" s="2052"/>
      <c r="T52" s="2052"/>
      <c r="U52" s="2052"/>
      <c r="V52" s="2052"/>
      <c r="W52" s="2053"/>
      <c r="X52" s="2052"/>
      <c r="Y52" s="2052"/>
      <c r="Z52" s="2054"/>
      <c r="AA52" s="2052"/>
      <c r="AB52" s="2051"/>
      <c r="AC52" s="2110"/>
      <c r="AD52" s="2097"/>
      <c r="AF52" s="13"/>
    </row>
    <row r="53" spans="1:32" s="5" customFormat="1">
      <c r="A53" s="1503">
        <f t="shared" si="1"/>
        <v>44</v>
      </c>
      <c r="B53" s="2054"/>
      <c r="C53" s="2054"/>
      <c r="D53" s="2054"/>
      <c r="E53" s="2054"/>
      <c r="F53" s="2048"/>
      <c r="G53" s="2054"/>
      <c r="H53" s="2054"/>
      <c r="I53" s="2054"/>
      <c r="J53" s="2054"/>
      <c r="K53" s="1504"/>
      <c r="L53" s="2037"/>
      <c r="M53" s="2037"/>
      <c r="N53" s="2066"/>
      <c r="O53" s="2050"/>
      <c r="P53" s="2066"/>
      <c r="Q53" s="2053"/>
      <c r="R53" s="2053"/>
      <c r="S53" s="2052"/>
      <c r="T53" s="2052"/>
      <c r="U53" s="2052"/>
      <c r="V53" s="2052"/>
      <c r="W53" s="2053"/>
      <c r="X53" s="2052"/>
      <c r="Y53" s="2052"/>
      <c r="Z53" s="2054"/>
      <c r="AA53" s="2052"/>
      <c r="AB53" s="2051"/>
      <c r="AC53" s="2110"/>
      <c r="AD53" s="2097"/>
      <c r="AF53" s="13"/>
    </row>
    <row r="54" spans="1:32" s="5" customFormat="1">
      <c r="A54" s="1503">
        <f t="shared" si="1"/>
        <v>45</v>
      </c>
      <c r="B54" s="2054"/>
      <c r="C54" s="2054"/>
      <c r="D54" s="2054"/>
      <c r="E54" s="2054"/>
      <c r="F54" s="2048"/>
      <c r="G54" s="2054"/>
      <c r="H54" s="2054"/>
      <c r="I54" s="2054"/>
      <c r="J54" s="2054"/>
      <c r="K54" s="1504"/>
      <c r="L54" s="2037"/>
      <c r="M54" s="2037"/>
      <c r="N54" s="2066"/>
      <c r="O54" s="2050"/>
      <c r="P54" s="2066"/>
      <c r="Q54" s="2053"/>
      <c r="R54" s="2053"/>
      <c r="S54" s="2052"/>
      <c r="T54" s="2052"/>
      <c r="U54" s="2052"/>
      <c r="V54" s="2052"/>
      <c r="W54" s="2053"/>
      <c r="X54" s="2052"/>
      <c r="Y54" s="2052"/>
      <c r="Z54" s="2054"/>
      <c r="AA54" s="2052"/>
      <c r="AB54" s="2051"/>
      <c r="AC54" s="2110"/>
      <c r="AD54" s="2097"/>
      <c r="AF54" s="13"/>
    </row>
    <row r="55" spans="1:32" s="5" customFormat="1">
      <c r="A55" s="1503">
        <f t="shared" si="1"/>
        <v>46</v>
      </c>
      <c r="B55" s="2054"/>
      <c r="C55" s="2054"/>
      <c r="D55" s="2054"/>
      <c r="E55" s="2054"/>
      <c r="F55" s="2048"/>
      <c r="G55" s="2054"/>
      <c r="H55" s="2054"/>
      <c r="I55" s="2054"/>
      <c r="J55" s="2054"/>
      <c r="K55" s="1504"/>
      <c r="L55" s="2037"/>
      <c r="M55" s="2037"/>
      <c r="N55" s="2066"/>
      <c r="O55" s="2050"/>
      <c r="P55" s="2066"/>
      <c r="Q55" s="2053"/>
      <c r="R55" s="2053"/>
      <c r="S55" s="2052"/>
      <c r="T55" s="2052"/>
      <c r="U55" s="2052"/>
      <c r="V55" s="2052"/>
      <c r="W55" s="2053"/>
      <c r="X55" s="2052"/>
      <c r="Y55" s="2052"/>
      <c r="Z55" s="2054"/>
      <c r="AA55" s="2052"/>
      <c r="AB55" s="2051"/>
      <c r="AC55" s="2110"/>
      <c r="AD55" s="2097"/>
      <c r="AF55" s="13"/>
    </row>
    <row r="56" spans="1:32" s="5" customFormat="1">
      <c r="A56" s="1503">
        <f t="shared" si="1"/>
        <v>47</v>
      </c>
      <c r="B56" s="2054"/>
      <c r="C56" s="2054"/>
      <c r="D56" s="2054"/>
      <c r="E56" s="2054"/>
      <c r="F56" s="2048"/>
      <c r="G56" s="2054"/>
      <c r="H56" s="2054"/>
      <c r="I56" s="2054"/>
      <c r="J56" s="2054"/>
      <c r="K56" s="1504"/>
      <c r="L56" s="2037"/>
      <c r="M56" s="2037"/>
      <c r="N56" s="2066"/>
      <c r="O56" s="2050"/>
      <c r="P56" s="2066"/>
      <c r="Q56" s="2053"/>
      <c r="R56" s="2053"/>
      <c r="S56" s="2052"/>
      <c r="T56" s="2052"/>
      <c r="U56" s="2052"/>
      <c r="V56" s="2052"/>
      <c r="W56" s="2053"/>
      <c r="X56" s="2052"/>
      <c r="Y56" s="2052"/>
      <c r="Z56" s="2054"/>
      <c r="AA56" s="2052"/>
      <c r="AB56" s="2051"/>
      <c r="AC56" s="2110"/>
      <c r="AD56" s="2097"/>
      <c r="AF56" s="13"/>
    </row>
    <row r="57" spans="1:32" s="5" customFormat="1">
      <c r="A57" s="1503">
        <f t="shared" si="1"/>
        <v>48</v>
      </c>
      <c r="B57" s="2054"/>
      <c r="C57" s="2054"/>
      <c r="D57" s="2054"/>
      <c r="E57" s="2054"/>
      <c r="F57" s="2048"/>
      <c r="G57" s="2054"/>
      <c r="H57" s="2054"/>
      <c r="I57" s="2054"/>
      <c r="J57" s="2054"/>
      <c r="K57" s="1504"/>
      <c r="L57" s="2037"/>
      <c r="M57" s="2037"/>
      <c r="N57" s="2066"/>
      <c r="O57" s="2050"/>
      <c r="P57" s="2066"/>
      <c r="Q57" s="2053"/>
      <c r="R57" s="2053"/>
      <c r="S57" s="2052"/>
      <c r="T57" s="2052"/>
      <c r="U57" s="2052"/>
      <c r="V57" s="2052"/>
      <c r="W57" s="2053"/>
      <c r="X57" s="2052"/>
      <c r="Y57" s="2052"/>
      <c r="Z57" s="2054"/>
      <c r="AA57" s="2052"/>
      <c r="AB57" s="2051"/>
      <c r="AC57" s="2110"/>
      <c r="AD57" s="2097"/>
      <c r="AF57" s="13"/>
    </row>
    <row r="58" spans="1:32" s="5" customFormat="1">
      <c r="A58" s="1503">
        <f t="shared" si="1"/>
        <v>49</v>
      </c>
      <c r="B58" s="2054"/>
      <c r="C58" s="2054"/>
      <c r="D58" s="2054"/>
      <c r="E58" s="2054"/>
      <c r="F58" s="2048"/>
      <c r="G58" s="2054"/>
      <c r="H58" s="2054"/>
      <c r="I58" s="2054"/>
      <c r="J58" s="2054"/>
      <c r="K58" s="1504"/>
      <c r="L58" s="2037"/>
      <c r="M58" s="2037"/>
      <c r="N58" s="2066"/>
      <c r="O58" s="2050"/>
      <c r="P58" s="2066"/>
      <c r="Q58" s="2053"/>
      <c r="R58" s="2053"/>
      <c r="S58" s="2052"/>
      <c r="T58" s="2052"/>
      <c r="U58" s="2052"/>
      <c r="V58" s="2052"/>
      <c r="W58" s="2053"/>
      <c r="X58" s="2052"/>
      <c r="Y58" s="2052"/>
      <c r="Z58" s="2054"/>
      <c r="AA58" s="2052"/>
      <c r="AB58" s="2051"/>
      <c r="AC58" s="2110"/>
      <c r="AD58" s="2097"/>
      <c r="AF58" s="13"/>
    </row>
    <row r="59" spans="1:32" s="5" customFormat="1">
      <c r="A59" s="1503">
        <f t="shared" si="1"/>
        <v>50</v>
      </c>
      <c r="B59" s="2054"/>
      <c r="C59" s="2054"/>
      <c r="D59" s="2054"/>
      <c r="E59" s="2054"/>
      <c r="F59" s="2048"/>
      <c r="G59" s="2054"/>
      <c r="H59" s="2054"/>
      <c r="I59" s="2054"/>
      <c r="J59" s="2054"/>
      <c r="K59" s="1504"/>
      <c r="L59" s="2037"/>
      <c r="M59" s="2037"/>
      <c r="N59" s="2066"/>
      <c r="O59" s="2050"/>
      <c r="P59" s="2066"/>
      <c r="Q59" s="2053"/>
      <c r="R59" s="2053"/>
      <c r="S59" s="2052"/>
      <c r="T59" s="2052"/>
      <c r="U59" s="2052"/>
      <c r="V59" s="2052"/>
      <c r="W59" s="2053"/>
      <c r="X59" s="2052"/>
      <c r="Y59" s="2052"/>
      <c r="Z59" s="2054"/>
      <c r="AA59" s="2052"/>
      <c r="AB59" s="2051"/>
      <c r="AC59" s="2110"/>
      <c r="AD59" s="2097"/>
      <c r="AF59" s="13"/>
    </row>
    <row r="60" spans="1:32" s="5" customFormat="1">
      <c r="A60" s="1503">
        <f t="shared" si="1"/>
        <v>51</v>
      </c>
      <c r="B60" s="2054"/>
      <c r="C60" s="2054"/>
      <c r="D60" s="2054"/>
      <c r="E60" s="2054"/>
      <c r="F60" s="2048"/>
      <c r="G60" s="2054"/>
      <c r="H60" s="2054"/>
      <c r="I60" s="2054"/>
      <c r="J60" s="2054"/>
      <c r="K60" s="1504"/>
      <c r="L60" s="2037"/>
      <c r="M60" s="2037"/>
      <c r="N60" s="2066"/>
      <c r="O60" s="2050"/>
      <c r="P60" s="2066"/>
      <c r="Q60" s="2053"/>
      <c r="R60" s="2053"/>
      <c r="S60" s="2052"/>
      <c r="T60" s="2052"/>
      <c r="U60" s="2052"/>
      <c r="V60" s="2052"/>
      <c r="W60" s="2053"/>
      <c r="X60" s="2052"/>
      <c r="Y60" s="2052"/>
      <c r="Z60" s="2054"/>
      <c r="AA60" s="2052"/>
      <c r="AB60" s="2051"/>
      <c r="AC60" s="2110"/>
      <c r="AD60" s="2097"/>
      <c r="AF60" s="13"/>
    </row>
    <row r="61" spans="1:32" s="5" customFormat="1">
      <c r="A61" s="1503">
        <f t="shared" si="1"/>
        <v>52</v>
      </c>
      <c r="B61" s="2054"/>
      <c r="C61" s="2054"/>
      <c r="D61" s="2054"/>
      <c r="E61" s="2054"/>
      <c r="F61" s="2048"/>
      <c r="G61" s="2054"/>
      <c r="H61" s="2054"/>
      <c r="I61" s="2054"/>
      <c r="J61" s="2054"/>
      <c r="K61" s="1504"/>
      <c r="L61" s="2037"/>
      <c r="M61" s="2037"/>
      <c r="N61" s="2066"/>
      <c r="O61" s="2050"/>
      <c r="P61" s="2066"/>
      <c r="Q61" s="2053"/>
      <c r="R61" s="2053"/>
      <c r="S61" s="2052"/>
      <c r="T61" s="2052"/>
      <c r="U61" s="2052"/>
      <c r="V61" s="2052"/>
      <c r="W61" s="2053"/>
      <c r="X61" s="2052"/>
      <c r="Y61" s="2052"/>
      <c r="Z61" s="2054"/>
      <c r="AA61" s="2052"/>
      <c r="AB61" s="2051"/>
      <c r="AC61" s="2110"/>
      <c r="AD61" s="2097"/>
      <c r="AF61" s="13"/>
    </row>
    <row r="62" spans="1:32" s="5" customFormat="1">
      <c r="A62" s="1503">
        <f t="shared" si="1"/>
        <v>53</v>
      </c>
      <c r="B62" s="2054"/>
      <c r="C62" s="2054"/>
      <c r="D62" s="2054"/>
      <c r="E62" s="2054"/>
      <c r="F62" s="2048"/>
      <c r="G62" s="2054"/>
      <c r="H62" s="2054"/>
      <c r="I62" s="2054"/>
      <c r="J62" s="2054"/>
      <c r="K62" s="1504"/>
      <c r="L62" s="2037"/>
      <c r="M62" s="2037"/>
      <c r="N62" s="2066"/>
      <c r="O62" s="2050"/>
      <c r="P62" s="2066"/>
      <c r="Q62" s="2053"/>
      <c r="R62" s="2053"/>
      <c r="S62" s="2052"/>
      <c r="T62" s="2052"/>
      <c r="U62" s="2052"/>
      <c r="V62" s="2052"/>
      <c r="W62" s="2053"/>
      <c r="X62" s="2052"/>
      <c r="Y62" s="2052"/>
      <c r="Z62" s="2054"/>
      <c r="AA62" s="2052"/>
      <c r="AB62" s="2051"/>
      <c r="AC62" s="2110"/>
      <c r="AD62" s="2097"/>
      <c r="AF62" s="13"/>
    </row>
    <row r="63" spans="1:32" s="5" customFormat="1">
      <c r="A63" s="1503">
        <f t="shared" si="1"/>
        <v>54</v>
      </c>
      <c r="B63" s="1447"/>
      <c r="C63" s="1915"/>
      <c r="D63" s="2029"/>
      <c r="E63" s="1942"/>
      <c r="F63" s="2033"/>
      <c r="G63" s="2033"/>
      <c r="H63" s="2033"/>
      <c r="I63" s="2635"/>
      <c r="J63" s="1476"/>
      <c r="K63" s="1552"/>
      <c r="L63" s="2037"/>
      <c r="M63" s="2037"/>
      <c r="N63" s="2066"/>
      <c r="O63" s="2050"/>
      <c r="P63" s="2066"/>
      <c r="Q63" s="2053"/>
      <c r="R63" s="2053"/>
      <c r="S63" s="2052"/>
      <c r="T63" s="2052"/>
      <c r="U63" s="2052"/>
      <c r="V63" s="2052"/>
      <c r="W63" s="2053"/>
      <c r="X63" s="2052"/>
      <c r="Y63" s="2052"/>
      <c r="Z63" s="2054"/>
      <c r="AA63" s="2052"/>
      <c r="AB63" s="2051"/>
      <c r="AC63" s="2110"/>
      <c r="AD63" s="2097"/>
      <c r="AF63" s="13"/>
    </row>
    <row r="64" spans="1:32" s="5" customFormat="1">
      <c r="A64" s="1503">
        <f t="shared" si="1"/>
        <v>55</v>
      </c>
      <c r="B64" s="1447"/>
      <c r="C64" s="1915"/>
      <c r="D64" s="2029"/>
      <c r="E64" s="1942"/>
      <c r="F64" s="2033"/>
      <c r="G64" s="2033"/>
      <c r="H64" s="2033"/>
      <c r="I64" s="2635"/>
      <c r="J64" s="1476"/>
      <c r="K64" s="1552"/>
      <c r="L64" s="2037"/>
      <c r="M64" s="2037"/>
      <c r="N64" s="2066"/>
      <c r="O64" s="2050"/>
      <c r="P64" s="2066"/>
      <c r="Q64" s="2053"/>
      <c r="R64" s="2053"/>
      <c r="S64" s="2052"/>
      <c r="T64" s="2052"/>
      <c r="U64" s="2052"/>
      <c r="V64" s="2052"/>
      <c r="W64" s="2053"/>
      <c r="X64" s="2052"/>
      <c r="Y64" s="2052"/>
      <c r="Z64" s="2054"/>
      <c r="AA64" s="2052"/>
      <c r="AB64" s="2051"/>
      <c r="AC64" s="2110"/>
      <c r="AD64" s="2097"/>
      <c r="AF64" s="13"/>
    </row>
    <row r="65" spans="1:32" s="5" customFormat="1">
      <c r="A65" s="1503">
        <f t="shared" si="1"/>
        <v>56</v>
      </c>
      <c r="B65" s="1447"/>
      <c r="C65" s="1915"/>
      <c r="D65" s="2029"/>
      <c r="E65" s="1942"/>
      <c r="F65" s="2033"/>
      <c r="G65" s="2033"/>
      <c r="H65" s="2033"/>
      <c r="I65" s="2635"/>
      <c r="J65" s="1476"/>
      <c r="K65" s="1552"/>
      <c r="L65" s="2037"/>
      <c r="M65" s="2037"/>
      <c r="N65" s="2066"/>
      <c r="O65" s="2050"/>
      <c r="P65" s="2066"/>
      <c r="Q65" s="2053"/>
      <c r="R65" s="2053"/>
      <c r="S65" s="2052"/>
      <c r="T65" s="2052"/>
      <c r="U65" s="2052"/>
      <c r="V65" s="2052"/>
      <c r="W65" s="2053"/>
      <c r="X65" s="2052"/>
      <c r="Y65" s="2052"/>
      <c r="Z65" s="2054"/>
      <c r="AA65" s="2052"/>
      <c r="AB65" s="2051"/>
      <c r="AC65" s="2110"/>
      <c r="AD65" s="2097"/>
      <c r="AF65" s="13"/>
    </row>
    <row r="66" spans="1:32" s="5" customFormat="1">
      <c r="A66" s="1503">
        <f t="shared" si="1"/>
        <v>57</v>
      </c>
      <c r="B66" s="1447"/>
      <c r="C66" s="1915"/>
      <c r="D66" s="2029"/>
      <c r="E66" s="1942"/>
      <c r="F66" s="2033"/>
      <c r="G66" s="2033"/>
      <c r="H66" s="2033"/>
      <c r="I66" s="2635"/>
      <c r="J66" s="1476"/>
      <c r="K66" s="1552"/>
      <c r="L66" s="2037"/>
      <c r="M66" s="2037"/>
      <c r="N66" s="2066"/>
      <c r="O66" s="2050"/>
      <c r="P66" s="2066"/>
      <c r="Q66" s="2053"/>
      <c r="R66" s="2053"/>
      <c r="S66" s="2052"/>
      <c r="T66" s="2052"/>
      <c r="U66" s="2052"/>
      <c r="V66" s="2052"/>
      <c r="W66" s="2053"/>
      <c r="X66" s="2052"/>
      <c r="Y66" s="2052"/>
      <c r="Z66" s="2054"/>
      <c r="AA66" s="2052"/>
      <c r="AB66" s="2051"/>
      <c r="AC66" s="2110"/>
      <c r="AD66" s="2097"/>
      <c r="AF66" s="13"/>
    </row>
    <row r="67" spans="1:32" s="5" customFormat="1">
      <c r="A67" s="1503">
        <f t="shared" si="1"/>
        <v>58</v>
      </c>
      <c r="B67" s="2044"/>
      <c r="C67" s="1915"/>
      <c r="D67" s="2029"/>
      <c r="E67" s="1942"/>
      <c r="F67" s="2033"/>
      <c r="G67" s="2033"/>
      <c r="H67" s="2033"/>
      <c r="I67" s="2635"/>
      <c r="J67" s="1476"/>
      <c r="K67" s="1552"/>
      <c r="L67" s="2037"/>
      <c r="M67" s="2037"/>
      <c r="N67" s="2066"/>
      <c r="O67" s="2050"/>
      <c r="P67" s="2066"/>
      <c r="Q67" s="2053"/>
      <c r="R67" s="2053"/>
      <c r="S67" s="2052"/>
      <c r="T67" s="2052"/>
      <c r="U67" s="2052"/>
      <c r="V67" s="2052"/>
      <c r="W67" s="2053"/>
      <c r="X67" s="2052"/>
      <c r="Y67" s="2052"/>
      <c r="Z67" s="2054"/>
      <c r="AA67" s="2052"/>
      <c r="AB67" s="2051"/>
      <c r="AC67" s="2110"/>
      <c r="AD67" s="2097"/>
      <c r="AF67" s="13"/>
    </row>
    <row r="68" spans="1:32" s="5" customFormat="1">
      <c r="A68" s="1503">
        <f t="shared" si="1"/>
        <v>59</v>
      </c>
      <c r="B68" s="2044"/>
      <c r="C68" s="1915"/>
      <c r="D68" s="2029"/>
      <c r="E68" s="1942"/>
      <c r="F68" s="2033"/>
      <c r="G68" s="2033"/>
      <c r="H68" s="2033"/>
      <c r="I68" s="2635"/>
      <c r="J68" s="1476"/>
      <c r="K68" s="1552"/>
      <c r="L68" s="2037"/>
      <c r="M68" s="2037"/>
      <c r="N68" s="2066"/>
      <c r="O68" s="2050"/>
      <c r="P68" s="2066"/>
      <c r="Q68" s="2053"/>
      <c r="R68" s="2053"/>
      <c r="S68" s="2052"/>
      <c r="T68" s="2052"/>
      <c r="U68" s="2052"/>
      <c r="V68" s="2052"/>
      <c r="W68" s="2053"/>
      <c r="X68" s="2052"/>
      <c r="Y68" s="2052"/>
      <c r="Z68" s="2054"/>
      <c r="AA68" s="2052"/>
      <c r="AB68" s="2051"/>
      <c r="AC68" s="2110"/>
      <c r="AD68" s="2097"/>
      <c r="AF68" s="13"/>
    </row>
    <row r="69" spans="1:32" s="5" customFormat="1">
      <c r="A69" s="1503">
        <f t="shared" si="1"/>
        <v>60</v>
      </c>
      <c r="B69" s="2044"/>
      <c r="C69" s="1915"/>
      <c r="D69" s="2029"/>
      <c r="E69" s="1942"/>
      <c r="F69" s="2033"/>
      <c r="G69" s="2033"/>
      <c r="H69" s="2033"/>
      <c r="I69" s="2635"/>
      <c r="J69" s="1476"/>
      <c r="K69" s="1552"/>
      <c r="L69" s="2037"/>
      <c r="M69" s="2037"/>
      <c r="N69" s="2066"/>
      <c r="O69" s="2050"/>
      <c r="P69" s="2066"/>
      <c r="Q69" s="2053"/>
      <c r="R69" s="2053"/>
      <c r="S69" s="2052"/>
      <c r="T69" s="2052"/>
      <c r="U69" s="2052"/>
      <c r="V69" s="2052"/>
      <c r="W69" s="2053"/>
      <c r="X69" s="2052"/>
      <c r="Y69" s="2052"/>
      <c r="Z69" s="2054"/>
      <c r="AA69" s="2052"/>
      <c r="AB69" s="2051"/>
      <c r="AC69" s="2110"/>
      <c r="AD69" s="2097"/>
      <c r="AF69" s="13"/>
    </row>
    <row r="70" spans="1:32" s="5" customFormat="1">
      <c r="A70" s="1503">
        <f t="shared" si="1"/>
        <v>61</v>
      </c>
      <c r="B70" s="2044"/>
      <c r="C70" s="1915"/>
      <c r="D70" s="2029"/>
      <c r="E70" s="1942"/>
      <c r="F70" s="2033"/>
      <c r="G70" s="2033"/>
      <c r="H70" s="2033"/>
      <c r="I70" s="2635"/>
      <c r="J70" s="1476"/>
      <c r="K70" s="1552"/>
      <c r="L70" s="2037"/>
      <c r="M70" s="2037"/>
      <c r="N70" s="2066"/>
      <c r="O70" s="2050"/>
      <c r="P70" s="2066"/>
      <c r="Q70" s="2053"/>
      <c r="R70" s="2053"/>
      <c r="S70" s="2052"/>
      <c r="T70" s="2052"/>
      <c r="U70" s="2052"/>
      <c r="V70" s="2052"/>
      <c r="W70" s="2053"/>
      <c r="X70" s="2052"/>
      <c r="Y70" s="2052"/>
      <c r="Z70" s="2054"/>
      <c r="AA70" s="2052"/>
      <c r="AB70" s="2051"/>
      <c r="AC70" s="2110"/>
      <c r="AD70" s="2097"/>
      <c r="AF70" s="13"/>
    </row>
    <row r="71" spans="1:32" s="5" customFormat="1">
      <c r="A71" s="1503">
        <f t="shared" si="1"/>
        <v>62</v>
      </c>
      <c r="B71" s="2044"/>
      <c r="C71" s="1915"/>
      <c r="D71" s="2029"/>
      <c r="E71" s="1942"/>
      <c r="F71" s="2033"/>
      <c r="G71" s="2033"/>
      <c r="H71" s="2033"/>
      <c r="I71" s="2635"/>
      <c r="J71" s="1476"/>
      <c r="K71" s="1552"/>
      <c r="L71" s="2037"/>
      <c r="M71" s="2037"/>
      <c r="N71" s="2066"/>
      <c r="O71" s="2050"/>
      <c r="P71" s="2066"/>
      <c r="Q71" s="2053"/>
      <c r="R71" s="2053"/>
      <c r="S71" s="2052"/>
      <c r="T71" s="2052"/>
      <c r="U71" s="2052"/>
      <c r="V71" s="2052"/>
      <c r="W71" s="2053"/>
      <c r="X71" s="2052"/>
      <c r="Y71" s="2052"/>
      <c r="Z71" s="2054"/>
      <c r="AA71" s="2052"/>
      <c r="AB71" s="2051"/>
      <c r="AC71" s="2110"/>
      <c r="AD71" s="2097"/>
      <c r="AF71" s="13"/>
    </row>
    <row r="72" spans="1:32" s="5" customFormat="1">
      <c r="A72" s="1503">
        <f t="shared" ref="A72:A118" si="2">+A71+1</f>
        <v>63</v>
      </c>
      <c r="B72" s="2044"/>
      <c r="C72" s="1915"/>
      <c r="D72" s="2029"/>
      <c r="E72" s="1942"/>
      <c r="F72" s="2033"/>
      <c r="G72" s="2033"/>
      <c r="H72" s="2033"/>
      <c r="I72" s="2635"/>
      <c r="J72" s="1476"/>
      <c r="K72" s="1552"/>
      <c r="L72" s="2037"/>
      <c r="M72" s="2037"/>
      <c r="N72" s="2066"/>
      <c r="O72" s="2050"/>
      <c r="P72" s="2066"/>
      <c r="Q72" s="2053"/>
      <c r="R72" s="2053"/>
      <c r="S72" s="2052"/>
      <c r="T72" s="2052"/>
      <c r="U72" s="2052"/>
      <c r="V72" s="2052"/>
      <c r="W72" s="2053"/>
      <c r="X72" s="2052"/>
      <c r="Y72" s="2052"/>
      <c r="Z72" s="2054"/>
      <c r="AA72" s="2052"/>
      <c r="AB72" s="2051"/>
      <c r="AC72" s="2110"/>
      <c r="AD72" s="2097"/>
      <c r="AF72" s="13"/>
    </row>
    <row r="73" spans="1:32" s="5" customFormat="1">
      <c r="A73" s="1503">
        <f t="shared" si="2"/>
        <v>64</v>
      </c>
      <c r="B73" s="2044"/>
      <c r="C73" s="1915"/>
      <c r="D73" s="2029"/>
      <c r="E73" s="1942"/>
      <c r="F73" s="2033"/>
      <c r="G73" s="2033"/>
      <c r="H73" s="2033"/>
      <c r="I73" s="2635"/>
      <c r="J73" s="1476"/>
      <c r="K73" s="1552"/>
      <c r="L73" s="2037"/>
      <c r="M73" s="2037"/>
      <c r="N73" s="2066"/>
      <c r="O73" s="2050"/>
      <c r="P73" s="2066"/>
      <c r="Q73" s="2053"/>
      <c r="R73" s="2053"/>
      <c r="S73" s="2052"/>
      <c r="T73" s="2052"/>
      <c r="U73" s="2052"/>
      <c r="V73" s="2052"/>
      <c r="W73" s="2053"/>
      <c r="X73" s="2052"/>
      <c r="Y73" s="2052"/>
      <c r="Z73" s="2054"/>
      <c r="AA73" s="2052"/>
      <c r="AB73" s="2051"/>
      <c r="AC73" s="2110"/>
      <c r="AD73" s="2097"/>
      <c r="AF73" s="13"/>
    </row>
    <row r="74" spans="1:32" s="5" customFormat="1">
      <c r="A74" s="1503">
        <f t="shared" si="2"/>
        <v>65</v>
      </c>
      <c r="B74" s="295"/>
      <c r="C74" s="1915"/>
      <c r="D74" s="2029"/>
      <c r="E74" s="1942"/>
      <c r="F74" s="167"/>
      <c r="G74" s="167"/>
      <c r="H74" s="167"/>
      <c r="I74" s="1237"/>
      <c r="J74" s="692"/>
      <c r="K74" s="1914"/>
      <c r="L74" s="577"/>
      <c r="M74" s="577"/>
      <c r="N74" s="1517"/>
      <c r="O74" s="2472"/>
      <c r="P74" s="1517"/>
      <c r="Q74" s="2555"/>
      <c r="R74" s="2555"/>
      <c r="S74" s="2556"/>
      <c r="T74" s="2556"/>
      <c r="U74" s="2556"/>
      <c r="V74" s="2556"/>
      <c r="W74" s="2555"/>
      <c r="X74" s="2556"/>
      <c r="Y74" s="2556"/>
      <c r="Z74" s="2557"/>
      <c r="AA74" s="2556"/>
      <c r="AB74" s="2558"/>
      <c r="AC74" s="2559"/>
      <c r="AD74" s="2560"/>
      <c r="AF74" s="13"/>
    </row>
    <row r="75" spans="1:32" s="5" customFormat="1">
      <c r="A75" s="1503">
        <f t="shared" si="2"/>
        <v>66</v>
      </c>
      <c r="B75" s="295"/>
      <c r="C75" s="1915"/>
      <c r="D75" s="2029"/>
      <c r="E75" s="1942"/>
      <c r="F75" s="167"/>
      <c r="G75" s="167"/>
      <c r="H75" s="167"/>
      <c r="I75" s="1237"/>
      <c r="J75" s="692"/>
      <c r="K75" s="1914"/>
      <c r="L75" s="577"/>
      <c r="M75" s="577"/>
      <c r="N75" s="1517"/>
      <c r="O75" s="2472"/>
      <c r="P75" s="1517"/>
      <c r="Q75" s="2555"/>
      <c r="R75" s="2555"/>
      <c r="S75" s="2556"/>
      <c r="T75" s="2556"/>
      <c r="U75" s="2556"/>
      <c r="V75" s="2556"/>
      <c r="W75" s="2555"/>
      <c r="X75" s="2556"/>
      <c r="Y75" s="2556"/>
      <c r="Z75" s="2557"/>
      <c r="AA75" s="2556"/>
      <c r="AB75" s="2558"/>
      <c r="AC75" s="2559"/>
      <c r="AD75" s="2560"/>
      <c r="AF75" s="13"/>
    </row>
    <row r="76" spans="1:32" s="5" customFormat="1">
      <c r="A76" s="1503">
        <f t="shared" si="2"/>
        <v>67</v>
      </c>
      <c r="B76" s="295"/>
      <c r="C76" s="1915"/>
      <c r="D76" s="2029"/>
      <c r="E76" s="1942"/>
      <c r="F76" s="167"/>
      <c r="G76" s="167"/>
      <c r="H76" s="167"/>
      <c r="I76" s="1237"/>
      <c r="J76" s="692"/>
      <c r="K76" s="1914"/>
      <c r="L76" s="577"/>
      <c r="M76" s="577"/>
      <c r="N76" s="1517"/>
      <c r="O76" s="2472"/>
      <c r="P76" s="1517"/>
      <c r="Q76" s="2555"/>
      <c r="R76" s="2555"/>
      <c r="S76" s="2556"/>
      <c r="T76" s="2556"/>
      <c r="U76" s="2556"/>
      <c r="V76" s="2556"/>
      <c r="W76" s="2555"/>
      <c r="X76" s="2556"/>
      <c r="Y76" s="2556"/>
      <c r="Z76" s="2557"/>
      <c r="AA76" s="2556"/>
      <c r="AB76" s="2558"/>
      <c r="AC76" s="2559"/>
      <c r="AD76" s="2560"/>
      <c r="AF76" s="13"/>
    </row>
    <row r="77" spans="1:32" s="5" customFormat="1">
      <c r="A77" s="1503">
        <f t="shared" si="2"/>
        <v>68</v>
      </c>
      <c r="B77" s="295"/>
      <c r="C77" s="1915"/>
      <c r="D77" s="2029"/>
      <c r="E77" s="1942"/>
      <c r="F77" s="167"/>
      <c r="G77" s="167"/>
      <c r="H77" s="167"/>
      <c r="I77" s="1237"/>
      <c r="J77" s="692"/>
      <c r="K77" s="1914"/>
      <c r="L77" s="577"/>
      <c r="M77" s="577"/>
      <c r="N77" s="1517"/>
      <c r="O77" s="2472"/>
      <c r="P77" s="1517"/>
      <c r="Q77" s="2555"/>
      <c r="R77" s="2555"/>
      <c r="S77" s="2556"/>
      <c r="T77" s="2556"/>
      <c r="U77" s="2556"/>
      <c r="V77" s="2556"/>
      <c r="W77" s="2555"/>
      <c r="X77" s="2556"/>
      <c r="Y77" s="2556"/>
      <c r="Z77" s="2557"/>
      <c r="AA77" s="2556"/>
      <c r="AB77" s="2558"/>
      <c r="AC77" s="2559"/>
      <c r="AD77" s="2560"/>
      <c r="AF77" s="13"/>
    </row>
    <row r="78" spans="1:32" s="5" customFormat="1">
      <c r="A78" s="1503">
        <f t="shared" si="2"/>
        <v>69</v>
      </c>
      <c r="B78" s="295"/>
      <c r="C78" s="1915"/>
      <c r="D78" s="2029"/>
      <c r="E78" s="1942"/>
      <c r="F78" s="167"/>
      <c r="G78" s="167"/>
      <c r="H78" s="167"/>
      <c r="I78" s="1237"/>
      <c r="J78" s="692"/>
      <c r="K78" s="1914"/>
      <c r="L78" s="577"/>
      <c r="M78" s="577"/>
      <c r="N78" s="1517"/>
      <c r="O78" s="2472"/>
      <c r="P78" s="1517"/>
      <c r="Q78" s="2555"/>
      <c r="R78" s="2555"/>
      <c r="S78" s="2556"/>
      <c r="T78" s="2556"/>
      <c r="U78" s="2556"/>
      <c r="V78" s="2556"/>
      <c r="W78" s="2555"/>
      <c r="X78" s="2556"/>
      <c r="Y78" s="2556"/>
      <c r="Z78" s="2557"/>
      <c r="AA78" s="2556"/>
      <c r="AB78" s="2558"/>
      <c r="AC78" s="2559"/>
      <c r="AD78" s="2560"/>
      <c r="AF78" s="13"/>
    </row>
    <row r="79" spans="1:32" s="5" customFormat="1">
      <c r="A79" s="1503">
        <f t="shared" si="2"/>
        <v>70</v>
      </c>
      <c r="B79" s="295"/>
      <c r="C79" s="1915"/>
      <c r="D79" s="2029"/>
      <c r="E79" s="1942"/>
      <c r="F79" s="167"/>
      <c r="G79" s="167"/>
      <c r="H79" s="167"/>
      <c r="I79" s="1237"/>
      <c r="J79" s="692"/>
      <c r="K79" s="1914"/>
      <c r="L79" s="577"/>
      <c r="M79" s="577"/>
      <c r="N79" s="1517"/>
      <c r="O79" s="2472"/>
      <c r="P79" s="1517"/>
      <c r="Q79" s="2555"/>
      <c r="R79" s="2555"/>
      <c r="S79" s="2556"/>
      <c r="T79" s="2556"/>
      <c r="U79" s="2556"/>
      <c r="V79" s="2556"/>
      <c r="W79" s="2555"/>
      <c r="X79" s="2556"/>
      <c r="Y79" s="2556"/>
      <c r="Z79" s="2557"/>
      <c r="AA79" s="2556"/>
      <c r="AB79" s="2558"/>
      <c r="AC79" s="2559"/>
      <c r="AD79" s="2560"/>
      <c r="AF79" s="13"/>
    </row>
    <row r="80" spans="1:32" s="5" customFormat="1">
      <c r="A80" s="1503">
        <f t="shared" si="2"/>
        <v>71</v>
      </c>
      <c r="B80" s="295"/>
      <c r="C80" s="1915"/>
      <c r="D80" s="2029"/>
      <c r="E80" s="1942"/>
      <c r="F80" s="167"/>
      <c r="G80" s="167"/>
      <c r="H80" s="167"/>
      <c r="I80" s="1237"/>
      <c r="J80" s="692"/>
      <c r="K80" s="1914"/>
      <c r="L80" s="577"/>
      <c r="M80" s="577"/>
      <c r="N80" s="1517"/>
      <c r="O80" s="2472"/>
      <c r="P80" s="1517"/>
      <c r="Q80" s="2555"/>
      <c r="R80" s="2555"/>
      <c r="S80" s="2556"/>
      <c r="T80" s="2556"/>
      <c r="U80" s="2556"/>
      <c r="V80" s="2556"/>
      <c r="W80" s="2555"/>
      <c r="X80" s="2556"/>
      <c r="Y80" s="2556"/>
      <c r="Z80" s="2557"/>
      <c r="AA80" s="2556"/>
      <c r="AB80" s="2558"/>
      <c r="AC80" s="2559"/>
      <c r="AD80" s="2560"/>
      <c r="AF80" s="13"/>
    </row>
    <row r="81" spans="1:32" s="5" customFormat="1">
      <c r="A81" s="1503">
        <f t="shared" si="2"/>
        <v>72</v>
      </c>
      <c r="B81" s="295"/>
      <c r="C81" s="1915"/>
      <c r="D81" s="2029"/>
      <c r="E81" s="1942"/>
      <c r="F81" s="167"/>
      <c r="G81" s="167"/>
      <c r="H81" s="167"/>
      <c r="I81" s="1237"/>
      <c r="J81" s="692"/>
      <c r="K81" s="1914"/>
      <c r="L81" s="577"/>
      <c r="M81" s="577"/>
      <c r="N81" s="1517"/>
      <c r="O81" s="2472"/>
      <c r="P81" s="1517"/>
      <c r="Q81" s="2555"/>
      <c r="R81" s="2555"/>
      <c r="S81" s="2556"/>
      <c r="T81" s="2556"/>
      <c r="U81" s="2556"/>
      <c r="V81" s="2556"/>
      <c r="W81" s="2555"/>
      <c r="X81" s="2556"/>
      <c r="Y81" s="2556"/>
      <c r="Z81" s="2557"/>
      <c r="AA81" s="2556"/>
      <c r="AB81" s="2558"/>
      <c r="AC81" s="2559"/>
      <c r="AD81" s="2560"/>
      <c r="AF81" s="13"/>
    </row>
    <row r="82" spans="1:32" s="5" customFormat="1">
      <c r="A82" s="1503">
        <f t="shared" si="2"/>
        <v>73</v>
      </c>
      <c r="B82" s="295"/>
      <c r="C82" s="1915"/>
      <c r="D82" s="2029"/>
      <c r="E82" s="1942"/>
      <c r="F82" s="167"/>
      <c r="G82" s="167"/>
      <c r="H82" s="167"/>
      <c r="I82" s="1237"/>
      <c r="J82" s="692"/>
      <c r="K82" s="1914"/>
      <c r="L82" s="577"/>
      <c r="M82" s="577"/>
      <c r="N82" s="1517"/>
      <c r="O82" s="2472"/>
      <c r="P82" s="1517"/>
      <c r="Q82" s="2555"/>
      <c r="R82" s="2555"/>
      <c r="S82" s="2556"/>
      <c r="T82" s="2556"/>
      <c r="U82" s="2556"/>
      <c r="V82" s="2556"/>
      <c r="W82" s="2555"/>
      <c r="X82" s="2556"/>
      <c r="Y82" s="2556"/>
      <c r="Z82" s="2557"/>
      <c r="AA82" s="2556"/>
      <c r="AB82" s="2558"/>
      <c r="AC82" s="2559"/>
      <c r="AD82" s="2560"/>
      <c r="AF82" s="13"/>
    </row>
    <row r="83" spans="1:32" s="5" customFormat="1">
      <c r="A83" s="1503">
        <f t="shared" si="2"/>
        <v>74</v>
      </c>
      <c r="B83" s="295"/>
      <c r="C83" s="1915"/>
      <c r="D83" s="2029"/>
      <c r="E83" s="1942"/>
      <c r="F83" s="167"/>
      <c r="G83" s="167"/>
      <c r="H83" s="167"/>
      <c r="I83" s="1237"/>
      <c r="J83" s="692"/>
      <c r="K83" s="1914"/>
      <c r="L83" s="577"/>
      <c r="M83" s="577"/>
      <c r="N83" s="1517"/>
      <c r="O83" s="2472"/>
      <c r="P83" s="1517"/>
      <c r="Q83" s="2555"/>
      <c r="R83" s="2555"/>
      <c r="S83" s="2556"/>
      <c r="T83" s="2556"/>
      <c r="U83" s="2556"/>
      <c r="V83" s="2556"/>
      <c r="W83" s="2555"/>
      <c r="X83" s="2556"/>
      <c r="Y83" s="2556"/>
      <c r="Z83" s="2557"/>
      <c r="AA83" s="2556"/>
      <c r="AB83" s="2558"/>
      <c r="AC83" s="2559"/>
      <c r="AD83" s="2560"/>
      <c r="AF83" s="13"/>
    </row>
    <row r="84" spans="1:32" s="5" customFormat="1">
      <c r="A84" s="1503">
        <f t="shared" si="2"/>
        <v>75</v>
      </c>
      <c r="B84" s="295"/>
      <c r="C84" s="1915"/>
      <c r="D84" s="2029"/>
      <c r="E84" s="1942"/>
      <c r="F84" s="167"/>
      <c r="G84" s="167"/>
      <c r="H84" s="167"/>
      <c r="I84" s="1237"/>
      <c r="J84" s="692"/>
      <c r="K84" s="1914"/>
      <c r="L84" s="577"/>
      <c r="M84" s="577"/>
      <c r="N84" s="1517"/>
      <c r="O84" s="2472"/>
      <c r="P84" s="1517"/>
      <c r="Q84" s="2555"/>
      <c r="R84" s="2555"/>
      <c r="S84" s="2556"/>
      <c r="T84" s="2556"/>
      <c r="U84" s="2556"/>
      <c r="V84" s="2556"/>
      <c r="W84" s="2555"/>
      <c r="X84" s="2556"/>
      <c r="Y84" s="2556"/>
      <c r="Z84" s="2557"/>
      <c r="AA84" s="2556"/>
      <c r="AB84" s="2558"/>
      <c r="AC84" s="2559"/>
      <c r="AD84" s="2560"/>
      <c r="AF84" s="13"/>
    </row>
    <row r="85" spans="1:32" s="5" customFormat="1">
      <c r="A85" s="1503">
        <f t="shared" si="2"/>
        <v>76</v>
      </c>
      <c r="B85" s="295"/>
      <c r="C85" s="1915"/>
      <c r="D85" s="2029"/>
      <c r="E85" s="1942"/>
      <c r="F85" s="167"/>
      <c r="G85" s="167"/>
      <c r="H85" s="167"/>
      <c r="I85" s="1237"/>
      <c r="J85" s="692"/>
      <c r="K85" s="1914"/>
      <c r="L85" s="577"/>
      <c r="M85" s="577"/>
      <c r="N85" s="1517"/>
      <c r="O85" s="2472"/>
      <c r="P85" s="1517"/>
      <c r="Q85" s="2555"/>
      <c r="R85" s="2555"/>
      <c r="S85" s="2556"/>
      <c r="T85" s="2556"/>
      <c r="U85" s="2556"/>
      <c r="V85" s="2556"/>
      <c r="W85" s="2555"/>
      <c r="X85" s="2556"/>
      <c r="Y85" s="2556"/>
      <c r="Z85" s="2557"/>
      <c r="AA85" s="2556"/>
      <c r="AB85" s="2558"/>
      <c r="AC85" s="2559"/>
      <c r="AD85" s="2560"/>
      <c r="AF85" s="13"/>
    </row>
    <row r="86" spans="1:32" s="5" customFormat="1">
      <c r="A86" s="1503">
        <f t="shared" si="2"/>
        <v>77</v>
      </c>
      <c r="B86" s="295"/>
      <c r="C86" s="1915"/>
      <c r="D86" s="2029"/>
      <c r="E86" s="1942"/>
      <c r="F86" s="167"/>
      <c r="G86" s="167"/>
      <c r="H86" s="167"/>
      <c r="I86" s="1237"/>
      <c r="J86" s="692"/>
      <c r="K86" s="1914"/>
      <c r="L86" s="577"/>
      <c r="M86" s="577"/>
      <c r="N86" s="1517"/>
      <c r="O86" s="2472"/>
      <c r="P86" s="1517"/>
      <c r="Q86" s="2555"/>
      <c r="R86" s="2555"/>
      <c r="S86" s="2556"/>
      <c r="T86" s="2556"/>
      <c r="U86" s="2556"/>
      <c r="V86" s="2556"/>
      <c r="W86" s="2555"/>
      <c r="X86" s="2556"/>
      <c r="Y86" s="2556"/>
      <c r="Z86" s="2557"/>
      <c r="AA86" s="2556"/>
      <c r="AB86" s="2558"/>
      <c r="AC86" s="2559"/>
      <c r="AD86" s="2560"/>
      <c r="AF86" s="13"/>
    </row>
    <row r="87" spans="1:32" s="5" customFormat="1">
      <c r="A87" s="1503">
        <f t="shared" si="2"/>
        <v>78</v>
      </c>
      <c r="B87" s="295"/>
      <c r="C87" s="1915"/>
      <c r="D87" s="2029"/>
      <c r="E87" s="1942"/>
      <c r="F87" s="167"/>
      <c r="G87" s="167"/>
      <c r="H87" s="167"/>
      <c r="I87" s="1237"/>
      <c r="J87" s="692"/>
      <c r="K87" s="1914"/>
      <c r="L87" s="577"/>
      <c r="M87" s="577"/>
      <c r="N87" s="1517"/>
      <c r="O87" s="2472"/>
      <c r="P87" s="1517"/>
      <c r="Q87" s="2555"/>
      <c r="R87" s="2555"/>
      <c r="S87" s="2556"/>
      <c r="T87" s="2556"/>
      <c r="U87" s="2556"/>
      <c r="V87" s="2556"/>
      <c r="W87" s="2555"/>
      <c r="X87" s="2556"/>
      <c r="Y87" s="2556"/>
      <c r="Z87" s="2557"/>
      <c r="AA87" s="2556"/>
      <c r="AB87" s="2558"/>
      <c r="AC87" s="2559"/>
      <c r="AD87" s="2560"/>
      <c r="AF87" s="13"/>
    </row>
    <row r="88" spans="1:32" s="5" customFormat="1">
      <c r="A88" s="1503">
        <f t="shared" si="2"/>
        <v>79</v>
      </c>
      <c r="B88" s="295"/>
      <c r="C88" s="1915"/>
      <c r="D88" s="2029"/>
      <c r="E88" s="1942"/>
      <c r="F88" s="167"/>
      <c r="G88" s="167"/>
      <c r="H88" s="167"/>
      <c r="I88" s="1237"/>
      <c r="J88" s="692"/>
      <c r="K88" s="1914"/>
      <c r="L88" s="577"/>
      <c r="M88" s="577"/>
      <c r="N88" s="1517"/>
      <c r="O88" s="2472"/>
      <c r="P88" s="1517"/>
      <c r="Q88" s="2555"/>
      <c r="R88" s="2555"/>
      <c r="S88" s="2556"/>
      <c r="T88" s="2556"/>
      <c r="U88" s="2556"/>
      <c r="V88" s="2556"/>
      <c r="W88" s="2555"/>
      <c r="X88" s="2556"/>
      <c r="Y88" s="2556"/>
      <c r="Z88" s="2557"/>
      <c r="AA88" s="2556"/>
      <c r="AB88" s="2558"/>
      <c r="AC88" s="2559"/>
      <c r="AD88" s="2560"/>
      <c r="AF88" s="13"/>
    </row>
    <row r="89" spans="1:32" s="5" customFormat="1">
      <c r="A89" s="1503">
        <f t="shared" si="2"/>
        <v>80</v>
      </c>
      <c r="B89" s="295"/>
      <c r="C89" s="1915"/>
      <c r="D89" s="2029"/>
      <c r="E89" s="1942"/>
      <c r="F89" s="167"/>
      <c r="G89" s="167"/>
      <c r="H89" s="167"/>
      <c r="I89" s="1237"/>
      <c r="J89" s="692"/>
      <c r="K89" s="1914"/>
      <c r="L89" s="577"/>
      <c r="M89" s="577"/>
      <c r="N89" s="1517"/>
      <c r="O89" s="2472"/>
      <c r="P89" s="1517"/>
      <c r="Q89" s="2555"/>
      <c r="R89" s="2555"/>
      <c r="S89" s="2556"/>
      <c r="T89" s="2556"/>
      <c r="U89" s="2556"/>
      <c r="V89" s="2556"/>
      <c r="W89" s="2555"/>
      <c r="X89" s="2556"/>
      <c r="Y89" s="2556"/>
      <c r="Z89" s="2557"/>
      <c r="AA89" s="2556"/>
      <c r="AB89" s="2558"/>
      <c r="AC89" s="2559"/>
      <c r="AD89" s="2560"/>
      <c r="AF89" s="13"/>
    </row>
    <row r="90" spans="1:32" s="5" customFormat="1">
      <c r="A90" s="1503">
        <f t="shared" si="2"/>
        <v>81</v>
      </c>
      <c r="B90" s="295"/>
      <c r="C90" s="1915"/>
      <c r="D90" s="2029"/>
      <c r="E90" s="1942"/>
      <c r="F90" s="167"/>
      <c r="G90" s="167"/>
      <c r="H90" s="167"/>
      <c r="I90" s="1237"/>
      <c r="J90" s="692"/>
      <c r="K90" s="1914"/>
      <c r="L90" s="577"/>
      <c r="M90" s="577"/>
      <c r="N90" s="1517"/>
      <c r="O90" s="2472"/>
      <c r="P90" s="1517"/>
      <c r="Q90" s="2555"/>
      <c r="R90" s="2555"/>
      <c r="S90" s="2556"/>
      <c r="T90" s="2556"/>
      <c r="U90" s="2556"/>
      <c r="V90" s="2556"/>
      <c r="W90" s="2555"/>
      <c r="X90" s="2556"/>
      <c r="Y90" s="2556"/>
      <c r="Z90" s="2557"/>
      <c r="AA90" s="2556"/>
      <c r="AB90" s="2558"/>
      <c r="AC90" s="2559"/>
      <c r="AD90" s="2560"/>
      <c r="AF90" s="13"/>
    </row>
    <row r="91" spans="1:32" s="5" customFormat="1">
      <c r="A91" s="1503">
        <f t="shared" si="2"/>
        <v>82</v>
      </c>
      <c r="B91" s="295"/>
      <c r="C91" s="1915"/>
      <c r="D91" s="2029"/>
      <c r="E91" s="1942"/>
      <c r="F91" s="167"/>
      <c r="G91" s="167"/>
      <c r="H91" s="167"/>
      <c r="I91" s="1237"/>
      <c r="J91" s="692"/>
      <c r="K91" s="1914"/>
      <c r="L91" s="577"/>
      <c r="M91" s="577"/>
      <c r="N91" s="1517"/>
      <c r="O91" s="2472"/>
      <c r="P91" s="1517"/>
      <c r="Q91" s="2555"/>
      <c r="R91" s="2555"/>
      <c r="S91" s="2556"/>
      <c r="T91" s="2556"/>
      <c r="U91" s="2556"/>
      <c r="V91" s="2556"/>
      <c r="W91" s="2555"/>
      <c r="X91" s="2556"/>
      <c r="Y91" s="2556"/>
      <c r="Z91" s="2557"/>
      <c r="AA91" s="2556"/>
      <c r="AB91" s="2558"/>
      <c r="AC91" s="2559"/>
      <c r="AD91" s="2560"/>
      <c r="AF91" s="13"/>
    </row>
    <row r="92" spans="1:32" s="5" customFormat="1">
      <c r="A92" s="1503">
        <f t="shared" si="2"/>
        <v>83</v>
      </c>
      <c r="B92" s="295"/>
      <c r="C92" s="1915"/>
      <c r="D92" s="2029"/>
      <c r="E92" s="1942"/>
      <c r="F92" s="167"/>
      <c r="G92" s="167"/>
      <c r="H92" s="167"/>
      <c r="I92" s="1237"/>
      <c r="J92" s="692"/>
      <c r="K92" s="1914"/>
      <c r="L92" s="577"/>
      <c r="M92" s="577"/>
      <c r="N92" s="1517"/>
      <c r="O92" s="2472"/>
      <c r="P92" s="1517"/>
      <c r="Q92" s="2555"/>
      <c r="R92" s="2555"/>
      <c r="S92" s="2556"/>
      <c r="T92" s="2556"/>
      <c r="U92" s="2556"/>
      <c r="V92" s="2556"/>
      <c r="W92" s="2555"/>
      <c r="X92" s="2556"/>
      <c r="Y92" s="2556"/>
      <c r="Z92" s="2557"/>
      <c r="AA92" s="2556"/>
      <c r="AB92" s="2558"/>
      <c r="AC92" s="2559"/>
      <c r="AD92" s="2560"/>
      <c r="AF92" s="13"/>
    </row>
    <row r="93" spans="1:32" s="5" customFormat="1">
      <c r="A93" s="1503">
        <f t="shared" si="2"/>
        <v>84</v>
      </c>
      <c r="B93" s="295"/>
      <c r="C93" s="1915"/>
      <c r="D93" s="2029"/>
      <c r="E93" s="1942"/>
      <c r="F93" s="167"/>
      <c r="G93" s="167"/>
      <c r="H93" s="167"/>
      <c r="I93" s="1237"/>
      <c r="J93" s="692"/>
      <c r="K93" s="1914"/>
      <c r="L93" s="577"/>
      <c r="M93" s="577"/>
      <c r="N93" s="1517"/>
      <c r="O93" s="2472"/>
      <c r="P93" s="1517"/>
      <c r="Q93" s="2555"/>
      <c r="R93" s="2555"/>
      <c r="S93" s="2556"/>
      <c r="T93" s="2556"/>
      <c r="U93" s="2556"/>
      <c r="V93" s="2556"/>
      <c r="W93" s="2555"/>
      <c r="X93" s="2556"/>
      <c r="Y93" s="2556"/>
      <c r="Z93" s="2557"/>
      <c r="AA93" s="2556"/>
      <c r="AB93" s="2558"/>
      <c r="AC93" s="2559"/>
      <c r="AD93" s="2560"/>
      <c r="AF93" s="13"/>
    </row>
    <row r="94" spans="1:32" s="5" customFormat="1">
      <c r="A94" s="1503">
        <f t="shared" si="2"/>
        <v>85</v>
      </c>
      <c r="B94" s="295"/>
      <c r="C94" s="1915"/>
      <c r="D94" s="2029"/>
      <c r="E94" s="1942"/>
      <c r="F94" s="167"/>
      <c r="G94" s="167"/>
      <c r="H94" s="167"/>
      <c r="I94" s="1237"/>
      <c r="J94" s="692"/>
      <c r="K94" s="1914"/>
      <c r="L94" s="577"/>
      <c r="M94" s="577"/>
      <c r="N94" s="1517"/>
      <c r="O94" s="2472"/>
      <c r="P94" s="1517"/>
      <c r="Q94" s="2555"/>
      <c r="R94" s="2555"/>
      <c r="S94" s="2556"/>
      <c r="T94" s="2556"/>
      <c r="U94" s="2556"/>
      <c r="V94" s="2556"/>
      <c r="W94" s="2555"/>
      <c r="X94" s="2556"/>
      <c r="Y94" s="2556"/>
      <c r="Z94" s="2557"/>
      <c r="AA94" s="2556"/>
      <c r="AB94" s="2558"/>
      <c r="AC94" s="2559"/>
      <c r="AD94" s="2560"/>
      <c r="AF94" s="13"/>
    </row>
    <row r="95" spans="1:32" s="5" customFormat="1">
      <c r="A95" s="1503">
        <f t="shared" si="2"/>
        <v>86</v>
      </c>
      <c r="B95" s="295"/>
      <c r="C95" s="1915"/>
      <c r="D95" s="2029"/>
      <c r="E95" s="1942"/>
      <c r="F95" s="167"/>
      <c r="G95" s="167"/>
      <c r="H95" s="167"/>
      <c r="I95" s="1237"/>
      <c r="J95" s="692"/>
      <c r="K95" s="1914"/>
      <c r="L95" s="577"/>
      <c r="M95" s="577"/>
      <c r="N95" s="1517"/>
      <c r="O95" s="2472"/>
      <c r="P95" s="1517"/>
      <c r="Q95" s="2555"/>
      <c r="R95" s="2555"/>
      <c r="S95" s="2556"/>
      <c r="T95" s="2556"/>
      <c r="U95" s="2556"/>
      <c r="V95" s="2556"/>
      <c r="W95" s="2555"/>
      <c r="X95" s="2556"/>
      <c r="Y95" s="2556"/>
      <c r="Z95" s="2557"/>
      <c r="AA95" s="2556"/>
      <c r="AB95" s="2558"/>
      <c r="AC95" s="2559"/>
      <c r="AD95" s="2560"/>
      <c r="AF95" s="13"/>
    </row>
    <row r="96" spans="1:32" s="5" customFormat="1">
      <c r="A96" s="1503">
        <f t="shared" si="2"/>
        <v>87</v>
      </c>
      <c r="B96" s="295"/>
      <c r="C96" s="1915"/>
      <c r="D96" s="2029"/>
      <c r="E96" s="1942"/>
      <c r="F96" s="167"/>
      <c r="G96" s="167"/>
      <c r="H96" s="167"/>
      <c r="I96" s="1237"/>
      <c r="J96" s="692"/>
      <c r="K96" s="1914"/>
      <c r="L96" s="577"/>
      <c r="M96" s="577"/>
      <c r="N96" s="1517"/>
      <c r="O96" s="2472"/>
      <c r="P96" s="1517"/>
      <c r="Q96" s="2555"/>
      <c r="R96" s="2555"/>
      <c r="S96" s="2556"/>
      <c r="T96" s="2556"/>
      <c r="U96" s="2556"/>
      <c r="V96" s="2556"/>
      <c r="W96" s="2555"/>
      <c r="X96" s="2556"/>
      <c r="Y96" s="2556"/>
      <c r="Z96" s="2557"/>
      <c r="AA96" s="2556"/>
      <c r="AB96" s="2558"/>
      <c r="AC96" s="2559"/>
      <c r="AD96" s="2560"/>
      <c r="AF96" s="13"/>
    </row>
    <row r="97" spans="1:32" s="5" customFormat="1">
      <c r="A97" s="1503">
        <f t="shared" si="2"/>
        <v>88</v>
      </c>
      <c r="B97" s="295"/>
      <c r="C97" s="1915"/>
      <c r="D97" s="2029"/>
      <c r="E97" s="1942"/>
      <c r="F97" s="167"/>
      <c r="G97" s="167"/>
      <c r="H97" s="167"/>
      <c r="I97" s="1237"/>
      <c r="J97" s="692"/>
      <c r="K97" s="1914"/>
      <c r="L97" s="577"/>
      <c r="M97" s="577"/>
      <c r="N97" s="1517"/>
      <c r="O97" s="2472"/>
      <c r="P97" s="1517"/>
      <c r="Q97" s="2555"/>
      <c r="R97" s="2555"/>
      <c r="S97" s="2556"/>
      <c r="T97" s="2556"/>
      <c r="U97" s="2556"/>
      <c r="V97" s="2556"/>
      <c r="W97" s="2555"/>
      <c r="X97" s="2556"/>
      <c r="Y97" s="2556"/>
      <c r="Z97" s="2557"/>
      <c r="AA97" s="2556"/>
      <c r="AB97" s="2558"/>
      <c r="AC97" s="2559"/>
      <c r="AD97" s="2560"/>
      <c r="AF97" s="13"/>
    </row>
    <row r="98" spans="1:32" s="5" customFormat="1">
      <c r="A98" s="1503">
        <f t="shared" si="2"/>
        <v>89</v>
      </c>
      <c r="B98" s="295"/>
      <c r="C98" s="1915"/>
      <c r="D98" s="2029"/>
      <c r="E98" s="1942"/>
      <c r="F98" s="167"/>
      <c r="G98" s="167"/>
      <c r="H98" s="167"/>
      <c r="I98" s="1237"/>
      <c r="J98" s="692"/>
      <c r="K98" s="1914"/>
      <c r="L98" s="577"/>
      <c r="M98" s="577"/>
      <c r="N98" s="1517"/>
      <c r="O98" s="2472"/>
      <c r="P98" s="1517"/>
      <c r="Q98" s="2555"/>
      <c r="R98" s="2555"/>
      <c r="S98" s="2556"/>
      <c r="T98" s="2556"/>
      <c r="U98" s="2556"/>
      <c r="V98" s="2556"/>
      <c r="W98" s="2555"/>
      <c r="X98" s="2556"/>
      <c r="Y98" s="2556"/>
      <c r="Z98" s="2557"/>
      <c r="AA98" s="2556"/>
      <c r="AB98" s="2558"/>
      <c r="AC98" s="2559"/>
      <c r="AD98" s="2560"/>
      <c r="AF98" s="13"/>
    </row>
    <row r="99" spans="1:32" s="5" customFormat="1">
      <c r="A99" s="1503">
        <f t="shared" si="2"/>
        <v>90</v>
      </c>
      <c r="B99" s="295"/>
      <c r="C99" s="1915"/>
      <c r="D99" s="2029"/>
      <c r="E99" s="1942"/>
      <c r="F99" s="167"/>
      <c r="G99" s="167"/>
      <c r="H99" s="167"/>
      <c r="I99" s="1237"/>
      <c r="J99" s="692"/>
      <c r="K99" s="1914"/>
      <c r="L99" s="577"/>
      <c r="M99" s="577"/>
      <c r="N99" s="1517"/>
      <c r="O99" s="2472"/>
      <c r="P99" s="1517"/>
      <c r="Q99" s="2555"/>
      <c r="R99" s="2555"/>
      <c r="S99" s="2556"/>
      <c r="T99" s="2556"/>
      <c r="U99" s="2556"/>
      <c r="V99" s="2556"/>
      <c r="W99" s="2555"/>
      <c r="X99" s="2556"/>
      <c r="Y99" s="2556"/>
      <c r="Z99" s="2557"/>
      <c r="AA99" s="2556"/>
      <c r="AB99" s="2558"/>
      <c r="AC99" s="2559"/>
      <c r="AD99" s="2560"/>
      <c r="AF99" s="13"/>
    </row>
    <row r="100" spans="1:32" s="5" customFormat="1">
      <c r="A100" s="1503">
        <f t="shared" si="2"/>
        <v>91</v>
      </c>
      <c r="B100" s="295"/>
      <c r="C100" s="1915"/>
      <c r="D100" s="2029"/>
      <c r="E100" s="1942"/>
      <c r="F100" s="167"/>
      <c r="G100" s="167"/>
      <c r="H100" s="167"/>
      <c r="I100" s="1237"/>
      <c r="J100" s="692"/>
      <c r="K100" s="1914"/>
      <c r="L100" s="577"/>
      <c r="M100" s="577"/>
      <c r="N100" s="1517"/>
      <c r="O100" s="2472"/>
      <c r="P100" s="1517"/>
      <c r="Q100" s="2555"/>
      <c r="R100" s="2555"/>
      <c r="S100" s="2556"/>
      <c r="T100" s="2556"/>
      <c r="U100" s="2556"/>
      <c r="V100" s="2556"/>
      <c r="W100" s="2555"/>
      <c r="X100" s="2556"/>
      <c r="Y100" s="2556"/>
      <c r="Z100" s="2557"/>
      <c r="AA100" s="2556"/>
      <c r="AB100" s="2558"/>
      <c r="AC100" s="2559"/>
      <c r="AD100" s="2560"/>
      <c r="AF100" s="13"/>
    </row>
    <row r="101" spans="1:32" s="5" customFormat="1">
      <c r="A101" s="1503">
        <f t="shared" si="2"/>
        <v>92</v>
      </c>
      <c r="B101" s="295"/>
      <c r="C101" s="1915"/>
      <c r="D101" s="2029"/>
      <c r="E101" s="1942"/>
      <c r="F101" s="167"/>
      <c r="G101" s="167"/>
      <c r="H101" s="167"/>
      <c r="I101" s="1237"/>
      <c r="J101" s="692"/>
      <c r="K101" s="1914"/>
      <c r="L101" s="577"/>
      <c r="M101" s="577"/>
      <c r="N101" s="1517"/>
      <c r="O101" s="2472"/>
      <c r="P101" s="1517"/>
      <c r="Q101" s="2555"/>
      <c r="R101" s="2555"/>
      <c r="S101" s="2556"/>
      <c r="T101" s="2556"/>
      <c r="U101" s="2556"/>
      <c r="V101" s="2556"/>
      <c r="W101" s="2555"/>
      <c r="X101" s="2556"/>
      <c r="Y101" s="2556"/>
      <c r="Z101" s="2557"/>
      <c r="AA101" s="2556"/>
      <c r="AB101" s="2558"/>
      <c r="AC101" s="2559"/>
      <c r="AD101" s="2560"/>
      <c r="AF101" s="13"/>
    </row>
    <row r="102" spans="1:32" s="5" customFormat="1">
      <c r="A102" s="1503">
        <f t="shared" si="2"/>
        <v>93</v>
      </c>
      <c r="B102" s="295"/>
      <c r="C102" s="1915"/>
      <c r="D102" s="2029"/>
      <c r="E102" s="1942"/>
      <c r="F102" s="167"/>
      <c r="G102" s="167"/>
      <c r="H102" s="167"/>
      <c r="I102" s="1237"/>
      <c r="J102" s="692"/>
      <c r="K102" s="1914"/>
      <c r="L102" s="577"/>
      <c r="M102" s="577"/>
      <c r="N102" s="1517"/>
      <c r="O102" s="2472"/>
      <c r="P102" s="1517"/>
      <c r="Q102" s="2555"/>
      <c r="R102" s="2555"/>
      <c r="S102" s="2556"/>
      <c r="T102" s="2556"/>
      <c r="U102" s="2556"/>
      <c r="V102" s="2556"/>
      <c r="W102" s="2555"/>
      <c r="X102" s="2556"/>
      <c r="Y102" s="2556"/>
      <c r="Z102" s="2557"/>
      <c r="AA102" s="2556"/>
      <c r="AB102" s="2558"/>
      <c r="AC102" s="2559"/>
      <c r="AD102" s="2560"/>
      <c r="AF102" s="13"/>
    </row>
    <row r="103" spans="1:32" s="5" customFormat="1">
      <c r="A103" s="1503">
        <f t="shared" si="2"/>
        <v>94</v>
      </c>
      <c r="B103" s="295"/>
      <c r="C103" s="1915"/>
      <c r="D103" s="2029"/>
      <c r="E103" s="1942"/>
      <c r="F103" s="167"/>
      <c r="G103" s="167"/>
      <c r="H103" s="167"/>
      <c r="I103" s="1237"/>
      <c r="J103" s="692"/>
      <c r="K103" s="1914"/>
      <c r="L103" s="577"/>
      <c r="M103" s="577"/>
      <c r="N103" s="1517"/>
      <c r="O103" s="2472"/>
      <c r="P103" s="1517"/>
      <c r="Q103" s="2555"/>
      <c r="R103" s="2555"/>
      <c r="S103" s="2556"/>
      <c r="T103" s="2556"/>
      <c r="U103" s="2556"/>
      <c r="V103" s="2556"/>
      <c r="W103" s="2555"/>
      <c r="X103" s="2556"/>
      <c r="Y103" s="2556"/>
      <c r="Z103" s="2557"/>
      <c r="AA103" s="2556"/>
      <c r="AB103" s="2558"/>
      <c r="AC103" s="2559"/>
      <c r="AD103" s="2560"/>
      <c r="AF103" s="13"/>
    </row>
    <row r="104" spans="1:32" s="5" customFormat="1">
      <c r="A104" s="1503">
        <f t="shared" si="2"/>
        <v>95</v>
      </c>
      <c r="B104" s="295"/>
      <c r="C104" s="1915"/>
      <c r="D104" s="2029"/>
      <c r="E104" s="1942"/>
      <c r="F104" s="167"/>
      <c r="G104" s="167"/>
      <c r="H104" s="167"/>
      <c r="I104" s="1237"/>
      <c r="J104" s="692"/>
      <c r="K104" s="1914"/>
      <c r="L104" s="577"/>
      <c r="M104" s="577"/>
      <c r="N104" s="1517"/>
      <c r="O104" s="2472"/>
      <c r="P104" s="1517"/>
      <c r="Q104" s="2555"/>
      <c r="R104" s="2555"/>
      <c r="S104" s="2556"/>
      <c r="T104" s="2556"/>
      <c r="U104" s="2556"/>
      <c r="V104" s="2556"/>
      <c r="W104" s="2555"/>
      <c r="X104" s="2556"/>
      <c r="Y104" s="2556"/>
      <c r="Z104" s="2557"/>
      <c r="AA104" s="2556"/>
      <c r="AB104" s="2558"/>
      <c r="AC104" s="2559"/>
      <c r="AD104" s="2560"/>
      <c r="AF104" s="13"/>
    </row>
    <row r="105" spans="1:32" s="5" customFormat="1">
      <c r="A105" s="1503">
        <f t="shared" si="2"/>
        <v>96</v>
      </c>
      <c r="B105" s="295"/>
      <c r="C105" s="1915"/>
      <c r="D105" s="2029"/>
      <c r="E105" s="1942"/>
      <c r="F105" s="167"/>
      <c r="G105" s="167"/>
      <c r="H105" s="167"/>
      <c r="I105" s="1237"/>
      <c r="J105" s="692"/>
      <c r="K105" s="1914"/>
      <c r="L105" s="577"/>
      <c r="M105" s="577"/>
      <c r="N105" s="1517"/>
      <c r="O105" s="2472"/>
      <c r="P105" s="1517"/>
      <c r="Q105" s="2555"/>
      <c r="R105" s="2555"/>
      <c r="S105" s="2556"/>
      <c r="T105" s="2556"/>
      <c r="U105" s="2556"/>
      <c r="V105" s="2556"/>
      <c r="W105" s="2555"/>
      <c r="X105" s="2556"/>
      <c r="Y105" s="2556"/>
      <c r="Z105" s="2557"/>
      <c r="AA105" s="2556"/>
      <c r="AB105" s="2558"/>
      <c r="AC105" s="2559"/>
      <c r="AD105" s="2560"/>
      <c r="AF105" s="13"/>
    </row>
    <row r="106" spans="1:32" s="5" customFormat="1">
      <c r="A106" s="1503">
        <f t="shared" si="2"/>
        <v>97</v>
      </c>
      <c r="B106" s="295"/>
      <c r="C106" s="1915"/>
      <c r="D106" s="2029"/>
      <c r="E106" s="1942"/>
      <c r="F106" s="167"/>
      <c r="G106" s="167"/>
      <c r="H106" s="167"/>
      <c r="I106" s="1237"/>
      <c r="J106" s="692"/>
      <c r="K106" s="1914"/>
      <c r="L106" s="577"/>
      <c r="M106" s="577"/>
      <c r="N106" s="1517"/>
      <c r="O106" s="2472"/>
      <c r="P106" s="1517"/>
      <c r="Q106" s="2555"/>
      <c r="R106" s="2555"/>
      <c r="S106" s="2556"/>
      <c r="T106" s="2556"/>
      <c r="U106" s="2556"/>
      <c r="V106" s="2556"/>
      <c r="W106" s="2555"/>
      <c r="X106" s="2556"/>
      <c r="Y106" s="2556"/>
      <c r="Z106" s="2557"/>
      <c r="AA106" s="2556"/>
      <c r="AB106" s="2558"/>
      <c r="AC106" s="2559"/>
      <c r="AD106" s="2560"/>
      <c r="AF106" s="13"/>
    </row>
    <row r="107" spans="1:32" s="5" customFormat="1">
      <c r="A107" s="1503">
        <f t="shared" si="2"/>
        <v>98</v>
      </c>
      <c r="B107" s="295"/>
      <c r="C107" s="1915"/>
      <c r="D107" s="2029"/>
      <c r="E107" s="1942"/>
      <c r="F107" s="167"/>
      <c r="G107" s="167"/>
      <c r="H107" s="167"/>
      <c r="I107" s="1237"/>
      <c r="J107" s="692"/>
      <c r="K107" s="1914"/>
      <c r="L107" s="577"/>
      <c r="M107" s="577"/>
      <c r="N107" s="1517"/>
      <c r="O107" s="2472"/>
      <c r="P107" s="1517"/>
      <c r="Q107" s="2555"/>
      <c r="R107" s="2555"/>
      <c r="S107" s="2556"/>
      <c r="T107" s="2556"/>
      <c r="U107" s="2556"/>
      <c r="V107" s="2556"/>
      <c r="W107" s="2555"/>
      <c r="X107" s="2556"/>
      <c r="Y107" s="2556"/>
      <c r="Z107" s="2557"/>
      <c r="AA107" s="2556"/>
      <c r="AB107" s="2558"/>
      <c r="AC107" s="2559"/>
      <c r="AD107" s="2560"/>
      <c r="AF107" s="13"/>
    </row>
    <row r="108" spans="1:32" s="5" customFormat="1">
      <c r="A108" s="1503">
        <f t="shared" si="2"/>
        <v>99</v>
      </c>
      <c r="B108" s="295"/>
      <c r="C108" s="1915"/>
      <c r="D108" s="2029"/>
      <c r="E108" s="1942"/>
      <c r="F108" s="167"/>
      <c r="G108" s="167"/>
      <c r="H108" s="167"/>
      <c r="I108" s="1237"/>
      <c r="J108" s="692"/>
      <c r="K108" s="1914"/>
      <c r="L108" s="577"/>
      <c r="M108" s="577"/>
      <c r="N108" s="1517"/>
      <c r="O108" s="2472"/>
      <c r="P108" s="1517"/>
      <c r="Q108" s="2555"/>
      <c r="R108" s="2555"/>
      <c r="S108" s="2556"/>
      <c r="T108" s="2556"/>
      <c r="U108" s="2556"/>
      <c r="V108" s="2556"/>
      <c r="W108" s="2555"/>
      <c r="X108" s="2556"/>
      <c r="Y108" s="2556"/>
      <c r="Z108" s="2557"/>
      <c r="AA108" s="2556"/>
      <c r="AB108" s="2558"/>
      <c r="AC108" s="2559"/>
      <c r="AD108" s="2560"/>
      <c r="AF108" s="13"/>
    </row>
    <row r="109" spans="1:32" s="5" customFormat="1">
      <c r="A109" s="1503">
        <f t="shared" si="2"/>
        <v>100</v>
      </c>
      <c r="B109" s="295"/>
      <c r="C109" s="1915"/>
      <c r="D109" s="2029"/>
      <c r="E109" s="1942"/>
      <c r="F109" s="167"/>
      <c r="G109" s="167"/>
      <c r="H109" s="167"/>
      <c r="I109" s="1237"/>
      <c r="J109" s="692"/>
      <c r="K109" s="1914"/>
      <c r="L109" s="577"/>
      <c r="M109" s="577"/>
      <c r="N109" s="1517"/>
      <c r="O109" s="2472"/>
      <c r="P109" s="1517"/>
      <c r="Q109" s="2555"/>
      <c r="R109" s="2555"/>
      <c r="S109" s="2556"/>
      <c r="T109" s="2556"/>
      <c r="U109" s="2556"/>
      <c r="V109" s="2556"/>
      <c r="W109" s="2555"/>
      <c r="X109" s="2556"/>
      <c r="Y109" s="2556"/>
      <c r="Z109" s="2557"/>
      <c r="AA109" s="2556"/>
      <c r="AB109" s="2558"/>
      <c r="AC109" s="2559"/>
      <c r="AD109" s="2560"/>
      <c r="AF109" s="13"/>
    </row>
    <row r="110" spans="1:32" s="5" customFormat="1">
      <c r="A110" s="1503">
        <f t="shared" si="2"/>
        <v>101</v>
      </c>
      <c r="B110" s="295"/>
      <c r="C110" s="1915"/>
      <c r="D110" s="2029"/>
      <c r="E110" s="1942"/>
      <c r="F110" s="167"/>
      <c r="G110" s="167"/>
      <c r="H110" s="167"/>
      <c r="I110" s="1237"/>
      <c r="J110" s="692"/>
      <c r="K110" s="1914"/>
      <c r="L110" s="577"/>
      <c r="M110" s="577"/>
      <c r="N110" s="1517"/>
      <c r="O110" s="2472"/>
      <c r="P110" s="1517"/>
      <c r="Q110" s="2555"/>
      <c r="R110" s="2555"/>
      <c r="S110" s="2556"/>
      <c r="T110" s="2556"/>
      <c r="U110" s="2556"/>
      <c r="V110" s="2556"/>
      <c r="W110" s="2555"/>
      <c r="X110" s="2556"/>
      <c r="Y110" s="2556"/>
      <c r="Z110" s="2557"/>
      <c r="AA110" s="2556"/>
      <c r="AB110" s="2558"/>
      <c r="AC110" s="2559"/>
      <c r="AD110" s="2560"/>
      <c r="AF110" s="13"/>
    </row>
    <row r="111" spans="1:32" s="5" customFormat="1">
      <c r="A111" s="1503">
        <f t="shared" si="2"/>
        <v>102</v>
      </c>
      <c r="B111" s="295"/>
      <c r="C111" s="1915"/>
      <c r="D111" s="2029"/>
      <c r="E111" s="1942"/>
      <c r="F111" s="167"/>
      <c r="G111" s="167"/>
      <c r="H111" s="167"/>
      <c r="I111" s="1237"/>
      <c r="J111" s="692"/>
      <c r="K111" s="1914"/>
      <c r="L111" s="577"/>
      <c r="M111" s="577"/>
      <c r="N111" s="1517"/>
      <c r="O111" s="2472"/>
      <c r="P111" s="1517"/>
      <c r="Q111" s="2555"/>
      <c r="R111" s="2555"/>
      <c r="S111" s="2556"/>
      <c r="T111" s="2556"/>
      <c r="U111" s="2556"/>
      <c r="V111" s="2556"/>
      <c r="W111" s="2555"/>
      <c r="X111" s="2556"/>
      <c r="Y111" s="2556"/>
      <c r="Z111" s="2557"/>
      <c r="AA111" s="2556"/>
      <c r="AB111" s="2558"/>
      <c r="AC111" s="2559"/>
      <c r="AD111" s="2560"/>
      <c r="AF111" s="13"/>
    </row>
    <row r="112" spans="1:32" s="5" customFormat="1">
      <c r="A112" s="1503">
        <f t="shared" si="2"/>
        <v>103</v>
      </c>
      <c r="B112" s="295"/>
      <c r="C112" s="1915"/>
      <c r="D112" s="2029"/>
      <c r="E112" s="1942"/>
      <c r="F112" s="167"/>
      <c r="G112" s="167"/>
      <c r="H112" s="167"/>
      <c r="I112" s="1237"/>
      <c r="J112" s="692"/>
      <c r="K112" s="1914"/>
      <c r="L112" s="577"/>
      <c r="M112" s="577"/>
      <c r="N112" s="1517"/>
      <c r="O112" s="2472"/>
      <c r="P112" s="1517"/>
      <c r="Q112" s="2555"/>
      <c r="R112" s="2555"/>
      <c r="S112" s="2556"/>
      <c r="T112" s="2556"/>
      <c r="U112" s="2556"/>
      <c r="V112" s="2556"/>
      <c r="W112" s="2555"/>
      <c r="X112" s="2556"/>
      <c r="Y112" s="2556"/>
      <c r="Z112" s="2557"/>
      <c r="AA112" s="2556"/>
      <c r="AB112" s="2558"/>
      <c r="AC112" s="2559"/>
      <c r="AD112" s="2560"/>
      <c r="AF112" s="13"/>
    </row>
    <row r="113" spans="1:32" s="5" customFormat="1">
      <c r="A113" s="1503">
        <f t="shared" si="2"/>
        <v>104</v>
      </c>
      <c r="B113" s="295"/>
      <c r="C113" s="1915"/>
      <c r="D113" s="2029"/>
      <c r="E113" s="1942"/>
      <c r="F113" s="167"/>
      <c r="G113" s="167"/>
      <c r="H113" s="167"/>
      <c r="I113" s="1237"/>
      <c r="J113" s="692"/>
      <c r="K113" s="1914"/>
      <c r="L113" s="577"/>
      <c r="M113" s="577"/>
      <c r="N113" s="1517"/>
      <c r="O113" s="2472"/>
      <c r="P113" s="1517"/>
      <c r="Q113" s="2555"/>
      <c r="R113" s="2555"/>
      <c r="S113" s="2556"/>
      <c r="T113" s="2556"/>
      <c r="U113" s="2556"/>
      <c r="V113" s="2556"/>
      <c r="W113" s="2555"/>
      <c r="X113" s="2556"/>
      <c r="Y113" s="2556"/>
      <c r="Z113" s="2557"/>
      <c r="AA113" s="2556"/>
      <c r="AB113" s="2558"/>
      <c r="AC113" s="2559"/>
      <c r="AD113" s="2560"/>
      <c r="AF113" s="13"/>
    </row>
    <row r="114" spans="1:32" s="5" customFormat="1">
      <c r="A114" s="1503">
        <f t="shared" si="2"/>
        <v>105</v>
      </c>
      <c r="B114" s="295"/>
      <c r="C114" s="1915"/>
      <c r="D114" s="2029"/>
      <c r="E114" s="1942"/>
      <c r="F114" s="167"/>
      <c r="G114" s="167"/>
      <c r="H114" s="167"/>
      <c r="I114" s="1237"/>
      <c r="J114" s="692"/>
      <c r="K114" s="1914"/>
      <c r="L114" s="577"/>
      <c r="M114" s="577"/>
      <c r="N114" s="1517"/>
      <c r="O114" s="2472"/>
      <c r="P114" s="1517"/>
      <c r="Q114" s="2555"/>
      <c r="R114" s="2555"/>
      <c r="S114" s="2556"/>
      <c r="T114" s="2556"/>
      <c r="U114" s="2556"/>
      <c r="V114" s="2556"/>
      <c r="W114" s="2555"/>
      <c r="X114" s="2556"/>
      <c r="Y114" s="2556"/>
      <c r="Z114" s="2557"/>
      <c r="AA114" s="2556"/>
      <c r="AB114" s="2558"/>
      <c r="AC114" s="2559"/>
      <c r="AD114" s="2560"/>
      <c r="AF114" s="13"/>
    </row>
    <row r="115" spans="1:32" s="5" customFormat="1">
      <c r="A115" s="1503">
        <f t="shared" si="2"/>
        <v>106</v>
      </c>
      <c r="B115" s="295"/>
      <c r="C115" s="1915"/>
      <c r="D115" s="2029"/>
      <c r="E115" s="1942"/>
      <c r="F115" s="167"/>
      <c r="G115" s="167"/>
      <c r="H115" s="167"/>
      <c r="I115" s="1237"/>
      <c r="J115" s="692"/>
      <c r="K115" s="1914"/>
      <c r="L115" s="577"/>
      <c r="M115" s="577"/>
      <c r="N115" s="1517"/>
      <c r="O115" s="2472"/>
      <c r="P115" s="1517"/>
      <c r="Q115" s="2555"/>
      <c r="R115" s="2555"/>
      <c r="S115" s="2556"/>
      <c r="T115" s="2556"/>
      <c r="U115" s="2556"/>
      <c r="V115" s="2556"/>
      <c r="W115" s="2555"/>
      <c r="X115" s="2556"/>
      <c r="Y115" s="2556"/>
      <c r="Z115" s="2557"/>
      <c r="AA115" s="2556"/>
      <c r="AB115" s="2558"/>
      <c r="AC115" s="2559"/>
      <c r="AD115" s="2560"/>
      <c r="AF115" s="13"/>
    </row>
    <row r="116" spans="1:32" s="5" customFormat="1">
      <c r="A116" s="1503">
        <f t="shared" si="2"/>
        <v>107</v>
      </c>
      <c r="B116" s="295"/>
      <c r="C116" s="1915"/>
      <c r="D116" s="2029"/>
      <c r="E116" s="1942"/>
      <c r="F116" s="167"/>
      <c r="G116" s="167"/>
      <c r="H116" s="167"/>
      <c r="I116" s="1237"/>
      <c r="J116" s="692"/>
      <c r="K116" s="1914"/>
      <c r="L116" s="577"/>
      <c r="M116" s="577"/>
      <c r="N116" s="1517"/>
      <c r="O116" s="2472"/>
      <c r="P116" s="1517"/>
      <c r="Q116" s="2555"/>
      <c r="R116" s="2555"/>
      <c r="S116" s="2556"/>
      <c r="T116" s="2556"/>
      <c r="U116" s="2556"/>
      <c r="V116" s="2556"/>
      <c r="W116" s="2555"/>
      <c r="X116" s="2556"/>
      <c r="Y116" s="2556"/>
      <c r="Z116" s="2557"/>
      <c r="AA116" s="2556"/>
      <c r="AB116" s="2558"/>
      <c r="AC116" s="2559"/>
      <c r="AD116" s="2560"/>
      <c r="AF116" s="13"/>
    </row>
    <row r="117" spans="1:32" s="5" customFormat="1">
      <c r="A117" s="1503">
        <f t="shared" si="2"/>
        <v>108</v>
      </c>
      <c r="B117" s="295"/>
      <c r="C117" s="1915"/>
      <c r="D117" s="2029"/>
      <c r="E117" s="1942"/>
      <c r="F117" s="167"/>
      <c r="G117" s="167"/>
      <c r="H117" s="167"/>
      <c r="I117" s="1237"/>
      <c r="J117" s="692"/>
      <c r="K117" s="1914"/>
      <c r="L117" s="577"/>
      <c r="M117" s="577"/>
      <c r="N117" s="1517"/>
      <c r="O117" s="2472"/>
      <c r="P117" s="1517"/>
      <c r="Q117" s="2555"/>
      <c r="R117" s="2555"/>
      <c r="S117" s="2556"/>
      <c r="T117" s="2556"/>
      <c r="U117" s="2556"/>
      <c r="V117" s="2556"/>
      <c r="W117" s="2555"/>
      <c r="X117" s="2556"/>
      <c r="Y117" s="2556"/>
      <c r="Z117" s="2557"/>
      <c r="AA117" s="2556"/>
      <c r="AB117" s="2558"/>
      <c r="AC117" s="2559"/>
      <c r="AD117" s="2560"/>
      <c r="AF117" s="13"/>
    </row>
    <row r="118" spans="1:32" s="5" customFormat="1">
      <c r="A118" s="1503">
        <f t="shared" si="2"/>
        <v>109</v>
      </c>
      <c r="B118" s="1911"/>
      <c r="C118" s="1915"/>
      <c r="D118" s="2029"/>
      <c r="E118" s="1942"/>
      <c r="F118" s="1642"/>
      <c r="G118" s="1642"/>
      <c r="H118" s="1642"/>
      <c r="I118" s="2636"/>
      <c r="J118" s="692"/>
      <c r="K118" s="1914"/>
      <c r="L118" s="577"/>
      <c r="M118" s="577"/>
      <c r="N118" s="1517"/>
      <c r="O118" s="2472"/>
      <c r="P118" s="1517"/>
      <c r="Q118" s="2555"/>
      <c r="R118" s="2555"/>
      <c r="S118" s="2556"/>
      <c r="T118" s="2556"/>
      <c r="U118" s="2556"/>
      <c r="V118" s="2556"/>
      <c r="W118" s="2555"/>
      <c r="X118" s="2556"/>
      <c r="Y118" s="2556"/>
      <c r="Z118" s="2557"/>
      <c r="AA118" s="2556"/>
      <c r="AB118" s="2558"/>
      <c r="AC118" s="2559"/>
      <c r="AD118" s="2560"/>
      <c r="AF118" s="13"/>
    </row>
    <row r="119" spans="1:32" s="5" customFormat="1">
      <c r="A119" s="1"/>
      <c r="B119" s="6"/>
      <c r="C119" s="4"/>
      <c r="D119" s="4"/>
      <c r="E119" s="4"/>
      <c r="F119" s="6"/>
      <c r="G119" s="6"/>
      <c r="H119" s="6"/>
      <c r="I119" s="6"/>
      <c r="K119" s="7"/>
      <c r="N119" s="6"/>
      <c r="O119" s="1"/>
      <c r="P119" s="6"/>
      <c r="Q119" s="1767"/>
      <c r="R119" s="1767"/>
      <c r="S119" s="1766"/>
      <c r="T119" s="1766"/>
      <c r="U119" s="1766"/>
      <c r="V119" s="1766"/>
      <c r="W119" s="1767"/>
      <c r="X119" s="1766"/>
      <c r="Y119" s="1766"/>
      <c r="Z119" s="1768"/>
      <c r="AA119" s="1766"/>
      <c r="AB119" s="1799"/>
      <c r="AC119" s="1770"/>
      <c r="AD119" s="1771"/>
      <c r="AF119" s="13"/>
    </row>
    <row r="120" spans="1:32" s="5" customFormat="1">
      <c r="A120" s="1"/>
      <c r="B120" s="6"/>
      <c r="C120" s="4"/>
      <c r="D120" s="4"/>
      <c r="E120" s="4"/>
      <c r="F120" s="6"/>
      <c r="G120" s="6"/>
      <c r="H120" s="6"/>
      <c r="I120" s="6"/>
      <c r="K120" s="7"/>
      <c r="N120" s="6"/>
      <c r="O120" s="1"/>
      <c r="P120" s="6"/>
      <c r="Q120" s="1767"/>
      <c r="R120" s="1767"/>
      <c r="S120" s="1766"/>
      <c r="T120" s="1766"/>
      <c r="U120" s="1766"/>
      <c r="V120" s="1766"/>
      <c r="W120" s="1767"/>
      <c r="X120" s="1766"/>
      <c r="Y120" s="1766"/>
      <c r="Z120" s="1768"/>
      <c r="AA120" s="1766"/>
      <c r="AB120" s="1799"/>
      <c r="AC120" s="1770"/>
      <c r="AD120" s="1771"/>
      <c r="AF120" s="13"/>
    </row>
    <row r="121" spans="1:32" s="5" customFormat="1">
      <c r="A121" s="1"/>
      <c r="B121" s="6"/>
      <c r="C121" s="4"/>
      <c r="D121" s="4"/>
      <c r="E121" s="4"/>
      <c r="F121" s="6"/>
      <c r="G121" s="6"/>
      <c r="H121" s="6"/>
      <c r="I121" s="6"/>
      <c r="K121" s="7"/>
      <c r="N121" s="6"/>
      <c r="O121" s="1"/>
      <c r="P121" s="6"/>
      <c r="Q121" s="1767"/>
      <c r="R121" s="1767"/>
      <c r="S121" s="1766"/>
      <c r="T121" s="1766"/>
      <c r="U121" s="1766"/>
      <c r="V121" s="1766"/>
      <c r="W121" s="1767"/>
      <c r="X121" s="1766"/>
      <c r="Y121" s="1766"/>
      <c r="Z121" s="1768"/>
      <c r="AA121" s="1766"/>
      <c r="AB121" s="1799"/>
      <c r="AC121" s="1770"/>
      <c r="AD121" s="1771"/>
      <c r="AF121" s="13"/>
    </row>
    <row r="122" spans="1:32" s="5" customFormat="1">
      <c r="A122" s="1"/>
      <c r="B122" s="6"/>
      <c r="C122" s="4"/>
      <c r="D122" s="4"/>
      <c r="E122" s="4"/>
      <c r="F122" s="6"/>
      <c r="G122" s="6"/>
      <c r="H122" s="6"/>
      <c r="I122" s="6"/>
      <c r="K122" s="7"/>
      <c r="N122" s="6"/>
      <c r="O122" s="1"/>
      <c r="P122" s="6"/>
      <c r="Q122" s="1767"/>
      <c r="R122" s="1767"/>
      <c r="S122" s="1766"/>
      <c r="T122" s="1766"/>
      <c r="U122" s="1766"/>
      <c r="V122" s="1766"/>
      <c r="W122" s="1767"/>
      <c r="X122" s="1766"/>
      <c r="Y122" s="1766"/>
      <c r="Z122" s="1768"/>
      <c r="AA122" s="1766"/>
      <c r="AB122" s="1799"/>
      <c r="AC122" s="1770"/>
      <c r="AD122" s="1771"/>
      <c r="AF122" s="13"/>
    </row>
    <row r="123" spans="1:32" s="5" customFormat="1">
      <c r="A123" s="1"/>
      <c r="B123" s="6"/>
      <c r="C123" s="4"/>
      <c r="D123" s="4"/>
      <c r="E123" s="4"/>
      <c r="F123" s="6"/>
      <c r="G123" s="6"/>
      <c r="H123" s="6"/>
      <c r="I123" s="6"/>
      <c r="K123" s="7"/>
      <c r="N123" s="6"/>
      <c r="O123" s="1"/>
      <c r="P123" s="6"/>
      <c r="Q123" s="1767"/>
      <c r="R123" s="1767"/>
      <c r="S123" s="1766"/>
      <c r="T123" s="1766"/>
      <c r="U123" s="1766"/>
      <c r="V123" s="1766"/>
      <c r="W123" s="1767"/>
      <c r="X123" s="1766"/>
      <c r="Y123" s="1766"/>
      <c r="Z123" s="1768"/>
      <c r="AA123" s="1766"/>
      <c r="AB123" s="1799"/>
      <c r="AC123" s="1770"/>
      <c r="AD123" s="1771"/>
      <c r="AF123" s="13"/>
    </row>
    <row r="124" spans="1:32" s="5" customFormat="1">
      <c r="A124" s="1"/>
      <c r="B124" s="6"/>
      <c r="C124" s="4"/>
      <c r="D124" s="4"/>
      <c r="E124" s="4"/>
      <c r="F124" s="6"/>
      <c r="G124" s="6"/>
      <c r="H124" s="6"/>
      <c r="I124" s="6"/>
      <c r="K124" s="7"/>
      <c r="N124" s="6"/>
      <c r="O124" s="1"/>
      <c r="P124" s="6"/>
      <c r="Q124" s="1767"/>
      <c r="R124" s="1767"/>
      <c r="S124" s="1766"/>
      <c r="T124" s="1766"/>
      <c r="U124" s="1766"/>
      <c r="V124" s="1766"/>
      <c r="W124" s="1767"/>
      <c r="X124" s="1766"/>
      <c r="Y124" s="1766"/>
      <c r="Z124" s="1768"/>
      <c r="AA124" s="1766"/>
      <c r="AB124" s="1799"/>
      <c r="AC124" s="1770"/>
      <c r="AD124" s="1771"/>
      <c r="AF124" s="13"/>
    </row>
    <row r="125" spans="1:32" s="5" customFormat="1">
      <c r="A125" s="1"/>
      <c r="B125" s="6"/>
      <c r="C125" s="4"/>
      <c r="D125" s="4"/>
      <c r="E125" s="4"/>
      <c r="F125" s="6"/>
      <c r="G125" s="6"/>
      <c r="H125" s="6"/>
      <c r="I125" s="6"/>
      <c r="K125" s="7"/>
      <c r="N125" s="6"/>
      <c r="O125" s="1"/>
      <c r="P125" s="6"/>
      <c r="Q125" s="1767"/>
      <c r="R125" s="1767"/>
      <c r="S125" s="1766"/>
      <c r="T125" s="1766"/>
      <c r="U125" s="1766"/>
      <c r="V125" s="1766"/>
      <c r="W125" s="1767"/>
      <c r="X125" s="1766"/>
      <c r="Y125" s="1766"/>
      <c r="Z125" s="1768"/>
      <c r="AA125" s="1766"/>
      <c r="AB125" s="1799"/>
      <c r="AC125" s="1770"/>
      <c r="AD125" s="1771"/>
      <c r="AF125" s="13"/>
    </row>
    <row r="126" spans="1:32" s="5" customFormat="1">
      <c r="A126" s="1"/>
      <c r="B126" s="6"/>
      <c r="C126" s="4"/>
      <c r="D126" s="4"/>
      <c r="E126" s="4"/>
      <c r="F126" s="6"/>
      <c r="G126" s="6"/>
      <c r="H126" s="6"/>
      <c r="I126" s="6"/>
      <c r="K126" s="7"/>
      <c r="N126" s="6"/>
      <c r="O126" s="1"/>
      <c r="P126" s="6"/>
      <c r="Q126" s="1767"/>
      <c r="R126" s="1767"/>
      <c r="S126" s="1766"/>
      <c r="T126" s="1766"/>
      <c r="U126" s="1766"/>
      <c r="V126" s="1766"/>
      <c r="W126" s="1767"/>
      <c r="X126" s="1766"/>
      <c r="Y126" s="1766"/>
      <c r="Z126" s="1768"/>
      <c r="AA126" s="1766"/>
      <c r="AB126" s="1799"/>
      <c r="AC126" s="1770"/>
      <c r="AD126" s="1771"/>
      <c r="AF126" s="13"/>
    </row>
    <row r="127" spans="1:32" s="5" customFormat="1">
      <c r="A127" s="1"/>
      <c r="B127" s="6"/>
      <c r="C127" s="4"/>
      <c r="D127" s="4"/>
      <c r="E127" s="4"/>
      <c r="F127" s="6"/>
      <c r="G127" s="6"/>
      <c r="H127" s="6"/>
      <c r="I127" s="6"/>
      <c r="K127" s="7"/>
      <c r="N127" s="6"/>
      <c r="O127" s="1"/>
      <c r="P127" s="6"/>
      <c r="Q127" s="1767"/>
      <c r="R127" s="1767"/>
      <c r="S127" s="1766"/>
      <c r="T127" s="1766"/>
      <c r="U127" s="1766"/>
      <c r="V127" s="1766"/>
      <c r="W127" s="1767"/>
      <c r="X127" s="1766"/>
      <c r="Y127" s="1766"/>
      <c r="Z127" s="1768"/>
      <c r="AA127" s="1766"/>
      <c r="AB127" s="1799"/>
      <c r="AC127" s="1770"/>
      <c r="AD127" s="1771"/>
      <c r="AF127" s="13"/>
    </row>
    <row r="128" spans="1:32" s="5" customFormat="1">
      <c r="A128" s="1"/>
      <c r="B128" s="6"/>
      <c r="C128" s="4"/>
      <c r="D128" s="4"/>
      <c r="E128" s="4"/>
      <c r="F128" s="6"/>
      <c r="G128" s="6"/>
      <c r="H128" s="6"/>
      <c r="I128" s="6"/>
      <c r="K128" s="7"/>
      <c r="N128" s="6"/>
      <c r="O128" s="1"/>
      <c r="P128" s="6"/>
      <c r="Q128" s="1767"/>
      <c r="R128" s="1767"/>
      <c r="S128" s="1766"/>
      <c r="T128" s="1766"/>
      <c r="U128" s="1766"/>
      <c r="V128" s="1766"/>
      <c r="W128" s="1767"/>
      <c r="X128" s="1766"/>
      <c r="Y128" s="1766"/>
      <c r="Z128" s="1768"/>
      <c r="AA128" s="1766"/>
      <c r="AB128" s="1799"/>
      <c r="AC128" s="1770"/>
      <c r="AD128" s="1771"/>
      <c r="AF128" s="13"/>
    </row>
    <row r="129" spans="1:32" s="5" customFormat="1">
      <c r="A129" s="1"/>
      <c r="B129" s="6"/>
      <c r="C129" s="4"/>
      <c r="D129" s="4"/>
      <c r="E129" s="4"/>
      <c r="F129" s="6"/>
      <c r="G129" s="6"/>
      <c r="H129" s="6"/>
      <c r="I129" s="6"/>
      <c r="K129" s="7"/>
      <c r="N129" s="6"/>
      <c r="O129" s="1"/>
      <c r="P129" s="6"/>
      <c r="Q129" s="1767"/>
      <c r="R129" s="1767"/>
      <c r="S129" s="1766"/>
      <c r="T129" s="1766"/>
      <c r="U129" s="1766"/>
      <c r="V129" s="1766"/>
      <c r="W129" s="1767"/>
      <c r="X129" s="1766"/>
      <c r="Y129" s="1766"/>
      <c r="Z129" s="1768"/>
      <c r="AA129" s="1766"/>
      <c r="AB129" s="1799"/>
      <c r="AC129" s="1770"/>
      <c r="AD129" s="1771"/>
      <c r="AF129" s="13"/>
    </row>
    <row r="130" spans="1:32" s="5" customFormat="1">
      <c r="A130" s="1"/>
      <c r="B130" s="6"/>
      <c r="C130" s="4"/>
      <c r="D130" s="4"/>
      <c r="E130" s="4"/>
      <c r="F130" s="6"/>
      <c r="G130" s="6"/>
      <c r="H130" s="6"/>
      <c r="I130" s="6"/>
      <c r="K130" s="7"/>
      <c r="N130" s="6"/>
      <c r="O130" s="1"/>
      <c r="P130" s="6"/>
      <c r="Q130" s="1767"/>
      <c r="R130" s="1767"/>
      <c r="S130" s="1766"/>
      <c r="T130" s="1766"/>
      <c r="U130" s="1766"/>
      <c r="V130" s="1766"/>
      <c r="W130" s="1767"/>
      <c r="X130" s="1766"/>
      <c r="Y130" s="1766"/>
      <c r="Z130" s="1768"/>
      <c r="AA130" s="1766"/>
      <c r="AB130" s="1799"/>
      <c r="AC130" s="1770"/>
      <c r="AD130" s="1771"/>
      <c r="AF130" s="13"/>
    </row>
    <row r="131" spans="1:32" s="5" customFormat="1">
      <c r="A131" s="1"/>
      <c r="B131" s="6"/>
      <c r="C131" s="4"/>
      <c r="D131" s="4"/>
      <c r="E131" s="4"/>
      <c r="F131" s="6"/>
      <c r="G131" s="6"/>
      <c r="H131" s="6"/>
      <c r="I131" s="6"/>
      <c r="K131" s="7"/>
      <c r="N131" s="6"/>
      <c r="O131" s="1"/>
      <c r="P131" s="6"/>
      <c r="Q131" s="1767"/>
      <c r="R131" s="1767"/>
      <c r="S131" s="1766"/>
      <c r="T131" s="1766"/>
      <c r="U131" s="1766"/>
      <c r="V131" s="1766"/>
      <c r="W131" s="1767"/>
      <c r="X131" s="1766"/>
      <c r="Y131" s="1766"/>
      <c r="Z131" s="1768"/>
      <c r="AA131" s="1766"/>
      <c r="AB131" s="1799"/>
      <c r="AC131" s="1770"/>
      <c r="AD131" s="1771"/>
      <c r="AF131" s="13"/>
    </row>
    <row r="132" spans="1:32" s="5" customFormat="1">
      <c r="A132" s="1"/>
      <c r="B132" s="6"/>
      <c r="C132" s="4"/>
      <c r="D132" s="4"/>
      <c r="E132" s="4"/>
      <c r="F132" s="6"/>
      <c r="G132" s="6"/>
      <c r="H132" s="6"/>
      <c r="I132" s="6"/>
      <c r="K132" s="7"/>
      <c r="N132" s="6"/>
      <c r="O132" s="1"/>
      <c r="P132" s="6"/>
      <c r="Q132" s="1767"/>
      <c r="R132" s="1767"/>
      <c r="S132" s="1766"/>
      <c r="T132" s="1766"/>
      <c r="U132" s="1766"/>
      <c r="V132" s="1766"/>
      <c r="W132" s="1767"/>
      <c r="X132" s="1766"/>
      <c r="Y132" s="1766"/>
      <c r="Z132" s="1768"/>
      <c r="AA132" s="1766"/>
      <c r="AB132" s="1799"/>
      <c r="AC132" s="1770"/>
      <c r="AD132" s="1771"/>
      <c r="AF132" s="13"/>
    </row>
    <row r="133" spans="1:32" s="5" customFormat="1">
      <c r="A133" s="1"/>
      <c r="B133" s="6"/>
      <c r="C133" s="4"/>
      <c r="D133" s="4"/>
      <c r="E133" s="4"/>
      <c r="F133" s="6"/>
      <c r="G133" s="6"/>
      <c r="H133" s="6"/>
      <c r="I133" s="6"/>
      <c r="K133" s="7"/>
      <c r="N133" s="6"/>
      <c r="O133" s="1"/>
      <c r="P133" s="6"/>
      <c r="Q133" s="1767"/>
      <c r="R133" s="1767"/>
      <c r="S133" s="1766"/>
      <c r="T133" s="1766"/>
      <c r="U133" s="1766"/>
      <c r="V133" s="1766"/>
      <c r="W133" s="1767"/>
      <c r="X133" s="1766"/>
      <c r="Y133" s="1766"/>
      <c r="Z133" s="1768"/>
      <c r="AA133" s="1766"/>
      <c r="AB133" s="1799"/>
      <c r="AC133" s="1770"/>
      <c r="AD133" s="1771"/>
      <c r="AF133" s="13"/>
    </row>
    <row r="134" spans="1:32" s="5" customFormat="1">
      <c r="A134" s="1"/>
      <c r="B134" s="6"/>
      <c r="C134" s="4"/>
      <c r="D134" s="4"/>
      <c r="E134" s="4"/>
      <c r="F134" s="6"/>
      <c r="G134" s="6"/>
      <c r="H134" s="6"/>
      <c r="I134" s="6"/>
      <c r="K134" s="7"/>
      <c r="N134" s="6"/>
      <c r="O134" s="1"/>
      <c r="P134" s="6"/>
      <c r="Q134" s="1767"/>
      <c r="R134" s="1767"/>
      <c r="S134" s="1766"/>
      <c r="T134" s="1766"/>
      <c r="U134" s="1766"/>
      <c r="V134" s="1766"/>
      <c r="W134" s="1767"/>
      <c r="X134" s="1766"/>
      <c r="Y134" s="1766"/>
      <c r="Z134" s="1768"/>
      <c r="AA134" s="1766"/>
      <c r="AB134" s="1799"/>
      <c r="AC134" s="1770"/>
      <c r="AD134" s="1771"/>
      <c r="AF134" s="13"/>
    </row>
    <row r="135" spans="1:32" s="5" customFormat="1">
      <c r="A135" s="1"/>
      <c r="B135" s="6"/>
      <c r="C135" s="4"/>
      <c r="D135" s="4"/>
      <c r="E135" s="4"/>
      <c r="F135" s="6"/>
      <c r="G135" s="6"/>
      <c r="H135" s="6"/>
      <c r="I135" s="6"/>
      <c r="K135" s="7"/>
      <c r="N135" s="6"/>
      <c r="O135" s="1"/>
      <c r="P135" s="6"/>
      <c r="Q135" s="1767"/>
      <c r="R135" s="1767"/>
      <c r="S135" s="1766"/>
      <c r="T135" s="1766"/>
      <c r="U135" s="1766"/>
      <c r="V135" s="1766"/>
      <c r="W135" s="1767"/>
      <c r="X135" s="1766"/>
      <c r="Y135" s="1766"/>
      <c r="Z135" s="1768"/>
      <c r="AA135" s="1766"/>
      <c r="AB135" s="1799"/>
      <c r="AC135" s="1770"/>
      <c r="AD135" s="1771"/>
      <c r="AF135" s="13"/>
    </row>
    <row r="136" spans="1:32" s="5" customFormat="1">
      <c r="A136" s="1"/>
      <c r="B136" s="6"/>
      <c r="C136" s="4"/>
      <c r="D136" s="4"/>
      <c r="E136" s="4"/>
      <c r="F136" s="6"/>
      <c r="G136" s="6"/>
      <c r="H136" s="6"/>
      <c r="I136" s="6"/>
      <c r="K136" s="7"/>
      <c r="N136" s="6"/>
      <c r="O136" s="1"/>
      <c r="P136" s="6"/>
      <c r="Q136" s="1767"/>
      <c r="R136" s="1767"/>
      <c r="S136" s="1766"/>
      <c r="T136" s="1766"/>
      <c r="U136" s="1766"/>
      <c r="V136" s="1766"/>
      <c r="W136" s="1767"/>
      <c r="X136" s="1766"/>
      <c r="Y136" s="1766"/>
      <c r="Z136" s="1768"/>
      <c r="AA136" s="1766"/>
      <c r="AB136" s="1799"/>
      <c r="AC136" s="1770"/>
      <c r="AD136" s="1771"/>
      <c r="AF136" s="13"/>
    </row>
    <row r="137" spans="1:32" s="5" customFormat="1">
      <c r="A137" s="1"/>
      <c r="B137" s="6"/>
      <c r="C137" s="4"/>
      <c r="D137" s="4"/>
      <c r="E137" s="4"/>
      <c r="F137" s="6"/>
      <c r="G137" s="6"/>
      <c r="H137" s="6"/>
      <c r="I137" s="6"/>
      <c r="K137" s="7"/>
      <c r="N137" s="6"/>
      <c r="O137" s="1"/>
      <c r="P137" s="6"/>
      <c r="Q137" s="1767"/>
      <c r="R137" s="1767"/>
      <c r="S137" s="1766"/>
      <c r="T137" s="1766"/>
      <c r="U137" s="1766"/>
      <c r="V137" s="1766"/>
      <c r="W137" s="1767"/>
      <c r="X137" s="1766"/>
      <c r="Y137" s="1766"/>
      <c r="Z137" s="1768"/>
      <c r="AA137" s="1766"/>
      <c r="AB137" s="1799"/>
      <c r="AC137" s="1770"/>
      <c r="AD137" s="1771"/>
      <c r="AF137" s="13"/>
    </row>
    <row r="138" spans="1:32" s="5" customFormat="1">
      <c r="A138" s="1"/>
      <c r="B138" s="6"/>
      <c r="C138" s="4"/>
      <c r="D138" s="4"/>
      <c r="E138" s="4"/>
      <c r="F138" s="6"/>
      <c r="G138" s="6"/>
      <c r="H138" s="6"/>
      <c r="I138" s="6"/>
      <c r="K138" s="7"/>
      <c r="N138" s="6"/>
      <c r="O138" s="1"/>
      <c r="P138" s="6"/>
      <c r="Q138" s="1767"/>
      <c r="R138" s="1767"/>
      <c r="S138" s="1766"/>
      <c r="T138" s="1766"/>
      <c r="U138" s="1766"/>
      <c r="V138" s="1766"/>
      <c r="W138" s="1767"/>
      <c r="X138" s="1766"/>
      <c r="Y138" s="1766"/>
      <c r="Z138" s="1768"/>
      <c r="AA138" s="1766"/>
      <c r="AB138" s="1799"/>
      <c r="AC138" s="1770"/>
      <c r="AD138" s="1771"/>
      <c r="AF138" s="13"/>
    </row>
    <row r="139" spans="1:32" s="5" customFormat="1">
      <c r="A139" s="1"/>
      <c r="B139" s="6"/>
      <c r="C139" s="4"/>
      <c r="D139" s="4"/>
      <c r="E139" s="4"/>
      <c r="F139" s="6"/>
      <c r="G139" s="6"/>
      <c r="H139" s="6"/>
      <c r="I139" s="6"/>
      <c r="K139" s="7"/>
      <c r="N139" s="6"/>
      <c r="O139" s="1"/>
      <c r="P139" s="6"/>
      <c r="Q139" s="1767"/>
      <c r="R139" s="1767"/>
      <c r="S139" s="1766"/>
      <c r="T139" s="1766"/>
      <c r="U139" s="1766"/>
      <c r="V139" s="1766"/>
      <c r="W139" s="1767"/>
      <c r="X139" s="1766"/>
      <c r="Y139" s="1766"/>
      <c r="Z139" s="1768"/>
      <c r="AA139" s="1766"/>
      <c r="AB139" s="1799"/>
      <c r="AC139" s="1770"/>
      <c r="AD139" s="1771"/>
      <c r="AF139" s="13"/>
    </row>
    <row r="140" spans="1:32" s="5" customFormat="1">
      <c r="A140" s="1"/>
      <c r="B140" s="6"/>
      <c r="C140" s="4"/>
      <c r="D140" s="4"/>
      <c r="E140" s="4"/>
      <c r="F140" s="6"/>
      <c r="G140" s="6"/>
      <c r="H140" s="6"/>
      <c r="I140" s="6"/>
      <c r="K140" s="7"/>
      <c r="N140" s="6"/>
      <c r="O140" s="1"/>
      <c r="P140" s="6"/>
      <c r="Q140" s="1767"/>
      <c r="R140" s="1767"/>
      <c r="S140" s="1766"/>
      <c r="T140" s="1766"/>
      <c r="U140" s="1766"/>
      <c r="V140" s="1766"/>
      <c r="W140" s="1767"/>
      <c r="X140" s="1766"/>
      <c r="Y140" s="1766"/>
      <c r="Z140" s="1768"/>
      <c r="AA140" s="1766"/>
      <c r="AB140" s="1799"/>
      <c r="AC140" s="1770"/>
      <c r="AD140" s="1771"/>
      <c r="AF140" s="13"/>
    </row>
    <row r="141" spans="1:32" s="5" customFormat="1">
      <c r="A141" s="1"/>
      <c r="B141" s="6"/>
      <c r="C141" s="4"/>
      <c r="D141" s="4"/>
      <c r="E141" s="4"/>
      <c r="F141" s="6"/>
      <c r="G141" s="6"/>
      <c r="H141" s="6"/>
      <c r="I141" s="6"/>
      <c r="K141" s="7"/>
      <c r="N141" s="6"/>
      <c r="O141" s="1"/>
      <c r="P141" s="6"/>
      <c r="Q141" s="1767"/>
      <c r="R141" s="1767"/>
      <c r="S141" s="1766"/>
      <c r="T141" s="1766"/>
      <c r="U141" s="1766"/>
      <c r="V141" s="1766"/>
      <c r="W141" s="1767"/>
      <c r="X141" s="1766"/>
      <c r="Y141" s="1766"/>
      <c r="Z141" s="1768"/>
      <c r="AA141" s="1766"/>
      <c r="AB141" s="1799"/>
      <c r="AC141" s="1770"/>
      <c r="AD141" s="1771"/>
      <c r="AF141" s="13"/>
    </row>
    <row r="142" spans="1:32" s="5" customFormat="1">
      <c r="A142" s="1"/>
      <c r="B142" s="6"/>
      <c r="C142" s="4"/>
      <c r="D142" s="4"/>
      <c r="E142" s="4"/>
      <c r="F142" s="6"/>
      <c r="G142" s="6"/>
      <c r="H142" s="6"/>
      <c r="I142" s="6"/>
      <c r="K142" s="7"/>
      <c r="N142" s="6"/>
      <c r="O142" s="1"/>
      <c r="P142" s="6"/>
      <c r="Q142" s="1767"/>
      <c r="R142" s="1767"/>
      <c r="S142" s="1766"/>
      <c r="T142" s="1766"/>
      <c r="U142" s="1766"/>
      <c r="V142" s="1766"/>
      <c r="W142" s="1767"/>
      <c r="X142" s="1766"/>
      <c r="Y142" s="1766"/>
      <c r="Z142" s="1768"/>
      <c r="AA142" s="1766"/>
      <c r="AB142" s="1799"/>
      <c r="AC142" s="1770"/>
      <c r="AD142" s="1771"/>
      <c r="AF142" s="13"/>
    </row>
    <row r="143" spans="1:32" s="5" customFormat="1">
      <c r="A143" s="1"/>
      <c r="B143" s="6"/>
      <c r="C143" s="4"/>
      <c r="D143" s="4"/>
      <c r="E143" s="4"/>
      <c r="F143" s="6"/>
      <c r="G143" s="6"/>
      <c r="H143" s="6"/>
      <c r="I143" s="6"/>
      <c r="K143" s="7"/>
      <c r="N143" s="6"/>
      <c r="O143" s="1"/>
      <c r="P143" s="6"/>
      <c r="Q143" s="1767"/>
      <c r="R143" s="1767"/>
      <c r="S143" s="1766"/>
      <c r="T143" s="1766"/>
      <c r="U143" s="1766"/>
      <c r="V143" s="1766"/>
      <c r="W143" s="1767"/>
      <c r="X143" s="1766"/>
      <c r="Y143" s="1766"/>
      <c r="Z143" s="1768"/>
      <c r="AA143" s="1766"/>
      <c r="AB143" s="1799"/>
      <c r="AC143" s="1770"/>
      <c r="AD143" s="1771"/>
      <c r="AF143" s="13"/>
    </row>
    <row r="144" spans="1:32" s="5" customFormat="1">
      <c r="A144" s="1"/>
      <c r="B144" s="6"/>
      <c r="C144" s="4"/>
      <c r="D144" s="4"/>
      <c r="E144" s="4"/>
      <c r="F144" s="6"/>
      <c r="G144" s="6"/>
      <c r="H144" s="6"/>
      <c r="I144" s="6"/>
      <c r="K144" s="7"/>
      <c r="N144" s="6"/>
      <c r="O144" s="1"/>
      <c r="P144" s="6"/>
      <c r="Q144" s="1767"/>
      <c r="R144" s="1767"/>
      <c r="S144" s="1766"/>
      <c r="T144" s="1766"/>
      <c r="U144" s="1766"/>
      <c r="V144" s="1766"/>
      <c r="W144" s="1767"/>
      <c r="X144" s="1766"/>
      <c r="Y144" s="1766"/>
      <c r="Z144" s="1768"/>
      <c r="AA144" s="1766"/>
      <c r="AB144" s="1799"/>
      <c r="AC144" s="1770"/>
      <c r="AD144" s="1771"/>
      <c r="AF144" s="13"/>
    </row>
    <row r="145" spans="1:32" s="5" customFormat="1">
      <c r="A145" s="1"/>
      <c r="B145" s="6"/>
      <c r="C145" s="4"/>
      <c r="D145" s="4"/>
      <c r="E145" s="4"/>
      <c r="F145" s="6"/>
      <c r="G145" s="6"/>
      <c r="H145" s="6"/>
      <c r="I145" s="6"/>
      <c r="K145" s="7"/>
      <c r="N145" s="6"/>
      <c r="O145" s="1"/>
      <c r="P145" s="6"/>
      <c r="Q145" s="1767"/>
      <c r="R145" s="1767"/>
      <c r="S145" s="1766"/>
      <c r="T145" s="1766"/>
      <c r="U145" s="1766"/>
      <c r="V145" s="1766"/>
      <c r="W145" s="1767"/>
      <c r="X145" s="1766"/>
      <c r="Y145" s="1766"/>
      <c r="Z145" s="1768"/>
      <c r="AA145" s="1766"/>
      <c r="AB145" s="1799"/>
      <c r="AC145" s="1770"/>
      <c r="AD145" s="1771"/>
      <c r="AF145" s="13"/>
    </row>
    <row r="146" spans="1:32" s="5" customFormat="1">
      <c r="A146" s="1"/>
      <c r="B146" s="6"/>
      <c r="C146" s="4"/>
      <c r="D146" s="4"/>
      <c r="E146" s="4"/>
      <c r="F146" s="6"/>
      <c r="G146" s="6"/>
      <c r="H146" s="6"/>
      <c r="I146" s="6"/>
      <c r="K146" s="7"/>
      <c r="N146" s="6"/>
      <c r="O146" s="1"/>
      <c r="P146" s="6"/>
      <c r="Q146" s="1767"/>
      <c r="R146" s="1767"/>
      <c r="S146" s="1766"/>
      <c r="T146" s="1766"/>
      <c r="U146" s="1766"/>
      <c r="V146" s="1766"/>
      <c r="W146" s="1767"/>
      <c r="X146" s="1766"/>
      <c r="Y146" s="1766"/>
      <c r="Z146" s="1768"/>
      <c r="AA146" s="1766"/>
      <c r="AB146" s="1799"/>
      <c r="AC146" s="1770"/>
      <c r="AD146" s="1771"/>
      <c r="AF146" s="13"/>
    </row>
    <row r="147" spans="1:32" s="5" customFormat="1">
      <c r="A147" s="1"/>
      <c r="B147" s="6"/>
      <c r="C147" s="4"/>
      <c r="D147" s="4"/>
      <c r="E147" s="4"/>
      <c r="F147" s="6"/>
      <c r="G147" s="6"/>
      <c r="H147" s="6"/>
      <c r="I147" s="6"/>
      <c r="K147" s="7"/>
      <c r="N147" s="6"/>
      <c r="O147" s="1"/>
      <c r="P147" s="6"/>
      <c r="Q147" s="1767"/>
      <c r="R147" s="1767"/>
      <c r="S147" s="1766"/>
      <c r="T147" s="1766"/>
      <c r="U147" s="1766"/>
      <c r="V147" s="1766"/>
      <c r="W147" s="1767"/>
      <c r="X147" s="1766"/>
      <c r="Y147" s="1766"/>
      <c r="Z147" s="1768"/>
      <c r="AA147" s="1766"/>
      <c r="AB147" s="1799"/>
      <c r="AC147" s="1770"/>
      <c r="AD147" s="1771"/>
      <c r="AF147" s="13"/>
    </row>
    <row r="148" spans="1:32" s="5" customFormat="1">
      <c r="A148" s="1"/>
      <c r="B148" s="6"/>
      <c r="C148" s="4"/>
      <c r="D148" s="4"/>
      <c r="E148" s="4"/>
      <c r="F148" s="6"/>
      <c r="G148" s="6"/>
      <c r="H148" s="6"/>
      <c r="I148" s="6"/>
      <c r="K148" s="7"/>
      <c r="N148" s="6"/>
      <c r="O148" s="1"/>
      <c r="P148" s="6"/>
      <c r="Q148" s="1767"/>
      <c r="R148" s="1767"/>
      <c r="S148" s="1766"/>
      <c r="T148" s="1766"/>
      <c r="U148" s="1766"/>
      <c r="V148" s="1766"/>
      <c r="W148" s="1767"/>
      <c r="X148" s="1766"/>
      <c r="Y148" s="1766"/>
      <c r="Z148" s="1768"/>
      <c r="AA148" s="1766"/>
      <c r="AB148" s="1799"/>
      <c r="AC148" s="1770"/>
      <c r="AD148" s="1771"/>
      <c r="AF148" s="13"/>
    </row>
    <row r="149" spans="1:32" s="5" customFormat="1">
      <c r="A149" s="1"/>
      <c r="B149" s="6"/>
      <c r="C149" s="4"/>
      <c r="D149" s="4"/>
      <c r="E149" s="4"/>
      <c r="F149" s="6"/>
      <c r="G149" s="6"/>
      <c r="H149" s="6"/>
      <c r="I149" s="6"/>
      <c r="K149" s="7"/>
      <c r="N149" s="6"/>
      <c r="O149" s="1"/>
      <c r="P149" s="6"/>
      <c r="Q149" s="1767"/>
      <c r="R149" s="1767"/>
      <c r="S149" s="1766"/>
      <c r="T149" s="1766"/>
      <c r="U149" s="1766"/>
      <c r="V149" s="1766"/>
      <c r="W149" s="1767"/>
      <c r="X149" s="1766"/>
      <c r="Y149" s="1766"/>
      <c r="Z149" s="1768"/>
      <c r="AA149" s="1766"/>
      <c r="AB149" s="1799"/>
      <c r="AC149" s="1770"/>
      <c r="AD149" s="1771"/>
      <c r="AF149" s="13"/>
    </row>
    <row r="150" spans="1:32" s="5" customFormat="1">
      <c r="A150" s="1"/>
      <c r="B150" s="6"/>
      <c r="C150" s="4"/>
      <c r="D150" s="4"/>
      <c r="E150" s="4"/>
      <c r="F150" s="6"/>
      <c r="G150" s="6"/>
      <c r="H150" s="6"/>
      <c r="I150" s="6"/>
      <c r="K150" s="7"/>
      <c r="N150" s="6"/>
      <c r="O150" s="1"/>
      <c r="P150" s="6"/>
      <c r="Q150" s="1767"/>
      <c r="R150" s="1767"/>
      <c r="S150" s="1766"/>
      <c r="T150" s="1766"/>
      <c r="U150" s="1766"/>
      <c r="V150" s="1766"/>
      <c r="W150" s="1767"/>
      <c r="X150" s="1766"/>
      <c r="Y150" s="1766"/>
      <c r="Z150" s="1768"/>
      <c r="AA150" s="1766"/>
      <c r="AB150" s="1799"/>
      <c r="AC150" s="1770"/>
      <c r="AD150" s="1771"/>
      <c r="AF150" s="13"/>
    </row>
    <row r="151" spans="1:32" s="5" customFormat="1">
      <c r="A151" s="1"/>
      <c r="B151" s="6"/>
      <c r="C151" s="4"/>
      <c r="D151" s="4"/>
      <c r="E151" s="4"/>
      <c r="F151" s="6"/>
      <c r="G151" s="6"/>
      <c r="H151" s="6"/>
      <c r="I151" s="6"/>
      <c r="K151" s="7"/>
      <c r="N151" s="6"/>
      <c r="O151" s="1"/>
      <c r="P151" s="6"/>
      <c r="Q151" s="1767"/>
      <c r="R151" s="1767"/>
      <c r="S151" s="1766"/>
      <c r="T151" s="1766"/>
      <c r="U151" s="1766"/>
      <c r="V151" s="1766"/>
      <c r="W151" s="1767"/>
      <c r="X151" s="1766"/>
      <c r="Y151" s="1766"/>
      <c r="Z151" s="1768"/>
      <c r="AA151" s="1766"/>
      <c r="AB151" s="1799"/>
      <c r="AC151" s="1770"/>
      <c r="AD151" s="1771"/>
      <c r="AF151" s="13"/>
    </row>
    <row r="152" spans="1:32" s="5" customFormat="1">
      <c r="A152" s="1"/>
      <c r="B152" s="6"/>
      <c r="C152" s="4"/>
      <c r="D152" s="4"/>
      <c r="E152" s="4"/>
      <c r="F152" s="6"/>
      <c r="G152" s="6"/>
      <c r="H152" s="6"/>
      <c r="I152" s="6"/>
      <c r="K152" s="7"/>
      <c r="N152" s="6"/>
      <c r="O152" s="1"/>
      <c r="P152" s="6"/>
      <c r="Q152" s="1767"/>
      <c r="R152" s="1767"/>
      <c r="S152" s="1766"/>
      <c r="T152" s="1766"/>
      <c r="U152" s="1766"/>
      <c r="V152" s="1766"/>
      <c r="W152" s="1767"/>
      <c r="X152" s="1766"/>
      <c r="Y152" s="1766"/>
      <c r="Z152" s="1768"/>
      <c r="AA152" s="1766"/>
      <c r="AB152" s="1799"/>
      <c r="AC152" s="1770"/>
      <c r="AD152" s="1771"/>
      <c r="AF152" s="13"/>
    </row>
    <row r="153" spans="1:32" s="5" customFormat="1">
      <c r="A153" s="1"/>
      <c r="B153" s="6"/>
      <c r="C153" s="4"/>
      <c r="D153" s="4"/>
      <c r="E153" s="4"/>
      <c r="F153" s="6"/>
      <c r="G153" s="6"/>
      <c r="H153" s="6"/>
      <c r="I153" s="6"/>
      <c r="K153" s="7"/>
      <c r="N153" s="6"/>
      <c r="O153" s="1"/>
      <c r="P153" s="6"/>
      <c r="Q153" s="1767"/>
      <c r="R153" s="1767"/>
      <c r="S153" s="1766"/>
      <c r="T153" s="1766"/>
      <c r="U153" s="1766"/>
      <c r="V153" s="1766"/>
      <c r="W153" s="1767"/>
      <c r="X153" s="1766"/>
      <c r="Y153" s="1766"/>
      <c r="Z153" s="1768"/>
      <c r="AA153" s="1766"/>
      <c r="AB153" s="1799"/>
      <c r="AC153" s="1770"/>
      <c r="AD153" s="1771"/>
      <c r="AF153" s="13"/>
    </row>
    <row r="154" spans="1:32" s="5" customFormat="1">
      <c r="A154" s="1"/>
      <c r="B154" s="6"/>
      <c r="C154" s="4"/>
      <c r="D154" s="4"/>
      <c r="E154" s="4"/>
      <c r="F154" s="6"/>
      <c r="G154" s="6"/>
      <c r="H154" s="6"/>
      <c r="I154" s="6"/>
      <c r="K154" s="7"/>
      <c r="N154" s="6"/>
      <c r="O154" s="1"/>
      <c r="P154" s="6"/>
      <c r="Q154" s="1767"/>
      <c r="R154" s="1767"/>
      <c r="S154" s="1766"/>
      <c r="T154" s="1766"/>
      <c r="U154" s="1766"/>
      <c r="V154" s="1766"/>
      <c r="W154" s="1767"/>
      <c r="X154" s="1766"/>
      <c r="Y154" s="1766"/>
      <c r="Z154" s="1768"/>
      <c r="AA154" s="1766"/>
      <c r="AB154" s="1799"/>
      <c r="AC154" s="1770"/>
      <c r="AD154" s="1771"/>
      <c r="AF154" s="13"/>
    </row>
    <row r="155" spans="1:32" s="5" customFormat="1">
      <c r="A155" s="1"/>
      <c r="B155" s="6"/>
      <c r="C155" s="4"/>
      <c r="D155" s="4"/>
      <c r="E155" s="4"/>
      <c r="F155" s="6"/>
      <c r="G155" s="6"/>
      <c r="H155" s="6"/>
      <c r="I155" s="6"/>
      <c r="K155" s="7"/>
      <c r="N155" s="6"/>
      <c r="O155" s="1"/>
      <c r="P155" s="6"/>
      <c r="Q155" s="1767"/>
      <c r="R155" s="1767"/>
      <c r="S155" s="1766"/>
      <c r="T155" s="1766"/>
      <c r="U155" s="1766"/>
      <c r="V155" s="1766"/>
      <c r="W155" s="1767"/>
      <c r="X155" s="1766"/>
      <c r="Y155" s="1766"/>
      <c r="Z155" s="1768"/>
      <c r="AA155" s="1766"/>
      <c r="AB155" s="1799"/>
      <c r="AC155" s="1770"/>
      <c r="AD155" s="1771"/>
      <c r="AF155" s="13"/>
    </row>
    <row r="156" spans="1:32" s="5" customFormat="1">
      <c r="A156" s="1"/>
      <c r="B156" s="6"/>
      <c r="C156" s="4"/>
      <c r="D156" s="4"/>
      <c r="E156" s="4"/>
      <c r="F156" s="6"/>
      <c r="G156" s="6"/>
      <c r="H156" s="6"/>
      <c r="I156" s="6"/>
      <c r="K156" s="7"/>
      <c r="N156" s="6"/>
      <c r="O156" s="1"/>
      <c r="P156" s="6"/>
      <c r="Q156" s="1767"/>
      <c r="R156" s="1767"/>
      <c r="S156" s="1766"/>
      <c r="T156" s="1766"/>
      <c r="U156" s="1766"/>
      <c r="V156" s="1766"/>
      <c r="W156" s="1767"/>
      <c r="X156" s="1766"/>
      <c r="Y156" s="1766"/>
      <c r="Z156" s="1768"/>
      <c r="AA156" s="1766"/>
      <c r="AB156" s="1799"/>
      <c r="AC156" s="1770"/>
      <c r="AD156" s="1771"/>
      <c r="AF156" s="13"/>
    </row>
    <row r="157" spans="1:32" s="5" customFormat="1">
      <c r="A157" s="1"/>
      <c r="B157" s="6"/>
      <c r="C157" s="4"/>
      <c r="D157" s="4"/>
      <c r="E157" s="4"/>
      <c r="F157" s="6"/>
      <c r="G157" s="6"/>
      <c r="H157" s="6"/>
      <c r="I157" s="6"/>
      <c r="K157" s="7"/>
      <c r="N157" s="6"/>
      <c r="O157" s="1"/>
      <c r="P157" s="6"/>
      <c r="Q157" s="1767"/>
      <c r="R157" s="1767"/>
      <c r="S157" s="1766"/>
      <c r="T157" s="1766"/>
      <c r="U157" s="1766"/>
      <c r="V157" s="1766"/>
      <c r="W157" s="1767"/>
      <c r="X157" s="1766"/>
      <c r="Y157" s="1766"/>
      <c r="Z157" s="1768"/>
      <c r="AA157" s="1766"/>
      <c r="AB157" s="1799"/>
      <c r="AC157" s="1770"/>
      <c r="AD157" s="1771"/>
      <c r="AF157" s="13"/>
    </row>
    <row r="158" spans="1:32" s="5" customFormat="1">
      <c r="A158" s="1"/>
      <c r="B158" s="6"/>
      <c r="C158" s="4"/>
      <c r="D158" s="4"/>
      <c r="E158" s="4"/>
      <c r="F158" s="6"/>
      <c r="G158" s="6"/>
      <c r="H158" s="6"/>
      <c r="I158" s="6"/>
      <c r="K158" s="7"/>
      <c r="N158" s="6"/>
      <c r="O158" s="1"/>
      <c r="P158" s="6"/>
      <c r="Q158" s="1767"/>
      <c r="R158" s="1767"/>
      <c r="S158" s="1766"/>
      <c r="T158" s="1766"/>
      <c r="U158" s="1766"/>
      <c r="V158" s="1766"/>
      <c r="W158" s="1767"/>
      <c r="X158" s="1766"/>
      <c r="Y158" s="1766"/>
      <c r="Z158" s="1768"/>
      <c r="AA158" s="1766"/>
      <c r="AB158" s="1799"/>
      <c r="AC158" s="1770"/>
      <c r="AD158" s="1771"/>
      <c r="AF158" s="13"/>
    </row>
    <row r="159" spans="1:32" s="5" customFormat="1">
      <c r="A159" s="1"/>
      <c r="B159" s="6"/>
      <c r="C159" s="4"/>
      <c r="D159" s="4"/>
      <c r="E159" s="4"/>
      <c r="F159" s="6"/>
      <c r="G159" s="6"/>
      <c r="H159" s="6"/>
      <c r="I159" s="6"/>
      <c r="K159" s="7"/>
      <c r="N159" s="6"/>
      <c r="O159" s="1"/>
      <c r="P159" s="6"/>
      <c r="Q159" s="1767"/>
      <c r="R159" s="1767"/>
      <c r="S159" s="1766"/>
      <c r="T159" s="1766"/>
      <c r="U159" s="1766"/>
      <c r="V159" s="1766"/>
      <c r="W159" s="1767"/>
      <c r="X159" s="1766"/>
      <c r="Y159" s="1766"/>
      <c r="Z159" s="1768"/>
      <c r="AA159" s="1766"/>
      <c r="AB159" s="1799"/>
      <c r="AC159" s="1770"/>
      <c r="AD159" s="1771"/>
      <c r="AF159" s="13"/>
    </row>
    <row r="160" spans="1:32" s="5" customFormat="1">
      <c r="A160" s="1"/>
      <c r="B160" s="6"/>
      <c r="C160" s="4"/>
      <c r="D160" s="4"/>
      <c r="E160" s="4"/>
      <c r="F160" s="6"/>
      <c r="G160" s="6"/>
      <c r="H160" s="6"/>
      <c r="I160" s="6"/>
      <c r="K160" s="7"/>
      <c r="N160" s="6"/>
      <c r="O160" s="1"/>
      <c r="P160" s="6"/>
      <c r="Q160" s="1767"/>
      <c r="R160" s="1767"/>
      <c r="S160" s="1766"/>
      <c r="T160" s="1766"/>
      <c r="U160" s="1766"/>
      <c r="V160" s="1766"/>
      <c r="W160" s="1767"/>
      <c r="X160" s="1766"/>
      <c r="Y160" s="1766"/>
      <c r="Z160" s="1768"/>
      <c r="AA160" s="1766"/>
      <c r="AB160" s="1799"/>
      <c r="AC160" s="1770"/>
      <c r="AD160" s="1771"/>
      <c r="AF160" s="13"/>
    </row>
    <row r="161" spans="1:32" s="5" customFormat="1">
      <c r="A161" s="1"/>
      <c r="B161" s="6"/>
      <c r="C161" s="4"/>
      <c r="D161" s="4"/>
      <c r="E161" s="4"/>
      <c r="F161" s="6"/>
      <c r="G161" s="6"/>
      <c r="H161" s="6"/>
      <c r="I161" s="6"/>
      <c r="K161" s="7"/>
      <c r="N161" s="6"/>
      <c r="O161" s="1"/>
      <c r="P161" s="6"/>
      <c r="Q161" s="1767"/>
      <c r="R161" s="1767"/>
      <c r="S161" s="1766"/>
      <c r="T161" s="1766"/>
      <c r="U161" s="1766"/>
      <c r="V161" s="1766"/>
      <c r="W161" s="1767"/>
      <c r="X161" s="1766"/>
      <c r="Y161" s="1766"/>
      <c r="Z161" s="1768"/>
      <c r="AA161" s="1766"/>
      <c r="AB161" s="1799"/>
      <c r="AC161" s="1770"/>
      <c r="AD161" s="1771"/>
      <c r="AF161" s="13"/>
    </row>
    <row r="162" spans="1:32" s="5" customFormat="1">
      <c r="A162" s="1"/>
      <c r="B162" s="6"/>
      <c r="C162" s="4"/>
      <c r="D162" s="4"/>
      <c r="E162" s="4"/>
      <c r="F162" s="6"/>
      <c r="G162" s="6"/>
      <c r="H162" s="6"/>
      <c r="I162" s="6"/>
      <c r="K162" s="7"/>
      <c r="N162" s="6"/>
      <c r="O162" s="1"/>
      <c r="P162" s="6"/>
      <c r="Q162" s="1767"/>
      <c r="R162" s="1767"/>
      <c r="S162" s="1766"/>
      <c r="T162" s="1766"/>
      <c r="U162" s="1766"/>
      <c r="V162" s="1766"/>
      <c r="W162" s="1767"/>
      <c r="X162" s="1766"/>
      <c r="Y162" s="1766"/>
      <c r="Z162" s="1768"/>
      <c r="AA162" s="1766"/>
      <c r="AB162" s="1799"/>
      <c r="AC162" s="1770"/>
      <c r="AD162" s="1771"/>
      <c r="AF162" s="13"/>
    </row>
    <row r="163" spans="1:32" s="5" customFormat="1">
      <c r="A163" s="1"/>
      <c r="B163" s="6"/>
      <c r="C163" s="4"/>
      <c r="D163" s="4"/>
      <c r="E163" s="4"/>
      <c r="F163" s="6"/>
      <c r="G163" s="6"/>
      <c r="H163" s="6"/>
      <c r="I163" s="6"/>
      <c r="K163" s="7"/>
      <c r="N163" s="6"/>
      <c r="O163" s="1"/>
      <c r="P163" s="6"/>
      <c r="Q163" s="1767"/>
      <c r="R163" s="1767"/>
      <c r="S163" s="1766"/>
      <c r="T163" s="1766"/>
      <c r="U163" s="1766"/>
      <c r="V163" s="1766"/>
      <c r="W163" s="1767"/>
      <c r="X163" s="1766"/>
      <c r="Y163" s="1766"/>
      <c r="Z163" s="1768"/>
      <c r="AA163" s="1766"/>
      <c r="AB163" s="1799"/>
      <c r="AC163" s="1770"/>
      <c r="AD163" s="1771"/>
      <c r="AF163" s="13"/>
    </row>
    <row r="164" spans="1:32" s="5" customFormat="1">
      <c r="A164" s="1"/>
      <c r="B164" s="6"/>
      <c r="C164" s="4"/>
      <c r="D164" s="4"/>
      <c r="E164" s="4"/>
      <c r="F164" s="6"/>
      <c r="G164" s="6"/>
      <c r="H164" s="6"/>
      <c r="I164" s="6"/>
      <c r="K164" s="7"/>
      <c r="N164" s="6"/>
      <c r="O164" s="1"/>
      <c r="P164" s="6"/>
      <c r="Q164" s="1767"/>
      <c r="R164" s="1767"/>
      <c r="S164" s="1766"/>
      <c r="T164" s="1766"/>
      <c r="U164" s="1766"/>
      <c r="V164" s="1766"/>
      <c r="W164" s="1767"/>
      <c r="X164" s="1766"/>
      <c r="Y164" s="1766"/>
      <c r="Z164" s="1768"/>
      <c r="AA164" s="1766"/>
      <c r="AB164" s="1799"/>
      <c r="AC164" s="1770"/>
      <c r="AD164" s="1771"/>
      <c r="AF164" s="13"/>
    </row>
    <row r="165" spans="1:32" s="5" customFormat="1">
      <c r="A165" s="1"/>
      <c r="B165" s="6"/>
      <c r="C165" s="4"/>
      <c r="D165" s="4"/>
      <c r="E165" s="4"/>
      <c r="F165" s="6"/>
      <c r="G165" s="6"/>
      <c r="H165" s="6"/>
      <c r="I165" s="6"/>
      <c r="K165" s="7"/>
      <c r="N165" s="6"/>
      <c r="O165" s="1"/>
      <c r="P165" s="6"/>
      <c r="Q165" s="1767"/>
      <c r="R165" s="1767"/>
      <c r="S165" s="1766"/>
      <c r="T165" s="1766"/>
      <c r="U165" s="1766"/>
      <c r="V165" s="1766"/>
      <c r="W165" s="1767"/>
      <c r="X165" s="1766"/>
      <c r="Y165" s="1766"/>
      <c r="Z165" s="1768"/>
      <c r="AA165" s="1766"/>
      <c r="AB165" s="1799"/>
      <c r="AC165" s="1770"/>
      <c r="AD165" s="1771"/>
      <c r="AF165" s="13"/>
    </row>
    <row r="166" spans="1:32" s="5" customFormat="1">
      <c r="A166" s="1"/>
      <c r="B166" s="6"/>
      <c r="C166" s="4"/>
      <c r="D166" s="4"/>
      <c r="E166" s="4"/>
      <c r="F166" s="6"/>
      <c r="G166" s="6"/>
      <c r="H166" s="6"/>
      <c r="I166" s="6"/>
      <c r="K166" s="7"/>
      <c r="N166" s="6"/>
      <c r="O166" s="1"/>
      <c r="P166" s="6"/>
      <c r="Q166" s="1767"/>
      <c r="R166" s="1767"/>
      <c r="S166" s="1766"/>
      <c r="T166" s="1766"/>
      <c r="U166" s="1766"/>
      <c r="V166" s="1766"/>
      <c r="W166" s="1767"/>
      <c r="X166" s="1766"/>
      <c r="Y166" s="1766"/>
      <c r="Z166" s="1768"/>
      <c r="AA166" s="1766"/>
      <c r="AB166" s="1799"/>
      <c r="AC166" s="1770"/>
      <c r="AD166" s="1771"/>
      <c r="AF166" s="13"/>
    </row>
    <row r="167" spans="1:32" s="5" customFormat="1">
      <c r="A167" s="1"/>
      <c r="B167" s="6"/>
      <c r="C167" s="4"/>
      <c r="D167" s="4"/>
      <c r="E167" s="4"/>
      <c r="F167" s="6"/>
      <c r="G167" s="6"/>
      <c r="H167" s="6"/>
      <c r="I167" s="6"/>
      <c r="K167" s="7"/>
      <c r="N167" s="6"/>
      <c r="O167" s="1"/>
      <c r="P167" s="6"/>
      <c r="Q167" s="1767"/>
      <c r="R167" s="1767"/>
      <c r="S167" s="1766"/>
      <c r="T167" s="1766"/>
      <c r="U167" s="1766"/>
      <c r="V167" s="1766"/>
      <c r="W167" s="1767"/>
      <c r="X167" s="1766"/>
      <c r="Y167" s="1766"/>
      <c r="Z167" s="1768"/>
      <c r="AA167" s="1766"/>
      <c r="AB167" s="1799"/>
      <c r="AC167" s="1770"/>
      <c r="AD167" s="1771"/>
      <c r="AF167" s="13"/>
    </row>
    <row r="168" spans="1:32" s="5" customFormat="1">
      <c r="A168" s="1"/>
      <c r="B168" s="6"/>
      <c r="C168" s="4"/>
      <c r="D168" s="4"/>
      <c r="E168" s="4"/>
      <c r="F168" s="6"/>
      <c r="G168" s="6"/>
      <c r="H168" s="6"/>
      <c r="I168" s="6"/>
      <c r="K168" s="7"/>
      <c r="N168" s="6"/>
      <c r="O168" s="1"/>
      <c r="P168" s="6"/>
      <c r="Q168" s="1767"/>
      <c r="R168" s="1767"/>
      <c r="S168" s="1766"/>
      <c r="T168" s="1766"/>
      <c r="U168" s="1766"/>
      <c r="V168" s="1766"/>
      <c r="W168" s="1767"/>
      <c r="X168" s="1766"/>
      <c r="Y168" s="1766"/>
      <c r="Z168" s="1768"/>
      <c r="AA168" s="1766"/>
      <c r="AB168" s="1799"/>
      <c r="AC168" s="1770"/>
      <c r="AD168" s="1771"/>
      <c r="AF168" s="13"/>
    </row>
    <row r="169" spans="1:32" s="5" customFormat="1">
      <c r="A169" s="1"/>
      <c r="B169" s="6"/>
      <c r="C169" s="4"/>
      <c r="D169" s="4"/>
      <c r="E169" s="4"/>
      <c r="F169" s="6"/>
      <c r="G169" s="6"/>
      <c r="H169" s="6"/>
      <c r="I169" s="6"/>
      <c r="K169" s="7"/>
      <c r="N169" s="6"/>
      <c r="O169" s="1"/>
      <c r="P169" s="6"/>
      <c r="Q169" s="1767"/>
      <c r="R169" s="1767"/>
      <c r="S169" s="1766"/>
      <c r="T169" s="1766"/>
      <c r="U169" s="1766"/>
      <c r="V169" s="1766"/>
      <c r="W169" s="1767"/>
      <c r="X169" s="1766"/>
      <c r="Y169" s="1766"/>
      <c r="Z169" s="1768"/>
      <c r="AA169" s="1766"/>
      <c r="AB169" s="1799"/>
      <c r="AC169" s="1770"/>
      <c r="AD169" s="1771"/>
      <c r="AF169" s="13"/>
    </row>
    <row r="170" spans="1:32" s="5" customFormat="1">
      <c r="A170" s="1"/>
      <c r="B170" s="6"/>
      <c r="C170" s="4"/>
      <c r="D170" s="4"/>
      <c r="E170" s="4"/>
      <c r="F170" s="6"/>
      <c r="G170" s="6"/>
      <c r="H170" s="6"/>
      <c r="I170" s="6"/>
      <c r="K170" s="7"/>
      <c r="N170" s="6"/>
      <c r="O170" s="1"/>
      <c r="P170" s="6"/>
      <c r="Q170" s="1767"/>
      <c r="R170" s="1767"/>
      <c r="S170" s="1766"/>
      <c r="T170" s="1766"/>
      <c r="U170" s="1766"/>
      <c r="V170" s="1766"/>
      <c r="W170" s="1767"/>
      <c r="X170" s="1766"/>
      <c r="Y170" s="1766"/>
      <c r="Z170" s="1768"/>
      <c r="AA170" s="1766"/>
      <c r="AB170" s="1799"/>
      <c r="AC170" s="1770"/>
      <c r="AD170" s="1771"/>
      <c r="AF170" s="13"/>
    </row>
    <row r="171" spans="1:32" s="5" customFormat="1">
      <c r="A171" s="1"/>
      <c r="B171" s="6"/>
      <c r="C171" s="4"/>
      <c r="D171" s="4"/>
      <c r="E171" s="4"/>
      <c r="F171" s="6"/>
      <c r="G171" s="6"/>
      <c r="H171" s="6"/>
      <c r="I171" s="6"/>
      <c r="K171" s="7"/>
      <c r="N171" s="6"/>
      <c r="O171" s="1"/>
      <c r="P171" s="6"/>
      <c r="Q171" s="1767"/>
      <c r="R171" s="1767"/>
      <c r="S171" s="1766"/>
      <c r="T171" s="1766"/>
      <c r="U171" s="1766"/>
      <c r="V171" s="1766"/>
      <c r="W171" s="1767"/>
      <c r="X171" s="1766"/>
      <c r="Y171" s="1766"/>
      <c r="Z171" s="1768"/>
      <c r="AA171" s="1766"/>
      <c r="AB171" s="1799"/>
      <c r="AC171" s="1770"/>
      <c r="AD171" s="1771"/>
      <c r="AF171" s="13"/>
    </row>
    <row r="172" spans="1:32" s="5" customFormat="1">
      <c r="A172" s="1"/>
      <c r="B172" s="6"/>
      <c r="C172" s="4"/>
      <c r="D172" s="4"/>
      <c r="E172" s="4"/>
      <c r="F172" s="6"/>
      <c r="G172" s="6"/>
      <c r="H172" s="6"/>
      <c r="I172" s="6"/>
      <c r="K172" s="7"/>
      <c r="N172" s="6"/>
      <c r="O172" s="1"/>
      <c r="P172" s="6"/>
      <c r="Q172" s="1767"/>
      <c r="R172" s="1767"/>
      <c r="S172" s="1766"/>
      <c r="T172" s="1766"/>
      <c r="U172" s="1766"/>
      <c r="V172" s="1766"/>
      <c r="W172" s="1767"/>
      <c r="X172" s="1766"/>
      <c r="Y172" s="1766"/>
      <c r="Z172" s="1768"/>
      <c r="AA172" s="1766"/>
      <c r="AB172" s="1799"/>
      <c r="AC172" s="1770"/>
      <c r="AD172" s="1771"/>
      <c r="AF172" s="13"/>
    </row>
    <row r="173" spans="1:32" s="5" customFormat="1">
      <c r="A173" s="1"/>
      <c r="B173" s="6"/>
      <c r="C173" s="4"/>
      <c r="D173" s="4"/>
      <c r="E173" s="4"/>
      <c r="F173" s="6"/>
      <c r="G173" s="6"/>
      <c r="H173" s="6"/>
      <c r="I173" s="6"/>
      <c r="K173" s="7"/>
      <c r="N173" s="6"/>
      <c r="O173" s="1"/>
      <c r="P173" s="6"/>
      <c r="Q173" s="1767"/>
      <c r="R173" s="1767"/>
      <c r="S173" s="1766"/>
      <c r="T173" s="1766"/>
      <c r="U173" s="1766"/>
      <c r="V173" s="1766"/>
      <c r="W173" s="1767"/>
      <c r="X173" s="1766"/>
      <c r="Y173" s="1766"/>
      <c r="Z173" s="1768"/>
      <c r="AA173" s="1766"/>
      <c r="AB173" s="1799"/>
      <c r="AC173" s="1770"/>
      <c r="AD173" s="1771"/>
      <c r="AF173" s="13"/>
    </row>
    <row r="174" spans="1:32" s="5" customFormat="1">
      <c r="A174" s="1"/>
      <c r="B174" s="6"/>
      <c r="C174" s="4"/>
      <c r="D174" s="4"/>
      <c r="E174" s="4"/>
      <c r="F174" s="6"/>
      <c r="G174" s="6"/>
      <c r="H174" s="6"/>
      <c r="I174" s="6"/>
      <c r="K174" s="7"/>
      <c r="N174" s="6"/>
      <c r="O174" s="1"/>
      <c r="P174" s="6"/>
      <c r="Q174" s="1767"/>
      <c r="R174" s="1767"/>
      <c r="S174" s="1766"/>
      <c r="T174" s="1766"/>
      <c r="U174" s="1766"/>
      <c r="V174" s="1766"/>
      <c r="W174" s="1767"/>
      <c r="X174" s="1766"/>
      <c r="Y174" s="1766"/>
      <c r="Z174" s="1768"/>
      <c r="AA174" s="1766"/>
      <c r="AB174" s="1799"/>
      <c r="AC174" s="1770"/>
      <c r="AD174" s="1771"/>
      <c r="AF174" s="13"/>
    </row>
    <row r="175" spans="1:32" s="5" customFormat="1">
      <c r="A175" s="1"/>
      <c r="B175" s="6"/>
      <c r="C175" s="4"/>
      <c r="D175" s="4"/>
      <c r="E175" s="4"/>
      <c r="F175" s="6"/>
      <c r="G175" s="6"/>
      <c r="H175" s="6"/>
      <c r="I175" s="6"/>
      <c r="K175" s="7"/>
      <c r="N175" s="6"/>
      <c r="O175" s="1"/>
      <c r="P175" s="6"/>
      <c r="Q175" s="1767"/>
      <c r="R175" s="1767"/>
      <c r="S175" s="1766"/>
      <c r="T175" s="1766"/>
      <c r="U175" s="1766"/>
      <c r="V175" s="1766"/>
      <c r="W175" s="1767"/>
      <c r="X175" s="1766"/>
      <c r="Y175" s="1766"/>
      <c r="Z175" s="1768"/>
      <c r="AA175" s="1766"/>
      <c r="AB175" s="1799"/>
      <c r="AC175" s="1770"/>
      <c r="AD175" s="1771"/>
      <c r="AF175" s="13"/>
    </row>
    <row r="176" spans="1:32" s="5" customFormat="1">
      <c r="A176" s="1"/>
      <c r="B176" s="6"/>
      <c r="C176" s="4"/>
      <c r="D176" s="4"/>
      <c r="E176" s="4"/>
      <c r="F176" s="6"/>
      <c r="G176" s="6"/>
      <c r="H176" s="6"/>
      <c r="I176" s="6"/>
      <c r="K176" s="7"/>
      <c r="N176" s="6"/>
      <c r="O176" s="1"/>
      <c r="P176" s="6"/>
      <c r="Q176" s="1767"/>
      <c r="R176" s="1767"/>
      <c r="S176" s="1766"/>
      <c r="T176" s="1766"/>
      <c r="U176" s="1766"/>
      <c r="V176" s="1766"/>
      <c r="W176" s="1767"/>
      <c r="X176" s="1766"/>
      <c r="Y176" s="1766"/>
      <c r="Z176" s="1768"/>
      <c r="AA176" s="1766"/>
      <c r="AB176" s="1799"/>
      <c r="AC176" s="1770"/>
      <c r="AD176" s="1771"/>
      <c r="AF176" s="13"/>
    </row>
    <row r="177" spans="1:32" s="5" customFormat="1">
      <c r="A177" s="1"/>
      <c r="B177" s="6"/>
      <c r="C177" s="4"/>
      <c r="D177" s="4"/>
      <c r="E177" s="4"/>
      <c r="F177" s="6"/>
      <c r="G177" s="6"/>
      <c r="H177" s="6"/>
      <c r="I177" s="6"/>
      <c r="K177" s="7"/>
      <c r="N177" s="6"/>
      <c r="O177" s="1"/>
      <c r="P177" s="6"/>
      <c r="Q177" s="1767"/>
      <c r="R177" s="1767"/>
      <c r="S177" s="1766"/>
      <c r="T177" s="1766"/>
      <c r="U177" s="1766"/>
      <c r="V177" s="1766"/>
      <c r="W177" s="1767"/>
      <c r="X177" s="1766"/>
      <c r="Y177" s="1766"/>
      <c r="Z177" s="1768"/>
      <c r="AA177" s="1766"/>
      <c r="AB177" s="1799"/>
      <c r="AC177" s="1770"/>
      <c r="AD177" s="1771"/>
      <c r="AF177" s="13"/>
    </row>
    <row r="178" spans="1:32" s="5" customFormat="1">
      <c r="A178" s="1"/>
      <c r="B178" s="6"/>
      <c r="C178" s="4"/>
      <c r="D178" s="4"/>
      <c r="E178" s="4"/>
      <c r="F178" s="6"/>
      <c r="G178" s="6"/>
      <c r="H178" s="6"/>
      <c r="I178" s="6"/>
      <c r="K178" s="7"/>
      <c r="N178" s="6"/>
      <c r="O178" s="1"/>
      <c r="P178" s="6"/>
      <c r="Q178" s="1767"/>
      <c r="R178" s="1767"/>
      <c r="S178" s="1766"/>
      <c r="T178" s="1766"/>
      <c r="U178" s="1766"/>
      <c r="V178" s="1766"/>
      <c r="W178" s="1767"/>
      <c r="X178" s="1766"/>
      <c r="Y178" s="1766"/>
      <c r="Z178" s="1768"/>
      <c r="AA178" s="1766"/>
      <c r="AB178" s="1799"/>
      <c r="AC178" s="1770"/>
      <c r="AD178" s="1771"/>
      <c r="AF178" s="13"/>
    </row>
    <row r="179" spans="1:32" s="5" customFormat="1">
      <c r="A179" s="1"/>
      <c r="B179" s="6"/>
      <c r="C179" s="4"/>
      <c r="D179" s="4"/>
      <c r="E179" s="4"/>
      <c r="F179" s="6"/>
      <c r="G179" s="6"/>
      <c r="H179" s="6"/>
      <c r="I179" s="6"/>
      <c r="K179" s="7"/>
      <c r="N179" s="6"/>
      <c r="O179" s="1"/>
      <c r="P179" s="6"/>
      <c r="Q179" s="1767"/>
      <c r="R179" s="1767"/>
      <c r="S179" s="1766"/>
      <c r="T179" s="1766"/>
      <c r="U179" s="1766"/>
      <c r="V179" s="1766"/>
      <c r="W179" s="1767"/>
      <c r="X179" s="1766"/>
      <c r="Y179" s="1766"/>
      <c r="Z179" s="1768"/>
      <c r="AA179" s="1766"/>
      <c r="AB179" s="1799"/>
      <c r="AC179" s="1770"/>
      <c r="AD179" s="1771"/>
      <c r="AF179" s="13"/>
    </row>
    <row r="180" spans="1:32" s="5" customFormat="1">
      <c r="A180" s="1"/>
      <c r="B180" s="6"/>
      <c r="C180" s="4"/>
      <c r="D180" s="4"/>
      <c r="E180" s="4"/>
      <c r="F180" s="6"/>
      <c r="G180" s="6"/>
      <c r="H180" s="6"/>
      <c r="I180" s="6"/>
      <c r="K180" s="7"/>
      <c r="N180" s="6"/>
      <c r="O180" s="1"/>
      <c r="P180" s="6"/>
      <c r="Q180" s="1767"/>
      <c r="R180" s="1767"/>
      <c r="S180" s="1766"/>
      <c r="T180" s="1766"/>
      <c r="U180" s="1766"/>
      <c r="V180" s="1766"/>
      <c r="W180" s="1767"/>
      <c r="X180" s="1766"/>
      <c r="Y180" s="1766"/>
      <c r="Z180" s="1768"/>
      <c r="AA180" s="1766"/>
      <c r="AB180" s="1799"/>
      <c r="AC180" s="1770"/>
      <c r="AD180" s="1771"/>
      <c r="AF180" s="13"/>
    </row>
    <row r="181" spans="1:32" s="5" customFormat="1">
      <c r="A181" s="1"/>
      <c r="B181" s="6"/>
      <c r="C181" s="4"/>
      <c r="D181" s="4"/>
      <c r="E181" s="4"/>
      <c r="F181" s="6"/>
      <c r="G181" s="6"/>
      <c r="H181" s="6"/>
      <c r="I181" s="6"/>
      <c r="K181" s="7"/>
      <c r="N181" s="6"/>
      <c r="O181" s="1"/>
      <c r="P181" s="6"/>
      <c r="Q181" s="1767"/>
      <c r="R181" s="1767"/>
      <c r="S181" s="1766"/>
      <c r="T181" s="1766"/>
      <c r="U181" s="1766"/>
      <c r="V181" s="1766"/>
      <c r="W181" s="1767"/>
      <c r="X181" s="1766"/>
      <c r="Y181" s="1766"/>
      <c r="Z181" s="1768"/>
      <c r="AA181" s="1766"/>
      <c r="AB181" s="1799"/>
      <c r="AC181" s="1770"/>
      <c r="AD181" s="1771"/>
      <c r="AF181" s="13"/>
    </row>
    <row r="182" spans="1:32" s="5" customFormat="1">
      <c r="A182" s="1"/>
      <c r="B182" s="6"/>
      <c r="C182" s="4"/>
      <c r="D182" s="4"/>
      <c r="E182" s="4"/>
      <c r="F182" s="6"/>
      <c r="G182" s="6"/>
      <c r="H182" s="6"/>
      <c r="I182" s="6"/>
      <c r="K182" s="7"/>
      <c r="N182" s="6"/>
      <c r="O182" s="1"/>
      <c r="P182" s="6"/>
      <c r="Q182" s="1767"/>
      <c r="R182" s="1767"/>
      <c r="S182" s="1766"/>
      <c r="T182" s="1766"/>
      <c r="U182" s="1766"/>
      <c r="V182" s="1766"/>
      <c r="W182" s="1767"/>
      <c r="X182" s="1766"/>
      <c r="Y182" s="1766"/>
      <c r="Z182" s="1768"/>
      <c r="AA182" s="1766"/>
      <c r="AB182" s="1799"/>
      <c r="AC182" s="1770"/>
      <c r="AD182" s="1771"/>
      <c r="AF182" s="13"/>
    </row>
    <row r="183" spans="1:32" s="5" customFormat="1">
      <c r="A183" s="1"/>
      <c r="B183" s="6"/>
      <c r="C183" s="4"/>
      <c r="D183" s="4"/>
      <c r="E183" s="4"/>
      <c r="F183" s="6"/>
      <c r="G183" s="6"/>
      <c r="H183" s="6"/>
      <c r="I183" s="6"/>
      <c r="K183" s="7"/>
      <c r="N183" s="6"/>
      <c r="O183" s="1"/>
      <c r="P183" s="6"/>
      <c r="Q183" s="1767"/>
      <c r="R183" s="1767"/>
      <c r="S183" s="1766"/>
      <c r="T183" s="1766"/>
      <c r="U183" s="1766"/>
      <c r="V183" s="1766"/>
      <c r="W183" s="1767"/>
      <c r="X183" s="1766"/>
      <c r="Y183" s="1766"/>
      <c r="Z183" s="1768"/>
      <c r="AA183" s="1766"/>
      <c r="AB183" s="1799"/>
      <c r="AC183" s="1770"/>
      <c r="AD183" s="1771"/>
      <c r="AF183" s="13"/>
    </row>
    <row r="184" spans="1:32" s="5" customFormat="1">
      <c r="A184" s="1"/>
      <c r="B184" s="6"/>
      <c r="C184" s="4"/>
      <c r="D184" s="4"/>
      <c r="E184" s="4"/>
      <c r="F184" s="6"/>
      <c r="G184" s="6"/>
      <c r="H184" s="6"/>
      <c r="I184" s="6"/>
      <c r="K184" s="7"/>
      <c r="N184" s="6"/>
      <c r="O184" s="1"/>
      <c r="P184" s="6"/>
      <c r="Q184" s="1767"/>
      <c r="R184" s="1767"/>
      <c r="S184" s="1766"/>
      <c r="T184" s="1766"/>
      <c r="U184" s="1766"/>
      <c r="V184" s="1766"/>
      <c r="W184" s="1767"/>
      <c r="X184" s="1766"/>
      <c r="Y184" s="1766"/>
      <c r="Z184" s="1768"/>
      <c r="AA184" s="1766"/>
      <c r="AB184" s="1799"/>
      <c r="AC184" s="1770"/>
      <c r="AD184" s="1771"/>
      <c r="AF184" s="13"/>
    </row>
    <row r="185" spans="1:32" s="5" customFormat="1">
      <c r="A185" s="1"/>
      <c r="B185" s="6"/>
      <c r="C185" s="4"/>
      <c r="D185" s="4"/>
      <c r="E185" s="4"/>
      <c r="F185" s="6"/>
      <c r="G185" s="6"/>
      <c r="H185" s="6"/>
      <c r="I185" s="6"/>
      <c r="K185" s="7"/>
      <c r="N185" s="6"/>
      <c r="O185" s="1"/>
      <c r="P185" s="6"/>
      <c r="Q185" s="1767"/>
      <c r="R185" s="1767"/>
      <c r="S185" s="1766"/>
      <c r="T185" s="1766"/>
      <c r="U185" s="1766"/>
      <c r="V185" s="1766"/>
      <c r="W185" s="1767"/>
      <c r="X185" s="1766"/>
      <c r="Y185" s="1766"/>
      <c r="Z185" s="1768"/>
      <c r="AA185" s="1766"/>
      <c r="AB185" s="1799"/>
      <c r="AC185" s="1770"/>
      <c r="AD185" s="1771"/>
      <c r="AF185" s="13"/>
    </row>
    <row r="186" spans="1:32" s="5" customFormat="1">
      <c r="A186" s="1"/>
      <c r="B186" s="6"/>
      <c r="C186" s="4"/>
      <c r="D186" s="4"/>
      <c r="E186" s="4"/>
      <c r="F186" s="6"/>
      <c r="G186" s="6"/>
      <c r="H186" s="6"/>
      <c r="I186" s="6"/>
      <c r="K186" s="7"/>
      <c r="N186" s="6"/>
      <c r="O186" s="1"/>
      <c r="P186" s="6"/>
      <c r="Q186" s="1767"/>
      <c r="R186" s="1767"/>
      <c r="S186" s="1766"/>
      <c r="T186" s="1766"/>
      <c r="U186" s="1766"/>
      <c r="V186" s="1766"/>
      <c r="W186" s="1767"/>
      <c r="X186" s="1766"/>
      <c r="Y186" s="1766"/>
      <c r="Z186" s="1768"/>
      <c r="AA186" s="1766"/>
      <c r="AB186" s="1799"/>
      <c r="AC186" s="1770"/>
      <c r="AD186" s="1771"/>
      <c r="AF186" s="13"/>
    </row>
    <row r="187" spans="1:32" s="5" customFormat="1">
      <c r="A187" s="1"/>
      <c r="B187" s="6"/>
      <c r="C187" s="4"/>
      <c r="D187" s="4"/>
      <c r="E187" s="4"/>
      <c r="F187" s="6"/>
      <c r="G187" s="6"/>
      <c r="H187" s="6"/>
      <c r="I187" s="6"/>
      <c r="K187" s="7"/>
      <c r="N187" s="6"/>
      <c r="O187" s="1"/>
      <c r="P187" s="6"/>
      <c r="Q187" s="1767"/>
      <c r="R187" s="1767"/>
      <c r="S187" s="1766"/>
      <c r="T187" s="1766"/>
      <c r="U187" s="1766"/>
      <c r="V187" s="1766"/>
      <c r="W187" s="1767"/>
      <c r="X187" s="1766"/>
      <c r="Y187" s="1766"/>
      <c r="Z187" s="1768"/>
      <c r="AA187" s="1766"/>
      <c r="AB187" s="1799"/>
      <c r="AC187" s="1770"/>
      <c r="AD187" s="1771"/>
      <c r="AF187" s="13"/>
    </row>
    <row r="188" spans="1:32" s="5" customFormat="1">
      <c r="A188" s="1"/>
      <c r="B188" s="6"/>
      <c r="C188" s="4"/>
      <c r="D188" s="4"/>
      <c r="E188" s="4"/>
      <c r="F188" s="6"/>
      <c r="G188" s="6"/>
      <c r="H188" s="6"/>
      <c r="I188" s="6"/>
      <c r="K188" s="7"/>
      <c r="N188" s="6"/>
      <c r="O188" s="1"/>
      <c r="P188" s="6"/>
      <c r="Q188" s="1767"/>
      <c r="R188" s="1767"/>
      <c r="S188" s="1766"/>
      <c r="T188" s="1766"/>
      <c r="U188" s="1766"/>
      <c r="V188" s="1766"/>
      <c r="W188" s="1767"/>
      <c r="X188" s="1766"/>
      <c r="Y188" s="1766"/>
      <c r="Z188" s="1768"/>
      <c r="AA188" s="1766"/>
      <c r="AB188" s="1799"/>
      <c r="AC188" s="1770"/>
      <c r="AD188" s="1771"/>
      <c r="AF188" s="13"/>
    </row>
    <row r="189" spans="1:32" s="5" customFormat="1">
      <c r="A189" s="1"/>
      <c r="B189" s="6"/>
      <c r="C189" s="4"/>
      <c r="D189" s="4"/>
      <c r="E189" s="4"/>
      <c r="F189" s="6"/>
      <c r="G189" s="6"/>
      <c r="H189" s="6"/>
      <c r="I189" s="6"/>
      <c r="K189" s="7"/>
      <c r="N189" s="6"/>
      <c r="O189" s="1"/>
      <c r="P189" s="6"/>
      <c r="Q189" s="1767"/>
      <c r="R189" s="1767"/>
      <c r="S189" s="1766"/>
      <c r="T189" s="1766"/>
      <c r="U189" s="1766"/>
      <c r="V189" s="1766"/>
      <c r="W189" s="1767"/>
      <c r="X189" s="1766"/>
      <c r="Y189" s="1766"/>
      <c r="Z189" s="1768"/>
      <c r="AA189" s="1766"/>
      <c r="AB189" s="1799"/>
      <c r="AC189" s="1770"/>
      <c r="AD189" s="1771"/>
      <c r="AF189" s="13"/>
    </row>
    <row r="190" spans="1:32" s="5" customFormat="1">
      <c r="A190" s="1"/>
      <c r="B190" s="6"/>
      <c r="C190" s="4"/>
      <c r="D190" s="4"/>
      <c r="E190" s="4"/>
      <c r="F190" s="6"/>
      <c r="G190" s="6"/>
      <c r="H190" s="6"/>
      <c r="I190" s="6"/>
      <c r="K190" s="7"/>
      <c r="N190" s="6"/>
      <c r="O190" s="1"/>
      <c r="P190" s="6"/>
      <c r="Q190" s="1767"/>
      <c r="R190" s="1767"/>
      <c r="S190" s="1766"/>
      <c r="T190" s="1766"/>
      <c r="U190" s="1766"/>
      <c r="V190" s="1766"/>
      <c r="W190" s="1767"/>
      <c r="X190" s="1766"/>
      <c r="Y190" s="1766"/>
      <c r="Z190" s="1768"/>
      <c r="AA190" s="1766"/>
      <c r="AB190" s="1799"/>
      <c r="AC190" s="1770"/>
      <c r="AD190" s="1771"/>
      <c r="AF190" s="13"/>
    </row>
    <row r="191" spans="1:32" s="5" customFormat="1">
      <c r="A191" s="1"/>
      <c r="B191" s="6"/>
      <c r="C191" s="4"/>
      <c r="D191" s="4"/>
      <c r="E191" s="4"/>
      <c r="F191" s="6"/>
      <c r="G191" s="6"/>
      <c r="H191" s="6"/>
      <c r="I191" s="6"/>
      <c r="K191" s="7"/>
      <c r="N191" s="6"/>
      <c r="O191" s="1"/>
      <c r="P191" s="6"/>
      <c r="Q191" s="1767"/>
      <c r="R191" s="1767"/>
      <c r="S191" s="1766"/>
      <c r="T191" s="1766"/>
      <c r="U191" s="1766"/>
      <c r="V191" s="1766"/>
      <c r="W191" s="1767"/>
      <c r="X191" s="1766"/>
      <c r="Y191" s="1766"/>
      <c r="Z191" s="1768"/>
      <c r="AA191" s="1766"/>
      <c r="AB191" s="1799"/>
      <c r="AC191" s="1770"/>
      <c r="AD191" s="1771"/>
      <c r="AF191" s="13"/>
    </row>
    <row r="192" spans="1:32" s="5" customFormat="1">
      <c r="A192" s="1"/>
      <c r="B192" s="6"/>
      <c r="C192" s="4"/>
      <c r="D192" s="4"/>
      <c r="E192" s="4"/>
      <c r="F192" s="6"/>
      <c r="G192" s="6"/>
      <c r="H192" s="6"/>
      <c r="I192" s="6"/>
      <c r="K192" s="7"/>
      <c r="N192" s="6"/>
      <c r="O192" s="1"/>
      <c r="P192" s="6"/>
      <c r="Q192" s="1767"/>
      <c r="R192" s="1767"/>
      <c r="S192" s="1766"/>
      <c r="T192" s="1766"/>
      <c r="U192" s="1766"/>
      <c r="V192" s="1766"/>
      <c r="W192" s="1767"/>
      <c r="X192" s="1766"/>
      <c r="Y192" s="1766"/>
      <c r="Z192" s="1768"/>
      <c r="AA192" s="1766"/>
      <c r="AB192" s="1799"/>
      <c r="AC192" s="1770"/>
      <c r="AD192" s="1771"/>
      <c r="AF192" s="13"/>
    </row>
    <row r="193" spans="1:32" s="5" customFormat="1">
      <c r="A193" s="1"/>
      <c r="B193" s="6"/>
      <c r="C193" s="4"/>
      <c r="D193" s="4"/>
      <c r="E193" s="4"/>
      <c r="F193" s="6"/>
      <c r="G193" s="6"/>
      <c r="H193" s="6"/>
      <c r="I193" s="6"/>
      <c r="K193" s="7"/>
      <c r="N193" s="6"/>
      <c r="O193" s="1"/>
      <c r="P193" s="6"/>
      <c r="Q193" s="1767"/>
      <c r="R193" s="1767"/>
      <c r="S193" s="1766"/>
      <c r="T193" s="1766"/>
      <c r="U193" s="1766"/>
      <c r="V193" s="1766"/>
      <c r="W193" s="1767"/>
      <c r="X193" s="1766"/>
      <c r="Y193" s="1766"/>
      <c r="Z193" s="1768"/>
      <c r="AA193" s="1766"/>
      <c r="AB193" s="1799"/>
      <c r="AC193" s="1770"/>
      <c r="AD193" s="1771"/>
      <c r="AF193" s="13"/>
    </row>
    <row r="194" spans="1:32" s="5" customFormat="1">
      <c r="A194" s="1"/>
      <c r="B194" s="6"/>
      <c r="C194" s="4"/>
      <c r="D194" s="4"/>
      <c r="E194" s="4"/>
      <c r="F194" s="6"/>
      <c r="G194" s="6"/>
      <c r="H194" s="6"/>
      <c r="I194" s="6"/>
      <c r="K194" s="7"/>
      <c r="N194" s="6"/>
      <c r="O194" s="1"/>
      <c r="P194" s="6"/>
      <c r="Q194" s="1767"/>
      <c r="R194" s="1767"/>
      <c r="S194" s="1766"/>
      <c r="T194" s="1766"/>
      <c r="U194" s="1766"/>
      <c r="V194" s="1766"/>
      <c r="W194" s="1767"/>
      <c r="X194" s="1766"/>
      <c r="Y194" s="1766"/>
      <c r="Z194" s="1768"/>
      <c r="AA194" s="1766"/>
      <c r="AB194" s="1799"/>
      <c r="AC194" s="1770"/>
      <c r="AD194" s="1771"/>
      <c r="AF194" s="13"/>
    </row>
    <row r="195" spans="1:32" s="5" customFormat="1">
      <c r="A195" s="1"/>
      <c r="B195" s="6"/>
      <c r="C195" s="4"/>
      <c r="D195" s="4"/>
      <c r="E195" s="4"/>
      <c r="F195" s="6"/>
      <c r="G195" s="6"/>
      <c r="H195" s="6"/>
      <c r="I195" s="6"/>
      <c r="K195" s="7"/>
      <c r="N195" s="6"/>
      <c r="O195" s="1"/>
      <c r="P195" s="6"/>
      <c r="Q195" s="1767"/>
      <c r="R195" s="1767"/>
      <c r="S195" s="1766"/>
      <c r="T195" s="1766"/>
      <c r="U195" s="1766"/>
      <c r="V195" s="1766"/>
      <c r="W195" s="1767"/>
      <c r="X195" s="1766"/>
      <c r="Y195" s="1766"/>
      <c r="Z195" s="1768"/>
      <c r="AA195" s="1766"/>
      <c r="AB195" s="1799"/>
      <c r="AC195" s="1770"/>
      <c r="AD195" s="1771"/>
      <c r="AF195" s="13"/>
    </row>
    <row r="196" spans="1:32" s="5" customFormat="1">
      <c r="A196" s="1"/>
      <c r="B196" s="6"/>
      <c r="C196" s="4"/>
      <c r="D196" s="4"/>
      <c r="E196" s="4"/>
      <c r="F196" s="6"/>
      <c r="G196" s="6"/>
      <c r="H196" s="6"/>
      <c r="I196" s="6"/>
      <c r="K196" s="7"/>
      <c r="N196" s="6"/>
      <c r="O196" s="1"/>
      <c r="P196" s="6"/>
      <c r="Q196" s="1767"/>
      <c r="R196" s="1767"/>
      <c r="S196" s="1766"/>
      <c r="T196" s="1766"/>
      <c r="U196" s="1766"/>
      <c r="V196" s="1766"/>
      <c r="W196" s="1767"/>
      <c r="X196" s="1766"/>
      <c r="Y196" s="1766"/>
      <c r="Z196" s="1768"/>
      <c r="AA196" s="1766"/>
      <c r="AB196" s="1799"/>
      <c r="AC196" s="1770"/>
      <c r="AD196" s="1771"/>
      <c r="AF196" s="13"/>
    </row>
    <row r="197" spans="1:32" s="5" customFormat="1">
      <c r="A197" s="1"/>
      <c r="B197" s="6"/>
      <c r="C197" s="4"/>
      <c r="D197" s="4"/>
      <c r="E197" s="4"/>
      <c r="F197" s="6"/>
      <c r="G197" s="6"/>
      <c r="H197" s="6"/>
      <c r="I197" s="6"/>
      <c r="K197" s="7"/>
      <c r="N197" s="6"/>
      <c r="O197" s="1"/>
      <c r="P197" s="6"/>
      <c r="Q197" s="1767"/>
      <c r="R197" s="1767"/>
      <c r="S197" s="1766"/>
      <c r="T197" s="1766"/>
      <c r="U197" s="1766"/>
      <c r="V197" s="1766"/>
      <c r="W197" s="1767"/>
      <c r="X197" s="1766"/>
      <c r="Y197" s="1766"/>
      <c r="Z197" s="1768"/>
      <c r="AA197" s="1766"/>
      <c r="AB197" s="1799"/>
      <c r="AC197" s="1770"/>
      <c r="AD197" s="1771"/>
      <c r="AF197" s="13"/>
    </row>
    <row r="198" spans="1:32" s="5" customFormat="1">
      <c r="A198" s="1"/>
      <c r="B198" s="6"/>
      <c r="C198" s="4"/>
      <c r="D198" s="4"/>
      <c r="E198" s="4"/>
      <c r="F198" s="6"/>
      <c r="G198" s="6"/>
      <c r="H198" s="6"/>
      <c r="I198" s="6"/>
      <c r="K198" s="7"/>
      <c r="N198" s="6"/>
      <c r="O198" s="1"/>
      <c r="P198" s="6"/>
      <c r="Q198" s="1767"/>
      <c r="R198" s="1767"/>
      <c r="S198" s="1766"/>
      <c r="T198" s="1766"/>
      <c r="U198" s="1766"/>
      <c r="V198" s="1766"/>
      <c r="W198" s="1767"/>
      <c r="X198" s="1766"/>
      <c r="Y198" s="1766"/>
      <c r="Z198" s="1768"/>
      <c r="AA198" s="1766"/>
      <c r="AB198" s="1799"/>
      <c r="AC198" s="1770"/>
      <c r="AD198" s="1771"/>
      <c r="AF198" s="13"/>
    </row>
    <row r="199" spans="1:32" s="5" customFormat="1">
      <c r="A199" s="1"/>
      <c r="B199" s="6"/>
      <c r="C199" s="4"/>
      <c r="D199" s="4"/>
      <c r="E199" s="4"/>
      <c r="F199" s="6"/>
      <c r="G199" s="6"/>
      <c r="H199" s="6"/>
      <c r="I199" s="6"/>
      <c r="K199" s="7"/>
      <c r="N199" s="6"/>
      <c r="O199" s="1"/>
      <c r="P199" s="6"/>
      <c r="Q199" s="1767"/>
      <c r="R199" s="1767"/>
      <c r="S199" s="1766"/>
      <c r="T199" s="1766"/>
      <c r="U199" s="1766"/>
      <c r="V199" s="1766"/>
      <c r="W199" s="1767"/>
      <c r="X199" s="1766"/>
      <c r="Y199" s="1766"/>
      <c r="Z199" s="1768"/>
      <c r="AA199" s="1766"/>
      <c r="AB199" s="1799"/>
      <c r="AC199" s="1770"/>
      <c r="AD199" s="1771"/>
      <c r="AF199" s="13"/>
    </row>
    <row r="200" spans="1:32" s="5" customFormat="1">
      <c r="A200" s="1"/>
      <c r="B200" s="6"/>
      <c r="C200" s="4"/>
      <c r="D200" s="4"/>
      <c r="E200" s="4"/>
      <c r="F200" s="6"/>
      <c r="G200" s="6"/>
      <c r="H200" s="6"/>
      <c r="I200" s="6"/>
      <c r="K200" s="7"/>
      <c r="N200" s="6"/>
      <c r="O200" s="1"/>
      <c r="P200" s="6"/>
      <c r="Q200" s="1767"/>
      <c r="R200" s="1767"/>
      <c r="S200" s="1766"/>
      <c r="T200" s="1766"/>
      <c r="U200" s="1766"/>
      <c r="V200" s="1766"/>
      <c r="W200" s="1767"/>
      <c r="X200" s="1766"/>
      <c r="Y200" s="1766"/>
      <c r="Z200" s="1768"/>
      <c r="AA200" s="1766"/>
      <c r="AB200" s="1799"/>
      <c r="AC200" s="1770"/>
      <c r="AD200" s="1771"/>
      <c r="AF200" s="13"/>
    </row>
    <row r="201" spans="1:32" s="5" customFormat="1">
      <c r="A201" s="1"/>
      <c r="B201" s="6"/>
      <c r="C201" s="4"/>
      <c r="D201" s="4"/>
      <c r="E201" s="4"/>
      <c r="F201" s="6"/>
      <c r="G201" s="6"/>
      <c r="H201" s="6"/>
      <c r="I201" s="6"/>
      <c r="K201" s="7"/>
      <c r="N201" s="6"/>
      <c r="O201" s="1"/>
      <c r="P201" s="6"/>
      <c r="Q201" s="1767"/>
      <c r="R201" s="1767"/>
      <c r="S201" s="1766"/>
      <c r="T201" s="1766"/>
      <c r="U201" s="1766"/>
      <c r="V201" s="1766"/>
      <c r="W201" s="1767"/>
      <c r="X201" s="1766"/>
      <c r="Y201" s="1766"/>
      <c r="Z201" s="1768"/>
      <c r="AA201" s="1766"/>
      <c r="AB201" s="1799"/>
      <c r="AC201" s="1770"/>
      <c r="AD201" s="1771"/>
      <c r="AF201" s="13"/>
    </row>
    <row r="202" spans="1:32" s="5" customFormat="1">
      <c r="A202" s="1"/>
      <c r="B202" s="6"/>
      <c r="C202" s="4"/>
      <c r="D202" s="4"/>
      <c r="E202" s="4"/>
      <c r="F202" s="6"/>
      <c r="G202" s="6"/>
      <c r="H202" s="6"/>
      <c r="I202" s="6"/>
      <c r="K202" s="7"/>
      <c r="N202" s="6"/>
      <c r="O202" s="1"/>
      <c r="P202" s="6"/>
      <c r="Q202" s="1767"/>
      <c r="R202" s="1767"/>
      <c r="S202" s="1766"/>
      <c r="T202" s="1766"/>
      <c r="U202" s="1766"/>
      <c r="V202" s="1766"/>
      <c r="W202" s="1767"/>
      <c r="X202" s="1766"/>
      <c r="Y202" s="1766"/>
      <c r="Z202" s="1768"/>
      <c r="AA202" s="1766"/>
      <c r="AB202" s="1799"/>
      <c r="AC202" s="1770"/>
      <c r="AD202" s="1771"/>
      <c r="AF202" s="13"/>
    </row>
    <row r="203" spans="1:32" s="5" customFormat="1">
      <c r="A203" s="1"/>
      <c r="B203" s="6"/>
      <c r="C203" s="4"/>
      <c r="D203" s="4"/>
      <c r="E203" s="4"/>
      <c r="F203" s="6"/>
      <c r="G203" s="6"/>
      <c r="H203" s="6"/>
      <c r="I203" s="6"/>
      <c r="K203" s="7"/>
      <c r="N203" s="6"/>
      <c r="O203" s="1"/>
      <c r="P203" s="6"/>
      <c r="Q203" s="1767"/>
      <c r="R203" s="1767"/>
      <c r="S203" s="1766"/>
      <c r="T203" s="1766"/>
      <c r="U203" s="1766"/>
      <c r="V203" s="1766"/>
      <c r="W203" s="1767"/>
      <c r="X203" s="1766"/>
      <c r="Y203" s="1766"/>
      <c r="Z203" s="1768"/>
      <c r="AA203" s="1766"/>
      <c r="AB203" s="1799"/>
      <c r="AC203" s="1770"/>
      <c r="AD203" s="1771"/>
      <c r="AF203" s="13"/>
    </row>
    <row r="204" spans="1:32" s="5" customFormat="1">
      <c r="A204" s="1"/>
      <c r="B204" s="6"/>
      <c r="C204" s="4"/>
      <c r="D204" s="4"/>
      <c r="E204" s="4"/>
      <c r="F204" s="6"/>
      <c r="G204" s="6"/>
      <c r="H204" s="6"/>
      <c r="I204" s="6"/>
      <c r="K204" s="7"/>
      <c r="N204" s="6"/>
      <c r="O204" s="1"/>
      <c r="P204" s="6"/>
      <c r="Q204" s="1767"/>
      <c r="R204" s="1767"/>
      <c r="S204" s="1766"/>
      <c r="T204" s="1766"/>
      <c r="U204" s="1766"/>
      <c r="V204" s="1766"/>
      <c r="W204" s="1767"/>
      <c r="X204" s="1766"/>
      <c r="Y204" s="1766"/>
      <c r="Z204" s="1768"/>
      <c r="AA204" s="1766"/>
      <c r="AB204" s="1799"/>
      <c r="AC204" s="1770"/>
      <c r="AD204" s="1771"/>
      <c r="AF204" s="13"/>
    </row>
    <row r="205" spans="1:32" s="5" customFormat="1">
      <c r="A205" s="1"/>
      <c r="B205" s="6"/>
      <c r="C205" s="4"/>
      <c r="D205" s="4"/>
      <c r="E205" s="4"/>
      <c r="F205" s="6"/>
      <c r="G205" s="6"/>
      <c r="H205" s="6"/>
      <c r="I205" s="6"/>
      <c r="K205" s="7"/>
      <c r="N205" s="6"/>
      <c r="O205" s="1"/>
      <c r="P205" s="6"/>
      <c r="Q205" s="1767"/>
      <c r="R205" s="1767"/>
      <c r="S205" s="1766"/>
      <c r="T205" s="1766"/>
      <c r="U205" s="1766"/>
      <c r="V205" s="1766"/>
      <c r="W205" s="1767"/>
      <c r="X205" s="1766"/>
      <c r="Y205" s="1766"/>
      <c r="Z205" s="1768"/>
      <c r="AA205" s="1766"/>
      <c r="AB205" s="1799"/>
      <c r="AC205" s="1770"/>
      <c r="AD205" s="1771"/>
      <c r="AF205" s="13"/>
    </row>
    <row r="206" spans="1:32" s="5" customFormat="1">
      <c r="A206" s="1"/>
      <c r="B206" s="6"/>
      <c r="C206" s="4"/>
      <c r="D206" s="4"/>
      <c r="E206" s="4"/>
      <c r="F206" s="6"/>
      <c r="G206" s="6"/>
      <c r="H206" s="6"/>
      <c r="I206" s="6"/>
      <c r="K206" s="7"/>
      <c r="N206" s="6"/>
      <c r="O206" s="1"/>
      <c r="P206" s="6"/>
      <c r="Q206" s="1767"/>
      <c r="R206" s="1767"/>
      <c r="S206" s="1766"/>
      <c r="T206" s="1766"/>
      <c r="U206" s="1766"/>
      <c r="V206" s="1766"/>
      <c r="W206" s="1767"/>
      <c r="X206" s="1766"/>
      <c r="Y206" s="1766"/>
      <c r="Z206" s="1768"/>
      <c r="AA206" s="1766"/>
      <c r="AB206" s="1799"/>
      <c r="AC206" s="1770"/>
      <c r="AD206" s="1771"/>
      <c r="AF206" s="13"/>
    </row>
    <row r="207" spans="1:32" s="5" customFormat="1">
      <c r="A207" s="1"/>
      <c r="B207" s="6"/>
      <c r="C207" s="4"/>
      <c r="D207" s="4"/>
      <c r="E207" s="4"/>
      <c r="F207" s="6"/>
      <c r="G207" s="6"/>
      <c r="H207" s="6"/>
      <c r="I207" s="6"/>
      <c r="K207" s="7"/>
      <c r="N207" s="6"/>
      <c r="O207" s="1"/>
      <c r="P207" s="6"/>
      <c r="Q207" s="1767"/>
      <c r="R207" s="1767"/>
      <c r="S207" s="1766"/>
      <c r="T207" s="1766"/>
      <c r="U207" s="1766"/>
      <c r="V207" s="1766"/>
      <c r="W207" s="1767"/>
      <c r="X207" s="1766"/>
      <c r="Y207" s="1766"/>
      <c r="Z207" s="1768"/>
      <c r="AA207" s="1766"/>
      <c r="AB207" s="1799"/>
      <c r="AC207" s="1770"/>
      <c r="AD207" s="1771"/>
      <c r="AF207" s="13"/>
    </row>
    <row r="208" spans="1:32" s="5" customFormat="1">
      <c r="A208" s="1"/>
      <c r="B208" s="6"/>
      <c r="C208" s="4"/>
      <c r="D208" s="4"/>
      <c r="E208" s="4"/>
      <c r="F208" s="6"/>
      <c r="G208" s="6"/>
      <c r="H208" s="6"/>
      <c r="I208" s="6"/>
      <c r="K208" s="7"/>
      <c r="N208" s="6"/>
      <c r="O208" s="1"/>
      <c r="P208" s="6"/>
      <c r="Q208" s="1767"/>
      <c r="R208" s="1767"/>
      <c r="S208" s="1766"/>
      <c r="T208" s="1766"/>
      <c r="U208" s="1766"/>
      <c r="V208" s="1766"/>
      <c r="W208" s="1767"/>
      <c r="X208" s="1766"/>
      <c r="Y208" s="1766"/>
      <c r="Z208" s="1768"/>
      <c r="AA208" s="1766"/>
      <c r="AB208" s="1799"/>
      <c r="AC208" s="1770"/>
      <c r="AD208" s="1771"/>
      <c r="AF208" s="13"/>
    </row>
    <row r="209" spans="1:32" s="5" customFormat="1">
      <c r="A209" s="1"/>
      <c r="B209" s="6"/>
      <c r="C209" s="4"/>
      <c r="D209" s="4"/>
      <c r="E209" s="4"/>
      <c r="F209" s="6"/>
      <c r="G209" s="6"/>
      <c r="H209" s="6"/>
      <c r="I209" s="6"/>
      <c r="K209" s="7"/>
      <c r="N209" s="6"/>
      <c r="O209" s="1"/>
      <c r="P209" s="6"/>
      <c r="Q209" s="1767"/>
      <c r="R209" s="1767"/>
      <c r="S209" s="1766"/>
      <c r="T209" s="1766"/>
      <c r="U209" s="1766"/>
      <c r="V209" s="1766"/>
      <c r="W209" s="1767"/>
      <c r="X209" s="1766"/>
      <c r="Y209" s="1766"/>
      <c r="Z209" s="1768"/>
      <c r="AA209" s="1766"/>
      <c r="AB209" s="1799"/>
      <c r="AC209" s="1770"/>
      <c r="AD209" s="1771"/>
      <c r="AF209" s="13"/>
    </row>
    <row r="210" spans="1:32" s="5" customFormat="1">
      <c r="A210" s="1"/>
      <c r="B210" s="6"/>
      <c r="C210" s="4"/>
      <c r="D210" s="4"/>
      <c r="E210" s="4"/>
      <c r="F210" s="6"/>
      <c r="G210" s="6"/>
      <c r="H210" s="6"/>
      <c r="I210" s="6"/>
      <c r="K210" s="7"/>
      <c r="N210" s="6"/>
      <c r="O210" s="1"/>
      <c r="P210" s="6"/>
      <c r="Q210" s="1767"/>
      <c r="R210" s="1767"/>
      <c r="S210" s="1766"/>
      <c r="T210" s="1766"/>
      <c r="U210" s="1766"/>
      <c r="V210" s="1766"/>
      <c r="W210" s="1767"/>
      <c r="X210" s="1766"/>
      <c r="Y210" s="1766"/>
      <c r="Z210" s="1768"/>
      <c r="AA210" s="1766"/>
      <c r="AB210" s="1799"/>
      <c r="AC210" s="1770"/>
      <c r="AD210" s="1771"/>
      <c r="AF210" s="13"/>
    </row>
    <row r="211" spans="1:32" s="5" customFormat="1">
      <c r="A211" s="1"/>
      <c r="B211" s="6"/>
      <c r="C211" s="4"/>
      <c r="D211" s="4"/>
      <c r="E211" s="4"/>
      <c r="F211" s="6"/>
      <c r="G211" s="6"/>
      <c r="H211" s="6"/>
      <c r="I211" s="6"/>
      <c r="K211" s="7"/>
      <c r="N211" s="6"/>
      <c r="O211" s="1"/>
      <c r="P211" s="6"/>
      <c r="Q211" s="1767"/>
      <c r="R211" s="1767"/>
      <c r="S211" s="1766"/>
      <c r="T211" s="1766"/>
      <c r="U211" s="1766"/>
      <c r="V211" s="1766"/>
      <c r="W211" s="1767"/>
      <c r="X211" s="1766"/>
      <c r="Y211" s="1766"/>
      <c r="Z211" s="1768"/>
      <c r="AA211" s="1766"/>
      <c r="AB211" s="1799"/>
      <c r="AC211" s="1770"/>
      <c r="AD211" s="1771"/>
      <c r="AF211" s="13"/>
    </row>
    <row r="212" spans="1:32" s="5" customFormat="1">
      <c r="A212" s="1"/>
      <c r="B212" s="6"/>
      <c r="C212" s="4"/>
      <c r="D212" s="4"/>
      <c r="E212" s="4"/>
      <c r="F212" s="6"/>
      <c r="G212" s="6"/>
      <c r="H212" s="6"/>
      <c r="I212" s="6"/>
      <c r="K212" s="7"/>
      <c r="N212" s="6"/>
      <c r="O212" s="1"/>
      <c r="P212" s="6"/>
      <c r="Q212" s="1767"/>
      <c r="R212" s="1767"/>
      <c r="S212" s="1766"/>
      <c r="T212" s="1766"/>
      <c r="U212" s="1766"/>
      <c r="V212" s="1766"/>
      <c r="W212" s="1767"/>
      <c r="X212" s="1766"/>
      <c r="Y212" s="1766"/>
      <c r="Z212" s="1768"/>
      <c r="AA212" s="1766"/>
      <c r="AB212" s="1799"/>
      <c r="AC212" s="1770"/>
      <c r="AD212" s="1771"/>
      <c r="AF212" s="13"/>
    </row>
    <row r="213" spans="1:32" s="5" customFormat="1">
      <c r="A213" s="1"/>
      <c r="B213" s="6"/>
      <c r="C213" s="4"/>
      <c r="D213" s="4"/>
      <c r="E213" s="4"/>
      <c r="F213" s="6"/>
      <c r="G213" s="6"/>
      <c r="H213" s="6"/>
      <c r="I213" s="6"/>
      <c r="K213" s="7"/>
      <c r="N213" s="6"/>
      <c r="O213" s="1"/>
      <c r="P213" s="6"/>
      <c r="Q213" s="1767"/>
      <c r="R213" s="1767"/>
      <c r="S213" s="1766"/>
      <c r="T213" s="1766"/>
      <c r="U213" s="1766"/>
      <c r="V213" s="1766"/>
      <c r="W213" s="1767"/>
      <c r="X213" s="1766"/>
      <c r="Y213" s="1766"/>
      <c r="Z213" s="1768"/>
      <c r="AA213" s="1766"/>
      <c r="AB213" s="1799"/>
      <c r="AC213" s="1770"/>
      <c r="AD213" s="1771"/>
      <c r="AF213" s="13"/>
    </row>
    <row r="214" spans="1:32" s="5" customFormat="1">
      <c r="A214" s="1"/>
      <c r="B214" s="6"/>
      <c r="C214" s="4"/>
      <c r="D214" s="4"/>
      <c r="E214" s="4"/>
      <c r="F214" s="6"/>
      <c r="G214" s="6"/>
      <c r="H214" s="6"/>
      <c r="I214" s="6"/>
      <c r="K214" s="7"/>
      <c r="N214" s="6"/>
      <c r="O214" s="1"/>
      <c r="P214" s="6"/>
      <c r="Q214" s="1767"/>
      <c r="R214" s="1767"/>
      <c r="S214" s="1766"/>
      <c r="T214" s="1766"/>
      <c r="U214" s="1766"/>
      <c r="V214" s="1766"/>
      <c r="W214" s="1767"/>
      <c r="X214" s="1766"/>
      <c r="Y214" s="1766"/>
      <c r="Z214" s="1768"/>
      <c r="AA214" s="1766"/>
      <c r="AB214" s="1799"/>
      <c r="AC214" s="1770"/>
      <c r="AD214" s="1771"/>
      <c r="AF214" s="13"/>
    </row>
    <row r="215" spans="1:32" s="5" customFormat="1">
      <c r="A215" s="1"/>
      <c r="B215" s="6"/>
      <c r="C215" s="4"/>
      <c r="D215" s="4"/>
      <c r="E215" s="4"/>
      <c r="F215" s="6"/>
      <c r="G215" s="6"/>
      <c r="H215" s="6"/>
      <c r="I215" s="6"/>
      <c r="K215" s="7"/>
      <c r="N215" s="6"/>
      <c r="O215" s="1"/>
      <c r="P215" s="6"/>
      <c r="Q215" s="1767"/>
      <c r="R215" s="1767"/>
      <c r="S215" s="1766"/>
      <c r="T215" s="1766"/>
      <c r="U215" s="1766"/>
      <c r="V215" s="1766"/>
      <c r="W215" s="1767"/>
      <c r="X215" s="1766"/>
      <c r="Y215" s="1766"/>
      <c r="Z215" s="1768"/>
      <c r="AA215" s="1766"/>
      <c r="AB215" s="1799"/>
      <c r="AC215" s="1770"/>
      <c r="AD215" s="1771"/>
      <c r="AF215" s="13"/>
    </row>
    <row r="216" spans="1:32" s="5" customFormat="1">
      <c r="A216" s="1"/>
      <c r="B216" s="6"/>
      <c r="C216" s="4"/>
      <c r="D216" s="4"/>
      <c r="E216" s="4"/>
      <c r="F216" s="6"/>
      <c r="G216" s="6"/>
      <c r="H216" s="6"/>
      <c r="I216" s="6"/>
      <c r="K216" s="7"/>
      <c r="N216" s="6"/>
      <c r="O216" s="1"/>
      <c r="P216" s="6"/>
      <c r="Q216" s="1767"/>
      <c r="R216" s="1767"/>
      <c r="S216" s="1766"/>
      <c r="T216" s="1766"/>
      <c r="U216" s="1766"/>
      <c r="V216" s="1766"/>
      <c r="W216" s="1767"/>
      <c r="X216" s="1766"/>
      <c r="Y216" s="1766"/>
      <c r="Z216" s="1768"/>
      <c r="AA216" s="1766"/>
      <c r="AB216" s="1799"/>
      <c r="AC216" s="1770"/>
      <c r="AD216" s="1771"/>
      <c r="AF216" s="13"/>
    </row>
    <row r="217" spans="1:32" s="5" customFormat="1">
      <c r="A217" s="1"/>
      <c r="B217" s="6"/>
      <c r="C217" s="4"/>
      <c r="D217" s="4"/>
      <c r="E217" s="4"/>
      <c r="F217" s="6"/>
      <c r="G217" s="6"/>
      <c r="H217" s="6"/>
      <c r="I217" s="6"/>
      <c r="K217" s="7"/>
      <c r="N217" s="6"/>
      <c r="O217" s="1"/>
      <c r="P217" s="6"/>
      <c r="Q217" s="1767"/>
      <c r="R217" s="1767"/>
      <c r="S217" s="1766"/>
      <c r="T217" s="1766"/>
      <c r="U217" s="1766"/>
      <c r="V217" s="1766"/>
      <c r="W217" s="1767"/>
      <c r="X217" s="1766"/>
      <c r="Y217" s="1766"/>
      <c r="Z217" s="1768"/>
      <c r="AA217" s="1766"/>
      <c r="AB217" s="1799"/>
      <c r="AC217" s="1770"/>
      <c r="AD217" s="1771"/>
      <c r="AF217" s="13"/>
    </row>
    <row r="218" spans="1:32" s="5" customFormat="1">
      <c r="A218" s="1"/>
      <c r="B218" s="6"/>
      <c r="C218" s="4"/>
      <c r="D218" s="4"/>
      <c r="E218" s="4"/>
      <c r="F218" s="6"/>
      <c r="G218" s="6"/>
      <c r="H218" s="6"/>
      <c r="I218" s="6"/>
      <c r="K218" s="7"/>
      <c r="N218" s="6"/>
      <c r="O218" s="1"/>
      <c r="P218" s="6"/>
      <c r="Q218" s="1767"/>
      <c r="R218" s="1767"/>
      <c r="S218" s="1766"/>
      <c r="T218" s="1766"/>
      <c r="U218" s="1766"/>
      <c r="V218" s="1766"/>
      <c r="W218" s="1767"/>
      <c r="X218" s="1766"/>
      <c r="Y218" s="1766"/>
      <c r="Z218" s="1768"/>
      <c r="AA218" s="1766"/>
      <c r="AB218" s="1799"/>
      <c r="AC218" s="1770"/>
      <c r="AD218" s="1771"/>
      <c r="AF218" s="13"/>
    </row>
    <row r="219" spans="1:32" s="5" customFormat="1">
      <c r="A219" s="1"/>
      <c r="B219" s="6"/>
      <c r="C219" s="4"/>
      <c r="D219" s="4"/>
      <c r="E219" s="4"/>
      <c r="F219" s="6"/>
      <c r="G219" s="6"/>
      <c r="H219" s="6"/>
      <c r="I219" s="6"/>
      <c r="K219" s="7"/>
      <c r="N219" s="6"/>
      <c r="O219" s="1"/>
      <c r="P219" s="6"/>
      <c r="Q219" s="1767"/>
      <c r="R219" s="1767"/>
      <c r="S219" s="1766"/>
      <c r="T219" s="1766"/>
      <c r="U219" s="1766"/>
      <c r="V219" s="1766"/>
      <c r="W219" s="1767"/>
      <c r="X219" s="1766"/>
      <c r="Y219" s="1766"/>
      <c r="Z219" s="1768"/>
      <c r="AA219" s="1766"/>
      <c r="AB219" s="1799"/>
      <c r="AC219" s="1770"/>
      <c r="AD219" s="1771"/>
      <c r="AF219" s="13"/>
    </row>
    <row r="220" spans="1:32" s="5" customFormat="1">
      <c r="A220" s="1"/>
      <c r="B220" s="6"/>
      <c r="C220" s="4"/>
      <c r="D220" s="4"/>
      <c r="E220" s="4"/>
      <c r="F220" s="6"/>
      <c r="G220" s="6"/>
      <c r="H220" s="6"/>
      <c r="I220" s="6"/>
      <c r="K220" s="7"/>
      <c r="N220" s="6"/>
      <c r="O220" s="1"/>
      <c r="P220" s="6"/>
      <c r="Q220" s="1767"/>
      <c r="R220" s="1767"/>
      <c r="S220" s="1766"/>
      <c r="T220" s="1766"/>
      <c r="U220" s="1766"/>
      <c r="V220" s="1766"/>
      <c r="W220" s="1767"/>
      <c r="X220" s="1766"/>
      <c r="Y220" s="1766"/>
      <c r="Z220" s="1768"/>
      <c r="AA220" s="1766"/>
      <c r="AB220" s="1799"/>
      <c r="AC220" s="1770"/>
      <c r="AD220" s="1771"/>
      <c r="AF220" s="13"/>
    </row>
    <row r="221" spans="1:32" s="5" customFormat="1">
      <c r="A221" s="1"/>
      <c r="B221" s="6"/>
      <c r="C221" s="4"/>
      <c r="D221" s="4"/>
      <c r="E221" s="4"/>
      <c r="F221" s="6"/>
      <c r="G221" s="6"/>
      <c r="H221" s="6"/>
      <c r="I221" s="6"/>
      <c r="K221" s="7"/>
      <c r="N221" s="6"/>
      <c r="O221" s="1"/>
      <c r="P221" s="6"/>
      <c r="Q221" s="1767"/>
      <c r="R221" s="1767"/>
      <c r="S221" s="1766"/>
      <c r="T221" s="1766"/>
      <c r="U221" s="1766"/>
      <c r="V221" s="1766"/>
      <c r="W221" s="1767"/>
      <c r="X221" s="1766"/>
      <c r="Y221" s="1766"/>
      <c r="Z221" s="1768"/>
      <c r="AA221" s="1766"/>
      <c r="AB221" s="1799"/>
      <c r="AC221" s="1770"/>
      <c r="AD221" s="1771"/>
      <c r="AF221" s="13"/>
    </row>
    <row r="222" spans="1:32" s="5" customFormat="1">
      <c r="A222" s="1"/>
      <c r="B222" s="6"/>
      <c r="C222" s="4"/>
      <c r="D222" s="4"/>
      <c r="E222" s="4"/>
      <c r="F222" s="6"/>
      <c r="G222" s="6"/>
      <c r="H222" s="6"/>
      <c r="I222" s="6"/>
      <c r="K222" s="7"/>
      <c r="N222" s="6"/>
      <c r="O222" s="1"/>
      <c r="P222" s="6"/>
      <c r="Q222" s="1767"/>
      <c r="R222" s="1767"/>
      <c r="S222" s="1766"/>
      <c r="T222" s="1766"/>
      <c r="U222" s="1766"/>
      <c r="V222" s="1766"/>
      <c r="W222" s="1767"/>
      <c r="X222" s="1766"/>
      <c r="Y222" s="1766"/>
      <c r="Z222" s="1768"/>
      <c r="AA222" s="1766"/>
      <c r="AB222" s="1799"/>
      <c r="AC222" s="1770"/>
      <c r="AD222" s="1771"/>
      <c r="AF222" s="13"/>
    </row>
    <row r="223" spans="1:32" s="5" customFormat="1">
      <c r="A223" s="1"/>
      <c r="B223" s="6"/>
      <c r="C223" s="4"/>
      <c r="D223" s="4"/>
      <c r="E223" s="4"/>
      <c r="F223" s="6"/>
      <c r="G223" s="6"/>
      <c r="H223" s="6"/>
      <c r="I223" s="6"/>
      <c r="K223" s="7"/>
      <c r="N223" s="6"/>
      <c r="O223" s="1"/>
      <c r="P223" s="6"/>
      <c r="Q223" s="1767"/>
      <c r="R223" s="1767"/>
      <c r="S223" s="1766"/>
      <c r="T223" s="1766"/>
      <c r="U223" s="1766"/>
      <c r="V223" s="1766"/>
      <c r="W223" s="1767"/>
      <c r="X223" s="1766"/>
      <c r="Y223" s="1766"/>
      <c r="Z223" s="1768"/>
      <c r="AA223" s="1766"/>
      <c r="AB223" s="1799"/>
      <c r="AC223" s="1770"/>
      <c r="AD223" s="1771"/>
      <c r="AF223" s="13"/>
    </row>
    <row r="224" spans="1:32" s="5" customFormat="1">
      <c r="A224" s="1"/>
      <c r="B224" s="6"/>
      <c r="C224" s="4"/>
      <c r="D224" s="4"/>
      <c r="E224" s="4"/>
      <c r="F224" s="6"/>
      <c r="G224" s="6"/>
      <c r="H224" s="6"/>
      <c r="I224" s="6"/>
      <c r="K224" s="7"/>
      <c r="N224" s="6"/>
      <c r="O224" s="1"/>
      <c r="P224" s="6"/>
      <c r="Q224" s="1767"/>
      <c r="R224" s="1767"/>
      <c r="S224" s="1766"/>
      <c r="T224" s="1766"/>
      <c r="U224" s="1766"/>
      <c r="V224" s="1766"/>
      <c r="W224" s="1767"/>
      <c r="X224" s="1766"/>
      <c r="Y224" s="1766"/>
      <c r="Z224" s="1768"/>
      <c r="AA224" s="1766"/>
      <c r="AB224" s="1799"/>
      <c r="AC224" s="1770"/>
      <c r="AD224" s="1771"/>
      <c r="AF224" s="13"/>
    </row>
    <row r="225" spans="1:32" s="5" customFormat="1">
      <c r="A225" s="1"/>
      <c r="B225" s="6"/>
      <c r="C225" s="4"/>
      <c r="D225" s="4"/>
      <c r="E225" s="4"/>
      <c r="F225" s="6"/>
      <c r="G225" s="6"/>
      <c r="H225" s="6"/>
      <c r="I225" s="6"/>
      <c r="K225" s="7"/>
      <c r="N225" s="6"/>
      <c r="O225" s="1"/>
      <c r="P225" s="6"/>
      <c r="Q225" s="1767"/>
      <c r="R225" s="1767"/>
      <c r="S225" s="1766"/>
      <c r="T225" s="1766"/>
      <c r="U225" s="1766"/>
      <c r="V225" s="1766"/>
      <c r="W225" s="1767"/>
      <c r="X225" s="1766"/>
      <c r="Y225" s="1766"/>
      <c r="Z225" s="1768"/>
      <c r="AA225" s="1766"/>
      <c r="AB225" s="1799"/>
      <c r="AC225" s="1770"/>
      <c r="AD225" s="1771"/>
      <c r="AF225" s="13"/>
    </row>
    <row r="226" spans="1:32" s="5" customFormat="1">
      <c r="A226" s="1"/>
      <c r="B226" s="6"/>
      <c r="C226" s="4"/>
      <c r="D226" s="4"/>
      <c r="E226" s="4"/>
      <c r="F226" s="6"/>
      <c r="G226" s="6"/>
      <c r="H226" s="6"/>
      <c r="I226" s="6"/>
      <c r="K226" s="7"/>
      <c r="N226" s="6"/>
      <c r="O226" s="1"/>
      <c r="P226" s="6"/>
      <c r="Q226" s="1767"/>
      <c r="R226" s="1767"/>
      <c r="S226" s="1766"/>
      <c r="T226" s="1766"/>
      <c r="U226" s="1766"/>
      <c r="V226" s="1766"/>
      <c r="W226" s="1767"/>
      <c r="X226" s="1766"/>
      <c r="Y226" s="1766"/>
      <c r="Z226" s="1768"/>
      <c r="AA226" s="1766"/>
      <c r="AB226" s="1799"/>
      <c r="AC226" s="1770"/>
      <c r="AD226" s="1771"/>
      <c r="AF226" s="13"/>
    </row>
    <row r="227" spans="1:32" s="5" customFormat="1">
      <c r="A227" s="1"/>
      <c r="B227" s="6"/>
      <c r="C227" s="4"/>
      <c r="D227" s="4"/>
      <c r="E227" s="4"/>
      <c r="F227" s="6"/>
      <c r="G227" s="6"/>
      <c r="H227" s="6"/>
      <c r="I227" s="6"/>
      <c r="K227" s="7"/>
      <c r="N227" s="6"/>
      <c r="O227" s="1"/>
      <c r="P227" s="6"/>
      <c r="Q227" s="1767"/>
      <c r="R227" s="1767"/>
      <c r="S227" s="1766"/>
      <c r="T227" s="1766"/>
      <c r="U227" s="1766"/>
      <c r="V227" s="1766"/>
      <c r="W227" s="1767"/>
      <c r="X227" s="1766"/>
      <c r="Y227" s="1766"/>
      <c r="Z227" s="1768"/>
      <c r="AA227" s="1766"/>
      <c r="AB227" s="1799"/>
      <c r="AC227" s="1770"/>
      <c r="AD227" s="1771"/>
      <c r="AF227" s="13"/>
    </row>
    <row r="228" spans="1:32" s="5" customFormat="1">
      <c r="A228" s="1"/>
      <c r="B228" s="6"/>
      <c r="C228" s="4"/>
      <c r="D228" s="4"/>
      <c r="E228" s="4"/>
      <c r="F228" s="6"/>
      <c r="G228" s="6"/>
      <c r="H228" s="6"/>
      <c r="I228" s="6"/>
      <c r="K228" s="7"/>
      <c r="N228" s="6"/>
      <c r="O228" s="1"/>
      <c r="P228" s="6"/>
      <c r="Q228" s="1767"/>
      <c r="R228" s="1767"/>
      <c r="S228" s="1766"/>
      <c r="T228" s="1766"/>
      <c r="U228" s="1766"/>
      <c r="V228" s="1766"/>
      <c r="W228" s="1767"/>
      <c r="X228" s="1766"/>
      <c r="Y228" s="1766"/>
      <c r="Z228" s="1768"/>
      <c r="AA228" s="1766"/>
      <c r="AB228" s="1799"/>
      <c r="AC228" s="1770"/>
      <c r="AD228" s="1771"/>
      <c r="AF228" s="13"/>
    </row>
    <row r="229" spans="1:32" s="5" customFormat="1">
      <c r="A229" s="1"/>
      <c r="B229" s="6"/>
      <c r="C229" s="4"/>
      <c r="D229" s="4"/>
      <c r="E229" s="4"/>
      <c r="F229" s="6"/>
      <c r="G229" s="6"/>
      <c r="H229" s="6"/>
      <c r="I229" s="6"/>
      <c r="K229" s="7"/>
      <c r="N229" s="6"/>
      <c r="O229" s="1"/>
      <c r="P229" s="6"/>
      <c r="Q229" s="1767"/>
      <c r="R229" s="1767"/>
      <c r="S229" s="1766"/>
      <c r="T229" s="1766"/>
      <c r="U229" s="1766"/>
      <c r="V229" s="1766"/>
      <c r="W229" s="1767"/>
      <c r="X229" s="1766"/>
      <c r="Y229" s="1766"/>
      <c r="Z229" s="1768"/>
      <c r="AA229" s="1766"/>
      <c r="AB229" s="1799"/>
      <c r="AC229" s="1770"/>
      <c r="AD229" s="1771"/>
      <c r="AF229" s="13"/>
    </row>
    <row r="230" spans="1:32" s="5" customFormat="1">
      <c r="A230" s="1"/>
      <c r="B230" s="6"/>
      <c r="C230" s="4"/>
      <c r="D230" s="4"/>
      <c r="E230" s="4"/>
      <c r="F230" s="6"/>
      <c r="G230" s="6"/>
      <c r="H230" s="6"/>
      <c r="I230" s="6"/>
      <c r="K230" s="7"/>
      <c r="N230" s="6"/>
      <c r="O230" s="1"/>
      <c r="P230" s="6"/>
      <c r="Q230" s="1767"/>
      <c r="R230" s="1767"/>
      <c r="S230" s="1766"/>
      <c r="T230" s="1766"/>
      <c r="U230" s="1766"/>
      <c r="V230" s="1766"/>
      <c r="W230" s="1767"/>
      <c r="X230" s="1766"/>
      <c r="Y230" s="1766"/>
      <c r="Z230" s="1768"/>
      <c r="AA230" s="1766"/>
      <c r="AB230" s="1799"/>
      <c r="AC230" s="1770"/>
      <c r="AD230" s="1771"/>
      <c r="AF230" s="13"/>
    </row>
    <row r="231" spans="1:32" s="5" customFormat="1">
      <c r="A231" s="1"/>
      <c r="B231" s="6"/>
      <c r="C231" s="4"/>
      <c r="D231" s="4"/>
      <c r="E231" s="4"/>
      <c r="F231" s="6"/>
      <c r="G231" s="6"/>
      <c r="H231" s="6"/>
      <c r="I231" s="6"/>
      <c r="K231" s="7"/>
      <c r="N231" s="6"/>
      <c r="O231" s="1"/>
      <c r="P231" s="6"/>
      <c r="Q231" s="1767"/>
      <c r="R231" s="1767"/>
      <c r="S231" s="1766"/>
      <c r="T231" s="1766"/>
      <c r="U231" s="1766"/>
      <c r="V231" s="1766"/>
      <c r="W231" s="1767"/>
      <c r="X231" s="1766"/>
      <c r="Y231" s="1766"/>
      <c r="Z231" s="1768"/>
      <c r="AA231" s="1766"/>
      <c r="AB231" s="1799"/>
      <c r="AC231" s="1770"/>
      <c r="AD231" s="1771"/>
      <c r="AF231" s="13"/>
    </row>
    <row r="232" spans="1:32" s="5" customFormat="1">
      <c r="A232" s="1"/>
      <c r="B232" s="6"/>
      <c r="C232" s="4"/>
      <c r="D232" s="4"/>
      <c r="E232" s="4"/>
      <c r="F232" s="6"/>
      <c r="G232" s="6"/>
      <c r="H232" s="6"/>
      <c r="I232" s="6"/>
      <c r="K232" s="7"/>
      <c r="N232" s="6"/>
      <c r="O232" s="1"/>
      <c r="P232" s="6"/>
      <c r="Q232" s="1767"/>
      <c r="R232" s="1767"/>
      <c r="S232" s="1766"/>
      <c r="T232" s="1766"/>
      <c r="U232" s="1766"/>
      <c r="V232" s="1766"/>
      <c r="W232" s="1767"/>
      <c r="X232" s="1766"/>
      <c r="Y232" s="1766"/>
      <c r="Z232" s="1768"/>
      <c r="AA232" s="1766"/>
      <c r="AB232" s="1799"/>
      <c r="AC232" s="1770"/>
      <c r="AD232" s="1771"/>
      <c r="AF232" s="13"/>
    </row>
    <row r="233" spans="1:32" s="5" customFormat="1">
      <c r="A233" s="1"/>
      <c r="B233" s="6"/>
      <c r="C233" s="4"/>
      <c r="D233" s="4"/>
      <c r="E233" s="4"/>
      <c r="F233" s="6"/>
      <c r="G233" s="6"/>
      <c r="H233" s="6"/>
      <c r="I233" s="6"/>
      <c r="K233" s="7"/>
      <c r="N233" s="6"/>
      <c r="O233" s="1"/>
      <c r="P233" s="6"/>
      <c r="Q233" s="1767"/>
      <c r="R233" s="1767"/>
      <c r="S233" s="1766"/>
      <c r="T233" s="1766"/>
      <c r="U233" s="1766"/>
      <c r="V233" s="1766"/>
      <c r="W233" s="1767"/>
      <c r="X233" s="1766"/>
      <c r="Y233" s="1766"/>
      <c r="Z233" s="1768"/>
      <c r="AA233" s="1766"/>
      <c r="AB233" s="1799"/>
      <c r="AC233" s="1770"/>
      <c r="AD233" s="1771"/>
      <c r="AF233" s="13"/>
    </row>
    <row r="234" spans="1:32" s="5" customFormat="1">
      <c r="A234" s="1"/>
      <c r="B234" s="6"/>
      <c r="C234" s="4"/>
      <c r="D234" s="4"/>
      <c r="E234" s="4"/>
      <c r="F234" s="6"/>
      <c r="G234" s="6"/>
      <c r="H234" s="6"/>
      <c r="I234" s="6"/>
      <c r="K234" s="7"/>
      <c r="N234" s="6"/>
      <c r="O234" s="1"/>
      <c r="P234" s="6"/>
      <c r="Q234" s="1767"/>
      <c r="R234" s="1767"/>
      <c r="S234" s="1766"/>
      <c r="T234" s="1766"/>
      <c r="U234" s="1766"/>
      <c r="V234" s="1766"/>
      <c r="W234" s="1767"/>
      <c r="X234" s="1766"/>
      <c r="Y234" s="1766"/>
      <c r="Z234" s="1768"/>
      <c r="AA234" s="1766"/>
      <c r="AB234" s="1799"/>
      <c r="AC234" s="1770"/>
      <c r="AD234" s="1771"/>
      <c r="AF234" s="13"/>
    </row>
    <row r="235" spans="1:32" s="5" customFormat="1">
      <c r="A235" s="1"/>
      <c r="B235" s="6"/>
      <c r="C235" s="4"/>
      <c r="D235" s="4"/>
      <c r="E235" s="4"/>
      <c r="F235" s="6"/>
      <c r="G235" s="6"/>
      <c r="H235" s="6"/>
      <c r="I235" s="6"/>
      <c r="K235" s="7"/>
      <c r="N235" s="6"/>
      <c r="O235" s="1"/>
      <c r="P235" s="6"/>
      <c r="Q235" s="1767"/>
      <c r="R235" s="1767"/>
      <c r="S235" s="1766"/>
      <c r="T235" s="1766"/>
      <c r="U235" s="1766"/>
      <c r="V235" s="1766"/>
      <c r="W235" s="1767"/>
      <c r="X235" s="1766"/>
      <c r="Y235" s="1766"/>
      <c r="Z235" s="1768"/>
      <c r="AA235" s="1766"/>
      <c r="AB235" s="1799"/>
      <c r="AC235" s="1770"/>
      <c r="AD235" s="1771"/>
      <c r="AF235" s="13"/>
    </row>
    <row r="236" spans="1:32" s="5" customFormat="1">
      <c r="A236" s="1"/>
      <c r="B236" s="6"/>
      <c r="C236" s="4"/>
      <c r="D236" s="4"/>
      <c r="E236" s="4"/>
      <c r="F236" s="6"/>
      <c r="G236" s="6"/>
      <c r="H236" s="6"/>
      <c r="I236" s="6"/>
      <c r="K236" s="7"/>
      <c r="N236" s="6"/>
      <c r="O236" s="1"/>
      <c r="P236" s="6"/>
      <c r="Q236" s="1767"/>
      <c r="R236" s="1767"/>
      <c r="S236" s="1766"/>
      <c r="T236" s="1766"/>
      <c r="U236" s="1766"/>
      <c r="V236" s="1766"/>
      <c r="W236" s="1767"/>
      <c r="X236" s="1766"/>
      <c r="Y236" s="1766"/>
      <c r="Z236" s="1768"/>
      <c r="AA236" s="1766"/>
      <c r="AB236" s="1799"/>
      <c r="AC236" s="1770"/>
      <c r="AD236" s="1771"/>
      <c r="AF236" s="13"/>
    </row>
    <row r="237" spans="1:32" s="5" customFormat="1">
      <c r="A237" s="1"/>
      <c r="B237" s="6"/>
      <c r="C237" s="4"/>
      <c r="D237" s="4"/>
      <c r="E237" s="4"/>
      <c r="F237" s="6"/>
      <c r="G237" s="6"/>
      <c r="H237" s="6"/>
      <c r="I237" s="6"/>
      <c r="K237" s="7"/>
      <c r="N237" s="6"/>
      <c r="O237" s="1"/>
      <c r="P237" s="6"/>
      <c r="Q237" s="1767"/>
      <c r="R237" s="1767"/>
      <c r="S237" s="1766"/>
      <c r="T237" s="1766"/>
      <c r="U237" s="1766"/>
      <c r="V237" s="1766"/>
      <c r="W237" s="1767"/>
      <c r="X237" s="1766"/>
      <c r="Y237" s="1766"/>
      <c r="Z237" s="1768"/>
      <c r="AA237" s="1766"/>
      <c r="AB237" s="1799"/>
      <c r="AC237" s="1770"/>
      <c r="AD237" s="1771"/>
      <c r="AF237" s="13"/>
    </row>
    <row r="238" spans="1:32" s="5" customFormat="1">
      <c r="A238" s="1"/>
      <c r="B238" s="6"/>
      <c r="C238" s="4"/>
      <c r="D238" s="4"/>
      <c r="E238" s="4"/>
      <c r="F238" s="6"/>
      <c r="G238" s="6"/>
      <c r="H238" s="6"/>
      <c r="I238" s="6"/>
      <c r="K238" s="7"/>
      <c r="N238" s="6"/>
      <c r="O238" s="1"/>
      <c r="P238" s="6"/>
      <c r="Q238" s="1767"/>
      <c r="R238" s="1767"/>
      <c r="S238" s="1766"/>
      <c r="T238" s="1766"/>
      <c r="U238" s="1766"/>
      <c r="V238" s="1766"/>
      <c r="W238" s="1767"/>
      <c r="X238" s="1766"/>
      <c r="Y238" s="1766"/>
      <c r="Z238" s="1768"/>
      <c r="AA238" s="1766"/>
      <c r="AB238" s="1799"/>
      <c r="AC238" s="1770"/>
      <c r="AD238" s="1771"/>
      <c r="AF238" s="13"/>
    </row>
    <row r="239" spans="1:32" s="5" customFormat="1">
      <c r="A239" s="1"/>
      <c r="B239" s="6"/>
      <c r="C239" s="4"/>
      <c r="D239" s="4"/>
      <c r="E239" s="4"/>
      <c r="F239" s="6"/>
      <c r="G239" s="6"/>
      <c r="H239" s="6"/>
      <c r="I239" s="6"/>
      <c r="K239" s="7"/>
      <c r="N239" s="6"/>
      <c r="O239" s="1"/>
      <c r="P239" s="6"/>
      <c r="Q239" s="1767"/>
      <c r="R239" s="1767"/>
      <c r="S239" s="1766"/>
      <c r="T239" s="1766"/>
      <c r="U239" s="1766"/>
      <c r="V239" s="1766"/>
      <c r="W239" s="1767"/>
      <c r="X239" s="1766"/>
      <c r="Y239" s="1766"/>
      <c r="Z239" s="1768"/>
      <c r="AA239" s="1766"/>
      <c r="AB239" s="1799"/>
      <c r="AC239" s="1770"/>
      <c r="AD239" s="1771"/>
      <c r="AF239" s="13"/>
    </row>
    <row r="240" spans="1:32" s="5" customFormat="1">
      <c r="A240" s="1"/>
      <c r="B240" s="6"/>
      <c r="C240" s="4"/>
      <c r="D240" s="4"/>
      <c r="E240" s="4"/>
      <c r="F240" s="6"/>
      <c r="G240" s="6"/>
      <c r="H240" s="6"/>
      <c r="I240" s="6"/>
      <c r="K240" s="7"/>
      <c r="N240" s="6"/>
      <c r="O240" s="1"/>
      <c r="P240" s="6"/>
      <c r="Q240" s="1767"/>
      <c r="R240" s="1767"/>
      <c r="S240" s="1766"/>
      <c r="T240" s="1766"/>
      <c r="U240" s="1766"/>
      <c r="V240" s="1766"/>
      <c r="W240" s="1767"/>
      <c r="X240" s="1766"/>
      <c r="Y240" s="1766"/>
      <c r="Z240" s="1768"/>
      <c r="AA240" s="1766"/>
      <c r="AB240" s="1799"/>
      <c r="AC240" s="1770"/>
      <c r="AD240" s="1771"/>
      <c r="AF240" s="13"/>
    </row>
    <row r="241" spans="1:32" s="5" customFormat="1">
      <c r="A241" s="1"/>
      <c r="B241" s="6"/>
      <c r="C241" s="4"/>
      <c r="D241" s="4"/>
      <c r="E241" s="4"/>
      <c r="F241" s="6"/>
      <c r="G241" s="6"/>
      <c r="H241" s="6"/>
      <c r="I241" s="6"/>
      <c r="K241" s="7"/>
      <c r="N241" s="6"/>
      <c r="O241" s="1"/>
      <c r="P241" s="6"/>
      <c r="Q241" s="1767"/>
      <c r="R241" s="1767"/>
      <c r="S241" s="1766"/>
      <c r="T241" s="1766"/>
      <c r="U241" s="1766"/>
      <c r="V241" s="1766"/>
      <c r="W241" s="1767"/>
      <c r="X241" s="1766"/>
      <c r="Y241" s="1766"/>
      <c r="Z241" s="1768"/>
      <c r="AA241" s="1766"/>
      <c r="AB241" s="1799"/>
      <c r="AC241" s="1770"/>
      <c r="AD241" s="1771"/>
      <c r="AF241" s="13"/>
    </row>
    <row r="242" spans="1:32" s="5" customFormat="1">
      <c r="A242" s="1"/>
      <c r="B242" s="6"/>
      <c r="C242" s="4"/>
      <c r="D242" s="4"/>
      <c r="E242" s="4"/>
      <c r="F242" s="6"/>
      <c r="G242" s="6"/>
      <c r="H242" s="6"/>
      <c r="I242" s="6"/>
      <c r="K242" s="7"/>
      <c r="N242" s="6"/>
      <c r="O242" s="1"/>
      <c r="P242" s="6"/>
      <c r="Q242" s="1767"/>
      <c r="R242" s="1767"/>
      <c r="S242" s="1766"/>
      <c r="T242" s="1766"/>
      <c r="U242" s="1766"/>
      <c r="V242" s="1766"/>
      <c r="W242" s="1767"/>
      <c r="X242" s="1766"/>
      <c r="Y242" s="1766"/>
      <c r="Z242" s="1768"/>
      <c r="AA242" s="1766"/>
      <c r="AB242" s="1799"/>
      <c r="AC242" s="1770"/>
      <c r="AD242" s="1771"/>
      <c r="AF242" s="13"/>
    </row>
    <row r="243" spans="1:32" s="5" customFormat="1">
      <c r="A243" s="1"/>
      <c r="B243" s="6"/>
      <c r="C243" s="4"/>
      <c r="D243" s="4"/>
      <c r="E243" s="4"/>
      <c r="F243" s="6"/>
      <c r="G243" s="6"/>
      <c r="H243" s="6"/>
      <c r="I243" s="6"/>
      <c r="K243" s="7"/>
      <c r="N243" s="6"/>
      <c r="O243" s="1"/>
      <c r="P243" s="6"/>
      <c r="Q243" s="1767"/>
      <c r="R243" s="1767"/>
      <c r="S243" s="1766"/>
      <c r="T243" s="1766"/>
      <c r="U243" s="1766"/>
      <c r="V243" s="1766"/>
      <c r="W243" s="1767"/>
      <c r="X243" s="1766"/>
      <c r="Y243" s="1766"/>
      <c r="Z243" s="1768"/>
      <c r="AA243" s="1766"/>
      <c r="AB243" s="1799"/>
      <c r="AC243" s="1770"/>
      <c r="AD243" s="1771"/>
      <c r="AF243" s="13"/>
    </row>
    <row r="244" spans="1:32" s="5" customFormat="1">
      <c r="A244" s="1"/>
      <c r="B244" s="6"/>
      <c r="C244" s="4"/>
      <c r="D244" s="4"/>
      <c r="E244" s="4"/>
      <c r="F244" s="6"/>
      <c r="G244" s="6"/>
      <c r="H244" s="6"/>
      <c r="I244" s="6"/>
      <c r="K244" s="7"/>
      <c r="N244" s="6"/>
      <c r="O244" s="1"/>
      <c r="P244" s="6"/>
      <c r="Q244" s="1767"/>
      <c r="R244" s="1767"/>
      <c r="S244" s="1766"/>
      <c r="T244" s="1766"/>
      <c r="U244" s="1766"/>
      <c r="V244" s="1766"/>
      <c r="W244" s="1767"/>
      <c r="X244" s="1766"/>
      <c r="Y244" s="1766"/>
      <c r="Z244" s="1768"/>
      <c r="AA244" s="1766"/>
      <c r="AB244" s="1799"/>
      <c r="AC244" s="1770"/>
      <c r="AD244" s="1771"/>
      <c r="AF244" s="13"/>
    </row>
    <row r="245" spans="1:32" s="5" customFormat="1">
      <c r="A245" s="1"/>
      <c r="B245" s="6"/>
      <c r="C245" s="4"/>
      <c r="D245" s="4"/>
      <c r="E245" s="4"/>
      <c r="F245" s="6"/>
      <c r="G245" s="6"/>
      <c r="H245" s="6"/>
      <c r="I245" s="6"/>
      <c r="K245" s="7"/>
      <c r="N245" s="6"/>
      <c r="O245" s="1"/>
      <c r="P245" s="6"/>
      <c r="Q245" s="1767"/>
      <c r="R245" s="1767"/>
      <c r="S245" s="1766"/>
      <c r="T245" s="1766"/>
      <c r="U245" s="1766"/>
      <c r="V245" s="1766"/>
      <c r="W245" s="1767"/>
      <c r="X245" s="1766"/>
      <c r="Y245" s="1766"/>
      <c r="Z245" s="1768"/>
      <c r="AA245" s="1766"/>
      <c r="AB245" s="1799"/>
      <c r="AC245" s="1770"/>
      <c r="AD245" s="1771"/>
      <c r="AF245" s="13"/>
    </row>
    <row r="246" spans="1:32" s="5" customFormat="1">
      <c r="A246" s="1"/>
      <c r="B246" s="6"/>
      <c r="C246" s="4"/>
      <c r="D246" s="4"/>
      <c r="E246" s="4"/>
      <c r="F246" s="6"/>
      <c r="G246" s="6"/>
      <c r="H246" s="6"/>
      <c r="I246" s="6"/>
      <c r="K246" s="7"/>
      <c r="N246" s="6"/>
      <c r="O246" s="1"/>
      <c r="P246" s="6"/>
      <c r="Q246" s="1767"/>
      <c r="R246" s="1767"/>
      <c r="S246" s="1766"/>
      <c r="T246" s="1766"/>
      <c r="U246" s="1766"/>
      <c r="V246" s="1766"/>
      <c r="W246" s="1767"/>
      <c r="X246" s="1766"/>
      <c r="Y246" s="1766"/>
      <c r="Z246" s="1768"/>
      <c r="AA246" s="1766"/>
      <c r="AB246" s="1799"/>
      <c r="AC246" s="1770"/>
      <c r="AD246" s="1771"/>
      <c r="AF246" s="13"/>
    </row>
    <row r="247" spans="1:32" s="5" customFormat="1">
      <c r="A247" s="1"/>
      <c r="B247" s="6"/>
      <c r="C247" s="4"/>
      <c r="D247" s="4"/>
      <c r="E247" s="4"/>
      <c r="F247" s="6"/>
      <c r="G247" s="6"/>
      <c r="H247" s="6"/>
      <c r="I247" s="6"/>
      <c r="K247" s="7"/>
      <c r="N247" s="6"/>
      <c r="O247" s="1"/>
      <c r="P247" s="6"/>
      <c r="Q247" s="1767"/>
      <c r="R247" s="1767"/>
      <c r="S247" s="1766"/>
      <c r="T247" s="1766"/>
      <c r="U247" s="1766"/>
      <c r="V247" s="1766"/>
      <c r="W247" s="1767"/>
      <c r="X247" s="1766"/>
      <c r="Y247" s="1766"/>
      <c r="Z247" s="1768"/>
      <c r="AA247" s="1766"/>
      <c r="AB247" s="1799"/>
      <c r="AC247" s="1770"/>
      <c r="AD247" s="1771"/>
      <c r="AF247" s="13"/>
    </row>
    <row r="248" spans="1:32" s="5" customFormat="1">
      <c r="A248" s="1"/>
      <c r="B248" s="6"/>
      <c r="C248" s="4"/>
      <c r="D248" s="4"/>
      <c r="E248" s="4"/>
      <c r="F248" s="6"/>
      <c r="G248" s="6"/>
      <c r="H248" s="6"/>
      <c r="I248" s="6"/>
      <c r="K248" s="7"/>
      <c r="N248" s="6"/>
      <c r="O248" s="1"/>
      <c r="P248" s="6"/>
      <c r="Q248" s="1767"/>
      <c r="R248" s="1767"/>
      <c r="S248" s="1766"/>
      <c r="T248" s="1766"/>
      <c r="U248" s="1766"/>
      <c r="V248" s="1766"/>
      <c r="W248" s="1767"/>
      <c r="X248" s="1766"/>
      <c r="Y248" s="1766"/>
      <c r="Z248" s="1768"/>
      <c r="AA248" s="1766"/>
      <c r="AB248" s="1799"/>
      <c r="AC248" s="1770"/>
      <c r="AD248" s="1771"/>
      <c r="AF248" s="13"/>
    </row>
    <row r="249" spans="1:32" s="5" customFormat="1">
      <c r="A249" s="1"/>
      <c r="B249" s="6"/>
      <c r="C249" s="4"/>
      <c r="D249" s="4"/>
      <c r="E249" s="4"/>
      <c r="F249" s="6"/>
      <c r="G249" s="6"/>
      <c r="H249" s="6"/>
      <c r="I249" s="6"/>
      <c r="K249" s="7"/>
      <c r="N249" s="6"/>
      <c r="O249" s="1"/>
      <c r="P249" s="6"/>
      <c r="Q249" s="1767"/>
      <c r="R249" s="1767"/>
      <c r="S249" s="1766"/>
      <c r="T249" s="1766"/>
      <c r="U249" s="1766"/>
      <c r="V249" s="1766"/>
      <c r="W249" s="1767"/>
      <c r="X249" s="1766"/>
      <c r="Y249" s="1766"/>
      <c r="Z249" s="1768"/>
      <c r="AA249" s="1766"/>
      <c r="AB249" s="1799"/>
      <c r="AC249" s="1770"/>
      <c r="AD249" s="1771"/>
      <c r="AF249" s="13"/>
    </row>
    <row r="250" spans="1:32" s="5" customFormat="1">
      <c r="A250" s="1"/>
      <c r="B250" s="6"/>
      <c r="C250" s="4"/>
      <c r="D250" s="4"/>
      <c r="E250" s="4"/>
      <c r="F250" s="6"/>
      <c r="G250" s="6"/>
      <c r="H250" s="6"/>
      <c r="I250" s="6"/>
      <c r="K250" s="7"/>
      <c r="N250" s="6"/>
      <c r="O250" s="1"/>
      <c r="P250" s="6"/>
      <c r="Q250" s="1767"/>
      <c r="R250" s="1767"/>
      <c r="S250" s="1766"/>
      <c r="T250" s="1766"/>
      <c r="U250" s="1766"/>
      <c r="V250" s="1766"/>
      <c r="W250" s="1767"/>
      <c r="X250" s="1766"/>
      <c r="Y250" s="1766"/>
      <c r="Z250" s="1768"/>
      <c r="AA250" s="1766"/>
      <c r="AB250" s="1799"/>
      <c r="AC250" s="1770"/>
      <c r="AD250" s="1771"/>
      <c r="AF250" s="13"/>
    </row>
    <row r="251" spans="1:32" s="5" customFormat="1">
      <c r="A251" s="1"/>
      <c r="B251" s="6"/>
      <c r="C251" s="4"/>
      <c r="D251" s="4"/>
      <c r="E251" s="4"/>
      <c r="F251" s="6"/>
      <c r="G251" s="6"/>
      <c r="H251" s="6"/>
      <c r="I251" s="6"/>
      <c r="K251" s="7"/>
      <c r="N251" s="6"/>
      <c r="O251" s="1"/>
      <c r="P251" s="6"/>
      <c r="Q251" s="1767"/>
      <c r="R251" s="1767"/>
      <c r="S251" s="1766"/>
      <c r="T251" s="1766"/>
      <c r="U251" s="1766"/>
      <c r="V251" s="1766"/>
      <c r="W251" s="1767"/>
      <c r="X251" s="1766"/>
      <c r="Y251" s="1766"/>
      <c r="Z251" s="1768"/>
      <c r="AA251" s="1766"/>
      <c r="AB251" s="1799"/>
      <c r="AC251" s="1770"/>
      <c r="AD251" s="1771"/>
      <c r="AF251" s="13"/>
    </row>
    <row r="252" spans="1:32" s="5" customFormat="1">
      <c r="A252" s="1"/>
      <c r="B252" s="6"/>
      <c r="C252" s="4"/>
      <c r="D252" s="4"/>
      <c r="E252" s="4"/>
      <c r="F252" s="6"/>
      <c r="G252" s="6"/>
      <c r="H252" s="6"/>
      <c r="I252" s="6"/>
      <c r="K252" s="7"/>
      <c r="N252" s="6"/>
      <c r="O252" s="1"/>
      <c r="P252" s="6"/>
      <c r="Q252" s="1767"/>
      <c r="R252" s="1767"/>
      <c r="S252" s="1766"/>
      <c r="T252" s="1766"/>
      <c r="U252" s="1766"/>
      <c r="V252" s="1766"/>
      <c r="W252" s="1767"/>
      <c r="X252" s="1766"/>
      <c r="Y252" s="1766"/>
      <c r="Z252" s="1768"/>
      <c r="AA252" s="1766"/>
      <c r="AB252" s="1799"/>
      <c r="AC252" s="1770"/>
      <c r="AD252" s="1771"/>
      <c r="AF252" s="13"/>
    </row>
    <row r="253" spans="1:32" s="5" customFormat="1">
      <c r="A253" s="1"/>
      <c r="B253" s="6"/>
      <c r="C253" s="4"/>
      <c r="D253" s="4"/>
      <c r="E253" s="4"/>
      <c r="F253" s="6"/>
      <c r="G253" s="6"/>
      <c r="H253" s="6"/>
      <c r="I253" s="6"/>
      <c r="K253" s="7"/>
      <c r="N253" s="6"/>
      <c r="O253" s="1"/>
      <c r="P253" s="6"/>
      <c r="Q253" s="1767"/>
      <c r="R253" s="1767"/>
      <c r="S253" s="1766"/>
      <c r="T253" s="1766"/>
      <c r="U253" s="1766"/>
      <c r="V253" s="1766"/>
      <c r="W253" s="1767"/>
      <c r="X253" s="1766"/>
      <c r="Y253" s="1766"/>
      <c r="Z253" s="1768"/>
      <c r="AA253" s="1766"/>
      <c r="AB253" s="1799"/>
      <c r="AC253" s="1770"/>
      <c r="AD253" s="1771"/>
      <c r="AF253" s="13"/>
    </row>
    <row r="254" spans="1:32" s="5" customFormat="1">
      <c r="A254" s="1"/>
      <c r="B254" s="6"/>
      <c r="C254" s="4"/>
      <c r="D254" s="4"/>
      <c r="E254" s="4"/>
      <c r="F254" s="6"/>
      <c r="G254" s="6"/>
      <c r="H254" s="6"/>
      <c r="I254" s="6"/>
      <c r="K254" s="7"/>
      <c r="N254" s="6"/>
      <c r="O254" s="1"/>
      <c r="P254" s="6"/>
      <c r="Q254" s="1767"/>
      <c r="R254" s="1767"/>
      <c r="S254" s="1766"/>
      <c r="T254" s="1766"/>
      <c r="U254" s="1766"/>
      <c r="V254" s="1766"/>
      <c r="W254" s="1767"/>
      <c r="X254" s="1766"/>
      <c r="Y254" s="1766"/>
      <c r="Z254" s="1768"/>
      <c r="AA254" s="1766"/>
      <c r="AB254" s="1799"/>
      <c r="AC254" s="1770"/>
      <c r="AD254" s="1771"/>
      <c r="AF254" s="13"/>
    </row>
    <row r="255" spans="1:32" s="5" customFormat="1">
      <c r="A255" s="1"/>
      <c r="B255" s="6"/>
      <c r="C255" s="4"/>
      <c r="D255" s="4"/>
      <c r="E255" s="4"/>
      <c r="F255" s="6"/>
      <c r="G255" s="6"/>
      <c r="H255" s="6"/>
      <c r="I255" s="6"/>
      <c r="K255" s="7"/>
      <c r="N255" s="6"/>
      <c r="O255" s="1"/>
      <c r="P255" s="6"/>
      <c r="Q255" s="1767"/>
      <c r="R255" s="1767"/>
      <c r="S255" s="1766"/>
      <c r="T255" s="1766"/>
      <c r="U255" s="1766"/>
      <c r="V255" s="1766"/>
      <c r="W255" s="1767"/>
      <c r="X255" s="1766"/>
      <c r="Y255" s="1766"/>
      <c r="Z255" s="1768"/>
      <c r="AA255" s="1766"/>
      <c r="AB255" s="1799"/>
      <c r="AC255" s="1770"/>
      <c r="AD255" s="1771"/>
      <c r="AF255" s="13"/>
    </row>
    <row r="256" spans="1:32" s="5" customFormat="1">
      <c r="A256" s="1"/>
      <c r="B256" s="6"/>
      <c r="C256" s="4"/>
      <c r="D256" s="4"/>
      <c r="E256" s="4"/>
      <c r="F256" s="6"/>
      <c r="G256" s="6"/>
      <c r="H256" s="6"/>
      <c r="I256" s="6"/>
      <c r="K256" s="7"/>
      <c r="N256" s="6"/>
      <c r="O256" s="1"/>
      <c r="P256" s="6"/>
      <c r="Q256" s="1767"/>
      <c r="R256" s="1767"/>
      <c r="S256" s="1766"/>
      <c r="T256" s="1766"/>
      <c r="U256" s="1766"/>
      <c r="V256" s="1766"/>
      <c r="W256" s="1767"/>
      <c r="X256" s="1766"/>
      <c r="Y256" s="1766"/>
      <c r="Z256" s="1768"/>
      <c r="AA256" s="1766"/>
      <c r="AB256" s="1799"/>
      <c r="AC256" s="1770"/>
      <c r="AD256" s="1771"/>
      <c r="AF256" s="13"/>
    </row>
    <row r="257" spans="1:32" s="5" customFormat="1">
      <c r="A257" s="1"/>
      <c r="B257" s="6"/>
      <c r="C257" s="4"/>
      <c r="D257" s="4"/>
      <c r="E257" s="4"/>
      <c r="F257" s="6"/>
      <c r="G257" s="6"/>
      <c r="H257" s="6"/>
      <c r="I257" s="6"/>
      <c r="K257" s="7"/>
      <c r="N257" s="6"/>
      <c r="O257" s="1"/>
      <c r="P257" s="6"/>
      <c r="Q257" s="1767"/>
      <c r="R257" s="1767"/>
      <c r="S257" s="1766"/>
      <c r="T257" s="1766"/>
      <c r="U257" s="1766"/>
      <c r="V257" s="1766"/>
      <c r="W257" s="1767"/>
      <c r="X257" s="1766"/>
      <c r="Y257" s="1766"/>
      <c r="Z257" s="1768"/>
      <c r="AA257" s="1766"/>
      <c r="AB257" s="1799"/>
      <c r="AC257" s="1770"/>
      <c r="AD257" s="1771"/>
      <c r="AF257" s="13"/>
    </row>
    <row r="258" spans="1:32" s="5" customFormat="1">
      <c r="A258" s="1"/>
      <c r="B258" s="6"/>
      <c r="C258" s="4"/>
      <c r="D258" s="4"/>
      <c r="E258" s="4"/>
      <c r="F258" s="6"/>
      <c r="G258" s="6"/>
      <c r="H258" s="6"/>
      <c r="I258" s="6"/>
      <c r="K258" s="7"/>
      <c r="N258" s="6"/>
      <c r="O258" s="1"/>
      <c r="P258" s="6"/>
      <c r="Q258" s="1767"/>
      <c r="R258" s="1767"/>
      <c r="S258" s="1766"/>
      <c r="T258" s="1766"/>
      <c r="U258" s="1766"/>
      <c r="V258" s="1766"/>
      <c r="W258" s="1767"/>
      <c r="X258" s="1766"/>
      <c r="Y258" s="1766"/>
      <c r="Z258" s="1768"/>
      <c r="AA258" s="1766"/>
      <c r="AB258" s="1799"/>
      <c r="AC258" s="1770"/>
      <c r="AD258" s="1771"/>
      <c r="AF258" s="13"/>
    </row>
    <row r="259" spans="1:32" s="5" customFormat="1">
      <c r="A259" s="1"/>
      <c r="B259" s="6"/>
      <c r="C259" s="4"/>
      <c r="D259" s="4"/>
      <c r="E259" s="4"/>
      <c r="F259" s="6"/>
      <c r="G259" s="6"/>
      <c r="H259" s="6"/>
      <c r="I259" s="6"/>
      <c r="K259" s="7"/>
      <c r="N259" s="6"/>
      <c r="O259" s="1"/>
      <c r="P259" s="6"/>
      <c r="Q259" s="1767"/>
      <c r="R259" s="1767"/>
      <c r="S259" s="1766"/>
      <c r="T259" s="1766"/>
      <c r="U259" s="1766"/>
      <c r="V259" s="1766"/>
      <c r="W259" s="1767"/>
      <c r="X259" s="1766"/>
      <c r="Y259" s="1766"/>
      <c r="Z259" s="1768"/>
      <c r="AA259" s="1766"/>
      <c r="AB259" s="1799"/>
      <c r="AC259" s="1770"/>
      <c r="AD259" s="1771"/>
      <c r="AF259" s="13"/>
    </row>
    <row r="260" spans="1:32" s="5" customFormat="1">
      <c r="A260" s="1"/>
      <c r="B260" s="6"/>
      <c r="C260" s="4"/>
      <c r="D260" s="4"/>
      <c r="E260" s="4"/>
      <c r="F260" s="6"/>
      <c r="G260" s="6"/>
      <c r="H260" s="6"/>
      <c r="I260" s="6"/>
      <c r="K260" s="7"/>
      <c r="N260" s="6"/>
      <c r="O260" s="1"/>
      <c r="P260" s="6"/>
      <c r="Q260" s="1767"/>
      <c r="R260" s="1767"/>
      <c r="S260" s="1766"/>
      <c r="T260" s="1766"/>
      <c r="U260" s="1766"/>
      <c r="V260" s="1766"/>
      <c r="W260" s="1767"/>
      <c r="X260" s="1766"/>
      <c r="Y260" s="1766"/>
      <c r="Z260" s="1768"/>
      <c r="AA260" s="1766"/>
      <c r="AB260" s="1799"/>
      <c r="AC260" s="1770"/>
      <c r="AD260" s="1771"/>
      <c r="AF260" s="13"/>
    </row>
    <row r="261" spans="1:32" s="5" customFormat="1">
      <c r="A261" s="1"/>
      <c r="B261" s="6"/>
      <c r="C261" s="4"/>
      <c r="D261" s="4"/>
      <c r="E261" s="4"/>
      <c r="F261" s="6"/>
      <c r="G261" s="6"/>
      <c r="H261" s="6"/>
      <c r="I261" s="6"/>
      <c r="K261" s="7"/>
      <c r="N261" s="6"/>
      <c r="O261" s="1"/>
      <c r="P261" s="6"/>
      <c r="Q261" s="1767"/>
      <c r="R261" s="1767"/>
      <c r="S261" s="1766"/>
      <c r="T261" s="1766"/>
      <c r="U261" s="1766"/>
      <c r="V261" s="1766"/>
      <c r="W261" s="1767"/>
      <c r="X261" s="1766"/>
      <c r="Y261" s="1766"/>
      <c r="Z261" s="1768"/>
      <c r="AA261" s="1766"/>
      <c r="AB261" s="1799"/>
      <c r="AC261" s="1770"/>
      <c r="AD261" s="1771"/>
      <c r="AF261" s="13"/>
    </row>
    <row r="262" spans="1:32" s="5" customFormat="1">
      <c r="A262" s="1"/>
      <c r="B262" s="6"/>
      <c r="C262" s="4"/>
      <c r="D262" s="4"/>
      <c r="E262" s="4"/>
      <c r="F262" s="6"/>
      <c r="G262" s="6"/>
      <c r="H262" s="6"/>
      <c r="I262" s="6"/>
      <c r="K262" s="7"/>
      <c r="N262" s="6"/>
      <c r="O262" s="1"/>
      <c r="P262" s="6"/>
      <c r="Q262" s="1767"/>
      <c r="R262" s="1767"/>
      <c r="S262" s="1766"/>
      <c r="T262" s="1766"/>
      <c r="U262" s="1766"/>
      <c r="V262" s="1766"/>
      <c r="W262" s="1767"/>
      <c r="X262" s="1766"/>
      <c r="Y262" s="1766"/>
      <c r="Z262" s="1768"/>
      <c r="AA262" s="1766"/>
      <c r="AB262" s="1799"/>
      <c r="AC262" s="1770"/>
      <c r="AD262" s="1771"/>
      <c r="AF262" s="13"/>
    </row>
    <row r="263" spans="1:32" s="5" customFormat="1">
      <c r="A263" s="1"/>
      <c r="B263" s="6"/>
      <c r="C263" s="4"/>
      <c r="D263" s="4"/>
      <c r="E263" s="4"/>
      <c r="F263" s="6"/>
      <c r="G263" s="6"/>
      <c r="H263" s="6"/>
      <c r="I263" s="6"/>
      <c r="K263" s="7"/>
      <c r="N263" s="6"/>
      <c r="O263" s="1"/>
      <c r="P263" s="6"/>
      <c r="Q263" s="1767"/>
      <c r="R263" s="1767"/>
      <c r="S263" s="1766"/>
      <c r="T263" s="1766"/>
      <c r="U263" s="1766"/>
      <c r="V263" s="1766"/>
      <c r="W263" s="1767"/>
      <c r="X263" s="1766"/>
      <c r="Y263" s="1766"/>
      <c r="Z263" s="1768"/>
      <c r="AA263" s="1766"/>
      <c r="AB263" s="1799"/>
      <c r="AC263" s="1770"/>
      <c r="AD263" s="1771"/>
      <c r="AF263" s="13"/>
    </row>
    <row r="264" spans="1:32" s="5" customFormat="1">
      <c r="A264" s="1"/>
      <c r="B264" s="6"/>
      <c r="C264" s="4"/>
      <c r="D264" s="4"/>
      <c r="E264" s="4"/>
      <c r="F264" s="6"/>
      <c r="G264" s="6"/>
      <c r="H264" s="6"/>
      <c r="I264" s="6"/>
      <c r="K264" s="7"/>
      <c r="N264" s="6"/>
      <c r="O264" s="1"/>
      <c r="P264" s="6"/>
      <c r="Q264" s="1767"/>
      <c r="R264" s="1767"/>
      <c r="S264" s="1766"/>
      <c r="T264" s="1766"/>
      <c r="U264" s="1766"/>
      <c r="V264" s="1766"/>
      <c r="W264" s="1767"/>
      <c r="X264" s="1766"/>
      <c r="Y264" s="1766"/>
      <c r="Z264" s="1768"/>
      <c r="AA264" s="1766"/>
      <c r="AB264" s="1799"/>
      <c r="AC264" s="1770"/>
      <c r="AD264" s="1771"/>
      <c r="AF264" s="13"/>
    </row>
    <row r="265" spans="1:32" s="5" customFormat="1">
      <c r="A265" s="1"/>
      <c r="B265" s="6"/>
      <c r="C265" s="4"/>
      <c r="D265" s="4"/>
      <c r="E265" s="4"/>
      <c r="F265" s="6"/>
      <c r="G265" s="6"/>
      <c r="H265" s="6"/>
      <c r="I265" s="6"/>
      <c r="K265" s="7"/>
      <c r="N265" s="6"/>
      <c r="O265" s="1"/>
      <c r="P265" s="6"/>
      <c r="Q265" s="1767"/>
      <c r="R265" s="1767"/>
      <c r="S265" s="1766"/>
      <c r="T265" s="1766"/>
      <c r="U265" s="1766"/>
      <c r="V265" s="1766"/>
      <c r="W265" s="1767"/>
      <c r="X265" s="1766"/>
      <c r="Y265" s="1766"/>
      <c r="Z265" s="1768"/>
      <c r="AA265" s="1766"/>
      <c r="AB265" s="1799"/>
      <c r="AC265" s="1770"/>
      <c r="AD265" s="1771"/>
      <c r="AF265" s="13"/>
    </row>
    <row r="266" spans="1:32" s="5" customFormat="1">
      <c r="A266" s="1"/>
      <c r="B266" s="6"/>
      <c r="C266" s="4"/>
      <c r="D266" s="4"/>
      <c r="E266" s="4"/>
      <c r="F266" s="6"/>
      <c r="G266" s="6"/>
      <c r="H266" s="6"/>
      <c r="I266" s="6"/>
      <c r="K266" s="7"/>
      <c r="N266" s="6"/>
      <c r="O266" s="1"/>
      <c r="P266" s="6"/>
      <c r="Q266" s="1767"/>
      <c r="R266" s="1767"/>
      <c r="S266" s="1766"/>
      <c r="T266" s="1766"/>
      <c r="U266" s="1766"/>
      <c r="V266" s="1766"/>
      <c r="W266" s="1767"/>
      <c r="X266" s="1766"/>
      <c r="Y266" s="1766"/>
      <c r="Z266" s="1768"/>
      <c r="AA266" s="1766"/>
      <c r="AB266" s="1799"/>
      <c r="AC266" s="1770"/>
      <c r="AD266" s="1771"/>
      <c r="AF266" s="13"/>
    </row>
    <row r="267" spans="1:32" s="5" customFormat="1">
      <c r="A267" s="1"/>
      <c r="B267" s="6"/>
      <c r="C267" s="4"/>
      <c r="D267" s="4"/>
      <c r="E267" s="4"/>
      <c r="F267" s="6"/>
      <c r="G267" s="6"/>
      <c r="H267" s="6"/>
      <c r="I267" s="6"/>
      <c r="K267" s="7"/>
      <c r="N267" s="6"/>
      <c r="O267" s="1"/>
      <c r="P267" s="6"/>
      <c r="Q267" s="1767"/>
      <c r="R267" s="1767"/>
      <c r="S267" s="1766"/>
      <c r="T267" s="1766"/>
      <c r="U267" s="1766"/>
      <c r="V267" s="1766"/>
      <c r="W267" s="1767"/>
      <c r="X267" s="1766"/>
      <c r="Y267" s="1766"/>
      <c r="Z267" s="1768"/>
      <c r="AA267" s="1766"/>
      <c r="AB267" s="1799"/>
      <c r="AC267" s="1770"/>
      <c r="AD267" s="1771"/>
      <c r="AF267" s="13"/>
    </row>
    <row r="268" spans="1:32" s="5" customFormat="1">
      <c r="A268" s="1"/>
      <c r="B268" s="6"/>
      <c r="C268" s="4"/>
      <c r="D268" s="4"/>
      <c r="E268" s="4"/>
      <c r="F268" s="6"/>
      <c r="G268" s="6"/>
      <c r="H268" s="6"/>
      <c r="I268" s="6"/>
      <c r="K268" s="7"/>
      <c r="N268" s="6"/>
      <c r="O268" s="1"/>
      <c r="P268" s="6"/>
      <c r="Q268" s="1767"/>
      <c r="R268" s="1767"/>
      <c r="S268" s="1766"/>
      <c r="T268" s="1766"/>
      <c r="U268" s="1766"/>
      <c r="V268" s="1766"/>
      <c r="W268" s="1767"/>
      <c r="X268" s="1766"/>
      <c r="Y268" s="1766"/>
      <c r="Z268" s="1768"/>
      <c r="AA268" s="1766"/>
      <c r="AB268" s="1799"/>
      <c r="AC268" s="1770"/>
      <c r="AD268" s="1771"/>
      <c r="AF268" s="13"/>
    </row>
    <row r="269" spans="1:32" s="5" customFormat="1">
      <c r="A269" s="1"/>
      <c r="B269" s="6"/>
      <c r="C269" s="4"/>
      <c r="D269" s="4"/>
      <c r="E269" s="4"/>
      <c r="F269" s="6"/>
      <c r="G269" s="6"/>
      <c r="H269" s="6"/>
      <c r="I269" s="6"/>
      <c r="K269" s="7"/>
      <c r="N269" s="6"/>
      <c r="O269" s="1"/>
      <c r="P269" s="6"/>
      <c r="Q269" s="1767"/>
      <c r="R269" s="1767"/>
      <c r="S269" s="1766"/>
      <c r="T269" s="1766"/>
      <c r="U269" s="1766"/>
      <c r="V269" s="1766"/>
      <c r="W269" s="1767"/>
      <c r="X269" s="1766"/>
      <c r="Y269" s="1766"/>
      <c r="Z269" s="1768"/>
      <c r="AA269" s="1766"/>
      <c r="AB269" s="1799"/>
      <c r="AC269" s="1770"/>
      <c r="AD269" s="1771"/>
      <c r="AF269" s="13"/>
    </row>
    <row r="270" spans="1:32" s="5" customFormat="1">
      <c r="A270" s="1"/>
      <c r="B270" s="6"/>
      <c r="C270" s="4"/>
      <c r="D270" s="4"/>
      <c r="E270" s="4"/>
      <c r="F270" s="6"/>
      <c r="G270" s="6"/>
      <c r="H270" s="6"/>
      <c r="I270" s="6"/>
      <c r="K270" s="7"/>
      <c r="N270" s="6"/>
      <c r="O270" s="1"/>
      <c r="P270" s="6"/>
      <c r="Q270" s="1767"/>
      <c r="R270" s="1767"/>
      <c r="S270" s="1766"/>
      <c r="T270" s="1766"/>
      <c r="U270" s="1766"/>
      <c r="V270" s="1766"/>
      <c r="W270" s="1767"/>
      <c r="X270" s="1766"/>
      <c r="Y270" s="1766"/>
      <c r="Z270" s="1768"/>
      <c r="AA270" s="1766"/>
      <c r="AB270" s="1799"/>
      <c r="AC270" s="1770"/>
      <c r="AD270" s="1771"/>
      <c r="AF270" s="13"/>
    </row>
    <row r="271" spans="1:32" s="5" customFormat="1">
      <c r="A271" s="1"/>
      <c r="B271" s="6"/>
      <c r="C271" s="4"/>
      <c r="D271" s="4"/>
      <c r="E271" s="4"/>
      <c r="F271" s="6"/>
      <c r="G271" s="6"/>
      <c r="H271" s="6"/>
      <c r="I271" s="6"/>
      <c r="K271" s="7"/>
      <c r="N271" s="6"/>
      <c r="O271" s="1"/>
      <c r="P271" s="6"/>
      <c r="Q271" s="1767"/>
      <c r="R271" s="1767"/>
      <c r="S271" s="1766"/>
      <c r="T271" s="1766"/>
      <c r="U271" s="1766"/>
      <c r="V271" s="1766"/>
      <c r="W271" s="1767"/>
      <c r="X271" s="1766"/>
      <c r="Y271" s="1766"/>
      <c r="Z271" s="1768"/>
      <c r="AA271" s="1766"/>
      <c r="AB271" s="1799"/>
      <c r="AC271" s="1770"/>
      <c r="AD271" s="1771"/>
      <c r="AF271" s="13"/>
    </row>
    <row r="272" spans="1:32" s="5" customFormat="1">
      <c r="A272" s="1"/>
      <c r="B272" s="6"/>
      <c r="C272" s="4"/>
      <c r="D272" s="4"/>
      <c r="E272" s="4"/>
      <c r="F272" s="6"/>
      <c r="G272" s="6"/>
      <c r="H272" s="6"/>
      <c r="I272" s="6"/>
      <c r="K272" s="7"/>
      <c r="N272" s="6"/>
      <c r="O272" s="1"/>
      <c r="P272" s="6"/>
      <c r="Q272" s="1767"/>
      <c r="R272" s="1767"/>
      <c r="S272" s="1766"/>
      <c r="T272" s="1766"/>
      <c r="U272" s="1766"/>
      <c r="V272" s="1766"/>
      <c r="W272" s="1767"/>
      <c r="X272" s="1766"/>
      <c r="Y272" s="1766"/>
      <c r="Z272" s="1768"/>
      <c r="AA272" s="1766"/>
      <c r="AB272" s="1799"/>
      <c r="AC272" s="1770"/>
      <c r="AD272" s="1771"/>
      <c r="AF272" s="13"/>
    </row>
    <row r="273" spans="1:32" s="5" customFormat="1">
      <c r="A273" s="1"/>
      <c r="B273" s="6"/>
      <c r="C273" s="4"/>
      <c r="D273" s="4"/>
      <c r="E273" s="4"/>
      <c r="F273" s="6"/>
      <c r="G273" s="6"/>
      <c r="H273" s="6"/>
      <c r="I273" s="6"/>
      <c r="K273" s="7"/>
      <c r="N273" s="6"/>
      <c r="O273" s="1"/>
      <c r="P273" s="6"/>
      <c r="Q273" s="1767"/>
      <c r="R273" s="1767"/>
      <c r="S273" s="1766"/>
      <c r="T273" s="1766"/>
      <c r="U273" s="1766"/>
      <c r="V273" s="1766"/>
      <c r="W273" s="1767"/>
      <c r="X273" s="1766"/>
      <c r="Y273" s="1766"/>
      <c r="Z273" s="1768"/>
      <c r="AA273" s="1766"/>
      <c r="AB273" s="1799"/>
      <c r="AC273" s="1770"/>
      <c r="AD273" s="1771"/>
      <c r="AF273" s="13"/>
    </row>
    <row r="274" spans="1:32" s="5" customFormat="1">
      <c r="A274" s="1"/>
      <c r="B274" s="6"/>
      <c r="C274" s="4"/>
      <c r="D274" s="4"/>
      <c r="E274" s="4"/>
      <c r="F274" s="6"/>
      <c r="G274" s="6"/>
      <c r="H274" s="6"/>
      <c r="I274" s="6"/>
      <c r="K274" s="7"/>
      <c r="N274" s="6"/>
      <c r="O274" s="1"/>
      <c r="P274" s="6"/>
      <c r="Q274" s="1767"/>
      <c r="R274" s="1767"/>
      <c r="S274" s="1766"/>
      <c r="T274" s="1766"/>
      <c r="U274" s="1766"/>
      <c r="V274" s="1766"/>
      <c r="W274" s="1767"/>
      <c r="X274" s="1766"/>
      <c r="Y274" s="1766"/>
      <c r="Z274" s="1768"/>
      <c r="AA274" s="1766"/>
      <c r="AB274" s="1799"/>
      <c r="AC274" s="1770"/>
      <c r="AD274" s="1771"/>
      <c r="AF274" s="13"/>
    </row>
    <row r="275" spans="1:32" s="5" customFormat="1">
      <c r="A275" s="1"/>
      <c r="B275" s="6"/>
      <c r="C275" s="4"/>
      <c r="D275" s="4"/>
      <c r="E275" s="4"/>
      <c r="F275" s="6"/>
      <c r="G275" s="6"/>
      <c r="H275" s="6"/>
      <c r="I275" s="6"/>
      <c r="K275" s="7"/>
      <c r="N275" s="6"/>
      <c r="O275" s="1"/>
      <c r="P275" s="6"/>
      <c r="Q275" s="1767"/>
      <c r="R275" s="1767"/>
      <c r="S275" s="1766"/>
      <c r="T275" s="1766"/>
      <c r="U275" s="1766"/>
      <c r="V275" s="1766"/>
      <c r="W275" s="1767"/>
      <c r="X275" s="1766"/>
      <c r="Y275" s="1766"/>
      <c r="Z275" s="1768"/>
      <c r="AA275" s="1766"/>
      <c r="AB275" s="1799"/>
      <c r="AC275" s="1770"/>
      <c r="AD275" s="1771"/>
      <c r="AF275" s="13"/>
    </row>
    <row r="276" spans="1:32" s="5" customFormat="1">
      <c r="A276" s="1"/>
      <c r="B276" s="6"/>
      <c r="C276" s="4"/>
      <c r="D276" s="4"/>
      <c r="E276" s="4"/>
      <c r="F276" s="6"/>
      <c r="G276" s="6"/>
      <c r="H276" s="6"/>
      <c r="I276" s="6"/>
      <c r="K276" s="7"/>
      <c r="N276" s="6"/>
      <c r="O276" s="1"/>
      <c r="P276" s="6"/>
      <c r="Q276" s="1767"/>
      <c r="R276" s="1767"/>
      <c r="S276" s="1766"/>
      <c r="T276" s="1766"/>
      <c r="U276" s="1766"/>
      <c r="V276" s="1766"/>
      <c r="W276" s="1767"/>
      <c r="X276" s="1766"/>
      <c r="Y276" s="1766"/>
      <c r="Z276" s="1768"/>
      <c r="AA276" s="1766"/>
      <c r="AB276" s="1799"/>
      <c r="AC276" s="1770"/>
      <c r="AD276" s="1771"/>
      <c r="AF276" s="13"/>
    </row>
    <row r="277" spans="1:32" s="5" customFormat="1">
      <c r="A277" s="1"/>
      <c r="B277" s="6"/>
      <c r="C277" s="4"/>
      <c r="D277" s="4"/>
      <c r="E277" s="4"/>
      <c r="F277" s="6"/>
      <c r="G277" s="6"/>
      <c r="H277" s="6"/>
      <c r="I277" s="6"/>
      <c r="K277" s="7"/>
      <c r="N277" s="6"/>
      <c r="O277" s="1"/>
      <c r="P277" s="6"/>
      <c r="Q277" s="1767"/>
      <c r="R277" s="1767"/>
      <c r="S277" s="1766"/>
      <c r="T277" s="1766"/>
      <c r="U277" s="1766"/>
      <c r="V277" s="1766"/>
      <c r="W277" s="1767"/>
      <c r="X277" s="1766"/>
      <c r="Y277" s="1766"/>
      <c r="Z277" s="1768"/>
      <c r="AA277" s="1766"/>
      <c r="AB277" s="1799"/>
      <c r="AC277" s="1770"/>
      <c r="AD277" s="1771"/>
      <c r="AF277" s="13"/>
    </row>
    <row r="278" spans="1:32" s="5" customFormat="1">
      <c r="A278" s="1"/>
      <c r="B278" s="6"/>
      <c r="C278" s="4"/>
      <c r="D278" s="4"/>
      <c r="E278" s="4"/>
      <c r="F278" s="6"/>
      <c r="G278" s="6"/>
      <c r="H278" s="6"/>
      <c r="I278" s="6"/>
      <c r="K278" s="7"/>
      <c r="N278" s="6"/>
      <c r="O278" s="1"/>
      <c r="P278" s="6"/>
      <c r="Q278" s="1767"/>
      <c r="R278" s="1767"/>
      <c r="S278" s="1766"/>
      <c r="T278" s="1766"/>
      <c r="U278" s="1766"/>
      <c r="V278" s="1766"/>
      <c r="W278" s="1767"/>
      <c r="X278" s="1766"/>
      <c r="Y278" s="1766"/>
      <c r="Z278" s="1768"/>
      <c r="AA278" s="1766"/>
      <c r="AB278" s="1799"/>
      <c r="AC278" s="1770"/>
      <c r="AD278" s="1771"/>
      <c r="AF278" s="13"/>
    </row>
    <row r="279" spans="1:32" s="5" customFormat="1">
      <c r="A279" s="1"/>
      <c r="B279" s="6"/>
      <c r="C279" s="4"/>
      <c r="D279" s="4"/>
      <c r="E279" s="4"/>
      <c r="F279" s="6"/>
      <c r="G279" s="6"/>
      <c r="H279" s="6"/>
      <c r="I279" s="6"/>
      <c r="K279" s="7"/>
      <c r="N279" s="6"/>
      <c r="O279" s="1"/>
      <c r="P279" s="6"/>
      <c r="Q279" s="1767"/>
      <c r="R279" s="1767"/>
      <c r="S279" s="1766"/>
      <c r="T279" s="1766"/>
      <c r="U279" s="1766"/>
      <c r="V279" s="1766"/>
      <c r="W279" s="1767"/>
      <c r="X279" s="1766"/>
      <c r="Y279" s="1766"/>
      <c r="Z279" s="1768"/>
      <c r="AA279" s="1766"/>
      <c r="AB279" s="1799"/>
      <c r="AC279" s="1770"/>
      <c r="AD279" s="1771"/>
      <c r="AF279" s="13"/>
    </row>
    <row r="280" spans="1:32" s="5" customFormat="1">
      <c r="A280" s="1"/>
      <c r="B280" s="6"/>
      <c r="C280" s="4"/>
      <c r="D280" s="4"/>
      <c r="E280" s="4"/>
      <c r="F280" s="6"/>
      <c r="G280" s="6"/>
      <c r="H280" s="6"/>
      <c r="I280" s="6"/>
      <c r="K280" s="7"/>
      <c r="N280" s="6"/>
      <c r="O280" s="1"/>
      <c r="P280" s="6"/>
      <c r="Q280" s="1767"/>
      <c r="R280" s="1767"/>
      <c r="S280" s="1766"/>
      <c r="T280" s="1766"/>
      <c r="U280" s="1766"/>
      <c r="V280" s="1766"/>
      <c r="W280" s="1767"/>
      <c r="X280" s="1766"/>
      <c r="Y280" s="1766"/>
      <c r="Z280" s="1768"/>
      <c r="AA280" s="1766"/>
      <c r="AB280" s="1799"/>
      <c r="AC280" s="1770"/>
      <c r="AD280" s="1771"/>
      <c r="AF280" s="13"/>
    </row>
    <row r="281" spans="1:32" s="5" customFormat="1">
      <c r="A281" s="1"/>
      <c r="B281" s="6"/>
      <c r="C281" s="4"/>
      <c r="D281" s="4"/>
      <c r="E281" s="4"/>
      <c r="F281" s="6"/>
      <c r="G281" s="6"/>
      <c r="H281" s="6"/>
      <c r="I281" s="6"/>
      <c r="K281" s="7"/>
      <c r="N281" s="6"/>
      <c r="O281" s="1"/>
      <c r="P281" s="6"/>
      <c r="Q281" s="1767"/>
      <c r="R281" s="1767"/>
      <c r="S281" s="1766"/>
      <c r="T281" s="1766"/>
      <c r="U281" s="1766"/>
      <c r="V281" s="1766"/>
      <c r="W281" s="1767"/>
      <c r="X281" s="1766"/>
      <c r="Y281" s="1766"/>
      <c r="Z281" s="1768"/>
      <c r="AA281" s="1766"/>
      <c r="AB281" s="1799"/>
      <c r="AC281" s="1770"/>
      <c r="AD281" s="1771"/>
      <c r="AF281" s="13"/>
    </row>
    <row r="282" spans="1:32" s="5" customFormat="1">
      <c r="A282" s="1"/>
      <c r="B282" s="6"/>
      <c r="C282" s="4"/>
      <c r="D282" s="4"/>
      <c r="E282" s="4"/>
      <c r="F282" s="6"/>
      <c r="G282" s="6"/>
      <c r="H282" s="6"/>
      <c r="I282" s="6"/>
      <c r="K282" s="7"/>
      <c r="N282" s="6"/>
      <c r="O282" s="1"/>
      <c r="P282" s="6"/>
      <c r="Q282" s="1767"/>
      <c r="R282" s="1767"/>
      <c r="S282" s="1766"/>
      <c r="T282" s="1766"/>
      <c r="U282" s="1766"/>
      <c r="V282" s="1766"/>
      <c r="W282" s="1767"/>
      <c r="X282" s="1766"/>
      <c r="Y282" s="1766"/>
      <c r="Z282" s="1768"/>
      <c r="AA282" s="1766"/>
      <c r="AB282" s="1799"/>
      <c r="AC282" s="1770"/>
      <c r="AD282" s="1771"/>
      <c r="AF282" s="13"/>
    </row>
    <row r="283" spans="1:32" s="5" customFormat="1">
      <c r="A283" s="1"/>
      <c r="B283" s="6"/>
      <c r="C283" s="4"/>
      <c r="D283" s="4"/>
      <c r="E283" s="4"/>
      <c r="F283" s="6"/>
      <c r="G283" s="6"/>
      <c r="H283" s="6"/>
      <c r="I283" s="6"/>
      <c r="K283" s="7"/>
      <c r="N283" s="6"/>
      <c r="O283" s="1"/>
      <c r="P283" s="6"/>
      <c r="Q283" s="1767"/>
      <c r="R283" s="1767"/>
      <c r="S283" s="1766"/>
      <c r="T283" s="1766"/>
      <c r="U283" s="1766"/>
      <c r="V283" s="1766"/>
      <c r="W283" s="1767"/>
      <c r="X283" s="1766"/>
      <c r="Y283" s="1766"/>
      <c r="Z283" s="1768"/>
      <c r="AA283" s="1766"/>
      <c r="AB283" s="1799"/>
      <c r="AC283" s="1770"/>
      <c r="AD283" s="1771"/>
      <c r="AF283" s="13"/>
    </row>
    <row r="284" spans="1:32" s="5" customFormat="1">
      <c r="A284" s="1"/>
      <c r="B284" s="6"/>
      <c r="C284" s="4"/>
      <c r="D284" s="4"/>
      <c r="E284" s="4"/>
      <c r="F284" s="6"/>
      <c r="G284" s="6"/>
      <c r="H284" s="6"/>
      <c r="I284" s="6"/>
      <c r="K284" s="7"/>
      <c r="N284" s="6"/>
      <c r="O284" s="1"/>
      <c r="P284" s="6"/>
      <c r="Q284" s="1767"/>
      <c r="R284" s="1767"/>
      <c r="S284" s="1766"/>
      <c r="T284" s="1766"/>
      <c r="U284" s="1766"/>
      <c r="V284" s="1766"/>
      <c r="W284" s="1767"/>
      <c r="X284" s="1766"/>
      <c r="Y284" s="1766"/>
      <c r="Z284" s="1768"/>
      <c r="AA284" s="1766"/>
      <c r="AB284" s="1799"/>
      <c r="AC284" s="1770"/>
      <c r="AD284" s="1771"/>
      <c r="AF284" s="13"/>
    </row>
    <row r="285" spans="1:32" s="5" customFormat="1">
      <c r="A285" s="1"/>
      <c r="B285" s="6"/>
      <c r="C285" s="4"/>
      <c r="D285" s="4"/>
      <c r="E285" s="4"/>
      <c r="F285" s="6"/>
      <c r="G285" s="6"/>
      <c r="H285" s="6"/>
      <c r="I285" s="6"/>
      <c r="K285" s="7"/>
      <c r="N285" s="6"/>
      <c r="O285" s="1"/>
      <c r="P285" s="6"/>
      <c r="Q285" s="1767"/>
      <c r="R285" s="1767"/>
      <c r="S285" s="1766"/>
      <c r="T285" s="1766"/>
      <c r="U285" s="1766"/>
      <c r="V285" s="1766"/>
      <c r="W285" s="1767"/>
      <c r="X285" s="1766"/>
      <c r="Y285" s="1766"/>
      <c r="Z285" s="1768"/>
      <c r="AA285" s="1766"/>
      <c r="AB285" s="1799"/>
      <c r="AC285" s="1770"/>
      <c r="AD285" s="1771"/>
      <c r="AF285" s="13"/>
    </row>
    <row r="286" spans="1:32" s="5" customFormat="1">
      <c r="A286" s="1"/>
      <c r="B286" s="6"/>
      <c r="C286" s="4"/>
      <c r="D286" s="4"/>
      <c r="E286" s="4"/>
      <c r="F286" s="6"/>
      <c r="G286" s="6"/>
      <c r="H286" s="6"/>
      <c r="I286" s="6"/>
      <c r="K286" s="7"/>
      <c r="N286" s="6"/>
      <c r="O286" s="1"/>
      <c r="P286" s="6"/>
      <c r="Q286" s="1767"/>
      <c r="R286" s="1767"/>
      <c r="S286" s="1766"/>
      <c r="T286" s="1766"/>
      <c r="U286" s="1766"/>
      <c r="V286" s="1766"/>
      <c r="W286" s="1767"/>
      <c r="X286" s="1766"/>
      <c r="Y286" s="1766"/>
      <c r="Z286" s="1768"/>
      <c r="AA286" s="1766"/>
      <c r="AB286" s="1799"/>
      <c r="AC286" s="1770"/>
      <c r="AD286" s="1771"/>
      <c r="AF286" s="13"/>
    </row>
    <row r="287" spans="1:32" s="5" customFormat="1">
      <c r="A287" s="1"/>
      <c r="B287" s="6"/>
      <c r="C287" s="4"/>
      <c r="D287" s="4"/>
      <c r="E287" s="4"/>
      <c r="F287" s="6"/>
      <c r="G287" s="6"/>
      <c r="H287" s="6"/>
      <c r="I287" s="6"/>
      <c r="K287" s="7"/>
      <c r="N287" s="6"/>
      <c r="O287" s="1"/>
      <c r="P287" s="6"/>
      <c r="Q287" s="1767"/>
      <c r="R287" s="1767"/>
      <c r="S287" s="1766"/>
      <c r="T287" s="1766"/>
      <c r="U287" s="1766"/>
      <c r="V287" s="1766"/>
      <c r="W287" s="1767"/>
      <c r="X287" s="1766"/>
      <c r="Y287" s="1766"/>
      <c r="Z287" s="1768"/>
      <c r="AA287" s="1766"/>
      <c r="AB287" s="1799"/>
      <c r="AC287" s="1770"/>
      <c r="AD287" s="1771"/>
      <c r="AF287" s="13"/>
    </row>
    <row r="288" spans="1:32" s="5" customFormat="1">
      <c r="A288" s="1"/>
      <c r="B288" s="6"/>
      <c r="C288" s="4"/>
      <c r="D288" s="4"/>
      <c r="E288" s="4"/>
      <c r="F288" s="6"/>
      <c r="G288" s="6"/>
      <c r="H288" s="6"/>
      <c r="I288" s="6"/>
      <c r="K288" s="7"/>
      <c r="N288" s="6"/>
      <c r="O288" s="1"/>
      <c r="P288" s="6"/>
      <c r="Q288" s="1767"/>
      <c r="R288" s="1767"/>
      <c r="S288" s="1766"/>
      <c r="T288" s="1766"/>
      <c r="U288" s="1766"/>
      <c r="V288" s="1766"/>
      <c r="W288" s="1767"/>
      <c r="X288" s="1766"/>
      <c r="Y288" s="1766"/>
      <c r="Z288" s="1768"/>
      <c r="AA288" s="1766"/>
      <c r="AB288" s="1799"/>
      <c r="AC288" s="1770"/>
      <c r="AD288" s="1771"/>
      <c r="AF288" s="13"/>
    </row>
    <row r="289" spans="1:32" s="5" customFormat="1">
      <c r="A289" s="1"/>
      <c r="B289" s="6"/>
      <c r="C289" s="4"/>
      <c r="D289" s="4"/>
      <c r="E289" s="4"/>
      <c r="F289" s="6"/>
      <c r="G289" s="6"/>
      <c r="H289" s="6"/>
      <c r="I289" s="6"/>
      <c r="K289" s="7"/>
      <c r="N289" s="6"/>
      <c r="O289" s="1"/>
      <c r="P289" s="6"/>
      <c r="Q289" s="1767"/>
      <c r="R289" s="1767"/>
      <c r="S289" s="1766"/>
      <c r="T289" s="1766"/>
      <c r="U289" s="1766"/>
      <c r="V289" s="1766"/>
      <c r="W289" s="1767"/>
      <c r="X289" s="1766"/>
      <c r="Y289" s="1766"/>
      <c r="Z289" s="1768"/>
      <c r="AA289" s="1766"/>
      <c r="AB289" s="1799"/>
      <c r="AC289" s="1770"/>
      <c r="AD289" s="1771"/>
      <c r="AF289" s="13"/>
    </row>
    <row r="290" spans="1:32" s="5" customFormat="1">
      <c r="A290" s="1"/>
      <c r="B290" s="6"/>
      <c r="C290" s="4"/>
      <c r="D290" s="4"/>
      <c r="E290" s="4"/>
      <c r="F290" s="6"/>
      <c r="G290" s="6"/>
      <c r="H290" s="6"/>
      <c r="I290" s="6"/>
      <c r="K290" s="7"/>
      <c r="N290" s="6"/>
      <c r="O290" s="1"/>
      <c r="P290" s="6"/>
      <c r="Q290" s="1767"/>
      <c r="R290" s="1767"/>
      <c r="S290" s="1766"/>
      <c r="T290" s="1766"/>
      <c r="U290" s="1766"/>
      <c r="V290" s="1766"/>
      <c r="W290" s="1767"/>
      <c r="X290" s="1766"/>
      <c r="Y290" s="1766"/>
      <c r="Z290" s="1768"/>
      <c r="AA290" s="1766"/>
      <c r="AB290" s="1799"/>
      <c r="AC290" s="1770"/>
      <c r="AD290" s="1771"/>
      <c r="AF290" s="13"/>
    </row>
    <row r="291" spans="1:32" s="5" customFormat="1">
      <c r="A291" s="1"/>
      <c r="B291" s="6"/>
      <c r="C291" s="4"/>
      <c r="D291" s="4"/>
      <c r="E291" s="4"/>
      <c r="F291" s="6"/>
      <c r="G291" s="6"/>
      <c r="H291" s="6"/>
      <c r="I291" s="6"/>
      <c r="K291" s="7"/>
      <c r="N291" s="6"/>
      <c r="O291" s="1"/>
      <c r="P291" s="6"/>
      <c r="Q291" s="1767"/>
      <c r="R291" s="1767"/>
      <c r="S291" s="1766"/>
      <c r="T291" s="1766"/>
      <c r="U291" s="1766"/>
      <c r="V291" s="1766"/>
      <c r="W291" s="1767"/>
      <c r="X291" s="1766"/>
      <c r="Y291" s="1766"/>
      <c r="Z291" s="1768"/>
      <c r="AA291" s="1766"/>
      <c r="AB291" s="1799"/>
      <c r="AC291" s="1770"/>
      <c r="AD291" s="1771"/>
      <c r="AF291" s="13"/>
    </row>
    <row r="292" spans="1:32" s="5" customFormat="1">
      <c r="A292" s="1"/>
      <c r="B292" s="6"/>
      <c r="C292" s="4"/>
      <c r="D292" s="4"/>
      <c r="E292" s="4"/>
      <c r="F292" s="6"/>
      <c r="G292" s="6"/>
      <c r="H292" s="6"/>
      <c r="I292" s="6"/>
      <c r="K292" s="7"/>
      <c r="N292" s="6"/>
      <c r="O292" s="1"/>
      <c r="P292" s="6"/>
      <c r="Q292" s="1767"/>
      <c r="R292" s="1767"/>
      <c r="S292" s="1766"/>
      <c r="T292" s="1766"/>
      <c r="U292" s="1766"/>
      <c r="V292" s="1766"/>
      <c r="W292" s="1767"/>
      <c r="X292" s="1766"/>
      <c r="Y292" s="1766"/>
      <c r="Z292" s="1768"/>
      <c r="AA292" s="1766"/>
      <c r="AB292" s="1799"/>
      <c r="AC292" s="1770"/>
      <c r="AD292" s="1771"/>
      <c r="AF292" s="13"/>
    </row>
    <row r="293" spans="1:32" s="5" customFormat="1">
      <c r="A293" s="1"/>
      <c r="B293" s="6"/>
      <c r="C293" s="4"/>
      <c r="D293" s="4"/>
      <c r="E293" s="4"/>
      <c r="F293" s="6"/>
      <c r="G293" s="6"/>
      <c r="H293" s="6"/>
      <c r="I293" s="6"/>
      <c r="K293" s="7"/>
      <c r="N293" s="6"/>
      <c r="O293" s="1"/>
      <c r="P293" s="6"/>
      <c r="Q293" s="1767"/>
      <c r="R293" s="1767"/>
      <c r="S293" s="1766"/>
      <c r="T293" s="1766"/>
      <c r="U293" s="1766"/>
      <c r="V293" s="1766"/>
      <c r="W293" s="1767"/>
      <c r="X293" s="1766"/>
      <c r="Y293" s="1766"/>
      <c r="Z293" s="1768"/>
      <c r="AA293" s="1766"/>
      <c r="AB293" s="1799"/>
      <c r="AC293" s="1770"/>
      <c r="AD293" s="1771"/>
      <c r="AF293" s="13"/>
    </row>
    <row r="294" spans="1:32" s="5" customFormat="1">
      <c r="A294" s="1"/>
      <c r="B294" s="6"/>
      <c r="C294" s="4"/>
      <c r="D294" s="4"/>
      <c r="E294" s="4"/>
      <c r="F294" s="6"/>
      <c r="G294" s="6"/>
      <c r="H294" s="6"/>
      <c r="I294" s="6"/>
      <c r="K294" s="7"/>
      <c r="N294" s="6"/>
      <c r="O294" s="1"/>
      <c r="P294" s="6"/>
      <c r="Q294" s="1767"/>
      <c r="R294" s="1767"/>
      <c r="S294" s="1766"/>
      <c r="T294" s="1766"/>
      <c r="U294" s="1766"/>
      <c r="V294" s="1766"/>
      <c r="W294" s="1767"/>
      <c r="X294" s="1766"/>
      <c r="Y294" s="1766"/>
      <c r="Z294" s="1768"/>
      <c r="AA294" s="1766"/>
      <c r="AB294" s="1799"/>
      <c r="AC294" s="1770"/>
      <c r="AD294" s="1771"/>
      <c r="AF294" s="13"/>
    </row>
    <row r="295" spans="1:32" s="5" customFormat="1">
      <c r="A295" s="1"/>
      <c r="B295" s="6"/>
      <c r="C295" s="4"/>
      <c r="D295" s="4"/>
      <c r="E295" s="4"/>
      <c r="F295" s="6"/>
      <c r="G295" s="6"/>
      <c r="H295" s="6"/>
      <c r="I295" s="6"/>
      <c r="K295" s="7"/>
      <c r="N295" s="6"/>
      <c r="O295" s="1"/>
      <c r="P295" s="6"/>
      <c r="Q295" s="1767"/>
      <c r="R295" s="1767"/>
      <c r="S295" s="1766"/>
      <c r="T295" s="1766"/>
      <c r="U295" s="1766"/>
      <c r="V295" s="1766"/>
      <c r="W295" s="1767"/>
      <c r="X295" s="1766"/>
      <c r="Y295" s="1766"/>
      <c r="Z295" s="1768"/>
      <c r="AA295" s="1766"/>
      <c r="AB295" s="1799"/>
      <c r="AC295" s="1770"/>
      <c r="AD295" s="1771"/>
      <c r="AF295" s="13"/>
    </row>
    <row r="296" spans="1:32" s="5" customFormat="1">
      <c r="A296" s="1"/>
      <c r="B296" s="6"/>
      <c r="C296" s="4"/>
      <c r="D296" s="4"/>
      <c r="E296" s="4"/>
      <c r="F296" s="6"/>
      <c r="G296" s="6"/>
      <c r="H296" s="6"/>
      <c r="I296" s="6"/>
      <c r="K296" s="7"/>
      <c r="N296" s="6"/>
      <c r="O296" s="1"/>
      <c r="P296" s="6"/>
      <c r="Q296" s="1767"/>
      <c r="R296" s="1767"/>
      <c r="S296" s="1766"/>
      <c r="T296" s="1766"/>
      <c r="U296" s="1766"/>
      <c r="V296" s="1766"/>
      <c r="W296" s="1767"/>
      <c r="X296" s="1766"/>
      <c r="Y296" s="1766"/>
      <c r="Z296" s="1768"/>
      <c r="AA296" s="1766"/>
      <c r="AB296" s="1799"/>
      <c r="AC296" s="1770"/>
      <c r="AD296" s="1771"/>
      <c r="AF296" s="13"/>
    </row>
    <row r="297" spans="1:32" s="5" customFormat="1">
      <c r="A297" s="1"/>
      <c r="B297" s="6"/>
      <c r="C297" s="4"/>
      <c r="D297" s="4"/>
      <c r="E297" s="4"/>
      <c r="F297" s="6"/>
      <c r="G297" s="6"/>
      <c r="H297" s="6"/>
      <c r="I297" s="6"/>
      <c r="K297" s="7"/>
      <c r="N297" s="6"/>
      <c r="O297" s="1"/>
      <c r="P297" s="6"/>
      <c r="Q297" s="1767"/>
      <c r="R297" s="1767"/>
      <c r="S297" s="1766"/>
      <c r="T297" s="1766"/>
      <c r="U297" s="1766"/>
      <c r="V297" s="1766"/>
      <c r="W297" s="1767"/>
      <c r="X297" s="1766"/>
      <c r="Y297" s="1766"/>
      <c r="Z297" s="1768"/>
      <c r="AA297" s="1766"/>
      <c r="AB297" s="1799"/>
      <c r="AC297" s="1770"/>
      <c r="AD297" s="1771"/>
      <c r="AF297" s="13"/>
    </row>
    <row r="298" spans="1:32" s="5" customFormat="1">
      <c r="A298" s="1"/>
      <c r="B298" s="6"/>
      <c r="C298" s="4"/>
      <c r="D298" s="4"/>
      <c r="E298" s="4"/>
      <c r="F298" s="6"/>
      <c r="G298" s="6"/>
      <c r="H298" s="6"/>
      <c r="I298" s="6"/>
      <c r="K298" s="7"/>
      <c r="N298" s="6"/>
      <c r="O298" s="1"/>
      <c r="P298" s="6"/>
      <c r="Q298" s="1767"/>
      <c r="R298" s="1767"/>
      <c r="S298" s="1766"/>
      <c r="T298" s="1766"/>
      <c r="U298" s="1766"/>
      <c r="V298" s="1766"/>
      <c r="W298" s="1767"/>
      <c r="X298" s="1766"/>
      <c r="Y298" s="1766"/>
      <c r="Z298" s="1768"/>
      <c r="AA298" s="1766"/>
      <c r="AB298" s="1799"/>
      <c r="AC298" s="1770"/>
      <c r="AD298" s="1771"/>
      <c r="AF298" s="13"/>
    </row>
    <row r="299" spans="1:32" s="5" customFormat="1">
      <c r="A299" s="1"/>
      <c r="B299" s="6"/>
      <c r="C299" s="4"/>
      <c r="D299" s="4"/>
      <c r="E299" s="4"/>
      <c r="F299" s="6"/>
      <c r="G299" s="6"/>
      <c r="H299" s="6"/>
      <c r="I299" s="6"/>
      <c r="K299" s="7"/>
      <c r="N299" s="6"/>
      <c r="O299" s="1"/>
      <c r="P299" s="6"/>
      <c r="Q299" s="1767"/>
      <c r="R299" s="1767"/>
      <c r="S299" s="1766"/>
      <c r="T299" s="1766"/>
      <c r="U299" s="1766"/>
      <c r="V299" s="1766"/>
      <c r="W299" s="1767"/>
      <c r="X299" s="1766"/>
      <c r="Y299" s="1766"/>
      <c r="Z299" s="1768"/>
      <c r="AA299" s="1766"/>
      <c r="AB299" s="1799"/>
      <c r="AC299" s="1770"/>
      <c r="AD299" s="1771"/>
      <c r="AF299" s="13"/>
    </row>
    <row r="300" spans="1:32" s="5" customFormat="1">
      <c r="A300" s="1"/>
      <c r="B300" s="6"/>
      <c r="C300" s="4"/>
      <c r="D300" s="4"/>
      <c r="E300" s="4"/>
      <c r="F300" s="6"/>
      <c r="G300" s="6"/>
      <c r="H300" s="6"/>
      <c r="I300" s="6"/>
      <c r="K300" s="7"/>
      <c r="N300" s="6"/>
      <c r="O300" s="1"/>
      <c r="P300" s="6"/>
      <c r="Q300" s="1767"/>
      <c r="R300" s="1767"/>
      <c r="S300" s="1766"/>
      <c r="T300" s="1766"/>
      <c r="U300" s="1766"/>
      <c r="V300" s="1766"/>
      <c r="W300" s="1767"/>
      <c r="X300" s="1766"/>
      <c r="Y300" s="1766"/>
      <c r="Z300" s="1768"/>
      <c r="AA300" s="1766"/>
      <c r="AB300" s="1799"/>
      <c r="AC300" s="1770"/>
      <c r="AD300" s="1771"/>
      <c r="AF300" s="13"/>
    </row>
    <row r="301" spans="1:32" s="5" customFormat="1">
      <c r="A301" s="1"/>
      <c r="B301" s="6"/>
      <c r="C301" s="4"/>
      <c r="D301" s="4"/>
      <c r="E301" s="4"/>
      <c r="F301" s="6"/>
      <c r="G301" s="6"/>
      <c r="H301" s="6"/>
      <c r="I301" s="6"/>
      <c r="K301" s="7"/>
      <c r="N301" s="6"/>
      <c r="O301" s="1"/>
      <c r="P301" s="6"/>
      <c r="Q301" s="1767"/>
      <c r="R301" s="1767"/>
      <c r="S301" s="1766"/>
      <c r="T301" s="1766"/>
      <c r="U301" s="1766"/>
      <c r="V301" s="1766"/>
      <c r="W301" s="1767"/>
      <c r="X301" s="1766"/>
      <c r="Y301" s="1766"/>
      <c r="Z301" s="1768"/>
      <c r="AA301" s="1766"/>
      <c r="AB301" s="1799"/>
      <c r="AC301" s="1770"/>
      <c r="AD301" s="1771"/>
      <c r="AF301" s="13"/>
    </row>
    <row r="302" spans="1:32" s="5" customFormat="1">
      <c r="A302" s="1"/>
      <c r="B302" s="6"/>
      <c r="C302" s="4"/>
      <c r="D302" s="4"/>
      <c r="E302" s="4"/>
      <c r="F302" s="6"/>
      <c r="G302" s="6"/>
      <c r="H302" s="6"/>
      <c r="I302" s="6"/>
      <c r="K302" s="7"/>
      <c r="N302" s="6"/>
      <c r="O302" s="1"/>
      <c r="P302" s="6"/>
      <c r="Q302" s="1767"/>
      <c r="R302" s="1767"/>
      <c r="S302" s="1766"/>
      <c r="T302" s="1766"/>
      <c r="U302" s="1766"/>
      <c r="V302" s="1766"/>
      <c r="W302" s="1767"/>
      <c r="X302" s="1766"/>
      <c r="Y302" s="1766"/>
      <c r="Z302" s="1768"/>
      <c r="AA302" s="1766"/>
      <c r="AB302" s="1799"/>
      <c r="AC302" s="1770"/>
      <c r="AD302" s="1771"/>
      <c r="AF302" s="13"/>
    </row>
    <row r="303" spans="1:32" s="5" customFormat="1">
      <c r="A303" s="1"/>
      <c r="B303" s="6"/>
      <c r="C303" s="4"/>
      <c r="D303" s="4"/>
      <c r="E303" s="4"/>
      <c r="F303" s="6"/>
      <c r="G303" s="6"/>
      <c r="H303" s="6"/>
      <c r="I303" s="6"/>
      <c r="K303" s="7"/>
      <c r="N303" s="6"/>
      <c r="O303" s="1"/>
      <c r="P303" s="6"/>
      <c r="Q303" s="1767"/>
      <c r="R303" s="1767"/>
      <c r="S303" s="1766"/>
      <c r="T303" s="1766"/>
      <c r="U303" s="1766"/>
      <c r="V303" s="1766"/>
      <c r="W303" s="1767"/>
      <c r="X303" s="1766"/>
      <c r="Y303" s="1766"/>
      <c r="Z303" s="1768"/>
      <c r="AA303" s="1766"/>
      <c r="AB303" s="1799"/>
      <c r="AC303" s="1770"/>
      <c r="AD303" s="1771"/>
      <c r="AF303" s="13"/>
    </row>
    <row r="304" spans="1:32" s="5" customFormat="1">
      <c r="A304" s="1"/>
      <c r="B304" s="6"/>
      <c r="C304" s="4"/>
      <c r="D304" s="4"/>
      <c r="E304" s="4"/>
      <c r="F304" s="6"/>
      <c r="G304" s="6"/>
      <c r="H304" s="6"/>
      <c r="I304" s="6"/>
      <c r="K304" s="7"/>
      <c r="N304" s="6"/>
      <c r="O304" s="1"/>
      <c r="P304" s="6"/>
      <c r="Q304" s="1767"/>
      <c r="R304" s="1767"/>
      <c r="S304" s="1766"/>
      <c r="T304" s="1766"/>
      <c r="U304" s="1766"/>
      <c r="V304" s="1766"/>
      <c r="W304" s="1767"/>
      <c r="X304" s="1766"/>
      <c r="Y304" s="1766"/>
      <c r="Z304" s="1768"/>
      <c r="AA304" s="1766"/>
      <c r="AB304" s="1799"/>
      <c r="AC304" s="1770"/>
      <c r="AD304" s="1771"/>
      <c r="AF304" s="13"/>
    </row>
    <row r="305" spans="1:32" s="5" customFormat="1">
      <c r="A305" s="1"/>
      <c r="B305" s="6"/>
      <c r="C305" s="4"/>
      <c r="D305" s="4"/>
      <c r="E305" s="4"/>
      <c r="F305" s="6"/>
      <c r="G305" s="6"/>
      <c r="H305" s="6"/>
      <c r="I305" s="6"/>
      <c r="K305" s="7"/>
      <c r="N305" s="6"/>
      <c r="O305" s="1"/>
      <c r="P305" s="6"/>
      <c r="Q305" s="1767"/>
      <c r="R305" s="1767"/>
      <c r="S305" s="1766"/>
      <c r="T305" s="1766"/>
      <c r="U305" s="1766"/>
      <c r="V305" s="1766"/>
      <c r="W305" s="1767"/>
      <c r="X305" s="1766"/>
      <c r="Y305" s="1766"/>
      <c r="Z305" s="1768"/>
      <c r="AA305" s="1766"/>
      <c r="AB305" s="1799"/>
      <c r="AC305" s="1770"/>
      <c r="AD305" s="1771"/>
      <c r="AF305" s="13"/>
    </row>
    <row r="306" spans="1:32" s="5" customFormat="1">
      <c r="A306" s="1"/>
      <c r="B306" s="6"/>
      <c r="C306" s="4"/>
      <c r="D306" s="4"/>
      <c r="E306" s="4"/>
      <c r="F306" s="6"/>
      <c r="G306" s="6"/>
      <c r="H306" s="6"/>
      <c r="I306" s="6"/>
      <c r="K306" s="7"/>
      <c r="N306" s="6"/>
      <c r="O306" s="1"/>
      <c r="P306" s="6"/>
      <c r="Q306" s="1767"/>
      <c r="R306" s="1767"/>
      <c r="S306" s="1766"/>
      <c r="T306" s="1766"/>
      <c r="U306" s="1766"/>
      <c r="V306" s="1766"/>
      <c r="W306" s="1767"/>
      <c r="X306" s="1766"/>
      <c r="Y306" s="1766"/>
      <c r="Z306" s="1768"/>
      <c r="AA306" s="1766"/>
      <c r="AB306" s="1799"/>
      <c r="AC306" s="1770"/>
      <c r="AD306" s="1771"/>
      <c r="AF306" s="13"/>
    </row>
    <row r="307" spans="1:32" s="5" customFormat="1">
      <c r="A307" s="1"/>
      <c r="B307" s="6"/>
      <c r="C307" s="4"/>
      <c r="D307" s="4"/>
      <c r="E307" s="4"/>
      <c r="F307" s="6"/>
      <c r="G307" s="6"/>
      <c r="H307" s="6"/>
      <c r="I307" s="6"/>
      <c r="K307" s="7"/>
      <c r="N307" s="6"/>
      <c r="O307" s="1"/>
      <c r="P307" s="6"/>
      <c r="Q307" s="1767"/>
      <c r="R307" s="1767"/>
      <c r="S307" s="1766"/>
      <c r="T307" s="1766"/>
      <c r="U307" s="1766"/>
      <c r="V307" s="1766"/>
      <c r="W307" s="1767"/>
      <c r="X307" s="1766"/>
      <c r="Y307" s="1766"/>
      <c r="Z307" s="1768"/>
      <c r="AA307" s="1766"/>
      <c r="AB307" s="1799"/>
      <c r="AC307" s="1770"/>
      <c r="AD307" s="1771"/>
      <c r="AF307" s="13"/>
    </row>
    <row r="308" spans="1:32" s="5" customFormat="1">
      <c r="A308" s="1"/>
      <c r="B308" s="6"/>
      <c r="C308" s="4"/>
      <c r="D308" s="4"/>
      <c r="E308" s="4"/>
      <c r="F308" s="6"/>
      <c r="G308" s="6"/>
      <c r="H308" s="6"/>
      <c r="I308" s="6"/>
      <c r="K308" s="7"/>
      <c r="N308" s="6"/>
      <c r="O308" s="1"/>
      <c r="P308" s="6"/>
      <c r="Q308" s="1767"/>
      <c r="R308" s="1767"/>
      <c r="S308" s="1766"/>
      <c r="T308" s="1766"/>
      <c r="U308" s="1766"/>
      <c r="V308" s="1766"/>
      <c r="W308" s="1767"/>
      <c r="X308" s="1766"/>
      <c r="Y308" s="1766"/>
      <c r="Z308" s="1768"/>
      <c r="AA308" s="1766"/>
      <c r="AB308" s="1799"/>
      <c r="AC308" s="1770"/>
      <c r="AD308" s="1771"/>
      <c r="AF308" s="13"/>
    </row>
    <row r="309" spans="1:32" s="5" customFormat="1">
      <c r="A309" s="1"/>
      <c r="B309" s="6"/>
      <c r="C309" s="4"/>
      <c r="D309" s="4"/>
      <c r="E309" s="4"/>
      <c r="F309" s="6"/>
      <c r="G309" s="6"/>
      <c r="H309" s="6"/>
      <c r="I309" s="6"/>
      <c r="K309" s="7"/>
      <c r="N309" s="6"/>
      <c r="O309" s="1"/>
      <c r="P309" s="6"/>
      <c r="Q309" s="1767"/>
      <c r="R309" s="1767"/>
      <c r="S309" s="1766"/>
      <c r="T309" s="1766"/>
      <c r="U309" s="1766"/>
      <c r="V309" s="1766"/>
      <c r="W309" s="1767"/>
      <c r="X309" s="1766"/>
      <c r="Y309" s="1766"/>
      <c r="Z309" s="1768"/>
      <c r="AA309" s="1766"/>
      <c r="AB309" s="1799"/>
      <c r="AC309" s="1770"/>
      <c r="AD309" s="1771"/>
      <c r="AF309" s="13"/>
    </row>
  </sheetData>
  <mergeCells count="4">
    <mergeCell ref="A2:L2"/>
    <mergeCell ref="D3:H3"/>
    <mergeCell ref="A5:Z5"/>
    <mergeCell ref="A9:Z9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3B3F0-5F36-4CA6-9749-645773D3DE66}">
  <dimension ref="A1:AC324"/>
  <sheetViews>
    <sheetView workbookViewId="0">
      <selection activeCell="I24" sqref="I24"/>
    </sheetView>
  </sheetViews>
  <sheetFormatPr defaultColWidth="10.33203125" defaultRowHeight="13.2"/>
  <cols>
    <col min="1" max="1" width="7" style="1" customWidth="1"/>
    <col min="2" max="2" width="15.5546875" style="6" customWidth="1"/>
    <col min="3" max="3" width="19.109375" style="2" customWidth="1"/>
    <col min="4" max="4" width="14.109375" style="3" customWidth="1"/>
    <col min="5" max="5" width="14.88671875" style="4" customWidth="1"/>
    <col min="6" max="6" width="11.109375" style="4" customWidth="1"/>
    <col min="7" max="8" width="5.109375" style="6" hidden="1" customWidth="1"/>
    <col min="9" max="9" width="45.109375" style="5" customWidth="1"/>
    <col min="10" max="10" width="19" style="5" customWidth="1"/>
    <col min="11" max="11" width="14.44140625" style="7" customWidth="1"/>
    <col min="12" max="12" width="19" style="5" customWidth="1"/>
    <col min="13" max="13" width="9.6640625" style="11" customWidth="1"/>
    <col min="14" max="14" width="19.109375" style="6" hidden="1" customWidth="1"/>
    <col min="15" max="15" width="17.33203125" style="6" hidden="1" customWidth="1"/>
    <col min="16" max="16" width="11.88671875" style="724" hidden="1" customWidth="1"/>
    <col min="17" max="17" width="13.109375" style="724" hidden="1" customWidth="1"/>
    <col min="18" max="18" width="13" style="724" hidden="1" customWidth="1"/>
    <col min="19" max="19" width="11.88671875" style="724" hidden="1" customWidth="1"/>
    <col min="20" max="20" width="15.33203125" style="725" hidden="1" customWidth="1"/>
    <col min="21" max="21" width="11.88671875" style="724" hidden="1" customWidth="1"/>
    <col min="22" max="22" width="19.44140625" style="724" customWidth="1"/>
    <col min="23" max="23" width="15.5546875" style="726" customWidth="1"/>
    <col min="24" max="24" width="34.33203125" style="727" hidden="1" customWidth="1"/>
    <col min="25" max="25" width="18.6640625" style="728" customWidth="1"/>
    <col min="26" max="26" width="16.6640625" style="729" customWidth="1"/>
    <col min="27" max="27" width="18.5546875" style="730" customWidth="1"/>
    <col min="28" max="28" width="37.109375" style="5" customWidth="1"/>
    <col min="29" max="192" width="10.33203125" style="13"/>
    <col min="193" max="193" width="7" style="13" customWidth="1"/>
    <col min="194" max="194" width="13" style="13" customWidth="1"/>
    <col min="195" max="195" width="14.109375" style="13" customWidth="1"/>
    <col min="196" max="196" width="17.33203125" style="13" customWidth="1"/>
    <col min="197" max="197" width="18.88671875" style="13" customWidth="1"/>
    <col min="198" max="198" width="14.109375" style="13" customWidth="1"/>
    <col min="199" max="199" width="21.5546875" style="13" customWidth="1"/>
    <col min="200" max="201" width="14.109375" style="13" customWidth="1"/>
    <col min="202" max="202" width="15" style="13" customWidth="1"/>
    <col min="203" max="203" width="13.33203125" style="13" customWidth="1"/>
    <col min="204" max="204" width="17" style="13" customWidth="1"/>
    <col min="205" max="205" width="24.88671875" style="13" customWidth="1"/>
    <col min="206" max="206" width="14.44140625" style="13" customWidth="1"/>
    <col min="207" max="207" width="23.109375" style="13" customWidth="1"/>
    <col min="208" max="208" width="13.109375" style="13" customWidth="1"/>
    <col min="209" max="212" width="0" style="13" hidden="1" customWidth="1"/>
    <col min="213" max="448" width="10.33203125" style="13"/>
    <col min="449" max="449" width="7" style="13" customWidth="1"/>
    <col min="450" max="450" width="13" style="13" customWidth="1"/>
    <col min="451" max="451" width="14.109375" style="13" customWidth="1"/>
    <col min="452" max="452" width="17.33203125" style="13" customWidth="1"/>
    <col min="453" max="453" width="18.88671875" style="13" customWidth="1"/>
    <col min="454" max="454" width="14.109375" style="13" customWidth="1"/>
    <col min="455" max="455" width="21.5546875" style="13" customWidth="1"/>
    <col min="456" max="457" width="14.109375" style="13" customWidth="1"/>
    <col min="458" max="458" width="15" style="13" customWidth="1"/>
    <col min="459" max="459" width="13.33203125" style="13" customWidth="1"/>
    <col min="460" max="460" width="17" style="13" customWidth="1"/>
    <col min="461" max="461" width="24.88671875" style="13" customWidth="1"/>
    <col min="462" max="462" width="14.44140625" style="13" customWidth="1"/>
    <col min="463" max="463" width="23.109375" style="13" customWidth="1"/>
    <col min="464" max="464" width="13.109375" style="13" customWidth="1"/>
    <col min="465" max="468" width="0" style="13" hidden="1" customWidth="1"/>
    <col min="469" max="704" width="10.33203125" style="13"/>
    <col min="705" max="705" width="7" style="13" customWidth="1"/>
    <col min="706" max="706" width="13" style="13" customWidth="1"/>
    <col min="707" max="707" width="14.109375" style="13" customWidth="1"/>
    <col min="708" max="708" width="17.33203125" style="13" customWidth="1"/>
    <col min="709" max="709" width="18.88671875" style="13" customWidth="1"/>
    <col min="710" max="710" width="14.109375" style="13" customWidth="1"/>
    <col min="711" max="711" width="21.5546875" style="13" customWidth="1"/>
    <col min="712" max="713" width="14.109375" style="13" customWidth="1"/>
    <col min="714" max="714" width="15" style="13" customWidth="1"/>
    <col min="715" max="715" width="13.33203125" style="13" customWidth="1"/>
    <col min="716" max="716" width="17" style="13" customWidth="1"/>
    <col min="717" max="717" width="24.88671875" style="13" customWidth="1"/>
    <col min="718" max="718" width="14.44140625" style="13" customWidth="1"/>
    <col min="719" max="719" width="23.109375" style="13" customWidth="1"/>
    <col min="720" max="720" width="13.109375" style="13" customWidth="1"/>
    <col min="721" max="724" width="0" style="13" hidden="1" customWidth="1"/>
    <col min="725" max="960" width="10.33203125" style="13"/>
    <col min="961" max="961" width="7" style="13" customWidth="1"/>
    <col min="962" max="962" width="13" style="13" customWidth="1"/>
    <col min="963" max="963" width="14.109375" style="13" customWidth="1"/>
    <col min="964" max="964" width="17.33203125" style="13" customWidth="1"/>
    <col min="965" max="965" width="18.88671875" style="13" customWidth="1"/>
    <col min="966" max="966" width="14.109375" style="13" customWidth="1"/>
    <col min="967" max="967" width="21.5546875" style="13" customWidth="1"/>
    <col min="968" max="969" width="14.109375" style="13" customWidth="1"/>
    <col min="970" max="970" width="15" style="13" customWidth="1"/>
    <col min="971" max="971" width="13.33203125" style="13" customWidth="1"/>
    <col min="972" max="972" width="17" style="13" customWidth="1"/>
    <col min="973" max="973" width="24.88671875" style="13" customWidth="1"/>
    <col min="974" max="974" width="14.44140625" style="13" customWidth="1"/>
    <col min="975" max="975" width="23.109375" style="13" customWidth="1"/>
    <col min="976" max="976" width="13.109375" style="13" customWidth="1"/>
    <col min="977" max="980" width="0" style="13" hidden="1" customWidth="1"/>
    <col min="981" max="1216" width="10.33203125" style="13"/>
    <col min="1217" max="1217" width="7" style="13" customWidth="1"/>
    <col min="1218" max="1218" width="13" style="13" customWidth="1"/>
    <col min="1219" max="1219" width="14.109375" style="13" customWidth="1"/>
    <col min="1220" max="1220" width="17.33203125" style="13" customWidth="1"/>
    <col min="1221" max="1221" width="18.88671875" style="13" customWidth="1"/>
    <col min="1222" max="1222" width="14.109375" style="13" customWidth="1"/>
    <col min="1223" max="1223" width="21.5546875" style="13" customWidth="1"/>
    <col min="1224" max="1225" width="14.109375" style="13" customWidth="1"/>
    <col min="1226" max="1226" width="15" style="13" customWidth="1"/>
    <col min="1227" max="1227" width="13.33203125" style="13" customWidth="1"/>
    <col min="1228" max="1228" width="17" style="13" customWidth="1"/>
    <col min="1229" max="1229" width="24.88671875" style="13" customWidth="1"/>
    <col min="1230" max="1230" width="14.44140625" style="13" customWidth="1"/>
    <col min="1231" max="1231" width="23.109375" style="13" customWidth="1"/>
    <col min="1232" max="1232" width="13.109375" style="13" customWidth="1"/>
    <col min="1233" max="1236" width="0" style="13" hidden="1" customWidth="1"/>
    <col min="1237" max="1472" width="10.33203125" style="13"/>
    <col min="1473" max="1473" width="7" style="13" customWidth="1"/>
    <col min="1474" max="1474" width="13" style="13" customWidth="1"/>
    <col min="1475" max="1475" width="14.109375" style="13" customWidth="1"/>
    <col min="1476" max="1476" width="17.33203125" style="13" customWidth="1"/>
    <col min="1477" max="1477" width="18.88671875" style="13" customWidth="1"/>
    <col min="1478" max="1478" width="14.109375" style="13" customWidth="1"/>
    <col min="1479" max="1479" width="21.5546875" style="13" customWidth="1"/>
    <col min="1480" max="1481" width="14.109375" style="13" customWidth="1"/>
    <col min="1482" max="1482" width="15" style="13" customWidth="1"/>
    <col min="1483" max="1483" width="13.33203125" style="13" customWidth="1"/>
    <col min="1484" max="1484" width="17" style="13" customWidth="1"/>
    <col min="1485" max="1485" width="24.88671875" style="13" customWidth="1"/>
    <col min="1486" max="1486" width="14.44140625" style="13" customWidth="1"/>
    <col min="1487" max="1487" width="23.109375" style="13" customWidth="1"/>
    <col min="1488" max="1488" width="13.109375" style="13" customWidth="1"/>
    <col min="1489" max="1492" width="0" style="13" hidden="1" customWidth="1"/>
    <col min="1493" max="1728" width="10.33203125" style="13"/>
    <col min="1729" max="1729" width="7" style="13" customWidth="1"/>
    <col min="1730" max="1730" width="13" style="13" customWidth="1"/>
    <col min="1731" max="1731" width="14.109375" style="13" customWidth="1"/>
    <col min="1732" max="1732" width="17.33203125" style="13" customWidth="1"/>
    <col min="1733" max="1733" width="18.88671875" style="13" customWidth="1"/>
    <col min="1734" max="1734" width="14.109375" style="13" customWidth="1"/>
    <col min="1735" max="1735" width="21.5546875" style="13" customWidth="1"/>
    <col min="1736" max="1737" width="14.109375" style="13" customWidth="1"/>
    <col min="1738" max="1738" width="15" style="13" customWidth="1"/>
    <col min="1739" max="1739" width="13.33203125" style="13" customWidth="1"/>
    <col min="1740" max="1740" width="17" style="13" customWidth="1"/>
    <col min="1741" max="1741" width="24.88671875" style="13" customWidth="1"/>
    <col min="1742" max="1742" width="14.44140625" style="13" customWidth="1"/>
    <col min="1743" max="1743" width="23.109375" style="13" customWidth="1"/>
    <col min="1744" max="1744" width="13.109375" style="13" customWidth="1"/>
    <col min="1745" max="1748" width="0" style="13" hidden="1" customWidth="1"/>
    <col min="1749" max="1984" width="10.33203125" style="13"/>
    <col min="1985" max="1985" width="7" style="13" customWidth="1"/>
    <col min="1986" max="1986" width="13" style="13" customWidth="1"/>
    <col min="1987" max="1987" width="14.109375" style="13" customWidth="1"/>
    <col min="1988" max="1988" width="17.33203125" style="13" customWidth="1"/>
    <col min="1989" max="1989" width="18.88671875" style="13" customWidth="1"/>
    <col min="1990" max="1990" width="14.109375" style="13" customWidth="1"/>
    <col min="1991" max="1991" width="21.5546875" style="13" customWidth="1"/>
    <col min="1992" max="1993" width="14.109375" style="13" customWidth="1"/>
    <col min="1994" max="1994" width="15" style="13" customWidth="1"/>
    <col min="1995" max="1995" width="13.33203125" style="13" customWidth="1"/>
    <col min="1996" max="1996" width="17" style="13" customWidth="1"/>
    <col min="1997" max="1997" width="24.88671875" style="13" customWidth="1"/>
    <col min="1998" max="1998" width="14.44140625" style="13" customWidth="1"/>
    <col min="1999" max="1999" width="23.109375" style="13" customWidth="1"/>
    <col min="2000" max="2000" width="13.109375" style="13" customWidth="1"/>
    <col min="2001" max="2004" width="0" style="13" hidden="1" customWidth="1"/>
    <col min="2005" max="2240" width="10.33203125" style="13"/>
    <col min="2241" max="2241" width="7" style="13" customWidth="1"/>
    <col min="2242" max="2242" width="13" style="13" customWidth="1"/>
    <col min="2243" max="2243" width="14.109375" style="13" customWidth="1"/>
    <col min="2244" max="2244" width="17.33203125" style="13" customWidth="1"/>
    <col min="2245" max="2245" width="18.88671875" style="13" customWidth="1"/>
    <col min="2246" max="2246" width="14.109375" style="13" customWidth="1"/>
    <col min="2247" max="2247" width="21.5546875" style="13" customWidth="1"/>
    <col min="2248" max="2249" width="14.109375" style="13" customWidth="1"/>
    <col min="2250" max="2250" width="15" style="13" customWidth="1"/>
    <col min="2251" max="2251" width="13.33203125" style="13" customWidth="1"/>
    <col min="2252" max="2252" width="17" style="13" customWidth="1"/>
    <col min="2253" max="2253" width="24.88671875" style="13" customWidth="1"/>
    <col min="2254" max="2254" width="14.44140625" style="13" customWidth="1"/>
    <col min="2255" max="2255" width="23.109375" style="13" customWidth="1"/>
    <col min="2256" max="2256" width="13.109375" style="13" customWidth="1"/>
    <col min="2257" max="2260" width="0" style="13" hidden="1" customWidth="1"/>
    <col min="2261" max="2496" width="10.33203125" style="13"/>
    <col min="2497" max="2497" width="7" style="13" customWidth="1"/>
    <col min="2498" max="2498" width="13" style="13" customWidth="1"/>
    <col min="2499" max="2499" width="14.109375" style="13" customWidth="1"/>
    <col min="2500" max="2500" width="17.33203125" style="13" customWidth="1"/>
    <col min="2501" max="2501" width="18.88671875" style="13" customWidth="1"/>
    <col min="2502" max="2502" width="14.109375" style="13" customWidth="1"/>
    <col min="2503" max="2503" width="21.5546875" style="13" customWidth="1"/>
    <col min="2504" max="2505" width="14.109375" style="13" customWidth="1"/>
    <col min="2506" max="2506" width="15" style="13" customWidth="1"/>
    <col min="2507" max="2507" width="13.33203125" style="13" customWidth="1"/>
    <col min="2508" max="2508" width="17" style="13" customWidth="1"/>
    <col min="2509" max="2509" width="24.88671875" style="13" customWidth="1"/>
    <col min="2510" max="2510" width="14.44140625" style="13" customWidth="1"/>
    <col min="2511" max="2511" width="23.109375" style="13" customWidth="1"/>
    <col min="2512" max="2512" width="13.109375" style="13" customWidth="1"/>
    <col min="2513" max="2516" width="0" style="13" hidden="1" customWidth="1"/>
    <col min="2517" max="2752" width="10.33203125" style="13"/>
    <col min="2753" max="2753" width="7" style="13" customWidth="1"/>
    <col min="2754" max="2754" width="13" style="13" customWidth="1"/>
    <col min="2755" max="2755" width="14.109375" style="13" customWidth="1"/>
    <col min="2756" max="2756" width="17.33203125" style="13" customWidth="1"/>
    <col min="2757" max="2757" width="18.88671875" style="13" customWidth="1"/>
    <col min="2758" max="2758" width="14.109375" style="13" customWidth="1"/>
    <col min="2759" max="2759" width="21.5546875" style="13" customWidth="1"/>
    <col min="2760" max="2761" width="14.109375" style="13" customWidth="1"/>
    <col min="2762" max="2762" width="15" style="13" customWidth="1"/>
    <col min="2763" max="2763" width="13.33203125" style="13" customWidth="1"/>
    <col min="2764" max="2764" width="17" style="13" customWidth="1"/>
    <col min="2765" max="2765" width="24.88671875" style="13" customWidth="1"/>
    <col min="2766" max="2766" width="14.44140625" style="13" customWidth="1"/>
    <col min="2767" max="2767" width="23.109375" style="13" customWidth="1"/>
    <col min="2768" max="2768" width="13.109375" style="13" customWidth="1"/>
    <col min="2769" max="2772" width="0" style="13" hidden="1" customWidth="1"/>
    <col min="2773" max="3008" width="10.33203125" style="13"/>
    <col min="3009" max="3009" width="7" style="13" customWidth="1"/>
    <col min="3010" max="3010" width="13" style="13" customWidth="1"/>
    <col min="3011" max="3011" width="14.109375" style="13" customWidth="1"/>
    <col min="3012" max="3012" width="17.33203125" style="13" customWidth="1"/>
    <col min="3013" max="3013" width="18.88671875" style="13" customWidth="1"/>
    <col min="3014" max="3014" width="14.109375" style="13" customWidth="1"/>
    <col min="3015" max="3015" width="21.5546875" style="13" customWidth="1"/>
    <col min="3016" max="3017" width="14.109375" style="13" customWidth="1"/>
    <col min="3018" max="3018" width="15" style="13" customWidth="1"/>
    <col min="3019" max="3019" width="13.33203125" style="13" customWidth="1"/>
    <col min="3020" max="3020" width="17" style="13" customWidth="1"/>
    <col min="3021" max="3021" width="24.88671875" style="13" customWidth="1"/>
    <col min="3022" max="3022" width="14.44140625" style="13" customWidth="1"/>
    <col min="3023" max="3023" width="23.109375" style="13" customWidth="1"/>
    <col min="3024" max="3024" width="13.109375" style="13" customWidth="1"/>
    <col min="3025" max="3028" width="0" style="13" hidden="1" customWidth="1"/>
    <col min="3029" max="3264" width="10.33203125" style="13"/>
    <col min="3265" max="3265" width="7" style="13" customWidth="1"/>
    <col min="3266" max="3266" width="13" style="13" customWidth="1"/>
    <col min="3267" max="3267" width="14.109375" style="13" customWidth="1"/>
    <col min="3268" max="3268" width="17.33203125" style="13" customWidth="1"/>
    <col min="3269" max="3269" width="18.88671875" style="13" customWidth="1"/>
    <col min="3270" max="3270" width="14.109375" style="13" customWidth="1"/>
    <col min="3271" max="3271" width="21.5546875" style="13" customWidth="1"/>
    <col min="3272" max="3273" width="14.109375" style="13" customWidth="1"/>
    <col min="3274" max="3274" width="15" style="13" customWidth="1"/>
    <col min="3275" max="3275" width="13.33203125" style="13" customWidth="1"/>
    <col min="3276" max="3276" width="17" style="13" customWidth="1"/>
    <col min="3277" max="3277" width="24.88671875" style="13" customWidth="1"/>
    <col min="3278" max="3278" width="14.44140625" style="13" customWidth="1"/>
    <col min="3279" max="3279" width="23.109375" style="13" customWidth="1"/>
    <col min="3280" max="3280" width="13.109375" style="13" customWidth="1"/>
    <col min="3281" max="3284" width="0" style="13" hidden="1" customWidth="1"/>
    <col min="3285" max="3520" width="10.33203125" style="13"/>
    <col min="3521" max="3521" width="7" style="13" customWidth="1"/>
    <col min="3522" max="3522" width="13" style="13" customWidth="1"/>
    <col min="3523" max="3523" width="14.109375" style="13" customWidth="1"/>
    <col min="3524" max="3524" width="17.33203125" style="13" customWidth="1"/>
    <col min="3525" max="3525" width="18.88671875" style="13" customWidth="1"/>
    <col min="3526" max="3526" width="14.109375" style="13" customWidth="1"/>
    <col min="3527" max="3527" width="21.5546875" style="13" customWidth="1"/>
    <col min="3528" max="3529" width="14.109375" style="13" customWidth="1"/>
    <col min="3530" max="3530" width="15" style="13" customWidth="1"/>
    <col min="3531" max="3531" width="13.33203125" style="13" customWidth="1"/>
    <col min="3532" max="3532" width="17" style="13" customWidth="1"/>
    <col min="3533" max="3533" width="24.88671875" style="13" customWidth="1"/>
    <col min="3534" max="3534" width="14.44140625" style="13" customWidth="1"/>
    <col min="3535" max="3535" width="23.109375" style="13" customWidth="1"/>
    <col min="3536" max="3536" width="13.109375" style="13" customWidth="1"/>
    <col min="3537" max="3540" width="0" style="13" hidden="1" customWidth="1"/>
    <col min="3541" max="3776" width="10.33203125" style="13"/>
    <col min="3777" max="3777" width="7" style="13" customWidth="1"/>
    <col min="3778" max="3778" width="13" style="13" customWidth="1"/>
    <col min="3779" max="3779" width="14.109375" style="13" customWidth="1"/>
    <col min="3780" max="3780" width="17.33203125" style="13" customWidth="1"/>
    <col min="3781" max="3781" width="18.88671875" style="13" customWidth="1"/>
    <col min="3782" max="3782" width="14.109375" style="13" customWidth="1"/>
    <col min="3783" max="3783" width="21.5546875" style="13" customWidth="1"/>
    <col min="3784" max="3785" width="14.109375" style="13" customWidth="1"/>
    <col min="3786" max="3786" width="15" style="13" customWidth="1"/>
    <col min="3787" max="3787" width="13.33203125" style="13" customWidth="1"/>
    <col min="3788" max="3788" width="17" style="13" customWidth="1"/>
    <col min="3789" max="3789" width="24.88671875" style="13" customWidth="1"/>
    <col min="3790" max="3790" width="14.44140625" style="13" customWidth="1"/>
    <col min="3791" max="3791" width="23.109375" style="13" customWidth="1"/>
    <col min="3792" max="3792" width="13.109375" style="13" customWidth="1"/>
    <col min="3793" max="3796" width="0" style="13" hidden="1" customWidth="1"/>
    <col min="3797" max="4032" width="10.33203125" style="13"/>
    <col min="4033" max="4033" width="7" style="13" customWidth="1"/>
    <col min="4034" max="4034" width="13" style="13" customWidth="1"/>
    <col min="4035" max="4035" width="14.109375" style="13" customWidth="1"/>
    <col min="4036" max="4036" width="17.33203125" style="13" customWidth="1"/>
    <col min="4037" max="4037" width="18.88671875" style="13" customWidth="1"/>
    <col min="4038" max="4038" width="14.109375" style="13" customWidth="1"/>
    <col min="4039" max="4039" width="21.5546875" style="13" customWidth="1"/>
    <col min="4040" max="4041" width="14.109375" style="13" customWidth="1"/>
    <col min="4042" max="4042" width="15" style="13" customWidth="1"/>
    <col min="4043" max="4043" width="13.33203125" style="13" customWidth="1"/>
    <col min="4044" max="4044" width="17" style="13" customWidth="1"/>
    <col min="4045" max="4045" width="24.88671875" style="13" customWidth="1"/>
    <col min="4046" max="4046" width="14.44140625" style="13" customWidth="1"/>
    <col min="4047" max="4047" width="23.109375" style="13" customWidth="1"/>
    <col min="4048" max="4048" width="13.109375" style="13" customWidth="1"/>
    <col min="4049" max="4052" width="0" style="13" hidden="1" customWidth="1"/>
    <col min="4053" max="4288" width="10.33203125" style="13"/>
    <col min="4289" max="4289" width="7" style="13" customWidth="1"/>
    <col min="4290" max="4290" width="13" style="13" customWidth="1"/>
    <col min="4291" max="4291" width="14.109375" style="13" customWidth="1"/>
    <col min="4292" max="4292" width="17.33203125" style="13" customWidth="1"/>
    <col min="4293" max="4293" width="18.88671875" style="13" customWidth="1"/>
    <col min="4294" max="4294" width="14.109375" style="13" customWidth="1"/>
    <col min="4295" max="4295" width="21.5546875" style="13" customWidth="1"/>
    <col min="4296" max="4297" width="14.109375" style="13" customWidth="1"/>
    <col min="4298" max="4298" width="15" style="13" customWidth="1"/>
    <col min="4299" max="4299" width="13.33203125" style="13" customWidth="1"/>
    <col min="4300" max="4300" width="17" style="13" customWidth="1"/>
    <col min="4301" max="4301" width="24.88671875" style="13" customWidth="1"/>
    <col min="4302" max="4302" width="14.44140625" style="13" customWidth="1"/>
    <col min="4303" max="4303" width="23.109375" style="13" customWidth="1"/>
    <col min="4304" max="4304" width="13.109375" style="13" customWidth="1"/>
    <col min="4305" max="4308" width="0" style="13" hidden="1" customWidth="1"/>
    <col min="4309" max="4544" width="10.33203125" style="13"/>
    <col min="4545" max="4545" width="7" style="13" customWidth="1"/>
    <col min="4546" max="4546" width="13" style="13" customWidth="1"/>
    <col min="4547" max="4547" width="14.109375" style="13" customWidth="1"/>
    <col min="4548" max="4548" width="17.33203125" style="13" customWidth="1"/>
    <col min="4549" max="4549" width="18.88671875" style="13" customWidth="1"/>
    <col min="4550" max="4550" width="14.109375" style="13" customWidth="1"/>
    <col min="4551" max="4551" width="21.5546875" style="13" customWidth="1"/>
    <col min="4552" max="4553" width="14.109375" style="13" customWidth="1"/>
    <col min="4554" max="4554" width="15" style="13" customWidth="1"/>
    <col min="4555" max="4555" width="13.33203125" style="13" customWidth="1"/>
    <col min="4556" max="4556" width="17" style="13" customWidth="1"/>
    <col min="4557" max="4557" width="24.88671875" style="13" customWidth="1"/>
    <col min="4558" max="4558" width="14.44140625" style="13" customWidth="1"/>
    <col min="4559" max="4559" width="23.109375" style="13" customWidth="1"/>
    <col min="4560" max="4560" width="13.109375" style="13" customWidth="1"/>
    <col min="4561" max="4564" width="0" style="13" hidden="1" customWidth="1"/>
    <col min="4565" max="4800" width="10.33203125" style="13"/>
    <col min="4801" max="4801" width="7" style="13" customWidth="1"/>
    <col min="4802" max="4802" width="13" style="13" customWidth="1"/>
    <col min="4803" max="4803" width="14.109375" style="13" customWidth="1"/>
    <col min="4804" max="4804" width="17.33203125" style="13" customWidth="1"/>
    <col min="4805" max="4805" width="18.88671875" style="13" customWidth="1"/>
    <col min="4806" max="4806" width="14.109375" style="13" customWidth="1"/>
    <col min="4807" max="4807" width="21.5546875" style="13" customWidth="1"/>
    <col min="4808" max="4809" width="14.109375" style="13" customWidth="1"/>
    <col min="4810" max="4810" width="15" style="13" customWidth="1"/>
    <col min="4811" max="4811" width="13.33203125" style="13" customWidth="1"/>
    <col min="4812" max="4812" width="17" style="13" customWidth="1"/>
    <col min="4813" max="4813" width="24.88671875" style="13" customWidth="1"/>
    <col min="4814" max="4814" width="14.44140625" style="13" customWidth="1"/>
    <col min="4815" max="4815" width="23.109375" style="13" customWidth="1"/>
    <col min="4816" max="4816" width="13.109375" style="13" customWidth="1"/>
    <col min="4817" max="4820" width="0" style="13" hidden="1" customWidth="1"/>
    <col min="4821" max="5056" width="10.33203125" style="13"/>
    <col min="5057" max="5057" width="7" style="13" customWidth="1"/>
    <col min="5058" max="5058" width="13" style="13" customWidth="1"/>
    <col min="5059" max="5059" width="14.109375" style="13" customWidth="1"/>
    <col min="5060" max="5060" width="17.33203125" style="13" customWidth="1"/>
    <col min="5061" max="5061" width="18.88671875" style="13" customWidth="1"/>
    <col min="5062" max="5062" width="14.109375" style="13" customWidth="1"/>
    <col min="5063" max="5063" width="21.5546875" style="13" customWidth="1"/>
    <col min="5064" max="5065" width="14.109375" style="13" customWidth="1"/>
    <col min="5066" max="5066" width="15" style="13" customWidth="1"/>
    <col min="5067" max="5067" width="13.33203125" style="13" customWidth="1"/>
    <col min="5068" max="5068" width="17" style="13" customWidth="1"/>
    <col min="5069" max="5069" width="24.88671875" style="13" customWidth="1"/>
    <col min="5070" max="5070" width="14.44140625" style="13" customWidth="1"/>
    <col min="5071" max="5071" width="23.109375" style="13" customWidth="1"/>
    <col min="5072" max="5072" width="13.109375" style="13" customWidth="1"/>
    <col min="5073" max="5076" width="0" style="13" hidden="1" customWidth="1"/>
    <col min="5077" max="5312" width="10.33203125" style="13"/>
    <col min="5313" max="5313" width="7" style="13" customWidth="1"/>
    <col min="5314" max="5314" width="13" style="13" customWidth="1"/>
    <col min="5315" max="5315" width="14.109375" style="13" customWidth="1"/>
    <col min="5316" max="5316" width="17.33203125" style="13" customWidth="1"/>
    <col min="5317" max="5317" width="18.88671875" style="13" customWidth="1"/>
    <col min="5318" max="5318" width="14.109375" style="13" customWidth="1"/>
    <col min="5319" max="5319" width="21.5546875" style="13" customWidth="1"/>
    <col min="5320" max="5321" width="14.109375" style="13" customWidth="1"/>
    <col min="5322" max="5322" width="15" style="13" customWidth="1"/>
    <col min="5323" max="5323" width="13.33203125" style="13" customWidth="1"/>
    <col min="5324" max="5324" width="17" style="13" customWidth="1"/>
    <col min="5325" max="5325" width="24.88671875" style="13" customWidth="1"/>
    <col min="5326" max="5326" width="14.44140625" style="13" customWidth="1"/>
    <col min="5327" max="5327" width="23.109375" style="13" customWidth="1"/>
    <col min="5328" max="5328" width="13.109375" style="13" customWidth="1"/>
    <col min="5329" max="5332" width="0" style="13" hidden="1" customWidth="1"/>
    <col min="5333" max="5568" width="10.33203125" style="13"/>
    <col min="5569" max="5569" width="7" style="13" customWidth="1"/>
    <col min="5570" max="5570" width="13" style="13" customWidth="1"/>
    <col min="5571" max="5571" width="14.109375" style="13" customWidth="1"/>
    <col min="5572" max="5572" width="17.33203125" style="13" customWidth="1"/>
    <col min="5573" max="5573" width="18.88671875" style="13" customWidth="1"/>
    <col min="5574" max="5574" width="14.109375" style="13" customWidth="1"/>
    <col min="5575" max="5575" width="21.5546875" style="13" customWidth="1"/>
    <col min="5576" max="5577" width="14.109375" style="13" customWidth="1"/>
    <col min="5578" max="5578" width="15" style="13" customWidth="1"/>
    <col min="5579" max="5579" width="13.33203125" style="13" customWidth="1"/>
    <col min="5580" max="5580" width="17" style="13" customWidth="1"/>
    <col min="5581" max="5581" width="24.88671875" style="13" customWidth="1"/>
    <col min="5582" max="5582" width="14.44140625" style="13" customWidth="1"/>
    <col min="5583" max="5583" width="23.109375" style="13" customWidth="1"/>
    <col min="5584" max="5584" width="13.109375" style="13" customWidth="1"/>
    <col min="5585" max="5588" width="0" style="13" hidden="1" customWidth="1"/>
    <col min="5589" max="5824" width="10.33203125" style="13"/>
    <col min="5825" max="5825" width="7" style="13" customWidth="1"/>
    <col min="5826" max="5826" width="13" style="13" customWidth="1"/>
    <col min="5827" max="5827" width="14.109375" style="13" customWidth="1"/>
    <col min="5828" max="5828" width="17.33203125" style="13" customWidth="1"/>
    <col min="5829" max="5829" width="18.88671875" style="13" customWidth="1"/>
    <col min="5830" max="5830" width="14.109375" style="13" customWidth="1"/>
    <col min="5831" max="5831" width="21.5546875" style="13" customWidth="1"/>
    <col min="5832" max="5833" width="14.109375" style="13" customWidth="1"/>
    <col min="5834" max="5834" width="15" style="13" customWidth="1"/>
    <col min="5835" max="5835" width="13.33203125" style="13" customWidth="1"/>
    <col min="5836" max="5836" width="17" style="13" customWidth="1"/>
    <col min="5837" max="5837" width="24.88671875" style="13" customWidth="1"/>
    <col min="5838" max="5838" width="14.44140625" style="13" customWidth="1"/>
    <col min="5839" max="5839" width="23.109375" style="13" customWidth="1"/>
    <col min="5840" max="5840" width="13.109375" style="13" customWidth="1"/>
    <col min="5841" max="5844" width="0" style="13" hidden="1" customWidth="1"/>
    <col min="5845" max="6080" width="10.33203125" style="13"/>
    <col min="6081" max="6081" width="7" style="13" customWidth="1"/>
    <col min="6082" max="6082" width="13" style="13" customWidth="1"/>
    <col min="6083" max="6083" width="14.109375" style="13" customWidth="1"/>
    <col min="6084" max="6084" width="17.33203125" style="13" customWidth="1"/>
    <col min="6085" max="6085" width="18.88671875" style="13" customWidth="1"/>
    <col min="6086" max="6086" width="14.109375" style="13" customWidth="1"/>
    <col min="6087" max="6087" width="21.5546875" style="13" customWidth="1"/>
    <col min="6088" max="6089" width="14.109375" style="13" customWidth="1"/>
    <col min="6090" max="6090" width="15" style="13" customWidth="1"/>
    <col min="6091" max="6091" width="13.33203125" style="13" customWidth="1"/>
    <col min="6092" max="6092" width="17" style="13" customWidth="1"/>
    <col min="6093" max="6093" width="24.88671875" style="13" customWidth="1"/>
    <col min="6094" max="6094" width="14.44140625" style="13" customWidth="1"/>
    <col min="6095" max="6095" width="23.109375" style="13" customWidth="1"/>
    <col min="6096" max="6096" width="13.109375" style="13" customWidth="1"/>
    <col min="6097" max="6100" width="0" style="13" hidden="1" customWidth="1"/>
    <col min="6101" max="6336" width="10.33203125" style="13"/>
    <col min="6337" max="6337" width="7" style="13" customWidth="1"/>
    <col min="6338" max="6338" width="13" style="13" customWidth="1"/>
    <col min="6339" max="6339" width="14.109375" style="13" customWidth="1"/>
    <col min="6340" max="6340" width="17.33203125" style="13" customWidth="1"/>
    <col min="6341" max="6341" width="18.88671875" style="13" customWidth="1"/>
    <col min="6342" max="6342" width="14.109375" style="13" customWidth="1"/>
    <col min="6343" max="6343" width="21.5546875" style="13" customWidth="1"/>
    <col min="6344" max="6345" width="14.109375" style="13" customWidth="1"/>
    <col min="6346" max="6346" width="15" style="13" customWidth="1"/>
    <col min="6347" max="6347" width="13.33203125" style="13" customWidth="1"/>
    <col min="6348" max="6348" width="17" style="13" customWidth="1"/>
    <col min="6349" max="6349" width="24.88671875" style="13" customWidth="1"/>
    <col min="6350" max="6350" width="14.44140625" style="13" customWidth="1"/>
    <col min="6351" max="6351" width="23.109375" style="13" customWidth="1"/>
    <col min="6352" max="6352" width="13.109375" style="13" customWidth="1"/>
    <col min="6353" max="6356" width="0" style="13" hidden="1" customWidth="1"/>
    <col min="6357" max="6592" width="10.33203125" style="13"/>
    <col min="6593" max="6593" width="7" style="13" customWidth="1"/>
    <col min="6594" max="6594" width="13" style="13" customWidth="1"/>
    <col min="6595" max="6595" width="14.109375" style="13" customWidth="1"/>
    <col min="6596" max="6596" width="17.33203125" style="13" customWidth="1"/>
    <col min="6597" max="6597" width="18.88671875" style="13" customWidth="1"/>
    <col min="6598" max="6598" width="14.109375" style="13" customWidth="1"/>
    <col min="6599" max="6599" width="21.5546875" style="13" customWidth="1"/>
    <col min="6600" max="6601" width="14.109375" style="13" customWidth="1"/>
    <col min="6602" max="6602" width="15" style="13" customWidth="1"/>
    <col min="6603" max="6603" width="13.33203125" style="13" customWidth="1"/>
    <col min="6604" max="6604" width="17" style="13" customWidth="1"/>
    <col min="6605" max="6605" width="24.88671875" style="13" customWidth="1"/>
    <col min="6606" max="6606" width="14.44140625" style="13" customWidth="1"/>
    <col min="6607" max="6607" width="23.109375" style="13" customWidth="1"/>
    <col min="6608" max="6608" width="13.109375" style="13" customWidth="1"/>
    <col min="6609" max="6612" width="0" style="13" hidden="1" customWidth="1"/>
    <col min="6613" max="6848" width="10.33203125" style="13"/>
    <col min="6849" max="6849" width="7" style="13" customWidth="1"/>
    <col min="6850" max="6850" width="13" style="13" customWidth="1"/>
    <col min="6851" max="6851" width="14.109375" style="13" customWidth="1"/>
    <col min="6852" max="6852" width="17.33203125" style="13" customWidth="1"/>
    <col min="6853" max="6853" width="18.88671875" style="13" customWidth="1"/>
    <col min="6854" max="6854" width="14.109375" style="13" customWidth="1"/>
    <col min="6855" max="6855" width="21.5546875" style="13" customWidth="1"/>
    <col min="6856" max="6857" width="14.109375" style="13" customWidth="1"/>
    <col min="6858" max="6858" width="15" style="13" customWidth="1"/>
    <col min="6859" max="6859" width="13.33203125" style="13" customWidth="1"/>
    <col min="6860" max="6860" width="17" style="13" customWidth="1"/>
    <col min="6861" max="6861" width="24.88671875" style="13" customWidth="1"/>
    <col min="6862" max="6862" width="14.44140625" style="13" customWidth="1"/>
    <col min="6863" max="6863" width="23.109375" style="13" customWidth="1"/>
    <col min="6864" max="6864" width="13.109375" style="13" customWidth="1"/>
    <col min="6865" max="6868" width="0" style="13" hidden="1" customWidth="1"/>
    <col min="6869" max="7104" width="10.33203125" style="13"/>
    <col min="7105" max="7105" width="7" style="13" customWidth="1"/>
    <col min="7106" max="7106" width="13" style="13" customWidth="1"/>
    <col min="7107" max="7107" width="14.109375" style="13" customWidth="1"/>
    <col min="7108" max="7108" width="17.33203125" style="13" customWidth="1"/>
    <col min="7109" max="7109" width="18.88671875" style="13" customWidth="1"/>
    <col min="7110" max="7110" width="14.109375" style="13" customWidth="1"/>
    <col min="7111" max="7111" width="21.5546875" style="13" customWidth="1"/>
    <col min="7112" max="7113" width="14.109375" style="13" customWidth="1"/>
    <col min="7114" max="7114" width="15" style="13" customWidth="1"/>
    <col min="7115" max="7115" width="13.33203125" style="13" customWidth="1"/>
    <col min="7116" max="7116" width="17" style="13" customWidth="1"/>
    <col min="7117" max="7117" width="24.88671875" style="13" customWidth="1"/>
    <col min="7118" max="7118" width="14.44140625" style="13" customWidth="1"/>
    <col min="7119" max="7119" width="23.109375" style="13" customWidth="1"/>
    <col min="7120" max="7120" width="13.109375" style="13" customWidth="1"/>
    <col min="7121" max="7124" width="0" style="13" hidden="1" customWidth="1"/>
    <col min="7125" max="7360" width="10.33203125" style="13"/>
    <col min="7361" max="7361" width="7" style="13" customWidth="1"/>
    <col min="7362" max="7362" width="13" style="13" customWidth="1"/>
    <col min="7363" max="7363" width="14.109375" style="13" customWidth="1"/>
    <col min="7364" max="7364" width="17.33203125" style="13" customWidth="1"/>
    <col min="7365" max="7365" width="18.88671875" style="13" customWidth="1"/>
    <col min="7366" max="7366" width="14.109375" style="13" customWidth="1"/>
    <col min="7367" max="7367" width="21.5546875" style="13" customWidth="1"/>
    <col min="7368" max="7369" width="14.109375" style="13" customWidth="1"/>
    <col min="7370" max="7370" width="15" style="13" customWidth="1"/>
    <col min="7371" max="7371" width="13.33203125" style="13" customWidth="1"/>
    <col min="7372" max="7372" width="17" style="13" customWidth="1"/>
    <col min="7373" max="7373" width="24.88671875" style="13" customWidth="1"/>
    <col min="7374" max="7374" width="14.44140625" style="13" customWidth="1"/>
    <col min="7375" max="7375" width="23.109375" style="13" customWidth="1"/>
    <col min="7376" max="7376" width="13.109375" style="13" customWidth="1"/>
    <col min="7377" max="7380" width="0" style="13" hidden="1" customWidth="1"/>
    <col min="7381" max="7616" width="10.33203125" style="13"/>
    <col min="7617" max="7617" width="7" style="13" customWidth="1"/>
    <col min="7618" max="7618" width="13" style="13" customWidth="1"/>
    <col min="7619" max="7619" width="14.109375" style="13" customWidth="1"/>
    <col min="7620" max="7620" width="17.33203125" style="13" customWidth="1"/>
    <col min="7621" max="7621" width="18.88671875" style="13" customWidth="1"/>
    <col min="7622" max="7622" width="14.109375" style="13" customWidth="1"/>
    <col min="7623" max="7623" width="21.5546875" style="13" customWidth="1"/>
    <col min="7624" max="7625" width="14.109375" style="13" customWidth="1"/>
    <col min="7626" max="7626" width="15" style="13" customWidth="1"/>
    <col min="7627" max="7627" width="13.33203125" style="13" customWidth="1"/>
    <col min="7628" max="7628" width="17" style="13" customWidth="1"/>
    <col min="7629" max="7629" width="24.88671875" style="13" customWidth="1"/>
    <col min="7630" max="7630" width="14.44140625" style="13" customWidth="1"/>
    <col min="7631" max="7631" width="23.109375" style="13" customWidth="1"/>
    <col min="7632" max="7632" width="13.109375" style="13" customWidth="1"/>
    <col min="7633" max="7636" width="0" style="13" hidden="1" customWidth="1"/>
    <col min="7637" max="7872" width="10.33203125" style="13"/>
    <col min="7873" max="7873" width="7" style="13" customWidth="1"/>
    <col min="7874" max="7874" width="13" style="13" customWidth="1"/>
    <col min="7875" max="7875" width="14.109375" style="13" customWidth="1"/>
    <col min="7876" max="7876" width="17.33203125" style="13" customWidth="1"/>
    <col min="7877" max="7877" width="18.88671875" style="13" customWidth="1"/>
    <col min="7878" max="7878" width="14.109375" style="13" customWidth="1"/>
    <col min="7879" max="7879" width="21.5546875" style="13" customWidth="1"/>
    <col min="7880" max="7881" width="14.109375" style="13" customWidth="1"/>
    <col min="7882" max="7882" width="15" style="13" customWidth="1"/>
    <col min="7883" max="7883" width="13.33203125" style="13" customWidth="1"/>
    <col min="7884" max="7884" width="17" style="13" customWidth="1"/>
    <col min="7885" max="7885" width="24.88671875" style="13" customWidth="1"/>
    <col min="7886" max="7886" width="14.44140625" style="13" customWidth="1"/>
    <col min="7887" max="7887" width="23.109375" style="13" customWidth="1"/>
    <col min="7888" max="7888" width="13.109375" style="13" customWidth="1"/>
    <col min="7889" max="7892" width="0" style="13" hidden="1" customWidth="1"/>
    <col min="7893" max="8128" width="10.33203125" style="13"/>
    <col min="8129" max="8129" width="7" style="13" customWidth="1"/>
    <col min="8130" max="8130" width="13" style="13" customWidth="1"/>
    <col min="8131" max="8131" width="14.109375" style="13" customWidth="1"/>
    <col min="8132" max="8132" width="17.33203125" style="13" customWidth="1"/>
    <col min="8133" max="8133" width="18.88671875" style="13" customWidth="1"/>
    <col min="8134" max="8134" width="14.109375" style="13" customWidth="1"/>
    <col min="8135" max="8135" width="21.5546875" style="13" customWidth="1"/>
    <col min="8136" max="8137" width="14.109375" style="13" customWidth="1"/>
    <col min="8138" max="8138" width="15" style="13" customWidth="1"/>
    <col min="8139" max="8139" width="13.33203125" style="13" customWidth="1"/>
    <col min="8140" max="8140" width="17" style="13" customWidth="1"/>
    <col min="8141" max="8141" width="24.88671875" style="13" customWidth="1"/>
    <col min="8142" max="8142" width="14.44140625" style="13" customWidth="1"/>
    <col min="8143" max="8143" width="23.109375" style="13" customWidth="1"/>
    <col min="8144" max="8144" width="13.109375" style="13" customWidth="1"/>
    <col min="8145" max="8148" width="0" style="13" hidden="1" customWidth="1"/>
    <col min="8149" max="8384" width="10.33203125" style="13"/>
    <col min="8385" max="8385" width="7" style="13" customWidth="1"/>
    <col min="8386" max="8386" width="13" style="13" customWidth="1"/>
    <col min="8387" max="8387" width="14.109375" style="13" customWidth="1"/>
    <col min="8388" max="8388" width="17.33203125" style="13" customWidth="1"/>
    <col min="8389" max="8389" width="18.88671875" style="13" customWidth="1"/>
    <col min="8390" max="8390" width="14.109375" style="13" customWidth="1"/>
    <col min="8391" max="8391" width="21.5546875" style="13" customWidth="1"/>
    <col min="8392" max="8393" width="14.109375" style="13" customWidth="1"/>
    <col min="8394" max="8394" width="15" style="13" customWidth="1"/>
    <col min="8395" max="8395" width="13.33203125" style="13" customWidth="1"/>
    <col min="8396" max="8396" width="17" style="13" customWidth="1"/>
    <col min="8397" max="8397" width="24.88671875" style="13" customWidth="1"/>
    <col min="8398" max="8398" width="14.44140625" style="13" customWidth="1"/>
    <col min="8399" max="8399" width="23.109375" style="13" customWidth="1"/>
    <col min="8400" max="8400" width="13.109375" style="13" customWidth="1"/>
    <col min="8401" max="8404" width="0" style="13" hidden="1" customWidth="1"/>
    <col min="8405" max="8640" width="10.33203125" style="13"/>
    <col min="8641" max="8641" width="7" style="13" customWidth="1"/>
    <col min="8642" max="8642" width="13" style="13" customWidth="1"/>
    <col min="8643" max="8643" width="14.109375" style="13" customWidth="1"/>
    <col min="8644" max="8644" width="17.33203125" style="13" customWidth="1"/>
    <col min="8645" max="8645" width="18.88671875" style="13" customWidth="1"/>
    <col min="8646" max="8646" width="14.109375" style="13" customWidth="1"/>
    <col min="8647" max="8647" width="21.5546875" style="13" customWidth="1"/>
    <col min="8648" max="8649" width="14.109375" style="13" customWidth="1"/>
    <col min="8650" max="8650" width="15" style="13" customWidth="1"/>
    <col min="8651" max="8651" width="13.33203125" style="13" customWidth="1"/>
    <col min="8652" max="8652" width="17" style="13" customWidth="1"/>
    <col min="8653" max="8653" width="24.88671875" style="13" customWidth="1"/>
    <col min="8654" max="8654" width="14.44140625" style="13" customWidth="1"/>
    <col min="8655" max="8655" width="23.109375" style="13" customWidth="1"/>
    <col min="8656" max="8656" width="13.109375" style="13" customWidth="1"/>
    <col min="8657" max="8660" width="0" style="13" hidden="1" customWidth="1"/>
    <col min="8661" max="8896" width="10.33203125" style="13"/>
    <col min="8897" max="8897" width="7" style="13" customWidth="1"/>
    <col min="8898" max="8898" width="13" style="13" customWidth="1"/>
    <col min="8899" max="8899" width="14.109375" style="13" customWidth="1"/>
    <col min="8900" max="8900" width="17.33203125" style="13" customWidth="1"/>
    <col min="8901" max="8901" width="18.88671875" style="13" customWidth="1"/>
    <col min="8902" max="8902" width="14.109375" style="13" customWidth="1"/>
    <col min="8903" max="8903" width="21.5546875" style="13" customWidth="1"/>
    <col min="8904" max="8905" width="14.109375" style="13" customWidth="1"/>
    <col min="8906" max="8906" width="15" style="13" customWidth="1"/>
    <col min="8907" max="8907" width="13.33203125" style="13" customWidth="1"/>
    <col min="8908" max="8908" width="17" style="13" customWidth="1"/>
    <col min="8909" max="8909" width="24.88671875" style="13" customWidth="1"/>
    <col min="8910" max="8910" width="14.44140625" style="13" customWidth="1"/>
    <col min="8911" max="8911" width="23.109375" style="13" customWidth="1"/>
    <col min="8912" max="8912" width="13.109375" style="13" customWidth="1"/>
    <col min="8913" max="8916" width="0" style="13" hidden="1" customWidth="1"/>
    <col min="8917" max="9152" width="10.33203125" style="13"/>
    <col min="9153" max="9153" width="7" style="13" customWidth="1"/>
    <col min="9154" max="9154" width="13" style="13" customWidth="1"/>
    <col min="9155" max="9155" width="14.109375" style="13" customWidth="1"/>
    <col min="9156" max="9156" width="17.33203125" style="13" customWidth="1"/>
    <col min="9157" max="9157" width="18.88671875" style="13" customWidth="1"/>
    <col min="9158" max="9158" width="14.109375" style="13" customWidth="1"/>
    <col min="9159" max="9159" width="21.5546875" style="13" customWidth="1"/>
    <col min="9160" max="9161" width="14.109375" style="13" customWidth="1"/>
    <col min="9162" max="9162" width="15" style="13" customWidth="1"/>
    <col min="9163" max="9163" width="13.33203125" style="13" customWidth="1"/>
    <col min="9164" max="9164" width="17" style="13" customWidth="1"/>
    <col min="9165" max="9165" width="24.88671875" style="13" customWidth="1"/>
    <col min="9166" max="9166" width="14.44140625" style="13" customWidth="1"/>
    <col min="9167" max="9167" width="23.109375" style="13" customWidth="1"/>
    <col min="9168" max="9168" width="13.109375" style="13" customWidth="1"/>
    <col min="9169" max="9172" width="0" style="13" hidden="1" customWidth="1"/>
    <col min="9173" max="9408" width="10.33203125" style="13"/>
    <col min="9409" max="9409" width="7" style="13" customWidth="1"/>
    <col min="9410" max="9410" width="13" style="13" customWidth="1"/>
    <col min="9411" max="9411" width="14.109375" style="13" customWidth="1"/>
    <col min="9412" max="9412" width="17.33203125" style="13" customWidth="1"/>
    <col min="9413" max="9413" width="18.88671875" style="13" customWidth="1"/>
    <col min="9414" max="9414" width="14.109375" style="13" customWidth="1"/>
    <col min="9415" max="9415" width="21.5546875" style="13" customWidth="1"/>
    <col min="9416" max="9417" width="14.109375" style="13" customWidth="1"/>
    <col min="9418" max="9418" width="15" style="13" customWidth="1"/>
    <col min="9419" max="9419" width="13.33203125" style="13" customWidth="1"/>
    <col min="9420" max="9420" width="17" style="13" customWidth="1"/>
    <col min="9421" max="9421" width="24.88671875" style="13" customWidth="1"/>
    <col min="9422" max="9422" width="14.44140625" style="13" customWidth="1"/>
    <col min="9423" max="9423" width="23.109375" style="13" customWidth="1"/>
    <col min="9424" max="9424" width="13.109375" style="13" customWidth="1"/>
    <col min="9425" max="9428" width="0" style="13" hidden="1" customWidth="1"/>
    <col min="9429" max="9664" width="10.33203125" style="13"/>
    <col min="9665" max="9665" width="7" style="13" customWidth="1"/>
    <col min="9666" max="9666" width="13" style="13" customWidth="1"/>
    <col min="9667" max="9667" width="14.109375" style="13" customWidth="1"/>
    <col min="9668" max="9668" width="17.33203125" style="13" customWidth="1"/>
    <col min="9669" max="9669" width="18.88671875" style="13" customWidth="1"/>
    <col min="9670" max="9670" width="14.109375" style="13" customWidth="1"/>
    <col min="9671" max="9671" width="21.5546875" style="13" customWidth="1"/>
    <col min="9672" max="9673" width="14.109375" style="13" customWidth="1"/>
    <col min="9674" max="9674" width="15" style="13" customWidth="1"/>
    <col min="9675" max="9675" width="13.33203125" style="13" customWidth="1"/>
    <col min="9676" max="9676" width="17" style="13" customWidth="1"/>
    <col min="9677" max="9677" width="24.88671875" style="13" customWidth="1"/>
    <col min="9678" max="9678" width="14.44140625" style="13" customWidth="1"/>
    <col min="9679" max="9679" width="23.109375" style="13" customWidth="1"/>
    <col min="9680" max="9680" width="13.109375" style="13" customWidth="1"/>
    <col min="9681" max="9684" width="0" style="13" hidden="1" customWidth="1"/>
    <col min="9685" max="9920" width="10.33203125" style="13"/>
    <col min="9921" max="9921" width="7" style="13" customWidth="1"/>
    <col min="9922" max="9922" width="13" style="13" customWidth="1"/>
    <col min="9923" max="9923" width="14.109375" style="13" customWidth="1"/>
    <col min="9924" max="9924" width="17.33203125" style="13" customWidth="1"/>
    <col min="9925" max="9925" width="18.88671875" style="13" customWidth="1"/>
    <col min="9926" max="9926" width="14.109375" style="13" customWidth="1"/>
    <col min="9927" max="9927" width="21.5546875" style="13" customWidth="1"/>
    <col min="9928" max="9929" width="14.109375" style="13" customWidth="1"/>
    <col min="9930" max="9930" width="15" style="13" customWidth="1"/>
    <col min="9931" max="9931" width="13.33203125" style="13" customWidth="1"/>
    <col min="9932" max="9932" width="17" style="13" customWidth="1"/>
    <col min="9933" max="9933" width="24.88671875" style="13" customWidth="1"/>
    <col min="9934" max="9934" width="14.44140625" style="13" customWidth="1"/>
    <col min="9935" max="9935" width="23.109375" style="13" customWidth="1"/>
    <col min="9936" max="9936" width="13.109375" style="13" customWidth="1"/>
    <col min="9937" max="9940" width="0" style="13" hidden="1" customWidth="1"/>
    <col min="9941" max="10176" width="10.33203125" style="13"/>
    <col min="10177" max="10177" width="7" style="13" customWidth="1"/>
    <col min="10178" max="10178" width="13" style="13" customWidth="1"/>
    <col min="10179" max="10179" width="14.109375" style="13" customWidth="1"/>
    <col min="10180" max="10180" width="17.33203125" style="13" customWidth="1"/>
    <col min="10181" max="10181" width="18.88671875" style="13" customWidth="1"/>
    <col min="10182" max="10182" width="14.109375" style="13" customWidth="1"/>
    <col min="10183" max="10183" width="21.5546875" style="13" customWidth="1"/>
    <col min="10184" max="10185" width="14.109375" style="13" customWidth="1"/>
    <col min="10186" max="10186" width="15" style="13" customWidth="1"/>
    <col min="10187" max="10187" width="13.33203125" style="13" customWidth="1"/>
    <col min="10188" max="10188" width="17" style="13" customWidth="1"/>
    <col min="10189" max="10189" width="24.88671875" style="13" customWidth="1"/>
    <col min="10190" max="10190" width="14.44140625" style="13" customWidth="1"/>
    <col min="10191" max="10191" width="23.109375" style="13" customWidth="1"/>
    <col min="10192" max="10192" width="13.109375" style="13" customWidth="1"/>
    <col min="10193" max="10196" width="0" style="13" hidden="1" customWidth="1"/>
    <col min="10197" max="10432" width="10.33203125" style="13"/>
    <col min="10433" max="10433" width="7" style="13" customWidth="1"/>
    <col min="10434" max="10434" width="13" style="13" customWidth="1"/>
    <col min="10435" max="10435" width="14.109375" style="13" customWidth="1"/>
    <col min="10436" max="10436" width="17.33203125" style="13" customWidth="1"/>
    <col min="10437" max="10437" width="18.88671875" style="13" customWidth="1"/>
    <col min="10438" max="10438" width="14.109375" style="13" customWidth="1"/>
    <col min="10439" max="10439" width="21.5546875" style="13" customWidth="1"/>
    <col min="10440" max="10441" width="14.109375" style="13" customWidth="1"/>
    <col min="10442" max="10442" width="15" style="13" customWidth="1"/>
    <col min="10443" max="10443" width="13.33203125" style="13" customWidth="1"/>
    <col min="10444" max="10444" width="17" style="13" customWidth="1"/>
    <col min="10445" max="10445" width="24.88671875" style="13" customWidth="1"/>
    <col min="10446" max="10446" width="14.44140625" style="13" customWidth="1"/>
    <col min="10447" max="10447" width="23.109375" style="13" customWidth="1"/>
    <col min="10448" max="10448" width="13.109375" style="13" customWidth="1"/>
    <col min="10449" max="10452" width="0" style="13" hidden="1" customWidth="1"/>
    <col min="10453" max="10688" width="10.33203125" style="13"/>
    <col min="10689" max="10689" width="7" style="13" customWidth="1"/>
    <col min="10690" max="10690" width="13" style="13" customWidth="1"/>
    <col min="10691" max="10691" width="14.109375" style="13" customWidth="1"/>
    <col min="10692" max="10692" width="17.33203125" style="13" customWidth="1"/>
    <col min="10693" max="10693" width="18.88671875" style="13" customWidth="1"/>
    <col min="10694" max="10694" width="14.109375" style="13" customWidth="1"/>
    <col min="10695" max="10695" width="21.5546875" style="13" customWidth="1"/>
    <col min="10696" max="10697" width="14.109375" style="13" customWidth="1"/>
    <col min="10698" max="10698" width="15" style="13" customWidth="1"/>
    <col min="10699" max="10699" width="13.33203125" style="13" customWidth="1"/>
    <col min="10700" max="10700" width="17" style="13" customWidth="1"/>
    <col min="10701" max="10701" width="24.88671875" style="13" customWidth="1"/>
    <col min="10702" max="10702" width="14.44140625" style="13" customWidth="1"/>
    <col min="10703" max="10703" width="23.109375" style="13" customWidth="1"/>
    <col min="10704" max="10704" width="13.109375" style="13" customWidth="1"/>
    <col min="10705" max="10708" width="0" style="13" hidden="1" customWidth="1"/>
    <col min="10709" max="10944" width="10.33203125" style="13"/>
    <col min="10945" max="10945" width="7" style="13" customWidth="1"/>
    <col min="10946" max="10946" width="13" style="13" customWidth="1"/>
    <col min="10947" max="10947" width="14.109375" style="13" customWidth="1"/>
    <col min="10948" max="10948" width="17.33203125" style="13" customWidth="1"/>
    <col min="10949" max="10949" width="18.88671875" style="13" customWidth="1"/>
    <col min="10950" max="10950" width="14.109375" style="13" customWidth="1"/>
    <col min="10951" max="10951" width="21.5546875" style="13" customWidth="1"/>
    <col min="10952" max="10953" width="14.109375" style="13" customWidth="1"/>
    <col min="10954" max="10954" width="15" style="13" customWidth="1"/>
    <col min="10955" max="10955" width="13.33203125" style="13" customWidth="1"/>
    <col min="10956" max="10956" width="17" style="13" customWidth="1"/>
    <col min="10957" max="10957" width="24.88671875" style="13" customWidth="1"/>
    <col min="10958" max="10958" width="14.44140625" style="13" customWidth="1"/>
    <col min="10959" max="10959" width="23.109375" style="13" customWidth="1"/>
    <col min="10960" max="10960" width="13.109375" style="13" customWidth="1"/>
    <col min="10961" max="10964" width="0" style="13" hidden="1" customWidth="1"/>
    <col min="10965" max="11200" width="10.33203125" style="13"/>
    <col min="11201" max="11201" width="7" style="13" customWidth="1"/>
    <col min="11202" max="11202" width="13" style="13" customWidth="1"/>
    <col min="11203" max="11203" width="14.109375" style="13" customWidth="1"/>
    <col min="11204" max="11204" width="17.33203125" style="13" customWidth="1"/>
    <col min="11205" max="11205" width="18.88671875" style="13" customWidth="1"/>
    <col min="11206" max="11206" width="14.109375" style="13" customWidth="1"/>
    <col min="11207" max="11207" width="21.5546875" style="13" customWidth="1"/>
    <col min="11208" max="11209" width="14.109375" style="13" customWidth="1"/>
    <col min="11210" max="11210" width="15" style="13" customWidth="1"/>
    <col min="11211" max="11211" width="13.33203125" style="13" customWidth="1"/>
    <col min="11212" max="11212" width="17" style="13" customWidth="1"/>
    <col min="11213" max="11213" width="24.88671875" style="13" customWidth="1"/>
    <col min="11214" max="11214" width="14.44140625" style="13" customWidth="1"/>
    <col min="11215" max="11215" width="23.109375" style="13" customWidth="1"/>
    <col min="11216" max="11216" width="13.109375" style="13" customWidth="1"/>
    <col min="11217" max="11220" width="0" style="13" hidden="1" customWidth="1"/>
    <col min="11221" max="11456" width="10.33203125" style="13"/>
    <col min="11457" max="11457" width="7" style="13" customWidth="1"/>
    <col min="11458" max="11458" width="13" style="13" customWidth="1"/>
    <col min="11459" max="11459" width="14.109375" style="13" customWidth="1"/>
    <col min="11460" max="11460" width="17.33203125" style="13" customWidth="1"/>
    <col min="11461" max="11461" width="18.88671875" style="13" customWidth="1"/>
    <col min="11462" max="11462" width="14.109375" style="13" customWidth="1"/>
    <col min="11463" max="11463" width="21.5546875" style="13" customWidth="1"/>
    <col min="11464" max="11465" width="14.109375" style="13" customWidth="1"/>
    <col min="11466" max="11466" width="15" style="13" customWidth="1"/>
    <col min="11467" max="11467" width="13.33203125" style="13" customWidth="1"/>
    <col min="11468" max="11468" width="17" style="13" customWidth="1"/>
    <col min="11469" max="11469" width="24.88671875" style="13" customWidth="1"/>
    <col min="11470" max="11470" width="14.44140625" style="13" customWidth="1"/>
    <col min="11471" max="11471" width="23.109375" style="13" customWidth="1"/>
    <col min="11472" max="11472" width="13.109375" style="13" customWidth="1"/>
    <col min="11473" max="11476" width="0" style="13" hidden="1" customWidth="1"/>
    <col min="11477" max="11712" width="10.33203125" style="13"/>
    <col min="11713" max="11713" width="7" style="13" customWidth="1"/>
    <col min="11714" max="11714" width="13" style="13" customWidth="1"/>
    <col min="11715" max="11715" width="14.109375" style="13" customWidth="1"/>
    <col min="11716" max="11716" width="17.33203125" style="13" customWidth="1"/>
    <col min="11717" max="11717" width="18.88671875" style="13" customWidth="1"/>
    <col min="11718" max="11718" width="14.109375" style="13" customWidth="1"/>
    <col min="11719" max="11719" width="21.5546875" style="13" customWidth="1"/>
    <col min="11720" max="11721" width="14.109375" style="13" customWidth="1"/>
    <col min="11722" max="11722" width="15" style="13" customWidth="1"/>
    <col min="11723" max="11723" width="13.33203125" style="13" customWidth="1"/>
    <col min="11724" max="11724" width="17" style="13" customWidth="1"/>
    <col min="11725" max="11725" width="24.88671875" style="13" customWidth="1"/>
    <col min="11726" max="11726" width="14.44140625" style="13" customWidth="1"/>
    <col min="11727" max="11727" width="23.109375" style="13" customWidth="1"/>
    <col min="11728" max="11728" width="13.109375" style="13" customWidth="1"/>
    <col min="11729" max="11732" width="0" style="13" hidden="1" customWidth="1"/>
    <col min="11733" max="11968" width="10.33203125" style="13"/>
    <col min="11969" max="11969" width="7" style="13" customWidth="1"/>
    <col min="11970" max="11970" width="13" style="13" customWidth="1"/>
    <col min="11971" max="11971" width="14.109375" style="13" customWidth="1"/>
    <col min="11972" max="11972" width="17.33203125" style="13" customWidth="1"/>
    <col min="11973" max="11973" width="18.88671875" style="13" customWidth="1"/>
    <col min="11974" max="11974" width="14.109375" style="13" customWidth="1"/>
    <col min="11975" max="11975" width="21.5546875" style="13" customWidth="1"/>
    <col min="11976" max="11977" width="14.109375" style="13" customWidth="1"/>
    <col min="11978" max="11978" width="15" style="13" customWidth="1"/>
    <col min="11979" max="11979" width="13.33203125" style="13" customWidth="1"/>
    <col min="11980" max="11980" width="17" style="13" customWidth="1"/>
    <col min="11981" max="11981" width="24.88671875" style="13" customWidth="1"/>
    <col min="11982" max="11982" width="14.44140625" style="13" customWidth="1"/>
    <col min="11983" max="11983" width="23.109375" style="13" customWidth="1"/>
    <col min="11984" max="11984" width="13.109375" style="13" customWidth="1"/>
    <col min="11985" max="11988" width="0" style="13" hidden="1" customWidth="1"/>
    <col min="11989" max="12224" width="10.33203125" style="13"/>
    <col min="12225" max="12225" width="7" style="13" customWidth="1"/>
    <col min="12226" max="12226" width="13" style="13" customWidth="1"/>
    <col min="12227" max="12227" width="14.109375" style="13" customWidth="1"/>
    <col min="12228" max="12228" width="17.33203125" style="13" customWidth="1"/>
    <col min="12229" max="12229" width="18.88671875" style="13" customWidth="1"/>
    <col min="12230" max="12230" width="14.109375" style="13" customWidth="1"/>
    <col min="12231" max="12231" width="21.5546875" style="13" customWidth="1"/>
    <col min="12232" max="12233" width="14.109375" style="13" customWidth="1"/>
    <col min="12234" max="12234" width="15" style="13" customWidth="1"/>
    <col min="12235" max="12235" width="13.33203125" style="13" customWidth="1"/>
    <col min="12236" max="12236" width="17" style="13" customWidth="1"/>
    <col min="12237" max="12237" width="24.88671875" style="13" customWidth="1"/>
    <col min="12238" max="12238" width="14.44140625" style="13" customWidth="1"/>
    <col min="12239" max="12239" width="23.109375" style="13" customWidth="1"/>
    <col min="12240" max="12240" width="13.109375" style="13" customWidth="1"/>
    <col min="12241" max="12244" width="0" style="13" hidden="1" customWidth="1"/>
    <col min="12245" max="12480" width="10.33203125" style="13"/>
    <col min="12481" max="12481" width="7" style="13" customWidth="1"/>
    <col min="12482" max="12482" width="13" style="13" customWidth="1"/>
    <col min="12483" max="12483" width="14.109375" style="13" customWidth="1"/>
    <col min="12484" max="12484" width="17.33203125" style="13" customWidth="1"/>
    <col min="12485" max="12485" width="18.88671875" style="13" customWidth="1"/>
    <col min="12486" max="12486" width="14.109375" style="13" customWidth="1"/>
    <col min="12487" max="12487" width="21.5546875" style="13" customWidth="1"/>
    <col min="12488" max="12489" width="14.109375" style="13" customWidth="1"/>
    <col min="12490" max="12490" width="15" style="13" customWidth="1"/>
    <col min="12491" max="12491" width="13.33203125" style="13" customWidth="1"/>
    <col min="12492" max="12492" width="17" style="13" customWidth="1"/>
    <col min="12493" max="12493" width="24.88671875" style="13" customWidth="1"/>
    <col min="12494" max="12494" width="14.44140625" style="13" customWidth="1"/>
    <col min="12495" max="12495" width="23.109375" style="13" customWidth="1"/>
    <col min="12496" max="12496" width="13.109375" style="13" customWidth="1"/>
    <col min="12497" max="12500" width="0" style="13" hidden="1" customWidth="1"/>
    <col min="12501" max="12736" width="10.33203125" style="13"/>
    <col min="12737" max="12737" width="7" style="13" customWidth="1"/>
    <col min="12738" max="12738" width="13" style="13" customWidth="1"/>
    <col min="12739" max="12739" width="14.109375" style="13" customWidth="1"/>
    <col min="12740" max="12740" width="17.33203125" style="13" customWidth="1"/>
    <col min="12741" max="12741" width="18.88671875" style="13" customWidth="1"/>
    <col min="12742" max="12742" width="14.109375" style="13" customWidth="1"/>
    <col min="12743" max="12743" width="21.5546875" style="13" customWidth="1"/>
    <col min="12744" max="12745" width="14.109375" style="13" customWidth="1"/>
    <col min="12746" max="12746" width="15" style="13" customWidth="1"/>
    <col min="12747" max="12747" width="13.33203125" style="13" customWidth="1"/>
    <col min="12748" max="12748" width="17" style="13" customWidth="1"/>
    <col min="12749" max="12749" width="24.88671875" style="13" customWidth="1"/>
    <col min="12750" max="12750" width="14.44140625" style="13" customWidth="1"/>
    <col min="12751" max="12751" width="23.109375" style="13" customWidth="1"/>
    <col min="12752" max="12752" width="13.109375" style="13" customWidth="1"/>
    <col min="12753" max="12756" width="0" style="13" hidden="1" customWidth="1"/>
    <col min="12757" max="12992" width="10.33203125" style="13"/>
    <col min="12993" max="12993" width="7" style="13" customWidth="1"/>
    <col min="12994" max="12994" width="13" style="13" customWidth="1"/>
    <col min="12995" max="12995" width="14.109375" style="13" customWidth="1"/>
    <col min="12996" max="12996" width="17.33203125" style="13" customWidth="1"/>
    <col min="12997" max="12997" width="18.88671875" style="13" customWidth="1"/>
    <col min="12998" max="12998" width="14.109375" style="13" customWidth="1"/>
    <col min="12999" max="12999" width="21.5546875" style="13" customWidth="1"/>
    <col min="13000" max="13001" width="14.109375" style="13" customWidth="1"/>
    <col min="13002" max="13002" width="15" style="13" customWidth="1"/>
    <col min="13003" max="13003" width="13.33203125" style="13" customWidth="1"/>
    <col min="13004" max="13004" width="17" style="13" customWidth="1"/>
    <col min="13005" max="13005" width="24.88671875" style="13" customWidth="1"/>
    <col min="13006" max="13006" width="14.44140625" style="13" customWidth="1"/>
    <col min="13007" max="13007" width="23.109375" style="13" customWidth="1"/>
    <col min="13008" max="13008" width="13.109375" style="13" customWidth="1"/>
    <col min="13009" max="13012" width="0" style="13" hidden="1" customWidth="1"/>
    <col min="13013" max="13248" width="10.33203125" style="13"/>
    <col min="13249" max="13249" width="7" style="13" customWidth="1"/>
    <col min="13250" max="13250" width="13" style="13" customWidth="1"/>
    <col min="13251" max="13251" width="14.109375" style="13" customWidth="1"/>
    <col min="13252" max="13252" width="17.33203125" style="13" customWidth="1"/>
    <col min="13253" max="13253" width="18.88671875" style="13" customWidth="1"/>
    <col min="13254" max="13254" width="14.109375" style="13" customWidth="1"/>
    <col min="13255" max="13255" width="21.5546875" style="13" customWidth="1"/>
    <col min="13256" max="13257" width="14.109375" style="13" customWidth="1"/>
    <col min="13258" max="13258" width="15" style="13" customWidth="1"/>
    <col min="13259" max="13259" width="13.33203125" style="13" customWidth="1"/>
    <col min="13260" max="13260" width="17" style="13" customWidth="1"/>
    <col min="13261" max="13261" width="24.88671875" style="13" customWidth="1"/>
    <col min="13262" max="13262" width="14.44140625" style="13" customWidth="1"/>
    <col min="13263" max="13263" width="23.109375" style="13" customWidth="1"/>
    <col min="13264" max="13264" width="13.109375" style="13" customWidth="1"/>
    <col min="13265" max="13268" width="0" style="13" hidden="1" customWidth="1"/>
    <col min="13269" max="13504" width="10.33203125" style="13"/>
    <col min="13505" max="13505" width="7" style="13" customWidth="1"/>
    <col min="13506" max="13506" width="13" style="13" customWidth="1"/>
    <col min="13507" max="13507" width="14.109375" style="13" customWidth="1"/>
    <col min="13508" max="13508" width="17.33203125" style="13" customWidth="1"/>
    <col min="13509" max="13509" width="18.88671875" style="13" customWidth="1"/>
    <col min="13510" max="13510" width="14.109375" style="13" customWidth="1"/>
    <col min="13511" max="13511" width="21.5546875" style="13" customWidth="1"/>
    <col min="13512" max="13513" width="14.109375" style="13" customWidth="1"/>
    <col min="13514" max="13514" width="15" style="13" customWidth="1"/>
    <col min="13515" max="13515" width="13.33203125" style="13" customWidth="1"/>
    <col min="13516" max="13516" width="17" style="13" customWidth="1"/>
    <col min="13517" max="13517" width="24.88671875" style="13" customWidth="1"/>
    <col min="13518" max="13518" width="14.44140625" style="13" customWidth="1"/>
    <col min="13519" max="13519" width="23.109375" style="13" customWidth="1"/>
    <col min="13520" max="13520" width="13.109375" style="13" customWidth="1"/>
    <col min="13521" max="13524" width="0" style="13" hidden="1" customWidth="1"/>
    <col min="13525" max="13760" width="10.33203125" style="13"/>
    <col min="13761" max="13761" width="7" style="13" customWidth="1"/>
    <col min="13762" max="13762" width="13" style="13" customWidth="1"/>
    <col min="13763" max="13763" width="14.109375" style="13" customWidth="1"/>
    <col min="13764" max="13764" width="17.33203125" style="13" customWidth="1"/>
    <col min="13765" max="13765" width="18.88671875" style="13" customWidth="1"/>
    <col min="13766" max="13766" width="14.109375" style="13" customWidth="1"/>
    <col min="13767" max="13767" width="21.5546875" style="13" customWidth="1"/>
    <col min="13768" max="13769" width="14.109375" style="13" customWidth="1"/>
    <col min="13770" max="13770" width="15" style="13" customWidth="1"/>
    <col min="13771" max="13771" width="13.33203125" style="13" customWidth="1"/>
    <col min="13772" max="13772" width="17" style="13" customWidth="1"/>
    <col min="13773" max="13773" width="24.88671875" style="13" customWidth="1"/>
    <col min="13774" max="13774" width="14.44140625" style="13" customWidth="1"/>
    <col min="13775" max="13775" width="23.109375" style="13" customWidth="1"/>
    <col min="13776" max="13776" width="13.109375" style="13" customWidth="1"/>
    <col min="13777" max="13780" width="0" style="13" hidden="1" customWidth="1"/>
    <col min="13781" max="14016" width="10.33203125" style="13"/>
    <col min="14017" max="14017" width="7" style="13" customWidth="1"/>
    <col min="14018" max="14018" width="13" style="13" customWidth="1"/>
    <col min="14019" max="14019" width="14.109375" style="13" customWidth="1"/>
    <col min="14020" max="14020" width="17.33203125" style="13" customWidth="1"/>
    <col min="14021" max="14021" width="18.88671875" style="13" customWidth="1"/>
    <col min="14022" max="14022" width="14.109375" style="13" customWidth="1"/>
    <col min="14023" max="14023" width="21.5546875" style="13" customWidth="1"/>
    <col min="14024" max="14025" width="14.109375" style="13" customWidth="1"/>
    <col min="14026" max="14026" width="15" style="13" customWidth="1"/>
    <col min="14027" max="14027" width="13.33203125" style="13" customWidth="1"/>
    <col min="14028" max="14028" width="17" style="13" customWidth="1"/>
    <col min="14029" max="14029" width="24.88671875" style="13" customWidth="1"/>
    <col min="14030" max="14030" width="14.44140625" style="13" customWidth="1"/>
    <col min="14031" max="14031" width="23.109375" style="13" customWidth="1"/>
    <col min="14032" max="14032" width="13.109375" style="13" customWidth="1"/>
    <col min="14033" max="14036" width="0" style="13" hidden="1" customWidth="1"/>
    <col min="14037" max="14272" width="10.33203125" style="13"/>
    <col min="14273" max="14273" width="7" style="13" customWidth="1"/>
    <col min="14274" max="14274" width="13" style="13" customWidth="1"/>
    <col min="14275" max="14275" width="14.109375" style="13" customWidth="1"/>
    <col min="14276" max="14276" width="17.33203125" style="13" customWidth="1"/>
    <col min="14277" max="14277" width="18.88671875" style="13" customWidth="1"/>
    <col min="14278" max="14278" width="14.109375" style="13" customWidth="1"/>
    <col min="14279" max="14279" width="21.5546875" style="13" customWidth="1"/>
    <col min="14280" max="14281" width="14.109375" style="13" customWidth="1"/>
    <col min="14282" max="14282" width="15" style="13" customWidth="1"/>
    <col min="14283" max="14283" width="13.33203125" style="13" customWidth="1"/>
    <col min="14284" max="14284" width="17" style="13" customWidth="1"/>
    <col min="14285" max="14285" width="24.88671875" style="13" customWidth="1"/>
    <col min="14286" max="14286" width="14.44140625" style="13" customWidth="1"/>
    <col min="14287" max="14287" width="23.109375" style="13" customWidth="1"/>
    <col min="14288" max="14288" width="13.109375" style="13" customWidth="1"/>
    <col min="14289" max="14292" width="0" style="13" hidden="1" customWidth="1"/>
    <col min="14293" max="14528" width="10.33203125" style="13"/>
    <col min="14529" max="14529" width="7" style="13" customWidth="1"/>
    <col min="14530" max="14530" width="13" style="13" customWidth="1"/>
    <col min="14531" max="14531" width="14.109375" style="13" customWidth="1"/>
    <col min="14532" max="14532" width="17.33203125" style="13" customWidth="1"/>
    <col min="14533" max="14533" width="18.88671875" style="13" customWidth="1"/>
    <col min="14534" max="14534" width="14.109375" style="13" customWidth="1"/>
    <col min="14535" max="14535" width="21.5546875" style="13" customWidth="1"/>
    <col min="14536" max="14537" width="14.109375" style="13" customWidth="1"/>
    <col min="14538" max="14538" width="15" style="13" customWidth="1"/>
    <col min="14539" max="14539" width="13.33203125" style="13" customWidth="1"/>
    <col min="14540" max="14540" width="17" style="13" customWidth="1"/>
    <col min="14541" max="14541" width="24.88671875" style="13" customWidth="1"/>
    <col min="14542" max="14542" width="14.44140625" style="13" customWidth="1"/>
    <col min="14543" max="14543" width="23.109375" style="13" customWidth="1"/>
    <col min="14544" max="14544" width="13.109375" style="13" customWidth="1"/>
    <col min="14545" max="14548" width="0" style="13" hidden="1" customWidth="1"/>
    <col min="14549" max="14784" width="10.33203125" style="13"/>
    <col min="14785" max="14785" width="7" style="13" customWidth="1"/>
    <col min="14786" max="14786" width="13" style="13" customWidth="1"/>
    <col min="14787" max="14787" width="14.109375" style="13" customWidth="1"/>
    <col min="14788" max="14788" width="17.33203125" style="13" customWidth="1"/>
    <col min="14789" max="14789" width="18.88671875" style="13" customWidth="1"/>
    <col min="14790" max="14790" width="14.109375" style="13" customWidth="1"/>
    <col min="14791" max="14791" width="21.5546875" style="13" customWidth="1"/>
    <col min="14792" max="14793" width="14.109375" style="13" customWidth="1"/>
    <col min="14794" max="14794" width="15" style="13" customWidth="1"/>
    <col min="14795" max="14795" width="13.33203125" style="13" customWidth="1"/>
    <col min="14796" max="14796" width="17" style="13" customWidth="1"/>
    <col min="14797" max="14797" width="24.88671875" style="13" customWidth="1"/>
    <col min="14798" max="14798" width="14.44140625" style="13" customWidth="1"/>
    <col min="14799" max="14799" width="23.109375" style="13" customWidth="1"/>
    <col min="14800" max="14800" width="13.109375" style="13" customWidth="1"/>
    <col min="14801" max="14804" width="0" style="13" hidden="1" customWidth="1"/>
    <col min="14805" max="15040" width="10.33203125" style="13"/>
    <col min="15041" max="15041" width="7" style="13" customWidth="1"/>
    <col min="15042" max="15042" width="13" style="13" customWidth="1"/>
    <col min="15043" max="15043" width="14.109375" style="13" customWidth="1"/>
    <col min="15044" max="15044" width="17.33203125" style="13" customWidth="1"/>
    <col min="15045" max="15045" width="18.88671875" style="13" customWidth="1"/>
    <col min="15046" max="15046" width="14.109375" style="13" customWidth="1"/>
    <col min="15047" max="15047" width="21.5546875" style="13" customWidth="1"/>
    <col min="15048" max="15049" width="14.109375" style="13" customWidth="1"/>
    <col min="15050" max="15050" width="15" style="13" customWidth="1"/>
    <col min="15051" max="15051" width="13.33203125" style="13" customWidth="1"/>
    <col min="15052" max="15052" width="17" style="13" customWidth="1"/>
    <col min="15053" max="15053" width="24.88671875" style="13" customWidth="1"/>
    <col min="15054" max="15054" width="14.44140625" style="13" customWidth="1"/>
    <col min="15055" max="15055" width="23.109375" style="13" customWidth="1"/>
    <col min="15056" max="15056" width="13.109375" style="13" customWidth="1"/>
    <col min="15057" max="15060" width="0" style="13" hidden="1" customWidth="1"/>
    <col min="15061" max="15296" width="10.33203125" style="13"/>
    <col min="15297" max="15297" width="7" style="13" customWidth="1"/>
    <col min="15298" max="15298" width="13" style="13" customWidth="1"/>
    <col min="15299" max="15299" width="14.109375" style="13" customWidth="1"/>
    <col min="15300" max="15300" width="17.33203125" style="13" customWidth="1"/>
    <col min="15301" max="15301" width="18.88671875" style="13" customWidth="1"/>
    <col min="15302" max="15302" width="14.109375" style="13" customWidth="1"/>
    <col min="15303" max="15303" width="21.5546875" style="13" customWidth="1"/>
    <col min="15304" max="15305" width="14.109375" style="13" customWidth="1"/>
    <col min="15306" max="15306" width="15" style="13" customWidth="1"/>
    <col min="15307" max="15307" width="13.33203125" style="13" customWidth="1"/>
    <col min="15308" max="15308" width="17" style="13" customWidth="1"/>
    <col min="15309" max="15309" width="24.88671875" style="13" customWidth="1"/>
    <col min="15310" max="15310" width="14.44140625" style="13" customWidth="1"/>
    <col min="15311" max="15311" width="23.109375" style="13" customWidth="1"/>
    <col min="15312" max="15312" width="13.109375" style="13" customWidth="1"/>
    <col min="15313" max="15316" width="0" style="13" hidden="1" customWidth="1"/>
    <col min="15317" max="15552" width="10.33203125" style="13"/>
    <col min="15553" max="15553" width="7" style="13" customWidth="1"/>
    <col min="15554" max="15554" width="13" style="13" customWidth="1"/>
    <col min="15555" max="15555" width="14.109375" style="13" customWidth="1"/>
    <col min="15556" max="15556" width="17.33203125" style="13" customWidth="1"/>
    <col min="15557" max="15557" width="18.88671875" style="13" customWidth="1"/>
    <col min="15558" max="15558" width="14.109375" style="13" customWidth="1"/>
    <col min="15559" max="15559" width="21.5546875" style="13" customWidth="1"/>
    <col min="15560" max="15561" width="14.109375" style="13" customWidth="1"/>
    <col min="15562" max="15562" width="15" style="13" customWidth="1"/>
    <col min="15563" max="15563" width="13.33203125" style="13" customWidth="1"/>
    <col min="15564" max="15564" width="17" style="13" customWidth="1"/>
    <col min="15565" max="15565" width="24.88671875" style="13" customWidth="1"/>
    <col min="15566" max="15566" width="14.44140625" style="13" customWidth="1"/>
    <col min="15567" max="15567" width="23.109375" style="13" customWidth="1"/>
    <col min="15568" max="15568" width="13.109375" style="13" customWidth="1"/>
    <col min="15569" max="15572" width="0" style="13" hidden="1" customWidth="1"/>
    <col min="15573" max="15808" width="10.33203125" style="13"/>
    <col min="15809" max="15809" width="7" style="13" customWidth="1"/>
    <col min="15810" max="15810" width="13" style="13" customWidth="1"/>
    <col min="15811" max="15811" width="14.109375" style="13" customWidth="1"/>
    <col min="15812" max="15812" width="17.33203125" style="13" customWidth="1"/>
    <col min="15813" max="15813" width="18.88671875" style="13" customWidth="1"/>
    <col min="15814" max="15814" width="14.109375" style="13" customWidth="1"/>
    <col min="15815" max="15815" width="21.5546875" style="13" customWidth="1"/>
    <col min="15816" max="15817" width="14.109375" style="13" customWidth="1"/>
    <col min="15818" max="15818" width="15" style="13" customWidth="1"/>
    <col min="15819" max="15819" width="13.33203125" style="13" customWidth="1"/>
    <col min="15820" max="15820" width="17" style="13" customWidth="1"/>
    <col min="15821" max="15821" width="24.88671875" style="13" customWidth="1"/>
    <col min="15822" max="15822" width="14.44140625" style="13" customWidth="1"/>
    <col min="15823" max="15823" width="23.109375" style="13" customWidth="1"/>
    <col min="15824" max="15824" width="13.109375" style="13" customWidth="1"/>
    <col min="15825" max="15828" width="0" style="13" hidden="1" customWidth="1"/>
    <col min="15829" max="16064" width="10.33203125" style="13"/>
    <col min="16065" max="16065" width="7" style="13" customWidth="1"/>
    <col min="16066" max="16066" width="13" style="13" customWidth="1"/>
    <col min="16067" max="16067" width="14.109375" style="13" customWidth="1"/>
    <col min="16068" max="16068" width="17.33203125" style="13" customWidth="1"/>
    <col min="16069" max="16069" width="18.88671875" style="13" customWidth="1"/>
    <col min="16070" max="16070" width="14.109375" style="13" customWidth="1"/>
    <col min="16071" max="16071" width="21.5546875" style="13" customWidth="1"/>
    <col min="16072" max="16073" width="14.109375" style="13" customWidth="1"/>
    <col min="16074" max="16074" width="15" style="13" customWidth="1"/>
    <col min="16075" max="16075" width="13.33203125" style="13" customWidth="1"/>
    <col min="16076" max="16076" width="17" style="13" customWidth="1"/>
    <col min="16077" max="16077" width="24.88671875" style="13" customWidth="1"/>
    <col min="16078" max="16078" width="14.44140625" style="13" customWidth="1"/>
    <col min="16079" max="16079" width="23.109375" style="13" customWidth="1"/>
    <col min="16080" max="16080" width="13.109375" style="13" customWidth="1"/>
    <col min="16081" max="16084" width="0" style="13" hidden="1" customWidth="1"/>
    <col min="16085" max="16384" width="10.33203125" style="13"/>
  </cols>
  <sheetData>
    <row r="1" spans="1:29" ht="15" customHeight="1">
      <c r="B1" s="125"/>
      <c r="N1" s="125"/>
      <c r="P1" s="719"/>
      <c r="Q1" s="719"/>
      <c r="R1" s="719"/>
      <c r="S1" s="719"/>
      <c r="T1" s="720"/>
      <c r="U1" s="720"/>
      <c r="V1" s="720"/>
      <c r="W1" s="720"/>
      <c r="X1" s="721"/>
      <c r="Y1" s="720"/>
      <c r="Z1" s="720"/>
      <c r="AA1" s="722"/>
    </row>
    <row r="2" spans="1:29" ht="20.25" customHeight="1">
      <c r="A2" s="3762" t="s">
        <v>3025</v>
      </c>
      <c r="B2" s="3763"/>
      <c r="C2" s="3763"/>
      <c r="D2" s="3763"/>
      <c r="E2" s="3763"/>
      <c r="F2" s="3763"/>
      <c r="G2" s="3763"/>
      <c r="H2" s="3763"/>
      <c r="I2" s="3763"/>
      <c r="J2" s="3763"/>
      <c r="K2" s="3763"/>
      <c r="L2" s="723"/>
      <c r="N2" s="723"/>
      <c r="O2" s="510"/>
      <c r="P2" s="510"/>
      <c r="Q2" s="510"/>
      <c r="R2" s="510"/>
      <c r="S2" s="510"/>
      <c r="T2" s="510"/>
      <c r="U2" s="510"/>
      <c r="V2" s="510"/>
      <c r="W2" s="510"/>
      <c r="X2" s="510"/>
      <c r="Y2" s="510"/>
      <c r="Z2" s="510"/>
      <c r="AA2" s="510"/>
      <c r="AB2" s="13"/>
    </row>
    <row r="3" spans="1:29">
      <c r="B3" s="478"/>
      <c r="C3" s="655" t="s">
        <v>3026</v>
      </c>
      <c r="I3" s="478"/>
      <c r="J3" s="478"/>
      <c r="L3" s="478"/>
      <c r="N3" s="478"/>
    </row>
    <row r="4" spans="1:29" ht="39.6">
      <c r="A4" s="29" t="s">
        <v>2</v>
      </c>
      <c r="B4" s="483" t="s">
        <v>2773</v>
      </c>
      <c r="C4" s="1130" t="s">
        <v>3</v>
      </c>
      <c r="D4" s="1131" t="s">
        <v>4</v>
      </c>
      <c r="E4" s="1130" t="s">
        <v>5</v>
      </c>
      <c r="F4" s="1130" t="s">
        <v>401</v>
      </c>
      <c r="G4" s="33" t="s">
        <v>8</v>
      </c>
      <c r="H4" s="33" t="s">
        <v>9</v>
      </c>
      <c r="I4" s="323" t="s">
        <v>3024</v>
      </c>
      <c r="J4" s="323" t="s">
        <v>2884</v>
      </c>
      <c r="K4" s="323" t="s">
        <v>2791</v>
      </c>
      <c r="L4" s="323" t="s">
        <v>2883</v>
      </c>
      <c r="M4" s="323" t="s">
        <v>63</v>
      </c>
      <c r="N4" s="33" t="s">
        <v>1583</v>
      </c>
      <c r="O4" s="29" t="s">
        <v>15</v>
      </c>
      <c r="P4" s="1132" t="s">
        <v>1291</v>
      </c>
      <c r="Q4" s="1132" t="s">
        <v>190</v>
      </c>
      <c r="R4" s="1132" t="s">
        <v>191</v>
      </c>
      <c r="S4" s="1133" t="s">
        <v>192</v>
      </c>
      <c r="T4" s="1133" t="s">
        <v>193</v>
      </c>
      <c r="U4" s="1134" t="s">
        <v>194</v>
      </c>
      <c r="V4" s="1134" t="s">
        <v>195</v>
      </c>
      <c r="W4" s="1135" t="s">
        <v>196</v>
      </c>
      <c r="X4" s="1136" t="s">
        <v>197</v>
      </c>
      <c r="Y4" s="1133" t="s">
        <v>198</v>
      </c>
      <c r="Z4" s="1134" t="s">
        <v>199</v>
      </c>
      <c r="AA4" s="1137" t="s">
        <v>200</v>
      </c>
      <c r="AB4" s="36" t="s">
        <v>204</v>
      </c>
    </row>
    <row r="5" spans="1:29" s="1072" customFormat="1">
      <c r="A5" s="3761" t="s">
        <v>2941</v>
      </c>
      <c r="B5" s="3761"/>
      <c r="C5" s="3761"/>
      <c r="D5" s="3761"/>
      <c r="E5" s="3761"/>
      <c r="F5" s="3761"/>
      <c r="G5" s="3761"/>
      <c r="H5" s="3761"/>
      <c r="I5" s="3761"/>
      <c r="J5" s="3761"/>
      <c r="K5" s="3761"/>
      <c r="L5" s="3761"/>
      <c r="M5" s="3761"/>
      <c r="N5" s="1101"/>
      <c r="O5" s="1111"/>
      <c r="P5" s="1123"/>
      <c r="Q5" s="1123"/>
      <c r="R5" s="1123"/>
      <c r="S5" s="1123"/>
      <c r="T5" s="1124"/>
      <c r="U5" s="1123"/>
      <c r="V5" s="1125"/>
      <c r="W5" s="1126"/>
      <c r="X5" s="1091"/>
      <c r="Y5" s="1127"/>
      <c r="Z5" s="1128"/>
      <c r="AA5" s="1129"/>
      <c r="AB5" s="1061"/>
    </row>
    <row r="6" spans="1:29">
      <c r="A6" s="658">
        <v>1</v>
      </c>
      <c r="B6" s="993" t="s">
        <v>3045</v>
      </c>
      <c r="C6" s="897">
        <v>106474210140</v>
      </c>
      <c r="D6" s="1138" t="s">
        <v>3044</v>
      </c>
      <c r="E6" s="900" t="s">
        <v>3072</v>
      </c>
      <c r="F6" s="901" t="s">
        <v>1300</v>
      </c>
      <c r="G6" s="445"/>
      <c r="H6" s="445"/>
      <c r="I6" s="522" t="s">
        <v>3020</v>
      </c>
      <c r="J6" s="1139" t="s">
        <v>3021</v>
      </c>
      <c r="K6" s="1140" t="s">
        <v>3022</v>
      </c>
      <c r="L6" s="1141" t="s">
        <v>3023</v>
      </c>
      <c r="M6" s="1141"/>
      <c r="N6" s="1141"/>
      <c r="O6" s="1141"/>
      <c r="P6" s="1141"/>
      <c r="Q6" s="1141"/>
      <c r="R6" s="1141"/>
      <c r="S6" s="1141"/>
      <c r="T6" s="1141"/>
      <c r="U6" s="1141"/>
      <c r="V6" s="1141"/>
      <c r="W6" s="732"/>
      <c r="X6" s="732"/>
      <c r="Y6" s="732"/>
      <c r="Z6" s="732"/>
      <c r="AA6" s="732"/>
      <c r="AB6" s="732"/>
      <c r="AC6" s="732"/>
    </row>
    <row r="7" spans="1:29" s="1072" customFormat="1">
      <c r="A7" s="3761" t="s">
        <v>3330</v>
      </c>
      <c r="B7" s="3761"/>
      <c r="C7" s="3761"/>
      <c r="D7" s="3761"/>
      <c r="E7" s="3761"/>
      <c r="F7" s="3761"/>
      <c r="G7" s="3761"/>
      <c r="H7" s="3761"/>
      <c r="I7" s="3761"/>
      <c r="J7" s="3761"/>
      <c r="K7" s="3761"/>
      <c r="L7" s="3761"/>
      <c r="M7" s="3761"/>
      <c r="N7" s="1101"/>
      <c r="O7" s="1111"/>
      <c r="P7" s="1123"/>
      <c r="Q7" s="1123"/>
      <c r="R7" s="1123"/>
      <c r="S7" s="1123"/>
      <c r="T7" s="1124"/>
      <c r="U7" s="1123"/>
      <c r="V7" s="1125"/>
      <c r="W7" s="1126"/>
      <c r="X7" s="1091"/>
      <c r="Y7" s="1127"/>
      <c r="Z7" s="1128"/>
      <c r="AA7" s="1129"/>
      <c r="AB7" s="1061"/>
    </row>
    <row r="8" spans="1:29">
      <c r="A8" s="658">
        <v>1</v>
      </c>
      <c r="B8" s="1088" t="s">
        <v>3566</v>
      </c>
      <c r="C8" s="897">
        <v>106664043250</v>
      </c>
      <c r="D8" s="899" t="s">
        <v>3542</v>
      </c>
      <c r="E8" s="900" t="s">
        <v>3910</v>
      </c>
      <c r="F8" s="901" t="s">
        <v>1300</v>
      </c>
      <c r="G8" s="445"/>
      <c r="H8" s="445"/>
      <c r="I8" s="522" t="s">
        <v>3020</v>
      </c>
      <c r="J8" s="651" t="s">
        <v>3897</v>
      </c>
      <c r="K8" s="1142" t="s">
        <v>3567</v>
      </c>
      <c r="L8" s="1141" t="s">
        <v>3568</v>
      </c>
      <c r="M8" s="924"/>
      <c r="N8" s="903"/>
      <c r="O8" s="904"/>
      <c r="P8" s="1143"/>
      <c r="Q8" s="1143"/>
      <c r="R8" s="1143"/>
      <c r="S8" s="1143"/>
      <c r="T8" s="1144"/>
      <c r="U8" s="1143"/>
      <c r="V8" s="1143"/>
      <c r="W8" s="1145"/>
      <c r="X8" s="1146"/>
      <c r="Y8" s="1147"/>
      <c r="Z8" s="1148"/>
      <c r="AA8" s="1149"/>
    </row>
    <row r="9" spans="1:29" s="1072" customFormat="1">
      <c r="A9" s="3761" t="s">
        <v>3560</v>
      </c>
      <c r="B9" s="3761"/>
      <c r="C9" s="3761"/>
      <c r="D9" s="3761"/>
      <c r="E9" s="3761"/>
      <c r="F9" s="3761"/>
      <c r="G9" s="3761"/>
      <c r="H9" s="3761"/>
      <c r="I9" s="3761"/>
      <c r="J9" s="3761"/>
      <c r="K9" s="3761"/>
      <c r="L9" s="3761"/>
      <c r="M9" s="3761"/>
      <c r="N9" s="1101"/>
      <c r="O9" s="1111"/>
      <c r="P9" s="1123"/>
      <c r="Q9" s="1123"/>
      <c r="R9" s="1123"/>
      <c r="S9" s="1123"/>
      <c r="T9" s="1124"/>
      <c r="U9" s="1123"/>
      <c r="V9" s="1125"/>
      <c r="W9" s="1126"/>
      <c r="X9" s="1091"/>
      <c r="Y9" s="1127"/>
      <c r="Z9" s="1128"/>
      <c r="AA9" s="1129"/>
      <c r="AB9" s="1061"/>
    </row>
    <row r="10" spans="1:29">
      <c r="A10" s="658">
        <v>1</v>
      </c>
      <c r="B10" s="1088"/>
      <c r="C10" s="770"/>
      <c r="D10" s="795"/>
      <c r="E10" s="660"/>
      <c r="F10" s="661"/>
      <c r="G10" s="445"/>
      <c r="H10" s="445"/>
      <c r="I10" s="577"/>
      <c r="J10" s="692"/>
      <c r="K10" s="580"/>
      <c r="L10" s="741"/>
      <c r="M10" s="922"/>
      <c r="N10" s="780"/>
      <c r="O10" s="781"/>
      <c r="P10" s="1116"/>
      <c r="Q10" s="1116"/>
      <c r="R10" s="1116"/>
      <c r="S10" s="1116"/>
      <c r="T10" s="1117"/>
      <c r="U10" s="1116"/>
      <c r="V10" s="1116"/>
      <c r="W10" s="1118"/>
      <c r="X10" s="1119"/>
      <c r="Y10" s="1120"/>
      <c r="Z10" s="1121"/>
      <c r="AA10" s="1122"/>
    </row>
    <row r="11" spans="1:29" ht="14.4">
      <c r="A11" s="326">
        <f t="shared" ref="A11:A57" si="0">+A10+1</f>
        <v>2</v>
      </c>
      <c r="B11" s="711"/>
      <c r="C11" s="1110"/>
      <c r="D11" s="46"/>
      <c r="E11"/>
      <c r="F11" s="126"/>
      <c r="G11" s="167"/>
      <c r="H11" s="167"/>
      <c r="I11" s="154"/>
      <c r="J11" s="692"/>
      <c r="K11" s="151"/>
      <c r="L11" s="690"/>
      <c r="M11" s="79"/>
      <c r="N11" s="158"/>
      <c r="O11" s="150"/>
      <c r="P11" s="733"/>
      <c r="Q11" s="733"/>
      <c r="R11" s="733"/>
      <c r="S11" s="733"/>
      <c r="T11" s="734"/>
      <c r="U11" s="733"/>
      <c r="V11" s="733"/>
      <c r="W11" s="735"/>
      <c r="X11" s="736"/>
      <c r="Y11" s="737"/>
      <c r="Z11" s="738"/>
      <c r="AA11" s="731"/>
    </row>
    <row r="12" spans="1:29">
      <c r="A12" s="326">
        <f t="shared" si="0"/>
        <v>3</v>
      </c>
      <c r="B12" s="711"/>
      <c r="C12" s="1110"/>
      <c r="D12" s="46"/>
      <c r="E12" s="47"/>
      <c r="F12" s="126"/>
      <c r="G12" s="167"/>
      <c r="H12" s="167"/>
      <c r="I12" s="154"/>
      <c r="J12" s="692"/>
      <c r="K12" s="151"/>
      <c r="L12" s="690"/>
      <c r="M12" s="79"/>
      <c r="N12" s="158"/>
      <c r="O12" s="150"/>
      <c r="P12" s="733"/>
      <c r="Q12" s="733"/>
      <c r="R12" s="733"/>
      <c r="S12" s="733"/>
      <c r="T12" s="734"/>
      <c r="U12" s="733"/>
      <c r="V12" s="733"/>
      <c r="W12" s="735"/>
      <c r="X12" s="736"/>
      <c r="Y12" s="737"/>
      <c r="Z12" s="738"/>
      <c r="AA12" s="731"/>
    </row>
    <row r="13" spans="1:29">
      <c r="A13" s="326">
        <f t="shared" si="0"/>
        <v>4</v>
      </c>
      <c r="B13" s="711"/>
      <c r="C13" s="45"/>
      <c r="D13" s="46"/>
      <c r="E13" s="47"/>
      <c r="F13" s="126"/>
      <c r="G13" s="167"/>
      <c r="H13" s="167"/>
      <c r="I13" s="652"/>
      <c r="J13" s="692"/>
      <c r="K13" s="151"/>
      <c r="L13" s="690"/>
      <c r="M13" s="79"/>
      <c r="N13" s="158"/>
      <c r="O13" s="150"/>
      <c r="P13" s="733"/>
      <c r="Q13" s="733"/>
      <c r="R13" s="733"/>
      <c r="S13" s="733"/>
      <c r="T13" s="734"/>
      <c r="U13" s="733"/>
      <c r="V13" s="733"/>
      <c r="W13" s="735"/>
      <c r="X13" s="736"/>
      <c r="Y13" s="737"/>
      <c r="Z13" s="738"/>
      <c r="AA13" s="731"/>
    </row>
    <row r="14" spans="1:29">
      <c r="A14" s="326">
        <f t="shared" si="0"/>
        <v>5</v>
      </c>
      <c r="B14" s="711"/>
      <c r="C14" s="45"/>
      <c r="D14" s="46"/>
      <c r="E14" s="47"/>
      <c r="F14" s="126"/>
      <c r="G14" s="167"/>
      <c r="H14" s="167"/>
      <c r="I14" s="154"/>
      <c r="J14" s="692"/>
      <c r="K14" s="151"/>
      <c r="L14" s="690"/>
      <c r="M14" s="79"/>
      <c r="N14" s="158"/>
      <c r="O14" s="150"/>
      <c r="P14" s="733"/>
      <c r="Q14" s="733"/>
      <c r="R14" s="733"/>
      <c r="S14" s="733"/>
      <c r="T14" s="734"/>
      <c r="U14" s="733"/>
      <c r="V14" s="733"/>
      <c r="W14" s="735"/>
      <c r="X14" s="736"/>
      <c r="Y14" s="737"/>
      <c r="Z14" s="738"/>
      <c r="AA14" s="731"/>
    </row>
    <row r="15" spans="1:29">
      <c r="A15" s="326">
        <f t="shared" si="0"/>
        <v>6</v>
      </c>
      <c r="B15" s="711"/>
      <c r="C15" s="45"/>
      <c r="D15" s="46"/>
      <c r="E15" s="47"/>
      <c r="F15" s="126"/>
      <c r="G15" s="167"/>
      <c r="H15" s="167"/>
      <c r="I15" s="154"/>
      <c r="J15" s="692"/>
      <c r="K15" s="151"/>
      <c r="L15" s="690"/>
      <c r="M15" s="79"/>
      <c r="N15" s="158"/>
      <c r="O15" s="150"/>
      <c r="P15" s="733"/>
      <c r="Q15" s="733"/>
      <c r="R15" s="733"/>
      <c r="S15" s="733"/>
      <c r="T15" s="734"/>
      <c r="U15" s="733"/>
      <c r="V15" s="733"/>
      <c r="W15" s="735"/>
      <c r="X15" s="736"/>
      <c r="Y15" s="737"/>
      <c r="Z15" s="738"/>
      <c r="AA15" s="731"/>
    </row>
    <row r="16" spans="1:29" ht="15.6">
      <c r="A16" s="326">
        <f t="shared" si="0"/>
        <v>7</v>
      </c>
      <c r="B16" s="711"/>
      <c r="C16" s="45"/>
      <c r="D16" s="46"/>
      <c r="E16" s="47"/>
      <c r="F16" s="126"/>
      <c r="G16" s="167"/>
      <c r="H16" s="167"/>
      <c r="I16" s="1052"/>
      <c r="J16" s="1053"/>
      <c r="K16" s="1053"/>
      <c r="L16" s="690"/>
      <c r="M16" s="79"/>
      <c r="N16" s="158"/>
      <c r="O16" s="150"/>
      <c r="P16" s="733"/>
      <c r="Q16" s="733"/>
      <c r="R16" s="733"/>
      <c r="S16" s="733"/>
      <c r="T16" s="734"/>
      <c r="U16" s="733"/>
      <c r="V16" s="733"/>
      <c r="W16" s="735"/>
      <c r="X16" s="736"/>
      <c r="Y16" s="737"/>
      <c r="Z16" s="738"/>
      <c r="AA16" s="731"/>
    </row>
    <row r="17" spans="1:27">
      <c r="A17" s="326">
        <f t="shared" si="0"/>
        <v>8</v>
      </c>
      <c r="B17" s="711"/>
      <c r="C17" s="45"/>
      <c r="D17" s="46"/>
      <c r="E17" s="47"/>
      <c r="F17" s="126"/>
      <c r="G17" s="167"/>
      <c r="H17" s="167"/>
      <c r="I17" s="577"/>
      <c r="J17" s="692"/>
      <c r="K17" s="580"/>
      <c r="L17" s="690"/>
      <c r="M17" s="79"/>
      <c r="N17" s="158"/>
      <c r="O17" s="150"/>
      <c r="P17" s="733"/>
      <c r="Q17" s="733"/>
      <c r="R17" s="733"/>
      <c r="S17" s="733"/>
      <c r="T17" s="734"/>
      <c r="U17" s="733"/>
      <c r="V17" s="733"/>
      <c r="W17" s="735"/>
      <c r="X17" s="736"/>
      <c r="Y17" s="737"/>
      <c r="Z17" s="738"/>
      <c r="AA17" s="731"/>
    </row>
    <row r="18" spans="1:27">
      <c r="A18" s="326">
        <f t="shared" si="0"/>
        <v>9</v>
      </c>
      <c r="B18" s="711"/>
      <c r="C18" s="45"/>
      <c r="D18" s="46"/>
      <c r="E18" s="47"/>
      <c r="F18" s="126"/>
      <c r="G18" s="167"/>
      <c r="H18" s="167"/>
      <c r="I18" s="154"/>
      <c r="J18" s="692"/>
      <c r="K18" s="151"/>
      <c r="L18" s="690"/>
      <c r="M18" s="79"/>
      <c r="N18" s="158"/>
      <c r="O18" s="150"/>
      <c r="P18" s="733"/>
      <c r="Q18" s="733"/>
      <c r="R18" s="733"/>
      <c r="S18" s="733"/>
      <c r="T18" s="734"/>
      <c r="U18" s="733"/>
      <c r="V18" s="733"/>
      <c r="W18" s="735"/>
      <c r="X18" s="736"/>
      <c r="Y18" s="737"/>
      <c r="Z18" s="738"/>
      <c r="AA18" s="731"/>
    </row>
    <row r="19" spans="1:27">
      <c r="A19" s="326">
        <f t="shared" si="0"/>
        <v>10</v>
      </c>
      <c r="B19" s="711"/>
      <c r="C19" s="45"/>
      <c r="D19" s="46"/>
      <c r="E19" s="47"/>
      <c r="F19" s="126"/>
      <c r="G19" s="167"/>
      <c r="H19" s="167"/>
      <c r="I19" s="154"/>
      <c r="J19" s="692"/>
      <c r="K19" s="151"/>
      <c r="L19" s="690"/>
      <c r="M19" s="79"/>
      <c r="N19" s="158"/>
      <c r="O19" s="150"/>
      <c r="P19" s="733"/>
      <c r="Q19" s="733"/>
      <c r="R19" s="733"/>
      <c r="S19" s="733"/>
      <c r="T19" s="734"/>
      <c r="U19" s="733"/>
      <c r="V19" s="733"/>
      <c r="W19" s="735"/>
      <c r="X19" s="736"/>
      <c r="Y19" s="737"/>
      <c r="Z19" s="738"/>
      <c r="AA19" s="731"/>
    </row>
    <row r="20" spans="1:27">
      <c r="A20" s="326">
        <f t="shared" si="0"/>
        <v>11</v>
      </c>
      <c r="B20" s="711"/>
      <c r="C20" s="45"/>
      <c r="D20" s="46"/>
      <c r="E20" s="47"/>
      <c r="F20" s="126"/>
      <c r="G20" s="167"/>
      <c r="H20" s="167"/>
      <c r="I20" s="154"/>
      <c r="J20" s="692"/>
      <c r="K20" s="151"/>
      <c r="L20" s="690"/>
      <c r="M20" s="79"/>
      <c r="N20" s="158"/>
      <c r="O20" s="150"/>
      <c r="P20" s="733"/>
      <c r="Q20" s="733"/>
      <c r="R20" s="733"/>
      <c r="S20" s="733"/>
      <c r="T20" s="734"/>
      <c r="U20" s="733"/>
      <c r="V20" s="733"/>
      <c r="W20" s="735"/>
      <c r="X20" s="736"/>
      <c r="Y20" s="737"/>
      <c r="Z20" s="738"/>
      <c r="AA20" s="731"/>
    </row>
    <row r="21" spans="1:27">
      <c r="A21" s="326">
        <f t="shared" si="0"/>
        <v>12</v>
      </c>
      <c r="B21" s="711"/>
      <c r="C21" s="45"/>
      <c r="D21" s="46"/>
      <c r="E21" s="47"/>
      <c r="F21" s="126"/>
      <c r="G21" s="167"/>
      <c r="H21" s="167"/>
      <c r="I21" s="154"/>
      <c r="J21" s="692"/>
      <c r="K21" s="151"/>
      <c r="L21" s="690"/>
      <c r="M21" s="79"/>
      <c r="N21" s="158"/>
      <c r="O21" s="150"/>
      <c r="P21" s="733"/>
      <c r="Q21" s="733"/>
      <c r="R21" s="733"/>
      <c r="S21" s="733"/>
      <c r="T21" s="734"/>
      <c r="U21" s="733"/>
      <c r="V21" s="733"/>
      <c r="W21" s="735"/>
      <c r="X21" s="736"/>
      <c r="Y21" s="737"/>
      <c r="Z21" s="738"/>
      <c r="AA21" s="731"/>
    </row>
    <row r="22" spans="1:27">
      <c r="A22" s="326">
        <f t="shared" si="0"/>
        <v>13</v>
      </c>
      <c r="B22" s="1112"/>
      <c r="C22" s="1113"/>
      <c r="D22" s="1055"/>
      <c r="E22" s="1030"/>
      <c r="F22" s="1094"/>
      <c r="G22" s="167"/>
      <c r="H22" s="167"/>
      <c r="I22" s="127"/>
      <c r="J22" s="651"/>
      <c r="K22" s="1114"/>
      <c r="L22" s="1115"/>
      <c r="M22" s="1097"/>
      <c r="N22" s="158"/>
      <c r="O22" s="150"/>
      <c r="P22" s="733"/>
      <c r="Q22" s="733"/>
      <c r="R22" s="733"/>
      <c r="S22" s="733"/>
      <c r="T22" s="734"/>
      <c r="U22" s="733"/>
      <c r="V22" s="733"/>
      <c r="W22" s="735"/>
      <c r="X22" s="736"/>
      <c r="Y22" s="737"/>
      <c r="Z22" s="738"/>
      <c r="AA22" s="731"/>
    </row>
    <row r="23" spans="1:27" ht="15.75" customHeight="1">
      <c r="A23" s="3758" t="s">
        <v>4025</v>
      </c>
      <c r="B23" s="3759"/>
      <c r="C23" s="3759"/>
      <c r="D23" s="3759"/>
      <c r="E23" s="3759"/>
      <c r="F23" s="3759"/>
      <c r="G23" s="3759"/>
      <c r="H23" s="3759"/>
      <c r="I23" s="3759"/>
      <c r="J23" s="3759"/>
      <c r="K23" s="3759"/>
      <c r="L23" s="3759"/>
      <c r="M23" s="3760"/>
      <c r="N23" s="158"/>
      <c r="O23" s="150"/>
      <c r="P23" s="733"/>
      <c r="Q23" s="733"/>
      <c r="R23" s="733"/>
      <c r="S23" s="733"/>
      <c r="T23" s="734"/>
      <c r="U23" s="733"/>
      <c r="V23" s="733"/>
      <c r="W23" s="735"/>
      <c r="X23" s="736"/>
      <c r="Y23" s="737"/>
      <c r="Z23" s="738"/>
      <c r="AA23" s="731"/>
    </row>
    <row r="24" spans="1:27">
      <c r="A24" s="326">
        <v>1</v>
      </c>
      <c r="B24" s="1088"/>
      <c r="C24" s="770"/>
      <c r="D24" s="795"/>
      <c r="E24" s="660"/>
      <c r="F24" s="661"/>
      <c r="G24" s="445"/>
      <c r="H24" s="445"/>
      <c r="I24" s="577"/>
      <c r="J24" s="692"/>
      <c r="K24" s="580"/>
      <c r="L24" s="741"/>
      <c r="M24" s="922"/>
      <c r="N24" s="158"/>
      <c r="O24" s="150"/>
      <c r="P24" s="733"/>
      <c r="Q24" s="733"/>
      <c r="R24" s="733"/>
      <c r="S24" s="733"/>
      <c r="T24" s="734"/>
      <c r="U24" s="733"/>
      <c r="V24" s="733"/>
      <c r="W24" s="735"/>
      <c r="X24" s="736"/>
      <c r="Y24" s="737"/>
      <c r="Z24" s="738"/>
      <c r="AA24" s="731"/>
    </row>
    <row r="25" spans="1:27">
      <c r="A25" s="326">
        <f t="shared" si="0"/>
        <v>2</v>
      </c>
      <c r="B25" s="711"/>
      <c r="C25" s="45"/>
      <c r="D25" s="46"/>
      <c r="E25" s="47"/>
      <c r="F25" s="126"/>
      <c r="G25" s="167"/>
      <c r="H25" s="167"/>
      <c r="I25" s="154"/>
      <c r="J25" s="692"/>
      <c r="K25" s="151"/>
      <c r="L25" s="690"/>
      <c r="M25" s="79"/>
      <c r="N25" s="158"/>
      <c r="O25" s="150"/>
      <c r="P25" s="733"/>
      <c r="Q25" s="733"/>
      <c r="R25" s="733"/>
      <c r="S25" s="733"/>
      <c r="T25" s="734"/>
      <c r="U25" s="733"/>
      <c r="V25" s="733"/>
      <c r="W25" s="735"/>
      <c r="X25" s="736"/>
      <c r="Y25" s="737"/>
      <c r="Z25" s="738"/>
      <c r="AA25" s="731"/>
    </row>
    <row r="26" spans="1:27">
      <c r="A26" s="326">
        <f t="shared" si="0"/>
        <v>3</v>
      </c>
      <c r="B26" s="711"/>
      <c r="C26" s="45"/>
      <c r="D26" s="46"/>
      <c r="E26" s="47"/>
      <c r="F26" s="126"/>
      <c r="G26" s="167"/>
      <c r="H26" s="167"/>
      <c r="I26" s="154"/>
      <c r="J26" s="692"/>
      <c r="K26" s="151"/>
      <c r="L26" s="690"/>
      <c r="M26" s="79"/>
      <c r="N26" s="158"/>
      <c r="O26" s="150"/>
      <c r="P26" s="733"/>
      <c r="Q26" s="733"/>
      <c r="R26" s="733"/>
      <c r="S26" s="733"/>
      <c r="T26" s="734"/>
      <c r="U26" s="733"/>
      <c r="V26" s="733"/>
      <c r="W26" s="735"/>
      <c r="X26" s="736"/>
      <c r="Y26" s="737"/>
      <c r="Z26" s="738"/>
      <c r="AA26" s="731"/>
    </row>
    <row r="27" spans="1:27">
      <c r="A27" s="326">
        <f t="shared" si="0"/>
        <v>4</v>
      </c>
      <c r="B27" s="711"/>
      <c r="C27" s="45"/>
      <c r="D27" s="46"/>
      <c r="E27" s="47"/>
      <c r="F27" s="126"/>
      <c r="G27" s="167"/>
      <c r="H27" s="167"/>
      <c r="I27" s="154"/>
      <c r="J27" s="692"/>
      <c r="K27" s="151"/>
      <c r="L27" s="690"/>
      <c r="M27" s="79"/>
      <c r="N27" s="158"/>
      <c r="O27" s="150"/>
      <c r="P27" s="733"/>
      <c r="Q27" s="733"/>
      <c r="R27" s="733"/>
      <c r="S27" s="733"/>
      <c r="T27" s="734"/>
      <c r="U27" s="733"/>
      <c r="V27" s="733"/>
      <c r="W27" s="735"/>
      <c r="X27" s="736"/>
      <c r="Y27" s="737"/>
      <c r="Z27" s="738"/>
      <c r="AA27" s="731"/>
    </row>
    <row r="28" spans="1:27">
      <c r="A28" s="326">
        <f t="shared" si="0"/>
        <v>5</v>
      </c>
      <c r="B28" s="711"/>
      <c r="C28" s="45"/>
      <c r="D28" s="46"/>
      <c r="E28" s="47"/>
      <c r="F28" s="126"/>
      <c r="G28" s="167"/>
      <c r="H28" s="167"/>
      <c r="I28" s="154"/>
      <c r="J28" s="692"/>
      <c r="K28" s="151"/>
      <c r="L28" s="690"/>
      <c r="M28" s="79"/>
      <c r="N28" s="158"/>
      <c r="O28" s="150"/>
      <c r="P28" s="733"/>
      <c r="Q28" s="733"/>
      <c r="R28" s="733"/>
      <c r="S28" s="733"/>
      <c r="T28" s="734"/>
      <c r="U28" s="733"/>
      <c r="V28" s="733"/>
      <c r="W28" s="735"/>
      <c r="X28" s="736"/>
      <c r="Y28" s="737"/>
      <c r="Z28" s="738"/>
      <c r="AA28" s="731"/>
    </row>
    <row r="29" spans="1:27">
      <c r="A29" s="326">
        <f t="shared" si="0"/>
        <v>6</v>
      </c>
      <c r="B29" s="711"/>
      <c r="C29" s="45"/>
      <c r="D29" s="46"/>
      <c r="E29" s="47"/>
      <c r="F29" s="126"/>
      <c r="G29" s="167"/>
      <c r="H29" s="167"/>
      <c r="I29" s="154"/>
      <c r="J29" s="692"/>
      <c r="K29" s="151"/>
      <c r="L29" s="690"/>
      <c r="M29" s="79"/>
      <c r="N29" s="158"/>
      <c r="O29" s="150"/>
      <c r="P29" s="733"/>
      <c r="Q29" s="733"/>
      <c r="R29" s="733"/>
      <c r="S29" s="733"/>
      <c r="T29" s="734"/>
      <c r="U29" s="733"/>
      <c r="V29" s="733"/>
      <c r="W29" s="735"/>
      <c r="X29" s="736"/>
      <c r="Y29" s="737"/>
      <c r="Z29" s="738"/>
      <c r="AA29" s="731"/>
    </row>
    <row r="30" spans="1:27">
      <c r="A30" s="326">
        <f t="shared" si="0"/>
        <v>7</v>
      </c>
      <c r="B30" s="711"/>
      <c r="C30" s="45"/>
      <c r="D30" s="46"/>
      <c r="E30" s="47"/>
      <c r="F30" s="126"/>
      <c r="G30" s="167"/>
      <c r="H30" s="167"/>
      <c r="I30" s="154"/>
      <c r="J30" s="692"/>
      <c r="K30" s="151"/>
      <c r="L30" s="690"/>
      <c r="M30" s="79"/>
      <c r="N30" s="158"/>
      <c r="O30" s="150"/>
      <c r="P30" s="733"/>
      <c r="Q30" s="733"/>
      <c r="R30" s="733"/>
      <c r="S30" s="733"/>
      <c r="T30" s="734"/>
      <c r="U30" s="733"/>
      <c r="V30" s="733"/>
      <c r="W30" s="735"/>
      <c r="X30" s="736"/>
      <c r="Y30" s="737"/>
      <c r="Z30" s="738"/>
      <c r="AA30" s="731"/>
    </row>
    <row r="31" spans="1:27">
      <c r="A31" s="326">
        <f t="shared" si="0"/>
        <v>8</v>
      </c>
      <c r="B31" s="711"/>
      <c r="C31" s="45"/>
      <c r="D31" s="46"/>
      <c r="E31" s="47"/>
      <c r="F31" s="126"/>
      <c r="G31" s="167"/>
      <c r="H31" s="167"/>
      <c r="I31" s="154"/>
      <c r="J31" s="692"/>
      <c r="K31" s="151"/>
      <c r="L31" s="690"/>
      <c r="M31" s="79"/>
      <c r="N31" s="158"/>
      <c r="O31" s="150"/>
      <c r="P31" s="733"/>
      <c r="Q31" s="733"/>
      <c r="R31" s="733"/>
      <c r="S31" s="733"/>
      <c r="T31" s="734"/>
      <c r="U31" s="733"/>
      <c r="V31" s="733"/>
      <c r="W31" s="735"/>
      <c r="X31" s="736"/>
      <c r="Y31" s="737"/>
      <c r="Z31" s="738"/>
      <c r="AA31" s="731"/>
    </row>
    <row r="32" spans="1:27">
      <c r="A32" s="326">
        <f t="shared" si="0"/>
        <v>9</v>
      </c>
      <c r="B32" s="711"/>
      <c r="C32" s="45"/>
      <c r="D32" s="46"/>
      <c r="E32" s="47"/>
      <c r="F32" s="126"/>
      <c r="G32" s="167"/>
      <c r="H32" s="167"/>
      <c r="I32" s="154"/>
      <c r="J32" s="692"/>
      <c r="K32" s="151"/>
      <c r="L32" s="690"/>
      <c r="M32" s="79"/>
      <c r="N32" s="158"/>
      <c r="O32" s="150"/>
      <c r="P32" s="733"/>
      <c r="Q32" s="733"/>
      <c r="R32" s="733"/>
      <c r="S32" s="733"/>
      <c r="T32" s="734"/>
      <c r="U32" s="733"/>
      <c r="V32" s="733"/>
      <c r="W32" s="735"/>
      <c r="X32" s="736"/>
      <c r="Y32" s="737"/>
      <c r="Z32" s="738"/>
      <c r="AA32" s="731"/>
    </row>
    <row r="33" spans="1:27">
      <c r="A33" s="326">
        <f t="shared" si="0"/>
        <v>10</v>
      </c>
      <c r="B33" s="711"/>
      <c r="C33" s="45"/>
      <c r="D33" s="46"/>
      <c r="E33" s="47"/>
      <c r="F33" s="126"/>
      <c r="G33" s="167"/>
      <c r="H33" s="167"/>
      <c r="I33" s="154"/>
      <c r="J33" s="692"/>
      <c r="K33" s="151"/>
      <c r="L33" s="690"/>
      <c r="M33" s="79"/>
      <c r="N33" s="158"/>
      <c r="O33" s="150"/>
      <c r="P33" s="733"/>
      <c r="Q33" s="733"/>
      <c r="R33" s="733"/>
      <c r="S33" s="733"/>
      <c r="T33" s="734"/>
      <c r="U33" s="733"/>
      <c r="V33" s="733"/>
      <c r="W33" s="735"/>
      <c r="X33" s="736"/>
      <c r="Y33" s="737"/>
      <c r="Z33" s="738"/>
      <c r="AA33" s="731"/>
    </row>
    <row r="34" spans="1:27">
      <c r="A34" s="326">
        <f t="shared" si="0"/>
        <v>11</v>
      </c>
      <c r="B34" s="711"/>
      <c r="C34" s="45"/>
      <c r="D34" s="46"/>
      <c r="E34" s="47"/>
      <c r="F34" s="126"/>
      <c r="G34" s="167"/>
      <c r="H34" s="167"/>
      <c r="I34" s="154"/>
      <c r="J34" s="692"/>
      <c r="K34" s="151"/>
      <c r="L34" s="577"/>
      <c r="M34" s="79"/>
      <c r="N34" s="158"/>
      <c r="O34" s="150"/>
      <c r="P34" s="733"/>
      <c r="Q34" s="733"/>
      <c r="R34" s="733"/>
      <c r="S34" s="733"/>
      <c r="T34" s="734"/>
      <c r="U34" s="733"/>
      <c r="V34" s="733"/>
      <c r="W34" s="735"/>
      <c r="X34" s="736"/>
      <c r="Y34" s="737"/>
      <c r="Z34" s="738"/>
      <c r="AA34" s="731"/>
    </row>
    <row r="35" spans="1:27">
      <c r="A35" s="326">
        <f t="shared" si="0"/>
        <v>12</v>
      </c>
      <c r="B35" s="711"/>
      <c r="C35" s="45"/>
      <c r="D35" s="46"/>
      <c r="E35" s="47"/>
      <c r="F35" s="126"/>
      <c r="G35" s="167"/>
      <c r="H35" s="167"/>
      <c r="I35" s="154"/>
      <c r="J35" s="692"/>
      <c r="K35" s="151"/>
      <c r="L35" s="577"/>
      <c r="M35" s="79"/>
      <c r="N35" s="158"/>
      <c r="O35" s="150"/>
      <c r="P35" s="733"/>
      <c r="Q35" s="733"/>
      <c r="R35" s="733"/>
      <c r="S35" s="733"/>
      <c r="T35" s="734"/>
      <c r="U35" s="733"/>
      <c r="V35" s="733"/>
      <c r="W35" s="735"/>
      <c r="X35" s="736"/>
      <c r="Y35" s="737"/>
      <c r="Z35" s="738"/>
      <c r="AA35" s="731"/>
    </row>
    <row r="36" spans="1:27">
      <c r="A36" s="326">
        <f t="shared" si="0"/>
        <v>13</v>
      </c>
      <c r="B36" s="711"/>
      <c r="C36" s="45"/>
      <c r="D36" s="46"/>
      <c r="E36" s="47"/>
      <c r="F36" s="126"/>
      <c r="G36" s="167"/>
      <c r="H36" s="167"/>
      <c r="I36" s="154"/>
      <c r="J36" s="692"/>
      <c r="K36" s="151"/>
      <c r="L36" s="577"/>
      <c r="M36" s="79"/>
      <c r="N36" s="158"/>
      <c r="O36" s="150"/>
      <c r="P36" s="733"/>
      <c r="Q36" s="733"/>
      <c r="R36" s="733"/>
      <c r="S36" s="733"/>
      <c r="T36" s="734"/>
      <c r="U36" s="733"/>
      <c r="V36" s="733"/>
      <c r="W36" s="735"/>
      <c r="X36" s="736"/>
      <c r="Y36" s="737"/>
      <c r="Z36" s="738"/>
      <c r="AA36" s="731"/>
    </row>
    <row r="37" spans="1:27">
      <c r="A37" s="326">
        <f t="shared" si="0"/>
        <v>14</v>
      </c>
      <c r="B37" s="711"/>
      <c r="C37" s="45"/>
      <c r="D37" s="46"/>
      <c r="E37" s="47"/>
      <c r="F37" s="126"/>
      <c r="G37" s="167"/>
      <c r="H37" s="167"/>
      <c r="I37" s="154"/>
      <c r="J37" s="692"/>
      <c r="K37" s="151"/>
      <c r="L37" s="577"/>
      <c r="M37" s="79"/>
      <c r="N37" s="158"/>
      <c r="O37" s="150"/>
      <c r="P37" s="733"/>
      <c r="Q37" s="733"/>
      <c r="R37" s="733"/>
      <c r="S37" s="733"/>
      <c r="T37" s="734"/>
      <c r="U37" s="733"/>
      <c r="V37" s="733"/>
      <c r="W37" s="735"/>
      <c r="X37" s="736"/>
      <c r="Y37" s="737"/>
      <c r="Z37" s="738"/>
      <c r="AA37" s="731"/>
    </row>
    <row r="38" spans="1:27">
      <c r="A38" s="326">
        <f t="shared" si="0"/>
        <v>15</v>
      </c>
      <c r="B38" s="711"/>
      <c r="C38" s="45"/>
      <c r="D38" s="46"/>
      <c r="E38" s="47"/>
      <c r="F38" s="126"/>
      <c r="G38" s="167"/>
      <c r="H38" s="167"/>
      <c r="I38" s="154"/>
      <c r="J38" s="692"/>
      <c r="K38" s="151"/>
      <c r="L38" s="577"/>
      <c r="M38" s="79"/>
      <c r="N38" s="158"/>
      <c r="O38" s="150"/>
      <c r="P38" s="733"/>
      <c r="Q38" s="733"/>
      <c r="R38" s="733"/>
      <c r="S38" s="733"/>
      <c r="T38" s="734"/>
      <c r="U38" s="733"/>
      <c r="V38" s="733"/>
      <c r="W38" s="735"/>
      <c r="X38" s="736"/>
      <c r="Y38" s="737"/>
      <c r="Z38" s="738"/>
      <c r="AA38" s="731"/>
    </row>
    <row r="39" spans="1:27">
      <c r="A39" s="326">
        <f t="shared" si="0"/>
        <v>16</v>
      </c>
      <c r="B39" s="711"/>
      <c r="C39" s="45"/>
      <c r="D39" s="46"/>
      <c r="E39" s="47"/>
      <c r="F39" s="126"/>
      <c r="G39" s="167"/>
      <c r="H39" s="167"/>
      <c r="I39" s="154"/>
      <c r="J39" s="692"/>
      <c r="K39" s="151"/>
      <c r="L39" s="577"/>
      <c r="M39" s="79"/>
      <c r="N39" s="158"/>
      <c r="O39" s="150"/>
      <c r="P39" s="733"/>
      <c r="Q39" s="733"/>
      <c r="R39" s="733"/>
      <c r="S39" s="733"/>
      <c r="T39" s="734"/>
      <c r="U39" s="733"/>
      <c r="V39" s="733"/>
      <c r="W39" s="735"/>
      <c r="X39" s="736"/>
      <c r="Y39" s="737"/>
      <c r="Z39" s="738"/>
      <c r="AA39" s="731"/>
    </row>
    <row r="40" spans="1:27">
      <c r="A40" s="326">
        <f t="shared" si="0"/>
        <v>17</v>
      </c>
      <c r="B40" s="711"/>
      <c r="C40" s="45"/>
      <c r="D40" s="46"/>
      <c r="E40" s="47"/>
      <c r="F40" s="126"/>
      <c r="G40" s="167"/>
      <c r="H40" s="167"/>
      <c r="I40" s="154"/>
      <c r="J40" s="692"/>
      <c r="K40" s="151"/>
      <c r="L40" s="577"/>
      <c r="M40" s="79"/>
      <c r="N40" s="158"/>
      <c r="O40" s="150"/>
      <c r="P40" s="733"/>
      <c r="Q40" s="733"/>
      <c r="R40" s="733"/>
      <c r="S40" s="733"/>
      <c r="T40" s="734"/>
      <c r="U40" s="733"/>
      <c r="V40" s="733"/>
      <c r="W40" s="735"/>
      <c r="X40" s="736"/>
      <c r="Y40" s="737"/>
      <c r="Z40" s="738"/>
      <c r="AA40" s="731"/>
    </row>
    <row r="41" spans="1:27">
      <c r="A41" s="326">
        <f t="shared" si="0"/>
        <v>18</v>
      </c>
      <c r="B41" s="711"/>
      <c r="C41" s="45"/>
      <c r="D41" s="46"/>
      <c r="E41" s="47"/>
      <c r="F41" s="126"/>
      <c r="G41" s="167"/>
      <c r="H41" s="167"/>
      <c r="I41" s="154"/>
      <c r="J41" s="692"/>
      <c r="K41" s="151"/>
      <c r="L41" s="577"/>
      <c r="M41" s="79"/>
      <c r="N41" s="158"/>
      <c r="O41" s="150"/>
      <c r="P41" s="733"/>
      <c r="Q41" s="733"/>
      <c r="R41" s="733"/>
      <c r="S41" s="733"/>
      <c r="T41" s="734"/>
      <c r="U41" s="733"/>
      <c r="V41" s="733"/>
      <c r="W41" s="735"/>
      <c r="X41" s="736"/>
      <c r="Y41" s="737"/>
      <c r="Z41" s="738"/>
      <c r="AA41" s="731"/>
    </row>
    <row r="42" spans="1:27">
      <c r="A42" s="326">
        <f t="shared" si="0"/>
        <v>19</v>
      </c>
      <c r="B42" s="711"/>
      <c r="C42" s="45"/>
      <c r="D42" s="46"/>
      <c r="E42" s="47"/>
      <c r="F42" s="126"/>
      <c r="G42" s="167"/>
      <c r="H42" s="167"/>
      <c r="I42" s="154"/>
      <c r="J42" s="692"/>
      <c r="K42" s="151"/>
      <c r="L42" s="577"/>
      <c r="M42" s="79"/>
      <c r="N42" s="158"/>
      <c r="O42" s="150"/>
      <c r="P42" s="733"/>
      <c r="Q42" s="733"/>
      <c r="R42" s="733"/>
      <c r="S42" s="733"/>
      <c r="T42" s="734"/>
      <c r="U42" s="733"/>
      <c r="V42" s="733"/>
      <c r="W42" s="735"/>
      <c r="X42" s="736"/>
      <c r="Y42" s="737"/>
      <c r="Z42" s="738"/>
      <c r="AA42" s="731"/>
    </row>
    <row r="43" spans="1:27">
      <c r="A43" s="326">
        <f t="shared" si="0"/>
        <v>20</v>
      </c>
      <c r="B43" s="711"/>
      <c r="C43" s="45"/>
      <c r="D43" s="46"/>
      <c r="E43" s="47"/>
      <c r="F43" s="126"/>
      <c r="G43" s="167"/>
      <c r="H43" s="167"/>
      <c r="I43" s="154"/>
      <c r="J43" s="692"/>
      <c r="K43" s="151"/>
      <c r="L43" s="577"/>
      <c r="M43" s="79"/>
      <c r="N43" s="158"/>
      <c r="O43" s="150"/>
      <c r="P43" s="733"/>
      <c r="Q43" s="733"/>
      <c r="R43" s="733"/>
      <c r="S43" s="733"/>
      <c r="T43" s="734"/>
      <c r="U43" s="733"/>
      <c r="V43" s="733"/>
      <c r="W43" s="735"/>
      <c r="X43" s="736"/>
      <c r="Y43" s="737"/>
      <c r="Z43" s="738"/>
      <c r="AA43" s="731"/>
    </row>
    <row r="44" spans="1:27">
      <c r="A44" s="326">
        <f t="shared" si="0"/>
        <v>21</v>
      </c>
      <c r="B44" s="711"/>
      <c r="C44" s="45"/>
      <c r="D44" s="46"/>
      <c r="E44" s="47"/>
      <c r="F44" s="126"/>
      <c r="G44" s="167"/>
      <c r="H44" s="167"/>
      <c r="I44" s="154"/>
      <c r="J44" s="692"/>
      <c r="K44" s="151"/>
      <c r="L44" s="577"/>
      <c r="M44" s="79"/>
      <c r="N44" s="158"/>
      <c r="O44" s="150"/>
      <c r="P44" s="733"/>
      <c r="Q44" s="733"/>
      <c r="R44" s="733"/>
      <c r="S44" s="733"/>
      <c r="T44" s="734"/>
      <c r="U44" s="733"/>
      <c r="V44" s="733"/>
      <c r="W44" s="735"/>
      <c r="X44" s="736"/>
      <c r="Y44" s="737"/>
      <c r="Z44" s="738"/>
      <c r="AA44" s="731"/>
    </row>
    <row r="45" spans="1:27">
      <c r="A45" s="326">
        <f t="shared" si="0"/>
        <v>22</v>
      </c>
      <c r="B45" s="711"/>
      <c r="C45" s="45"/>
      <c r="D45" s="46"/>
      <c r="E45" s="47"/>
      <c r="F45" s="126"/>
      <c r="G45" s="167"/>
      <c r="H45" s="167"/>
      <c r="I45" s="154"/>
      <c r="J45" s="692"/>
      <c r="K45" s="151"/>
      <c r="L45" s="577"/>
      <c r="M45" s="79"/>
      <c r="N45" s="158"/>
      <c r="O45" s="150"/>
      <c r="P45" s="733"/>
      <c r="Q45" s="733"/>
      <c r="R45" s="733"/>
      <c r="S45" s="733"/>
      <c r="T45" s="734"/>
      <c r="U45" s="733"/>
      <c r="V45" s="733"/>
      <c r="W45" s="735"/>
      <c r="X45" s="736"/>
      <c r="Y45" s="737"/>
      <c r="Z45" s="738"/>
      <c r="AA45" s="731"/>
    </row>
    <row r="46" spans="1:27">
      <c r="A46" s="326">
        <f t="shared" si="0"/>
        <v>23</v>
      </c>
      <c r="B46" s="711"/>
      <c r="C46" s="45"/>
      <c r="D46" s="46"/>
      <c r="E46" s="47"/>
      <c r="F46" s="126"/>
      <c r="G46" s="167"/>
      <c r="H46" s="167"/>
      <c r="I46" s="154"/>
      <c r="J46" s="692"/>
      <c r="K46" s="151"/>
      <c r="L46" s="577"/>
      <c r="M46" s="79"/>
      <c r="N46" s="158"/>
      <c r="O46" s="150"/>
      <c r="P46" s="733"/>
      <c r="Q46" s="733"/>
      <c r="R46" s="733"/>
      <c r="S46" s="733"/>
      <c r="T46" s="734"/>
      <c r="U46" s="733"/>
      <c r="V46" s="733"/>
      <c r="W46" s="735"/>
      <c r="X46" s="736"/>
      <c r="Y46" s="737"/>
      <c r="Z46" s="738"/>
      <c r="AA46" s="731"/>
    </row>
    <row r="47" spans="1:27">
      <c r="A47" s="326">
        <f t="shared" si="0"/>
        <v>24</v>
      </c>
      <c r="B47" s="711"/>
      <c r="C47" s="45"/>
      <c r="D47" s="46"/>
      <c r="E47" s="47"/>
      <c r="F47" s="126"/>
      <c r="G47" s="167"/>
      <c r="H47" s="167"/>
      <c r="I47" s="154"/>
      <c r="J47" s="692"/>
      <c r="K47" s="151"/>
      <c r="L47" s="577"/>
      <c r="M47" s="79"/>
      <c r="N47" s="158"/>
      <c r="O47" s="150"/>
      <c r="P47" s="733"/>
      <c r="Q47" s="733"/>
      <c r="R47" s="733"/>
      <c r="S47" s="733"/>
      <c r="T47" s="734"/>
      <c r="U47" s="733"/>
      <c r="V47" s="733"/>
      <c r="W47" s="735"/>
      <c r="X47" s="736"/>
      <c r="Y47" s="737"/>
      <c r="Z47" s="738"/>
      <c r="AA47" s="731"/>
    </row>
    <row r="48" spans="1:27">
      <c r="A48" s="326">
        <f t="shared" si="0"/>
        <v>25</v>
      </c>
      <c r="B48" s="711"/>
      <c r="C48" s="45"/>
      <c r="D48" s="46"/>
      <c r="E48" s="47"/>
      <c r="F48" s="126"/>
      <c r="G48" s="167"/>
      <c r="H48" s="167"/>
      <c r="I48" s="154"/>
      <c r="J48" s="692"/>
      <c r="K48" s="151"/>
      <c r="L48" s="577"/>
      <c r="M48" s="79"/>
      <c r="N48" s="158"/>
      <c r="O48" s="150"/>
      <c r="P48" s="733"/>
      <c r="Q48" s="733"/>
      <c r="R48" s="733"/>
      <c r="S48" s="733"/>
      <c r="T48" s="734"/>
      <c r="U48" s="733"/>
      <c r="V48" s="733"/>
      <c r="W48" s="735"/>
      <c r="X48" s="736"/>
      <c r="Y48" s="737"/>
      <c r="Z48" s="738"/>
      <c r="AA48" s="731"/>
    </row>
    <row r="49" spans="1:27">
      <c r="A49" s="326">
        <f t="shared" si="0"/>
        <v>26</v>
      </c>
      <c r="B49" s="711"/>
      <c r="C49" s="45"/>
      <c r="D49" s="46"/>
      <c r="E49" s="47"/>
      <c r="F49" s="126"/>
      <c r="G49" s="167"/>
      <c r="H49" s="167"/>
      <c r="I49" s="154"/>
      <c r="J49" s="692"/>
      <c r="K49" s="151"/>
      <c r="L49" s="577"/>
      <c r="M49" s="79"/>
      <c r="N49" s="158"/>
      <c r="O49" s="150"/>
      <c r="P49" s="733"/>
      <c r="Q49" s="733"/>
      <c r="R49" s="733"/>
      <c r="S49" s="733"/>
      <c r="T49" s="734"/>
      <c r="U49" s="733"/>
      <c r="V49" s="733"/>
      <c r="W49" s="735"/>
      <c r="X49" s="736"/>
      <c r="Y49" s="737"/>
      <c r="Z49" s="738"/>
      <c r="AA49" s="731"/>
    </row>
    <row r="50" spans="1:27">
      <c r="A50" s="326">
        <f t="shared" si="0"/>
        <v>27</v>
      </c>
      <c r="B50" s="711"/>
      <c r="C50" s="45"/>
      <c r="D50" s="46"/>
      <c r="E50" s="47"/>
      <c r="F50" s="126"/>
      <c r="G50" s="167"/>
      <c r="H50" s="167"/>
      <c r="I50" s="154"/>
      <c r="J50" s="692"/>
      <c r="K50" s="151"/>
      <c r="L50" s="577"/>
      <c r="M50" s="79"/>
      <c r="N50" s="158"/>
      <c r="O50" s="150"/>
      <c r="P50" s="733"/>
      <c r="Q50" s="733"/>
      <c r="R50" s="733"/>
      <c r="S50" s="733"/>
      <c r="T50" s="734"/>
      <c r="U50" s="733"/>
      <c r="V50" s="733"/>
      <c r="W50" s="735"/>
      <c r="X50" s="736"/>
      <c r="Y50" s="737"/>
      <c r="Z50" s="738"/>
      <c r="AA50" s="731"/>
    </row>
    <row r="51" spans="1:27">
      <c r="A51" s="326">
        <f t="shared" si="0"/>
        <v>28</v>
      </c>
      <c r="B51" s="711"/>
      <c r="C51" s="45"/>
      <c r="D51" s="46"/>
      <c r="E51" s="47"/>
      <c r="F51" s="126"/>
      <c r="G51" s="167"/>
      <c r="H51" s="167"/>
      <c r="I51" s="154"/>
      <c r="J51" s="692"/>
      <c r="K51" s="151"/>
      <c r="L51" s="577"/>
      <c r="M51" s="79"/>
      <c r="N51" s="158"/>
      <c r="O51" s="150"/>
      <c r="P51" s="733"/>
      <c r="Q51" s="733"/>
      <c r="R51" s="733"/>
      <c r="S51" s="733"/>
      <c r="T51" s="734"/>
      <c r="U51" s="733"/>
      <c r="V51" s="733"/>
      <c r="W51" s="735"/>
      <c r="X51" s="736"/>
      <c r="Y51" s="737"/>
      <c r="Z51" s="738"/>
      <c r="AA51" s="731"/>
    </row>
    <row r="52" spans="1:27">
      <c r="A52" s="326">
        <f t="shared" si="0"/>
        <v>29</v>
      </c>
      <c r="B52" s="711"/>
      <c r="C52" s="45"/>
      <c r="D52" s="46"/>
      <c r="E52" s="47"/>
      <c r="F52" s="126"/>
      <c r="G52" s="167"/>
      <c r="H52" s="167"/>
      <c r="I52" s="154"/>
      <c r="J52" s="692"/>
      <c r="K52" s="151"/>
      <c r="L52" s="577"/>
      <c r="M52" s="79"/>
      <c r="N52" s="158"/>
      <c r="O52" s="150"/>
      <c r="P52" s="733"/>
      <c r="Q52" s="733"/>
      <c r="R52" s="733"/>
      <c r="S52" s="733"/>
      <c r="T52" s="734"/>
      <c r="U52" s="733"/>
      <c r="V52" s="733"/>
      <c r="W52" s="735"/>
      <c r="X52" s="736"/>
      <c r="Y52" s="737"/>
      <c r="Z52" s="738"/>
      <c r="AA52" s="731"/>
    </row>
    <row r="53" spans="1:27">
      <c r="A53" s="326">
        <f t="shared" si="0"/>
        <v>30</v>
      </c>
      <c r="B53" s="711"/>
      <c r="C53" s="45"/>
      <c r="D53" s="46"/>
      <c r="E53" s="47"/>
      <c r="F53" s="126"/>
      <c r="G53" s="167"/>
      <c r="H53" s="167"/>
      <c r="I53" s="154"/>
      <c r="J53" s="692"/>
      <c r="K53" s="151"/>
      <c r="L53" s="577"/>
      <c r="M53" s="79"/>
      <c r="N53" s="158"/>
      <c r="O53" s="150"/>
      <c r="P53" s="733"/>
      <c r="Q53" s="733"/>
      <c r="R53" s="733"/>
      <c r="S53" s="733"/>
      <c r="T53" s="734"/>
      <c r="U53" s="733"/>
      <c r="V53" s="733"/>
      <c r="W53" s="735"/>
      <c r="X53" s="736"/>
      <c r="Y53" s="737"/>
      <c r="Z53" s="738"/>
      <c r="AA53" s="731"/>
    </row>
    <row r="54" spans="1:27">
      <c r="A54" s="326">
        <f t="shared" si="0"/>
        <v>31</v>
      </c>
      <c r="B54" s="711"/>
      <c r="C54" s="45"/>
      <c r="D54" s="46"/>
      <c r="E54" s="47"/>
      <c r="F54" s="126"/>
      <c r="G54" s="167"/>
      <c r="H54" s="167"/>
      <c r="I54" s="154"/>
      <c r="J54" s="692"/>
      <c r="K54" s="151"/>
      <c r="L54" s="577"/>
      <c r="M54" s="79"/>
      <c r="N54" s="158"/>
      <c r="O54" s="150"/>
      <c r="P54" s="733"/>
      <c r="Q54" s="733"/>
      <c r="R54" s="733"/>
      <c r="S54" s="733"/>
      <c r="T54" s="734"/>
      <c r="U54" s="733"/>
      <c r="V54" s="733"/>
      <c r="W54" s="735"/>
      <c r="X54" s="736"/>
      <c r="Y54" s="737"/>
      <c r="Z54" s="738"/>
      <c r="AA54" s="731"/>
    </row>
    <row r="55" spans="1:27">
      <c r="A55" s="326">
        <f t="shared" si="0"/>
        <v>32</v>
      </c>
      <c r="B55" s="711"/>
      <c r="C55" s="45"/>
      <c r="D55" s="46"/>
      <c r="E55" s="47"/>
      <c r="F55" s="126"/>
      <c r="G55" s="167"/>
      <c r="H55" s="167"/>
      <c r="I55" s="154"/>
      <c r="J55" s="692"/>
      <c r="K55" s="151"/>
      <c r="L55" s="577"/>
      <c r="M55" s="79"/>
      <c r="N55" s="158"/>
      <c r="O55" s="150"/>
      <c r="P55" s="733"/>
      <c r="Q55" s="733"/>
      <c r="R55" s="733"/>
      <c r="S55" s="733"/>
      <c r="T55" s="734"/>
      <c r="U55" s="733"/>
      <c r="V55" s="733"/>
      <c r="W55" s="735"/>
      <c r="X55" s="736"/>
      <c r="Y55" s="737"/>
      <c r="Z55" s="738"/>
      <c r="AA55" s="731"/>
    </row>
    <row r="56" spans="1:27">
      <c r="A56" s="326">
        <f t="shared" si="0"/>
        <v>33</v>
      </c>
      <c r="B56" s="711"/>
      <c r="C56" s="45"/>
      <c r="D56" s="46"/>
      <c r="E56" s="47"/>
      <c r="F56" s="126"/>
      <c r="G56" s="167"/>
      <c r="H56" s="167"/>
      <c r="I56" s="154"/>
      <c r="J56" s="692"/>
      <c r="K56" s="151"/>
      <c r="L56" s="577"/>
      <c r="M56" s="79"/>
      <c r="N56" s="158"/>
      <c r="O56" s="150"/>
      <c r="P56" s="733"/>
      <c r="Q56" s="733"/>
      <c r="R56" s="733"/>
      <c r="S56" s="733"/>
      <c r="T56" s="734"/>
      <c r="U56" s="733"/>
      <c r="V56" s="733"/>
      <c r="W56" s="735"/>
      <c r="X56" s="736"/>
      <c r="Y56" s="737"/>
      <c r="Z56" s="738"/>
      <c r="AA56" s="731"/>
    </row>
    <row r="57" spans="1:27">
      <c r="A57" s="326">
        <f t="shared" si="0"/>
        <v>34</v>
      </c>
      <c r="B57" s="711"/>
      <c r="C57" s="45"/>
      <c r="D57" s="46"/>
      <c r="E57" s="47"/>
      <c r="F57" s="126"/>
      <c r="G57" s="167"/>
      <c r="H57" s="167"/>
      <c r="I57" s="154"/>
      <c r="J57" s="692"/>
      <c r="K57" s="151"/>
      <c r="L57" s="577"/>
      <c r="M57" s="79"/>
      <c r="N57" s="158"/>
      <c r="O57" s="150"/>
      <c r="P57" s="733"/>
      <c r="Q57" s="733"/>
      <c r="R57" s="733"/>
      <c r="S57" s="733"/>
      <c r="T57" s="734"/>
      <c r="U57" s="733"/>
      <c r="V57" s="733"/>
      <c r="W57" s="735"/>
      <c r="X57" s="736"/>
      <c r="Y57" s="737"/>
      <c r="Z57" s="738"/>
      <c r="AA57" s="731"/>
    </row>
    <row r="58" spans="1:27">
      <c r="A58" s="326">
        <f t="shared" ref="A58:A121" si="1">+A57+1</f>
        <v>35</v>
      </c>
      <c r="B58" s="711"/>
      <c r="C58" s="45"/>
      <c r="D58" s="46"/>
      <c r="E58" s="47"/>
      <c r="F58" s="126"/>
      <c r="G58" s="167"/>
      <c r="H58" s="167"/>
      <c r="I58" s="154"/>
      <c r="J58" s="692"/>
      <c r="K58" s="151"/>
      <c r="L58" s="577"/>
      <c r="M58" s="79"/>
      <c r="N58" s="158"/>
      <c r="O58" s="150"/>
      <c r="P58" s="733"/>
      <c r="Q58" s="733"/>
      <c r="R58" s="733"/>
      <c r="S58" s="733"/>
      <c r="T58" s="734"/>
      <c r="U58" s="733"/>
      <c r="V58" s="733"/>
      <c r="W58" s="735"/>
      <c r="X58" s="736"/>
      <c r="Y58" s="737"/>
      <c r="Z58" s="738"/>
      <c r="AA58" s="731"/>
    </row>
    <row r="59" spans="1:27">
      <c r="A59" s="326">
        <f t="shared" si="1"/>
        <v>36</v>
      </c>
      <c r="B59" s="711"/>
      <c r="C59" s="45"/>
      <c r="D59" s="46"/>
      <c r="E59" s="47"/>
      <c r="F59" s="126"/>
      <c r="G59" s="167"/>
      <c r="H59" s="167"/>
      <c r="I59" s="154"/>
      <c r="J59" s="692"/>
      <c r="K59" s="151"/>
      <c r="L59" s="577"/>
      <c r="M59" s="79"/>
      <c r="N59" s="158"/>
      <c r="O59" s="150"/>
      <c r="P59" s="733"/>
      <c r="Q59" s="733"/>
      <c r="R59" s="733"/>
      <c r="S59" s="733"/>
      <c r="T59" s="734"/>
      <c r="U59" s="733"/>
      <c r="V59" s="733"/>
      <c r="W59" s="735"/>
      <c r="X59" s="736"/>
      <c r="Y59" s="737"/>
      <c r="Z59" s="738"/>
      <c r="AA59" s="731"/>
    </row>
    <row r="60" spans="1:27">
      <c r="A60" s="326">
        <f t="shared" si="1"/>
        <v>37</v>
      </c>
      <c r="B60" s="711"/>
      <c r="C60" s="45"/>
      <c r="D60" s="46"/>
      <c r="E60" s="47"/>
      <c r="F60" s="126"/>
      <c r="G60" s="167"/>
      <c r="H60" s="167"/>
      <c r="I60" s="154"/>
      <c r="J60" s="692"/>
      <c r="K60" s="151"/>
      <c r="L60" s="577"/>
      <c r="M60" s="79"/>
      <c r="N60" s="158"/>
      <c r="O60" s="150"/>
      <c r="P60" s="733"/>
      <c r="Q60" s="733"/>
      <c r="R60" s="733"/>
      <c r="S60" s="733"/>
      <c r="T60" s="734"/>
      <c r="U60" s="733"/>
      <c r="V60" s="733"/>
      <c r="W60" s="735"/>
      <c r="X60" s="736"/>
      <c r="Y60" s="737"/>
      <c r="Z60" s="738"/>
      <c r="AA60" s="731"/>
    </row>
    <row r="61" spans="1:27">
      <c r="A61" s="326">
        <f t="shared" si="1"/>
        <v>38</v>
      </c>
      <c r="B61" s="711"/>
      <c r="C61" s="45"/>
      <c r="D61" s="46"/>
      <c r="E61" s="47"/>
      <c r="F61" s="126"/>
      <c r="G61" s="167"/>
      <c r="H61" s="167"/>
      <c r="I61" s="154"/>
      <c r="J61" s="692"/>
      <c r="K61" s="151"/>
      <c r="L61" s="577"/>
      <c r="M61" s="79"/>
      <c r="N61" s="158"/>
      <c r="O61" s="150"/>
      <c r="P61" s="733"/>
      <c r="Q61" s="733"/>
      <c r="R61" s="733"/>
      <c r="S61" s="733"/>
      <c r="T61" s="734"/>
      <c r="U61" s="733"/>
      <c r="V61" s="733"/>
      <c r="W61" s="735"/>
      <c r="X61" s="736"/>
      <c r="Y61" s="737"/>
      <c r="Z61" s="738"/>
      <c r="AA61" s="731"/>
    </row>
    <row r="62" spans="1:27">
      <c r="A62" s="326">
        <f t="shared" si="1"/>
        <v>39</v>
      </c>
      <c r="B62" s="711"/>
      <c r="C62" s="45"/>
      <c r="D62" s="46"/>
      <c r="E62" s="47"/>
      <c r="F62" s="126"/>
      <c r="G62" s="167"/>
      <c r="H62" s="167"/>
      <c r="I62" s="154"/>
      <c r="J62" s="692"/>
      <c r="K62" s="151"/>
      <c r="L62" s="577"/>
      <c r="M62" s="79"/>
      <c r="N62" s="158"/>
      <c r="O62" s="150"/>
      <c r="P62" s="733"/>
      <c r="Q62" s="733"/>
      <c r="R62" s="733"/>
      <c r="S62" s="733"/>
      <c r="T62" s="734"/>
      <c r="U62" s="733"/>
      <c r="V62" s="733"/>
      <c r="W62" s="735"/>
      <c r="X62" s="736"/>
      <c r="Y62" s="737"/>
      <c r="Z62" s="738"/>
      <c r="AA62" s="731"/>
    </row>
    <row r="63" spans="1:27">
      <c r="A63" s="326">
        <f t="shared" si="1"/>
        <v>40</v>
      </c>
      <c r="B63" s="711"/>
      <c r="C63" s="45"/>
      <c r="D63" s="46"/>
      <c r="E63" s="47"/>
      <c r="F63" s="126"/>
      <c r="G63" s="167"/>
      <c r="H63" s="167"/>
      <c r="I63" s="154"/>
      <c r="J63" s="692"/>
      <c r="K63" s="151"/>
      <c r="L63" s="577"/>
      <c r="M63" s="79"/>
      <c r="N63" s="158"/>
      <c r="O63" s="150"/>
      <c r="P63" s="733"/>
      <c r="Q63" s="733"/>
      <c r="R63" s="733"/>
      <c r="S63" s="733"/>
      <c r="T63" s="734"/>
      <c r="U63" s="733"/>
      <c r="V63" s="733"/>
      <c r="W63" s="735"/>
      <c r="X63" s="736"/>
      <c r="Y63" s="737"/>
      <c r="Z63" s="738"/>
      <c r="AA63" s="731"/>
    </row>
    <row r="64" spans="1:27">
      <c r="A64" s="326">
        <f t="shared" si="1"/>
        <v>41</v>
      </c>
      <c r="B64" s="711"/>
      <c r="C64" s="45"/>
      <c r="D64" s="46"/>
      <c r="E64" s="47"/>
      <c r="F64" s="126"/>
      <c r="G64" s="167"/>
      <c r="H64" s="167"/>
      <c r="I64" s="154"/>
      <c r="J64" s="692"/>
      <c r="K64" s="151"/>
      <c r="L64" s="577"/>
      <c r="M64" s="79"/>
      <c r="N64" s="158"/>
      <c r="O64" s="150"/>
      <c r="P64" s="733"/>
      <c r="Q64" s="733"/>
      <c r="R64" s="733"/>
      <c r="S64" s="733"/>
      <c r="T64" s="734"/>
      <c r="U64" s="733"/>
      <c r="V64" s="733"/>
      <c r="W64" s="735"/>
      <c r="X64" s="736"/>
      <c r="Y64" s="737"/>
      <c r="Z64" s="738"/>
      <c r="AA64" s="731"/>
    </row>
    <row r="65" spans="1:27">
      <c r="A65" s="326">
        <f t="shared" si="1"/>
        <v>42</v>
      </c>
      <c r="B65" s="711"/>
      <c r="C65" s="45"/>
      <c r="D65" s="46"/>
      <c r="E65" s="47"/>
      <c r="F65" s="126"/>
      <c r="G65" s="167"/>
      <c r="H65" s="167"/>
      <c r="I65" s="154"/>
      <c r="J65" s="692"/>
      <c r="K65" s="151"/>
      <c r="L65" s="577"/>
      <c r="M65" s="79"/>
      <c r="N65" s="158"/>
      <c r="O65" s="150"/>
      <c r="P65" s="733"/>
      <c r="Q65" s="733"/>
      <c r="R65" s="733"/>
      <c r="S65" s="733"/>
      <c r="T65" s="734"/>
      <c r="U65" s="733"/>
      <c r="V65" s="733"/>
      <c r="W65" s="735"/>
      <c r="X65" s="736"/>
      <c r="Y65" s="737"/>
      <c r="Z65" s="738"/>
      <c r="AA65" s="731"/>
    </row>
    <row r="66" spans="1:27">
      <c r="A66" s="326">
        <f t="shared" si="1"/>
        <v>43</v>
      </c>
      <c r="B66" s="711"/>
      <c r="C66" s="45"/>
      <c r="D66" s="46"/>
      <c r="E66" s="47"/>
      <c r="F66" s="126"/>
      <c r="G66" s="167"/>
      <c r="H66" s="167"/>
      <c r="I66" s="154"/>
      <c r="J66" s="692"/>
      <c r="K66" s="151"/>
      <c r="L66" s="577"/>
      <c r="M66" s="79"/>
      <c r="N66" s="158"/>
      <c r="O66" s="150"/>
      <c r="P66" s="733"/>
      <c r="Q66" s="733"/>
      <c r="R66" s="733"/>
      <c r="S66" s="733"/>
      <c r="T66" s="734"/>
      <c r="U66" s="733"/>
      <c r="V66" s="733"/>
      <c r="W66" s="735"/>
      <c r="X66" s="736"/>
      <c r="Y66" s="737"/>
      <c r="Z66" s="738"/>
      <c r="AA66" s="731"/>
    </row>
    <row r="67" spans="1:27">
      <c r="A67" s="326">
        <f t="shared" si="1"/>
        <v>44</v>
      </c>
      <c r="B67" s="711"/>
      <c r="C67" s="45"/>
      <c r="D67" s="46"/>
      <c r="E67" s="47"/>
      <c r="F67" s="126"/>
      <c r="G67" s="167"/>
      <c r="H67" s="167"/>
      <c r="I67" s="154"/>
      <c r="J67" s="692"/>
      <c r="K67" s="151"/>
      <c r="L67" s="577"/>
      <c r="M67" s="79"/>
      <c r="N67" s="158"/>
      <c r="O67" s="150"/>
      <c r="P67" s="733"/>
      <c r="Q67" s="733"/>
      <c r="R67" s="733"/>
      <c r="S67" s="733"/>
      <c r="T67" s="734"/>
      <c r="U67" s="733"/>
      <c r="V67" s="733"/>
      <c r="W67" s="735"/>
      <c r="X67" s="736"/>
      <c r="Y67" s="737"/>
      <c r="Z67" s="738"/>
      <c r="AA67" s="731"/>
    </row>
    <row r="68" spans="1:27">
      <c r="A68" s="326">
        <f t="shared" si="1"/>
        <v>45</v>
      </c>
      <c r="B68" s="711"/>
      <c r="C68" s="45"/>
      <c r="D68" s="46"/>
      <c r="E68" s="47"/>
      <c r="F68" s="126"/>
      <c r="G68" s="167"/>
      <c r="H68" s="167"/>
      <c r="I68" s="154"/>
      <c r="J68" s="692"/>
      <c r="K68" s="151"/>
      <c r="L68" s="577"/>
      <c r="M68" s="79"/>
      <c r="N68" s="158"/>
      <c r="O68" s="150"/>
      <c r="P68" s="733"/>
      <c r="Q68" s="733"/>
      <c r="R68" s="733"/>
      <c r="S68" s="733"/>
      <c r="T68" s="734"/>
      <c r="U68" s="733"/>
      <c r="V68" s="733"/>
      <c r="W68" s="735"/>
      <c r="X68" s="736"/>
      <c r="Y68" s="737"/>
      <c r="Z68" s="738"/>
      <c r="AA68" s="731"/>
    </row>
    <row r="69" spans="1:27">
      <c r="A69" s="326">
        <f t="shared" si="1"/>
        <v>46</v>
      </c>
      <c r="B69" s="711"/>
      <c r="C69" s="45"/>
      <c r="D69" s="46"/>
      <c r="E69" s="47"/>
      <c r="F69" s="126"/>
      <c r="G69" s="167"/>
      <c r="H69" s="167"/>
      <c r="I69" s="154"/>
      <c r="J69" s="692"/>
      <c r="K69" s="151"/>
      <c r="L69" s="577"/>
      <c r="M69" s="79"/>
      <c r="N69" s="158"/>
      <c r="O69" s="150"/>
      <c r="P69" s="733"/>
      <c r="Q69" s="733"/>
      <c r="R69" s="733"/>
      <c r="S69" s="733"/>
      <c r="T69" s="734"/>
      <c r="U69" s="733"/>
      <c r="V69" s="733"/>
      <c r="W69" s="735"/>
      <c r="X69" s="736"/>
      <c r="Y69" s="737"/>
      <c r="Z69" s="738"/>
      <c r="AA69" s="731"/>
    </row>
    <row r="70" spans="1:27">
      <c r="A70" s="326">
        <f t="shared" si="1"/>
        <v>47</v>
      </c>
      <c r="B70" s="711"/>
      <c r="C70" s="45"/>
      <c r="D70" s="46"/>
      <c r="E70" s="47"/>
      <c r="F70" s="126"/>
      <c r="G70" s="167"/>
      <c r="H70" s="167"/>
      <c r="I70" s="154"/>
      <c r="J70" s="692"/>
      <c r="K70" s="151"/>
      <c r="L70" s="577"/>
      <c r="M70" s="79"/>
      <c r="N70" s="158"/>
      <c r="O70" s="150"/>
      <c r="P70" s="733"/>
      <c r="Q70" s="733"/>
      <c r="R70" s="733"/>
      <c r="S70" s="733"/>
      <c r="T70" s="734"/>
      <c r="U70" s="733"/>
      <c r="V70" s="733"/>
      <c r="W70" s="735"/>
      <c r="X70" s="736"/>
      <c r="Y70" s="737"/>
      <c r="Z70" s="738"/>
      <c r="AA70" s="731"/>
    </row>
    <row r="71" spans="1:27">
      <c r="A71" s="326">
        <f t="shared" si="1"/>
        <v>48</v>
      </c>
      <c r="B71" s="711"/>
      <c r="C71" s="45"/>
      <c r="D71" s="46"/>
      <c r="E71" s="47"/>
      <c r="F71" s="126"/>
      <c r="G71" s="167"/>
      <c r="H71" s="167"/>
      <c r="I71" s="154"/>
      <c r="J71" s="692"/>
      <c r="K71" s="151"/>
      <c r="L71" s="577"/>
      <c r="M71" s="79"/>
      <c r="N71" s="158"/>
      <c r="O71" s="150"/>
      <c r="P71" s="733"/>
      <c r="Q71" s="733"/>
      <c r="R71" s="733"/>
      <c r="S71" s="733"/>
      <c r="T71" s="734"/>
      <c r="U71" s="733"/>
      <c r="V71" s="733"/>
      <c r="W71" s="735"/>
      <c r="X71" s="736"/>
      <c r="Y71" s="737"/>
      <c r="Z71" s="738"/>
      <c r="AA71" s="731"/>
    </row>
    <row r="72" spans="1:27">
      <c r="A72" s="326">
        <f t="shared" si="1"/>
        <v>49</v>
      </c>
      <c r="B72" s="711"/>
      <c r="C72" s="45"/>
      <c r="D72" s="46"/>
      <c r="E72" s="47"/>
      <c r="F72" s="126"/>
      <c r="G72" s="167"/>
      <c r="H72" s="167"/>
      <c r="I72" s="154"/>
      <c r="J72" s="692"/>
      <c r="K72" s="151"/>
      <c r="L72" s="577"/>
      <c r="M72" s="79"/>
      <c r="N72" s="158"/>
      <c r="O72" s="150"/>
      <c r="P72" s="733"/>
      <c r="Q72" s="733"/>
      <c r="R72" s="733"/>
      <c r="S72" s="733"/>
      <c r="T72" s="734"/>
      <c r="U72" s="733"/>
      <c r="V72" s="733"/>
      <c r="W72" s="735"/>
      <c r="X72" s="736"/>
      <c r="Y72" s="737"/>
      <c r="Z72" s="738"/>
      <c r="AA72" s="731"/>
    </row>
    <row r="73" spans="1:27">
      <c r="A73" s="326">
        <f t="shared" si="1"/>
        <v>50</v>
      </c>
      <c r="B73" s="711"/>
      <c r="C73" s="45"/>
      <c r="D73" s="46"/>
      <c r="E73" s="47"/>
      <c r="F73" s="126"/>
      <c r="G73" s="167"/>
      <c r="H73" s="167"/>
      <c r="I73" s="154"/>
      <c r="J73" s="692"/>
      <c r="K73" s="151"/>
      <c r="L73" s="577"/>
      <c r="M73" s="79"/>
      <c r="N73" s="158"/>
      <c r="O73" s="150"/>
      <c r="P73" s="733"/>
      <c r="Q73" s="733"/>
      <c r="R73" s="733"/>
      <c r="S73" s="733"/>
      <c r="T73" s="734"/>
      <c r="U73" s="733"/>
      <c r="V73" s="733"/>
      <c r="W73" s="735"/>
      <c r="X73" s="736"/>
      <c r="Y73" s="737"/>
      <c r="Z73" s="738"/>
      <c r="AA73" s="731"/>
    </row>
    <row r="74" spans="1:27">
      <c r="A74" s="326">
        <f t="shared" si="1"/>
        <v>51</v>
      </c>
      <c r="B74" s="711"/>
      <c r="C74" s="45"/>
      <c r="D74" s="46"/>
      <c r="E74" s="47"/>
      <c r="F74" s="126"/>
      <c r="G74" s="167"/>
      <c r="H74" s="167"/>
      <c r="I74" s="154"/>
      <c r="J74" s="692"/>
      <c r="K74" s="151"/>
      <c r="L74" s="577"/>
      <c r="M74" s="79"/>
      <c r="N74" s="158"/>
      <c r="O74" s="150"/>
      <c r="P74" s="733"/>
      <c r="Q74" s="733"/>
      <c r="R74" s="733"/>
      <c r="S74" s="733"/>
      <c r="T74" s="734"/>
      <c r="U74" s="733"/>
      <c r="V74" s="733"/>
      <c r="W74" s="735"/>
      <c r="X74" s="736"/>
      <c r="Y74" s="737"/>
      <c r="Z74" s="738"/>
      <c r="AA74" s="731"/>
    </row>
    <row r="75" spans="1:27">
      <c r="A75" s="326">
        <f t="shared" si="1"/>
        <v>52</v>
      </c>
      <c r="B75" s="711"/>
      <c r="C75" s="45"/>
      <c r="D75" s="46"/>
      <c r="E75" s="47"/>
      <c r="F75" s="126"/>
      <c r="G75" s="167"/>
      <c r="H75" s="167"/>
      <c r="I75" s="154"/>
      <c r="J75" s="692"/>
      <c r="K75" s="151"/>
      <c r="L75" s="577"/>
      <c r="M75" s="79"/>
      <c r="N75" s="158"/>
      <c r="O75" s="150"/>
      <c r="P75" s="733"/>
      <c r="Q75" s="733"/>
      <c r="R75" s="733"/>
      <c r="S75" s="733"/>
      <c r="T75" s="734"/>
      <c r="U75" s="733"/>
      <c r="V75" s="733"/>
      <c r="W75" s="735"/>
      <c r="X75" s="736"/>
      <c r="Y75" s="737"/>
      <c r="Z75" s="738"/>
      <c r="AA75" s="731"/>
    </row>
    <row r="76" spans="1:27">
      <c r="A76" s="326">
        <f t="shared" si="1"/>
        <v>53</v>
      </c>
      <c r="B76" s="711"/>
      <c r="C76" s="45"/>
      <c r="D76" s="46"/>
      <c r="E76" s="47"/>
      <c r="F76" s="126"/>
      <c r="G76" s="167"/>
      <c r="H76" s="167"/>
      <c r="I76" s="154"/>
      <c r="J76" s="692"/>
      <c r="K76" s="151"/>
      <c r="L76" s="577"/>
      <c r="M76" s="79"/>
      <c r="N76" s="158"/>
      <c r="O76" s="150"/>
      <c r="P76" s="733"/>
      <c r="Q76" s="733"/>
      <c r="R76" s="733"/>
      <c r="S76" s="733"/>
      <c r="T76" s="734"/>
      <c r="U76" s="733"/>
      <c r="V76" s="733"/>
      <c r="W76" s="735"/>
      <c r="X76" s="736"/>
      <c r="Y76" s="737"/>
      <c r="Z76" s="738"/>
      <c r="AA76" s="731"/>
    </row>
    <row r="77" spans="1:27">
      <c r="A77" s="326">
        <f t="shared" si="1"/>
        <v>54</v>
      </c>
      <c r="B77" s="711"/>
      <c r="C77" s="45"/>
      <c r="D77" s="46"/>
      <c r="E77" s="47"/>
      <c r="F77" s="126"/>
      <c r="G77" s="167"/>
      <c r="H77" s="167"/>
      <c r="I77" s="154"/>
      <c r="J77" s="692"/>
      <c r="K77" s="151"/>
      <c r="L77" s="577"/>
      <c r="M77" s="79"/>
      <c r="N77" s="158"/>
      <c r="O77" s="150"/>
      <c r="P77" s="733"/>
      <c r="Q77" s="733"/>
      <c r="R77" s="733"/>
      <c r="S77" s="733"/>
      <c r="T77" s="734"/>
      <c r="U77" s="733"/>
      <c r="V77" s="733"/>
      <c r="W77" s="735"/>
      <c r="X77" s="736"/>
      <c r="Y77" s="737"/>
      <c r="Z77" s="738"/>
      <c r="AA77" s="731"/>
    </row>
    <row r="78" spans="1:27">
      <c r="A78" s="326">
        <f t="shared" si="1"/>
        <v>55</v>
      </c>
      <c r="B78" s="711"/>
      <c r="C78" s="45"/>
      <c r="D78" s="46"/>
      <c r="E78" s="47"/>
      <c r="F78" s="126"/>
      <c r="G78" s="167"/>
      <c r="H78" s="167"/>
      <c r="I78" s="154"/>
      <c r="J78" s="692"/>
      <c r="K78" s="151"/>
      <c r="L78" s="577"/>
      <c r="M78" s="79"/>
      <c r="N78" s="158"/>
      <c r="O78" s="150"/>
      <c r="P78" s="733"/>
      <c r="Q78" s="733"/>
      <c r="R78" s="733"/>
      <c r="S78" s="733"/>
      <c r="T78" s="734"/>
      <c r="U78" s="733"/>
      <c r="V78" s="733"/>
      <c r="W78" s="735"/>
      <c r="X78" s="736"/>
      <c r="Y78" s="737"/>
      <c r="Z78" s="738"/>
      <c r="AA78" s="731"/>
    </row>
    <row r="79" spans="1:27">
      <c r="A79" s="326">
        <f t="shared" si="1"/>
        <v>56</v>
      </c>
      <c r="B79" s="711"/>
      <c r="C79" s="45"/>
      <c r="D79" s="46"/>
      <c r="E79" s="47"/>
      <c r="F79" s="126"/>
      <c r="G79" s="167"/>
      <c r="H79" s="167"/>
      <c r="I79" s="154"/>
      <c r="J79" s="692"/>
      <c r="K79" s="151"/>
      <c r="L79" s="577"/>
      <c r="M79" s="79"/>
      <c r="N79" s="158"/>
      <c r="O79" s="150"/>
      <c r="P79" s="733"/>
      <c r="Q79" s="733"/>
      <c r="R79" s="733"/>
      <c r="S79" s="733"/>
      <c r="T79" s="734"/>
      <c r="U79" s="733"/>
      <c r="V79" s="733"/>
      <c r="W79" s="735"/>
      <c r="X79" s="736"/>
      <c r="Y79" s="737"/>
      <c r="Z79" s="738"/>
      <c r="AA79" s="731"/>
    </row>
    <row r="80" spans="1:27">
      <c r="A80" s="326">
        <f t="shared" si="1"/>
        <v>57</v>
      </c>
      <c r="B80" s="711"/>
      <c r="C80" s="45"/>
      <c r="D80" s="46"/>
      <c r="E80" s="47"/>
      <c r="F80" s="126"/>
      <c r="G80" s="167"/>
      <c r="H80" s="167"/>
      <c r="I80" s="154"/>
      <c r="J80" s="692"/>
      <c r="K80" s="151"/>
      <c r="L80" s="577"/>
      <c r="M80" s="79"/>
      <c r="N80" s="158"/>
      <c r="O80" s="150"/>
      <c r="P80" s="733"/>
      <c r="Q80" s="733"/>
      <c r="R80" s="733"/>
      <c r="S80" s="733"/>
      <c r="T80" s="734"/>
      <c r="U80" s="733"/>
      <c r="V80" s="733"/>
      <c r="W80" s="735"/>
      <c r="X80" s="736"/>
      <c r="Y80" s="737"/>
      <c r="Z80" s="738"/>
      <c r="AA80" s="731"/>
    </row>
    <row r="81" spans="1:27">
      <c r="A81" s="326">
        <f t="shared" si="1"/>
        <v>58</v>
      </c>
      <c r="B81" s="711"/>
      <c r="C81" s="45"/>
      <c r="D81" s="46"/>
      <c r="E81" s="47"/>
      <c r="F81" s="126"/>
      <c r="G81" s="167"/>
      <c r="H81" s="167"/>
      <c r="I81" s="154"/>
      <c r="J81" s="692"/>
      <c r="K81" s="151"/>
      <c r="L81" s="577"/>
      <c r="M81" s="79"/>
      <c r="N81" s="158"/>
      <c r="O81" s="150"/>
      <c r="P81" s="733"/>
      <c r="Q81" s="733"/>
      <c r="R81" s="733"/>
      <c r="S81" s="733"/>
      <c r="T81" s="734"/>
      <c r="U81" s="733"/>
      <c r="V81" s="733"/>
      <c r="W81" s="735"/>
      <c r="X81" s="736"/>
      <c r="Y81" s="737"/>
      <c r="Z81" s="738"/>
      <c r="AA81" s="731"/>
    </row>
    <row r="82" spans="1:27">
      <c r="A82" s="326">
        <f t="shared" si="1"/>
        <v>59</v>
      </c>
      <c r="B82" s="295"/>
      <c r="C82" s="45"/>
      <c r="D82" s="46"/>
      <c r="E82" s="47"/>
      <c r="F82" s="126"/>
      <c r="G82" s="167"/>
      <c r="H82" s="167"/>
      <c r="I82" s="154"/>
      <c r="J82" s="692"/>
      <c r="K82" s="151"/>
      <c r="L82" s="577"/>
      <c r="M82" s="79"/>
      <c r="N82" s="158"/>
      <c r="O82" s="150"/>
      <c r="P82" s="733"/>
      <c r="Q82" s="733"/>
      <c r="R82" s="733"/>
      <c r="S82" s="733"/>
      <c r="T82" s="734"/>
      <c r="U82" s="733"/>
      <c r="V82" s="733"/>
      <c r="W82" s="735"/>
      <c r="X82" s="736"/>
      <c r="Y82" s="737"/>
      <c r="Z82" s="738"/>
      <c r="AA82" s="731"/>
    </row>
    <row r="83" spans="1:27">
      <c r="A83" s="326">
        <f t="shared" si="1"/>
        <v>60</v>
      </c>
      <c r="B83" s="295"/>
      <c r="C83" s="45"/>
      <c r="D83" s="46"/>
      <c r="E83" s="47"/>
      <c r="F83" s="126"/>
      <c r="G83" s="167"/>
      <c r="H83" s="167"/>
      <c r="I83" s="154"/>
      <c r="J83" s="692"/>
      <c r="K83" s="151"/>
      <c r="L83" s="577"/>
      <c r="M83" s="79"/>
      <c r="N83" s="158"/>
      <c r="O83" s="150"/>
      <c r="P83" s="733"/>
      <c r="Q83" s="733"/>
      <c r="R83" s="733"/>
      <c r="S83" s="733"/>
      <c r="T83" s="734"/>
      <c r="U83" s="733"/>
      <c r="V83" s="733"/>
      <c r="W83" s="735"/>
      <c r="X83" s="736"/>
      <c r="Y83" s="737"/>
      <c r="Z83" s="738"/>
      <c r="AA83" s="731"/>
    </row>
    <row r="84" spans="1:27">
      <c r="A84" s="326">
        <f t="shared" si="1"/>
        <v>61</v>
      </c>
      <c r="B84" s="295"/>
      <c r="C84" s="45"/>
      <c r="D84" s="46"/>
      <c r="E84" s="47"/>
      <c r="F84" s="126"/>
      <c r="G84" s="167"/>
      <c r="H84" s="167"/>
      <c r="I84" s="154"/>
      <c r="J84" s="692"/>
      <c r="K84" s="151"/>
      <c r="L84" s="577"/>
      <c r="M84" s="79"/>
      <c r="N84" s="158"/>
      <c r="O84" s="150"/>
      <c r="P84" s="733"/>
      <c r="Q84" s="733"/>
      <c r="R84" s="733"/>
      <c r="S84" s="733"/>
      <c r="T84" s="734"/>
      <c r="U84" s="733"/>
      <c r="V84" s="733"/>
      <c r="W84" s="735"/>
      <c r="X84" s="736"/>
      <c r="Y84" s="737"/>
      <c r="Z84" s="738"/>
      <c r="AA84" s="731"/>
    </row>
    <row r="85" spans="1:27">
      <c r="A85" s="326">
        <f t="shared" si="1"/>
        <v>62</v>
      </c>
      <c r="B85" s="295"/>
      <c r="C85" s="45"/>
      <c r="D85" s="46"/>
      <c r="E85" s="47"/>
      <c r="F85" s="126"/>
      <c r="G85" s="167"/>
      <c r="H85" s="167"/>
      <c r="I85" s="154"/>
      <c r="J85" s="692"/>
      <c r="K85" s="151"/>
      <c r="L85" s="577"/>
      <c r="M85" s="79"/>
      <c r="N85" s="158"/>
      <c r="O85" s="150"/>
      <c r="P85" s="733"/>
      <c r="Q85" s="733"/>
      <c r="R85" s="733"/>
      <c r="S85" s="733"/>
      <c r="T85" s="734"/>
      <c r="U85" s="733"/>
      <c r="V85" s="733"/>
      <c r="W85" s="735"/>
      <c r="X85" s="736"/>
      <c r="Y85" s="737"/>
      <c r="Z85" s="738"/>
      <c r="AA85" s="731"/>
    </row>
    <row r="86" spans="1:27">
      <c r="A86" s="326">
        <f t="shared" si="1"/>
        <v>63</v>
      </c>
      <c r="B86" s="295"/>
      <c r="C86" s="45"/>
      <c r="D86" s="46"/>
      <c r="E86" s="47"/>
      <c r="F86" s="126"/>
      <c r="G86" s="167"/>
      <c r="H86" s="167"/>
      <c r="I86" s="154"/>
      <c r="J86" s="692"/>
      <c r="K86" s="151"/>
      <c r="L86" s="577"/>
      <c r="M86" s="79"/>
      <c r="N86" s="158"/>
      <c r="O86" s="150"/>
      <c r="P86" s="733"/>
      <c r="Q86" s="733"/>
      <c r="R86" s="733"/>
      <c r="S86" s="733"/>
      <c r="T86" s="734"/>
      <c r="U86" s="733"/>
      <c r="V86" s="733"/>
      <c r="W86" s="735"/>
      <c r="X86" s="736"/>
      <c r="Y86" s="737"/>
      <c r="Z86" s="738"/>
      <c r="AA86" s="731"/>
    </row>
    <row r="87" spans="1:27">
      <c r="A87" s="326">
        <f t="shared" si="1"/>
        <v>64</v>
      </c>
      <c r="B87" s="295"/>
      <c r="C87" s="45"/>
      <c r="D87" s="46"/>
      <c r="E87" s="47"/>
      <c r="F87" s="126"/>
      <c r="G87" s="167"/>
      <c r="H87" s="167"/>
      <c r="I87" s="154"/>
      <c r="J87" s="692"/>
      <c r="K87" s="151"/>
      <c r="L87" s="577"/>
      <c r="M87" s="79"/>
      <c r="N87" s="158"/>
      <c r="O87" s="150"/>
      <c r="P87" s="733"/>
      <c r="Q87" s="733"/>
      <c r="R87" s="733"/>
      <c r="S87" s="733"/>
      <c r="T87" s="734"/>
      <c r="U87" s="733"/>
      <c r="V87" s="733"/>
      <c r="W87" s="735"/>
      <c r="X87" s="736"/>
      <c r="Y87" s="737"/>
      <c r="Z87" s="738"/>
      <c r="AA87" s="731"/>
    </row>
    <row r="88" spans="1:27">
      <c r="A88" s="326">
        <f t="shared" si="1"/>
        <v>65</v>
      </c>
      <c r="B88" s="295"/>
      <c r="C88" s="45"/>
      <c r="D88" s="46"/>
      <c r="E88" s="47"/>
      <c r="F88" s="126"/>
      <c r="G88" s="167"/>
      <c r="H88" s="167"/>
      <c r="I88" s="154"/>
      <c r="J88" s="692"/>
      <c r="K88" s="151"/>
      <c r="L88" s="577"/>
      <c r="M88" s="79"/>
      <c r="N88" s="158"/>
      <c r="O88" s="150"/>
      <c r="P88" s="733"/>
      <c r="Q88" s="733"/>
      <c r="R88" s="733"/>
      <c r="S88" s="733"/>
      <c r="T88" s="734"/>
      <c r="U88" s="733"/>
      <c r="V88" s="733"/>
      <c r="W88" s="735"/>
      <c r="X88" s="736"/>
      <c r="Y88" s="737"/>
      <c r="Z88" s="738"/>
      <c r="AA88" s="731"/>
    </row>
    <row r="89" spans="1:27">
      <c r="A89" s="326">
        <f t="shared" si="1"/>
        <v>66</v>
      </c>
      <c r="B89" s="295"/>
      <c r="C89" s="45"/>
      <c r="D89" s="46"/>
      <c r="E89" s="47"/>
      <c r="F89" s="126"/>
      <c r="G89" s="167"/>
      <c r="H89" s="167"/>
      <c r="I89" s="154"/>
      <c r="J89" s="692"/>
      <c r="K89" s="151"/>
      <c r="L89" s="577"/>
      <c r="M89" s="79"/>
      <c r="N89" s="158"/>
      <c r="O89" s="150"/>
      <c r="P89" s="733"/>
      <c r="Q89" s="733"/>
      <c r="R89" s="733"/>
      <c r="S89" s="733"/>
      <c r="T89" s="734"/>
      <c r="U89" s="733"/>
      <c r="V89" s="733"/>
      <c r="W89" s="735"/>
      <c r="X89" s="736"/>
      <c r="Y89" s="737"/>
      <c r="Z89" s="738"/>
      <c r="AA89" s="731"/>
    </row>
    <row r="90" spans="1:27">
      <c r="A90" s="326">
        <f t="shared" si="1"/>
        <v>67</v>
      </c>
      <c r="B90" s="295"/>
      <c r="C90" s="45"/>
      <c r="D90" s="46"/>
      <c r="E90" s="47"/>
      <c r="F90" s="126"/>
      <c r="G90" s="167"/>
      <c r="H90" s="167"/>
      <c r="I90" s="154"/>
      <c r="J90" s="692"/>
      <c r="K90" s="151"/>
      <c r="L90" s="577"/>
      <c r="M90" s="79"/>
      <c r="N90" s="158"/>
      <c r="O90" s="150"/>
      <c r="P90" s="733"/>
      <c r="Q90" s="733"/>
      <c r="R90" s="733"/>
      <c r="S90" s="733"/>
      <c r="T90" s="734"/>
      <c r="U90" s="733"/>
      <c r="V90" s="733"/>
      <c r="W90" s="735"/>
      <c r="X90" s="736"/>
      <c r="Y90" s="737"/>
      <c r="Z90" s="738"/>
      <c r="AA90" s="731"/>
    </row>
    <row r="91" spans="1:27">
      <c r="A91" s="326">
        <f t="shared" si="1"/>
        <v>68</v>
      </c>
      <c r="B91" s="295"/>
      <c r="C91" s="45"/>
      <c r="D91" s="46"/>
      <c r="E91" s="47"/>
      <c r="F91" s="126"/>
      <c r="G91" s="167"/>
      <c r="H91" s="167"/>
      <c r="I91" s="154"/>
      <c r="J91" s="692"/>
      <c r="K91" s="151"/>
      <c r="L91" s="577"/>
      <c r="M91" s="79"/>
      <c r="N91" s="158"/>
      <c r="O91" s="150"/>
      <c r="P91" s="733"/>
      <c r="Q91" s="733"/>
      <c r="R91" s="733"/>
      <c r="S91" s="733"/>
      <c r="T91" s="734"/>
      <c r="U91" s="733"/>
      <c r="V91" s="733"/>
      <c r="W91" s="735"/>
      <c r="X91" s="736"/>
      <c r="Y91" s="737"/>
      <c r="Z91" s="738"/>
      <c r="AA91" s="731"/>
    </row>
    <row r="92" spans="1:27">
      <c r="A92" s="326">
        <f t="shared" si="1"/>
        <v>69</v>
      </c>
      <c r="B92" s="295"/>
      <c r="C92" s="45"/>
      <c r="D92" s="46"/>
      <c r="E92" s="47"/>
      <c r="F92" s="126"/>
      <c r="G92" s="167"/>
      <c r="H92" s="167"/>
      <c r="I92" s="154"/>
      <c r="J92" s="692"/>
      <c r="K92" s="151"/>
      <c r="L92" s="577"/>
      <c r="M92" s="79"/>
      <c r="N92" s="158"/>
      <c r="O92" s="150"/>
      <c r="P92" s="733"/>
      <c r="Q92" s="733"/>
      <c r="R92" s="733"/>
      <c r="S92" s="733"/>
      <c r="T92" s="734"/>
      <c r="U92" s="733"/>
      <c r="V92" s="733"/>
      <c r="W92" s="735"/>
      <c r="X92" s="736"/>
      <c r="Y92" s="737"/>
      <c r="Z92" s="738"/>
      <c r="AA92" s="731"/>
    </row>
    <row r="93" spans="1:27">
      <c r="A93" s="326">
        <f t="shared" si="1"/>
        <v>70</v>
      </c>
      <c r="B93" s="295"/>
      <c r="C93" s="45"/>
      <c r="D93" s="46"/>
      <c r="E93" s="47"/>
      <c r="F93" s="126"/>
      <c r="G93" s="167"/>
      <c r="H93" s="167"/>
      <c r="I93" s="154"/>
      <c r="J93" s="692"/>
      <c r="K93" s="151"/>
      <c r="L93" s="577"/>
      <c r="M93" s="79"/>
      <c r="N93" s="158"/>
      <c r="O93" s="150"/>
      <c r="P93" s="733"/>
      <c r="Q93" s="733"/>
      <c r="R93" s="733"/>
      <c r="S93" s="733"/>
      <c r="T93" s="734"/>
      <c r="U93" s="733"/>
      <c r="V93" s="733"/>
      <c r="W93" s="735"/>
      <c r="X93" s="736"/>
      <c r="Y93" s="737"/>
      <c r="Z93" s="738"/>
      <c r="AA93" s="731"/>
    </row>
    <row r="94" spans="1:27">
      <c r="A94" s="326">
        <f t="shared" si="1"/>
        <v>71</v>
      </c>
      <c r="B94" s="295"/>
      <c r="C94" s="45"/>
      <c r="D94" s="46"/>
      <c r="E94" s="47"/>
      <c r="F94" s="126"/>
      <c r="G94" s="167"/>
      <c r="H94" s="167"/>
      <c r="I94" s="154"/>
      <c r="J94" s="692"/>
      <c r="K94" s="151"/>
      <c r="L94" s="577"/>
      <c r="M94" s="79"/>
      <c r="N94" s="158"/>
      <c r="O94" s="150"/>
      <c r="P94" s="733"/>
      <c r="Q94" s="733"/>
      <c r="R94" s="733"/>
      <c r="S94" s="733"/>
      <c r="T94" s="734"/>
      <c r="U94" s="733"/>
      <c r="V94" s="733"/>
      <c r="W94" s="735"/>
      <c r="X94" s="736"/>
      <c r="Y94" s="737"/>
      <c r="Z94" s="738"/>
      <c r="AA94" s="731"/>
    </row>
    <row r="95" spans="1:27">
      <c r="A95" s="326">
        <f t="shared" si="1"/>
        <v>72</v>
      </c>
      <c r="B95" s="295"/>
      <c r="C95" s="45"/>
      <c r="D95" s="46"/>
      <c r="E95" s="47"/>
      <c r="F95" s="126"/>
      <c r="G95" s="167"/>
      <c r="H95" s="167"/>
      <c r="I95" s="154"/>
      <c r="J95" s="692"/>
      <c r="K95" s="151"/>
      <c r="L95" s="577"/>
      <c r="M95" s="79"/>
      <c r="N95" s="158"/>
      <c r="O95" s="150"/>
      <c r="P95" s="733"/>
      <c r="Q95" s="733"/>
      <c r="R95" s="733"/>
      <c r="S95" s="733"/>
      <c r="T95" s="734"/>
      <c r="U95" s="733"/>
      <c r="V95" s="733"/>
      <c r="W95" s="735"/>
      <c r="X95" s="736"/>
      <c r="Y95" s="737"/>
      <c r="Z95" s="738"/>
      <c r="AA95" s="731"/>
    </row>
    <row r="96" spans="1:27">
      <c r="A96" s="326">
        <f t="shared" si="1"/>
        <v>73</v>
      </c>
      <c r="B96" s="295"/>
      <c r="C96" s="45"/>
      <c r="D96" s="46"/>
      <c r="E96" s="47"/>
      <c r="F96" s="126"/>
      <c r="G96" s="167"/>
      <c r="H96" s="167"/>
      <c r="I96" s="154"/>
      <c r="J96" s="692"/>
      <c r="K96" s="151"/>
      <c r="L96" s="577"/>
      <c r="M96" s="79"/>
      <c r="N96" s="158"/>
      <c r="O96" s="150"/>
      <c r="P96" s="733"/>
      <c r="Q96" s="733"/>
      <c r="R96" s="733"/>
      <c r="S96" s="733"/>
      <c r="T96" s="734"/>
      <c r="U96" s="733"/>
      <c r="V96" s="733"/>
      <c r="W96" s="735"/>
      <c r="X96" s="736"/>
      <c r="Y96" s="737"/>
      <c r="Z96" s="738"/>
      <c r="AA96" s="731"/>
    </row>
    <row r="97" spans="1:27">
      <c r="A97" s="326">
        <f t="shared" si="1"/>
        <v>74</v>
      </c>
      <c r="B97" s="295"/>
      <c r="C97" s="45"/>
      <c r="D97" s="46"/>
      <c r="E97" s="47"/>
      <c r="F97" s="126"/>
      <c r="G97" s="167"/>
      <c r="H97" s="167"/>
      <c r="I97" s="154"/>
      <c r="J97" s="692"/>
      <c r="K97" s="151"/>
      <c r="L97" s="577"/>
      <c r="M97" s="79"/>
      <c r="N97" s="158"/>
      <c r="O97" s="150"/>
      <c r="P97" s="733"/>
      <c r="Q97" s="733"/>
      <c r="R97" s="733"/>
      <c r="S97" s="733"/>
      <c r="T97" s="734"/>
      <c r="U97" s="733"/>
      <c r="V97" s="733"/>
      <c r="W97" s="735"/>
      <c r="X97" s="736"/>
      <c r="Y97" s="737"/>
      <c r="Z97" s="738"/>
      <c r="AA97" s="731"/>
    </row>
    <row r="98" spans="1:27">
      <c r="A98" s="326">
        <f t="shared" si="1"/>
        <v>75</v>
      </c>
      <c r="B98" s="295"/>
      <c r="C98" s="45"/>
      <c r="D98" s="46"/>
      <c r="E98" s="47"/>
      <c r="F98" s="126"/>
      <c r="G98" s="167"/>
      <c r="H98" s="167"/>
      <c r="I98" s="154"/>
      <c r="J98" s="692"/>
      <c r="K98" s="151"/>
      <c r="L98" s="577"/>
      <c r="M98" s="79"/>
      <c r="N98" s="158"/>
      <c r="O98" s="150"/>
      <c r="P98" s="733"/>
      <c r="Q98" s="733"/>
      <c r="R98" s="733"/>
      <c r="S98" s="733"/>
      <c r="T98" s="734"/>
      <c r="U98" s="733"/>
      <c r="V98" s="733"/>
      <c r="W98" s="735"/>
      <c r="X98" s="736"/>
      <c r="Y98" s="737"/>
      <c r="Z98" s="738"/>
      <c r="AA98" s="731"/>
    </row>
    <row r="99" spans="1:27">
      <c r="A99" s="326">
        <f t="shared" si="1"/>
        <v>76</v>
      </c>
      <c r="B99" s="295"/>
      <c r="C99" s="45"/>
      <c r="D99" s="46"/>
      <c r="E99" s="47"/>
      <c r="F99" s="126"/>
      <c r="G99" s="167"/>
      <c r="H99" s="167"/>
      <c r="I99" s="154"/>
      <c r="J99" s="692"/>
      <c r="K99" s="151"/>
      <c r="L99" s="577"/>
      <c r="M99" s="79"/>
      <c r="N99" s="158"/>
      <c r="O99" s="150"/>
      <c r="P99" s="733"/>
      <c r="Q99" s="733"/>
      <c r="R99" s="733"/>
      <c r="S99" s="733"/>
      <c r="T99" s="734"/>
      <c r="U99" s="733"/>
      <c r="V99" s="733"/>
      <c r="W99" s="735"/>
      <c r="X99" s="736"/>
      <c r="Y99" s="737"/>
      <c r="Z99" s="738"/>
      <c r="AA99" s="731"/>
    </row>
    <row r="100" spans="1:27">
      <c r="A100" s="326">
        <f t="shared" si="1"/>
        <v>77</v>
      </c>
      <c r="B100" s="295"/>
      <c r="C100" s="45"/>
      <c r="D100" s="46"/>
      <c r="E100" s="47"/>
      <c r="F100" s="126"/>
      <c r="G100" s="167"/>
      <c r="H100" s="167"/>
      <c r="I100" s="154"/>
      <c r="J100" s="692"/>
      <c r="K100" s="151"/>
      <c r="L100" s="577"/>
      <c r="M100" s="79"/>
      <c r="N100" s="158"/>
      <c r="O100" s="150"/>
      <c r="P100" s="733"/>
      <c r="Q100" s="733"/>
      <c r="R100" s="733"/>
      <c r="S100" s="733"/>
      <c r="T100" s="734"/>
      <c r="U100" s="733"/>
      <c r="V100" s="733"/>
      <c r="W100" s="735"/>
      <c r="X100" s="736"/>
      <c r="Y100" s="737"/>
      <c r="Z100" s="738"/>
      <c r="AA100" s="731"/>
    </row>
    <row r="101" spans="1:27">
      <c r="A101" s="326">
        <f t="shared" si="1"/>
        <v>78</v>
      </c>
      <c r="B101" s="295"/>
      <c r="C101" s="45"/>
      <c r="D101" s="46"/>
      <c r="E101" s="47"/>
      <c r="F101" s="126"/>
      <c r="G101" s="167"/>
      <c r="H101" s="167"/>
      <c r="I101" s="154"/>
      <c r="J101" s="692"/>
      <c r="K101" s="151"/>
      <c r="L101" s="577"/>
      <c r="M101" s="79"/>
      <c r="N101" s="158"/>
      <c r="O101" s="150"/>
      <c r="P101" s="733"/>
      <c r="Q101" s="733"/>
      <c r="R101" s="733"/>
      <c r="S101" s="733"/>
      <c r="T101" s="734"/>
      <c r="U101" s="733"/>
      <c r="V101" s="733"/>
      <c r="W101" s="735"/>
      <c r="X101" s="736"/>
      <c r="Y101" s="737"/>
      <c r="Z101" s="738"/>
      <c r="AA101" s="731"/>
    </row>
    <row r="102" spans="1:27">
      <c r="A102" s="326">
        <f t="shared" si="1"/>
        <v>79</v>
      </c>
      <c r="B102" s="295"/>
      <c r="C102" s="45"/>
      <c r="D102" s="46"/>
      <c r="E102" s="47"/>
      <c r="F102" s="126"/>
      <c r="G102" s="167"/>
      <c r="H102" s="167"/>
      <c r="I102" s="154"/>
      <c r="J102" s="692"/>
      <c r="K102" s="151"/>
      <c r="L102" s="577"/>
      <c r="M102" s="79"/>
      <c r="N102" s="158"/>
      <c r="O102" s="150"/>
      <c r="P102" s="733"/>
      <c r="Q102" s="733"/>
      <c r="R102" s="733"/>
      <c r="S102" s="733"/>
      <c r="T102" s="734"/>
      <c r="U102" s="733"/>
      <c r="V102" s="733"/>
      <c r="W102" s="735"/>
      <c r="X102" s="736"/>
      <c r="Y102" s="737"/>
      <c r="Z102" s="738"/>
      <c r="AA102" s="731"/>
    </row>
    <row r="103" spans="1:27">
      <c r="A103" s="326">
        <f t="shared" si="1"/>
        <v>80</v>
      </c>
      <c r="B103" s="295"/>
      <c r="C103" s="45"/>
      <c r="D103" s="46"/>
      <c r="E103" s="47"/>
      <c r="F103" s="126"/>
      <c r="G103" s="167"/>
      <c r="H103" s="167"/>
      <c r="I103" s="154"/>
      <c r="J103" s="692"/>
      <c r="K103" s="151"/>
      <c r="L103" s="577"/>
      <c r="M103" s="79"/>
      <c r="N103" s="158"/>
      <c r="O103" s="150"/>
      <c r="P103" s="733"/>
      <c r="Q103" s="733"/>
      <c r="R103" s="733"/>
      <c r="S103" s="733"/>
      <c r="T103" s="734"/>
      <c r="U103" s="733"/>
      <c r="V103" s="733"/>
      <c r="W103" s="735"/>
      <c r="X103" s="736"/>
      <c r="Y103" s="737"/>
      <c r="Z103" s="738"/>
      <c r="AA103" s="731"/>
    </row>
    <row r="104" spans="1:27">
      <c r="A104" s="326">
        <f t="shared" si="1"/>
        <v>81</v>
      </c>
      <c r="B104" s="295"/>
      <c r="C104" s="45"/>
      <c r="D104" s="46"/>
      <c r="E104" s="47"/>
      <c r="F104" s="126"/>
      <c r="G104" s="167"/>
      <c r="H104" s="167"/>
      <c r="I104" s="154"/>
      <c r="J104" s="692"/>
      <c r="K104" s="151"/>
      <c r="L104" s="577"/>
      <c r="M104" s="79"/>
      <c r="N104" s="158"/>
      <c r="O104" s="150"/>
      <c r="P104" s="733"/>
      <c r="Q104" s="733"/>
      <c r="R104" s="733"/>
      <c r="S104" s="733"/>
      <c r="T104" s="734"/>
      <c r="U104" s="733"/>
      <c r="V104" s="733"/>
      <c r="W104" s="735"/>
      <c r="X104" s="736"/>
      <c r="Y104" s="737"/>
      <c r="Z104" s="738"/>
      <c r="AA104" s="731"/>
    </row>
    <row r="105" spans="1:27">
      <c r="A105" s="326">
        <f t="shared" si="1"/>
        <v>82</v>
      </c>
      <c r="B105" s="295"/>
      <c r="C105" s="45"/>
      <c r="D105" s="46"/>
      <c r="E105" s="47"/>
      <c r="F105" s="126"/>
      <c r="G105" s="167"/>
      <c r="H105" s="167"/>
      <c r="I105" s="154"/>
      <c r="J105" s="692"/>
      <c r="K105" s="151"/>
      <c r="L105" s="577"/>
      <c r="M105" s="79"/>
      <c r="N105" s="158"/>
      <c r="O105" s="150"/>
      <c r="P105" s="733"/>
      <c r="Q105" s="733"/>
      <c r="R105" s="733"/>
      <c r="S105" s="733"/>
      <c r="T105" s="734"/>
      <c r="U105" s="733"/>
      <c r="V105" s="733"/>
      <c r="W105" s="735"/>
      <c r="X105" s="736"/>
      <c r="Y105" s="737"/>
      <c r="Z105" s="738"/>
      <c r="AA105" s="731"/>
    </row>
    <row r="106" spans="1:27">
      <c r="A106" s="326">
        <f t="shared" si="1"/>
        <v>83</v>
      </c>
      <c r="B106" s="295"/>
      <c r="C106" s="45"/>
      <c r="D106" s="46"/>
      <c r="E106" s="47"/>
      <c r="F106" s="126"/>
      <c r="G106" s="167"/>
      <c r="H106" s="167"/>
      <c r="I106" s="154"/>
      <c r="J106" s="692"/>
      <c r="K106" s="151"/>
      <c r="L106" s="577"/>
      <c r="M106" s="79"/>
      <c r="N106" s="158"/>
      <c r="O106" s="150"/>
      <c r="P106" s="733"/>
      <c r="Q106" s="733"/>
      <c r="R106" s="733"/>
      <c r="S106" s="733"/>
      <c r="T106" s="734"/>
      <c r="U106" s="733"/>
      <c r="V106" s="733"/>
      <c r="W106" s="735"/>
      <c r="X106" s="736"/>
      <c r="Y106" s="737"/>
      <c r="Z106" s="738"/>
      <c r="AA106" s="731"/>
    </row>
    <row r="107" spans="1:27">
      <c r="A107" s="326">
        <f t="shared" si="1"/>
        <v>84</v>
      </c>
      <c r="B107" s="295"/>
      <c r="C107" s="45"/>
      <c r="D107" s="46"/>
      <c r="E107" s="47"/>
      <c r="F107" s="126"/>
      <c r="G107" s="167"/>
      <c r="H107" s="167"/>
      <c r="I107" s="154"/>
      <c r="J107" s="692"/>
      <c r="K107" s="151"/>
      <c r="L107" s="577"/>
      <c r="M107" s="79"/>
      <c r="N107" s="158"/>
      <c r="O107" s="150"/>
      <c r="P107" s="733"/>
      <c r="Q107" s="733"/>
      <c r="R107" s="733"/>
      <c r="S107" s="733"/>
      <c r="T107" s="734"/>
      <c r="U107" s="733"/>
      <c r="V107" s="733"/>
      <c r="W107" s="735"/>
      <c r="X107" s="736"/>
      <c r="Y107" s="737"/>
      <c r="Z107" s="738"/>
      <c r="AA107" s="731"/>
    </row>
    <row r="108" spans="1:27">
      <c r="A108" s="326">
        <f t="shared" si="1"/>
        <v>85</v>
      </c>
      <c r="B108" s="295"/>
      <c r="C108" s="45"/>
      <c r="D108" s="46"/>
      <c r="E108" s="47"/>
      <c r="F108" s="126"/>
      <c r="G108" s="167"/>
      <c r="H108" s="167"/>
      <c r="I108" s="154"/>
      <c r="J108" s="692"/>
      <c r="K108" s="151"/>
      <c r="L108" s="577"/>
      <c r="M108" s="79"/>
      <c r="N108" s="158"/>
      <c r="O108" s="150"/>
      <c r="P108" s="733"/>
      <c r="Q108" s="733"/>
      <c r="R108" s="733"/>
      <c r="S108" s="733"/>
      <c r="T108" s="734"/>
      <c r="U108" s="733"/>
      <c r="V108" s="733"/>
      <c r="W108" s="735"/>
      <c r="X108" s="736"/>
      <c r="Y108" s="737"/>
      <c r="Z108" s="738"/>
      <c r="AA108" s="731"/>
    </row>
    <row r="109" spans="1:27">
      <c r="A109" s="326">
        <f t="shared" si="1"/>
        <v>86</v>
      </c>
      <c r="B109" s="295"/>
      <c r="C109" s="45"/>
      <c r="D109" s="46"/>
      <c r="E109" s="47"/>
      <c r="F109" s="126"/>
      <c r="G109" s="167"/>
      <c r="H109" s="167"/>
      <c r="I109" s="154"/>
      <c r="J109" s="692"/>
      <c r="K109" s="151"/>
      <c r="L109" s="577"/>
      <c r="M109" s="79"/>
      <c r="N109" s="158"/>
      <c r="O109" s="150"/>
      <c r="P109" s="733"/>
      <c r="Q109" s="733"/>
      <c r="R109" s="733"/>
      <c r="S109" s="733"/>
      <c r="T109" s="734"/>
      <c r="U109" s="733"/>
      <c r="V109" s="733"/>
      <c r="W109" s="735"/>
      <c r="X109" s="736"/>
      <c r="Y109" s="737"/>
      <c r="Z109" s="738"/>
      <c r="AA109" s="731"/>
    </row>
    <row r="110" spans="1:27">
      <c r="A110" s="326">
        <f t="shared" si="1"/>
        <v>87</v>
      </c>
      <c r="B110" s="295"/>
      <c r="C110" s="45"/>
      <c r="D110" s="46"/>
      <c r="E110" s="47"/>
      <c r="F110" s="126"/>
      <c r="G110" s="167"/>
      <c r="H110" s="167"/>
      <c r="I110" s="154"/>
      <c r="J110" s="692"/>
      <c r="K110" s="151"/>
      <c r="L110" s="577"/>
      <c r="M110" s="79"/>
      <c r="N110" s="158"/>
      <c r="O110" s="150"/>
      <c r="P110" s="733"/>
      <c r="Q110" s="733"/>
      <c r="R110" s="733"/>
      <c r="S110" s="733"/>
      <c r="T110" s="734"/>
      <c r="U110" s="733"/>
      <c r="V110" s="733"/>
      <c r="W110" s="735"/>
      <c r="X110" s="736"/>
      <c r="Y110" s="737"/>
      <c r="Z110" s="738"/>
      <c r="AA110" s="731"/>
    </row>
    <row r="111" spans="1:27">
      <c r="A111" s="326">
        <f t="shared" si="1"/>
        <v>88</v>
      </c>
      <c r="B111" s="295"/>
      <c r="C111" s="45"/>
      <c r="D111" s="46"/>
      <c r="E111" s="47"/>
      <c r="F111" s="126"/>
      <c r="G111" s="167"/>
      <c r="H111" s="167"/>
      <c r="I111" s="154"/>
      <c r="J111" s="692"/>
      <c r="K111" s="151"/>
      <c r="L111" s="577"/>
      <c r="M111" s="79"/>
      <c r="N111" s="158"/>
      <c r="O111" s="150"/>
      <c r="P111" s="733"/>
      <c r="Q111" s="733"/>
      <c r="R111" s="733"/>
      <c r="S111" s="733"/>
      <c r="T111" s="734"/>
      <c r="U111" s="733"/>
      <c r="V111" s="733"/>
      <c r="W111" s="735"/>
      <c r="X111" s="736"/>
      <c r="Y111" s="737"/>
      <c r="Z111" s="738"/>
      <c r="AA111" s="731"/>
    </row>
    <row r="112" spans="1:27">
      <c r="A112" s="326">
        <f t="shared" si="1"/>
        <v>89</v>
      </c>
      <c r="B112" s="295"/>
      <c r="C112" s="45"/>
      <c r="D112" s="46"/>
      <c r="E112" s="47"/>
      <c r="F112" s="126"/>
      <c r="G112" s="167"/>
      <c r="H112" s="167"/>
      <c r="I112" s="154"/>
      <c r="J112" s="692"/>
      <c r="K112" s="151"/>
      <c r="L112" s="577"/>
      <c r="M112" s="79"/>
      <c r="N112" s="158"/>
      <c r="O112" s="150"/>
      <c r="P112" s="733"/>
      <c r="Q112" s="733"/>
      <c r="R112" s="733"/>
      <c r="S112" s="733"/>
      <c r="T112" s="734"/>
      <c r="U112" s="733"/>
      <c r="V112" s="733"/>
      <c r="W112" s="735"/>
      <c r="X112" s="736"/>
      <c r="Y112" s="737"/>
      <c r="Z112" s="738"/>
      <c r="AA112" s="731"/>
    </row>
    <row r="113" spans="1:27">
      <c r="A113" s="326">
        <f t="shared" si="1"/>
        <v>90</v>
      </c>
      <c r="B113" s="295"/>
      <c r="C113" s="45"/>
      <c r="D113" s="46"/>
      <c r="E113" s="47"/>
      <c r="F113" s="126"/>
      <c r="G113" s="167"/>
      <c r="H113" s="167"/>
      <c r="I113" s="154"/>
      <c r="J113" s="692"/>
      <c r="K113" s="151"/>
      <c r="L113" s="577"/>
      <c r="M113" s="79"/>
      <c r="N113" s="158"/>
      <c r="O113" s="150"/>
      <c r="P113" s="733"/>
      <c r="Q113" s="733"/>
      <c r="R113" s="733"/>
      <c r="S113" s="733"/>
      <c r="T113" s="734"/>
      <c r="U113" s="733"/>
      <c r="V113" s="733"/>
      <c r="W113" s="735"/>
      <c r="X113" s="736"/>
      <c r="Y113" s="737"/>
      <c r="Z113" s="738"/>
      <c r="AA113" s="731"/>
    </row>
    <row r="114" spans="1:27">
      <c r="A114" s="326">
        <f t="shared" si="1"/>
        <v>91</v>
      </c>
      <c r="B114" s="295"/>
      <c r="C114" s="45"/>
      <c r="D114" s="46"/>
      <c r="E114" s="47"/>
      <c r="F114" s="126"/>
      <c r="G114" s="167"/>
      <c r="H114" s="167"/>
      <c r="I114" s="154"/>
      <c r="J114" s="692"/>
      <c r="K114" s="151"/>
      <c r="L114" s="577"/>
      <c r="M114" s="79"/>
      <c r="N114" s="158"/>
      <c r="O114" s="150"/>
      <c r="P114" s="733"/>
      <c r="Q114" s="733"/>
      <c r="R114" s="733"/>
      <c r="S114" s="733"/>
      <c r="T114" s="734"/>
      <c r="U114" s="733"/>
      <c r="V114" s="733"/>
      <c r="W114" s="735"/>
      <c r="X114" s="736"/>
      <c r="Y114" s="737"/>
      <c r="Z114" s="738"/>
      <c r="AA114" s="731"/>
    </row>
    <row r="115" spans="1:27">
      <c r="A115" s="326">
        <f t="shared" si="1"/>
        <v>92</v>
      </c>
      <c r="B115" s="295"/>
      <c r="C115" s="45"/>
      <c r="D115" s="46"/>
      <c r="E115" s="47"/>
      <c r="F115" s="126"/>
      <c r="G115" s="167"/>
      <c r="H115" s="167"/>
      <c r="I115" s="154"/>
      <c r="J115" s="692"/>
      <c r="K115" s="151"/>
      <c r="L115" s="577"/>
      <c r="M115" s="79"/>
      <c r="N115" s="158"/>
      <c r="O115" s="150"/>
      <c r="P115" s="733"/>
      <c r="Q115" s="733"/>
      <c r="R115" s="733"/>
      <c r="S115" s="733"/>
      <c r="T115" s="734"/>
      <c r="U115" s="733"/>
      <c r="V115" s="733"/>
      <c r="W115" s="735"/>
      <c r="X115" s="736"/>
      <c r="Y115" s="737"/>
      <c r="Z115" s="738"/>
      <c r="AA115" s="731"/>
    </row>
    <row r="116" spans="1:27">
      <c r="A116" s="326">
        <f t="shared" si="1"/>
        <v>93</v>
      </c>
      <c r="B116" s="295"/>
      <c r="C116" s="45"/>
      <c r="D116" s="46"/>
      <c r="E116" s="47"/>
      <c r="F116" s="126"/>
      <c r="G116" s="167"/>
      <c r="H116" s="167"/>
      <c r="I116" s="154"/>
      <c r="J116" s="692"/>
      <c r="K116" s="151"/>
      <c r="L116" s="577"/>
      <c r="M116" s="79"/>
      <c r="N116" s="158"/>
      <c r="O116" s="150"/>
      <c r="P116" s="733"/>
      <c r="Q116" s="733"/>
      <c r="R116" s="733"/>
      <c r="S116" s="733"/>
      <c r="T116" s="734"/>
      <c r="U116" s="733"/>
      <c r="V116" s="733"/>
      <c r="W116" s="735"/>
      <c r="X116" s="736"/>
      <c r="Y116" s="737"/>
      <c r="Z116" s="738"/>
      <c r="AA116" s="731"/>
    </row>
    <row r="117" spans="1:27">
      <c r="A117" s="326">
        <f t="shared" si="1"/>
        <v>94</v>
      </c>
      <c r="B117" s="295"/>
      <c r="C117" s="45"/>
      <c r="D117" s="46"/>
      <c r="E117" s="47"/>
      <c r="F117" s="126"/>
      <c r="G117" s="167"/>
      <c r="H117" s="167"/>
      <c r="I117" s="154"/>
      <c r="J117" s="692"/>
      <c r="K117" s="151"/>
      <c r="L117" s="577"/>
      <c r="M117" s="79"/>
      <c r="N117" s="158"/>
      <c r="O117" s="150"/>
      <c r="P117" s="733"/>
      <c r="Q117" s="733"/>
      <c r="R117" s="733"/>
      <c r="S117" s="733"/>
      <c r="T117" s="734"/>
      <c r="U117" s="733"/>
      <c r="V117" s="733"/>
      <c r="W117" s="735"/>
      <c r="X117" s="736"/>
      <c r="Y117" s="737"/>
      <c r="Z117" s="738"/>
      <c r="AA117" s="731"/>
    </row>
    <row r="118" spans="1:27">
      <c r="A118" s="326">
        <f t="shared" si="1"/>
        <v>95</v>
      </c>
      <c r="B118" s="295"/>
      <c r="C118" s="45"/>
      <c r="D118" s="46"/>
      <c r="E118" s="47"/>
      <c r="F118" s="126"/>
      <c r="G118" s="167"/>
      <c r="H118" s="167"/>
      <c r="I118" s="154"/>
      <c r="J118" s="692"/>
      <c r="K118" s="151"/>
      <c r="L118" s="577"/>
      <c r="M118" s="79"/>
      <c r="N118" s="158"/>
      <c r="O118" s="150"/>
      <c r="P118" s="733"/>
      <c r="Q118" s="733"/>
      <c r="R118" s="733"/>
      <c r="S118" s="733"/>
      <c r="T118" s="734"/>
      <c r="U118" s="733"/>
      <c r="V118" s="733"/>
      <c r="W118" s="735"/>
      <c r="X118" s="736"/>
      <c r="Y118" s="737"/>
      <c r="Z118" s="738"/>
      <c r="AA118" s="731"/>
    </row>
    <row r="119" spans="1:27">
      <c r="A119" s="326">
        <f t="shared" si="1"/>
        <v>96</v>
      </c>
      <c r="B119" s="295"/>
      <c r="C119" s="45"/>
      <c r="D119" s="46"/>
      <c r="E119" s="47"/>
      <c r="F119" s="126"/>
      <c r="G119" s="167"/>
      <c r="H119" s="167"/>
      <c r="I119" s="154"/>
      <c r="J119" s="692"/>
      <c r="K119" s="151"/>
      <c r="L119" s="577"/>
      <c r="M119" s="79"/>
      <c r="N119" s="158"/>
      <c r="O119" s="150"/>
      <c r="P119" s="733"/>
      <c r="Q119" s="733"/>
      <c r="R119" s="733"/>
      <c r="S119" s="733"/>
      <c r="T119" s="734"/>
      <c r="U119" s="733"/>
      <c r="V119" s="733"/>
      <c r="W119" s="735"/>
      <c r="X119" s="736"/>
      <c r="Y119" s="737"/>
      <c r="Z119" s="738"/>
      <c r="AA119" s="731"/>
    </row>
    <row r="120" spans="1:27">
      <c r="A120" s="326">
        <f t="shared" si="1"/>
        <v>97</v>
      </c>
      <c r="B120" s="295"/>
      <c r="C120" s="45"/>
      <c r="D120" s="46"/>
      <c r="E120" s="47"/>
      <c r="F120" s="126"/>
      <c r="G120" s="167"/>
      <c r="H120" s="167"/>
      <c r="I120" s="154"/>
      <c r="J120" s="692"/>
      <c r="K120" s="151"/>
      <c r="L120" s="577"/>
      <c r="M120" s="79"/>
      <c r="N120" s="158"/>
      <c r="O120" s="150"/>
      <c r="P120" s="733"/>
      <c r="Q120" s="733"/>
      <c r="R120" s="733"/>
      <c r="S120" s="733"/>
      <c r="T120" s="734"/>
      <c r="U120" s="733"/>
      <c r="V120" s="733"/>
      <c r="W120" s="735"/>
      <c r="X120" s="736"/>
      <c r="Y120" s="737"/>
      <c r="Z120" s="738"/>
      <c r="AA120" s="731"/>
    </row>
    <row r="121" spans="1:27">
      <c r="A121" s="326">
        <f t="shared" si="1"/>
        <v>98</v>
      </c>
      <c r="B121" s="295"/>
      <c r="C121" s="45"/>
      <c r="D121" s="46"/>
      <c r="E121" s="47"/>
      <c r="F121" s="126"/>
      <c r="G121" s="167"/>
      <c r="H121" s="167"/>
      <c r="I121" s="154"/>
      <c r="J121" s="692"/>
      <c r="K121" s="151"/>
      <c r="L121" s="577"/>
      <c r="M121" s="79"/>
      <c r="N121" s="158"/>
      <c r="O121" s="150"/>
      <c r="P121" s="733"/>
      <c r="Q121" s="733"/>
      <c r="R121" s="733"/>
      <c r="S121" s="733"/>
      <c r="T121" s="734"/>
      <c r="U121" s="733"/>
      <c r="V121" s="733"/>
      <c r="W121" s="735"/>
      <c r="X121" s="736"/>
      <c r="Y121" s="737"/>
      <c r="Z121" s="738"/>
      <c r="AA121" s="731"/>
    </row>
    <row r="122" spans="1:27">
      <c r="A122" s="326">
        <f t="shared" ref="A122:A133" si="2">+A121+1</f>
        <v>99</v>
      </c>
      <c r="B122" s="295"/>
      <c r="C122" s="45"/>
      <c r="D122" s="46"/>
      <c r="E122" s="47"/>
      <c r="F122" s="126"/>
      <c r="G122" s="167"/>
      <c r="H122" s="167"/>
      <c r="I122" s="154"/>
      <c r="J122" s="692"/>
      <c r="K122" s="151"/>
      <c r="L122" s="577"/>
      <c r="M122" s="79"/>
      <c r="N122" s="158"/>
      <c r="O122" s="150"/>
      <c r="P122" s="733"/>
      <c r="Q122" s="733"/>
      <c r="R122" s="733"/>
      <c r="S122" s="733"/>
      <c r="T122" s="734"/>
      <c r="U122" s="733"/>
      <c r="V122" s="733"/>
      <c r="W122" s="735"/>
      <c r="X122" s="736"/>
      <c r="Y122" s="737"/>
      <c r="Z122" s="738"/>
      <c r="AA122" s="731"/>
    </row>
    <row r="123" spans="1:27">
      <c r="A123" s="326">
        <f t="shared" si="2"/>
        <v>100</v>
      </c>
      <c r="B123" s="295"/>
      <c r="C123" s="45"/>
      <c r="D123" s="46"/>
      <c r="E123" s="47"/>
      <c r="F123" s="126"/>
      <c r="G123" s="167"/>
      <c r="H123" s="167"/>
      <c r="I123" s="154"/>
      <c r="J123" s="692"/>
      <c r="K123" s="151"/>
      <c r="L123" s="577"/>
      <c r="M123" s="79"/>
      <c r="N123" s="158"/>
      <c r="O123" s="150"/>
      <c r="P123" s="733"/>
      <c r="Q123" s="733"/>
      <c r="R123" s="733"/>
      <c r="S123" s="733"/>
      <c r="T123" s="734"/>
      <c r="U123" s="733"/>
      <c r="V123" s="733"/>
      <c r="W123" s="735"/>
      <c r="X123" s="736"/>
      <c r="Y123" s="737"/>
      <c r="Z123" s="738"/>
      <c r="AA123" s="731"/>
    </row>
    <row r="124" spans="1:27">
      <c r="A124" s="326">
        <f t="shared" si="2"/>
        <v>101</v>
      </c>
      <c r="B124" s="295"/>
      <c r="C124" s="45"/>
      <c r="D124" s="46"/>
      <c r="E124" s="47"/>
      <c r="F124" s="126"/>
      <c r="G124" s="167"/>
      <c r="H124" s="167"/>
      <c r="I124" s="154"/>
      <c r="J124" s="692"/>
      <c r="K124" s="151"/>
      <c r="L124" s="577"/>
      <c r="M124" s="79"/>
      <c r="N124" s="158"/>
      <c r="O124" s="150"/>
      <c r="P124" s="733"/>
      <c r="Q124" s="733"/>
      <c r="R124" s="733"/>
      <c r="S124" s="733"/>
      <c r="T124" s="734"/>
      <c r="U124" s="733"/>
      <c r="V124" s="733"/>
      <c r="W124" s="735"/>
      <c r="X124" s="736"/>
      <c r="Y124" s="737"/>
      <c r="Z124" s="738"/>
      <c r="AA124" s="731"/>
    </row>
    <row r="125" spans="1:27">
      <c r="A125" s="326">
        <f t="shared" si="2"/>
        <v>102</v>
      </c>
      <c r="B125" s="295"/>
      <c r="C125" s="45"/>
      <c r="D125" s="46"/>
      <c r="E125" s="47"/>
      <c r="F125" s="126"/>
      <c r="G125" s="167"/>
      <c r="H125" s="167"/>
      <c r="I125" s="154"/>
      <c r="J125" s="692"/>
      <c r="K125" s="151"/>
      <c r="L125" s="577"/>
      <c r="M125" s="79"/>
      <c r="N125" s="158"/>
      <c r="O125" s="150"/>
      <c r="P125" s="733"/>
      <c r="Q125" s="733"/>
      <c r="R125" s="733"/>
      <c r="S125" s="733"/>
      <c r="T125" s="734"/>
      <c r="U125" s="733"/>
      <c r="V125" s="733"/>
      <c r="W125" s="735"/>
      <c r="X125" s="736"/>
      <c r="Y125" s="737"/>
      <c r="Z125" s="738"/>
      <c r="AA125" s="731"/>
    </row>
    <row r="126" spans="1:27">
      <c r="A126" s="326">
        <f t="shared" si="2"/>
        <v>103</v>
      </c>
      <c r="B126" s="295"/>
      <c r="C126" s="45"/>
      <c r="D126" s="46"/>
      <c r="E126" s="47"/>
      <c r="F126" s="126"/>
      <c r="G126" s="167"/>
      <c r="H126" s="167"/>
      <c r="I126" s="154"/>
      <c r="J126" s="692"/>
      <c r="K126" s="151"/>
      <c r="L126" s="577"/>
      <c r="M126" s="79"/>
      <c r="N126" s="158"/>
      <c r="O126" s="150"/>
      <c r="P126" s="733"/>
      <c r="Q126" s="733"/>
      <c r="R126" s="733"/>
      <c r="S126" s="733"/>
      <c r="T126" s="734"/>
      <c r="U126" s="733"/>
      <c r="V126" s="733"/>
      <c r="W126" s="735"/>
      <c r="X126" s="736"/>
      <c r="Y126" s="737"/>
      <c r="Z126" s="738"/>
      <c r="AA126" s="731"/>
    </row>
    <row r="127" spans="1:27">
      <c r="A127" s="326">
        <f t="shared" si="2"/>
        <v>104</v>
      </c>
      <c r="B127" s="295"/>
      <c r="C127" s="45"/>
      <c r="D127" s="46"/>
      <c r="E127" s="47"/>
      <c r="F127" s="126"/>
      <c r="G127" s="167"/>
      <c r="H127" s="167"/>
      <c r="I127" s="154"/>
      <c r="J127" s="692"/>
      <c r="K127" s="151"/>
      <c r="L127" s="577"/>
      <c r="M127" s="79"/>
      <c r="N127" s="158"/>
      <c r="O127" s="150"/>
      <c r="P127" s="733"/>
      <c r="Q127" s="733"/>
      <c r="R127" s="733"/>
      <c r="S127" s="733"/>
      <c r="T127" s="734"/>
      <c r="U127" s="733"/>
      <c r="V127" s="733"/>
      <c r="W127" s="735"/>
      <c r="X127" s="736"/>
      <c r="Y127" s="737"/>
      <c r="Z127" s="738"/>
      <c r="AA127" s="731"/>
    </row>
    <row r="128" spans="1:27">
      <c r="A128" s="326">
        <f t="shared" si="2"/>
        <v>105</v>
      </c>
      <c r="B128" s="295"/>
      <c r="C128" s="45"/>
      <c r="D128" s="46"/>
      <c r="E128" s="47"/>
      <c r="F128" s="126"/>
      <c r="G128" s="167"/>
      <c r="H128" s="167"/>
      <c r="I128" s="154"/>
      <c r="J128" s="692"/>
      <c r="K128" s="151"/>
      <c r="L128" s="577"/>
      <c r="M128" s="79"/>
      <c r="N128" s="158"/>
      <c r="O128" s="150"/>
      <c r="P128" s="733"/>
      <c r="Q128" s="733"/>
      <c r="R128" s="733"/>
      <c r="S128" s="733"/>
      <c r="T128" s="734"/>
      <c r="U128" s="733"/>
      <c r="V128" s="733"/>
      <c r="W128" s="735"/>
      <c r="X128" s="736"/>
      <c r="Y128" s="737"/>
      <c r="Z128" s="738"/>
      <c r="AA128" s="731"/>
    </row>
    <row r="129" spans="1:27">
      <c r="A129" s="326">
        <f t="shared" si="2"/>
        <v>106</v>
      </c>
      <c r="B129" s="295"/>
      <c r="C129" s="45"/>
      <c r="D129" s="46"/>
      <c r="E129" s="47"/>
      <c r="F129" s="126"/>
      <c r="G129" s="167"/>
      <c r="H129" s="167"/>
      <c r="I129" s="154"/>
      <c r="J129" s="692"/>
      <c r="K129" s="151"/>
      <c r="L129" s="577"/>
      <c r="M129" s="79"/>
      <c r="N129" s="158"/>
      <c r="O129" s="150"/>
      <c r="P129" s="733"/>
      <c r="Q129" s="733"/>
      <c r="R129" s="733"/>
      <c r="S129" s="733"/>
      <c r="T129" s="734"/>
      <c r="U129" s="733"/>
      <c r="V129" s="733"/>
      <c r="W129" s="735"/>
      <c r="X129" s="736"/>
      <c r="Y129" s="737"/>
      <c r="Z129" s="738"/>
      <c r="AA129" s="731"/>
    </row>
    <row r="130" spans="1:27">
      <c r="A130" s="326">
        <f t="shared" si="2"/>
        <v>107</v>
      </c>
      <c r="B130" s="295"/>
      <c r="C130" s="45"/>
      <c r="D130" s="46"/>
      <c r="E130" s="47"/>
      <c r="F130" s="126"/>
      <c r="G130" s="167"/>
      <c r="H130" s="167"/>
      <c r="I130" s="154"/>
      <c r="J130" s="692"/>
      <c r="K130" s="151"/>
      <c r="L130" s="577"/>
      <c r="M130" s="79"/>
      <c r="N130" s="158"/>
      <c r="O130" s="150"/>
      <c r="P130" s="733"/>
      <c r="Q130" s="733"/>
      <c r="R130" s="733"/>
      <c r="S130" s="733"/>
      <c r="T130" s="734"/>
      <c r="U130" s="733"/>
      <c r="V130" s="733"/>
      <c r="W130" s="735"/>
      <c r="X130" s="736"/>
      <c r="Y130" s="737"/>
      <c r="Z130" s="738"/>
      <c r="AA130" s="731"/>
    </row>
    <row r="131" spans="1:27">
      <c r="A131" s="326">
        <f t="shared" si="2"/>
        <v>108</v>
      </c>
      <c r="B131" s="295"/>
      <c r="C131" s="45"/>
      <c r="D131" s="46"/>
      <c r="E131" s="47"/>
      <c r="F131" s="126"/>
      <c r="G131" s="167"/>
      <c r="H131" s="167"/>
      <c r="I131" s="154"/>
      <c r="J131" s="692"/>
      <c r="K131" s="151"/>
      <c r="L131" s="577"/>
      <c r="M131" s="79"/>
      <c r="N131" s="158"/>
      <c r="O131" s="150"/>
      <c r="P131" s="733"/>
      <c r="Q131" s="733"/>
      <c r="R131" s="733"/>
      <c r="S131" s="733"/>
      <c r="T131" s="734"/>
      <c r="U131" s="733"/>
      <c r="V131" s="733"/>
      <c r="W131" s="735"/>
      <c r="X131" s="736"/>
      <c r="Y131" s="737"/>
      <c r="Z131" s="738"/>
      <c r="AA131" s="731"/>
    </row>
    <row r="132" spans="1:27">
      <c r="A132" s="326">
        <f t="shared" si="2"/>
        <v>109</v>
      </c>
      <c r="B132" s="295"/>
      <c r="C132" s="45"/>
      <c r="D132" s="46"/>
      <c r="E132" s="47"/>
      <c r="F132" s="126"/>
      <c r="G132" s="167"/>
      <c r="H132" s="167"/>
      <c r="I132" s="154"/>
      <c r="J132" s="692"/>
      <c r="K132" s="151"/>
      <c r="L132" s="577"/>
      <c r="M132" s="79"/>
      <c r="N132" s="158"/>
      <c r="O132" s="150"/>
      <c r="P132" s="733"/>
      <c r="Q132" s="733"/>
      <c r="R132" s="733"/>
      <c r="S132" s="733"/>
      <c r="T132" s="734"/>
      <c r="U132" s="733"/>
      <c r="V132" s="733"/>
      <c r="W132" s="735"/>
      <c r="X132" s="736"/>
      <c r="Y132" s="737"/>
      <c r="Z132" s="738"/>
      <c r="AA132" s="731"/>
    </row>
    <row r="133" spans="1:27">
      <c r="A133" s="326">
        <f t="shared" si="2"/>
        <v>110</v>
      </c>
      <c r="B133" s="295"/>
      <c r="C133" s="45"/>
      <c r="D133" s="46"/>
      <c r="E133" s="47"/>
      <c r="F133" s="126"/>
      <c r="G133" s="167"/>
      <c r="H133" s="167"/>
      <c r="I133" s="154"/>
      <c r="J133" s="692"/>
      <c r="K133" s="151"/>
      <c r="L133" s="577"/>
      <c r="M133" s="79"/>
      <c r="N133" s="158"/>
      <c r="O133" s="150"/>
      <c r="P133" s="733"/>
      <c r="Q133" s="733"/>
      <c r="R133" s="733"/>
      <c r="S133" s="733"/>
      <c r="T133" s="734"/>
      <c r="U133" s="733"/>
      <c r="V133" s="733"/>
      <c r="W133" s="735"/>
      <c r="X133" s="736"/>
      <c r="Y133" s="737"/>
      <c r="Z133" s="738"/>
      <c r="AA133" s="731"/>
    </row>
    <row r="134" spans="1:27">
      <c r="P134" s="733"/>
      <c r="Q134" s="733"/>
      <c r="R134" s="733"/>
      <c r="S134" s="733"/>
      <c r="T134" s="734"/>
      <c r="U134" s="733"/>
      <c r="V134" s="733"/>
      <c r="W134" s="735"/>
      <c r="X134" s="736"/>
      <c r="Y134" s="737"/>
      <c r="Z134" s="738"/>
      <c r="AA134" s="731"/>
    </row>
    <row r="135" spans="1:27">
      <c r="P135" s="733"/>
      <c r="Q135" s="733"/>
      <c r="R135" s="733"/>
      <c r="S135" s="733"/>
      <c r="T135" s="734"/>
      <c r="U135" s="733"/>
      <c r="V135" s="733"/>
      <c r="W135" s="735"/>
      <c r="X135" s="736"/>
      <c r="Y135" s="737"/>
      <c r="Z135" s="738"/>
      <c r="AA135" s="731"/>
    </row>
    <row r="136" spans="1:27">
      <c r="P136" s="733"/>
      <c r="Q136" s="733"/>
      <c r="R136" s="733"/>
      <c r="S136" s="733"/>
      <c r="T136" s="734"/>
      <c r="U136" s="733"/>
      <c r="V136" s="733"/>
      <c r="W136" s="735"/>
      <c r="X136" s="736"/>
      <c r="Y136" s="737"/>
      <c r="Z136" s="738"/>
      <c r="AA136" s="731"/>
    </row>
    <row r="137" spans="1:27">
      <c r="P137" s="733"/>
      <c r="Q137" s="733"/>
      <c r="R137" s="733"/>
      <c r="S137" s="733"/>
      <c r="T137" s="734"/>
      <c r="U137" s="733"/>
      <c r="V137" s="733"/>
      <c r="W137" s="735"/>
      <c r="X137" s="736"/>
      <c r="Y137" s="737"/>
      <c r="Z137" s="738"/>
      <c r="AA137" s="731"/>
    </row>
    <row r="138" spans="1:27">
      <c r="P138" s="733"/>
      <c r="Q138" s="733"/>
      <c r="R138" s="733"/>
      <c r="S138" s="733"/>
      <c r="T138" s="734"/>
      <c r="U138" s="733"/>
      <c r="V138" s="733"/>
      <c r="W138" s="735"/>
      <c r="X138" s="736"/>
      <c r="Y138" s="737"/>
      <c r="Z138" s="738"/>
      <c r="AA138" s="731"/>
    </row>
    <row r="139" spans="1:27">
      <c r="P139" s="733"/>
      <c r="Q139" s="733"/>
      <c r="R139" s="733"/>
      <c r="S139" s="733"/>
      <c r="T139" s="734"/>
      <c r="U139" s="733"/>
      <c r="V139" s="733"/>
      <c r="W139" s="735"/>
      <c r="X139" s="736"/>
      <c r="Y139" s="737"/>
      <c r="Z139" s="738"/>
      <c r="AA139" s="731"/>
    </row>
    <row r="140" spans="1:27">
      <c r="P140" s="733"/>
      <c r="Q140" s="733"/>
      <c r="R140" s="733"/>
      <c r="S140" s="733"/>
      <c r="T140" s="734"/>
      <c r="U140" s="733"/>
      <c r="V140" s="733"/>
      <c r="W140" s="735"/>
      <c r="X140" s="736"/>
      <c r="Y140" s="737"/>
      <c r="Z140" s="738"/>
      <c r="AA140" s="731"/>
    </row>
    <row r="141" spans="1:27">
      <c r="P141" s="733"/>
      <c r="Q141" s="733"/>
      <c r="R141" s="733"/>
      <c r="S141" s="733"/>
      <c r="T141" s="734"/>
      <c r="U141" s="733"/>
      <c r="V141" s="733"/>
      <c r="W141" s="735"/>
      <c r="X141" s="736"/>
      <c r="Y141" s="737"/>
      <c r="Z141" s="738"/>
      <c r="AA141" s="731"/>
    </row>
    <row r="142" spans="1:27">
      <c r="P142" s="733"/>
      <c r="Q142" s="733"/>
      <c r="R142" s="733"/>
      <c r="S142" s="733"/>
      <c r="T142" s="734"/>
      <c r="U142" s="733"/>
      <c r="V142" s="733"/>
      <c r="W142" s="735"/>
      <c r="X142" s="736"/>
      <c r="Y142" s="737"/>
      <c r="Z142" s="738"/>
      <c r="AA142" s="731"/>
    </row>
    <row r="143" spans="1:27">
      <c r="P143" s="733"/>
      <c r="Q143" s="733"/>
      <c r="R143" s="733"/>
      <c r="S143" s="733"/>
      <c r="T143" s="734"/>
      <c r="U143" s="733"/>
      <c r="V143" s="733"/>
      <c r="W143" s="735"/>
      <c r="X143" s="736"/>
      <c r="Y143" s="737"/>
      <c r="Z143" s="738"/>
      <c r="AA143" s="731"/>
    </row>
    <row r="144" spans="1:27">
      <c r="P144" s="733"/>
      <c r="Q144" s="733"/>
      <c r="R144" s="733"/>
      <c r="S144" s="733"/>
      <c r="T144" s="734"/>
      <c r="U144" s="733"/>
      <c r="V144" s="733"/>
      <c r="W144" s="735"/>
      <c r="X144" s="736"/>
      <c r="Y144" s="737"/>
      <c r="Z144" s="738"/>
      <c r="AA144" s="731"/>
    </row>
    <row r="145" spans="16:27">
      <c r="P145" s="733"/>
      <c r="Q145" s="733"/>
      <c r="R145" s="733"/>
      <c r="S145" s="733"/>
      <c r="T145" s="734"/>
      <c r="U145" s="733"/>
      <c r="V145" s="733"/>
      <c r="W145" s="735"/>
      <c r="X145" s="736"/>
      <c r="Y145" s="737"/>
      <c r="Z145" s="738"/>
      <c r="AA145" s="731"/>
    </row>
    <row r="146" spans="16:27">
      <c r="P146" s="733"/>
      <c r="Q146" s="733"/>
      <c r="R146" s="733"/>
      <c r="S146" s="733"/>
      <c r="T146" s="734"/>
      <c r="U146" s="733"/>
      <c r="V146" s="733"/>
      <c r="W146" s="735"/>
      <c r="X146" s="736"/>
      <c r="Y146" s="737"/>
      <c r="Z146" s="738"/>
      <c r="AA146" s="731"/>
    </row>
    <row r="147" spans="16:27">
      <c r="P147" s="733"/>
      <c r="Q147" s="733"/>
      <c r="R147" s="733"/>
      <c r="S147" s="733"/>
      <c r="T147" s="734"/>
      <c r="U147" s="733"/>
      <c r="V147" s="733"/>
      <c r="W147" s="735"/>
      <c r="X147" s="736"/>
      <c r="Y147" s="737"/>
      <c r="Z147" s="738"/>
      <c r="AA147" s="731"/>
    </row>
    <row r="148" spans="16:27">
      <c r="P148" s="733"/>
      <c r="Q148" s="733"/>
      <c r="R148" s="733"/>
      <c r="S148" s="733"/>
      <c r="T148" s="734"/>
      <c r="U148" s="733"/>
      <c r="V148" s="733"/>
      <c r="W148" s="735"/>
      <c r="X148" s="736"/>
      <c r="Y148" s="737"/>
      <c r="Z148" s="738"/>
      <c r="AA148" s="731"/>
    </row>
    <row r="149" spans="16:27">
      <c r="P149" s="733"/>
      <c r="Q149" s="733"/>
      <c r="R149" s="733"/>
      <c r="S149" s="733"/>
      <c r="T149" s="734"/>
      <c r="U149" s="733"/>
      <c r="V149" s="733"/>
      <c r="W149" s="735"/>
      <c r="X149" s="736"/>
      <c r="Y149" s="737"/>
      <c r="Z149" s="738"/>
      <c r="AA149" s="731"/>
    </row>
    <row r="150" spans="16:27">
      <c r="P150" s="733"/>
      <c r="Q150" s="733"/>
      <c r="R150" s="733"/>
      <c r="S150" s="733"/>
      <c r="T150" s="734"/>
      <c r="U150" s="733"/>
      <c r="V150" s="733"/>
      <c r="W150" s="735"/>
      <c r="X150" s="736"/>
      <c r="Y150" s="737"/>
      <c r="Z150" s="738"/>
      <c r="AA150" s="731"/>
    </row>
    <row r="151" spans="16:27">
      <c r="P151" s="733"/>
      <c r="Q151" s="733"/>
      <c r="R151" s="733"/>
      <c r="S151" s="733"/>
      <c r="T151" s="734"/>
      <c r="U151" s="733"/>
      <c r="V151" s="733"/>
      <c r="W151" s="735"/>
      <c r="X151" s="736"/>
      <c r="Y151" s="737"/>
      <c r="Z151" s="738"/>
      <c r="AA151" s="731"/>
    </row>
    <row r="152" spans="16:27">
      <c r="P152" s="733"/>
      <c r="Q152" s="733"/>
      <c r="R152" s="733"/>
      <c r="S152" s="733"/>
      <c r="T152" s="734"/>
      <c r="U152" s="733"/>
      <c r="V152" s="733"/>
      <c r="W152" s="735"/>
      <c r="X152" s="736"/>
      <c r="Y152" s="737"/>
      <c r="Z152" s="738"/>
      <c r="AA152" s="731"/>
    </row>
    <row r="153" spans="16:27">
      <c r="P153" s="733"/>
      <c r="Q153" s="733"/>
      <c r="R153" s="733"/>
      <c r="S153" s="733"/>
      <c r="T153" s="734"/>
      <c r="U153" s="733"/>
      <c r="V153" s="733"/>
      <c r="W153" s="735"/>
      <c r="X153" s="736"/>
      <c r="Y153" s="737"/>
      <c r="Z153" s="738"/>
      <c r="AA153" s="731"/>
    </row>
    <row r="154" spans="16:27">
      <c r="P154" s="733"/>
      <c r="Q154" s="733"/>
      <c r="R154" s="733"/>
      <c r="S154" s="733"/>
      <c r="T154" s="734"/>
      <c r="U154" s="733"/>
      <c r="V154" s="733"/>
      <c r="W154" s="735"/>
      <c r="X154" s="736"/>
      <c r="Y154" s="737"/>
      <c r="Z154" s="738"/>
      <c r="AA154" s="731"/>
    </row>
    <row r="155" spans="16:27">
      <c r="P155" s="733"/>
      <c r="Q155" s="733"/>
      <c r="R155" s="733"/>
      <c r="S155" s="733"/>
      <c r="T155" s="734"/>
      <c r="U155" s="733"/>
      <c r="V155" s="733"/>
      <c r="W155" s="735"/>
      <c r="X155" s="736"/>
      <c r="Y155" s="737"/>
      <c r="Z155" s="738"/>
      <c r="AA155" s="731"/>
    </row>
    <row r="156" spans="16:27">
      <c r="P156" s="733"/>
      <c r="Q156" s="733"/>
      <c r="R156" s="733"/>
      <c r="S156" s="733"/>
      <c r="T156" s="734"/>
      <c r="U156" s="733"/>
      <c r="V156" s="733"/>
      <c r="W156" s="735"/>
      <c r="X156" s="736"/>
      <c r="Y156" s="737"/>
      <c r="Z156" s="738"/>
      <c r="AA156" s="731"/>
    </row>
    <row r="157" spans="16:27">
      <c r="P157" s="733"/>
      <c r="Q157" s="733"/>
      <c r="R157" s="733"/>
      <c r="S157" s="733"/>
      <c r="T157" s="734"/>
      <c r="U157" s="733"/>
      <c r="V157" s="733"/>
      <c r="W157" s="735"/>
      <c r="X157" s="736"/>
      <c r="Y157" s="737"/>
      <c r="Z157" s="738"/>
      <c r="AA157" s="731"/>
    </row>
    <row r="158" spans="16:27">
      <c r="P158" s="733"/>
      <c r="Q158" s="733"/>
      <c r="R158" s="733"/>
      <c r="S158" s="733"/>
      <c r="T158" s="734"/>
      <c r="U158" s="733"/>
      <c r="V158" s="733"/>
      <c r="W158" s="735"/>
      <c r="X158" s="736"/>
      <c r="Y158" s="737"/>
      <c r="Z158" s="738"/>
      <c r="AA158" s="731"/>
    </row>
    <row r="159" spans="16:27">
      <c r="P159" s="733"/>
      <c r="Q159" s="733"/>
      <c r="R159" s="733"/>
      <c r="S159" s="733"/>
      <c r="T159" s="734"/>
      <c r="U159" s="733"/>
      <c r="V159" s="733"/>
      <c r="W159" s="735"/>
      <c r="X159" s="736"/>
      <c r="Y159" s="737"/>
      <c r="Z159" s="738"/>
      <c r="AA159" s="731"/>
    </row>
    <row r="160" spans="16:27">
      <c r="P160" s="733"/>
      <c r="Q160" s="733"/>
      <c r="R160" s="733"/>
      <c r="S160" s="733"/>
      <c r="T160" s="734"/>
      <c r="U160" s="733"/>
      <c r="V160" s="733"/>
      <c r="W160" s="735"/>
      <c r="X160" s="736"/>
      <c r="Y160" s="737"/>
      <c r="Z160" s="738"/>
      <c r="AA160" s="731"/>
    </row>
    <row r="161" spans="16:27">
      <c r="P161" s="733"/>
      <c r="Q161" s="733"/>
      <c r="R161" s="733"/>
      <c r="S161" s="733"/>
      <c r="T161" s="734"/>
      <c r="U161" s="733"/>
      <c r="V161" s="733"/>
      <c r="W161" s="735"/>
      <c r="X161" s="736"/>
      <c r="Y161" s="737"/>
      <c r="Z161" s="738"/>
      <c r="AA161" s="731"/>
    </row>
    <row r="162" spans="16:27">
      <c r="P162" s="733"/>
      <c r="Q162" s="733"/>
      <c r="R162" s="733"/>
      <c r="S162" s="733"/>
      <c r="T162" s="734"/>
      <c r="U162" s="733"/>
      <c r="V162" s="733"/>
      <c r="W162" s="735"/>
      <c r="X162" s="736"/>
      <c r="Y162" s="737"/>
      <c r="Z162" s="738"/>
      <c r="AA162" s="731"/>
    </row>
    <row r="163" spans="16:27">
      <c r="P163" s="733"/>
      <c r="Q163" s="733"/>
      <c r="R163" s="733"/>
      <c r="S163" s="733"/>
      <c r="T163" s="734"/>
      <c r="U163" s="733"/>
      <c r="V163" s="733"/>
      <c r="W163" s="735"/>
      <c r="X163" s="736"/>
      <c r="Y163" s="737"/>
      <c r="Z163" s="738"/>
      <c r="AA163" s="731"/>
    </row>
    <row r="164" spans="16:27">
      <c r="P164" s="733"/>
      <c r="Q164" s="733"/>
      <c r="R164" s="733"/>
      <c r="S164" s="733"/>
      <c r="T164" s="734"/>
      <c r="U164" s="733"/>
      <c r="V164" s="733"/>
      <c r="W164" s="735"/>
      <c r="X164" s="736"/>
      <c r="Y164" s="737"/>
      <c r="Z164" s="738"/>
      <c r="AA164" s="731"/>
    </row>
    <row r="165" spans="16:27">
      <c r="P165" s="733"/>
      <c r="Q165" s="733"/>
      <c r="R165" s="733"/>
      <c r="S165" s="733"/>
      <c r="T165" s="734"/>
      <c r="U165" s="733"/>
      <c r="V165" s="733"/>
      <c r="W165" s="735"/>
      <c r="X165" s="736"/>
      <c r="Y165" s="737"/>
      <c r="Z165" s="738"/>
      <c r="AA165" s="731"/>
    </row>
    <row r="166" spans="16:27">
      <c r="P166" s="733"/>
      <c r="Q166" s="733"/>
      <c r="R166" s="733"/>
      <c r="S166" s="733"/>
      <c r="T166" s="734"/>
      <c r="U166" s="733"/>
      <c r="V166" s="733"/>
      <c r="W166" s="735"/>
      <c r="X166" s="736"/>
      <c r="Y166" s="737"/>
      <c r="Z166" s="738"/>
      <c r="AA166" s="731"/>
    </row>
    <row r="167" spans="16:27">
      <c r="P167" s="733"/>
      <c r="Q167" s="733"/>
      <c r="R167" s="733"/>
      <c r="S167" s="733"/>
      <c r="T167" s="734"/>
      <c r="U167" s="733"/>
      <c r="V167" s="733"/>
      <c r="W167" s="735"/>
      <c r="X167" s="736"/>
      <c r="Y167" s="737"/>
      <c r="Z167" s="738"/>
      <c r="AA167" s="731"/>
    </row>
    <row r="168" spans="16:27">
      <c r="P168" s="733"/>
      <c r="Q168" s="733"/>
      <c r="R168" s="733"/>
      <c r="S168" s="733"/>
      <c r="T168" s="734"/>
      <c r="U168" s="733"/>
      <c r="V168" s="733"/>
      <c r="W168" s="735"/>
      <c r="X168" s="736"/>
      <c r="Y168" s="737"/>
      <c r="Z168" s="738"/>
      <c r="AA168" s="731"/>
    </row>
    <row r="169" spans="16:27">
      <c r="P169" s="733"/>
      <c r="Q169" s="733"/>
      <c r="R169" s="733"/>
      <c r="S169" s="733"/>
      <c r="T169" s="734"/>
      <c r="U169" s="733"/>
      <c r="V169" s="733"/>
      <c r="W169" s="735"/>
      <c r="X169" s="736"/>
      <c r="Y169" s="737"/>
      <c r="Z169" s="738"/>
      <c r="AA169" s="731"/>
    </row>
    <row r="170" spans="16:27">
      <c r="P170" s="733"/>
      <c r="Q170" s="733"/>
      <c r="R170" s="733"/>
      <c r="S170" s="733"/>
      <c r="T170" s="734"/>
      <c r="U170" s="733"/>
      <c r="V170" s="733"/>
      <c r="W170" s="735"/>
      <c r="X170" s="736"/>
      <c r="Y170" s="737"/>
      <c r="Z170" s="738"/>
      <c r="AA170" s="731"/>
    </row>
    <row r="171" spans="16:27">
      <c r="P171" s="733"/>
      <c r="Q171" s="733"/>
      <c r="R171" s="733"/>
      <c r="S171" s="733"/>
      <c r="T171" s="734"/>
      <c r="U171" s="733"/>
      <c r="V171" s="733"/>
      <c r="W171" s="735"/>
      <c r="X171" s="736"/>
      <c r="Y171" s="737"/>
      <c r="Z171" s="738"/>
      <c r="AA171" s="731"/>
    </row>
    <row r="172" spans="16:27">
      <c r="P172" s="733"/>
      <c r="Q172" s="733"/>
      <c r="R172" s="733"/>
      <c r="S172" s="733"/>
      <c r="T172" s="734"/>
      <c r="U172" s="733"/>
      <c r="V172" s="733"/>
      <c r="W172" s="735"/>
      <c r="X172" s="736"/>
      <c r="Y172" s="737"/>
      <c r="Z172" s="738"/>
      <c r="AA172" s="731"/>
    </row>
    <row r="173" spans="16:27">
      <c r="P173" s="733"/>
      <c r="Q173" s="733"/>
      <c r="R173" s="733"/>
      <c r="S173" s="733"/>
      <c r="T173" s="734"/>
      <c r="U173" s="733"/>
      <c r="V173" s="733"/>
      <c r="W173" s="735"/>
      <c r="X173" s="736"/>
      <c r="Y173" s="737"/>
      <c r="Z173" s="738"/>
      <c r="AA173" s="731"/>
    </row>
    <row r="174" spans="16:27">
      <c r="P174" s="733"/>
      <c r="Q174" s="733"/>
      <c r="R174" s="733"/>
      <c r="S174" s="733"/>
      <c r="T174" s="734"/>
      <c r="U174" s="733"/>
      <c r="V174" s="733"/>
      <c r="W174" s="735"/>
      <c r="X174" s="736"/>
      <c r="Y174" s="737"/>
      <c r="Z174" s="738"/>
      <c r="AA174" s="731"/>
    </row>
    <row r="175" spans="16:27">
      <c r="P175" s="733"/>
      <c r="Q175" s="733"/>
      <c r="R175" s="733"/>
      <c r="S175" s="733"/>
      <c r="T175" s="734"/>
      <c r="U175" s="733"/>
      <c r="V175" s="733"/>
      <c r="W175" s="735"/>
      <c r="X175" s="736"/>
      <c r="Y175" s="737"/>
      <c r="Z175" s="738"/>
      <c r="AA175" s="731"/>
    </row>
    <row r="176" spans="16:27">
      <c r="P176" s="733"/>
      <c r="Q176" s="733"/>
      <c r="R176" s="733"/>
      <c r="S176" s="733"/>
      <c r="T176" s="734"/>
      <c r="U176" s="733"/>
      <c r="V176" s="733"/>
      <c r="W176" s="735"/>
      <c r="X176" s="736"/>
      <c r="Y176" s="737"/>
      <c r="Z176" s="738"/>
      <c r="AA176" s="731"/>
    </row>
    <row r="177" spans="16:27">
      <c r="P177" s="733"/>
      <c r="Q177" s="733"/>
      <c r="R177" s="733"/>
      <c r="S177" s="733"/>
      <c r="T177" s="734"/>
      <c r="U177" s="733"/>
      <c r="V177" s="733"/>
      <c r="W177" s="735"/>
      <c r="X177" s="736"/>
      <c r="Y177" s="737"/>
      <c r="Z177" s="738"/>
      <c r="AA177" s="731"/>
    </row>
    <row r="178" spans="16:27">
      <c r="P178" s="733"/>
      <c r="Q178" s="733"/>
      <c r="R178" s="733"/>
      <c r="S178" s="733"/>
      <c r="T178" s="734"/>
      <c r="U178" s="733"/>
      <c r="V178" s="733"/>
      <c r="W178" s="735"/>
      <c r="X178" s="736"/>
      <c r="Y178" s="737"/>
      <c r="Z178" s="738"/>
      <c r="AA178" s="731"/>
    </row>
    <row r="179" spans="16:27">
      <c r="P179" s="733"/>
      <c r="Q179" s="733"/>
      <c r="R179" s="733"/>
      <c r="S179" s="733"/>
      <c r="T179" s="734"/>
      <c r="U179" s="733"/>
      <c r="V179" s="733"/>
      <c r="W179" s="735"/>
      <c r="X179" s="736"/>
      <c r="Y179" s="737"/>
      <c r="Z179" s="738"/>
      <c r="AA179" s="731"/>
    </row>
    <row r="180" spans="16:27">
      <c r="P180" s="733"/>
      <c r="Q180" s="733"/>
      <c r="R180" s="733"/>
      <c r="S180" s="733"/>
      <c r="T180" s="734"/>
      <c r="U180" s="733"/>
      <c r="V180" s="733"/>
      <c r="W180" s="735"/>
      <c r="X180" s="736"/>
      <c r="Y180" s="737"/>
      <c r="Z180" s="738"/>
      <c r="AA180" s="731"/>
    </row>
    <row r="181" spans="16:27">
      <c r="P181" s="733"/>
      <c r="Q181" s="733"/>
      <c r="R181" s="733"/>
      <c r="S181" s="733"/>
      <c r="T181" s="734"/>
      <c r="U181" s="733"/>
      <c r="V181" s="733"/>
      <c r="W181" s="735"/>
      <c r="X181" s="736"/>
      <c r="Y181" s="737"/>
      <c r="Z181" s="738"/>
      <c r="AA181" s="731"/>
    </row>
    <row r="182" spans="16:27">
      <c r="P182" s="733"/>
      <c r="Q182" s="733"/>
      <c r="R182" s="733"/>
      <c r="S182" s="733"/>
      <c r="T182" s="734"/>
      <c r="U182" s="733"/>
      <c r="V182" s="733"/>
      <c r="W182" s="735"/>
      <c r="X182" s="736"/>
      <c r="Y182" s="737"/>
      <c r="Z182" s="738"/>
      <c r="AA182" s="731"/>
    </row>
    <row r="183" spans="16:27">
      <c r="P183" s="733"/>
      <c r="Q183" s="733"/>
      <c r="R183" s="733"/>
      <c r="S183" s="733"/>
      <c r="T183" s="734"/>
      <c r="U183" s="733"/>
      <c r="V183" s="733"/>
      <c r="W183" s="735"/>
      <c r="X183" s="736"/>
      <c r="Y183" s="737"/>
      <c r="Z183" s="738"/>
      <c r="AA183" s="731"/>
    </row>
    <row r="184" spans="16:27">
      <c r="P184" s="733"/>
      <c r="Q184" s="733"/>
      <c r="R184" s="733"/>
      <c r="S184" s="733"/>
      <c r="T184" s="734"/>
      <c r="U184" s="733"/>
      <c r="V184" s="733"/>
      <c r="W184" s="735"/>
      <c r="X184" s="736"/>
      <c r="Y184" s="737"/>
      <c r="Z184" s="738"/>
      <c r="AA184" s="731"/>
    </row>
    <row r="185" spans="16:27">
      <c r="P185" s="733"/>
      <c r="Q185" s="733"/>
      <c r="R185" s="733"/>
      <c r="S185" s="733"/>
      <c r="T185" s="734"/>
      <c r="U185" s="733"/>
      <c r="V185" s="733"/>
      <c r="W185" s="735"/>
      <c r="X185" s="736"/>
      <c r="Y185" s="737"/>
      <c r="Z185" s="738"/>
      <c r="AA185" s="731"/>
    </row>
    <row r="186" spans="16:27">
      <c r="P186" s="733"/>
      <c r="Q186" s="733"/>
      <c r="R186" s="733"/>
      <c r="S186" s="733"/>
      <c r="T186" s="734"/>
      <c r="U186" s="733"/>
      <c r="V186" s="733"/>
      <c r="W186" s="735"/>
      <c r="X186" s="736"/>
      <c r="Y186" s="737"/>
      <c r="Z186" s="738"/>
      <c r="AA186" s="731"/>
    </row>
    <row r="187" spans="16:27">
      <c r="P187" s="733"/>
      <c r="Q187" s="733"/>
      <c r="R187" s="733"/>
      <c r="S187" s="733"/>
      <c r="T187" s="734"/>
      <c r="U187" s="733"/>
      <c r="V187" s="733"/>
      <c r="W187" s="735"/>
      <c r="X187" s="736"/>
      <c r="Y187" s="737"/>
      <c r="Z187" s="738"/>
      <c r="AA187" s="731"/>
    </row>
    <row r="188" spans="16:27">
      <c r="P188" s="733"/>
      <c r="Q188" s="733"/>
      <c r="R188" s="733"/>
      <c r="S188" s="733"/>
      <c r="T188" s="734"/>
      <c r="U188" s="733"/>
      <c r="V188" s="733"/>
      <c r="W188" s="735"/>
      <c r="X188" s="736"/>
      <c r="Y188" s="737"/>
      <c r="Z188" s="738"/>
      <c r="AA188" s="731"/>
    </row>
    <row r="189" spans="16:27">
      <c r="P189" s="733"/>
      <c r="Q189" s="733"/>
      <c r="R189" s="733"/>
      <c r="S189" s="733"/>
      <c r="T189" s="734"/>
      <c r="U189" s="733"/>
      <c r="V189" s="733"/>
      <c r="W189" s="735"/>
      <c r="X189" s="736"/>
      <c r="Y189" s="737"/>
      <c r="Z189" s="738"/>
      <c r="AA189" s="731"/>
    </row>
    <row r="190" spans="16:27">
      <c r="P190" s="733"/>
      <c r="Q190" s="733"/>
      <c r="R190" s="733"/>
      <c r="S190" s="733"/>
      <c r="T190" s="734"/>
      <c r="U190" s="733"/>
      <c r="V190" s="733"/>
      <c r="W190" s="735"/>
      <c r="X190" s="736"/>
      <c r="Y190" s="737"/>
      <c r="Z190" s="738"/>
      <c r="AA190" s="731"/>
    </row>
    <row r="191" spans="16:27">
      <c r="P191" s="733"/>
      <c r="Q191" s="733"/>
      <c r="R191" s="733"/>
      <c r="S191" s="733"/>
      <c r="T191" s="734"/>
      <c r="U191" s="733"/>
      <c r="V191" s="733"/>
      <c r="W191" s="735"/>
      <c r="X191" s="736"/>
      <c r="Y191" s="737"/>
      <c r="Z191" s="738"/>
      <c r="AA191" s="731"/>
    </row>
    <row r="192" spans="16:27">
      <c r="P192" s="733"/>
      <c r="Q192" s="733"/>
      <c r="R192" s="733"/>
      <c r="S192" s="733"/>
      <c r="T192" s="734"/>
      <c r="U192" s="733"/>
      <c r="V192" s="733"/>
      <c r="W192" s="735"/>
      <c r="X192" s="736"/>
      <c r="Y192" s="737"/>
      <c r="Z192" s="738"/>
      <c r="AA192" s="731"/>
    </row>
    <row r="193" spans="16:27">
      <c r="P193" s="733"/>
      <c r="Q193" s="733"/>
      <c r="R193" s="733"/>
      <c r="S193" s="733"/>
      <c r="T193" s="734"/>
      <c r="U193" s="733"/>
      <c r="V193" s="733"/>
      <c r="W193" s="735"/>
      <c r="X193" s="736"/>
      <c r="Y193" s="737"/>
      <c r="Z193" s="738"/>
      <c r="AA193" s="731"/>
    </row>
    <row r="194" spans="16:27">
      <c r="P194" s="733"/>
      <c r="Q194" s="733"/>
      <c r="R194" s="733"/>
      <c r="S194" s="733"/>
      <c r="T194" s="734"/>
      <c r="U194" s="733"/>
      <c r="V194" s="733"/>
      <c r="W194" s="735"/>
      <c r="X194" s="736"/>
      <c r="Y194" s="737"/>
      <c r="Z194" s="738"/>
      <c r="AA194" s="731"/>
    </row>
    <row r="195" spans="16:27">
      <c r="P195" s="733"/>
      <c r="Q195" s="733"/>
      <c r="R195" s="733"/>
      <c r="S195" s="733"/>
      <c r="T195" s="734"/>
      <c r="U195" s="733"/>
      <c r="V195" s="733"/>
      <c r="W195" s="735"/>
      <c r="X195" s="736"/>
      <c r="Y195" s="737"/>
      <c r="Z195" s="738"/>
      <c r="AA195" s="731"/>
    </row>
    <row r="196" spans="16:27">
      <c r="P196" s="733"/>
      <c r="Q196" s="733"/>
      <c r="R196" s="733"/>
      <c r="S196" s="733"/>
      <c r="T196" s="734"/>
      <c r="U196" s="733"/>
      <c r="V196" s="733"/>
      <c r="W196" s="735"/>
      <c r="X196" s="736"/>
      <c r="Y196" s="737"/>
      <c r="Z196" s="738"/>
      <c r="AA196" s="731"/>
    </row>
    <row r="197" spans="16:27">
      <c r="P197" s="733"/>
      <c r="Q197" s="733"/>
      <c r="R197" s="733"/>
      <c r="S197" s="733"/>
      <c r="T197" s="734"/>
      <c r="U197" s="733"/>
      <c r="V197" s="733"/>
      <c r="W197" s="735"/>
      <c r="X197" s="736"/>
      <c r="Y197" s="737"/>
      <c r="Z197" s="738"/>
      <c r="AA197" s="731"/>
    </row>
    <row r="198" spans="16:27">
      <c r="P198" s="733"/>
      <c r="Q198" s="733"/>
      <c r="R198" s="733"/>
      <c r="S198" s="733"/>
      <c r="T198" s="734"/>
      <c r="U198" s="733"/>
      <c r="V198" s="733"/>
      <c r="W198" s="735"/>
      <c r="X198" s="736"/>
      <c r="Y198" s="737"/>
      <c r="Z198" s="738"/>
      <c r="AA198" s="731"/>
    </row>
    <row r="199" spans="16:27">
      <c r="P199" s="733"/>
      <c r="Q199" s="733"/>
      <c r="R199" s="733"/>
      <c r="S199" s="733"/>
      <c r="T199" s="734"/>
      <c r="U199" s="733"/>
      <c r="V199" s="733"/>
      <c r="W199" s="735"/>
      <c r="X199" s="736"/>
      <c r="Y199" s="737"/>
      <c r="Z199" s="738"/>
      <c r="AA199" s="731"/>
    </row>
    <row r="200" spans="16:27">
      <c r="P200" s="733"/>
      <c r="Q200" s="733"/>
      <c r="R200" s="733"/>
      <c r="S200" s="733"/>
      <c r="T200" s="734"/>
      <c r="U200" s="733"/>
      <c r="V200" s="733"/>
      <c r="W200" s="735"/>
      <c r="X200" s="736"/>
      <c r="Y200" s="737"/>
      <c r="Z200" s="738"/>
      <c r="AA200" s="731"/>
    </row>
    <row r="201" spans="16:27">
      <c r="P201" s="733"/>
      <c r="Q201" s="733"/>
      <c r="R201" s="733"/>
      <c r="S201" s="733"/>
      <c r="T201" s="734"/>
      <c r="U201" s="733"/>
      <c r="V201" s="733"/>
      <c r="W201" s="735"/>
      <c r="X201" s="736"/>
      <c r="Y201" s="737"/>
      <c r="Z201" s="738"/>
      <c r="AA201" s="731"/>
    </row>
    <row r="202" spans="16:27">
      <c r="P202" s="733"/>
      <c r="Q202" s="733"/>
      <c r="R202" s="733"/>
      <c r="S202" s="733"/>
      <c r="T202" s="734"/>
      <c r="U202" s="733"/>
      <c r="V202" s="733"/>
      <c r="W202" s="735"/>
      <c r="X202" s="736"/>
      <c r="Y202" s="737"/>
      <c r="Z202" s="738"/>
      <c r="AA202" s="731"/>
    </row>
    <row r="203" spans="16:27">
      <c r="P203" s="733"/>
      <c r="Q203" s="733"/>
      <c r="R203" s="733"/>
      <c r="S203" s="733"/>
      <c r="T203" s="734"/>
      <c r="U203" s="733"/>
      <c r="V203" s="733"/>
      <c r="W203" s="735"/>
      <c r="X203" s="736"/>
      <c r="Y203" s="737"/>
      <c r="Z203" s="738"/>
      <c r="AA203" s="731"/>
    </row>
    <row r="204" spans="16:27">
      <c r="P204" s="733"/>
      <c r="Q204" s="733"/>
      <c r="R204" s="733"/>
      <c r="S204" s="733"/>
      <c r="T204" s="734"/>
      <c r="U204" s="733"/>
      <c r="V204" s="733"/>
      <c r="W204" s="735"/>
      <c r="X204" s="736"/>
      <c r="Y204" s="737"/>
      <c r="Z204" s="738"/>
      <c r="AA204" s="731"/>
    </row>
    <row r="205" spans="16:27">
      <c r="P205" s="733"/>
      <c r="Q205" s="733"/>
      <c r="R205" s="733"/>
      <c r="S205" s="733"/>
      <c r="T205" s="734"/>
      <c r="U205" s="733"/>
      <c r="V205" s="733"/>
      <c r="W205" s="735"/>
      <c r="X205" s="736"/>
      <c r="Y205" s="737"/>
      <c r="Z205" s="738"/>
      <c r="AA205" s="731"/>
    </row>
    <row r="206" spans="16:27">
      <c r="P206" s="733"/>
      <c r="Q206" s="733"/>
      <c r="R206" s="733"/>
      <c r="S206" s="733"/>
      <c r="T206" s="734"/>
      <c r="U206" s="733"/>
      <c r="V206" s="733"/>
      <c r="W206" s="735"/>
      <c r="X206" s="736"/>
      <c r="Y206" s="737"/>
      <c r="Z206" s="738"/>
      <c r="AA206" s="731"/>
    </row>
    <row r="207" spans="16:27">
      <c r="P207" s="733"/>
      <c r="Q207" s="733"/>
      <c r="R207" s="733"/>
      <c r="S207" s="733"/>
      <c r="T207" s="734"/>
      <c r="U207" s="733"/>
      <c r="V207" s="733"/>
      <c r="W207" s="735"/>
      <c r="X207" s="736"/>
      <c r="Y207" s="737"/>
      <c r="Z207" s="738"/>
      <c r="AA207" s="731"/>
    </row>
    <row r="208" spans="16:27">
      <c r="P208" s="733"/>
      <c r="Q208" s="733"/>
      <c r="R208" s="733"/>
      <c r="S208" s="733"/>
      <c r="T208" s="734"/>
      <c r="U208" s="733"/>
      <c r="V208" s="733"/>
      <c r="W208" s="735"/>
      <c r="X208" s="736"/>
      <c r="Y208" s="737"/>
      <c r="Z208" s="738"/>
      <c r="AA208" s="731"/>
    </row>
    <row r="209" spans="16:27">
      <c r="P209" s="733"/>
      <c r="Q209" s="733"/>
      <c r="R209" s="733"/>
      <c r="S209" s="733"/>
      <c r="T209" s="734"/>
      <c r="U209" s="733"/>
      <c r="V209" s="733"/>
      <c r="W209" s="735"/>
      <c r="X209" s="736"/>
      <c r="Y209" s="737"/>
      <c r="Z209" s="738"/>
      <c r="AA209" s="731"/>
    </row>
    <row r="210" spans="16:27">
      <c r="P210" s="733"/>
      <c r="Q210" s="733"/>
      <c r="R210" s="733"/>
      <c r="S210" s="733"/>
      <c r="T210" s="734"/>
      <c r="U210" s="733"/>
      <c r="V210" s="733"/>
      <c r="W210" s="735"/>
      <c r="X210" s="736"/>
      <c r="Y210" s="737"/>
      <c r="Z210" s="738"/>
      <c r="AA210" s="731"/>
    </row>
    <row r="211" spans="16:27">
      <c r="P211" s="733"/>
      <c r="Q211" s="733"/>
      <c r="R211" s="733"/>
      <c r="S211" s="733"/>
      <c r="T211" s="734"/>
      <c r="U211" s="733"/>
      <c r="V211" s="733"/>
      <c r="W211" s="735"/>
      <c r="X211" s="736"/>
      <c r="Y211" s="737"/>
      <c r="Z211" s="738"/>
      <c r="AA211" s="731"/>
    </row>
    <row r="212" spans="16:27">
      <c r="P212" s="733"/>
      <c r="Q212" s="733"/>
      <c r="R212" s="733"/>
      <c r="S212" s="733"/>
      <c r="T212" s="734"/>
      <c r="U212" s="733"/>
      <c r="V212" s="733"/>
      <c r="W212" s="735"/>
      <c r="X212" s="736"/>
      <c r="Y212" s="737"/>
      <c r="Z212" s="738"/>
      <c r="AA212" s="731"/>
    </row>
    <row r="213" spans="16:27">
      <c r="P213" s="733"/>
      <c r="Q213" s="733"/>
      <c r="R213" s="733"/>
      <c r="S213" s="733"/>
      <c r="T213" s="734"/>
      <c r="U213" s="733"/>
      <c r="V213" s="733"/>
      <c r="W213" s="735"/>
      <c r="X213" s="736"/>
      <c r="Y213" s="737"/>
      <c r="Z213" s="738"/>
      <c r="AA213" s="731"/>
    </row>
    <row r="214" spans="16:27">
      <c r="P214" s="733"/>
      <c r="Q214" s="733"/>
      <c r="R214" s="733"/>
      <c r="S214" s="733"/>
      <c r="T214" s="734"/>
      <c r="U214" s="733"/>
      <c r="V214" s="733"/>
      <c r="W214" s="735"/>
      <c r="X214" s="736"/>
      <c r="Y214" s="737"/>
      <c r="Z214" s="738"/>
      <c r="AA214" s="731"/>
    </row>
    <row r="215" spans="16:27">
      <c r="P215" s="733"/>
      <c r="Q215" s="733"/>
      <c r="R215" s="733"/>
      <c r="S215" s="733"/>
      <c r="T215" s="734"/>
      <c r="U215" s="733"/>
      <c r="V215" s="733"/>
      <c r="W215" s="735"/>
      <c r="X215" s="736"/>
      <c r="Y215" s="737"/>
      <c r="Z215" s="738"/>
      <c r="AA215" s="731"/>
    </row>
    <row r="216" spans="16:27">
      <c r="P216" s="733"/>
      <c r="Q216" s="733"/>
      <c r="R216" s="733"/>
      <c r="S216" s="733"/>
      <c r="T216" s="734"/>
      <c r="U216" s="733"/>
      <c r="V216" s="733"/>
      <c r="W216" s="735"/>
      <c r="X216" s="736"/>
      <c r="Y216" s="737"/>
      <c r="Z216" s="738"/>
      <c r="AA216" s="731"/>
    </row>
    <row r="217" spans="16:27">
      <c r="P217" s="733"/>
      <c r="Q217" s="733"/>
      <c r="R217" s="733"/>
      <c r="S217" s="733"/>
      <c r="T217" s="734"/>
      <c r="U217" s="733"/>
      <c r="V217" s="733"/>
      <c r="W217" s="735"/>
      <c r="X217" s="736"/>
      <c r="Y217" s="737"/>
      <c r="Z217" s="738"/>
      <c r="AA217" s="731"/>
    </row>
    <row r="218" spans="16:27">
      <c r="P218" s="733"/>
      <c r="Q218" s="733"/>
      <c r="R218" s="733"/>
      <c r="S218" s="733"/>
      <c r="T218" s="734"/>
      <c r="U218" s="733"/>
      <c r="V218" s="733"/>
      <c r="W218" s="735"/>
      <c r="X218" s="736"/>
      <c r="Y218" s="737"/>
      <c r="Z218" s="738"/>
      <c r="AA218" s="731"/>
    </row>
    <row r="219" spans="16:27">
      <c r="P219" s="733"/>
      <c r="Q219" s="733"/>
      <c r="R219" s="733"/>
      <c r="S219" s="733"/>
      <c r="T219" s="734"/>
      <c r="U219" s="733"/>
      <c r="V219" s="733"/>
      <c r="W219" s="735"/>
      <c r="X219" s="736"/>
      <c r="Y219" s="737"/>
      <c r="Z219" s="738"/>
      <c r="AA219" s="731"/>
    </row>
    <row r="220" spans="16:27">
      <c r="P220" s="733"/>
      <c r="Q220" s="733"/>
      <c r="R220" s="733"/>
      <c r="S220" s="733"/>
      <c r="T220" s="734"/>
      <c r="U220" s="733"/>
      <c r="V220" s="733"/>
      <c r="W220" s="735"/>
      <c r="X220" s="736"/>
      <c r="Y220" s="737"/>
      <c r="Z220" s="738"/>
      <c r="AA220" s="731"/>
    </row>
    <row r="221" spans="16:27">
      <c r="P221" s="733"/>
      <c r="Q221" s="733"/>
      <c r="R221" s="733"/>
      <c r="S221" s="733"/>
      <c r="T221" s="734"/>
      <c r="U221" s="733"/>
      <c r="V221" s="733"/>
      <c r="W221" s="735"/>
      <c r="X221" s="736"/>
      <c r="Y221" s="737"/>
      <c r="Z221" s="738"/>
      <c r="AA221" s="731"/>
    </row>
    <row r="222" spans="16:27">
      <c r="P222" s="733"/>
      <c r="Q222" s="733"/>
      <c r="R222" s="733"/>
      <c r="S222" s="733"/>
      <c r="T222" s="734"/>
      <c r="U222" s="733"/>
      <c r="V222" s="733"/>
      <c r="W222" s="735"/>
      <c r="X222" s="736"/>
      <c r="Y222" s="737"/>
      <c r="Z222" s="738"/>
      <c r="AA222" s="731"/>
    </row>
    <row r="223" spans="16:27">
      <c r="P223" s="733"/>
      <c r="Q223" s="733"/>
      <c r="R223" s="733"/>
      <c r="S223" s="733"/>
      <c r="T223" s="734"/>
      <c r="U223" s="733"/>
      <c r="V223" s="733"/>
      <c r="W223" s="735"/>
      <c r="X223" s="736"/>
      <c r="Y223" s="737"/>
      <c r="Z223" s="738"/>
      <c r="AA223" s="731"/>
    </row>
    <row r="224" spans="16:27">
      <c r="P224" s="733"/>
      <c r="Q224" s="733"/>
      <c r="R224" s="733"/>
      <c r="S224" s="733"/>
      <c r="T224" s="734"/>
      <c r="U224" s="733"/>
      <c r="V224" s="733"/>
      <c r="W224" s="735"/>
      <c r="X224" s="736"/>
      <c r="Y224" s="737"/>
      <c r="Z224" s="738"/>
      <c r="AA224" s="731"/>
    </row>
    <row r="225" spans="16:27">
      <c r="P225" s="733"/>
      <c r="Q225" s="733"/>
      <c r="R225" s="733"/>
      <c r="S225" s="733"/>
      <c r="T225" s="734"/>
      <c r="U225" s="733"/>
      <c r="V225" s="733"/>
      <c r="W225" s="735"/>
      <c r="X225" s="736"/>
      <c r="Y225" s="737"/>
      <c r="Z225" s="738"/>
      <c r="AA225" s="731"/>
    </row>
    <row r="226" spans="16:27">
      <c r="P226" s="733"/>
      <c r="Q226" s="733"/>
      <c r="R226" s="733"/>
      <c r="S226" s="733"/>
      <c r="T226" s="734"/>
      <c r="U226" s="733"/>
      <c r="V226" s="733"/>
      <c r="W226" s="735"/>
      <c r="X226" s="736"/>
      <c r="Y226" s="737"/>
      <c r="Z226" s="738"/>
      <c r="AA226" s="731"/>
    </row>
    <row r="227" spans="16:27">
      <c r="P227" s="733"/>
      <c r="Q227" s="733"/>
      <c r="R227" s="733"/>
      <c r="S227" s="733"/>
      <c r="T227" s="734"/>
      <c r="U227" s="733"/>
      <c r="V227" s="733"/>
      <c r="W227" s="735"/>
      <c r="X227" s="736"/>
      <c r="Y227" s="737"/>
      <c r="Z227" s="738"/>
      <c r="AA227" s="731"/>
    </row>
    <row r="228" spans="16:27">
      <c r="P228" s="733"/>
      <c r="Q228" s="733"/>
      <c r="R228" s="733"/>
      <c r="S228" s="733"/>
      <c r="T228" s="734"/>
      <c r="U228" s="733"/>
      <c r="V228" s="733"/>
      <c r="W228" s="735"/>
      <c r="X228" s="736"/>
      <c r="Y228" s="737"/>
      <c r="Z228" s="738"/>
      <c r="AA228" s="731"/>
    </row>
    <row r="229" spans="16:27">
      <c r="P229" s="733"/>
      <c r="Q229" s="733"/>
      <c r="R229" s="733"/>
      <c r="S229" s="733"/>
      <c r="T229" s="734"/>
      <c r="U229" s="733"/>
      <c r="V229" s="733"/>
      <c r="W229" s="735"/>
      <c r="X229" s="736"/>
      <c r="Y229" s="737"/>
      <c r="Z229" s="738"/>
      <c r="AA229" s="731"/>
    </row>
    <row r="230" spans="16:27">
      <c r="P230" s="733"/>
      <c r="Q230" s="733"/>
      <c r="R230" s="733"/>
      <c r="S230" s="733"/>
      <c r="T230" s="734"/>
      <c r="U230" s="733"/>
      <c r="V230" s="733"/>
      <c r="W230" s="735"/>
      <c r="X230" s="736"/>
      <c r="Y230" s="737"/>
      <c r="Z230" s="738"/>
      <c r="AA230" s="731"/>
    </row>
    <row r="231" spans="16:27">
      <c r="P231" s="733"/>
      <c r="Q231" s="733"/>
      <c r="R231" s="733"/>
      <c r="S231" s="733"/>
      <c r="T231" s="734"/>
      <c r="U231" s="733"/>
      <c r="V231" s="733"/>
      <c r="W231" s="735"/>
      <c r="X231" s="736"/>
      <c r="Y231" s="737"/>
      <c r="Z231" s="738"/>
      <c r="AA231" s="731"/>
    </row>
    <row r="232" spans="16:27">
      <c r="P232" s="733"/>
      <c r="Q232" s="733"/>
      <c r="R232" s="733"/>
      <c r="S232" s="733"/>
      <c r="T232" s="734"/>
      <c r="U232" s="733"/>
      <c r="V232" s="733"/>
      <c r="W232" s="735"/>
      <c r="X232" s="736"/>
      <c r="Y232" s="737"/>
      <c r="Z232" s="738"/>
      <c r="AA232" s="731"/>
    </row>
    <row r="233" spans="16:27">
      <c r="P233" s="733"/>
      <c r="Q233" s="733"/>
      <c r="R233" s="733"/>
      <c r="S233" s="733"/>
      <c r="T233" s="734"/>
      <c r="U233" s="733"/>
      <c r="V233" s="733"/>
      <c r="W233" s="735"/>
      <c r="X233" s="736"/>
      <c r="Y233" s="737"/>
      <c r="Z233" s="738"/>
      <c r="AA233" s="731"/>
    </row>
    <row r="234" spans="16:27">
      <c r="P234" s="733"/>
      <c r="Q234" s="733"/>
      <c r="R234" s="733"/>
      <c r="S234" s="733"/>
      <c r="T234" s="734"/>
      <c r="U234" s="733"/>
      <c r="V234" s="733"/>
      <c r="W234" s="735"/>
      <c r="X234" s="736"/>
      <c r="Y234" s="737"/>
      <c r="Z234" s="738"/>
      <c r="AA234" s="731"/>
    </row>
    <row r="235" spans="16:27">
      <c r="P235" s="733"/>
      <c r="Q235" s="733"/>
      <c r="R235" s="733"/>
      <c r="S235" s="733"/>
      <c r="T235" s="734"/>
      <c r="U235" s="733"/>
      <c r="V235" s="733"/>
      <c r="W235" s="735"/>
      <c r="X235" s="736"/>
      <c r="Y235" s="737"/>
      <c r="Z235" s="738"/>
      <c r="AA235" s="731"/>
    </row>
    <row r="236" spans="16:27">
      <c r="P236" s="733"/>
      <c r="Q236" s="733"/>
      <c r="R236" s="733"/>
      <c r="S236" s="733"/>
      <c r="T236" s="734"/>
      <c r="U236" s="733"/>
      <c r="V236" s="733"/>
      <c r="W236" s="735"/>
      <c r="X236" s="736"/>
      <c r="Y236" s="737"/>
      <c r="Z236" s="738"/>
      <c r="AA236" s="731"/>
    </row>
    <row r="237" spans="16:27">
      <c r="P237" s="733"/>
      <c r="Q237" s="733"/>
      <c r="R237" s="733"/>
      <c r="S237" s="733"/>
      <c r="T237" s="734"/>
      <c r="U237" s="733"/>
      <c r="V237" s="733"/>
      <c r="W237" s="735"/>
      <c r="X237" s="736"/>
      <c r="Y237" s="737"/>
      <c r="Z237" s="738"/>
      <c r="AA237" s="731"/>
    </row>
    <row r="238" spans="16:27">
      <c r="P238" s="733"/>
      <c r="Q238" s="733"/>
      <c r="R238" s="733"/>
      <c r="S238" s="733"/>
      <c r="T238" s="734"/>
      <c r="U238" s="733"/>
      <c r="V238" s="733"/>
      <c r="W238" s="735"/>
      <c r="X238" s="736"/>
      <c r="Y238" s="737"/>
      <c r="Z238" s="738"/>
      <c r="AA238" s="731"/>
    </row>
    <row r="239" spans="16:27">
      <c r="P239" s="733"/>
      <c r="Q239" s="733"/>
      <c r="R239" s="733"/>
      <c r="S239" s="733"/>
      <c r="T239" s="734"/>
      <c r="U239" s="733"/>
      <c r="V239" s="733"/>
      <c r="W239" s="735"/>
      <c r="X239" s="736"/>
      <c r="Y239" s="737"/>
      <c r="Z239" s="738"/>
      <c r="AA239" s="731"/>
    </row>
    <row r="240" spans="16:27">
      <c r="P240" s="733"/>
      <c r="Q240" s="733"/>
      <c r="R240" s="733"/>
      <c r="S240" s="733"/>
      <c r="T240" s="734"/>
      <c r="U240" s="733"/>
      <c r="V240" s="733"/>
      <c r="W240" s="735"/>
      <c r="X240" s="736"/>
      <c r="Y240" s="737"/>
      <c r="Z240" s="738"/>
      <c r="AA240" s="731"/>
    </row>
    <row r="241" spans="16:27">
      <c r="P241" s="733"/>
      <c r="Q241" s="733"/>
      <c r="R241" s="733"/>
      <c r="S241" s="733"/>
      <c r="T241" s="734"/>
      <c r="U241" s="733"/>
      <c r="V241" s="733"/>
      <c r="W241" s="735"/>
      <c r="X241" s="736"/>
      <c r="Y241" s="737"/>
      <c r="Z241" s="738"/>
      <c r="AA241" s="731"/>
    </row>
    <row r="242" spans="16:27">
      <c r="P242" s="733"/>
      <c r="Q242" s="733"/>
      <c r="R242" s="733"/>
      <c r="S242" s="733"/>
      <c r="T242" s="734"/>
      <c r="U242" s="733"/>
      <c r="V242" s="733"/>
      <c r="W242" s="735"/>
      <c r="X242" s="736"/>
      <c r="Y242" s="737"/>
      <c r="Z242" s="738"/>
      <c r="AA242" s="731"/>
    </row>
    <row r="243" spans="16:27">
      <c r="P243" s="733"/>
      <c r="Q243" s="733"/>
      <c r="R243" s="733"/>
      <c r="S243" s="733"/>
      <c r="T243" s="734"/>
      <c r="U243" s="733"/>
      <c r="V243" s="733"/>
      <c r="W243" s="735"/>
      <c r="X243" s="736"/>
      <c r="Y243" s="737"/>
      <c r="Z243" s="738"/>
      <c r="AA243" s="731"/>
    </row>
    <row r="244" spans="16:27">
      <c r="P244" s="733"/>
      <c r="Q244" s="733"/>
      <c r="R244" s="733"/>
      <c r="S244" s="733"/>
      <c r="T244" s="734"/>
      <c r="U244" s="733"/>
      <c r="V244" s="733"/>
      <c r="W244" s="735"/>
      <c r="X244" s="736"/>
      <c r="Y244" s="737"/>
      <c r="Z244" s="738"/>
      <c r="AA244" s="731"/>
    </row>
    <row r="245" spans="16:27">
      <c r="P245" s="733"/>
      <c r="Q245" s="733"/>
      <c r="R245" s="733"/>
      <c r="S245" s="733"/>
      <c r="T245" s="734"/>
      <c r="U245" s="733"/>
      <c r="V245" s="733"/>
      <c r="W245" s="735"/>
      <c r="X245" s="736"/>
      <c r="Y245" s="737"/>
      <c r="Z245" s="738"/>
      <c r="AA245" s="731"/>
    </row>
    <row r="246" spans="16:27">
      <c r="P246" s="733"/>
      <c r="Q246" s="733"/>
      <c r="R246" s="733"/>
      <c r="S246" s="733"/>
      <c r="T246" s="734"/>
      <c r="U246" s="733"/>
      <c r="V246" s="733"/>
      <c r="W246" s="735"/>
      <c r="X246" s="736"/>
      <c r="Y246" s="737"/>
      <c r="Z246" s="738"/>
      <c r="AA246" s="731"/>
    </row>
    <row r="247" spans="16:27">
      <c r="P247" s="733"/>
      <c r="Q247" s="733"/>
      <c r="R247" s="733"/>
      <c r="S247" s="733"/>
      <c r="T247" s="734"/>
      <c r="U247" s="733"/>
      <c r="V247" s="733"/>
      <c r="W247" s="735"/>
      <c r="X247" s="736"/>
      <c r="Y247" s="737"/>
      <c r="Z247" s="738"/>
      <c r="AA247" s="731"/>
    </row>
    <row r="248" spans="16:27">
      <c r="P248" s="733"/>
      <c r="Q248" s="733"/>
      <c r="R248" s="733"/>
      <c r="S248" s="733"/>
      <c r="T248" s="734"/>
      <c r="U248" s="733"/>
      <c r="V248" s="733"/>
      <c r="W248" s="735"/>
      <c r="X248" s="736"/>
      <c r="Y248" s="737"/>
      <c r="Z248" s="738"/>
      <c r="AA248" s="731"/>
    </row>
    <row r="249" spans="16:27">
      <c r="P249" s="733"/>
      <c r="Q249" s="733"/>
      <c r="R249" s="733"/>
      <c r="S249" s="733"/>
      <c r="T249" s="734"/>
      <c r="U249" s="733"/>
      <c r="V249" s="733"/>
      <c r="W249" s="735"/>
      <c r="X249" s="736"/>
      <c r="Y249" s="737"/>
      <c r="Z249" s="738"/>
      <c r="AA249" s="731"/>
    </row>
    <row r="250" spans="16:27">
      <c r="P250" s="733"/>
      <c r="Q250" s="733"/>
      <c r="R250" s="733"/>
      <c r="S250" s="733"/>
      <c r="T250" s="734"/>
      <c r="U250" s="733"/>
      <c r="V250" s="733"/>
      <c r="W250" s="735"/>
      <c r="X250" s="736"/>
      <c r="Y250" s="737"/>
      <c r="Z250" s="738"/>
      <c r="AA250" s="731"/>
    </row>
    <row r="251" spans="16:27">
      <c r="P251" s="733"/>
      <c r="Q251" s="733"/>
      <c r="R251" s="733"/>
      <c r="S251" s="733"/>
      <c r="T251" s="734"/>
      <c r="U251" s="733"/>
      <c r="V251" s="733"/>
      <c r="W251" s="735"/>
      <c r="X251" s="736"/>
      <c r="Y251" s="737"/>
      <c r="Z251" s="738"/>
      <c r="AA251" s="731"/>
    </row>
    <row r="252" spans="16:27">
      <c r="P252" s="733"/>
      <c r="Q252" s="733"/>
      <c r="R252" s="733"/>
      <c r="S252" s="733"/>
      <c r="T252" s="734"/>
      <c r="U252" s="733"/>
      <c r="V252" s="733"/>
      <c r="W252" s="735"/>
      <c r="X252" s="736"/>
      <c r="Y252" s="737"/>
      <c r="Z252" s="738"/>
      <c r="AA252" s="731"/>
    </row>
    <row r="253" spans="16:27">
      <c r="P253" s="733"/>
      <c r="Q253" s="733"/>
      <c r="R253" s="733"/>
      <c r="S253" s="733"/>
      <c r="T253" s="734"/>
      <c r="U253" s="733"/>
      <c r="V253" s="733"/>
      <c r="W253" s="735"/>
      <c r="X253" s="736"/>
      <c r="Y253" s="737"/>
      <c r="Z253" s="738"/>
      <c r="AA253" s="731"/>
    </row>
    <row r="254" spans="16:27">
      <c r="P254" s="733"/>
      <c r="Q254" s="733"/>
      <c r="R254" s="733"/>
      <c r="S254" s="733"/>
      <c r="T254" s="734"/>
      <c r="U254" s="733"/>
      <c r="V254" s="733"/>
      <c r="W254" s="735"/>
      <c r="X254" s="736"/>
      <c r="Y254" s="737"/>
      <c r="Z254" s="738"/>
      <c r="AA254" s="731"/>
    </row>
    <row r="255" spans="16:27">
      <c r="P255" s="733"/>
      <c r="Q255" s="733"/>
      <c r="R255" s="733"/>
      <c r="S255" s="733"/>
      <c r="T255" s="734"/>
      <c r="U255" s="733"/>
      <c r="V255" s="733"/>
      <c r="W255" s="735"/>
      <c r="X255" s="736"/>
      <c r="Y255" s="737"/>
      <c r="Z255" s="738"/>
      <c r="AA255" s="731"/>
    </row>
    <row r="256" spans="16:27">
      <c r="P256" s="733"/>
      <c r="Q256" s="733"/>
      <c r="R256" s="733"/>
      <c r="S256" s="733"/>
      <c r="T256" s="734"/>
      <c r="U256" s="733"/>
      <c r="V256" s="733"/>
      <c r="W256" s="735"/>
      <c r="X256" s="736"/>
      <c r="Y256" s="737"/>
      <c r="Z256" s="738"/>
      <c r="AA256" s="731"/>
    </row>
    <row r="257" spans="16:27">
      <c r="P257" s="733"/>
      <c r="Q257" s="733"/>
      <c r="R257" s="733"/>
      <c r="S257" s="733"/>
      <c r="T257" s="734"/>
      <c r="U257" s="733"/>
      <c r="V257" s="733"/>
      <c r="W257" s="735"/>
      <c r="X257" s="736"/>
      <c r="Y257" s="737"/>
      <c r="Z257" s="738"/>
      <c r="AA257" s="731"/>
    </row>
    <row r="258" spans="16:27">
      <c r="P258" s="733"/>
      <c r="Q258" s="733"/>
      <c r="R258" s="733"/>
      <c r="S258" s="733"/>
      <c r="T258" s="734"/>
      <c r="U258" s="733"/>
      <c r="V258" s="733"/>
      <c r="W258" s="735"/>
      <c r="X258" s="736"/>
      <c r="Y258" s="737"/>
      <c r="Z258" s="738"/>
      <c r="AA258" s="731"/>
    </row>
    <row r="259" spans="16:27">
      <c r="P259" s="733"/>
      <c r="Q259" s="733"/>
      <c r="R259" s="733"/>
      <c r="S259" s="733"/>
      <c r="T259" s="734"/>
      <c r="U259" s="733"/>
      <c r="V259" s="733"/>
      <c r="W259" s="735"/>
      <c r="X259" s="736"/>
      <c r="Y259" s="737"/>
      <c r="Z259" s="738"/>
      <c r="AA259" s="731"/>
    </row>
    <row r="260" spans="16:27">
      <c r="P260" s="733"/>
      <c r="Q260" s="733"/>
      <c r="R260" s="733"/>
      <c r="S260" s="733"/>
      <c r="T260" s="734"/>
      <c r="U260" s="733"/>
      <c r="V260" s="733"/>
      <c r="W260" s="735"/>
      <c r="X260" s="736"/>
      <c r="Y260" s="737"/>
      <c r="Z260" s="738"/>
      <c r="AA260" s="731"/>
    </row>
    <row r="261" spans="16:27">
      <c r="P261" s="733"/>
      <c r="Q261" s="733"/>
      <c r="R261" s="733"/>
      <c r="S261" s="733"/>
      <c r="T261" s="734"/>
      <c r="U261" s="733"/>
      <c r="V261" s="733"/>
      <c r="W261" s="735"/>
      <c r="X261" s="736"/>
      <c r="Y261" s="737"/>
      <c r="Z261" s="738"/>
      <c r="AA261" s="731"/>
    </row>
    <row r="262" spans="16:27">
      <c r="P262" s="733"/>
      <c r="Q262" s="733"/>
      <c r="R262" s="733"/>
      <c r="S262" s="733"/>
      <c r="T262" s="734"/>
      <c r="U262" s="733"/>
      <c r="V262" s="733"/>
      <c r="W262" s="735"/>
      <c r="X262" s="736"/>
      <c r="Y262" s="737"/>
      <c r="Z262" s="738"/>
      <c r="AA262" s="731"/>
    </row>
    <row r="263" spans="16:27">
      <c r="P263" s="733"/>
      <c r="Q263" s="733"/>
      <c r="R263" s="733"/>
      <c r="S263" s="733"/>
      <c r="T263" s="734"/>
      <c r="U263" s="733"/>
      <c r="V263" s="733"/>
      <c r="W263" s="735"/>
      <c r="X263" s="736"/>
      <c r="Y263" s="737"/>
      <c r="Z263" s="738"/>
      <c r="AA263" s="731"/>
    </row>
    <row r="264" spans="16:27">
      <c r="P264" s="733"/>
      <c r="Q264" s="733"/>
      <c r="R264" s="733"/>
      <c r="S264" s="733"/>
      <c r="T264" s="734"/>
      <c r="U264" s="733"/>
      <c r="V264" s="733"/>
      <c r="W264" s="735"/>
      <c r="X264" s="736"/>
      <c r="Y264" s="737"/>
      <c r="Z264" s="738"/>
      <c r="AA264" s="731"/>
    </row>
    <row r="265" spans="16:27">
      <c r="P265" s="733"/>
      <c r="Q265" s="733"/>
      <c r="R265" s="733"/>
      <c r="S265" s="733"/>
      <c r="T265" s="734"/>
      <c r="U265" s="733"/>
      <c r="V265" s="733"/>
      <c r="W265" s="735"/>
      <c r="X265" s="736"/>
      <c r="Y265" s="737"/>
      <c r="Z265" s="738"/>
      <c r="AA265" s="731"/>
    </row>
    <row r="266" spans="16:27">
      <c r="P266" s="733"/>
      <c r="Q266" s="733"/>
      <c r="R266" s="733"/>
      <c r="S266" s="733"/>
      <c r="T266" s="734"/>
      <c r="U266" s="733"/>
      <c r="V266" s="733"/>
      <c r="W266" s="735"/>
      <c r="X266" s="736"/>
      <c r="Y266" s="737"/>
      <c r="Z266" s="738"/>
      <c r="AA266" s="731"/>
    </row>
    <row r="267" spans="16:27">
      <c r="P267" s="733"/>
      <c r="Q267" s="733"/>
      <c r="R267" s="733"/>
      <c r="S267" s="733"/>
      <c r="T267" s="734"/>
      <c r="U267" s="733"/>
      <c r="V267" s="733"/>
      <c r="W267" s="735"/>
      <c r="X267" s="736"/>
      <c r="Y267" s="737"/>
      <c r="Z267" s="738"/>
      <c r="AA267" s="731"/>
    </row>
    <row r="268" spans="16:27">
      <c r="P268" s="733"/>
      <c r="Q268" s="733"/>
      <c r="R268" s="733"/>
      <c r="S268" s="733"/>
      <c r="T268" s="734"/>
      <c r="U268" s="733"/>
      <c r="V268" s="733"/>
      <c r="W268" s="735"/>
      <c r="X268" s="736"/>
      <c r="Y268" s="737"/>
      <c r="Z268" s="738"/>
      <c r="AA268" s="731"/>
    </row>
    <row r="269" spans="16:27">
      <c r="P269" s="733"/>
      <c r="Q269" s="733"/>
      <c r="R269" s="733"/>
      <c r="S269" s="733"/>
      <c r="T269" s="734"/>
      <c r="U269" s="733"/>
      <c r="V269" s="733"/>
      <c r="W269" s="735"/>
      <c r="X269" s="736"/>
      <c r="Y269" s="737"/>
      <c r="Z269" s="738"/>
      <c r="AA269" s="731"/>
    </row>
    <row r="270" spans="16:27">
      <c r="P270" s="733"/>
      <c r="Q270" s="733"/>
      <c r="R270" s="733"/>
      <c r="S270" s="733"/>
      <c r="T270" s="734"/>
      <c r="U270" s="733"/>
      <c r="V270" s="733"/>
      <c r="W270" s="735"/>
      <c r="X270" s="736"/>
      <c r="Y270" s="737"/>
      <c r="Z270" s="738"/>
      <c r="AA270" s="731"/>
    </row>
    <row r="271" spans="16:27">
      <c r="P271" s="733"/>
      <c r="Q271" s="733"/>
      <c r="R271" s="733"/>
      <c r="S271" s="733"/>
      <c r="T271" s="734"/>
      <c r="U271" s="733"/>
      <c r="V271" s="733"/>
      <c r="W271" s="735"/>
      <c r="X271" s="736"/>
      <c r="Y271" s="737"/>
      <c r="Z271" s="738"/>
      <c r="AA271" s="731"/>
    </row>
    <row r="272" spans="16:27">
      <c r="P272" s="733"/>
      <c r="Q272" s="733"/>
      <c r="R272" s="733"/>
      <c r="S272" s="733"/>
      <c r="T272" s="734"/>
      <c r="U272" s="733"/>
      <c r="V272" s="733"/>
      <c r="W272" s="735"/>
      <c r="X272" s="736"/>
      <c r="Y272" s="737"/>
      <c r="Z272" s="738"/>
      <c r="AA272" s="731"/>
    </row>
    <row r="273" spans="16:27">
      <c r="P273" s="733"/>
      <c r="Q273" s="733"/>
      <c r="R273" s="733"/>
      <c r="S273" s="733"/>
      <c r="T273" s="734"/>
      <c r="U273" s="733"/>
      <c r="V273" s="733"/>
      <c r="W273" s="735"/>
      <c r="X273" s="736"/>
      <c r="Y273" s="737"/>
      <c r="Z273" s="738"/>
      <c r="AA273" s="731"/>
    </row>
    <row r="274" spans="16:27">
      <c r="P274" s="733"/>
      <c r="Q274" s="733"/>
      <c r="R274" s="733"/>
      <c r="S274" s="733"/>
      <c r="T274" s="734"/>
      <c r="U274" s="733"/>
      <c r="V274" s="733"/>
      <c r="W274" s="735"/>
      <c r="X274" s="736"/>
      <c r="Y274" s="737"/>
      <c r="Z274" s="738"/>
      <c r="AA274" s="731"/>
    </row>
    <row r="275" spans="16:27">
      <c r="P275" s="733"/>
      <c r="Q275" s="733"/>
      <c r="R275" s="733"/>
      <c r="S275" s="733"/>
      <c r="T275" s="734"/>
      <c r="U275" s="733"/>
      <c r="V275" s="733"/>
      <c r="W275" s="735"/>
      <c r="X275" s="736"/>
      <c r="Y275" s="737"/>
      <c r="Z275" s="738"/>
      <c r="AA275" s="731"/>
    </row>
    <row r="276" spans="16:27">
      <c r="P276" s="733"/>
      <c r="Q276" s="733"/>
      <c r="R276" s="733"/>
      <c r="S276" s="733"/>
      <c r="T276" s="734"/>
      <c r="U276" s="733"/>
      <c r="V276" s="733"/>
      <c r="W276" s="735"/>
      <c r="X276" s="736"/>
      <c r="Y276" s="737"/>
      <c r="Z276" s="738"/>
      <c r="AA276" s="731"/>
    </row>
    <row r="277" spans="16:27">
      <c r="P277" s="733"/>
      <c r="Q277" s="733"/>
      <c r="R277" s="733"/>
      <c r="S277" s="733"/>
      <c r="T277" s="734"/>
      <c r="U277" s="733"/>
      <c r="V277" s="733"/>
      <c r="W277" s="735"/>
      <c r="X277" s="736"/>
      <c r="Y277" s="737"/>
      <c r="Z277" s="738"/>
      <c r="AA277" s="731"/>
    </row>
    <row r="278" spans="16:27">
      <c r="P278" s="733"/>
      <c r="Q278" s="733"/>
      <c r="R278" s="733"/>
      <c r="S278" s="733"/>
      <c r="T278" s="734"/>
      <c r="U278" s="733"/>
      <c r="V278" s="733"/>
      <c r="W278" s="735"/>
      <c r="X278" s="736"/>
      <c r="Y278" s="737"/>
      <c r="Z278" s="738"/>
      <c r="AA278" s="731"/>
    </row>
    <row r="279" spans="16:27">
      <c r="P279" s="733"/>
      <c r="Q279" s="733"/>
      <c r="R279" s="733"/>
      <c r="S279" s="733"/>
      <c r="T279" s="734"/>
      <c r="U279" s="733"/>
      <c r="V279" s="733"/>
      <c r="W279" s="735"/>
      <c r="X279" s="736"/>
      <c r="Y279" s="737"/>
      <c r="Z279" s="738"/>
      <c r="AA279" s="731"/>
    </row>
    <row r="280" spans="16:27">
      <c r="P280" s="733"/>
      <c r="Q280" s="733"/>
      <c r="R280" s="733"/>
      <c r="S280" s="733"/>
      <c r="T280" s="734"/>
      <c r="U280" s="733"/>
      <c r="V280" s="733"/>
      <c r="W280" s="735"/>
      <c r="X280" s="736"/>
      <c r="Y280" s="737"/>
      <c r="Z280" s="738"/>
      <c r="AA280" s="731"/>
    </row>
    <row r="281" spans="16:27">
      <c r="P281" s="733"/>
      <c r="Q281" s="733"/>
      <c r="R281" s="733"/>
      <c r="S281" s="733"/>
      <c r="T281" s="734"/>
      <c r="U281" s="733"/>
      <c r="V281" s="733"/>
      <c r="W281" s="735"/>
      <c r="X281" s="736"/>
      <c r="Y281" s="737"/>
      <c r="Z281" s="738"/>
      <c r="AA281" s="731"/>
    </row>
    <row r="282" spans="16:27">
      <c r="P282" s="733"/>
      <c r="Q282" s="733"/>
      <c r="R282" s="733"/>
      <c r="S282" s="733"/>
      <c r="T282" s="734"/>
      <c r="U282" s="733"/>
      <c r="V282" s="733"/>
      <c r="W282" s="735"/>
      <c r="X282" s="736"/>
      <c r="Y282" s="737"/>
      <c r="Z282" s="738"/>
      <c r="AA282" s="731"/>
    </row>
    <row r="283" spans="16:27">
      <c r="P283" s="733"/>
      <c r="Q283" s="733"/>
      <c r="R283" s="733"/>
      <c r="S283" s="733"/>
      <c r="T283" s="734"/>
      <c r="U283" s="733"/>
      <c r="V283" s="733"/>
      <c r="W283" s="735"/>
      <c r="X283" s="736"/>
      <c r="Y283" s="737"/>
      <c r="Z283" s="738"/>
      <c r="AA283" s="731"/>
    </row>
    <row r="284" spans="16:27">
      <c r="P284" s="733"/>
      <c r="Q284" s="733"/>
      <c r="R284" s="733"/>
      <c r="S284" s="733"/>
      <c r="T284" s="734"/>
      <c r="U284" s="733"/>
      <c r="V284" s="733"/>
      <c r="W284" s="735"/>
      <c r="X284" s="736"/>
      <c r="Y284" s="737"/>
      <c r="Z284" s="738"/>
      <c r="AA284" s="731"/>
    </row>
    <row r="285" spans="16:27">
      <c r="P285" s="733"/>
      <c r="Q285" s="733"/>
      <c r="R285" s="733"/>
      <c r="S285" s="733"/>
      <c r="T285" s="734"/>
      <c r="U285" s="733"/>
      <c r="V285" s="733"/>
      <c r="W285" s="735"/>
      <c r="X285" s="736"/>
      <c r="Y285" s="737"/>
      <c r="Z285" s="738"/>
      <c r="AA285" s="731"/>
    </row>
    <row r="286" spans="16:27">
      <c r="P286" s="733"/>
      <c r="Q286" s="733"/>
      <c r="R286" s="733"/>
      <c r="S286" s="733"/>
      <c r="T286" s="734"/>
      <c r="U286" s="733"/>
      <c r="V286" s="733"/>
      <c r="W286" s="735"/>
      <c r="X286" s="736"/>
      <c r="Y286" s="737"/>
      <c r="Z286" s="738"/>
      <c r="AA286" s="731"/>
    </row>
    <row r="287" spans="16:27">
      <c r="P287" s="733"/>
      <c r="Q287" s="733"/>
      <c r="R287" s="733"/>
      <c r="S287" s="733"/>
      <c r="T287" s="734"/>
      <c r="U287" s="733"/>
      <c r="V287" s="733"/>
      <c r="W287" s="735"/>
      <c r="X287" s="736"/>
      <c r="Y287" s="737"/>
      <c r="Z287" s="738"/>
      <c r="AA287" s="731"/>
    </row>
    <row r="288" spans="16:27">
      <c r="P288" s="733"/>
      <c r="Q288" s="733"/>
      <c r="R288" s="733"/>
      <c r="S288" s="733"/>
      <c r="T288" s="734"/>
      <c r="U288" s="733"/>
      <c r="V288" s="733"/>
      <c r="W288" s="735"/>
      <c r="X288" s="736"/>
      <c r="Y288" s="737"/>
      <c r="Z288" s="738"/>
      <c r="AA288" s="731"/>
    </row>
    <row r="289" spans="16:27">
      <c r="P289" s="733"/>
      <c r="Q289" s="733"/>
      <c r="R289" s="733"/>
      <c r="S289" s="733"/>
      <c r="T289" s="734"/>
      <c r="U289" s="733"/>
      <c r="V289" s="733"/>
      <c r="W289" s="735"/>
      <c r="X289" s="736"/>
      <c r="Y289" s="737"/>
      <c r="Z289" s="738"/>
      <c r="AA289" s="731"/>
    </row>
    <row r="290" spans="16:27">
      <c r="P290" s="733"/>
      <c r="Q290" s="733"/>
      <c r="R290" s="733"/>
      <c r="S290" s="733"/>
      <c r="T290" s="734"/>
      <c r="U290" s="733"/>
      <c r="V290" s="733"/>
      <c r="W290" s="735"/>
      <c r="X290" s="736"/>
      <c r="Y290" s="737"/>
      <c r="Z290" s="738"/>
      <c r="AA290" s="731"/>
    </row>
    <row r="291" spans="16:27">
      <c r="P291" s="733"/>
      <c r="Q291" s="733"/>
      <c r="R291" s="733"/>
      <c r="S291" s="733"/>
      <c r="T291" s="734"/>
      <c r="U291" s="733"/>
      <c r="V291" s="733"/>
      <c r="W291" s="735"/>
      <c r="X291" s="736"/>
      <c r="Y291" s="737"/>
      <c r="Z291" s="738"/>
      <c r="AA291" s="731"/>
    </row>
    <row r="292" spans="16:27">
      <c r="P292" s="733"/>
      <c r="Q292" s="733"/>
      <c r="R292" s="733"/>
      <c r="S292" s="733"/>
      <c r="T292" s="734"/>
      <c r="U292" s="733"/>
      <c r="V292" s="733"/>
      <c r="W292" s="735"/>
      <c r="X292" s="736"/>
      <c r="Y292" s="737"/>
      <c r="Z292" s="738"/>
      <c r="AA292" s="731"/>
    </row>
    <row r="293" spans="16:27">
      <c r="P293" s="733"/>
      <c r="Q293" s="733"/>
      <c r="R293" s="733"/>
      <c r="S293" s="733"/>
      <c r="T293" s="734"/>
      <c r="U293" s="733"/>
      <c r="V293" s="733"/>
      <c r="W293" s="735"/>
      <c r="X293" s="736"/>
      <c r="Y293" s="737"/>
      <c r="Z293" s="738"/>
      <c r="AA293" s="731"/>
    </row>
    <row r="294" spans="16:27">
      <c r="P294" s="733"/>
      <c r="Q294" s="733"/>
      <c r="R294" s="733"/>
      <c r="S294" s="733"/>
      <c r="T294" s="734"/>
      <c r="U294" s="733"/>
      <c r="V294" s="733"/>
      <c r="W294" s="735"/>
      <c r="X294" s="736"/>
      <c r="Y294" s="737"/>
      <c r="Z294" s="738"/>
      <c r="AA294" s="731"/>
    </row>
    <row r="295" spans="16:27">
      <c r="P295" s="733"/>
      <c r="Q295" s="733"/>
      <c r="R295" s="733"/>
      <c r="S295" s="733"/>
      <c r="T295" s="734"/>
      <c r="U295" s="733"/>
      <c r="V295" s="733"/>
      <c r="W295" s="735"/>
      <c r="X295" s="736"/>
      <c r="Y295" s="737"/>
      <c r="Z295" s="738"/>
      <c r="AA295" s="731"/>
    </row>
    <row r="296" spans="16:27">
      <c r="P296" s="733"/>
      <c r="Q296" s="733"/>
      <c r="R296" s="733"/>
      <c r="S296" s="733"/>
      <c r="T296" s="734"/>
      <c r="U296" s="733"/>
      <c r="V296" s="733"/>
      <c r="W296" s="735"/>
      <c r="X296" s="736"/>
      <c r="Y296" s="737"/>
      <c r="Z296" s="738"/>
      <c r="AA296" s="731"/>
    </row>
    <row r="297" spans="16:27">
      <c r="P297" s="733"/>
      <c r="Q297" s="733"/>
      <c r="R297" s="733"/>
      <c r="S297" s="733"/>
      <c r="T297" s="734"/>
      <c r="U297" s="733"/>
      <c r="V297" s="733"/>
      <c r="W297" s="735"/>
      <c r="X297" s="736"/>
      <c r="Y297" s="737"/>
      <c r="Z297" s="738"/>
      <c r="AA297" s="731"/>
    </row>
    <row r="298" spans="16:27">
      <c r="P298" s="733"/>
      <c r="Q298" s="733"/>
      <c r="R298" s="733"/>
      <c r="S298" s="733"/>
      <c r="T298" s="734"/>
      <c r="U298" s="733"/>
      <c r="V298" s="733"/>
      <c r="W298" s="735"/>
      <c r="X298" s="736"/>
      <c r="Y298" s="737"/>
      <c r="Z298" s="738"/>
      <c r="AA298" s="731"/>
    </row>
    <row r="299" spans="16:27">
      <c r="P299" s="733"/>
      <c r="Q299" s="733"/>
      <c r="R299" s="733"/>
      <c r="S299" s="733"/>
      <c r="T299" s="734"/>
      <c r="U299" s="733"/>
      <c r="V299" s="733"/>
      <c r="W299" s="735"/>
      <c r="X299" s="736"/>
      <c r="Y299" s="737"/>
      <c r="Z299" s="738"/>
      <c r="AA299" s="731"/>
    </row>
    <row r="300" spans="16:27">
      <c r="P300" s="733"/>
      <c r="Q300" s="733"/>
      <c r="R300" s="733"/>
      <c r="S300" s="733"/>
      <c r="T300" s="734"/>
      <c r="U300" s="733"/>
      <c r="V300" s="733"/>
      <c r="W300" s="735"/>
      <c r="X300" s="736"/>
      <c r="Y300" s="737"/>
      <c r="Z300" s="738"/>
      <c r="AA300" s="731"/>
    </row>
    <row r="301" spans="16:27">
      <c r="P301" s="733"/>
      <c r="Q301" s="733"/>
      <c r="R301" s="733"/>
      <c r="S301" s="733"/>
      <c r="T301" s="734"/>
      <c r="U301" s="733"/>
      <c r="V301" s="733"/>
      <c r="W301" s="735"/>
      <c r="X301" s="736"/>
      <c r="Y301" s="737"/>
      <c r="Z301" s="738"/>
      <c r="AA301" s="731"/>
    </row>
    <row r="302" spans="16:27">
      <c r="P302" s="733"/>
      <c r="Q302" s="733"/>
      <c r="R302" s="733"/>
      <c r="S302" s="733"/>
      <c r="T302" s="734"/>
      <c r="U302" s="733"/>
      <c r="V302" s="733"/>
      <c r="W302" s="735"/>
      <c r="X302" s="736"/>
      <c r="Y302" s="737"/>
      <c r="Z302" s="738"/>
      <c r="AA302" s="731"/>
    </row>
    <row r="303" spans="16:27">
      <c r="P303" s="733"/>
      <c r="Q303" s="733"/>
      <c r="R303" s="733"/>
      <c r="S303" s="733"/>
      <c r="T303" s="734"/>
      <c r="U303" s="733"/>
      <c r="V303" s="733"/>
      <c r="W303" s="735"/>
      <c r="X303" s="736"/>
      <c r="Y303" s="737"/>
      <c r="Z303" s="738"/>
      <c r="AA303" s="731"/>
    </row>
    <row r="304" spans="16:27">
      <c r="P304" s="733"/>
      <c r="Q304" s="733"/>
      <c r="R304" s="733"/>
      <c r="S304" s="733"/>
      <c r="T304" s="734"/>
      <c r="U304" s="733"/>
      <c r="V304" s="733"/>
      <c r="W304" s="735"/>
      <c r="X304" s="736"/>
      <c r="Y304" s="737"/>
      <c r="Z304" s="738"/>
      <c r="AA304" s="731"/>
    </row>
    <row r="305" spans="16:27">
      <c r="P305" s="733"/>
      <c r="Q305" s="733"/>
      <c r="R305" s="733"/>
      <c r="S305" s="733"/>
      <c r="T305" s="734"/>
      <c r="U305" s="733"/>
      <c r="V305" s="733"/>
      <c r="W305" s="735"/>
      <c r="X305" s="736"/>
      <c r="Y305" s="737"/>
      <c r="Z305" s="738"/>
      <c r="AA305" s="731"/>
    </row>
    <row r="306" spans="16:27">
      <c r="P306" s="733"/>
      <c r="Q306" s="733"/>
      <c r="R306" s="733"/>
      <c r="S306" s="733"/>
      <c r="T306" s="734"/>
      <c r="U306" s="733"/>
      <c r="V306" s="733"/>
      <c r="W306" s="735"/>
      <c r="X306" s="736"/>
      <c r="Y306" s="737"/>
      <c r="Z306" s="738"/>
      <c r="AA306" s="731"/>
    </row>
    <row r="307" spans="16:27">
      <c r="P307" s="733"/>
      <c r="Q307" s="733"/>
      <c r="R307" s="733"/>
      <c r="S307" s="733"/>
      <c r="T307" s="734"/>
      <c r="U307" s="733"/>
      <c r="V307" s="733"/>
      <c r="W307" s="735"/>
      <c r="X307" s="736"/>
      <c r="Y307" s="737"/>
      <c r="Z307" s="738"/>
      <c r="AA307" s="731"/>
    </row>
    <row r="308" spans="16:27">
      <c r="P308" s="733"/>
      <c r="Q308" s="733"/>
      <c r="R308" s="733"/>
      <c r="S308" s="733"/>
      <c r="T308" s="734"/>
      <c r="U308" s="733"/>
      <c r="V308" s="733"/>
      <c r="W308" s="735"/>
      <c r="X308" s="736"/>
      <c r="Y308" s="737"/>
      <c r="Z308" s="738"/>
      <c r="AA308" s="731"/>
    </row>
    <row r="309" spans="16:27">
      <c r="P309" s="733"/>
      <c r="Q309" s="733"/>
      <c r="R309" s="733"/>
      <c r="S309" s="733"/>
      <c r="T309" s="734"/>
      <c r="U309" s="733"/>
      <c r="V309" s="733"/>
      <c r="W309" s="735"/>
      <c r="X309" s="736"/>
      <c r="Y309" s="737"/>
      <c r="Z309" s="738"/>
      <c r="AA309" s="731"/>
    </row>
    <row r="310" spans="16:27">
      <c r="P310" s="733"/>
      <c r="Q310" s="733"/>
      <c r="R310" s="733"/>
      <c r="S310" s="733"/>
      <c r="T310" s="734"/>
      <c r="U310" s="733"/>
      <c r="V310" s="733"/>
      <c r="W310" s="735"/>
      <c r="X310" s="736"/>
      <c r="Y310" s="737"/>
      <c r="Z310" s="738"/>
      <c r="AA310" s="731"/>
    </row>
    <row r="311" spans="16:27">
      <c r="P311" s="733"/>
      <c r="Q311" s="733"/>
      <c r="R311" s="733"/>
      <c r="S311" s="733"/>
      <c r="T311" s="734"/>
      <c r="U311" s="733"/>
      <c r="V311" s="733"/>
      <c r="W311" s="735"/>
      <c r="X311" s="736"/>
      <c r="Y311" s="737"/>
      <c r="Z311" s="738"/>
      <c r="AA311" s="731"/>
    </row>
    <row r="312" spans="16:27">
      <c r="P312" s="733"/>
      <c r="Q312" s="733"/>
      <c r="R312" s="733"/>
      <c r="S312" s="733"/>
      <c r="T312" s="734"/>
      <c r="U312" s="733"/>
      <c r="V312" s="733"/>
      <c r="W312" s="735"/>
      <c r="X312" s="736"/>
      <c r="Y312" s="737"/>
      <c r="Z312" s="738"/>
      <c r="AA312" s="731"/>
    </row>
    <row r="313" spans="16:27">
      <c r="P313" s="733"/>
      <c r="Q313" s="733"/>
      <c r="R313" s="733"/>
      <c r="S313" s="733"/>
      <c r="T313" s="734"/>
      <c r="U313" s="733"/>
      <c r="V313" s="733"/>
      <c r="W313" s="735"/>
      <c r="X313" s="736"/>
      <c r="Y313" s="737"/>
      <c r="Z313" s="738"/>
      <c r="AA313" s="731"/>
    </row>
    <row r="314" spans="16:27">
      <c r="P314" s="733"/>
      <c r="Q314" s="733"/>
      <c r="R314" s="733"/>
      <c r="S314" s="733"/>
      <c r="T314" s="734"/>
      <c r="U314" s="733"/>
      <c r="V314" s="733"/>
      <c r="W314" s="735"/>
      <c r="X314" s="736"/>
      <c r="Y314" s="737"/>
      <c r="Z314" s="738"/>
      <c r="AA314" s="731"/>
    </row>
    <row r="315" spans="16:27">
      <c r="P315" s="733"/>
      <c r="Q315" s="733"/>
      <c r="R315" s="733"/>
      <c r="S315" s="733"/>
      <c r="T315" s="734"/>
      <c r="U315" s="733"/>
      <c r="V315" s="733"/>
      <c r="W315" s="735"/>
      <c r="X315" s="736"/>
      <c r="Y315" s="737"/>
      <c r="Z315" s="738"/>
      <c r="AA315" s="731"/>
    </row>
    <row r="316" spans="16:27">
      <c r="P316" s="733"/>
      <c r="Q316" s="733"/>
      <c r="R316" s="733"/>
      <c r="S316" s="733"/>
      <c r="T316" s="734"/>
      <c r="U316" s="733"/>
      <c r="V316" s="733"/>
      <c r="W316" s="735"/>
      <c r="X316" s="736"/>
      <c r="Y316" s="737"/>
      <c r="Z316" s="738"/>
      <c r="AA316" s="731"/>
    </row>
    <row r="317" spans="16:27">
      <c r="P317" s="733"/>
      <c r="Q317" s="733"/>
      <c r="R317" s="733"/>
      <c r="S317" s="733"/>
      <c r="T317" s="734"/>
      <c r="U317" s="733"/>
      <c r="V317" s="733"/>
      <c r="W317" s="735"/>
      <c r="X317" s="736"/>
      <c r="Y317" s="737"/>
      <c r="Z317" s="738"/>
      <c r="AA317" s="731"/>
    </row>
    <row r="318" spans="16:27">
      <c r="P318" s="733"/>
      <c r="Q318" s="733"/>
      <c r="R318" s="733"/>
      <c r="S318" s="733"/>
      <c r="T318" s="734"/>
      <c r="U318" s="733"/>
      <c r="V318" s="733"/>
      <c r="W318" s="735"/>
      <c r="X318" s="736"/>
      <c r="Y318" s="737"/>
      <c r="Z318" s="738"/>
      <c r="AA318" s="731"/>
    </row>
    <row r="319" spans="16:27">
      <c r="P319" s="733"/>
      <c r="Q319" s="733"/>
      <c r="R319" s="733"/>
      <c r="S319" s="733"/>
      <c r="T319" s="734"/>
      <c r="U319" s="733"/>
      <c r="V319" s="733"/>
      <c r="W319" s="735"/>
      <c r="X319" s="736"/>
      <c r="Y319" s="737"/>
      <c r="Z319" s="738"/>
      <c r="AA319" s="731"/>
    </row>
    <row r="320" spans="16:27">
      <c r="P320" s="733"/>
      <c r="Q320" s="733"/>
      <c r="R320" s="733"/>
      <c r="S320" s="733"/>
      <c r="T320" s="734"/>
      <c r="U320" s="733"/>
      <c r="V320" s="733"/>
      <c r="W320" s="735"/>
      <c r="X320" s="736"/>
      <c r="Y320" s="737"/>
      <c r="Z320" s="738"/>
      <c r="AA320" s="731"/>
    </row>
    <row r="321" spans="16:27">
      <c r="P321" s="733"/>
      <c r="Q321" s="733"/>
      <c r="R321" s="733"/>
      <c r="S321" s="733"/>
      <c r="T321" s="734"/>
      <c r="U321" s="733"/>
      <c r="V321" s="733"/>
      <c r="W321" s="735"/>
      <c r="X321" s="736"/>
      <c r="Y321" s="737"/>
      <c r="Z321" s="738"/>
      <c r="AA321" s="731"/>
    </row>
    <row r="322" spans="16:27">
      <c r="P322" s="733"/>
      <c r="Q322" s="733"/>
      <c r="R322" s="733"/>
      <c r="S322" s="733"/>
      <c r="T322" s="734"/>
      <c r="U322" s="733"/>
      <c r="V322" s="733"/>
      <c r="W322" s="735"/>
      <c r="X322" s="736"/>
      <c r="Y322" s="737"/>
      <c r="Z322" s="738"/>
      <c r="AA322" s="731"/>
    </row>
    <row r="323" spans="16:27">
      <c r="P323" s="733"/>
      <c r="Q323" s="733"/>
      <c r="R323" s="733"/>
      <c r="S323" s="733"/>
      <c r="T323" s="734"/>
      <c r="U323" s="733"/>
      <c r="V323" s="733"/>
      <c r="W323" s="735"/>
      <c r="X323" s="736"/>
      <c r="Y323" s="737"/>
      <c r="Z323" s="738"/>
      <c r="AA323" s="731"/>
    </row>
    <row r="324" spans="16:27">
      <c r="P324" s="733"/>
      <c r="Q324" s="733"/>
      <c r="R324" s="733"/>
      <c r="S324" s="733"/>
      <c r="T324" s="734"/>
      <c r="U324" s="733"/>
      <c r="V324" s="733"/>
      <c r="W324" s="735"/>
      <c r="X324" s="736"/>
      <c r="Y324" s="737"/>
      <c r="Z324" s="738"/>
      <c r="AA324" s="731"/>
    </row>
  </sheetData>
  <mergeCells count="5">
    <mergeCell ref="A23:M23"/>
    <mergeCell ref="A5:M5"/>
    <mergeCell ref="A2:K2"/>
    <mergeCell ref="A7:M7"/>
    <mergeCell ref="A9:M9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F8E7B-576C-46E1-B61C-D704A278B66B}">
  <dimension ref="A1:I25"/>
  <sheetViews>
    <sheetView workbookViewId="0">
      <selection activeCell="E16" sqref="E16"/>
    </sheetView>
  </sheetViews>
  <sheetFormatPr defaultRowHeight="14.4"/>
  <cols>
    <col min="1" max="1" width="5.88671875" customWidth="1"/>
    <col min="2" max="2" width="18.109375" customWidth="1"/>
    <col min="3" max="3" width="21.5546875" customWidth="1"/>
    <col min="4" max="4" width="19.44140625" customWidth="1"/>
    <col min="5" max="5" width="22.109375" customWidth="1"/>
    <col min="6" max="6" width="20.44140625" customWidth="1"/>
    <col min="7" max="7" width="18.88671875" customWidth="1"/>
    <col min="8" max="8" width="46.5546875" customWidth="1"/>
    <col min="9" max="9" width="25.88671875" customWidth="1"/>
    <col min="12" max="12" width="9.109375" customWidth="1"/>
  </cols>
  <sheetData>
    <row r="1" spans="1:9" s="676" customFormat="1" ht="37.5" customHeight="1">
      <c r="A1" s="675" t="s">
        <v>2</v>
      </c>
      <c r="B1" s="676" t="s">
        <v>2864</v>
      </c>
      <c r="C1" s="675" t="s">
        <v>2862</v>
      </c>
      <c r="D1" s="675" t="s">
        <v>2863</v>
      </c>
      <c r="E1" s="675" t="s">
        <v>2876</v>
      </c>
      <c r="F1" s="675" t="s">
        <v>2865</v>
      </c>
      <c r="G1" s="675" t="s">
        <v>2866</v>
      </c>
      <c r="H1" s="675" t="s">
        <v>204</v>
      </c>
    </row>
    <row r="2" spans="1:9" ht="27.75" customHeight="1">
      <c r="A2" s="674">
        <v>1</v>
      </c>
      <c r="B2" s="674" t="s">
        <v>2867</v>
      </c>
      <c r="C2" s="680" t="s">
        <v>2871</v>
      </c>
      <c r="D2" s="681" t="s">
        <v>2847</v>
      </c>
      <c r="E2" s="681" t="s">
        <v>2877</v>
      </c>
      <c r="F2" s="681" t="s">
        <v>2878</v>
      </c>
      <c r="G2" s="683" t="s">
        <v>2879</v>
      </c>
      <c r="H2" s="674"/>
    </row>
    <row r="3" spans="1:9" ht="28.8">
      <c r="A3" s="674">
        <v>2</v>
      </c>
      <c r="B3" s="674" t="s">
        <v>2867</v>
      </c>
      <c r="C3" s="680" t="s">
        <v>2870</v>
      </c>
      <c r="D3" s="681" t="s">
        <v>2847</v>
      </c>
      <c r="E3" s="674" t="s">
        <v>2873</v>
      </c>
      <c r="F3" s="681" t="s">
        <v>2872</v>
      </c>
      <c r="G3" s="681" t="s">
        <v>2874</v>
      </c>
      <c r="H3" s="682" t="s">
        <v>2875</v>
      </c>
      <c r="I3" s="677"/>
    </row>
    <row r="4" spans="1:9">
      <c r="A4" s="674">
        <v>3</v>
      </c>
      <c r="B4" s="674"/>
      <c r="C4" s="674"/>
      <c r="D4" s="674"/>
      <c r="E4" s="674"/>
      <c r="F4" s="674"/>
      <c r="G4" s="674"/>
      <c r="H4" s="674"/>
    </row>
    <row r="5" spans="1:9">
      <c r="A5" s="674">
        <v>4</v>
      </c>
      <c r="B5" s="674"/>
      <c r="C5" s="674"/>
      <c r="D5" s="674"/>
      <c r="E5" s="674"/>
      <c r="F5" s="674"/>
      <c r="G5" s="674"/>
      <c r="H5" s="674"/>
    </row>
    <row r="6" spans="1:9">
      <c r="A6" s="674">
        <v>5</v>
      </c>
      <c r="B6" s="674"/>
      <c r="C6" s="674"/>
      <c r="D6" s="674"/>
      <c r="E6" s="674"/>
      <c r="F6" s="674"/>
      <c r="G6" s="674"/>
      <c r="H6" s="674"/>
    </row>
    <row r="7" spans="1:9">
      <c r="A7" s="674">
        <v>6</v>
      </c>
      <c r="B7" s="674"/>
      <c r="C7" s="674"/>
      <c r="D7" s="674"/>
      <c r="E7" s="674"/>
      <c r="F7" s="674"/>
      <c r="G7" s="674"/>
      <c r="H7" s="674"/>
    </row>
    <row r="8" spans="1:9">
      <c r="A8" s="674">
        <v>7</v>
      </c>
      <c r="B8" s="674"/>
      <c r="C8" s="674"/>
      <c r="D8" s="674"/>
      <c r="E8" s="674"/>
      <c r="F8" s="674"/>
      <c r="G8" s="674"/>
      <c r="H8" s="674"/>
    </row>
    <row r="9" spans="1:9">
      <c r="A9" s="674">
        <v>8</v>
      </c>
      <c r="B9" s="674"/>
      <c r="C9" s="674"/>
      <c r="D9" s="674"/>
      <c r="E9" s="674"/>
      <c r="F9" s="674"/>
      <c r="G9" s="674"/>
      <c r="H9" s="674"/>
    </row>
    <row r="10" spans="1:9">
      <c r="A10" s="674">
        <v>9</v>
      </c>
      <c r="B10" s="674"/>
      <c r="C10" s="674"/>
      <c r="D10" s="674"/>
      <c r="E10" s="674"/>
      <c r="F10" s="674"/>
      <c r="G10" s="674"/>
      <c r="H10" s="674"/>
    </row>
    <row r="11" spans="1:9">
      <c r="A11" s="674">
        <v>10</v>
      </c>
      <c r="B11" s="674"/>
      <c r="C11" s="674"/>
      <c r="D11" s="674"/>
      <c r="E11" s="674"/>
      <c r="F11" s="674"/>
      <c r="G11" s="674"/>
      <c r="H11" s="674"/>
    </row>
    <row r="12" spans="1:9">
      <c r="A12" s="674">
        <v>11</v>
      </c>
      <c r="B12" s="674"/>
      <c r="C12" s="674"/>
      <c r="D12" s="674"/>
      <c r="E12" s="674"/>
      <c r="F12" s="674"/>
      <c r="G12" s="674"/>
      <c r="H12" s="674"/>
    </row>
    <row r="13" spans="1:9">
      <c r="A13" s="674">
        <v>12</v>
      </c>
      <c r="B13" s="674"/>
      <c r="C13" s="674"/>
      <c r="D13" s="674"/>
      <c r="E13" s="674"/>
      <c r="F13" s="674"/>
      <c r="G13" s="674"/>
      <c r="H13" s="674"/>
    </row>
    <row r="14" spans="1:9">
      <c r="A14" s="674">
        <v>13</v>
      </c>
      <c r="B14" s="674"/>
      <c r="C14" s="674"/>
      <c r="D14" s="674"/>
      <c r="E14" s="674"/>
      <c r="F14" s="674"/>
      <c r="G14" s="674"/>
      <c r="H14" s="674"/>
    </row>
    <row r="15" spans="1:9">
      <c r="A15" s="674">
        <v>14</v>
      </c>
      <c r="B15" s="674"/>
      <c r="C15" s="674"/>
      <c r="D15" s="674"/>
      <c r="E15" s="674"/>
      <c r="F15" s="674"/>
      <c r="G15" s="674"/>
      <c r="H15" s="674"/>
    </row>
    <row r="16" spans="1:9">
      <c r="A16" s="674">
        <v>15</v>
      </c>
      <c r="B16" s="674"/>
      <c r="C16" s="674"/>
      <c r="D16" s="674"/>
      <c r="E16" s="674"/>
      <c r="F16" s="674"/>
      <c r="G16" s="674"/>
      <c r="H16" s="674"/>
    </row>
    <row r="17" spans="1:8">
      <c r="A17" s="674">
        <v>16</v>
      </c>
      <c r="B17" s="674"/>
      <c r="C17" s="674"/>
      <c r="D17" s="674"/>
      <c r="E17" s="674"/>
      <c r="F17" s="674"/>
      <c r="G17" s="674"/>
      <c r="H17" s="674"/>
    </row>
    <row r="18" spans="1:8">
      <c r="A18" s="674">
        <v>17</v>
      </c>
      <c r="B18" s="674"/>
      <c r="C18" s="674"/>
      <c r="D18" s="674"/>
      <c r="E18" s="674"/>
      <c r="F18" s="674"/>
      <c r="G18" s="674"/>
      <c r="H18" s="674"/>
    </row>
    <row r="19" spans="1:8">
      <c r="A19" s="674">
        <v>18</v>
      </c>
      <c r="B19" s="674"/>
      <c r="C19" s="674"/>
      <c r="D19" s="674"/>
      <c r="E19" s="674"/>
      <c r="F19" s="674"/>
      <c r="G19" s="674"/>
      <c r="H19" s="674"/>
    </row>
    <row r="20" spans="1:8">
      <c r="A20" s="674">
        <v>19</v>
      </c>
      <c r="B20" s="674"/>
      <c r="C20" s="674"/>
      <c r="D20" s="674"/>
      <c r="E20" s="674"/>
      <c r="F20" s="674"/>
      <c r="G20" s="674"/>
      <c r="H20" s="674"/>
    </row>
    <row r="21" spans="1:8">
      <c r="A21" s="674">
        <v>20</v>
      </c>
      <c r="B21" s="674"/>
      <c r="C21" s="674"/>
      <c r="D21" s="674"/>
      <c r="E21" s="674"/>
      <c r="F21" s="674"/>
      <c r="G21" s="674"/>
      <c r="H21" s="674"/>
    </row>
    <row r="22" spans="1:8">
      <c r="A22" s="674">
        <v>21</v>
      </c>
      <c r="B22" s="674"/>
      <c r="C22" s="674"/>
      <c r="D22" s="674"/>
      <c r="E22" s="674"/>
      <c r="F22" s="674"/>
      <c r="G22" s="674"/>
      <c r="H22" s="674"/>
    </row>
    <row r="24" spans="1:8">
      <c r="A24" s="678" t="s">
        <v>2868</v>
      </c>
      <c r="B24" s="679"/>
      <c r="C24" s="679"/>
      <c r="D24" s="679"/>
      <c r="E24" s="679"/>
      <c r="F24" s="679"/>
      <c r="G24" s="679"/>
    </row>
    <row r="25" spans="1:8">
      <c r="A25" s="678" t="s">
        <v>2869</v>
      </c>
      <c r="B25" s="679"/>
      <c r="C25" s="679"/>
      <c r="D25" s="679"/>
      <c r="E25" s="679"/>
      <c r="F25" s="679"/>
      <c r="G25" s="679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EC46-0901-44BF-BA74-7652D5C90E31}">
  <dimension ref="A1:AD415"/>
  <sheetViews>
    <sheetView workbookViewId="0">
      <pane xSplit="11" ySplit="4" topLeftCell="L5" activePane="bottomRight" state="frozen"/>
      <selection activeCell="Q23" sqref="Q23"/>
      <selection pane="topRight" activeCell="Q23" sqref="Q23"/>
      <selection pane="bottomLeft" activeCell="Q23" sqref="Q23"/>
      <selection pane="bottomRight" activeCell="J44" sqref="J44"/>
    </sheetView>
  </sheetViews>
  <sheetFormatPr defaultColWidth="10.33203125" defaultRowHeight="15.6"/>
  <cols>
    <col min="1" max="1" width="7" style="1" customWidth="1"/>
    <col min="2" max="2" width="19.109375" style="504" customWidth="1"/>
    <col min="3" max="3" width="14.109375" style="3" customWidth="1"/>
    <col min="4" max="4" width="14.88671875" style="4" customWidth="1"/>
    <col min="5" max="5" width="11.109375" style="510" customWidth="1"/>
    <col min="6" max="6" width="10.33203125" style="11"/>
    <col min="7" max="9" width="5.109375" style="6" customWidth="1"/>
    <col min="10" max="10" width="14.5546875" style="5" customWidth="1"/>
    <col min="11" max="11" width="17.33203125" style="567" customWidth="1"/>
    <col min="12" max="12" width="14.44140625" style="7" customWidth="1"/>
    <col min="13" max="14" width="12.5546875" style="268" customWidth="1"/>
    <col min="15" max="16" width="12.6640625" style="268" customWidth="1"/>
    <col min="17" max="17" width="10.33203125" style="268" customWidth="1"/>
    <col min="18" max="18" width="10.33203125" style="264" customWidth="1"/>
    <col min="19" max="19" width="12.5546875" style="268" customWidth="1"/>
    <col min="20" max="20" width="14.33203125" style="1" customWidth="1"/>
    <col min="21" max="21" width="17" style="6" customWidth="1"/>
    <col min="22" max="22" width="19.44140625" style="268" customWidth="1"/>
    <col min="23" max="23" width="15.5546875" style="269" customWidth="1"/>
    <col min="24" max="24" width="31" style="270" customWidth="1"/>
    <col min="25" max="25" width="18.6640625" style="271" customWidth="1"/>
    <col min="26" max="26" width="16.6640625" style="272" customWidth="1"/>
    <col min="27" max="27" width="15.109375" style="273" customWidth="1"/>
    <col min="28" max="28" width="37.109375" style="5" customWidth="1"/>
    <col min="29" max="29" width="14.88671875" style="6" customWidth="1"/>
    <col min="30" max="30" width="13.44140625" style="6" customWidth="1"/>
    <col min="31" max="194" width="10.33203125" style="13"/>
    <col min="195" max="195" width="7" style="13" customWidth="1"/>
    <col min="196" max="196" width="13" style="13" customWidth="1"/>
    <col min="197" max="197" width="14.109375" style="13" customWidth="1"/>
    <col min="198" max="198" width="17.33203125" style="13" customWidth="1"/>
    <col min="199" max="199" width="18.88671875" style="13" customWidth="1"/>
    <col min="200" max="200" width="14.109375" style="13" customWidth="1"/>
    <col min="201" max="201" width="21.5546875" style="13" customWidth="1"/>
    <col min="202" max="203" width="14.109375" style="13" customWidth="1"/>
    <col min="204" max="204" width="15" style="13" customWidth="1"/>
    <col min="205" max="205" width="13.33203125" style="13" customWidth="1"/>
    <col min="206" max="206" width="17" style="13" customWidth="1"/>
    <col min="207" max="207" width="24.88671875" style="13" customWidth="1"/>
    <col min="208" max="208" width="14.44140625" style="13" customWidth="1"/>
    <col min="209" max="209" width="23.109375" style="13" customWidth="1"/>
    <col min="210" max="210" width="13.109375" style="13" customWidth="1"/>
    <col min="211" max="214" width="0" style="13" hidden="1" customWidth="1"/>
    <col min="215" max="450" width="10.33203125" style="13"/>
    <col min="451" max="451" width="7" style="13" customWidth="1"/>
    <col min="452" max="452" width="13" style="13" customWidth="1"/>
    <col min="453" max="453" width="14.109375" style="13" customWidth="1"/>
    <col min="454" max="454" width="17.33203125" style="13" customWidth="1"/>
    <col min="455" max="455" width="18.88671875" style="13" customWidth="1"/>
    <col min="456" max="456" width="14.109375" style="13" customWidth="1"/>
    <col min="457" max="457" width="21.5546875" style="13" customWidth="1"/>
    <col min="458" max="459" width="14.109375" style="13" customWidth="1"/>
    <col min="460" max="460" width="15" style="13" customWidth="1"/>
    <col min="461" max="461" width="13.33203125" style="13" customWidth="1"/>
    <col min="462" max="462" width="17" style="13" customWidth="1"/>
    <col min="463" max="463" width="24.88671875" style="13" customWidth="1"/>
    <col min="464" max="464" width="14.44140625" style="13" customWidth="1"/>
    <col min="465" max="465" width="23.109375" style="13" customWidth="1"/>
    <col min="466" max="466" width="13.109375" style="13" customWidth="1"/>
    <col min="467" max="470" width="0" style="13" hidden="1" customWidth="1"/>
    <col min="471" max="706" width="10.33203125" style="13"/>
    <col min="707" max="707" width="7" style="13" customWidth="1"/>
    <col min="708" max="708" width="13" style="13" customWidth="1"/>
    <col min="709" max="709" width="14.109375" style="13" customWidth="1"/>
    <col min="710" max="710" width="17.33203125" style="13" customWidth="1"/>
    <col min="711" max="711" width="18.88671875" style="13" customWidth="1"/>
    <col min="712" max="712" width="14.109375" style="13" customWidth="1"/>
    <col min="713" max="713" width="21.5546875" style="13" customWidth="1"/>
    <col min="714" max="715" width="14.109375" style="13" customWidth="1"/>
    <col min="716" max="716" width="15" style="13" customWidth="1"/>
    <col min="717" max="717" width="13.33203125" style="13" customWidth="1"/>
    <col min="718" max="718" width="17" style="13" customWidth="1"/>
    <col min="719" max="719" width="24.88671875" style="13" customWidth="1"/>
    <col min="720" max="720" width="14.44140625" style="13" customWidth="1"/>
    <col min="721" max="721" width="23.109375" style="13" customWidth="1"/>
    <col min="722" max="722" width="13.109375" style="13" customWidth="1"/>
    <col min="723" max="726" width="0" style="13" hidden="1" customWidth="1"/>
    <col min="727" max="962" width="10.33203125" style="13"/>
    <col min="963" max="963" width="7" style="13" customWidth="1"/>
    <col min="964" max="964" width="13" style="13" customWidth="1"/>
    <col min="965" max="965" width="14.109375" style="13" customWidth="1"/>
    <col min="966" max="966" width="17.33203125" style="13" customWidth="1"/>
    <col min="967" max="967" width="18.88671875" style="13" customWidth="1"/>
    <col min="968" max="968" width="14.109375" style="13" customWidth="1"/>
    <col min="969" max="969" width="21.5546875" style="13" customWidth="1"/>
    <col min="970" max="971" width="14.109375" style="13" customWidth="1"/>
    <col min="972" max="972" width="15" style="13" customWidth="1"/>
    <col min="973" max="973" width="13.33203125" style="13" customWidth="1"/>
    <col min="974" max="974" width="17" style="13" customWidth="1"/>
    <col min="975" max="975" width="24.88671875" style="13" customWidth="1"/>
    <col min="976" max="976" width="14.44140625" style="13" customWidth="1"/>
    <col min="977" max="977" width="23.109375" style="13" customWidth="1"/>
    <col min="978" max="978" width="13.109375" style="13" customWidth="1"/>
    <col min="979" max="982" width="0" style="13" hidden="1" customWidth="1"/>
    <col min="983" max="1218" width="10.33203125" style="13"/>
    <col min="1219" max="1219" width="7" style="13" customWidth="1"/>
    <col min="1220" max="1220" width="13" style="13" customWidth="1"/>
    <col min="1221" max="1221" width="14.109375" style="13" customWidth="1"/>
    <col min="1222" max="1222" width="17.33203125" style="13" customWidth="1"/>
    <col min="1223" max="1223" width="18.88671875" style="13" customWidth="1"/>
    <col min="1224" max="1224" width="14.109375" style="13" customWidth="1"/>
    <col min="1225" max="1225" width="21.5546875" style="13" customWidth="1"/>
    <col min="1226" max="1227" width="14.109375" style="13" customWidth="1"/>
    <col min="1228" max="1228" width="15" style="13" customWidth="1"/>
    <col min="1229" max="1229" width="13.33203125" style="13" customWidth="1"/>
    <col min="1230" max="1230" width="17" style="13" customWidth="1"/>
    <col min="1231" max="1231" width="24.88671875" style="13" customWidth="1"/>
    <col min="1232" max="1232" width="14.44140625" style="13" customWidth="1"/>
    <col min="1233" max="1233" width="23.109375" style="13" customWidth="1"/>
    <col min="1234" max="1234" width="13.109375" style="13" customWidth="1"/>
    <col min="1235" max="1238" width="0" style="13" hidden="1" customWidth="1"/>
    <col min="1239" max="1474" width="10.33203125" style="13"/>
    <col min="1475" max="1475" width="7" style="13" customWidth="1"/>
    <col min="1476" max="1476" width="13" style="13" customWidth="1"/>
    <col min="1477" max="1477" width="14.109375" style="13" customWidth="1"/>
    <col min="1478" max="1478" width="17.33203125" style="13" customWidth="1"/>
    <col min="1479" max="1479" width="18.88671875" style="13" customWidth="1"/>
    <col min="1480" max="1480" width="14.109375" style="13" customWidth="1"/>
    <col min="1481" max="1481" width="21.5546875" style="13" customWidth="1"/>
    <col min="1482" max="1483" width="14.109375" style="13" customWidth="1"/>
    <col min="1484" max="1484" width="15" style="13" customWidth="1"/>
    <col min="1485" max="1485" width="13.33203125" style="13" customWidth="1"/>
    <col min="1486" max="1486" width="17" style="13" customWidth="1"/>
    <col min="1487" max="1487" width="24.88671875" style="13" customWidth="1"/>
    <col min="1488" max="1488" width="14.44140625" style="13" customWidth="1"/>
    <col min="1489" max="1489" width="23.109375" style="13" customWidth="1"/>
    <col min="1490" max="1490" width="13.109375" style="13" customWidth="1"/>
    <col min="1491" max="1494" width="0" style="13" hidden="1" customWidth="1"/>
    <col min="1495" max="1730" width="10.33203125" style="13"/>
    <col min="1731" max="1731" width="7" style="13" customWidth="1"/>
    <col min="1732" max="1732" width="13" style="13" customWidth="1"/>
    <col min="1733" max="1733" width="14.109375" style="13" customWidth="1"/>
    <col min="1734" max="1734" width="17.33203125" style="13" customWidth="1"/>
    <col min="1735" max="1735" width="18.88671875" style="13" customWidth="1"/>
    <col min="1736" max="1736" width="14.109375" style="13" customWidth="1"/>
    <col min="1737" max="1737" width="21.5546875" style="13" customWidth="1"/>
    <col min="1738" max="1739" width="14.109375" style="13" customWidth="1"/>
    <col min="1740" max="1740" width="15" style="13" customWidth="1"/>
    <col min="1741" max="1741" width="13.33203125" style="13" customWidth="1"/>
    <col min="1742" max="1742" width="17" style="13" customWidth="1"/>
    <col min="1743" max="1743" width="24.88671875" style="13" customWidth="1"/>
    <col min="1744" max="1744" width="14.44140625" style="13" customWidth="1"/>
    <col min="1745" max="1745" width="23.109375" style="13" customWidth="1"/>
    <col min="1746" max="1746" width="13.109375" style="13" customWidth="1"/>
    <col min="1747" max="1750" width="0" style="13" hidden="1" customWidth="1"/>
    <col min="1751" max="1986" width="10.33203125" style="13"/>
    <col min="1987" max="1987" width="7" style="13" customWidth="1"/>
    <col min="1988" max="1988" width="13" style="13" customWidth="1"/>
    <col min="1989" max="1989" width="14.109375" style="13" customWidth="1"/>
    <col min="1990" max="1990" width="17.33203125" style="13" customWidth="1"/>
    <col min="1991" max="1991" width="18.88671875" style="13" customWidth="1"/>
    <col min="1992" max="1992" width="14.109375" style="13" customWidth="1"/>
    <col min="1993" max="1993" width="21.5546875" style="13" customWidth="1"/>
    <col min="1994" max="1995" width="14.109375" style="13" customWidth="1"/>
    <col min="1996" max="1996" width="15" style="13" customWidth="1"/>
    <col min="1997" max="1997" width="13.33203125" style="13" customWidth="1"/>
    <col min="1998" max="1998" width="17" style="13" customWidth="1"/>
    <col min="1999" max="1999" width="24.88671875" style="13" customWidth="1"/>
    <col min="2000" max="2000" width="14.44140625" style="13" customWidth="1"/>
    <col min="2001" max="2001" width="23.109375" style="13" customWidth="1"/>
    <col min="2002" max="2002" width="13.109375" style="13" customWidth="1"/>
    <col min="2003" max="2006" width="0" style="13" hidden="1" customWidth="1"/>
    <col min="2007" max="2242" width="10.33203125" style="13"/>
    <col min="2243" max="2243" width="7" style="13" customWidth="1"/>
    <col min="2244" max="2244" width="13" style="13" customWidth="1"/>
    <col min="2245" max="2245" width="14.109375" style="13" customWidth="1"/>
    <col min="2246" max="2246" width="17.33203125" style="13" customWidth="1"/>
    <col min="2247" max="2247" width="18.88671875" style="13" customWidth="1"/>
    <col min="2248" max="2248" width="14.109375" style="13" customWidth="1"/>
    <col min="2249" max="2249" width="21.5546875" style="13" customWidth="1"/>
    <col min="2250" max="2251" width="14.109375" style="13" customWidth="1"/>
    <col min="2252" max="2252" width="15" style="13" customWidth="1"/>
    <col min="2253" max="2253" width="13.33203125" style="13" customWidth="1"/>
    <col min="2254" max="2254" width="17" style="13" customWidth="1"/>
    <col min="2255" max="2255" width="24.88671875" style="13" customWidth="1"/>
    <col min="2256" max="2256" width="14.44140625" style="13" customWidth="1"/>
    <col min="2257" max="2257" width="23.109375" style="13" customWidth="1"/>
    <col min="2258" max="2258" width="13.109375" style="13" customWidth="1"/>
    <col min="2259" max="2262" width="0" style="13" hidden="1" customWidth="1"/>
    <col min="2263" max="2498" width="10.33203125" style="13"/>
    <col min="2499" max="2499" width="7" style="13" customWidth="1"/>
    <col min="2500" max="2500" width="13" style="13" customWidth="1"/>
    <col min="2501" max="2501" width="14.109375" style="13" customWidth="1"/>
    <col min="2502" max="2502" width="17.33203125" style="13" customWidth="1"/>
    <col min="2503" max="2503" width="18.88671875" style="13" customWidth="1"/>
    <col min="2504" max="2504" width="14.109375" style="13" customWidth="1"/>
    <col min="2505" max="2505" width="21.5546875" style="13" customWidth="1"/>
    <col min="2506" max="2507" width="14.109375" style="13" customWidth="1"/>
    <col min="2508" max="2508" width="15" style="13" customWidth="1"/>
    <col min="2509" max="2509" width="13.33203125" style="13" customWidth="1"/>
    <col min="2510" max="2510" width="17" style="13" customWidth="1"/>
    <col min="2511" max="2511" width="24.88671875" style="13" customWidth="1"/>
    <col min="2512" max="2512" width="14.44140625" style="13" customWidth="1"/>
    <col min="2513" max="2513" width="23.109375" style="13" customWidth="1"/>
    <col min="2514" max="2514" width="13.109375" style="13" customWidth="1"/>
    <col min="2515" max="2518" width="0" style="13" hidden="1" customWidth="1"/>
    <col min="2519" max="2754" width="10.33203125" style="13"/>
    <col min="2755" max="2755" width="7" style="13" customWidth="1"/>
    <col min="2756" max="2756" width="13" style="13" customWidth="1"/>
    <col min="2757" max="2757" width="14.109375" style="13" customWidth="1"/>
    <col min="2758" max="2758" width="17.33203125" style="13" customWidth="1"/>
    <col min="2759" max="2759" width="18.88671875" style="13" customWidth="1"/>
    <col min="2760" max="2760" width="14.109375" style="13" customWidth="1"/>
    <col min="2761" max="2761" width="21.5546875" style="13" customWidth="1"/>
    <col min="2762" max="2763" width="14.109375" style="13" customWidth="1"/>
    <col min="2764" max="2764" width="15" style="13" customWidth="1"/>
    <col min="2765" max="2765" width="13.33203125" style="13" customWidth="1"/>
    <col min="2766" max="2766" width="17" style="13" customWidth="1"/>
    <col min="2767" max="2767" width="24.88671875" style="13" customWidth="1"/>
    <col min="2768" max="2768" width="14.44140625" style="13" customWidth="1"/>
    <col min="2769" max="2769" width="23.109375" style="13" customWidth="1"/>
    <col min="2770" max="2770" width="13.109375" style="13" customWidth="1"/>
    <col min="2771" max="2774" width="0" style="13" hidden="1" customWidth="1"/>
    <col min="2775" max="3010" width="10.33203125" style="13"/>
    <col min="3011" max="3011" width="7" style="13" customWidth="1"/>
    <col min="3012" max="3012" width="13" style="13" customWidth="1"/>
    <col min="3013" max="3013" width="14.109375" style="13" customWidth="1"/>
    <col min="3014" max="3014" width="17.33203125" style="13" customWidth="1"/>
    <col min="3015" max="3015" width="18.88671875" style="13" customWidth="1"/>
    <col min="3016" max="3016" width="14.109375" style="13" customWidth="1"/>
    <col min="3017" max="3017" width="21.5546875" style="13" customWidth="1"/>
    <col min="3018" max="3019" width="14.109375" style="13" customWidth="1"/>
    <col min="3020" max="3020" width="15" style="13" customWidth="1"/>
    <col min="3021" max="3021" width="13.33203125" style="13" customWidth="1"/>
    <col min="3022" max="3022" width="17" style="13" customWidth="1"/>
    <col min="3023" max="3023" width="24.88671875" style="13" customWidth="1"/>
    <col min="3024" max="3024" width="14.44140625" style="13" customWidth="1"/>
    <col min="3025" max="3025" width="23.109375" style="13" customWidth="1"/>
    <col min="3026" max="3026" width="13.109375" style="13" customWidth="1"/>
    <col min="3027" max="3030" width="0" style="13" hidden="1" customWidth="1"/>
    <col min="3031" max="3266" width="10.33203125" style="13"/>
    <col min="3267" max="3267" width="7" style="13" customWidth="1"/>
    <col min="3268" max="3268" width="13" style="13" customWidth="1"/>
    <col min="3269" max="3269" width="14.109375" style="13" customWidth="1"/>
    <col min="3270" max="3270" width="17.33203125" style="13" customWidth="1"/>
    <col min="3271" max="3271" width="18.88671875" style="13" customWidth="1"/>
    <col min="3272" max="3272" width="14.109375" style="13" customWidth="1"/>
    <col min="3273" max="3273" width="21.5546875" style="13" customWidth="1"/>
    <col min="3274" max="3275" width="14.109375" style="13" customWidth="1"/>
    <col min="3276" max="3276" width="15" style="13" customWidth="1"/>
    <col min="3277" max="3277" width="13.33203125" style="13" customWidth="1"/>
    <col min="3278" max="3278" width="17" style="13" customWidth="1"/>
    <col min="3279" max="3279" width="24.88671875" style="13" customWidth="1"/>
    <col min="3280" max="3280" width="14.44140625" style="13" customWidth="1"/>
    <col min="3281" max="3281" width="23.109375" style="13" customWidth="1"/>
    <col min="3282" max="3282" width="13.109375" style="13" customWidth="1"/>
    <col min="3283" max="3286" width="0" style="13" hidden="1" customWidth="1"/>
    <col min="3287" max="3522" width="10.33203125" style="13"/>
    <col min="3523" max="3523" width="7" style="13" customWidth="1"/>
    <col min="3524" max="3524" width="13" style="13" customWidth="1"/>
    <col min="3525" max="3525" width="14.109375" style="13" customWidth="1"/>
    <col min="3526" max="3526" width="17.33203125" style="13" customWidth="1"/>
    <col min="3527" max="3527" width="18.88671875" style="13" customWidth="1"/>
    <col min="3528" max="3528" width="14.109375" style="13" customWidth="1"/>
    <col min="3529" max="3529" width="21.5546875" style="13" customWidth="1"/>
    <col min="3530" max="3531" width="14.109375" style="13" customWidth="1"/>
    <col min="3532" max="3532" width="15" style="13" customWidth="1"/>
    <col min="3533" max="3533" width="13.33203125" style="13" customWidth="1"/>
    <col min="3534" max="3534" width="17" style="13" customWidth="1"/>
    <col min="3535" max="3535" width="24.88671875" style="13" customWidth="1"/>
    <col min="3536" max="3536" width="14.44140625" style="13" customWidth="1"/>
    <col min="3537" max="3537" width="23.109375" style="13" customWidth="1"/>
    <col min="3538" max="3538" width="13.109375" style="13" customWidth="1"/>
    <col min="3539" max="3542" width="0" style="13" hidden="1" customWidth="1"/>
    <col min="3543" max="3778" width="10.33203125" style="13"/>
    <col min="3779" max="3779" width="7" style="13" customWidth="1"/>
    <col min="3780" max="3780" width="13" style="13" customWidth="1"/>
    <col min="3781" max="3781" width="14.109375" style="13" customWidth="1"/>
    <col min="3782" max="3782" width="17.33203125" style="13" customWidth="1"/>
    <col min="3783" max="3783" width="18.88671875" style="13" customWidth="1"/>
    <col min="3784" max="3784" width="14.109375" style="13" customWidth="1"/>
    <col min="3785" max="3785" width="21.5546875" style="13" customWidth="1"/>
    <col min="3786" max="3787" width="14.109375" style="13" customWidth="1"/>
    <col min="3788" max="3788" width="15" style="13" customWidth="1"/>
    <col min="3789" max="3789" width="13.33203125" style="13" customWidth="1"/>
    <col min="3790" max="3790" width="17" style="13" customWidth="1"/>
    <col min="3791" max="3791" width="24.88671875" style="13" customWidth="1"/>
    <col min="3792" max="3792" width="14.44140625" style="13" customWidth="1"/>
    <col min="3793" max="3793" width="23.109375" style="13" customWidth="1"/>
    <col min="3794" max="3794" width="13.109375" style="13" customWidth="1"/>
    <col min="3795" max="3798" width="0" style="13" hidden="1" customWidth="1"/>
    <col min="3799" max="4034" width="10.33203125" style="13"/>
    <col min="4035" max="4035" width="7" style="13" customWidth="1"/>
    <col min="4036" max="4036" width="13" style="13" customWidth="1"/>
    <col min="4037" max="4037" width="14.109375" style="13" customWidth="1"/>
    <col min="4038" max="4038" width="17.33203125" style="13" customWidth="1"/>
    <col min="4039" max="4039" width="18.88671875" style="13" customWidth="1"/>
    <col min="4040" max="4040" width="14.109375" style="13" customWidth="1"/>
    <col min="4041" max="4041" width="21.5546875" style="13" customWidth="1"/>
    <col min="4042" max="4043" width="14.109375" style="13" customWidth="1"/>
    <col min="4044" max="4044" width="15" style="13" customWidth="1"/>
    <col min="4045" max="4045" width="13.33203125" style="13" customWidth="1"/>
    <col min="4046" max="4046" width="17" style="13" customWidth="1"/>
    <col min="4047" max="4047" width="24.88671875" style="13" customWidth="1"/>
    <col min="4048" max="4048" width="14.44140625" style="13" customWidth="1"/>
    <col min="4049" max="4049" width="23.109375" style="13" customWidth="1"/>
    <col min="4050" max="4050" width="13.109375" style="13" customWidth="1"/>
    <col min="4051" max="4054" width="0" style="13" hidden="1" customWidth="1"/>
    <col min="4055" max="4290" width="10.33203125" style="13"/>
    <col min="4291" max="4291" width="7" style="13" customWidth="1"/>
    <col min="4292" max="4292" width="13" style="13" customWidth="1"/>
    <col min="4293" max="4293" width="14.109375" style="13" customWidth="1"/>
    <col min="4294" max="4294" width="17.33203125" style="13" customWidth="1"/>
    <col min="4295" max="4295" width="18.88671875" style="13" customWidth="1"/>
    <col min="4296" max="4296" width="14.109375" style="13" customWidth="1"/>
    <col min="4297" max="4297" width="21.5546875" style="13" customWidth="1"/>
    <col min="4298" max="4299" width="14.109375" style="13" customWidth="1"/>
    <col min="4300" max="4300" width="15" style="13" customWidth="1"/>
    <col min="4301" max="4301" width="13.33203125" style="13" customWidth="1"/>
    <col min="4302" max="4302" width="17" style="13" customWidth="1"/>
    <col min="4303" max="4303" width="24.88671875" style="13" customWidth="1"/>
    <col min="4304" max="4304" width="14.44140625" style="13" customWidth="1"/>
    <col min="4305" max="4305" width="23.109375" style="13" customWidth="1"/>
    <col min="4306" max="4306" width="13.109375" style="13" customWidth="1"/>
    <col min="4307" max="4310" width="0" style="13" hidden="1" customWidth="1"/>
    <col min="4311" max="4546" width="10.33203125" style="13"/>
    <col min="4547" max="4547" width="7" style="13" customWidth="1"/>
    <col min="4548" max="4548" width="13" style="13" customWidth="1"/>
    <col min="4549" max="4549" width="14.109375" style="13" customWidth="1"/>
    <col min="4550" max="4550" width="17.33203125" style="13" customWidth="1"/>
    <col min="4551" max="4551" width="18.88671875" style="13" customWidth="1"/>
    <col min="4552" max="4552" width="14.109375" style="13" customWidth="1"/>
    <col min="4553" max="4553" width="21.5546875" style="13" customWidth="1"/>
    <col min="4554" max="4555" width="14.109375" style="13" customWidth="1"/>
    <col min="4556" max="4556" width="15" style="13" customWidth="1"/>
    <col min="4557" max="4557" width="13.33203125" style="13" customWidth="1"/>
    <col min="4558" max="4558" width="17" style="13" customWidth="1"/>
    <col min="4559" max="4559" width="24.88671875" style="13" customWidth="1"/>
    <col min="4560" max="4560" width="14.44140625" style="13" customWidth="1"/>
    <col min="4561" max="4561" width="23.109375" style="13" customWidth="1"/>
    <col min="4562" max="4562" width="13.109375" style="13" customWidth="1"/>
    <col min="4563" max="4566" width="0" style="13" hidden="1" customWidth="1"/>
    <col min="4567" max="4802" width="10.33203125" style="13"/>
    <col min="4803" max="4803" width="7" style="13" customWidth="1"/>
    <col min="4804" max="4804" width="13" style="13" customWidth="1"/>
    <col min="4805" max="4805" width="14.109375" style="13" customWidth="1"/>
    <col min="4806" max="4806" width="17.33203125" style="13" customWidth="1"/>
    <col min="4807" max="4807" width="18.88671875" style="13" customWidth="1"/>
    <col min="4808" max="4808" width="14.109375" style="13" customWidth="1"/>
    <col min="4809" max="4809" width="21.5546875" style="13" customWidth="1"/>
    <col min="4810" max="4811" width="14.109375" style="13" customWidth="1"/>
    <col min="4812" max="4812" width="15" style="13" customWidth="1"/>
    <col min="4813" max="4813" width="13.33203125" style="13" customWidth="1"/>
    <col min="4814" max="4814" width="17" style="13" customWidth="1"/>
    <col min="4815" max="4815" width="24.88671875" style="13" customWidth="1"/>
    <col min="4816" max="4816" width="14.44140625" style="13" customWidth="1"/>
    <col min="4817" max="4817" width="23.109375" style="13" customWidth="1"/>
    <col min="4818" max="4818" width="13.109375" style="13" customWidth="1"/>
    <col min="4819" max="4822" width="0" style="13" hidden="1" customWidth="1"/>
    <col min="4823" max="5058" width="10.33203125" style="13"/>
    <col min="5059" max="5059" width="7" style="13" customWidth="1"/>
    <col min="5060" max="5060" width="13" style="13" customWidth="1"/>
    <col min="5061" max="5061" width="14.109375" style="13" customWidth="1"/>
    <col min="5062" max="5062" width="17.33203125" style="13" customWidth="1"/>
    <col min="5063" max="5063" width="18.88671875" style="13" customWidth="1"/>
    <col min="5064" max="5064" width="14.109375" style="13" customWidth="1"/>
    <col min="5065" max="5065" width="21.5546875" style="13" customWidth="1"/>
    <col min="5066" max="5067" width="14.109375" style="13" customWidth="1"/>
    <col min="5068" max="5068" width="15" style="13" customWidth="1"/>
    <col min="5069" max="5069" width="13.33203125" style="13" customWidth="1"/>
    <col min="5070" max="5070" width="17" style="13" customWidth="1"/>
    <col min="5071" max="5071" width="24.88671875" style="13" customWidth="1"/>
    <col min="5072" max="5072" width="14.44140625" style="13" customWidth="1"/>
    <col min="5073" max="5073" width="23.109375" style="13" customWidth="1"/>
    <col min="5074" max="5074" width="13.109375" style="13" customWidth="1"/>
    <col min="5075" max="5078" width="0" style="13" hidden="1" customWidth="1"/>
    <col min="5079" max="5314" width="10.33203125" style="13"/>
    <col min="5315" max="5315" width="7" style="13" customWidth="1"/>
    <col min="5316" max="5316" width="13" style="13" customWidth="1"/>
    <col min="5317" max="5317" width="14.109375" style="13" customWidth="1"/>
    <col min="5318" max="5318" width="17.33203125" style="13" customWidth="1"/>
    <col min="5319" max="5319" width="18.88671875" style="13" customWidth="1"/>
    <col min="5320" max="5320" width="14.109375" style="13" customWidth="1"/>
    <col min="5321" max="5321" width="21.5546875" style="13" customWidth="1"/>
    <col min="5322" max="5323" width="14.109375" style="13" customWidth="1"/>
    <col min="5324" max="5324" width="15" style="13" customWidth="1"/>
    <col min="5325" max="5325" width="13.33203125" style="13" customWidth="1"/>
    <col min="5326" max="5326" width="17" style="13" customWidth="1"/>
    <col min="5327" max="5327" width="24.88671875" style="13" customWidth="1"/>
    <col min="5328" max="5328" width="14.44140625" style="13" customWidth="1"/>
    <col min="5329" max="5329" width="23.109375" style="13" customWidth="1"/>
    <col min="5330" max="5330" width="13.109375" style="13" customWidth="1"/>
    <col min="5331" max="5334" width="0" style="13" hidden="1" customWidth="1"/>
    <col min="5335" max="5570" width="10.33203125" style="13"/>
    <col min="5571" max="5571" width="7" style="13" customWidth="1"/>
    <col min="5572" max="5572" width="13" style="13" customWidth="1"/>
    <col min="5573" max="5573" width="14.109375" style="13" customWidth="1"/>
    <col min="5574" max="5574" width="17.33203125" style="13" customWidth="1"/>
    <col min="5575" max="5575" width="18.88671875" style="13" customWidth="1"/>
    <col min="5576" max="5576" width="14.109375" style="13" customWidth="1"/>
    <col min="5577" max="5577" width="21.5546875" style="13" customWidth="1"/>
    <col min="5578" max="5579" width="14.109375" style="13" customWidth="1"/>
    <col min="5580" max="5580" width="15" style="13" customWidth="1"/>
    <col min="5581" max="5581" width="13.33203125" style="13" customWidth="1"/>
    <col min="5582" max="5582" width="17" style="13" customWidth="1"/>
    <col min="5583" max="5583" width="24.88671875" style="13" customWidth="1"/>
    <col min="5584" max="5584" width="14.44140625" style="13" customWidth="1"/>
    <col min="5585" max="5585" width="23.109375" style="13" customWidth="1"/>
    <col min="5586" max="5586" width="13.109375" style="13" customWidth="1"/>
    <col min="5587" max="5590" width="0" style="13" hidden="1" customWidth="1"/>
    <col min="5591" max="5826" width="10.33203125" style="13"/>
    <col min="5827" max="5827" width="7" style="13" customWidth="1"/>
    <col min="5828" max="5828" width="13" style="13" customWidth="1"/>
    <col min="5829" max="5829" width="14.109375" style="13" customWidth="1"/>
    <col min="5830" max="5830" width="17.33203125" style="13" customWidth="1"/>
    <col min="5831" max="5831" width="18.88671875" style="13" customWidth="1"/>
    <col min="5832" max="5832" width="14.109375" style="13" customWidth="1"/>
    <col min="5833" max="5833" width="21.5546875" style="13" customWidth="1"/>
    <col min="5834" max="5835" width="14.109375" style="13" customWidth="1"/>
    <col min="5836" max="5836" width="15" style="13" customWidth="1"/>
    <col min="5837" max="5837" width="13.33203125" style="13" customWidth="1"/>
    <col min="5838" max="5838" width="17" style="13" customWidth="1"/>
    <col min="5839" max="5839" width="24.88671875" style="13" customWidth="1"/>
    <col min="5840" max="5840" width="14.44140625" style="13" customWidth="1"/>
    <col min="5841" max="5841" width="23.109375" style="13" customWidth="1"/>
    <col min="5842" max="5842" width="13.109375" style="13" customWidth="1"/>
    <col min="5843" max="5846" width="0" style="13" hidden="1" customWidth="1"/>
    <col min="5847" max="6082" width="10.33203125" style="13"/>
    <col min="6083" max="6083" width="7" style="13" customWidth="1"/>
    <col min="6084" max="6084" width="13" style="13" customWidth="1"/>
    <col min="6085" max="6085" width="14.109375" style="13" customWidth="1"/>
    <col min="6086" max="6086" width="17.33203125" style="13" customWidth="1"/>
    <col min="6087" max="6087" width="18.88671875" style="13" customWidth="1"/>
    <col min="6088" max="6088" width="14.109375" style="13" customWidth="1"/>
    <col min="6089" max="6089" width="21.5546875" style="13" customWidth="1"/>
    <col min="6090" max="6091" width="14.109375" style="13" customWidth="1"/>
    <col min="6092" max="6092" width="15" style="13" customWidth="1"/>
    <col min="6093" max="6093" width="13.33203125" style="13" customWidth="1"/>
    <col min="6094" max="6094" width="17" style="13" customWidth="1"/>
    <col min="6095" max="6095" width="24.88671875" style="13" customWidth="1"/>
    <col min="6096" max="6096" width="14.44140625" style="13" customWidth="1"/>
    <col min="6097" max="6097" width="23.109375" style="13" customWidth="1"/>
    <col min="6098" max="6098" width="13.109375" style="13" customWidth="1"/>
    <col min="6099" max="6102" width="0" style="13" hidden="1" customWidth="1"/>
    <col min="6103" max="6338" width="10.33203125" style="13"/>
    <col min="6339" max="6339" width="7" style="13" customWidth="1"/>
    <col min="6340" max="6340" width="13" style="13" customWidth="1"/>
    <col min="6341" max="6341" width="14.109375" style="13" customWidth="1"/>
    <col min="6342" max="6342" width="17.33203125" style="13" customWidth="1"/>
    <col min="6343" max="6343" width="18.88671875" style="13" customWidth="1"/>
    <col min="6344" max="6344" width="14.109375" style="13" customWidth="1"/>
    <col min="6345" max="6345" width="21.5546875" style="13" customWidth="1"/>
    <col min="6346" max="6347" width="14.109375" style="13" customWidth="1"/>
    <col min="6348" max="6348" width="15" style="13" customWidth="1"/>
    <col min="6349" max="6349" width="13.33203125" style="13" customWidth="1"/>
    <col min="6350" max="6350" width="17" style="13" customWidth="1"/>
    <col min="6351" max="6351" width="24.88671875" style="13" customWidth="1"/>
    <col min="6352" max="6352" width="14.44140625" style="13" customWidth="1"/>
    <col min="6353" max="6353" width="23.109375" style="13" customWidth="1"/>
    <col min="6354" max="6354" width="13.109375" style="13" customWidth="1"/>
    <col min="6355" max="6358" width="0" style="13" hidden="1" customWidth="1"/>
    <col min="6359" max="6594" width="10.33203125" style="13"/>
    <col min="6595" max="6595" width="7" style="13" customWidth="1"/>
    <col min="6596" max="6596" width="13" style="13" customWidth="1"/>
    <col min="6597" max="6597" width="14.109375" style="13" customWidth="1"/>
    <col min="6598" max="6598" width="17.33203125" style="13" customWidth="1"/>
    <col min="6599" max="6599" width="18.88671875" style="13" customWidth="1"/>
    <col min="6600" max="6600" width="14.109375" style="13" customWidth="1"/>
    <col min="6601" max="6601" width="21.5546875" style="13" customWidth="1"/>
    <col min="6602" max="6603" width="14.109375" style="13" customWidth="1"/>
    <col min="6604" max="6604" width="15" style="13" customWidth="1"/>
    <col min="6605" max="6605" width="13.33203125" style="13" customWidth="1"/>
    <col min="6606" max="6606" width="17" style="13" customWidth="1"/>
    <col min="6607" max="6607" width="24.88671875" style="13" customWidth="1"/>
    <col min="6608" max="6608" width="14.44140625" style="13" customWidth="1"/>
    <col min="6609" max="6609" width="23.109375" style="13" customWidth="1"/>
    <col min="6610" max="6610" width="13.109375" style="13" customWidth="1"/>
    <col min="6611" max="6614" width="0" style="13" hidden="1" customWidth="1"/>
    <col min="6615" max="6850" width="10.33203125" style="13"/>
    <col min="6851" max="6851" width="7" style="13" customWidth="1"/>
    <col min="6852" max="6852" width="13" style="13" customWidth="1"/>
    <col min="6853" max="6853" width="14.109375" style="13" customWidth="1"/>
    <col min="6854" max="6854" width="17.33203125" style="13" customWidth="1"/>
    <col min="6855" max="6855" width="18.88671875" style="13" customWidth="1"/>
    <col min="6856" max="6856" width="14.109375" style="13" customWidth="1"/>
    <col min="6857" max="6857" width="21.5546875" style="13" customWidth="1"/>
    <col min="6858" max="6859" width="14.109375" style="13" customWidth="1"/>
    <col min="6860" max="6860" width="15" style="13" customWidth="1"/>
    <col min="6861" max="6861" width="13.33203125" style="13" customWidth="1"/>
    <col min="6862" max="6862" width="17" style="13" customWidth="1"/>
    <col min="6863" max="6863" width="24.88671875" style="13" customWidth="1"/>
    <col min="6864" max="6864" width="14.44140625" style="13" customWidth="1"/>
    <col min="6865" max="6865" width="23.109375" style="13" customWidth="1"/>
    <col min="6866" max="6866" width="13.109375" style="13" customWidth="1"/>
    <col min="6867" max="6870" width="0" style="13" hidden="1" customWidth="1"/>
    <col min="6871" max="7106" width="10.33203125" style="13"/>
    <col min="7107" max="7107" width="7" style="13" customWidth="1"/>
    <col min="7108" max="7108" width="13" style="13" customWidth="1"/>
    <col min="7109" max="7109" width="14.109375" style="13" customWidth="1"/>
    <col min="7110" max="7110" width="17.33203125" style="13" customWidth="1"/>
    <col min="7111" max="7111" width="18.88671875" style="13" customWidth="1"/>
    <col min="7112" max="7112" width="14.109375" style="13" customWidth="1"/>
    <col min="7113" max="7113" width="21.5546875" style="13" customWidth="1"/>
    <col min="7114" max="7115" width="14.109375" style="13" customWidth="1"/>
    <col min="7116" max="7116" width="15" style="13" customWidth="1"/>
    <col min="7117" max="7117" width="13.33203125" style="13" customWidth="1"/>
    <col min="7118" max="7118" width="17" style="13" customWidth="1"/>
    <col min="7119" max="7119" width="24.88671875" style="13" customWidth="1"/>
    <col min="7120" max="7120" width="14.44140625" style="13" customWidth="1"/>
    <col min="7121" max="7121" width="23.109375" style="13" customWidth="1"/>
    <col min="7122" max="7122" width="13.109375" style="13" customWidth="1"/>
    <col min="7123" max="7126" width="0" style="13" hidden="1" customWidth="1"/>
    <col min="7127" max="7362" width="10.33203125" style="13"/>
    <col min="7363" max="7363" width="7" style="13" customWidth="1"/>
    <col min="7364" max="7364" width="13" style="13" customWidth="1"/>
    <col min="7365" max="7365" width="14.109375" style="13" customWidth="1"/>
    <col min="7366" max="7366" width="17.33203125" style="13" customWidth="1"/>
    <col min="7367" max="7367" width="18.88671875" style="13" customWidth="1"/>
    <col min="7368" max="7368" width="14.109375" style="13" customWidth="1"/>
    <col min="7369" max="7369" width="21.5546875" style="13" customWidth="1"/>
    <col min="7370" max="7371" width="14.109375" style="13" customWidth="1"/>
    <col min="7372" max="7372" width="15" style="13" customWidth="1"/>
    <col min="7373" max="7373" width="13.33203125" style="13" customWidth="1"/>
    <col min="7374" max="7374" width="17" style="13" customWidth="1"/>
    <col min="7375" max="7375" width="24.88671875" style="13" customWidth="1"/>
    <col min="7376" max="7376" width="14.44140625" style="13" customWidth="1"/>
    <col min="7377" max="7377" width="23.109375" style="13" customWidth="1"/>
    <col min="7378" max="7378" width="13.109375" style="13" customWidth="1"/>
    <col min="7379" max="7382" width="0" style="13" hidden="1" customWidth="1"/>
    <col min="7383" max="7618" width="10.33203125" style="13"/>
    <col min="7619" max="7619" width="7" style="13" customWidth="1"/>
    <col min="7620" max="7620" width="13" style="13" customWidth="1"/>
    <col min="7621" max="7621" width="14.109375" style="13" customWidth="1"/>
    <col min="7622" max="7622" width="17.33203125" style="13" customWidth="1"/>
    <col min="7623" max="7623" width="18.88671875" style="13" customWidth="1"/>
    <col min="7624" max="7624" width="14.109375" style="13" customWidth="1"/>
    <col min="7625" max="7625" width="21.5546875" style="13" customWidth="1"/>
    <col min="7626" max="7627" width="14.109375" style="13" customWidth="1"/>
    <col min="7628" max="7628" width="15" style="13" customWidth="1"/>
    <col min="7629" max="7629" width="13.33203125" style="13" customWidth="1"/>
    <col min="7630" max="7630" width="17" style="13" customWidth="1"/>
    <col min="7631" max="7631" width="24.88671875" style="13" customWidth="1"/>
    <col min="7632" max="7632" width="14.44140625" style="13" customWidth="1"/>
    <col min="7633" max="7633" width="23.109375" style="13" customWidth="1"/>
    <col min="7634" max="7634" width="13.109375" style="13" customWidth="1"/>
    <col min="7635" max="7638" width="0" style="13" hidden="1" customWidth="1"/>
    <col min="7639" max="7874" width="10.33203125" style="13"/>
    <col min="7875" max="7875" width="7" style="13" customWidth="1"/>
    <col min="7876" max="7876" width="13" style="13" customWidth="1"/>
    <col min="7877" max="7877" width="14.109375" style="13" customWidth="1"/>
    <col min="7878" max="7878" width="17.33203125" style="13" customWidth="1"/>
    <col min="7879" max="7879" width="18.88671875" style="13" customWidth="1"/>
    <col min="7880" max="7880" width="14.109375" style="13" customWidth="1"/>
    <col min="7881" max="7881" width="21.5546875" style="13" customWidth="1"/>
    <col min="7882" max="7883" width="14.109375" style="13" customWidth="1"/>
    <col min="7884" max="7884" width="15" style="13" customWidth="1"/>
    <col min="7885" max="7885" width="13.33203125" style="13" customWidth="1"/>
    <col min="7886" max="7886" width="17" style="13" customWidth="1"/>
    <col min="7887" max="7887" width="24.88671875" style="13" customWidth="1"/>
    <col min="7888" max="7888" width="14.44140625" style="13" customWidth="1"/>
    <col min="7889" max="7889" width="23.109375" style="13" customWidth="1"/>
    <col min="7890" max="7890" width="13.109375" style="13" customWidth="1"/>
    <col min="7891" max="7894" width="0" style="13" hidden="1" customWidth="1"/>
    <col min="7895" max="8130" width="10.33203125" style="13"/>
    <col min="8131" max="8131" width="7" style="13" customWidth="1"/>
    <col min="8132" max="8132" width="13" style="13" customWidth="1"/>
    <col min="8133" max="8133" width="14.109375" style="13" customWidth="1"/>
    <col min="8134" max="8134" width="17.33203125" style="13" customWidth="1"/>
    <col min="8135" max="8135" width="18.88671875" style="13" customWidth="1"/>
    <col min="8136" max="8136" width="14.109375" style="13" customWidth="1"/>
    <col min="8137" max="8137" width="21.5546875" style="13" customWidth="1"/>
    <col min="8138" max="8139" width="14.109375" style="13" customWidth="1"/>
    <col min="8140" max="8140" width="15" style="13" customWidth="1"/>
    <col min="8141" max="8141" width="13.33203125" style="13" customWidth="1"/>
    <col min="8142" max="8142" width="17" style="13" customWidth="1"/>
    <col min="8143" max="8143" width="24.88671875" style="13" customWidth="1"/>
    <col min="8144" max="8144" width="14.44140625" style="13" customWidth="1"/>
    <col min="8145" max="8145" width="23.109375" style="13" customWidth="1"/>
    <col min="8146" max="8146" width="13.109375" style="13" customWidth="1"/>
    <col min="8147" max="8150" width="0" style="13" hidden="1" customWidth="1"/>
    <col min="8151" max="8386" width="10.33203125" style="13"/>
    <col min="8387" max="8387" width="7" style="13" customWidth="1"/>
    <col min="8388" max="8388" width="13" style="13" customWidth="1"/>
    <col min="8389" max="8389" width="14.109375" style="13" customWidth="1"/>
    <col min="8390" max="8390" width="17.33203125" style="13" customWidth="1"/>
    <col min="8391" max="8391" width="18.88671875" style="13" customWidth="1"/>
    <col min="8392" max="8392" width="14.109375" style="13" customWidth="1"/>
    <col min="8393" max="8393" width="21.5546875" style="13" customWidth="1"/>
    <col min="8394" max="8395" width="14.109375" style="13" customWidth="1"/>
    <col min="8396" max="8396" width="15" style="13" customWidth="1"/>
    <col min="8397" max="8397" width="13.33203125" style="13" customWidth="1"/>
    <col min="8398" max="8398" width="17" style="13" customWidth="1"/>
    <col min="8399" max="8399" width="24.88671875" style="13" customWidth="1"/>
    <col min="8400" max="8400" width="14.44140625" style="13" customWidth="1"/>
    <col min="8401" max="8401" width="23.109375" style="13" customWidth="1"/>
    <col min="8402" max="8402" width="13.109375" style="13" customWidth="1"/>
    <col min="8403" max="8406" width="0" style="13" hidden="1" customWidth="1"/>
    <col min="8407" max="8642" width="10.33203125" style="13"/>
    <col min="8643" max="8643" width="7" style="13" customWidth="1"/>
    <col min="8644" max="8644" width="13" style="13" customWidth="1"/>
    <col min="8645" max="8645" width="14.109375" style="13" customWidth="1"/>
    <col min="8646" max="8646" width="17.33203125" style="13" customWidth="1"/>
    <col min="8647" max="8647" width="18.88671875" style="13" customWidth="1"/>
    <col min="8648" max="8648" width="14.109375" style="13" customWidth="1"/>
    <col min="8649" max="8649" width="21.5546875" style="13" customWidth="1"/>
    <col min="8650" max="8651" width="14.109375" style="13" customWidth="1"/>
    <col min="8652" max="8652" width="15" style="13" customWidth="1"/>
    <col min="8653" max="8653" width="13.33203125" style="13" customWidth="1"/>
    <col min="8654" max="8654" width="17" style="13" customWidth="1"/>
    <col min="8655" max="8655" width="24.88671875" style="13" customWidth="1"/>
    <col min="8656" max="8656" width="14.44140625" style="13" customWidth="1"/>
    <col min="8657" max="8657" width="23.109375" style="13" customWidth="1"/>
    <col min="8658" max="8658" width="13.109375" style="13" customWidth="1"/>
    <col min="8659" max="8662" width="0" style="13" hidden="1" customWidth="1"/>
    <col min="8663" max="8898" width="10.33203125" style="13"/>
    <col min="8899" max="8899" width="7" style="13" customWidth="1"/>
    <col min="8900" max="8900" width="13" style="13" customWidth="1"/>
    <col min="8901" max="8901" width="14.109375" style="13" customWidth="1"/>
    <col min="8902" max="8902" width="17.33203125" style="13" customWidth="1"/>
    <col min="8903" max="8903" width="18.88671875" style="13" customWidth="1"/>
    <col min="8904" max="8904" width="14.109375" style="13" customWidth="1"/>
    <col min="8905" max="8905" width="21.5546875" style="13" customWidth="1"/>
    <col min="8906" max="8907" width="14.109375" style="13" customWidth="1"/>
    <col min="8908" max="8908" width="15" style="13" customWidth="1"/>
    <col min="8909" max="8909" width="13.33203125" style="13" customWidth="1"/>
    <col min="8910" max="8910" width="17" style="13" customWidth="1"/>
    <col min="8911" max="8911" width="24.88671875" style="13" customWidth="1"/>
    <col min="8912" max="8912" width="14.44140625" style="13" customWidth="1"/>
    <col min="8913" max="8913" width="23.109375" style="13" customWidth="1"/>
    <col min="8914" max="8914" width="13.109375" style="13" customWidth="1"/>
    <col min="8915" max="8918" width="0" style="13" hidden="1" customWidth="1"/>
    <col min="8919" max="9154" width="10.33203125" style="13"/>
    <col min="9155" max="9155" width="7" style="13" customWidth="1"/>
    <col min="9156" max="9156" width="13" style="13" customWidth="1"/>
    <col min="9157" max="9157" width="14.109375" style="13" customWidth="1"/>
    <col min="9158" max="9158" width="17.33203125" style="13" customWidth="1"/>
    <col min="9159" max="9159" width="18.88671875" style="13" customWidth="1"/>
    <col min="9160" max="9160" width="14.109375" style="13" customWidth="1"/>
    <col min="9161" max="9161" width="21.5546875" style="13" customWidth="1"/>
    <col min="9162" max="9163" width="14.109375" style="13" customWidth="1"/>
    <col min="9164" max="9164" width="15" style="13" customWidth="1"/>
    <col min="9165" max="9165" width="13.33203125" style="13" customWidth="1"/>
    <col min="9166" max="9166" width="17" style="13" customWidth="1"/>
    <col min="9167" max="9167" width="24.88671875" style="13" customWidth="1"/>
    <col min="9168" max="9168" width="14.44140625" style="13" customWidth="1"/>
    <col min="9169" max="9169" width="23.109375" style="13" customWidth="1"/>
    <col min="9170" max="9170" width="13.109375" style="13" customWidth="1"/>
    <col min="9171" max="9174" width="0" style="13" hidden="1" customWidth="1"/>
    <col min="9175" max="9410" width="10.33203125" style="13"/>
    <col min="9411" max="9411" width="7" style="13" customWidth="1"/>
    <col min="9412" max="9412" width="13" style="13" customWidth="1"/>
    <col min="9413" max="9413" width="14.109375" style="13" customWidth="1"/>
    <col min="9414" max="9414" width="17.33203125" style="13" customWidth="1"/>
    <col min="9415" max="9415" width="18.88671875" style="13" customWidth="1"/>
    <col min="9416" max="9416" width="14.109375" style="13" customWidth="1"/>
    <col min="9417" max="9417" width="21.5546875" style="13" customWidth="1"/>
    <col min="9418" max="9419" width="14.109375" style="13" customWidth="1"/>
    <col min="9420" max="9420" width="15" style="13" customWidth="1"/>
    <col min="9421" max="9421" width="13.33203125" style="13" customWidth="1"/>
    <col min="9422" max="9422" width="17" style="13" customWidth="1"/>
    <col min="9423" max="9423" width="24.88671875" style="13" customWidth="1"/>
    <col min="9424" max="9424" width="14.44140625" style="13" customWidth="1"/>
    <col min="9425" max="9425" width="23.109375" style="13" customWidth="1"/>
    <col min="9426" max="9426" width="13.109375" style="13" customWidth="1"/>
    <col min="9427" max="9430" width="0" style="13" hidden="1" customWidth="1"/>
    <col min="9431" max="9666" width="10.33203125" style="13"/>
    <col min="9667" max="9667" width="7" style="13" customWidth="1"/>
    <col min="9668" max="9668" width="13" style="13" customWidth="1"/>
    <col min="9669" max="9669" width="14.109375" style="13" customWidth="1"/>
    <col min="9670" max="9670" width="17.33203125" style="13" customWidth="1"/>
    <col min="9671" max="9671" width="18.88671875" style="13" customWidth="1"/>
    <col min="9672" max="9672" width="14.109375" style="13" customWidth="1"/>
    <col min="9673" max="9673" width="21.5546875" style="13" customWidth="1"/>
    <col min="9674" max="9675" width="14.109375" style="13" customWidth="1"/>
    <col min="9676" max="9676" width="15" style="13" customWidth="1"/>
    <col min="9677" max="9677" width="13.33203125" style="13" customWidth="1"/>
    <col min="9678" max="9678" width="17" style="13" customWidth="1"/>
    <col min="9679" max="9679" width="24.88671875" style="13" customWidth="1"/>
    <col min="9680" max="9680" width="14.44140625" style="13" customWidth="1"/>
    <col min="9681" max="9681" width="23.109375" style="13" customWidth="1"/>
    <col min="9682" max="9682" width="13.109375" style="13" customWidth="1"/>
    <col min="9683" max="9686" width="0" style="13" hidden="1" customWidth="1"/>
    <col min="9687" max="9922" width="10.33203125" style="13"/>
    <col min="9923" max="9923" width="7" style="13" customWidth="1"/>
    <col min="9924" max="9924" width="13" style="13" customWidth="1"/>
    <col min="9925" max="9925" width="14.109375" style="13" customWidth="1"/>
    <col min="9926" max="9926" width="17.33203125" style="13" customWidth="1"/>
    <col min="9927" max="9927" width="18.88671875" style="13" customWidth="1"/>
    <col min="9928" max="9928" width="14.109375" style="13" customWidth="1"/>
    <col min="9929" max="9929" width="21.5546875" style="13" customWidth="1"/>
    <col min="9930" max="9931" width="14.109375" style="13" customWidth="1"/>
    <col min="9932" max="9932" width="15" style="13" customWidth="1"/>
    <col min="9933" max="9933" width="13.33203125" style="13" customWidth="1"/>
    <col min="9934" max="9934" width="17" style="13" customWidth="1"/>
    <col min="9935" max="9935" width="24.88671875" style="13" customWidth="1"/>
    <col min="9936" max="9936" width="14.44140625" style="13" customWidth="1"/>
    <col min="9937" max="9937" width="23.109375" style="13" customWidth="1"/>
    <col min="9938" max="9938" width="13.109375" style="13" customWidth="1"/>
    <col min="9939" max="9942" width="0" style="13" hidden="1" customWidth="1"/>
    <col min="9943" max="10178" width="10.33203125" style="13"/>
    <col min="10179" max="10179" width="7" style="13" customWidth="1"/>
    <col min="10180" max="10180" width="13" style="13" customWidth="1"/>
    <col min="10181" max="10181" width="14.109375" style="13" customWidth="1"/>
    <col min="10182" max="10182" width="17.33203125" style="13" customWidth="1"/>
    <col min="10183" max="10183" width="18.88671875" style="13" customWidth="1"/>
    <col min="10184" max="10184" width="14.109375" style="13" customWidth="1"/>
    <col min="10185" max="10185" width="21.5546875" style="13" customWidth="1"/>
    <col min="10186" max="10187" width="14.109375" style="13" customWidth="1"/>
    <col min="10188" max="10188" width="15" style="13" customWidth="1"/>
    <col min="10189" max="10189" width="13.33203125" style="13" customWidth="1"/>
    <col min="10190" max="10190" width="17" style="13" customWidth="1"/>
    <col min="10191" max="10191" width="24.88671875" style="13" customWidth="1"/>
    <col min="10192" max="10192" width="14.44140625" style="13" customWidth="1"/>
    <col min="10193" max="10193" width="23.109375" style="13" customWidth="1"/>
    <col min="10194" max="10194" width="13.109375" style="13" customWidth="1"/>
    <col min="10195" max="10198" width="0" style="13" hidden="1" customWidth="1"/>
    <col min="10199" max="10434" width="10.33203125" style="13"/>
    <col min="10435" max="10435" width="7" style="13" customWidth="1"/>
    <col min="10436" max="10436" width="13" style="13" customWidth="1"/>
    <col min="10437" max="10437" width="14.109375" style="13" customWidth="1"/>
    <col min="10438" max="10438" width="17.33203125" style="13" customWidth="1"/>
    <col min="10439" max="10439" width="18.88671875" style="13" customWidth="1"/>
    <col min="10440" max="10440" width="14.109375" style="13" customWidth="1"/>
    <col min="10441" max="10441" width="21.5546875" style="13" customWidth="1"/>
    <col min="10442" max="10443" width="14.109375" style="13" customWidth="1"/>
    <col min="10444" max="10444" width="15" style="13" customWidth="1"/>
    <col min="10445" max="10445" width="13.33203125" style="13" customWidth="1"/>
    <col min="10446" max="10446" width="17" style="13" customWidth="1"/>
    <col min="10447" max="10447" width="24.88671875" style="13" customWidth="1"/>
    <col min="10448" max="10448" width="14.44140625" style="13" customWidth="1"/>
    <col min="10449" max="10449" width="23.109375" style="13" customWidth="1"/>
    <col min="10450" max="10450" width="13.109375" style="13" customWidth="1"/>
    <col min="10451" max="10454" width="0" style="13" hidden="1" customWidth="1"/>
    <col min="10455" max="10690" width="10.33203125" style="13"/>
    <col min="10691" max="10691" width="7" style="13" customWidth="1"/>
    <col min="10692" max="10692" width="13" style="13" customWidth="1"/>
    <col min="10693" max="10693" width="14.109375" style="13" customWidth="1"/>
    <col min="10694" max="10694" width="17.33203125" style="13" customWidth="1"/>
    <col min="10695" max="10695" width="18.88671875" style="13" customWidth="1"/>
    <col min="10696" max="10696" width="14.109375" style="13" customWidth="1"/>
    <col min="10697" max="10697" width="21.5546875" style="13" customWidth="1"/>
    <col min="10698" max="10699" width="14.109375" style="13" customWidth="1"/>
    <col min="10700" max="10700" width="15" style="13" customWidth="1"/>
    <col min="10701" max="10701" width="13.33203125" style="13" customWidth="1"/>
    <col min="10702" max="10702" width="17" style="13" customWidth="1"/>
    <col min="10703" max="10703" width="24.88671875" style="13" customWidth="1"/>
    <col min="10704" max="10704" width="14.44140625" style="13" customWidth="1"/>
    <col min="10705" max="10705" width="23.109375" style="13" customWidth="1"/>
    <col min="10706" max="10706" width="13.109375" style="13" customWidth="1"/>
    <col min="10707" max="10710" width="0" style="13" hidden="1" customWidth="1"/>
    <col min="10711" max="10946" width="10.33203125" style="13"/>
    <col min="10947" max="10947" width="7" style="13" customWidth="1"/>
    <col min="10948" max="10948" width="13" style="13" customWidth="1"/>
    <col min="10949" max="10949" width="14.109375" style="13" customWidth="1"/>
    <col min="10950" max="10950" width="17.33203125" style="13" customWidth="1"/>
    <col min="10951" max="10951" width="18.88671875" style="13" customWidth="1"/>
    <col min="10952" max="10952" width="14.109375" style="13" customWidth="1"/>
    <col min="10953" max="10953" width="21.5546875" style="13" customWidth="1"/>
    <col min="10954" max="10955" width="14.109375" style="13" customWidth="1"/>
    <col min="10956" max="10956" width="15" style="13" customWidth="1"/>
    <col min="10957" max="10957" width="13.33203125" style="13" customWidth="1"/>
    <col min="10958" max="10958" width="17" style="13" customWidth="1"/>
    <col min="10959" max="10959" width="24.88671875" style="13" customWidth="1"/>
    <col min="10960" max="10960" width="14.44140625" style="13" customWidth="1"/>
    <col min="10961" max="10961" width="23.109375" style="13" customWidth="1"/>
    <col min="10962" max="10962" width="13.109375" style="13" customWidth="1"/>
    <col min="10963" max="10966" width="0" style="13" hidden="1" customWidth="1"/>
    <col min="10967" max="11202" width="10.33203125" style="13"/>
    <col min="11203" max="11203" width="7" style="13" customWidth="1"/>
    <col min="11204" max="11204" width="13" style="13" customWidth="1"/>
    <col min="11205" max="11205" width="14.109375" style="13" customWidth="1"/>
    <col min="11206" max="11206" width="17.33203125" style="13" customWidth="1"/>
    <col min="11207" max="11207" width="18.88671875" style="13" customWidth="1"/>
    <col min="11208" max="11208" width="14.109375" style="13" customWidth="1"/>
    <col min="11209" max="11209" width="21.5546875" style="13" customWidth="1"/>
    <col min="11210" max="11211" width="14.109375" style="13" customWidth="1"/>
    <col min="11212" max="11212" width="15" style="13" customWidth="1"/>
    <col min="11213" max="11213" width="13.33203125" style="13" customWidth="1"/>
    <col min="11214" max="11214" width="17" style="13" customWidth="1"/>
    <col min="11215" max="11215" width="24.88671875" style="13" customWidth="1"/>
    <col min="11216" max="11216" width="14.44140625" style="13" customWidth="1"/>
    <col min="11217" max="11217" width="23.109375" style="13" customWidth="1"/>
    <col min="11218" max="11218" width="13.109375" style="13" customWidth="1"/>
    <col min="11219" max="11222" width="0" style="13" hidden="1" customWidth="1"/>
    <col min="11223" max="11458" width="10.33203125" style="13"/>
    <col min="11459" max="11459" width="7" style="13" customWidth="1"/>
    <col min="11460" max="11460" width="13" style="13" customWidth="1"/>
    <col min="11461" max="11461" width="14.109375" style="13" customWidth="1"/>
    <col min="11462" max="11462" width="17.33203125" style="13" customWidth="1"/>
    <col min="11463" max="11463" width="18.88671875" style="13" customWidth="1"/>
    <col min="11464" max="11464" width="14.109375" style="13" customWidth="1"/>
    <col min="11465" max="11465" width="21.5546875" style="13" customWidth="1"/>
    <col min="11466" max="11467" width="14.109375" style="13" customWidth="1"/>
    <col min="11468" max="11468" width="15" style="13" customWidth="1"/>
    <col min="11469" max="11469" width="13.33203125" style="13" customWidth="1"/>
    <col min="11470" max="11470" width="17" style="13" customWidth="1"/>
    <col min="11471" max="11471" width="24.88671875" style="13" customWidth="1"/>
    <col min="11472" max="11472" width="14.44140625" style="13" customWidth="1"/>
    <col min="11473" max="11473" width="23.109375" style="13" customWidth="1"/>
    <col min="11474" max="11474" width="13.109375" style="13" customWidth="1"/>
    <col min="11475" max="11478" width="0" style="13" hidden="1" customWidth="1"/>
    <col min="11479" max="11714" width="10.33203125" style="13"/>
    <col min="11715" max="11715" width="7" style="13" customWidth="1"/>
    <col min="11716" max="11716" width="13" style="13" customWidth="1"/>
    <col min="11717" max="11717" width="14.109375" style="13" customWidth="1"/>
    <col min="11718" max="11718" width="17.33203125" style="13" customWidth="1"/>
    <col min="11719" max="11719" width="18.88671875" style="13" customWidth="1"/>
    <col min="11720" max="11720" width="14.109375" style="13" customWidth="1"/>
    <col min="11721" max="11721" width="21.5546875" style="13" customWidth="1"/>
    <col min="11722" max="11723" width="14.109375" style="13" customWidth="1"/>
    <col min="11724" max="11724" width="15" style="13" customWidth="1"/>
    <col min="11725" max="11725" width="13.33203125" style="13" customWidth="1"/>
    <col min="11726" max="11726" width="17" style="13" customWidth="1"/>
    <col min="11727" max="11727" width="24.88671875" style="13" customWidth="1"/>
    <col min="11728" max="11728" width="14.44140625" style="13" customWidth="1"/>
    <col min="11729" max="11729" width="23.109375" style="13" customWidth="1"/>
    <col min="11730" max="11730" width="13.109375" style="13" customWidth="1"/>
    <col min="11731" max="11734" width="0" style="13" hidden="1" customWidth="1"/>
    <col min="11735" max="11970" width="10.33203125" style="13"/>
    <col min="11971" max="11971" width="7" style="13" customWidth="1"/>
    <col min="11972" max="11972" width="13" style="13" customWidth="1"/>
    <col min="11973" max="11973" width="14.109375" style="13" customWidth="1"/>
    <col min="11974" max="11974" width="17.33203125" style="13" customWidth="1"/>
    <col min="11975" max="11975" width="18.88671875" style="13" customWidth="1"/>
    <col min="11976" max="11976" width="14.109375" style="13" customWidth="1"/>
    <col min="11977" max="11977" width="21.5546875" style="13" customWidth="1"/>
    <col min="11978" max="11979" width="14.109375" style="13" customWidth="1"/>
    <col min="11980" max="11980" width="15" style="13" customWidth="1"/>
    <col min="11981" max="11981" width="13.33203125" style="13" customWidth="1"/>
    <col min="11982" max="11982" width="17" style="13" customWidth="1"/>
    <col min="11983" max="11983" width="24.88671875" style="13" customWidth="1"/>
    <col min="11984" max="11984" width="14.44140625" style="13" customWidth="1"/>
    <col min="11985" max="11985" width="23.109375" style="13" customWidth="1"/>
    <col min="11986" max="11986" width="13.109375" style="13" customWidth="1"/>
    <col min="11987" max="11990" width="0" style="13" hidden="1" customWidth="1"/>
    <col min="11991" max="12226" width="10.33203125" style="13"/>
    <col min="12227" max="12227" width="7" style="13" customWidth="1"/>
    <col min="12228" max="12228" width="13" style="13" customWidth="1"/>
    <col min="12229" max="12229" width="14.109375" style="13" customWidth="1"/>
    <col min="12230" max="12230" width="17.33203125" style="13" customWidth="1"/>
    <col min="12231" max="12231" width="18.88671875" style="13" customWidth="1"/>
    <col min="12232" max="12232" width="14.109375" style="13" customWidth="1"/>
    <col min="12233" max="12233" width="21.5546875" style="13" customWidth="1"/>
    <col min="12234" max="12235" width="14.109375" style="13" customWidth="1"/>
    <col min="12236" max="12236" width="15" style="13" customWidth="1"/>
    <col min="12237" max="12237" width="13.33203125" style="13" customWidth="1"/>
    <col min="12238" max="12238" width="17" style="13" customWidth="1"/>
    <col min="12239" max="12239" width="24.88671875" style="13" customWidth="1"/>
    <col min="12240" max="12240" width="14.44140625" style="13" customWidth="1"/>
    <col min="12241" max="12241" width="23.109375" style="13" customWidth="1"/>
    <col min="12242" max="12242" width="13.109375" style="13" customWidth="1"/>
    <col min="12243" max="12246" width="0" style="13" hidden="1" customWidth="1"/>
    <col min="12247" max="12482" width="10.33203125" style="13"/>
    <col min="12483" max="12483" width="7" style="13" customWidth="1"/>
    <col min="12484" max="12484" width="13" style="13" customWidth="1"/>
    <col min="12485" max="12485" width="14.109375" style="13" customWidth="1"/>
    <col min="12486" max="12486" width="17.33203125" style="13" customWidth="1"/>
    <col min="12487" max="12487" width="18.88671875" style="13" customWidth="1"/>
    <col min="12488" max="12488" width="14.109375" style="13" customWidth="1"/>
    <col min="12489" max="12489" width="21.5546875" style="13" customWidth="1"/>
    <col min="12490" max="12491" width="14.109375" style="13" customWidth="1"/>
    <col min="12492" max="12492" width="15" style="13" customWidth="1"/>
    <col min="12493" max="12493" width="13.33203125" style="13" customWidth="1"/>
    <col min="12494" max="12494" width="17" style="13" customWidth="1"/>
    <col min="12495" max="12495" width="24.88671875" style="13" customWidth="1"/>
    <col min="12496" max="12496" width="14.44140625" style="13" customWidth="1"/>
    <col min="12497" max="12497" width="23.109375" style="13" customWidth="1"/>
    <col min="12498" max="12498" width="13.109375" style="13" customWidth="1"/>
    <col min="12499" max="12502" width="0" style="13" hidden="1" customWidth="1"/>
    <col min="12503" max="12738" width="10.33203125" style="13"/>
    <col min="12739" max="12739" width="7" style="13" customWidth="1"/>
    <col min="12740" max="12740" width="13" style="13" customWidth="1"/>
    <col min="12741" max="12741" width="14.109375" style="13" customWidth="1"/>
    <col min="12742" max="12742" width="17.33203125" style="13" customWidth="1"/>
    <col min="12743" max="12743" width="18.88671875" style="13" customWidth="1"/>
    <col min="12744" max="12744" width="14.109375" style="13" customWidth="1"/>
    <col min="12745" max="12745" width="21.5546875" style="13" customWidth="1"/>
    <col min="12746" max="12747" width="14.109375" style="13" customWidth="1"/>
    <col min="12748" max="12748" width="15" style="13" customWidth="1"/>
    <col min="12749" max="12749" width="13.33203125" style="13" customWidth="1"/>
    <col min="12750" max="12750" width="17" style="13" customWidth="1"/>
    <col min="12751" max="12751" width="24.88671875" style="13" customWidth="1"/>
    <col min="12752" max="12752" width="14.44140625" style="13" customWidth="1"/>
    <col min="12753" max="12753" width="23.109375" style="13" customWidth="1"/>
    <col min="12754" max="12754" width="13.109375" style="13" customWidth="1"/>
    <col min="12755" max="12758" width="0" style="13" hidden="1" customWidth="1"/>
    <col min="12759" max="12994" width="10.33203125" style="13"/>
    <col min="12995" max="12995" width="7" style="13" customWidth="1"/>
    <col min="12996" max="12996" width="13" style="13" customWidth="1"/>
    <col min="12997" max="12997" width="14.109375" style="13" customWidth="1"/>
    <col min="12998" max="12998" width="17.33203125" style="13" customWidth="1"/>
    <col min="12999" max="12999" width="18.88671875" style="13" customWidth="1"/>
    <col min="13000" max="13000" width="14.109375" style="13" customWidth="1"/>
    <col min="13001" max="13001" width="21.5546875" style="13" customWidth="1"/>
    <col min="13002" max="13003" width="14.109375" style="13" customWidth="1"/>
    <col min="13004" max="13004" width="15" style="13" customWidth="1"/>
    <col min="13005" max="13005" width="13.33203125" style="13" customWidth="1"/>
    <col min="13006" max="13006" width="17" style="13" customWidth="1"/>
    <col min="13007" max="13007" width="24.88671875" style="13" customWidth="1"/>
    <col min="13008" max="13008" width="14.44140625" style="13" customWidth="1"/>
    <col min="13009" max="13009" width="23.109375" style="13" customWidth="1"/>
    <col min="13010" max="13010" width="13.109375" style="13" customWidth="1"/>
    <col min="13011" max="13014" width="0" style="13" hidden="1" customWidth="1"/>
    <col min="13015" max="13250" width="10.33203125" style="13"/>
    <col min="13251" max="13251" width="7" style="13" customWidth="1"/>
    <col min="13252" max="13252" width="13" style="13" customWidth="1"/>
    <col min="13253" max="13253" width="14.109375" style="13" customWidth="1"/>
    <col min="13254" max="13254" width="17.33203125" style="13" customWidth="1"/>
    <col min="13255" max="13255" width="18.88671875" style="13" customWidth="1"/>
    <col min="13256" max="13256" width="14.109375" style="13" customWidth="1"/>
    <col min="13257" max="13257" width="21.5546875" style="13" customWidth="1"/>
    <col min="13258" max="13259" width="14.109375" style="13" customWidth="1"/>
    <col min="13260" max="13260" width="15" style="13" customWidth="1"/>
    <col min="13261" max="13261" width="13.33203125" style="13" customWidth="1"/>
    <col min="13262" max="13262" width="17" style="13" customWidth="1"/>
    <col min="13263" max="13263" width="24.88671875" style="13" customWidth="1"/>
    <col min="13264" max="13264" width="14.44140625" style="13" customWidth="1"/>
    <col min="13265" max="13265" width="23.109375" style="13" customWidth="1"/>
    <col min="13266" max="13266" width="13.109375" style="13" customWidth="1"/>
    <col min="13267" max="13270" width="0" style="13" hidden="1" customWidth="1"/>
    <col min="13271" max="13506" width="10.33203125" style="13"/>
    <col min="13507" max="13507" width="7" style="13" customWidth="1"/>
    <col min="13508" max="13508" width="13" style="13" customWidth="1"/>
    <col min="13509" max="13509" width="14.109375" style="13" customWidth="1"/>
    <col min="13510" max="13510" width="17.33203125" style="13" customWidth="1"/>
    <col min="13511" max="13511" width="18.88671875" style="13" customWidth="1"/>
    <col min="13512" max="13512" width="14.109375" style="13" customWidth="1"/>
    <col min="13513" max="13513" width="21.5546875" style="13" customWidth="1"/>
    <col min="13514" max="13515" width="14.109375" style="13" customWidth="1"/>
    <col min="13516" max="13516" width="15" style="13" customWidth="1"/>
    <col min="13517" max="13517" width="13.33203125" style="13" customWidth="1"/>
    <col min="13518" max="13518" width="17" style="13" customWidth="1"/>
    <col min="13519" max="13519" width="24.88671875" style="13" customWidth="1"/>
    <col min="13520" max="13520" width="14.44140625" style="13" customWidth="1"/>
    <col min="13521" max="13521" width="23.109375" style="13" customWidth="1"/>
    <col min="13522" max="13522" width="13.109375" style="13" customWidth="1"/>
    <col min="13523" max="13526" width="0" style="13" hidden="1" customWidth="1"/>
    <col min="13527" max="13762" width="10.33203125" style="13"/>
    <col min="13763" max="13763" width="7" style="13" customWidth="1"/>
    <col min="13764" max="13764" width="13" style="13" customWidth="1"/>
    <col min="13765" max="13765" width="14.109375" style="13" customWidth="1"/>
    <col min="13766" max="13766" width="17.33203125" style="13" customWidth="1"/>
    <col min="13767" max="13767" width="18.88671875" style="13" customWidth="1"/>
    <col min="13768" max="13768" width="14.109375" style="13" customWidth="1"/>
    <col min="13769" max="13769" width="21.5546875" style="13" customWidth="1"/>
    <col min="13770" max="13771" width="14.109375" style="13" customWidth="1"/>
    <col min="13772" max="13772" width="15" style="13" customWidth="1"/>
    <col min="13773" max="13773" width="13.33203125" style="13" customWidth="1"/>
    <col min="13774" max="13774" width="17" style="13" customWidth="1"/>
    <col min="13775" max="13775" width="24.88671875" style="13" customWidth="1"/>
    <col min="13776" max="13776" width="14.44140625" style="13" customWidth="1"/>
    <col min="13777" max="13777" width="23.109375" style="13" customWidth="1"/>
    <col min="13778" max="13778" width="13.109375" style="13" customWidth="1"/>
    <col min="13779" max="13782" width="0" style="13" hidden="1" customWidth="1"/>
    <col min="13783" max="14018" width="10.33203125" style="13"/>
    <col min="14019" max="14019" width="7" style="13" customWidth="1"/>
    <col min="14020" max="14020" width="13" style="13" customWidth="1"/>
    <col min="14021" max="14021" width="14.109375" style="13" customWidth="1"/>
    <col min="14022" max="14022" width="17.33203125" style="13" customWidth="1"/>
    <col min="14023" max="14023" width="18.88671875" style="13" customWidth="1"/>
    <col min="14024" max="14024" width="14.109375" style="13" customWidth="1"/>
    <col min="14025" max="14025" width="21.5546875" style="13" customWidth="1"/>
    <col min="14026" max="14027" width="14.109375" style="13" customWidth="1"/>
    <col min="14028" max="14028" width="15" style="13" customWidth="1"/>
    <col min="14029" max="14029" width="13.33203125" style="13" customWidth="1"/>
    <col min="14030" max="14030" width="17" style="13" customWidth="1"/>
    <col min="14031" max="14031" width="24.88671875" style="13" customWidth="1"/>
    <col min="14032" max="14032" width="14.44140625" style="13" customWidth="1"/>
    <col min="14033" max="14033" width="23.109375" style="13" customWidth="1"/>
    <col min="14034" max="14034" width="13.109375" style="13" customWidth="1"/>
    <col min="14035" max="14038" width="0" style="13" hidden="1" customWidth="1"/>
    <col min="14039" max="14274" width="10.33203125" style="13"/>
    <col min="14275" max="14275" width="7" style="13" customWidth="1"/>
    <col min="14276" max="14276" width="13" style="13" customWidth="1"/>
    <col min="14277" max="14277" width="14.109375" style="13" customWidth="1"/>
    <col min="14278" max="14278" width="17.33203125" style="13" customWidth="1"/>
    <col min="14279" max="14279" width="18.88671875" style="13" customWidth="1"/>
    <col min="14280" max="14280" width="14.109375" style="13" customWidth="1"/>
    <col min="14281" max="14281" width="21.5546875" style="13" customWidth="1"/>
    <col min="14282" max="14283" width="14.109375" style="13" customWidth="1"/>
    <col min="14284" max="14284" width="15" style="13" customWidth="1"/>
    <col min="14285" max="14285" width="13.33203125" style="13" customWidth="1"/>
    <col min="14286" max="14286" width="17" style="13" customWidth="1"/>
    <col min="14287" max="14287" width="24.88671875" style="13" customWidth="1"/>
    <col min="14288" max="14288" width="14.44140625" style="13" customWidth="1"/>
    <col min="14289" max="14289" width="23.109375" style="13" customWidth="1"/>
    <col min="14290" max="14290" width="13.109375" style="13" customWidth="1"/>
    <col min="14291" max="14294" width="0" style="13" hidden="1" customWidth="1"/>
    <col min="14295" max="14530" width="10.33203125" style="13"/>
    <col min="14531" max="14531" width="7" style="13" customWidth="1"/>
    <col min="14532" max="14532" width="13" style="13" customWidth="1"/>
    <col min="14533" max="14533" width="14.109375" style="13" customWidth="1"/>
    <col min="14534" max="14534" width="17.33203125" style="13" customWidth="1"/>
    <col min="14535" max="14535" width="18.88671875" style="13" customWidth="1"/>
    <col min="14536" max="14536" width="14.109375" style="13" customWidth="1"/>
    <col min="14537" max="14537" width="21.5546875" style="13" customWidth="1"/>
    <col min="14538" max="14539" width="14.109375" style="13" customWidth="1"/>
    <col min="14540" max="14540" width="15" style="13" customWidth="1"/>
    <col min="14541" max="14541" width="13.33203125" style="13" customWidth="1"/>
    <col min="14542" max="14542" width="17" style="13" customWidth="1"/>
    <col min="14543" max="14543" width="24.88671875" style="13" customWidth="1"/>
    <col min="14544" max="14544" width="14.44140625" style="13" customWidth="1"/>
    <col min="14545" max="14545" width="23.109375" style="13" customWidth="1"/>
    <col min="14546" max="14546" width="13.109375" style="13" customWidth="1"/>
    <col min="14547" max="14550" width="0" style="13" hidden="1" customWidth="1"/>
    <col min="14551" max="14786" width="10.33203125" style="13"/>
    <col min="14787" max="14787" width="7" style="13" customWidth="1"/>
    <col min="14788" max="14788" width="13" style="13" customWidth="1"/>
    <col min="14789" max="14789" width="14.109375" style="13" customWidth="1"/>
    <col min="14790" max="14790" width="17.33203125" style="13" customWidth="1"/>
    <col min="14791" max="14791" width="18.88671875" style="13" customWidth="1"/>
    <col min="14792" max="14792" width="14.109375" style="13" customWidth="1"/>
    <col min="14793" max="14793" width="21.5546875" style="13" customWidth="1"/>
    <col min="14794" max="14795" width="14.109375" style="13" customWidth="1"/>
    <col min="14796" max="14796" width="15" style="13" customWidth="1"/>
    <col min="14797" max="14797" width="13.33203125" style="13" customWidth="1"/>
    <col min="14798" max="14798" width="17" style="13" customWidth="1"/>
    <col min="14799" max="14799" width="24.88671875" style="13" customWidth="1"/>
    <col min="14800" max="14800" width="14.44140625" style="13" customWidth="1"/>
    <col min="14801" max="14801" width="23.109375" style="13" customWidth="1"/>
    <col min="14802" max="14802" width="13.109375" style="13" customWidth="1"/>
    <col min="14803" max="14806" width="0" style="13" hidden="1" customWidth="1"/>
    <col min="14807" max="15042" width="10.33203125" style="13"/>
    <col min="15043" max="15043" width="7" style="13" customWidth="1"/>
    <col min="15044" max="15044" width="13" style="13" customWidth="1"/>
    <col min="15045" max="15045" width="14.109375" style="13" customWidth="1"/>
    <col min="15046" max="15046" width="17.33203125" style="13" customWidth="1"/>
    <col min="15047" max="15047" width="18.88671875" style="13" customWidth="1"/>
    <col min="15048" max="15048" width="14.109375" style="13" customWidth="1"/>
    <col min="15049" max="15049" width="21.5546875" style="13" customWidth="1"/>
    <col min="15050" max="15051" width="14.109375" style="13" customWidth="1"/>
    <col min="15052" max="15052" width="15" style="13" customWidth="1"/>
    <col min="15053" max="15053" width="13.33203125" style="13" customWidth="1"/>
    <col min="15054" max="15054" width="17" style="13" customWidth="1"/>
    <col min="15055" max="15055" width="24.88671875" style="13" customWidth="1"/>
    <col min="15056" max="15056" width="14.44140625" style="13" customWidth="1"/>
    <col min="15057" max="15057" width="23.109375" style="13" customWidth="1"/>
    <col min="15058" max="15058" width="13.109375" style="13" customWidth="1"/>
    <col min="15059" max="15062" width="0" style="13" hidden="1" customWidth="1"/>
    <col min="15063" max="15298" width="10.33203125" style="13"/>
    <col min="15299" max="15299" width="7" style="13" customWidth="1"/>
    <col min="15300" max="15300" width="13" style="13" customWidth="1"/>
    <col min="15301" max="15301" width="14.109375" style="13" customWidth="1"/>
    <col min="15302" max="15302" width="17.33203125" style="13" customWidth="1"/>
    <col min="15303" max="15303" width="18.88671875" style="13" customWidth="1"/>
    <col min="15304" max="15304" width="14.109375" style="13" customWidth="1"/>
    <col min="15305" max="15305" width="21.5546875" style="13" customWidth="1"/>
    <col min="15306" max="15307" width="14.109375" style="13" customWidth="1"/>
    <col min="15308" max="15308" width="15" style="13" customWidth="1"/>
    <col min="15309" max="15309" width="13.33203125" style="13" customWidth="1"/>
    <col min="15310" max="15310" width="17" style="13" customWidth="1"/>
    <col min="15311" max="15311" width="24.88671875" style="13" customWidth="1"/>
    <col min="15312" max="15312" width="14.44140625" style="13" customWidth="1"/>
    <col min="15313" max="15313" width="23.109375" style="13" customWidth="1"/>
    <col min="15314" max="15314" width="13.109375" style="13" customWidth="1"/>
    <col min="15315" max="15318" width="0" style="13" hidden="1" customWidth="1"/>
    <col min="15319" max="15554" width="10.33203125" style="13"/>
    <col min="15555" max="15555" width="7" style="13" customWidth="1"/>
    <col min="15556" max="15556" width="13" style="13" customWidth="1"/>
    <col min="15557" max="15557" width="14.109375" style="13" customWidth="1"/>
    <col min="15558" max="15558" width="17.33203125" style="13" customWidth="1"/>
    <col min="15559" max="15559" width="18.88671875" style="13" customWidth="1"/>
    <col min="15560" max="15560" width="14.109375" style="13" customWidth="1"/>
    <col min="15561" max="15561" width="21.5546875" style="13" customWidth="1"/>
    <col min="15562" max="15563" width="14.109375" style="13" customWidth="1"/>
    <col min="15564" max="15564" width="15" style="13" customWidth="1"/>
    <col min="15565" max="15565" width="13.33203125" style="13" customWidth="1"/>
    <col min="15566" max="15566" width="17" style="13" customWidth="1"/>
    <col min="15567" max="15567" width="24.88671875" style="13" customWidth="1"/>
    <col min="15568" max="15568" width="14.44140625" style="13" customWidth="1"/>
    <col min="15569" max="15569" width="23.109375" style="13" customWidth="1"/>
    <col min="15570" max="15570" width="13.109375" style="13" customWidth="1"/>
    <col min="15571" max="15574" width="0" style="13" hidden="1" customWidth="1"/>
    <col min="15575" max="15810" width="10.33203125" style="13"/>
    <col min="15811" max="15811" width="7" style="13" customWidth="1"/>
    <col min="15812" max="15812" width="13" style="13" customWidth="1"/>
    <col min="15813" max="15813" width="14.109375" style="13" customWidth="1"/>
    <col min="15814" max="15814" width="17.33203125" style="13" customWidth="1"/>
    <col min="15815" max="15815" width="18.88671875" style="13" customWidth="1"/>
    <col min="15816" max="15816" width="14.109375" style="13" customWidth="1"/>
    <col min="15817" max="15817" width="21.5546875" style="13" customWidth="1"/>
    <col min="15818" max="15819" width="14.109375" style="13" customWidth="1"/>
    <col min="15820" max="15820" width="15" style="13" customWidth="1"/>
    <col min="15821" max="15821" width="13.33203125" style="13" customWidth="1"/>
    <col min="15822" max="15822" width="17" style="13" customWidth="1"/>
    <col min="15823" max="15823" width="24.88671875" style="13" customWidth="1"/>
    <col min="15824" max="15824" width="14.44140625" style="13" customWidth="1"/>
    <col min="15825" max="15825" width="23.109375" style="13" customWidth="1"/>
    <col min="15826" max="15826" width="13.109375" style="13" customWidth="1"/>
    <col min="15827" max="15830" width="0" style="13" hidden="1" customWidth="1"/>
    <col min="15831" max="16066" width="10.33203125" style="13"/>
    <col min="16067" max="16067" width="7" style="13" customWidth="1"/>
    <col min="16068" max="16068" width="13" style="13" customWidth="1"/>
    <col min="16069" max="16069" width="14.109375" style="13" customWidth="1"/>
    <col min="16070" max="16070" width="17.33203125" style="13" customWidth="1"/>
    <col min="16071" max="16071" width="18.88671875" style="13" customWidth="1"/>
    <col min="16072" max="16072" width="14.109375" style="13" customWidth="1"/>
    <col min="16073" max="16073" width="21.5546875" style="13" customWidth="1"/>
    <col min="16074" max="16075" width="14.109375" style="13" customWidth="1"/>
    <col min="16076" max="16076" width="15" style="13" customWidth="1"/>
    <col min="16077" max="16077" width="13.33203125" style="13" customWidth="1"/>
    <col min="16078" max="16078" width="17" style="13" customWidth="1"/>
    <col min="16079" max="16079" width="24.88671875" style="13" customWidth="1"/>
    <col min="16080" max="16080" width="14.44140625" style="13" customWidth="1"/>
    <col min="16081" max="16081" width="23.109375" style="13" customWidth="1"/>
    <col min="16082" max="16082" width="13.109375" style="13" customWidth="1"/>
    <col min="16083" max="16086" width="0" style="13" hidden="1" customWidth="1"/>
    <col min="16087" max="16384" width="10.33203125" style="13"/>
  </cols>
  <sheetData>
    <row r="1" spans="1:30" ht="15" customHeight="1">
      <c r="M1" s="322"/>
      <c r="N1" s="322"/>
      <c r="O1" s="322"/>
      <c r="P1" s="322"/>
      <c r="Q1" s="322"/>
      <c r="R1" s="322"/>
      <c r="S1" s="322"/>
      <c r="T1" s="125"/>
      <c r="U1" s="125"/>
      <c r="V1" s="322"/>
      <c r="W1" s="322"/>
      <c r="X1" s="322"/>
      <c r="Y1" s="322"/>
      <c r="Z1" s="322"/>
      <c r="AA1" s="322"/>
      <c r="AB1" s="13"/>
      <c r="AC1" s="125"/>
      <c r="AD1" s="125"/>
    </row>
    <row r="2" spans="1:30" ht="35.25" customHeight="1">
      <c r="A2" s="3314" t="s">
        <v>1314</v>
      </c>
      <c r="B2" s="3315"/>
      <c r="C2" s="3315"/>
      <c r="D2" s="3315"/>
      <c r="E2" s="3315"/>
      <c r="F2" s="3315"/>
      <c r="G2" s="480"/>
      <c r="H2" s="480"/>
      <c r="I2" s="480"/>
      <c r="J2" s="480"/>
      <c r="K2" s="568"/>
      <c r="L2" s="480"/>
      <c r="M2" s="322"/>
      <c r="N2" s="322"/>
      <c r="O2" s="322"/>
      <c r="P2" s="322"/>
      <c r="Q2" s="322"/>
      <c r="R2" s="322"/>
      <c r="S2" s="322"/>
      <c r="T2" s="294"/>
      <c r="U2" s="294"/>
      <c r="V2" s="322"/>
      <c r="W2" s="322"/>
      <c r="X2" s="322"/>
      <c r="Y2" s="322"/>
      <c r="Z2" s="322"/>
      <c r="AA2" s="322"/>
      <c r="AB2" s="13"/>
      <c r="AC2" s="294"/>
      <c r="AD2" s="294"/>
    </row>
    <row r="3" spans="1:30">
      <c r="B3" s="504" t="s">
        <v>658</v>
      </c>
      <c r="C3" s="3">
        <v>3700566036</v>
      </c>
      <c r="G3" s="481" t="s">
        <v>1413</v>
      </c>
      <c r="H3" s="481"/>
      <c r="I3" s="481"/>
      <c r="J3" s="478"/>
      <c r="K3" s="569"/>
      <c r="T3" s="478"/>
      <c r="U3" s="478"/>
      <c r="AC3" s="478"/>
      <c r="AD3" s="478"/>
    </row>
    <row r="4" spans="1:30" ht="52.8">
      <c r="A4" s="29" t="s">
        <v>2</v>
      </c>
      <c r="B4" s="505" t="s">
        <v>3</v>
      </c>
      <c r="C4" s="31" t="s">
        <v>4</v>
      </c>
      <c r="D4" s="30" t="s">
        <v>5</v>
      </c>
      <c r="E4" s="511" t="s">
        <v>401</v>
      </c>
      <c r="F4" s="40" t="s">
        <v>63</v>
      </c>
      <c r="G4" s="33" t="s">
        <v>8</v>
      </c>
      <c r="H4" s="33" t="s">
        <v>9</v>
      </c>
      <c r="I4" s="33" t="s">
        <v>102</v>
      </c>
      <c r="J4" s="32" t="s">
        <v>1417</v>
      </c>
      <c r="K4" s="570" t="s">
        <v>15</v>
      </c>
      <c r="L4" s="323" t="s">
        <v>290</v>
      </c>
      <c r="M4" s="217" t="s">
        <v>1291</v>
      </c>
      <c r="N4" s="217" t="s">
        <v>190</v>
      </c>
      <c r="O4" s="217" t="s">
        <v>191</v>
      </c>
      <c r="P4" s="217" t="s">
        <v>1313</v>
      </c>
      <c r="Q4" s="218" t="s">
        <v>192</v>
      </c>
      <c r="R4" s="218" t="s">
        <v>193</v>
      </c>
      <c r="S4" s="219" t="s">
        <v>194</v>
      </c>
      <c r="T4" s="219" t="s">
        <v>1473</v>
      </c>
      <c r="U4" s="217" t="s">
        <v>1418</v>
      </c>
      <c r="V4" s="219" t="s">
        <v>195</v>
      </c>
      <c r="W4" s="220" t="s">
        <v>196</v>
      </c>
      <c r="X4" s="221" t="s">
        <v>197</v>
      </c>
      <c r="Y4" s="218" t="s">
        <v>198</v>
      </c>
      <c r="Z4" s="219" t="s">
        <v>199</v>
      </c>
      <c r="AA4" s="222" t="s">
        <v>200</v>
      </c>
      <c r="AB4" s="36" t="s">
        <v>204</v>
      </c>
      <c r="AC4" s="484" t="s">
        <v>1369</v>
      </c>
      <c r="AD4" s="484" t="s">
        <v>1424</v>
      </c>
    </row>
    <row r="5" spans="1:30" ht="29.25" customHeight="1">
      <c r="A5" s="326">
        <v>1</v>
      </c>
      <c r="B5" s="506">
        <v>305687210640</v>
      </c>
      <c r="C5" s="386" t="s">
        <v>1357</v>
      </c>
      <c r="D5" s="47" t="s">
        <v>1391</v>
      </c>
      <c r="E5" s="512" t="s">
        <v>1299</v>
      </c>
      <c r="F5" s="40" t="s">
        <v>210</v>
      </c>
      <c r="G5" s="167"/>
      <c r="H5" s="167">
        <v>2</v>
      </c>
      <c r="I5" s="167"/>
      <c r="J5" s="127" t="s">
        <v>1419</v>
      </c>
      <c r="K5" s="329" t="s">
        <v>1358</v>
      </c>
      <c r="L5" s="327" t="s">
        <v>1359</v>
      </c>
      <c r="M5" s="248"/>
      <c r="N5" s="248"/>
      <c r="O5" s="248"/>
      <c r="P5" s="371">
        <v>1000000</v>
      </c>
      <c r="Q5" s="248"/>
      <c r="R5" s="247"/>
      <c r="S5" s="248"/>
      <c r="T5" s="137"/>
      <c r="U5" s="341"/>
      <c r="V5" s="340">
        <f>M5+P5+S5</f>
        <v>1000000</v>
      </c>
      <c r="W5" s="344">
        <f>+R5</f>
        <v>0</v>
      </c>
      <c r="X5" s="249"/>
      <c r="Y5" s="341">
        <f>(4650000+800000)*2</f>
        <v>10900000</v>
      </c>
      <c r="Z5" s="342">
        <f>+((U5+Y5)*1.08)+V5+W5</f>
        <v>12772000</v>
      </c>
      <c r="AA5" s="252"/>
      <c r="AB5" s="142"/>
      <c r="AC5" s="3395" t="s">
        <v>1425</v>
      </c>
      <c r="AD5" s="3392" t="s">
        <v>1426</v>
      </c>
    </row>
    <row r="6" spans="1:30" ht="34.5" customHeight="1">
      <c r="A6" s="326">
        <f>+A5+1</f>
        <v>2</v>
      </c>
      <c r="B6" s="506">
        <v>305692203410</v>
      </c>
      <c r="C6" s="46" t="s">
        <v>1362</v>
      </c>
      <c r="D6" s="47" t="s">
        <v>1392</v>
      </c>
      <c r="E6" s="512" t="s">
        <v>1299</v>
      </c>
      <c r="F6" s="40" t="s">
        <v>210</v>
      </c>
      <c r="G6" s="167"/>
      <c r="H6" s="167">
        <v>1</v>
      </c>
      <c r="I6" s="167"/>
      <c r="J6" s="127" t="s">
        <v>1420</v>
      </c>
      <c r="K6" s="329" t="s">
        <v>1364</v>
      </c>
      <c r="L6" s="327" t="s">
        <v>1363</v>
      </c>
      <c r="M6" s="248"/>
      <c r="N6" s="248"/>
      <c r="O6" s="248"/>
      <c r="P6" s="371">
        <v>500000</v>
      </c>
      <c r="Q6" s="248"/>
      <c r="R6" s="247"/>
      <c r="S6" s="248"/>
      <c r="T6" s="137"/>
      <c r="U6" s="341"/>
      <c r="V6" s="340">
        <f>M6+P6+S6</f>
        <v>500000</v>
      </c>
      <c r="W6" s="344">
        <f t="shared" ref="W6:W40" si="0">+R6</f>
        <v>0</v>
      </c>
      <c r="X6" s="249"/>
      <c r="Y6" s="341">
        <f>(4350000+800000)</f>
        <v>5150000</v>
      </c>
      <c r="Z6" s="342">
        <f t="shared" ref="Z6:Z40" si="1">+((U6+Y6)*1.08)+V6+W6</f>
        <v>6062000</v>
      </c>
      <c r="AA6" s="252"/>
      <c r="AB6" s="142"/>
      <c r="AC6" s="3396"/>
      <c r="AD6" s="3393"/>
    </row>
    <row r="7" spans="1:30" ht="29.25" customHeight="1">
      <c r="A7" s="326">
        <f t="shared" ref="A7:A62" si="2">+A6+1</f>
        <v>3</v>
      </c>
      <c r="B7" s="507">
        <v>105600243600</v>
      </c>
      <c r="C7" s="46" t="s">
        <v>1357</v>
      </c>
      <c r="D7" s="47" t="s">
        <v>1390</v>
      </c>
      <c r="E7" s="512" t="s">
        <v>1300</v>
      </c>
      <c r="F7" s="476" t="s">
        <v>136</v>
      </c>
      <c r="G7" s="167"/>
      <c r="H7" s="167">
        <v>1</v>
      </c>
      <c r="I7" s="167"/>
      <c r="J7" s="127" t="s">
        <v>1421</v>
      </c>
      <c r="K7" s="163" t="s">
        <v>1388</v>
      </c>
      <c r="L7" s="139" t="s">
        <v>1389</v>
      </c>
      <c r="M7" s="248"/>
      <c r="N7" s="324">
        <v>615600</v>
      </c>
      <c r="O7" s="248"/>
      <c r="P7" s="248"/>
      <c r="Q7" s="248"/>
      <c r="R7" s="247"/>
      <c r="S7" s="248"/>
      <c r="T7" s="248"/>
      <c r="U7" s="341"/>
      <c r="V7" s="340">
        <f>M7+P7+S7</f>
        <v>0</v>
      </c>
      <c r="W7" s="344">
        <f t="shared" si="0"/>
        <v>0</v>
      </c>
      <c r="X7" s="391" t="s">
        <v>1422</v>
      </c>
      <c r="Y7" s="341">
        <f>4420000+800000+1000000</f>
        <v>6220000</v>
      </c>
      <c r="Z7" s="342">
        <f t="shared" si="1"/>
        <v>6717600</v>
      </c>
      <c r="AA7" s="252"/>
      <c r="AB7" s="141"/>
      <c r="AC7" s="3764"/>
      <c r="AD7" s="3394"/>
    </row>
    <row r="8" spans="1:30" ht="22.5" customHeight="1">
      <c r="A8" s="3297" t="s">
        <v>1374</v>
      </c>
      <c r="B8" s="3298"/>
      <c r="C8" s="3298"/>
      <c r="D8" s="3298"/>
      <c r="E8" s="3298"/>
      <c r="F8" s="3298"/>
      <c r="G8" s="3298"/>
      <c r="H8" s="3298"/>
      <c r="I8" s="346"/>
      <c r="J8" s="369"/>
      <c r="K8" s="571"/>
      <c r="L8" s="346"/>
      <c r="M8" s="486"/>
      <c r="N8" s="486"/>
      <c r="O8" s="486"/>
      <c r="P8" s="486"/>
      <c r="Q8" s="486"/>
      <c r="R8" s="487"/>
      <c r="S8" s="486"/>
      <c r="T8" s="486"/>
      <c r="U8" s="488">
        <f>SUM(U5:U7)</f>
        <v>0</v>
      </c>
      <c r="V8" s="486">
        <f>SUM(V5:V7)</f>
        <v>1500000</v>
      </c>
      <c r="W8" s="489">
        <f>SUM(W5:W7)</f>
        <v>0</v>
      </c>
      <c r="X8" s="490"/>
      <c r="Y8" s="488">
        <f>SUM(Y5:Y7)</f>
        <v>22270000</v>
      </c>
      <c r="Z8" s="491">
        <f>((Y8+U8)*1.08)+V8</f>
        <v>25551600</v>
      </c>
      <c r="AA8" s="492"/>
      <c r="AB8" s="493"/>
      <c r="AC8" s="346"/>
      <c r="AD8" s="346"/>
    </row>
    <row r="9" spans="1:30" ht="22.5" customHeight="1">
      <c r="A9" s="326">
        <v>1</v>
      </c>
      <c r="B9" s="507">
        <v>105600243600</v>
      </c>
      <c r="C9" s="46" t="s">
        <v>1357</v>
      </c>
      <c r="D9" s="47" t="s">
        <v>1390</v>
      </c>
      <c r="E9" s="512" t="s">
        <v>1300</v>
      </c>
      <c r="F9" s="92"/>
      <c r="G9" s="167"/>
      <c r="H9" s="167">
        <v>1</v>
      </c>
      <c r="I9" s="167"/>
      <c r="J9" s="127" t="s">
        <v>1421</v>
      </c>
      <c r="K9" s="163" t="s">
        <v>1388</v>
      </c>
      <c r="L9" s="139" t="s">
        <v>1389</v>
      </c>
      <c r="M9" s="248"/>
      <c r="N9" s="248"/>
      <c r="O9" s="248"/>
      <c r="P9" s="248"/>
      <c r="Q9" s="248"/>
      <c r="R9" s="247"/>
      <c r="S9" s="248"/>
      <c r="T9" s="324">
        <v>927000</v>
      </c>
      <c r="U9" s="341"/>
      <c r="V9" s="340">
        <f>M9+P9+S9+T9</f>
        <v>927000</v>
      </c>
      <c r="W9" s="344">
        <f t="shared" si="0"/>
        <v>0</v>
      </c>
      <c r="X9" s="249" t="s">
        <v>1445</v>
      </c>
      <c r="Y9" s="341">
        <v>3000000</v>
      </c>
      <c r="Z9" s="342">
        <f t="shared" si="1"/>
        <v>4167000</v>
      </c>
      <c r="AA9" s="252"/>
      <c r="AB9" s="142"/>
      <c r="AC9" s="3395" t="s">
        <v>1535</v>
      </c>
      <c r="AD9" s="3765"/>
    </row>
    <row r="10" spans="1:30" ht="43.5" customHeight="1">
      <c r="A10" s="326">
        <f t="shared" si="2"/>
        <v>2</v>
      </c>
      <c r="B10" s="508">
        <v>105619520160</v>
      </c>
      <c r="C10" s="46">
        <v>45142</v>
      </c>
      <c r="D10" s="47" t="s">
        <v>1439</v>
      </c>
      <c r="E10" s="512" t="s">
        <v>1300</v>
      </c>
      <c r="F10" s="476" t="s">
        <v>136</v>
      </c>
      <c r="G10" s="167">
        <v>1</v>
      </c>
      <c r="H10" s="167"/>
      <c r="I10" s="167"/>
      <c r="J10" s="498" t="s">
        <v>1536</v>
      </c>
      <c r="K10" s="164" t="s">
        <v>1435</v>
      </c>
      <c r="L10" s="162" t="s">
        <v>1434</v>
      </c>
      <c r="M10" s="248"/>
      <c r="N10" s="324">
        <v>432000</v>
      </c>
      <c r="O10" s="248"/>
      <c r="P10" s="248"/>
      <c r="Q10" s="248"/>
      <c r="R10" s="247"/>
      <c r="S10" s="248"/>
      <c r="T10" s="248"/>
      <c r="U10" s="341"/>
      <c r="V10" s="340">
        <f>M10+P10+S10+T10</f>
        <v>0</v>
      </c>
      <c r="W10" s="344">
        <f>+R10</f>
        <v>0</v>
      </c>
      <c r="X10" s="208" t="s">
        <v>1451</v>
      </c>
      <c r="Y10" s="341">
        <f>3500000+800000+1000000+3000000</f>
        <v>8300000</v>
      </c>
      <c r="Z10" s="342">
        <f t="shared" si="1"/>
        <v>8964000</v>
      </c>
      <c r="AA10" s="252"/>
      <c r="AB10" s="142"/>
      <c r="AC10" s="3396"/>
      <c r="AD10" s="3766"/>
    </row>
    <row r="11" spans="1:30" ht="22.5" customHeight="1">
      <c r="A11" s="326">
        <f t="shared" si="2"/>
        <v>3</v>
      </c>
      <c r="B11" s="506">
        <v>305737600030</v>
      </c>
      <c r="C11" s="46" t="s">
        <v>1469</v>
      </c>
      <c r="D11" s="47" t="s">
        <v>1472</v>
      </c>
      <c r="E11" s="512" t="s">
        <v>1299</v>
      </c>
      <c r="F11" s="40" t="s">
        <v>210</v>
      </c>
      <c r="G11" s="167"/>
      <c r="H11" s="167">
        <v>1</v>
      </c>
      <c r="I11" s="167"/>
      <c r="J11" s="495">
        <v>12847.46</v>
      </c>
      <c r="K11" s="164" t="s">
        <v>1470</v>
      </c>
      <c r="L11" s="162" t="s">
        <v>1471</v>
      </c>
      <c r="M11" s="248"/>
      <c r="N11" s="248"/>
      <c r="O11" s="248"/>
      <c r="P11" s="324">
        <v>500000</v>
      </c>
      <c r="Q11" s="248"/>
      <c r="R11" s="247"/>
      <c r="S11" s="248"/>
      <c r="T11" s="248"/>
      <c r="U11" s="341"/>
      <c r="V11" s="340">
        <f>M11+P11+S11+T11</f>
        <v>500000</v>
      </c>
      <c r="W11" s="344">
        <f t="shared" si="0"/>
        <v>0</v>
      </c>
      <c r="X11" s="249"/>
      <c r="Y11" s="341">
        <f>(4350000+800000)</f>
        <v>5150000</v>
      </c>
      <c r="Z11" s="342">
        <f>+((U11+Y11)*1.08)+V11+W11</f>
        <v>6062000</v>
      </c>
      <c r="AA11" s="252"/>
      <c r="AB11" s="142"/>
      <c r="AC11" s="3396"/>
      <c r="AD11" s="3766"/>
    </row>
    <row r="12" spans="1:30" ht="22.5" customHeight="1">
      <c r="A12" s="326">
        <f t="shared" si="2"/>
        <v>4</v>
      </c>
      <c r="B12" s="506">
        <v>305766061440</v>
      </c>
      <c r="C12" s="46" t="s">
        <v>1531</v>
      </c>
      <c r="D12" s="47" t="s">
        <v>1534</v>
      </c>
      <c r="E12" s="512" t="s">
        <v>1299</v>
      </c>
      <c r="F12" s="40" t="s">
        <v>210</v>
      </c>
      <c r="G12" s="167"/>
      <c r="H12" s="167">
        <v>1</v>
      </c>
      <c r="I12" s="167"/>
      <c r="J12" s="127">
        <v>10852</v>
      </c>
      <c r="K12" s="164" t="s">
        <v>1532</v>
      </c>
      <c r="L12" s="162" t="s">
        <v>1533</v>
      </c>
      <c r="M12" s="248"/>
      <c r="N12" s="248"/>
      <c r="O12" s="248"/>
      <c r="P12" s="324">
        <v>500000</v>
      </c>
      <c r="Q12" s="248"/>
      <c r="R12" s="247"/>
      <c r="S12" s="248"/>
      <c r="T12" s="137"/>
      <c r="U12" s="341"/>
      <c r="V12" s="340">
        <f>M12+P12+S12+T12</f>
        <v>500000</v>
      </c>
      <c r="W12" s="344">
        <f t="shared" si="0"/>
        <v>0</v>
      </c>
      <c r="X12" s="249"/>
      <c r="Y12" s="341">
        <f>(4350000+800000)</f>
        <v>5150000</v>
      </c>
      <c r="Z12" s="342">
        <f t="shared" si="1"/>
        <v>6062000</v>
      </c>
      <c r="AA12" s="252"/>
      <c r="AB12" s="142"/>
      <c r="AC12" s="3396"/>
      <c r="AD12" s="3766"/>
    </row>
    <row r="13" spans="1:30" ht="22.5" customHeight="1">
      <c r="A13" s="3297" t="s">
        <v>1507</v>
      </c>
      <c r="B13" s="3298"/>
      <c r="C13" s="3298"/>
      <c r="D13" s="3298"/>
      <c r="E13" s="3298"/>
      <c r="F13" s="3298"/>
      <c r="G13" s="3298"/>
      <c r="H13" s="3298"/>
      <c r="I13" s="346"/>
      <c r="J13" s="369"/>
      <c r="K13" s="571"/>
      <c r="L13" s="346"/>
      <c r="M13" s="486"/>
      <c r="N13" s="486"/>
      <c r="O13" s="486"/>
      <c r="P13" s="486"/>
      <c r="Q13" s="486"/>
      <c r="R13" s="487"/>
      <c r="S13" s="486"/>
      <c r="T13" s="486"/>
      <c r="U13" s="486">
        <f>SUM(U9:U12)</f>
        <v>0</v>
      </c>
      <c r="V13" s="486">
        <f>SUM(V9:V12)</f>
        <v>1927000</v>
      </c>
      <c r="W13" s="486">
        <f>SUM(W9:W12)</f>
        <v>0</v>
      </c>
      <c r="X13" s="490"/>
      <c r="Y13" s="486">
        <f>SUM(Y9:Y12)</f>
        <v>21600000</v>
      </c>
      <c r="Z13" s="491">
        <f>((Y13+U13)*1.08)+V13</f>
        <v>25255000</v>
      </c>
      <c r="AA13" s="492"/>
      <c r="AB13" s="493"/>
      <c r="AC13" s="346"/>
      <c r="AD13" s="346"/>
    </row>
    <row r="14" spans="1:30" ht="22.5" customHeight="1">
      <c r="A14" s="326">
        <v>1</v>
      </c>
      <c r="B14" s="506" t="s">
        <v>1543</v>
      </c>
      <c r="C14" s="331" t="s">
        <v>1544</v>
      </c>
      <c r="D14" s="332" t="s">
        <v>1547</v>
      </c>
      <c r="E14" s="512" t="s">
        <v>1299</v>
      </c>
      <c r="F14" s="40" t="s">
        <v>210</v>
      </c>
      <c r="G14" s="167"/>
      <c r="H14" s="167">
        <v>1</v>
      </c>
      <c r="I14" s="167"/>
      <c r="J14" s="127">
        <v>10612.55</v>
      </c>
      <c r="K14" s="334" t="s">
        <v>1545</v>
      </c>
      <c r="L14" s="516" t="s">
        <v>1546</v>
      </c>
      <c r="M14" s="515"/>
      <c r="N14" s="248"/>
      <c r="O14" s="248"/>
      <c r="P14" s="371">
        <v>500000</v>
      </c>
      <c r="Q14" s="248"/>
      <c r="R14" s="247"/>
      <c r="S14" s="248"/>
      <c r="T14" s="137"/>
      <c r="U14" s="341"/>
      <c r="V14" s="340">
        <f t="shared" ref="V14:V40" si="3">M14+P14+S14</f>
        <v>500000</v>
      </c>
      <c r="W14" s="344">
        <f t="shared" si="0"/>
        <v>0</v>
      </c>
      <c r="X14" s="249"/>
      <c r="Y14" s="341">
        <f>4350000+800000</f>
        <v>5150000</v>
      </c>
      <c r="Z14" s="342">
        <f t="shared" si="1"/>
        <v>6062000</v>
      </c>
      <c r="AA14" s="250">
        <f>+Y14*1.08</f>
        <v>5562000</v>
      </c>
      <c r="AB14" s="336"/>
      <c r="AC14" s="3395" t="s">
        <v>1645</v>
      </c>
      <c r="AD14" s="3765"/>
    </row>
    <row r="15" spans="1:30" ht="22.5" customHeight="1">
      <c r="A15" s="326">
        <f t="shared" si="2"/>
        <v>2</v>
      </c>
      <c r="B15" s="506">
        <v>305800180510</v>
      </c>
      <c r="C15" s="46">
        <v>45180</v>
      </c>
      <c r="D15" s="47" t="s">
        <v>1576</v>
      </c>
      <c r="E15" s="512" t="s">
        <v>1299</v>
      </c>
      <c r="F15" s="40" t="s">
        <v>210</v>
      </c>
      <c r="G15" s="167"/>
      <c r="H15" s="167">
        <v>1</v>
      </c>
      <c r="I15" s="167"/>
      <c r="J15" s="127">
        <v>10531.5</v>
      </c>
      <c r="K15" s="164" t="s">
        <v>1575</v>
      </c>
      <c r="L15" s="516" t="s">
        <v>1577</v>
      </c>
      <c r="M15" s="248"/>
      <c r="N15" s="248"/>
      <c r="O15" s="248"/>
      <c r="P15" s="371">
        <v>500000</v>
      </c>
      <c r="Q15" s="248"/>
      <c r="R15" s="247"/>
      <c r="S15" s="248"/>
      <c r="T15" s="137"/>
      <c r="U15" s="341"/>
      <c r="V15" s="340">
        <f t="shared" si="3"/>
        <v>500000</v>
      </c>
      <c r="W15" s="344">
        <f t="shared" si="0"/>
        <v>0</v>
      </c>
      <c r="X15" s="249"/>
      <c r="Y15" s="341">
        <f>4350000+800000</f>
        <v>5150000</v>
      </c>
      <c r="Z15" s="342">
        <f t="shared" si="1"/>
        <v>6062000</v>
      </c>
      <c r="AA15" s="250">
        <f t="shared" ref="AA15:AA34" si="4">+Y15*1.08</f>
        <v>5562000</v>
      </c>
      <c r="AB15" s="141"/>
      <c r="AC15" s="3396"/>
      <c r="AD15" s="3766"/>
    </row>
    <row r="16" spans="1:30" ht="34.5" customHeight="1">
      <c r="A16" s="326">
        <f t="shared" si="2"/>
        <v>3</v>
      </c>
      <c r="B16" s="506" t="s">
        <v>1597</v>
      </c>
      <c r="C16" s="46" t="s">
        <v>1598</v>
      </c>
      <c r="D16" s="47" t="s">
        <v>1605</v>
      </c>
      <c r="E16" s="512" t="s">
        <v>1299</v>
      </c>
      <c r="F16" s="476" t="s">
        <v>136</v>
      </c>
      <c r="G16" s="167"/>
      <c r="H16" s="167">
        <v>1</v>
      </c>
      <c r="I16" s="167"/>
      <c r="J16" s="127">
        <v>14676.77</v>
      </c>
      <c r="K16" s="572" t="s">
        <v>1599</v>
      </c>
      <c r="L16" s="149" t="s">
        <v>1600</v>
      </c>
      <c r="M16" s="248"/>
      <c r="N16" s="248"/>
      <c r="O16" s="248"/>
      <c r="P16" s="371">
        <v>500000</v>
      </c>
      <c r="Q16" s="248"/>
      <c r="R16" s="247"/>
      <c r="S16" s="324">
        <v>70000</v>
      </c>
      <c r="T16" s="137"/>
      <c r="U16" s="341">
        <v>400000</v>
      </c>
      <c r="V16" s="340">
        <f t="shared" si="3"/>
        <v>570000</v>
      </c>
      <c r="W16" s="344">
        <f t="shared" si="0"/>
        <v>0</v>
      </c>
      <c r="X16" s="391" t="s">
        <v>1639</v>
      </c>
      <c r="Y16" s="341">
        <f>4350000+800000+500000</f>
        <v>5650000</v>
      </c>
      <c r="Z16" s="342">
        <f>+((U16+Y16)*1.08)+V16+W16</f>
        <v>7104000</v>
      </c>
      <c r="AA16" s="250">
        <f t="shared" si="4"/>
        <v>6102000</v>
      </c>
      <c r="AB16" s="141"/>
      <c r="AC16" s="3396"/>
      <c r="AD16" s="3766"/>
    </row>
    <row r="17" spans="1:30" ht="29.25" customHeight="1">
      <c r="A17" s="326">
        <f t="shared" si="2"/>
        <v>4</v>
      </c>
      <c r="B17" s="506" t="s">
        <v>1631</v>
      </c>
      <c r="C17" s="46" t="s">
        <v>1632</v>
      </c>
      <c r="D17" s="47" t="s">
        <v>1638</v>
      </c>
      <c r="E17" s="512" t="s">
        <v>1299</v>
      </c>
      <c r="F17" s="476" t="s">
        <v>136</v>
      </c>
      <c r="G17" s="167"/>
      <c r="H17" s="167">
        <v>1</v>
      </c>
      <c r="I17" s="167"/>
      <c r="J17" s="127">
        <v>11321.6</v>
      </c>
      <c r="K17" s="572" t="s">
        <v>1633</v>
      </c>
      <c r="L17" s="144" t="s">
        <v>1634</v>
      </c>
      <c r="M17" s="248"/>
      <c r="N17" s="248"/>
      <c r="O17" s="248"/>
      <c r="P17" s="371">
        <v>500000</v>
      </c>
      <c r="Q17" s="248"/>
      <c r="R17" s="247"/>
      <c r="S17" s="324">
        <v>475000</v>
      </c>
      <c r="T17" s="137"/>
      <c r="U17" s="341">
        <v>400000</v>
      </c>
      <c r="V17" s="340">
        <f t="shared" si="3"/>
        <v>975000</v>
      </c>
      <c r="W17" s="344">
        <f t="shared" si="0"/>
        <v>0</v>
      </c>
      <c r="X17" s="391" t="s">
        <v>1422</v>
      </c>
      <c r="Y17" s="341">
        <f>4350000+800000+1000000</f>
        <v>6150000</v>
      </c>
      <c r="Z17" s="342">
        <f t="shared" si="1"/>
        <v>8049000</v>
      </c>
      <c r="AA17" s="250">
        <f t="shared" si="4"/>
        <v>6642000</v>
      </c>
      <c r="AB17" s="141"/>
      <c r="AC17" s="3396"/>
      <c r="AD17" s="3766"/>
    </row>
    <row r="18" spans="1:30" ht="22.5" customHeight="1">
      <c r="A18" s="326">
        <f t="shared" si="2"/>
        <v>5</v>
      </c>
      <c r="B18" s="506">
        <v>305843532540</v>
      </c>
      <c r="C18" s="46" t="s">
        <v>1653</v>
      </c>
      <c r="D18" s="47" t="s">
        <v>1656</v>
      </c>
      <c r="E18" s="512" t="s">
        <v>1299</v>
      </c>
      <c r="F18" s="40" t="s">
        <v>210</v>
      </c>
      <c r="G18" s="167"/>
      <c r="H18" s="167">
        <v>1</v>
      </c>
      <c r="I18" s="167"/>
      <c r="J18" s="127">
        <v>11431</v>
      </c>
      <c r="K18" s="572" t="s">
        <v>1654</v>
      </c>
      <c r="L18" s="144" t="s">
        <v>1655</v>
      </c>
      <c r="M18" s="248"/>
      <c r="N18" s="248"/>
      <c r="O18" s="248"/>
      <c r="P18" s="324">
        <v>500000</v>
      </c>
      <c r="Q18" s="248"/>
      <c r="R18" s="247"/>
      <c r="S18" s="248"/>
      <c r="T18" s="137"/>
      <c r="U18" s="341"/>
      <c r="V18" s="340">
        <f t="shared" si="3"/>
        <v>500000</v>
      </c>
      <c r="W18" s="344">
        <f t="shared" si="0"/>
        <v>0</v>
      </c>
      <c r="X18" s="249"/>
      <c r="Y18" s="341">
        <f>4350000+800000</f>
        <v>5150000</v>
      </c>
      <c r="Z18" s="342">
        <f t="shared" si="1"/>
        <v>6062000</v>
      </c>
      <c r="AA18" s="250">
        <f t="shared" si="4"/>
        <v>5562000</v>
      </c>
      <c r="AB18" s="141"/>
      <c r="AC18" s="3764"/>
      <c r="AD18" s="3767"/>
    </row>
    <row r="19" spans="1:30" ht="22.5" customHeight="1">
      <c r="A19" s="3297" t="s">
        <v>1626</v>
      </c>
      <c r="B19" s="3298"/>
      <c r="C19" s="3298"/>
      <c r="D19" s="3298"/>
      <c r="E19" s="3298"/>
      <c r="F19" s="3298"/>
      <c r="G19" s="3298"/>
      <c r="H19" s="3298"/>
      <c r="I19" s="346"/>
      <c r="J19" s="369"/>
      <c r="K19" s="571"/>
      <c r="L19" s="346"/>
      <c r="M19" s="486"/>
      <c r="N19" s="486"/>
      <c r="O19" s="486"/>
      <c r="P19" s="486"/>
      <c r="Q19" s="486"/>
      <c r="R19" s="487"/>
      <c r="S19" s="486"/>
      <c r="T19" s="486"/>
      <c r="U19" s="486">
        <f>SUM(U15:U18)</f>
        <v>800000</v>
      </c>
      <c r="V19" s="486">
        <f>SUM(V15:V18)</f>
        <v>2545000</v>
      </c>
      <c r="W19" s="486">
        <f>SUM(W15:W18)</f>
        <v>0</v>
      </c>
      <c r="X19" s="490"/>
      <c r="Y19" s="486">
        <f>SUM(Y15:Y18)</f>
        <v>22100000</v>
      </c>
      <c r="Z19" s="491">
        <f>((Y19+U19)*1.08)+V19</f>
        <v>27277000</v>
      </c>
      <c r="AA19" s="492"/>
      <c r="AB19" s="493"/>
      <c r="AC19" s="346"/>
      <c r="AD19" s="346"/>
    </row>
    <row r="20" spans="1:30" ht="22.5" customHeight="1">
      <c r="A20" s="326">
        <v>1</v>
      </c>
      <c r="B20" s="506">
        <v>305879630030</v>
      </c>
      <c r="C20" s="46">
        <v>45210</v>
      </c>
      <c r="D20" s="47" t="s">
        <v>1693</v>
      </c>
      <c r="E20" s="512" t="s">
        <v>1299</v>
      </c>
      <c r="F20" s="40" t="s">
        <v>748</v>
      </c>
      <c r="G20" s="167"/>
      <c r="H20" s="167">
        <v>1</v>
      </c>
      <c r="I20" s="167"/>
      <c r="J20" s="127" t="s">
        <v>1750</v>
      </c>
      <c r="K20" s="573" t="s">
        <v>1692</v>
      </c>
      <c r="L20" s="144" t="s">
        <v>1694</v>
      </c>
      <c r="M20" s="248"/>
      <c r="N20" s="248"/>
      <c r="O20" s="248"/>
      <c r="P20" s="371">
        <v>500000</v>
      </c>
      <c r="Q20" s="248"/>
      <c r="R20" s="247"/>
      <c r="S20" s="248"/>
      <c r="T20" s="137"/>
      <c r="U20" s="341"/>
      <c r="V20" s="340">
        <f t="shared" si="3"/>
        <v>500000</v>
      </c>
      <c r="W20" s="344">
        <f t="shared" si="0"/>
        <v>0</v>
      </c>
      <c r="X20" s="249"/>
      <c r="Y20" s="341">
        <f>4350000+800000</f>
        <v>5150000</v>
      </c>
      <c r="Z20" s="342">
        <f t="shared" si="1"/>
        <v>6062000</v>
      </c>
      <c r="AA20" s="250">
        <f t="shared" si="4"/>
        <v>5562000</v>
      </c>
      <c r="AB20" s="141"/>
      <c r="AC20" s="295"/>
      <c r="AD20" s="136"/>
    </row>
    <row r="21" spans="1:30" ht="22.5" customHeight="1">
      <c r="A21" s="326">
        <f t="shared" si="2"/>
        <v>2</v>
      </c>
      <c r="B21" s="506">
        <v>305882102210</v>
      </c>
      <c r="C21" s="46">
        <v>45211</v>
      </c>
      <c r="D21" s="47" t="s">
        <v>1696</v>
      </c>
      <c r="E21" s="512" t="s">
        <v>1299</v>
      </c>
      <c r="F21" s="40" t="s">
        <v>748</v>
      </c>
      <c r="G21" s="167"/>
      <c r="H21" s="167">
        <v>1</v>
      </c>
      <c r="I21" s="167"/>
      <c r="J21" s="127" t="s">
        <v>1751</v>
      </c>
      <c r="K21" s="573" t="s">
        <v>1692</v>
      </c>
      <c r="L21" s="144" t="s">
        <v>1695</v>
      </c>
      <c r="M21" s="248"/>
      <c r="N21" s="248"/>
      <c r="O21" s="248"/>
      <c r="P21" s="371">
        <v>500000</v>
      </c>
      <c r="Q21" s="248"/>
      <c r="R21" s="247"/>
      <c r="S21" s="248"/>
      <c r="T21" s="137"/>
      <c r="U21" s="341"/>
      <c r="V21" s="340">
        <f t="shared" si="3"/>
        <v>500000</v>
      </c>
      <c r="W21" s="344">
        <f t="shared" si="0"/>
        <v>0</v>
      </c>
      <c r="X21" s="249"/>
      <c r="Y21" s="341">
        <f>4350000+800000</f>
        <v>5150000</v>
      </c>
      <c r="Z21" s="342">
        <f t="shared" si="1"/>
        <v>6062000</v>
      </c>
      <c r="AA21" s="250">
        <f t="shared" si="4"/>
        <v>5562000</v>
      </c>
      <c r="AB21" s="141"/>
      <c r="AC21" s="295"/>
      <c r="AD21" s="136"/>
    </row>
    <row r="22" spans="1:30" ht="22.5" customHeight="1">
      <c r="A22" s="326">
        <f t="shared" si="2"/>
        <v>3</v>
      </c>
      <c r="B22" s="506">
        <v>305920665540</v>
      </c>
      <c r="C22" s="46">
        <v>45224</v>
      </c>
      <c r="D22" s="47" t="s">
        <v>1749</v>
      </c>
      <c r="E22" s="512" t="s">
        <v>1299</v>
      </c>
      <c r="F22" s="40" t="s">
        <v>748</v>
      </c>
      <c r="G22" s="167"/>
      <c r="H22" s="167">
        <v>1</v>
      </c>
      <c r="I22" s="167"/>
      <c r="J22" s="127">
        <v>11003</v>
      </c>
      <c r="K22" s="573" t="s">
        <v>1747</v>
      </c>
      <c r="L22" s="151" t="s">
        <v>1748</v>
      </c>
      <c r="M22" s="248"/>
      <c r="N22" s="248"/>
      <c r="O22" s="248"/>
      <c r="P22" s="371">
        <v>500000</v>
      </c>
      <c r="Q22" s="248"/>
      <c r="R22" s="247"/>
      <c r="S22" s="248"/>
      <c r="T22" s="137"/>
      <c r="U22" s="341"/>
      <c r="V22" s="340">
        <f t="shared" si="3"/>
        <v>500000</v>
      </c>
      <c r="W22" s="344">
        <f t="shared" si="0"/>
        <v>0</v>
      </c>
      <c r="X22" s="249"/>
      <c r="Y22" s="341">
        <f>4350000+800000</f>
        <v>5150000</v>
      </c>
      <c r="Z22" s="342">
        <f t="shared" si="1"/>
        <v>6062000</v>
      </c>
      <c r="AA22" s="250">
        <f t="shared" si="4"/>
        <v>5562000</v>
      </c>
      <c r="AB22" s="141"/>
      <c r="AC22" s="295"/>
      <c r="AD22" s="136"/>
    </row>
    <row r="23" spans="1:30" ht="22.5" customHeight="1">
      <c r="A23" s="326">
        <f t="shared" si="2"/>
        <v>4</v>
      </c>
      <c r="B23" s="506">
        <v>305925003920</v>
      </c>
      <c r="C23" s="46" t="s">
        <v>1763</v>
      </c>
      <c r="D23" s="47" t="s">
        <v>1762</v>
      </c>
      <c r="E23" s="512" t="s">
        <v>1299</v>
      </c>
      <c r="F23" s="40" t="s">
        <v>210</v>
      </c>
      <c r="G23" s="167"/>
      <c r="H23" s="167">
        <v>1</v>
      </c>
      <c r="I23" s="167"/>
      <c r="J23" s="127" t="s">
        <v>1765</v>
      </c>
      <c r="K23" s="573" t="s">
        <v>1747</v>
      </c>
      <c r="L23" s="140" t="s">
        <v>1764</v>
      </c>
      <c r="M23" s="248"/>
      <c r="N23" s="248"/>
      <c r="O23" s="248"/>
      <c r="P23" s="324">
        <v>500000</v>
      </c>
      <c r="Q23" s="248"/>
      <c r="R23" s="247"/>
      <c r="S23" s="248"/>
      <c r="T23" s="137"/>
      <c r="U23" s="341"/>
      <c r="V23" s="340">
        <f t="shared" si="3"/>
        <v>500000</v>
      </c>
      <c r="W23" s="344">
        <f t="shared" si="0"/>
        <v>0</v>
      </c>
      <c r="X23" s="249"/>
      <c r="Y23" s="341">
        <f>4350000+800000</f>
        <v>5150000</v>
      </c>
      <c r="Z23" s="342">
        <f t="shared" si="1"/>
        <v>6062000</v>
      </c>
      <c r="AA23" s="250">
        <f t="shared" si="4"/>
        <v>5562000</v>
      </c>
      <c r="AB23" s="141"/>
      <c r="AC23" s="295"/>
      <c r="AD23" s="136"/>
    </row>
    <row r="24" spans="1:30" ht="22.5" customHeight="1">
      <c r="A24" s="3297" t="s">
        <v>1721</v>
      </c>
      <c r="B24" s="3298"/>
      <c r="C24" s="3298"/>
      <c r="D24" s="3298"/>
      <c r="E24" s="3298"/>
      <c r="F24" s="3298"/>
      <c r="G24" s="3298"/>
      <c r="H24" s="3298"/>
      <c r="I24" s="346"/>
      <c r="J24" s="369"/>
      <c r="K24" s="571"/>
      <c r="L24" s="346"/>
      <c r="M24" s="486"/>
      <c r="N24" s="486"/>
      <c r="O24" s="486"/>
      <c r="P24" s="486"/>
      <c r="Q24" s="486"/>
      <c r="R24" s="487"/>
      <c r="S24" s="486"/>
      <c r="T24" s="486"/>
      <c r="U24" s="486">
        <f>SUM(U20:U23)</f>
        <v>0</v>
      </c>
      <c r="V24" s="486">
        <f>SUM(V20:V23)</f>
        <v>2000000</v>
      </c>
      <c r="W24" s="486">
        <f>SUM(W20:W23)</f>
        <v>0</v>
      </c>
      <c r="X24" s="490"/>
      <c r="Y24" s="486">
        <f>SUM(Y20:Y23)</f>
        <v>20600000</v>
      </c>
      <c r="Z24" s="491">
        <f>((Y24+U24)*1.08)+V24</f>
        <v>24248000</v>
      </c>
      <c r="AA24" s="492"/>
      <c r="AB24" s="493"/>
      <c r="AC24" s="346"/>
      <c r="AD24" s="346"/>
    </row>
    <row r="25" spans="1:30" ht="22.5" customHeight="1">
      <c r="A25" s="326">
        <v>1</v>
      </c>
      <c r="B25" s="506">
        <v>305938816100</v>
      </c>
      <c r="C25" s="46" t="s">
        <v>1774</v>
      </c>
      <c r="D25" s="47" t="s">
        <v>1775</v>
      </c>
      <c r="E25" s="512" t="s">
        <v>210</v>
      </c>
      <c r="F25" s="79" t="s">
        <v>210</v>
      </c>
      <c r="G25" s="167"/>
      <c r="H25" s="167">
        <v>1</v>
      </c>
      <c r="I25" s="167"/>
      <c r="J25" s="127">
        <v>11759</v>
      </c>
      <c r="K25" s="573" t="s">
        <v>1773</v>
      </c>
      <c r="L25" s="151" t="s">
        <v>1776</v>
      </c>
      <c r="M25" s="248"/>
      <c r="N25" s="248"/>
      <c r="O25" s="248"/>
      <c r="P25" s="371">
        <v>500000</v>
      </c>
      <c r="Q25" s="248"/>
      <c r="R25" s="247"/>
      <c r="S25" s="248"/>
      <c r="T25" s="137"/>
      <c r="U25" s="341"/>
      <c r="V25" s="340">
        <f t="shared" si="3"/>
        <v>500000</v>
      </c>
      <c r="W25" s="344">
        <f t="shared" si="0"/>
        <v>0</v>
      </c>
      <c r="X25" s="249"/>
      <c r="Y25" s="341">
        <f>4350000+800000</f>
        <v>5150000</v>
      </c>
      <c r="Z25" s="342">
        <f t="shared" si="1"/>
        <v>6062000</v>
      </c>
      <c r="AA25" s="250">
        <f t="shared" si="4"/>
        <v>5562000</v>
      </c>
      <c r="AB25" s="141"/>
      <c r="AC25" s="295"/>
      <c r="AD25" s="136"/>
    </row>
    <row r="26" spans="1:30" ht="22.5" customHeight="1">
      <c r="A26" s="326">
        <f t="shared" si="2"/>
        <v>2</v>
      </c>
      <c r="B26" s="545">
        <v>305972554000</v>
      </c>
      <c r="C26" s="46" t="s">
        <v>1812</v>
      </c>
      <c r="D26" s="47" t="s">
        <v>1815</v>
      </c>
      <c r="E26" s="512" t="s">
        <v>210</v>
      </c>
      <c r="F26" s="79" t="s">
        <v>210</v>
      </c>
      <c r="G26" s="167"/>
      <c r="H26" s="167">
        <v>1</v>
      </c>
      <c r="I26" s="167"/>
      <c r="J26" s="127">
        <v>11291</v>
      </c>
      <c r="K26" s="574" t="s">
        <v>1814</v>
      </c>
      <c r="L26" s="151" t="s">
        <v>1813</v>
      </c>
      <c r="M26" s="248"/>
      <c r="N26" s="248"/>
      <c r="O26" s="248"/>
      <c r="P26" s="371">
        <v>500000</v>
      </c>
      <c r="Q26" s="248"/>
      <c r="R26" s="247"/>
      <c r="S26" s="248"/>
      <c r="T26" s="137"/>
      <c r="U26" s="341"/>
      <c r="V26" s="340">
        <f t="shared" si="3"/>
        <v>500000</v>
      </c>
      <c r="W26" s="344">
        <f t="shared" si="0"/>
        <v>0</v>
      </c>
      <c r="X26" s="249"/>
      <c r="Y26" s="341">
        <f t="shared" ref="Y26:Y34" si="5">4350000+800000</f>
        <v>5150000</v>
      </c>
      <c r="Z26" s="342">
        <f t="shared" si="1"/>
        <v>6062000</v>
      </c>
      <c r="AA26" s="250">
        <f t="shared" si="4"/>
        <v>5562000</v>
      </c>
      <c r="AB26" s="141"/>
      <c r="AC26" s="295"/>
      <c r="AD26" s="136"/>
    </row>
    <row r="27" spans="1:30" ht="22.5" customHeight="1">
      <c r="A27" s="326">
        <f t="shared" si="2"/>
        <v>3</v>
      </c>
      <c r="B27" s="545">
        <v>305981252860</v>
      </c>
      <c r="C27" s="46" t="s">
        <v>1827</v>
      </c>
      <c r="D27" s="47" t="s">
        <v>1830</v>
      </c>
      <c r="E27" s="512" t="s">
        <v>210</v>
      </c>
      <c r="F27" s="79" t="s">
        <v>210</v>
      </c>
      <c r="G27" s="167"/>
      <c r="H27" s="167">
        <v>1</v>
      </c>
      <c r="I27" s="167"/>
      <c r="J27" s="127" t="s">
        <v>1879</v>
      </c>
      <c r="K27" s="573" t="s">
        <v>1828</v>
      </c>
      <c r="L27" s="151" t="s">
        <v>1829</v>
      </c>
      <c r="M27" s="248"/>
      <c r="N27" s="248"/>
      <c r="O27" s="248"/>
      <c r="P27" s="371">
        <v>500000</v>
      </c>
      <c r="Q27" s="248"/>
      <c r="R27" s="247"/>
      <c r="S27" s="248"/>
      <c r="T27" s="137"/>
      <c r="U27" s="341"/>
      <c r="V27" s="340">
        <f t="shared" si="3"/>
        <v>500000</v>
      </c>
      <c r="W27" s="344">
        <f t="shared" si="0"/>
        <v>0</v>
      </c>
      <c r="X27" s="249"/>
      <c r="Y27" s="341">
        <f t="shared" si="5"/>
        <v>5150000</v>
      </c>
      <c r="Z27" s="342">
        <f t="shared" si="1"/>
        <v>6062000</v>
      </c>
      <c r="AA27" s="250">
        <f t="shared" si="4"/>
        <v>5562000</v>
      </c>
      <c r="AB27" s="141"/>
      <c r="AC27" s="295"/>
      <c r="AD27" s="136"/>
    </row>
    <row r="28" spans="1:30" ht="22.5" customHeight="1">
      <c r="A28" s="326">
        <f t="shared" si="2"/>
        <v>4</v>
      </c>
      <c r="B28" s="545">
        <v>306013274250</v>
      </c>
      <c r="C28" s="46" t="s">
        <v>1874</v>
      </c>
      <c r="D28" s="47" t="s">
        <v>1878</v>
      </c>
      <c r="E28" s="512" t="s">
        <v>210</v>
      </c>
      <c r="F28" s="79" t="s">
        <v>210</v>
      </c>
      <c r="G28" s="167"/>
      <c r="H28" s="167">
        <v>1</v>
      </c>
      <c r="I28" s="167"/>
      <c r="J28" s="127" t="s">
        <v>1877</v>
      </c>
      <c r="K28" s="573" t="s">
        <v>1875</v>
      </c>
      <c r="L28" s="151" t="s">
        <v>1876</v>
      </c>
      <c r="M28" s="248"/>
      <c r="N28" s="248"/>
      <c r="O28" s="248"/>
      <c r="P28" s="371">
        <v>500000</v>
      </c>
      <c r="Q28" s="248"/>
      <c r="R28" s="247"/>
      <c r="S28" s="248"/>
      <c r="T28" s="137"/>
      <c r="U28" s="341"/>
      <c r="V28" s="340">
        <f t="shared" si="3"/>
        <v>500000</v>
      </c>
      <c r="W28" s="344">
        <f t="shared" si="0"/>
        <v>0</v>
      </c>
      <c r="X28" s="249"/>
      <c r="Y28" s="341">
        <f t="shared" si="5"/>
        <v>5150000</v>
      </c>
      <c r="Z28" s="342">
        <f t="shared" si="1"/>
        <v>6062000</v>
      </c>
      <c r="AA28" s="250">
        <f t="shared" si="4"/>
        <v>5562000</v>
      </c>
      <c r="AB28" s="141"/>
      <c r="AC28" s="295"/>
      <c r="AD28" s="136"/>
    </row>
    <row r="29" spans="1:30" ht="22.5" customHeight="1">
      <c r="A29" s="3297" t="s">
        <v>1869</v>
      </c>
      <c r="B29" s="3298"/>
      <c r="C29" s="3298"/>
      <c r="D29" s="3298"/>
      <c r="E29" s="3298"/>
      <c r="F29" s="3298"/>
      <c r="G29" s="3298"/>
      <c r="H29" s="3298"/>
      <c r="I29" s="346"/>
      <c r="J29" s="369"/>
      <c r="K29" s="571"/>
      <c r="L29" s="346"/>
      <c r="M29" s="486"/>
      <c r="N29" s="486"/>
      <c r="O29" s="486"/>
      <c r="P29" s="486"/>
      <c r="Q29" s="486"/>
      <c r="R29" s="487"/>
      <c r="S29" s="486"/>
      <c r="T29" s="486"/>
      <c r="U29" s="486">
        <f>SUM(U25:U28)</f>
        <v>0</v>
      </c>
      <c r="V29" s="486">
        <f>SUM(V25:V28)</f>
        <v>2000000</v>
      </c>
      <c r="W29" s="486">
        <f>SUM(W25:W28)</f>
        <v>0</v>
      </c>
      <c r="X29" s="490"/>
      <c r="Y29" s="486">
        <f>SUM(Y25:Y28)</f>
        <v>20600000</v>
      </c>
      <c r="Z29" s="491">
        <f>((Y29+U29)*1.08)+V29</f>
        <v>24248000</v>
      </c>
      <c r="AA29" s="492"/>
      <c r="AB29" s="493"/>
      <c r="AC29" s="346"/>
      <c r="AD29" s="346"/>
    </row>
    <row r="30" spans="1:30" ht="22.5" customHeight="1">
      <c r="A30" s="326">
        <v>1</v>
      </c>
      <c r="B30" s="545">
        <v>306028405930</v>
      </c>
      <c r="C30" s="46" t="s">
        <v>1905</v>
      </c>
      <c r="D30" s="47" t="s">
        <v>1913</v>
      </c>
      <c r="E30" s="512" t="s">
        <v>210</v>
      </c>
      <c r="F30" s="79" t="s">
        <v>210</v>
      </c>
      <c r="G30" s="167"/>
      <c r="H30" s="167">
        <v>1</v>
      </c>
      <c r="I30" s="167"/>
      <c r="J30" s="127" t="s">
        <v>1906</v>
      </c>
      <c r="K30" s="573" t="s">
        <v>1907</v>
      </c>
      <c r="L30" s="151" t="s">
        <v>1908</v>
      </c>
      <c r="M30" s="248"/>
      <c r="N30" s="248"/>
      <c r="O30" s="248"/>
      <c r="P30" s="371">
        <v>500000</v>
      </c>
      <c r="Q30" s="248"/>
      <c r="R30" s="247"/>
      <c r="S30" s="248"/>
      <c r="T30" s="152"/>
      <c r="U30" s="341"/>
      <c r="V30" s="340">
        <f t="shared" si="3"/>
        <v>500000</v>
      </c>
      <c r="W30" s="344">
        <f t="shared" si="0"/>
        <v>0</v>
      </c>
      <c r="X30" s="249"/>
      <c r="Y30" s="341">
        <f t="shared" si="5"/>
        <v>5150000</v>
      </c>
      <c r="Z30" s="342">
        <f t="shared" si="1"/>
        <v>6062000</v>
      </c>
      <c r="AA30" s="250">
        <f t="shared" si="4"/>
        <v>5562000</v>
      </c>
      <c r="AB30" s="141"/>
      <c r="AC30" s="295"/>
      <c r="AD30" s="136"/>
    </row>
    <row r="31" spans="1:30" ht="22.5" customHeight="1">
      <c r="A31" s="326">
        <f t="shared" si="2"/>
        <v>2</v>
      </c>
      <c r="B31" s="545">
        <v>306031777830</v>
      </c>
      <c r="C31" s="46" t="s">
        <v>1932</v>
      </c>
      <c r="D31" s="47" t="s">
        <v>1930</v>
      </c>
      <c r="E31" s="512" t="s">
        <v>210</v>
      </c>
      <c r="F31" s="79" t="s">
        <v>210</v>
      </c>
      <c r="G31" s="167"/>
      <c r="H31" s="167">
        <v>1</v>
      </c>
      <c r="I31" s="167"/>
      <c r="J31" s="127">
        <v>10912</v>
      </c>
      <c r="K31" s="573" t="s">
        <v>1929</v>
      </c>
      <c r="L31" s="151" t="s">
        <v>1931</v>
      </c>
      <c r="M31" s="248"/>
      <c r="N31" s="248"/>
      <c r="O31" s="248"/>
      <c r="P31" s="371">
        <v>500000</v>
      </c>
      <c r="Q31" s="248"/>
      <c r="R31" s="247"/>
      <c r="S31" s="248"/>
      <c r="T31" s="152"/>
      <c r="U31" s="341"/>
      <c r="V31" s="340">
        <f t="shared" si="3"/>
        <v>500000</v>
      </c>
      <c r="W31" s="344">
        <f t="shared" si="0"/>
        <v>0</v>
      </c>
      <c r="X31" s="249"/>
      <c r="Y31" s="341">
        <f t="shared" si="5"/>
        <v>5150000</v>
      </c>
      <c r="Z31" s="342">
        <f t="shared" si="1"/>
        <v>6062000</v>
      </c>
      <c r="AA31" s="250">
        <f t="shared" si="4"/>
        <v>5562000</v>
      </c>
      <c r="AB31" s="141"/>
      <c r="AC31" s="295"/>
      <c r="AD31" s="136"/>
    </row>
    <row r="32" spans="1:30" ht="22.5" customHeight="1">
      <c r="A32" s="326">
        <f t="shared" si="2"/>
        <v>3</v>
      </c>
      <c r="B32" s="457">
        <v>306047877500</v>
      </c>
      <c r="C32" s="46">
        <v>45266</v>
      </c>
      <c r="D32" s="47" t="s">
        <v>1951</v>
      </c>
      <c r="E32" s="513" t="s">
        <v>210</v>
      </c>
      <c r="F32" s="79" t="s">
        <v>210</v>
      </c>
      <c r="G32" s="167"/>
      <c r="H32" s="167">
        <v>1</v>
      </c>
      <c r="I32" s="167"/>
      <c r="J32" s="127" t="s">
        <v>1977</v>
      </c>
      <c r="K32" s="573" t="s">
        <v>1950</v>
      </c>
      <c r="L32" s="151" t="s">
        <v>1952</v>
      </c>
      <c r="M32" s="248"/>
      <c r="N32" s="248"/>
      <c r="O32" s="248"/>
      <c r="P32" s="371">
        <v>500000</v>
      </c>
      <c r="Q32" s="248"/>
      <c r="R32" s="247"/>
      <c r="S32" s="248"/>
      <c r="T32" s="152"/>
      <c r="U32" s="341"/>
      <c r="V32" s="340">
        <f t="shared" si="3"/>
        <v>500000</v>
      </c>
      <c r="W32" s="344">
        <f t="shared" si="0"/>
        <v>0</v>
      </c>
      <c r="X32" s="249"/>
      <c r="Y32" s="341">
        <f t="shared" si="5"/>
        <v>5150000</v>
      </c>
      <c r="Z32" s="342">
        <f t="shared" si="1"/>
        <v>6062000</v>
      </c>
      <c r="AA32" s="250">
        <f t="shared" si="4"/>
        <v>5562000</v>
      </c>
      <c r="AB32" s="141"/>
      <c r="AC32" s="295"/>
      <c r="AD32" s="136"/>
    </row>
    <row r="33" spans="1:30" ht="22.5" customHeight="1">
      <c r="A33" s="326">
        <f t="shared" si="2"/>
        <v>4</v>
      </c>
      <c r="B33" s="457">
        <v>306081295460</v>
      </c>
      <c r="C33" s="46" t="s">
        <v>1995</v>
      </c>
      <c r="D33" s="47" t="s">
        <v>2007</v>
      </c>
      <c r="E33" s="512" t="s">
        <v>210</v>
      </c>
      <c r="F33" s="79" t="s">
        <v>210</v>
      </c>
      <c r="G33" s="167"/>
      <c r="H33" s="167">
        <v>1</v>
      </c>
      <c r="I33" s="167"/>
      <c r="J33" s="127">
        <v>10804.6</v>
      </c>
      <c r="K33" s="573" t="s">
        <v>2003</v>
      </c>
      <c r="L33" s="151" t="s">
        <v>2004</v>
      </c>
      <c r="M33" s="248"/>
      <c r="N33" s="248"/>
      <c r="O33" s="248"/>
      <c r="P33" s="371">
        <v>500000</v>
      </c>
      <c r="Q33" s="248"/>
      <c r="R33" s="247"/>
      <c r="S33" s="248"/>
      <c r="T33" s="137"/>
      <c r="U33" s="341"/>
      <c r="V33" s="340">
        <f t="shared" si="3"/>
        <v>500000</v>
      </c>
      <c r="W33" s="344">
        <f t="shared" si="0"/>
        <v>0</v>
      </c>
      <c r="X33" s="249"/>
      <c r="Y33" s="341">
        <f t="shared" si="5"/>
        <v>5150000</v>
      </c>
      <c r="Z33" s="342">
        <f t="shared" si="1"/>
        <v>6062000</v>
      </c>
      <c r="AA33" s="250">
        <f t="shared" si="4"/>
        <v>5562000</v>
      </c>
      <c r="AB33" s="141"/>
      <c r="AC33" s="295"/>
      <c r="AD33" s="136"/>
    </row>
    <row r="34" spans="1:30" ht="22.5" customHeight="1">
      <c r="A34" s="326">
        <f t="shared" si="2"/>
        <v>5</v>
      </c>
      <c r="B34" s="457">
        <v>306084652220</v>
      </c>
      <c r="C34" s="46" t="s">
        <v>2005</v>
      </c>
      <c r="D34" s="47" t="s">
        <v>2008</v>
      </c>
      <c r="E34" s="512" t="s">
        <v>210</v>
      </c>
      <c r="F34" s="79" t="s">
        <v>210</v>
      </c>
      <c r="G34" s="167"/>
      <c r="H34" s="167">
        <v>1</v>
      </c>
      <c r="I34" s="167"/>
      <c r="J34" s="154">
        <v>12588.56</v>
      </c>
      <c r="K34" s="573" t="s">
        <v>2003</v>
      </c>
      <c r="L34" s="151" t="s">
        <v>2006</v>
      </c>
      <c r="M34" s="248"/>
      <c r="N34" s="248"/>
      <c r="O34" s="248"/>
      <c r="P34" s="371">
        <v>500000</v>
      </c>
      <c r="Q34" s="248"/>
      <c r="R34" s="247"/>
      <c r="S34" s="248"/>
      <c r="T34" s="157"/>
      <c r="U34" s="341"/>
      <c r="V34" s="340">
        <f t="shared" si="3"/>
        <v>500000</v>
      </c>
      <c r="W34" s="344">
        <f t="shared" si="0"/>
        <v>0</v>
      </c>
      <c r="X34" s="249"/>
      <c r="Y34" s="341">
        <f t="shared" si="5"/>
        <v>5150000</v>
      </c>
      <c r="Z34" s="342">
        <f t="shared" si="1"/>
        <v>6062000</v>
      </c>
      <c r="AA34" s="250">
        <f t="shared" si="4"/>
        <v>5562000</v>
      </c>
      <c r="AB34" s="141"/>
      <c r="AC34" s="295"/>
      <c r="AD34" s="156"/>
    </row>
    <row r="35" spans="1:30" ht="22.5" customHeight="1">
      <c r="A35" s="326">
        <f t="shared" si="2"/>
        <v>6</v>
      </c>
      <c r="B35" s="576">
        <v>105951755011</v>
      </c>
      <c r="C35" s="46">
        <v>45272</v>
      </c>
      <c r="D35" s="47" t="s">
        <v>2012</v>
      </c>
      <c r="E35" s="514" t="s">
        <v>1300</v>
      </c>
      <c r="F35" s="575" t="s">
        <v>136</v>
      </c>
      <c r="G35" s="167"/>
      <c r="H35" s="167"/>
      <c r="I35" s="167">
        <v>1</v>
      </c>
      <c r="J35" s="154" t="s">
        <v>2010</v>
      </c>
      <c r="K35" s="573" t="s">
        <v>2011</v>
      </c>
      <c r="L35" s="151"/>
      <c r="M35" s="248"/>
      <c r="N35" s="248"/>
      <c r="O35" s="248"/>
      <c r="P35" s="248"/>
      <c r="Q35" s="248"/>
      <c r="R35" s="247"/>
      <c r="S35" s="248"/>
      <c r="T35" s="157"/>
      <c r="U35" s="341"/>
      <c r="V35" s="340">
        <f>M35+P35+S35</f>
        <v>0</v>
      </c>
      <c r="W35" s="344">
        <f>+R35</f>
        <v>0</v>
      </c>
      <c r="X35" s="391" t="s">
        <v>2013</v>
      </c>
      <c r="Y35" s="341">
        <v>2500000</v>
      </c>
      <c r="Z35" s="342">
        <f>+((U35+Y35)*1.08)+V35+W35</f>
        <v>2700000</v>
      </c>
      <c r="AA35" s="250">
        <f>+Y35*1.08</f>
        <v>2700000</v>
      </c>
      <c r="AB35" s="141"/>
      <c r="AC35" s="295"/>
      <c r="AD35" s="156"/>
    </row>
    <row r="36" spans="1:30" ht="22.5" customHeight="1">
      <c r="A36" s="3297" t="s">
        <v>1991</v>
      </c>
      <c r="B36" s="3298"/>
      <c r="C36" s="3298"/>
      <c r="D36" s="3298"/>
      <c r="E36" s="3298"/>
      <c r="F36" s="3298"/>
      <c r="G36" s="3298"/>
      <c r="H36" s="3298"/>
      <c r="I36" s="346"/>
      <c r="J36" s="369"/>
      <c r="K36" s="571"/>
      <c r="L36" s="346"/>
      <c r="M36" s="486"/>
      <c r="N36" s="486"/>
      <c r="O36" s="486"/>
      <c r="P36" s="486"/>
      <c r="Q36" s="486"/>
      <c r="R36" s="487"/>
      <c r="S36" s="486"/>
      <c r="T36" s="486"/>
      <c r="U36" s="486">
        <f>SUM(U31:U34)</f>
        <v>0</v>
      </c>
      <c r="V36" s="486">
        <f>SUM(V30:V35)</f>
        <v>2500000</v>
      </c>
      <c r="W36" s="486">
        <f>SUM(W31:W34)</f>
        <v>0</v>
      </c>
      <c r="X36" s="490"/>
      <c r="Y36" s="486">
        <f>SUM(Y30:Y35)</f>
        <v>28250000</v>
      </c>
      <c r="Z36" s="491">
        <f>((Y36+U36)*1.08)+V36</f>
        <v>33010000.000000004</v>
      </c>
      <c r="AA36" s="492"/>
      <c r="AB36" s="493"/>
      <c r="AC36" s="346"/>
      <c r="AD36" s="346"/>
    </row>
    <row r="37" spans="1:30" ht="22.5" customHeight="1">
      <c r="A37" s="326">
        <v>1</v>
      </c>
      <c r="B37" s="457">
        <v>306105493320</v>
      </c>
      <c r="C37" s="46" t="s">
        <v>2046</v>
      </c>
      <c r="D37" s="47" t="s">
        <v>2052</v>
      </c>
      <c r="E37" s="512" t="s">
        <v>210</v>
      </c>
      <c r="F37" s="86" t="s">
        <v>210</v>
      </c>
      <c r="G37" s="167"/>
      <c r="H37" s="167">
        <v>1</v>
      </c>
      <c r="I37" s="167"/>
      <c r="J37" s="46" t="s">
        <v>2051</v>
      </c>
      <c r="K37" s="154" t="s">
        <v>2049</v>
      </c>
      <c r="L37" s="573" t="s">
        <v>2047</v>
      </c>
      <c r="M37" s="248"/>
      <c r="N37" s="248"/>
      <c r="O37" s="248"/>
      <c r="P37" s="371">
        <v>500000</v>
      </c>
      <c r="Q37" s="248"/>
      <c r="R37" s="247"/>
      <c r="S37" s="248"/>
      <c r="T37" s="157"/>
      <c r="U37" s="341"/>
      <c r="V37" s="340">
        <f t="shared" si="3"/>
        <v>500000</v>
      </c>
      <c r="W37" s="344">
        <f t="shared" si="0"/>
        <v>0</v>
      </c>
      <c r="X37" s="249"/>
      <c r="Y37" s="341">
        <f>4350000+800000</f>
        <v>5150000</v>
      </c>
      <c r="Z37" s="342">
        <f t="shared" si="1"/>
        <v>6062000</v>
      </c>
      <c r="AA37" s="252"/>
      <c r="AB37" s="141"/>
      <c r="AC37" s="295"/>
      <c r="AD37" s="156"/>
    </row>
    <row r="38" spans="1:30" ht="22.5" customHeight="1">
      <c r="A38" s="326">
        <f t="shared" si="2"/>
        <v>2</v>
      </c>
      <c r="B38" s="457">
        <v>306106405860</v>
      </c>
      <c r="C38" s="46" t="s">
        <v>2046</v>
      </c>
      <c r="D38" s="47" t="s">
        <v>2053</v>
      </c>
      <c r="E38" s="512" t="s">
        <v>210</v>
      </c>
      <c r="F38" s="86" t="s">
        <v>210</v>
      </c>
      <c r="G38" s="167"/>
      <c r="H38" s="167">
        <v>1</v>
      </c>
      <c r="I38" s="167"/>
      <c r="J38" s="46" t="s">
        <v>2050</v>
      </c>
      <c r="K38" s="154" t="s">
        <v>2049</v>
      </c>
      <c r="L38" s="573" t="s">
        <v>2048</v>
      </c>
      <c r="M38" s="248"/>
      <c r="N38" s="248"/>
      <c r="O38" s="248"/>
      <c r="P38" s="371">
        <v>500000</v>
      </c>
      <c r="Q38" s="248"/>
      <c r="R38" s="247"/>
      <c r="S38" s="248"/>
      <c r="T38" s="157"/>
      <c r="U38" s="341"/>
      <c r="V38" s="340">
        <f t="shared" si="3"/>
        <v>500000</v>
      </c>
      <c r="W38" s="344">
        <f t="shared" si="0"/>
        <v>0</v>
      </c>
      <c r="X38" s="249"/>
      <c r="Y38" s="341">
        <f>4350000+800000</f>
        <v>5150000</v>
      </c>
      <c r="Z38" s="342">
        <f t="shared" si="1"/>
        <v>6062000</v>
      </c>
      <c r="AA38" s="252"/>
      <c r="AB38" s="141"/>
      <c r="AC38" s="295"/>
      <c r="AD38" s="156"/>
    </row>
    <row r="39" spans="1:30" ht="22.5" customHeight="1">
      <c r="A39" s="326">
        <f t="shared" si="2"/>
        <v>3</v>
      </c>
      <c r="B39" s="545">
        <v>306143951320</v>
      </c>
      <c r="C39" s="46" t="s">
        <v>2079</v>
      </c>
      <c r="D39" s="47" t="s">
        <v>2085</v>
      </c>
      <c r="E39" s="512" t="s">
        <v>210</v>
      </c>
      <c r="F39" s="86" t="s">
        <v>210</v>
      </c>
      <c r="G39" s="167"/>
      <c r="H39" s="167">
        <v>1</v>
      </c>
      <c r="I39" s="167"/>
      <c r="J39" s="498" t="s">
        <v>2139</v>
      </c>
      <c r="K39" s="154" t="s">
        <v>2084</v>
      </c>
      <c r="L39" s="573" t="s">
        <v>2083</v>
      </c>
      <c r="M39" s="579"/>
      <c r="N39" s="579"/>
      <c r="O39" s="248"/>
      <c r="P39" s="371">
        <v>500000</v>
      </c>
      <c r="Q39" s="248"/>
      <c r="R39" s="247"/>
      <c r="S39" s="248"/>
      <c r="T39" s="157"/>
      <c r="U39" s="341"/>
      <c r="V39" s="340">
        <f t="shared" si="3"/>
        <v>500000</v>
      </c>
      <c r="W39" s="344">
        <f t="shared" si="0"/>
        <v>0</v>
      </c>
      <c r="X39" s="249"/>
      <c r="Y39" s="341">
        <f>4350000+800000</f>
        <v>5150000</v>
      </c>
      <c r="Z39" s="342">
        <f t="shared" si="1"/>
        <v>6062000</v>
      </c>
      <c r="AA39" s="252"/>
      <c r="AB39" s="141"/>
      <c r="AC39" s="295"/>
      <c r="AD39" s="156"/>
    </row>
    <row r="40" spans="1:30" ht="27.75" customHeight="1">
      <c r="A40" s="326">
        <f>+A41+1</f>
        <v>5</v>
      </c>
      <c r="B40" s="545">
        <v>306169122400</v>
      </c>
      <c r="C40" s="46" t="s">
        <v>2131</v>
      </c>
      <c r="D40" s="47" t="s">
        <v>2142</v>
      </c>
      <c r="E40" s="512" t="s">
        <v>210</v>
      </c>
      <c r="F40" s="86" t="s">
        <v>210</v>
      </c>
      <c r="G40" s="167"/>
      <c r="H40" s="167">
        <v>2</v>
      </c>
      <c r="I40" s="167"/>
      <c r="J40" s="154" t="s">
        <v>2141</v>
      </c>
      <c r="K40" s="154" t="s">
        <v>2137</v>
      </c>
      <c r="L40" s="151" t="s">
        <v>2140</v>
      </c>
      <c r="M40" s="248"/>
      <c r="N40" s="248"/>
      <c r="O40" s="248"/>
      <c r="P40" s="371">
        <v>1000000</v>
      </c>
      <c r="Q40" s="248"/>
      <c r="R40" s="247"/>
      <c r="S40" s="248"/>
      <c r="T40" s="157"/>
      <c r="U40" s="341"/>
      <c r="V40" s="340">
        <f t="shared" si="3"/>
        <v>1000000</v>
      </c>
      <c r="W40" s="344">
        <f t="shared" si="0"/>
        <v>0</v>
      </c>
      <c r="X40" s="249"/>
      <c r="Y40" s="341">
        <f>(4350000+800000)*2</f>
        <v>10300000</v>
      </c>
      <c r="Z40" s="342">
        <f t="shared" si="1"/>
        <v>12124000</v>
      </c>
      <c r="AA40" s="252"/>
      <c r="AB40" s="141"/>
      <c r="AC40" s="295"/>
      <c r="AD40" s="156"/>
    </row>
    <row r="41" spans="1:30" ht="22.5" customHeight="1">
      <c r="A41" s="326">
        <f>+A39+1</f>
        <v>4</v>
      </c>
      <c r="B41" s="545">
        <v>306157223320</v>
      </c>
      <c r="C41" s="46" t="s">
        <v>2121</v>
      </c>
      <c r="D41" s="47" t="s">
        <v>2138</v>
      </c>
      <c r="E41" s="512" t="s">
        <v>210</v>
      </c>
      <c r="F41" s="86" t="s">
        <v>210</v>
      </c>
      <c r="G41" s="167"/>
      <c r="H41" s="167"/>
      <c r="I41" s="167"/>
      <c r="J41" s="154"/>
      <c r="K41" s="154" t="s">
        <v>2136</v>
      </c>
      <c r="L41" s="151"/>
      <c r="M41" s="248"/>
      <c r="N41" s="248"/>
      <c r="O41" s="248"/>
      <c r="P41" s="248"/>
      <c r="Q41" s="248"/>
      <c r="R41" s="247"/>
      <c r="S41" s="248"/>
      <c r="T41" s="157"/>
      <c r="U41" s="341"/>
      <c r="V41" s="340">
        <f>M41+P41+S41</f>
        <v>0</v>
      </c>
      <c r="W41" s="344">
        <f>+R41</f>
        <v>0</v>
      </c>
      <c r="X41" s="391" t="s">
        <v>2135</v>
      </c>
      <c r="Y41" s="341">
        <v>4200000</v>
      </c>
      <c r="Z41" s="342">
        <f>+((U41+Y41)*1.08)+V41+W41</f>
        <v>4536000</v>
      </c>
      <c r="AA41" s="252"/>
      <c r="AB41" s="141"/>
      <c r="AC41" s="295"/>
      <c r="AD41" s="156"/>
    </row>
    <row r="42" spans="1:30" ht="22.5" customHeight="1">
      <c r="A42" s="3297" t="s">
        <v>2104</v>
      </c>
      <c r="B42" s="3298"/>
      <c r="C42" s="3298"/>
      <c r="D42" s="3298"/>
      <c r="E42" s="3298"/>
      <c r="F42" s="3298"/>
      <c r="G42" s="3298"/>
      <c r="H42" s="3298"/>
      <c r="I42" s="346"/>
      <c r="J42" s="369"/>
      <c r="K42" s="571"/>
      <c r="L42" s="346"/>
      <c r="M42" s="486"/>
      <c r="N42" s="486"/>
      <c r="O42" s="486"/>
      <c r="P42" s="486"/>
      <c r="Q42" s="486"/>
      <c r="R42" s="487"/>
      <c r="S42" s="486"/>
      <c r="T42" s="486"/>
      <c r="U42" s="486">
        <f>SUM(U37:U41)</f>
        <v>0</v>
      </c>
      <c r="V42" s="486">
        <f>SUM(V36:V40)</f>
        <v>5000000</v>
      </c>
      <c r="W42" s="486">
        <f>SUM(W37:W41)</f>
        <v>0</v>
      </c>
      <c r="X42" s="490"/>
      <c r="Y42" s="486">
        <f>SUM(Y36:Y40)</f>
        <v>54000000</v>
      </c>
      <c r="Z42" s="491">
        <f>((Y42+U42)*1.08)+V42</f>
        <v>63320000.000000007</v>
      </c>
      <c r="AA42" s="492"/>
      <c r="AB42" s="493"/>
      <c r="AC42" s="346"/>
      <c r="AD42" s="346"/>
    </row>
    <row r="43" spans="1:30" ht="22.5" customHeight="1">
      <c r="A43" s="326">
        <v>1</v>
      </c>
      <c r="B43" s="509"/>
      <c r="C43" s="46"/>
      <c r="D43" s="47"/>
      <c r="E43" s="512"/>
      <c r="F43" s="79"/>
      <c r="G43" s="167"/>
      <c r="H43" s="167"/>
      <c r="I43" s="167"/>
      <c r="J43" s="154"/>
      <c r="K43" s="573"/>
      <c r="L43" s="151"/>
      <c r="M43" s="248"/>
      <c r="N43" s="248"/>
      <c r="O43" s="248"/>
      <c r="P43" s="248"/>
      <c r="Q43" s="248"/>
      <c r="R43" s="247"/>
      <c r="S43" s="248"/>
      <c r="T43" s="157"/>
      <c r="U43" s="341"/>
      <c r="V43" s="340">
        <f t="shared" ref="V43:V62" si="6">M43+P43+S43</f>
        <v>0</v>
      </c>
      <c r="W43" s="344">
        <f t="shared" ref="W43:W62" si="7">+R43</f>
        <v>0</v>
      </c>
      <c r="X43" s="249"/>
      <c r="Y43" s="341">
        <v>0</v>
      </c>
      <c r="Z43" s="342">
        <f t="shared" ref="Z43:Z62" si="8">+((U43+Y43)*1.08)+V43+W43</f>
        <v>0</v>
      </c>
      <c r="AA43" s="252"/>
      <c r="AB43" s="141"/>
      <c r="AC43" s="295"/>
      <c r="AD43" s="156"/>
    </row>
    <row r="44" spans="1:30" ht="22.5" customHeight="1">
      <c r="A44" s="326">
        <f t="shared" si="2"/>
        <v>2</v>
      </c>
      <c r="B44" s="509"/>
      <c r="C44" s="46"/>
      <c r="D44" s="47"/>
      <c r="E44" s="512"/>
      <c r="F44" s="79"/>
      <c r="G44" s="167"/>
      <c r="H44" s="167"/>
      <c r="I44" s="167"/>
      <c r="J44" s="154"/>
      <c r="K44" s="573"/>
      <c r="L44" s="151"/>
      <c r="M44" s="248"/>
      <c r="N44" s="248"/>
      <c r="O44" s="248"/>
      <c r="P44" s="248"/>
      <c r="Q44" s="248"/>
      <c r="R44" s="247"/>
      <c r="S44" s="248"/>
      <c r="T44" s="157"/>
      <c r="U44" s="341"/>
      <c r="V44" s="340">
        <f t="shared" si="6"/>
        <v>0</v>
      </c>
      <c r="W44" s="344">
        <f t="shared" si="7"/>
        <v>0</v>
      </c>
      <c r="X44" s="249"/>
      <c r="Y44" s="341">
        <v>0</v>
      </c>
      <c r="Z44" s="342">
        <f t="shared" si="8"/>
        <v>0</v>
      </c>
      <c r="AA44" s="252"/>
      <c r="AB44" s="141"/>
      <c r="AC44" s="295"/>
      <c r="AD44" s="156"/>
    </row>
    <row r="45" spans="1:30" ht="22.5" customHeight="1">
      <c r="A45" s="326">
        <f t="shared" si="2"/>
        <v>3</v>
      </c>
      <c r="B45" s="509"/>
      <c r="C45" s="46"/>
      <c r="D45" s="47"/>
      <c r="E45" s="512"/>
      <c r="F45" s="79"/>
      <c r="G45" s="167"/>
      <c r="H45" s="167"/>
      <c r="I45" s="167"/>
      <c r="J45" s="154"/>
      <c r="K45" s="573"/>
      <c r="L45" s="151"/>
      <c r="M45" s="248"/>
      <c r="N45" s="248"/>
      <c r="O45" s="248"/>
      <c r="P45" s="248"/>
      <c r="Q45" s="248"/>
      <c r="R45" s="247"/>
      <c r="S45" s="248"/>
      <c r="T45" s="157"/>
      <c r="U45" s="341"/>
      <c r="V45" s="340">
        <f t="shared" si="6"/>
        <v>0</v>
      </c>
      <c r="W45" s="344">
        <f t="shared" si="7"/>
        <v>0</v>
      </c>
      <c r="X45" s="249"/>
      <c r="Y45" s="341">
        <v>0</v>
      </c>
      <c r="Z45" s="342">
        <f t="shared" si="8"/>
        <v>0</v>
      </c>
      <c r="AA45" s="252"/>
      <c r="AB45" s="141"/>
      <c r="AC45" s="295"/>
      <c r="AD45" s="156"/>
    </row>
    <row r="46" spans="1:30" ht="22.5" customHeight="1">
      <c r="A46" s="326">
        <f t="shared" si="2"/>
        <v>4</v>
      </c>
      <c r="B46" s="509"/>
      <c r="C46" s="46"/>
      <c r="D46" s="47"/>
      <c r="E46" s="512"/>
      <c r="F46" s="79"/>
      <c r="G46" s="167"/>
      <c r="H46" s="167"/>
      <c r="I46" s="167"/>
      <c r="J46" s="154"/>
      <c r="K46" s="573"/>
      <c r="L46" s="151"/>
      <c r="M46" s="248"/>
      <c r="N46" s="248"/>
      <c r="O46" s="248"/>
      <c r="P46" s="248"/>
      <c r="Q46" s="248"/>
      <c r="R46" s="247"/>
      <c r="S46" s="248"/>
      <c r="T46" s="157"/>
      <c r="U46" s="341"/>
      <c r="V46" s="340">
        <f t="shared" si="6"/>
        <v>0</v>
      </c>
      <c r="W46" s="344">
        <f t="shared" si="7"/>
        <v>0</v>
      </c>
      <c r="X46" s="249"/>
      <c r="Y46" s="341">
        <v>0</v>
      </c>
      <c r="Z46" s="342">
        <f t="shared" si="8"/>
        <v>0</v>
      </c>
      <c r="AA46" s="252"/>
      <c r="AB46" s="141"/>
      <c r="AC46" s="295"/>
      <c r="AD46" s="156"/>
    </row>
    <row r="47" spans="1:30" ht="22.5" customHeight="1">
      <c r="A47" s="326">
        <f t="shared" si="2"/>
        <v>5</v>
      </c>
      <c r="B47" s="509"/>
      <c r="C47" s="46"/>
      <c r="D47" s="47"/>
      <c r="E47" s="512"/>
      <c r="F47" s="79"/>
      <c r="G47" s="167"/>
      <c r="H47" s="167"/>
      <c r="I47" s="167"/>
      <c r="J47" s="154"/>
      <c r="K47" s="573"/>
      <c r="L47" s="151"/>
      <c r="M47" s="248"/>
      <c r="N47" s="248"/>
      <c r="O47" s="248"/>
      <c r="P47" s="248"/>
      <c r="Q47" s="248"/>
      <c r="R47" s="247"/>
      <c r="S47" s="248"/>
      <c r="T47" s="157"/>
      <c r="U47" s="341"/>
      <c r="V47" s="340">
        <f t="shared" si="6"/>
        <v>0</v>
      </c>
      <c r="W47" s="344">
        <f t="shared" si="7"/>
        <v>0</v>
      </c>
      <c r="X47" s="249"/>
      <c r="Y47" s="341">
        <v>0</v>
      </c>
      <c r="Z47" s="342">
        <f t="shared" si="8"/>
        <v>0</v>
      </c>
      <c r="AA47" s="252"/>
      <c r="AB47" s="141"/>
      <c r="AC47" s="295"/>
      <c r="AD47" s="156"/>
    </row>
    <row r="48" spans="1:30" ht="22.5" customHeight="1">
      <c r="A48" s="326">
        <f t="shared" si="2"/>
        <v>6</v>
      </c>
      <c r="B48" s="509"/>
      <c r="C48" s="46"/>
      <c r="D48" s="47"/>
      <c r="E48" s="512"/>
      <c r="F48" s="79"/>
      <c r="G48" s="167"/>
      <c r="H48" s="167"/>
      <c r="I48" s="167"/>
      <c r="J48" s="154"/>
      <c r="K48" s="573"/>
      <c r="L48" s="151"/>
      <c r="M48" s="248"/>
      <c r="N48" s="248"/>
      <c r="O48" s="248"/>
      <c r="P48" s="248"/>
      <c r="Q48" s="248"/>
      <c r="R48" s="247"/>
      <c r="S48" s="248"/>
      <c r="T48" s="157"/>
      <c r="U48" s="341"/>
      <c r="V48" s="340">
        <f t="shared" si="6"/>
        <v>0</v>
      </c>
      <c r="W48" s="344">
        <f t="shared" si="7"/>
        <v>0</v>
      </c>
      <c r="X48" s="249"/>
      <c r="Y48" s="341">
        <v>0</v>
      </c>
      <c r="Z48" s="342">
        <f t="shared" si="8"/>
        <v>0</v>
      </c>
      <c r="AA48" s="252"/>
      <c r="AB48" s="141"/>
      <c r="AC48" s="295"/>
      <c r="AD48" s="156"/>
    </row>
    <row r="49" spans="1:30" ht="22.5" customHeight="1">
      <c r="A49" s="326">
        <f t="shared" si="2"/>
        <v>7</v>
      </c>
      <c r="B49" s="509"/>
      <c r="C49" s="46"/>
      <c r="D49" s="47"/>
      <c r="E49" s="512"/>
      <c r="F49" s="79"/>
      <c r="G49" s="167"/>
      <c r="H49" s="167"/>
      <c r="I49" s="167"/>
      <c r="J49" s="154"/>
      <c r="K49" s="573"/>
      <c r="L49" s="151"/>
      <c r="M49" s="248"/>
      <c r="N49" s="248"/>
      <c r="O49" s="248"/>
      <c r="P49" s="248"/>
      <c r="Q49" s="248"/>
      <c r="R49" s="247"/>
      <c r="S49" s="248"/>
      <c r="T49" s="157"/>
      <c r="U49" s="341"/>
      <c r="V49" s="340">
        <f t="shared" si="6"/>
        <v>0</v>
      </c>
      <c r="W49" s="344">
        <f t="shared" si="7"/>
        <v>0</v>
      </c>
      <c r="X49" s="249"/>
      <c r="Y49" s="341">
        <v>0</v>
      </c>
      <c r="Z49" s="342">
        <f t="shared" si="8"/>
        <v>0</v>
      </c>
      <c r="AA49" s="252"/>
      <c r="AB49" s="141"/>
      <c r="AC49" s="295"/>
      <c r="AD49" s="156"/>
    </row>
    <row r="50" spans="1:30" ht="22.5" customHeight="1">
      <c r="A50" s="326">
        <f t="shared" si="2"/>
        <v>8</v>
      </c>
      <c r="B50" s="509"/>
      <c r="C50" s="46"/>
      <c r="D50" s="47"/>
      <c r="E50" s="512"/>
      <c r="F50" s="79"/>
      <c r="G50" s="167"/>
      <c r="H50" s="167"/>
      <c r="I50" s="167"/>
      <c r="J50" s="154"/>
      <c r="K50" s="573"/>
      <c r="L50" s="151"/>
      <c r="M50" s="248"/>
      <c r="N50" s="248"/>
      <c r="O50" s="248"/>
      <c r="P50" s="248"/>
      <c r="Q50" s="248"/>
      <c r="R50" s="247"/>
      <c r="S50" s="248"/>
      <c r="T50" s="157"/>
      <c r="U50" s="341"/>
      <c r="V50" s="340">
        <f t="shared" si="6"/>
        <v>0</v>
      </c>
      <c r="W50" s="344">
        <f t="shared" si="7"/>
        <v>0</v>
      </c>
      <c r="X50" s="249"/>
      <c r="Y50" s="341">
        <v>0</v>
      </c>
      <c r="Z50" s="342">
        <f t="shared" si="8"/>
        <v>0</v>
      </c>
      <c r="AA50" s="252"/>
      <c r="AB50" s="141"/>
      <c r="AC50" s="295"/>
      <c r="AD50" s="156"/>
    </row>
    <row r="51" spans="1:30" ht="22.5" customHeight="1">
      <c r="A51" s="326">
        <f t="shared" si="2"/>
        <v>9</v>
      </c>
      <c r="B51" s="509"/>
      <c r="C51" s="46"/>
      <c r="D51" s="47"/>
      <c r="E51" s="512"/>
      <c r="F51" s="79"/>
      <c r="G51" s="167"/>
      <c r="H51" s="167"/>
      <c r="I51" s="167"/>
      <c r="J51" s="154"/>
      <c r="K51" s="573"/>
      <c r="L51" s="151"/>
      <c r="M51" s="248"/>
      <c r="N51" s="248"/>
      <c r="O51" s="248"/>
      <c r="P51" s="248"/>
      <c r="Q51" s="248"/>
      <c r="R51" s="247"/>
      <c r="S51" s="248"/>
      <c r="T51" s="157"/>
      <c r="U51" s="341"/>
      <c r="V51" s="340">
        <f t="shared" si="6"/>
        <v>0</v>
      </c>
      <c r="W51" s="344">
        <f t="shared" si="7"/>
        <v>0</v>
      </c>
      <c r="X51" s="249"/>
      <c r="Y51" s="341">
        <v>0</v>
      </c>
      <c r="Z51" s="342">
        <f t="shared" si="8"/>
        <v>0</v>
      </c>
      <c r="AA51" s="252"/>
      <c r="AB51" s="141"/>
      <c r="AC51" s="295"/>
      <c r="AD51" s="156"/>
    </row>
    <row r="52" spans="1:30" ht="22.5" customHeight="1">
      <c r="A52" s="326">
        <f t="shared" si="2"/>
        <v>10</v>
      </c>
      <c r="B52" s="509"/>
      <c r="C52" s="46"/>
      <c r="D52" s="47"/>
      <c r="E52" s="512"/>
      <c r="F52" s="79"/>
      <c r="G52" s="167"/>
      <c r="H52" s="167"/>
      <c r="I52" s="167"/>
      <c r="J52" s="154"/>
      <c r="K52" s="573"/>
      <c r="L52" s="151"/>
      <c r="M52" s="248"/>
      <c r="N52" s="248"/>
      <c r="O52" s="248"/>
      <c r="P52" s="248"/>
      <c r="Q52" s="248"/>
      <c r="R52" s="247"/>
      <c r="S52" s="248"/>
      <c r="T52" s="157"/>
      <c r="U52" s="341"/>
      <c r="V52" s="340">
        <f t="shared" si="6"/>
        <v>0</v>
      </c>
      <c r="W52" s="344">
        <f t="shared" si="7"/>
        <v>0</v>
      </c>
      <c r="X52" s="249"/>
      <c r="Y52" s="341">
        <v>0</v>
      </c>
      <c r="Z52" s="342">
        <f t="shared" si="8"/>
        <v>0</v>
      </c>
      <c r="AA52" s="252"/>
      <c r="AB52" s="141"/>
      <c r="AC52" s="295"/>
      <c r="AD52" s="156"/>
    </row>
    <row r="53" spans="1:30" ht="22.5" customHeight="1">
      <c r="A53" s="326">
        <f t="shared" si="2"/>
        <v>11</v>
      </c>
      <c r="B53" s="509"/>
      <c r="C53" s="46"/>
      <c r="D53" s="47"/>
      <c r="E53" s="512"/>
      <c r="F53" s="79"/>
      <c r="G53" s="167"/>
      <c r="H53" s="167"/>
      <c r="I53" s="167"/>
      <c r="J53" s="154"/>
      <c r="K53" s="573"/>
      <c r="L53" s="151"/>
      <c r="M53" s="248"/>
      <c r="N53" s="248"/>
      <c r="O53" s="248"/>
      <c r="P53" s="248"/>
      <c r="Q53" s="248"/>
      <c r="R53" s="247"/>
      <c r="S53" s="248"/>
      <c r="T53" s="157"/>
      <c r="U53" s="341"/>
      <c r="V53" s="340">
        <f t="shared" si="6"/>
        <v>0</v>
      </c>
      <c r="W53" s="344">
        <f t="shared" si="7"/>
        <v>0</v>
      </c>
      <c r="X53" s="249"/>
      <c r="Y53" s="341">
        <v>0</v>
      </c>
      <c r="Z53" s="342">
        <f t="shared" si="8"/>
        <v>0</v>
      </c>
      <c r="AA53" s="252"/>
      <c r="AB53" s="141"/>
      <c r="AC53" s="295"/>
      <c r="AD53" s="156"/>
    </row>
    <row r="54" spans="1:30" ht="22.5" customHeight="1">
      <c r="A54" s="326">
        <f t="shared" si="2"/>
        <v>12</v>
      </c>
      <c r="B54" s="509"/>
      <c r="C54" s="46"/>
      <c r="D54" s="47"/>
      <c r="E54" s="512"/>
      <c r="F54" s="79"/>
      <c r="G54" s="167"/>
      <c r="H54" s="167"/>
      <c r="I54" s="167"/>
      <c r="J54" s="154"/>
      <c r="K54" s="573"/>
      <c r="L54" s="151"/>
      <c r="M54" s="248"/>
      <c r="N54" s="248"/>
      <c r="O54" s="248"/>
      <c r="P54" s="248"/>
      <c r="Q54" s="248"/>
      <c r="R54" s="247"/>
      <c r="S54" s="248"/>
      <c r="T54" s="157"/>
      <c r="U54" s="341"/>
      <c r="V54" s="340">
        <f t="shared" si="6"/>
        <v>0</v>
      </c>
      <c r="W54" s="344">
        <f t="shared" si="7"/>
        <v>0</v>
      </c>
      <c r="X54" s="249"/>
      <c r="Y54" s="341">
        <v>0</v>
      </c>
      <c r="Z54" s="342">
        <f t="shared" si="8"/>
        <v>0</v>
      </c>
      <c r="AA54" s="252"/>
      <c r="AB54" s="141"/>
      <c r="AC54" s="295"/>
      <c r="AD54" s="156"/>
    </row>
    <row r="55" spans="1:30" ht="22.5" customHeight="1">
      <c r="A55" s="326">
        <f t="shared" si="2"/>
        <v>13</v>
      </c>
      <c r="B55" s="509"/>
      <c r="C55" s="46"/>
      <c r="D55" s="47"/>
      <c r="E55" s="512"/>
      <c r="F55" s="79"/>
      <c r="G55" s="167"/>
      <c r="H55" s="167"/>
      <c r="I55" s="167"/>
      <c r="J55" s="154"/>
      <c r="K55" s="573"/>
      <c r="L55" s="151"/>
      <c r="M55" s="248"/>
      <c r="N55" s="248"/>
      <c r="O55" s="248"/>
      <c r="P55" s="248"/>
      <c r="Q55" s="248"/>
      <c r="R55" s="247"/>
      <c r="S55" s="248"/>
      <c r="T55" s="157"/>
      <c r="U55" s="341"/>
      <c r="V55" s="340">
        <f t="shared" si="6"/>
        <v>0</v>
      </c>
      <c r="W55" s="344">
        <f t="shared" si="7"/>
        <v>0</v>
      </c>
      <c r="X55" s="249"/>
      <c r="Y55" s="341">
        <v>0</v>
      </c>
      <c r="Z55" s="342">
        <f t="shared" si="8"/>
        <v>0</v>
      </c>
      <c r="AA55" s="252"/>
      <c r="AB55" s="141"/>
      <c r="AC55" s="295"/>
      <c r="AD55" s="156"/>
    </row>
    <row r="56" spans="1:30" ht="22.5" customHeight="1">
      <c r="A56" s="326">
        <f t="shared" si="2"/>
        <v>14</v>
      </c>
      <c r="B56" s="509"/>
      <c r="C56" s="46"/>
      <c r="D56" s="47"/>
      <c r="E56" s="512"/>
      <c r="F56" s="79"/>
      <c r="G56" s="167"/>
      <c r="H56" s="167"/>
      <c r="I56" s="167"/>
      <c r="J56" s="154"/>
      <c r="K56" s="573"/>
      <c r="L56" s="151"/>
      <c r="M56" s="248"/>
      <c r="N56" s="248"/>
      <c r="O56" s="248"/>
      <c r="P56" s="248"/>
      <c r="Q56" s="248"/>
      <c r="R56" s="247"/>
      <c r="S56" s="248"/>
      <c r="T56" s="157"/>
      <c r="U56" s="341"/>
      <c r="V56" s="340">
        <f t="shared" si="6"/>
        <v>0</v>
      </c>
      <c r="W56" s="344">
        <f t="shared" si="7"/>
        <v>0</v>
      </c>
      <c r="X56" s="249"/>
      <c r="Y56" s="341">
        <v>0</v>
      </c>
      <c r="Z56" s="342">
        <f t="shared" si="8"/>
        <v>0</v>
      </c>
      <c r="AA56" s="252"/>
      <c r="AB56" s="141"/>
      <c r="AC56" s="295"/>
      <c r="AD56" s="156"/>
    </row>
    <row r="57" spans="1:30" ht="22.5" customHeight="1">
      <c r="A57" s="326">
        <f t="shared" si="2"/>
        <v>15</v>
      </c>
      <c r="B57" s="509"/>
      <c r="C57" s="46"/>
      <c r="D57" s="47"/>
      <c r="E57" s="512"/>
      <c r="F57" s="79"/>
      <c r="G57" s="167"/>
      <c r="H57" s="167"/>
      <c r="I57" s="167"/>
      <c r="J57" s="154"/>
      <c r="K57" s="573"/>
      <c r="L57" s="151"/>
      <c r="M57" s="248"/>
      <c r="N57" s="248"/>
      <c r="O57" s="248"/>
      <c r="P57" s="248"/>
      <c r="Q57" s="248"/>
      <c r="R57" s="247"/>
      <c r="S57" s="248"/>
      <c r="T57" s="157"/>
      <c r="U57" s="341"/>
      <c r="V57" s="340">
        <f t="shared" si="6"/>
        <v>0</v>
      </c>
      <c r="W57" s="344">
        <f t="shared" si="7"/>
        <v>0</v>
      </c>
      <c r="X57" s="249"/>
      <c r="Y57" s="341">
        <v>0</v>
      </c>
      <c r="Z57" s="342">
        <f t="shared" si="8"/>
        <v>0</v>
      </c>
      <c r="AA57" s="252"/>
      <c r="AB57" s="141"/>
      <c r="AC57" s="295"/>
      <c r="AD57" s="156"/>
    </row>
    <row r="58" spans="1:30" ht="22.5" customHeight="1">
      <c r="A58" s="326">
        <f t="shared" si="2"/>
        <v>16</v>
      </c>
      <c r="B58" s="509"/>
      <c r="C58" s="46"/>
      <c r="D58" s="47"/>
      <c r="E58" s="512"/>
      <c r="F58" s="79"/>
      <c r="G58" s="167"/>
      <c r="H58" s="167"/>
      <c r="I58" s="167"/>
      <c r="J58" s="154"/>
      <c r="K58" s="573"/>
      <c r="L58" s="151"/>
      <c r="M58" s="248"/>
      <c r="N58" s="248"/>
      <c r="O58" s="248"/>
      <c r="P58" s="248"/>
      <c r="Q58" s="248"/>
      <c r="R58" s="247"/>
      <c r="S58" s="248"/>
      <c r="T58" s="157"/>
      <c r="U58" s="341"/>
      <c r="V58" s="340">
        <f t="shared" si="6"/>
        <v>0</v>
      </c>
      <c r="W58" s="344">
        <f t="shared" si="7"/>
        <v>0</v>
      </c>
      <c r="X58" s="249"/>
      <c r="Y58" s="341">
        <v>0</v>
      </c>
      <c r="Z58" s="342">
        <f t="shared" si="8"/>
        <v>0</v>
      </c>
      <c r="AA58" s="252"/>
      <c r="AB58" s="141"/>
      <c r="AC58" s="295"/>
      <c r="AD58" s="156"/>
    </row>
    <row r="59" spans="1:30" ht="22.5" customHeight="1">
      <c r="A59" s="326">
        <f t="shared" si="2"/>
        <v>17</v>
      </c>
      <c r="B59" s="509"/>
      <c r="C59" s="46"/>
      <c r="D59" s="47"/>
      <c r="E59" s="512"/>
      <c r="F59" s="79"/>
      <c r="G59" s="167"/>
      <c r="H59" s="167"/>
      <c r="I59" s="167"/>
      <c r="J59" s="154"/>
      <c r="K59" s="573"/>
      <c r="L59" s="151"/>
      <c r="M59" s="248"/>
      <c r="N59" s="248"/>
      <c r="O59" s="248"/>
      <c r="P59" s="248"/>
      <c r="Q59" s="248"/>
      <c r="R59" s="247"/>
      <c r="S59" s="248"/>
      <c r="T59" s="157"/>
      <c r="U59" s="341"/>
      <c r="V59" s="340">
        <f t="shared" si="6"/>
        <v>0</v>
      </c>
      <c r="W59" s="344">
        <f t="shared" si="7"/>
        <v>0</v>
      </c>
      <c r="X59" s="249"/>
      <c r="Y59" s="341">
        <v>0</v>
      </c>
      <c r="Z59" s="342">
        <f t="shared" si="8"/>
        <v>0</v>
      </c>
      <c r="AA59" s="252"/>
      <c r="AB59" s="141"/>
      <c r="AC59" s="295"/>
      <c r="AD59" s="156"/>
    </row>
    <row r="60" spans="1:30" ht="22.5" customHeight="1">
      <c r="A60" s="326">
        <f t="shared" si="2"/>
        <v>18</v>
      </c>
      <c r="B60" s="509"/>
      <c r="C60" s="46"/>
      <c r="D60" s="47"/>
      <c r="E60" s="512"/>
      <c r="F60" s="79"/>
      <c r="G60" s="167"/>
      <c r="H60" s="167"/>
      <c r="I60" s="167"/>
      <c r="J60" s="154"/>
      <c r="K60" s="573"/>
      <c r="L60" s="151"/>
      <c r="M60" s="248"/>
      <c r="N60" s="248"/>
      <c r="O60" s="248"/>
      <c r="P60" s="248"/>
      <c r="Q60" s="248"/>
      <c r="R60" s="247"/>
      <c r="S60" s="248"/>
      <c r="T60" s="157"/>
      <c r="U60" s="341"/>
      <c r="V60" s="340">
        <f t="shared" si="6"/>
        <v>0</v>
      </c>
      <c r="W60" s="344">
        <f t="shared" si="7"/>
        <v>0</v>
      </c>
      <c r="X60" s="249"/>
      <c r="Y60" s="341">
        <v>0</v>
      </c>
      <c r="Z60" s="342">
        <f t="shared" si="8"/>
        <v>0</v>
      </c>
      <c r="AA60" s="252"/>
      <c r="AB60" s="141"/>
      <c r="AC60" s="295"/>
      <c r="AD60" s="156"/>
    </row>
    <row r="61" spans="1:30" ht="22.5" customHeight="1">
      <c r="A61" s="326">
        <f t="shared" si="2"/>
        <v>19</v>
      </c>
      <c r="B61" s="509"/>
      <c r="C61" s="46"/>
      <c r="D61" s="47"/>
      <c r="E61" s="512"/>
      <c r="F61" s="79"/>
      <c r="G61" s="167"/>
      <c r="H61" s="167"/>
      <c r="I61" s="167"/>
      <c r="J61" s="154"/>
      <c r="K61" s="573"/>
      <c r="L61" s="151"/>
      <c r="M61" s="248"/>
      <c r="N61" s="248"/>
      <c r="O61" s="248"/>
      <c r="P61" s="248"/>
      <c r="Q61" s="248"/>
      <c r="R61" s="247"/>
      <c r="S61" s="248"/>
      <c r="T61" s="157"/>
      <c r="U61" s="341"/>
      <c r="V61" s="340">
        <f t="shared" si="6"/>
        <v>0</v>
      </c>
      <c r="W61" s="344">
        <f t="shared" si="7"/>
        <v>0</v>
      </c>
      <c r="X61" s="249"/>
      <c r="Y61" s="341">
        <v>0</v>
      </c>
      <c r="Z61" s="342">
        <f t="shared" si="8"/>
        <v>0</v>
      </c>
      <c r="AA61" s="252"/>
      <c r="AB61" s="141"/>
      <c r="AC61" s="295"/>
      <c r="AD61" s="156"/>
    </row>
    <row r="62" spans="1:30" ht="22.5" customHeight="1">
      <c r="A62" s="326">
        <f t="shared" si="2"/>
        <v>20</v>
      </c>
      <c r="B62" s="509"/>
      <c r="C62" s="46"/>
      <c r="D62" s="47"/>
      <c r="E62" s="512"/>
      <c r="F62" s="79"/>
      <c r="G62" s="167"/>
      <c r="H62" s="167"/>
      <c r="I62" s="167"/>
      <c r="J62" s="154"/>
      <c r="K62" s="573"/>
      <c r="L62" s="151"/>
      <c r="M62" s="248"/>
      <c r="N62" s="248"/>
      <c r="O62" s="248"/>
      <c r="P62" s="248"/>
      <c r="Q62" s="248"/>
      <c r="R62" s="247"/>
      <c r="S62" s="248"/>
      <c r="T62" s="157"/>
      <c r="U62" s="341"/>
      <c r="V62" s="340">
        <f t="shared" si="6"/>
        <v>0</v>
      </c>
      <c r="W62" s="344">
        <f t="shared" si="7"/>
        <v>0</v>
      </c>
      <c r="X62" s="249"/>
      <c r="Y62" s="341">
        <v>0</v>
      </c>
      <c r="Z62" s="342">
        <f t="shared" si="8"/>
        <v>0</v>
      </c>
      <c r="AA62" s="252"/>
      <c r="AB62" s="141"/>
      <c r="AC62" s="295"/>
      <c r="AD62" s="156"/>
    </row>
    <row r="63" spans="1:30">
      <c r="M63" s="248"/>
      <c r="N63" s="248"/>
      <c r="O63" s="248"/>
      <c r="P63" s="248"/>
      <c r="Q63" s="248"/>
      <c r="R63" s="247"/>
      <c r="S63" s="248"/>
      <c r="V63" s="248"/>
      <c r="W63" s="194"/>
      <c r="X63" s="249"/>
      <c r="Y63" s="250"/>
      <c r="Z63" s="251"/>
      <c r="AA63" s="252"/>
    </row>
    <row r="64" spans="1:30">
      <c r="M64" s="248"/>
      <c r="N64" s="248"/>
      <c r="O64" s="248"/>
      <c r="P64" s="248"/>
      <c r="Q64" s="248"/>
      <c r="R64" s="247"/>
      <c r="S64" s="248"/>
      <c r="V64" s="248"/>
      <c r="W64" s="194"/>
      <c r="X64" s="249"/>
      <c r="Y64" s="250"/>
      <c r="Z64" s="251"/>
      <c r="AA64" s="252"/>
    </row>
    <row r="65" spans="13:27">
      <c r="M65" s="248"/>
      <c r="N65" s="248"/>
      <c r="O65" s="248"/>
      <c r="P65" s="248"/>
      <c r="Q65" s="248"/>
      <c r="R65" s="247"/>
      <c r="S65" s="248"/>
      <c r="V65" s="248"/>
      <c r="W65" s="194"/>
      <c r="X65" s="249"/>
      <c r="Y65" s="250"/>
      <c r="Z65" s="251"/>
      <c r="AA65" s="252"/>
    </row>
    <row r="66" spans="13:27">
      <c r="M66" s="248"/>
      <c r="N66" s="248"/>
      <c r="O66" s="248"/>
      <c r="P66" s="248"/>
      <c r="Q66" s="248"/>
      <c r="R66" s="247"/>
      <c r="S66" s="248"/>
      <c r="V66" s="248"/>
      <c r="W66" s="194"/>
      <c r="X66" s="249"/>
      <c r="Y66" s="250"/>
      <c r="Z66" s="251"/>
      <c r="AA66" s="252"/>
    </row>
    <row r="67" spans="13:27">
      <c r="M67" s="248"/>
      <c r="N67" s="248"/>
      <c r="O67" s="248"/>
      <c r="P67" s="248"/>
      <c r="Q67" s="248"/>
      <c r="R67" s="247"/>
      <c r="S67" s="248"/>
      <c r="V67" s="248"/>
      <c r="W67" s="194"/>
      <c r="X67" s="249"/>
      <c r="Y67" s="250"/>
      <c r="Z67" s="251"/>
      <c r="AA67" s="252"/>
    </row>
    <row r="68" spans="13:27">
      <c r="M68" s="248"/>
      <c r="N68" s="248"/>
      <c r="O68" s="248"/>
      <c r="P68" s="248"/>
      <c r="Q68" s="248"/>
      <c r="R68" s="247"/>
      <c r="S68" s="248"/>
      <c r="V68" s="248"/>
      <c r="W68" s="194"/>
      <c r="X68" s="249"/>
      <c r="Y68" s="250"/>
      <c r="Z68" s="251"/>
      <c r="AA68" s="252"/>
    </row>
    <row r="69" spans="13:27">
      <c r="M69" s="248"/>
      <c r="N69" s="248"/>
      <c r="O69" s="248"/>
      <c r="P69" s="248"/>
      <c r="Q69" s="248"/>
      <c r="R69" s="247"/>
      <c r="S69" s="248"/>
      <c r="V69" s="248"/>
      <c r="W69" s="194"/>
      <c r="X69" s="249"/>
      <c r="Y69" s="250"/>
      <c r="Z69" s="251"/>
      <c r="AA69" s="252"/>
    </row>
    <row r="70" spans="13:27">
      <c r="M70" s="248"/>
      <c r="N70" s="248"/>
      <c r="O70" s="248"/>
      <c r="P70" s="248"/>
      <c r="Q70" s="248"/>
      <c r="R70" s="247"/>
      <c r="S70" s="248"/>
      <c r="V70" s="248"/>
      <c r="W70" s="194"/>
      <c r="X70" s="249"/>
      <c r="Y70" s="250"/>
      <c r="Z70" s="251"/>
      <c r="AA70" s="252"/>
    </row>
    <row r="71" spans="13:27">
      <c r="M71" s="248"/>
      <c r="N71" s="248"/>
      <c r="O71" s="248"/>
      <c r="P71" s="248"/>
      <c r="Q71" s="248"/>
      <c r="R71" s="247"/>
      <c r="S71" s="248"/>
      <c r="V71" s="248"/>
      <c r="W71" s="194"/>
      <c r="X71" s="249"/>
      <c r="Y71" s="250"/>
      <c r="Z71" s="251"/>
      <c r="AA71" s="252"/>
    </row>
    <row r="72" spans="13:27">
      <c r="M72" s="248"/>
      <c r="N72" s="248"/>
      <c r="O72" s="248"/>
      <c r="P72" s="248"/>
      <c r="Q72" s="248"/>
      <c r="R72" s="247"/>
      <c r="S72" s="248"/>
      <c r="V72" s="248"/>
      <c r="W72" s="194"/>
      <c r="X72" s="249"/>
      <c r="Y72" s="250"/>
      <c r="Z72" s="251"/>
      <c r="AA72" s="252"/>
    </row>
    <row r="73" spans="13:27">
      <c r="M73" s="248"/>
      <c r="N73" s="248"/>
      <c r="O73" s="248"/>
      <c r="P73" s="248"/>
      <c r="Q73" s="248"/>
      <c r="R73" s="247"/>
      <c r="S73" s="248"/>
      <c r="V73" s="248"/>
      <c r="W73" s="194"/>
      <c r="X73" s="249"/>
      <c r="Y73" s="250"/>
      <c r="Z73" s="251"/>
      <c r="AA73" s="252"/>
    </row>
    <row r="74" spans="13:27">
      <c r="M74" s="248"/>
      <c r="N74" s="248"/>
      <c r="O74" s="248"/>
      <c r="P74" s="248"/>
      <c r="Q74" s="248"/>
      <c r="R74" s="247"/>
      <c r="S74" s="248"/>
      <c r="V74" s="248"/>
      <c r="W74" s="194"/>
      <c r="X74" s="249"/>
      <c r="Y74" s="250"/>
      <c r="Z74" s="251"/>
      <c r="AA74" s="252"/>
    </row>
    <row r="75" spans="13:27">
      <c r="M75" s="248"/>
      <c r="N75" s="248"/>
      <c r="O75" s="248"/>
      <c r="P75" s="248"/>
      <c r="Q75" s="248"/>
      <c r="R75" s="247"/>
      <c r="S75" s="248"/>
      <c r="V75" s="248"/>
      <c r="W75" s="194"/>
      <c r="X75" s="249"/>
      <c r="Y75" s="250"/>
      <c r="Z75" s="251"/>
      <c r="AA75" s="252"/>
    </row>
    <row r="76" spans="13:27">
      <c r="M76" s="248"/>
      <c r="N76" s="248"/>
      <c r="O76" s="248"/>
      <c r="P76" s="248"/>
      <c r="Q76" s="248"/>
      <c r="R76" s="247"/>
      <c r="S76" s="248"/>
      <c r="V76" s="248"/>
      <c r="W76" s="194"/>
      <c r="X76" s="249"/>
      <c r="Y76" s="250"/>
      <c r="Z76" s="251"/>
      <c r="AA76" s="252"/>
    </row>
    <row r="77" spans="13:27">
      <c r="M77" s="248"/>
      <c r="N77" s="248"/>
      <c r="O77" s="248"/>
      <c r="P77" s="248"/>
      <c r="Q77" s="248"/>
      <c r="R77" s="247"/>
      <c r="S77" s="248"/>
      <c r="V77" s="248"/>
      <c r="W77" s="194"/>
      <c r="X77" s="249"/>
      <c r="Y77" s="250"/>
      <c r="Z77" s="251"/>
      <c r="AA77" s="252"/>
    </row>
    <row r="78" spans="13:27">
      <c r="M78" s="248"/>
      <c r="N78" s="248"/>
      <c r="O78" s="248"/>
      <c r="P78" s="248"/>
      <c r="Q78" s="248"/>
      <c r="R78" s="247"/>
      <c r="S78" s="248"/>
      <c r="V78" s="248"/>
      <c r="W78" s="194"/>
      <c r="X78" s="249"/>
      <c r="Y78" s="250"/>
      <c r="Z78" s="251"/>
      <c r="AA78" s="252"/>
    </row>
    <row r="79" spans="13:27">
      <c r="M79" s="248"/>
      <c r="N79" s="248"/>
      <c r="O79" s="248"/>
      <c r="P79" s="248"/>
      <c r="Q79" s="248"/>
      <c r="R79" s="247"/>
      <c r="S79" s="248"/>
      <c r="V79" s="248"/>
      <c r="W79" s="194"/>
      <c r="X79" s="249"/>
      <c r="Y79" s="250"/>
      <c r="Z79" s="251"/>
      <c r="AA79" s="252"/>
    </row>
    <row r="80" spans="13:27">
      <c r="M80" s="248"/>
      <c r="N80" s="248"/>
      <c r="O80" s="248"/>
      <c r="P80" s="248"/>
      <c r="Q80" s="248"/>
      <c r="R80" s="247"/>
      <c r="S80" s="248"/>
      <c r="V80" s="248"/>
      <c r="W80" s="194"/>
      <c r="X80" s="249"/>
      <c r="Y80" s="250"/>
      <c r="Z80" s="251"/>
      <c r="AA80" s="252"/>
    </row>
    <row r="81" spans="13:27">
      <c r="M81" s="248"/>
      <c r="N81" s="248"/>
      <c r="O81" s="248"/>
      <c r="P81" s="248"/>
      <c r="Q81" s="248"/>
      <c r="R81" s="247"/>
      <c r="S81" s="248"/>
      <c r="V81" s="248"/>
      <c r="W81" s="194"/>
      <c r="X81" s="249"/>
      <c r="Y81" s="250"/>
      <c r="Z81" s="251"/>
      <c r="AA81" s="252"/>
    </row>
    <row r="82" spans="13:27">
      <c r="M82" s="248"/>
      <c r="N82" s="248"/>
      <c r="O82" s="248"/>
      <c r="P82" s="248"/>
      <c r="Q82" s="248"/>
      <c r="R82" s="247"/>
      <c r="S82" s="248"/>
      <c r="V82" s="248"/>
      <c r="W82" s="194"/>
      <c r="X82" s="249"/>
      <c r="Y82" s="250"/>
      <c r="Z82" s="251"/>
      <c r="AA82" s="252"/>
    </row>
    <row r="83" spans="13:27">
      <c r="M83" s="248"/>
      <c r="N83" s="248"/>
      <c r="O83" s="248"/>
      <c r="P83" s="248"/>
      <c r="Q83" s="248"/>
      <c r="R83" s="247"/>
      <c r="S83" s="248"/>
      <c r="V83" s="248"/>
      <c r="W83" s="194"/>
      <c r="X83" s="249"/>
      <c r="Y83" s="250"/>
      <c r="Z83" s="251"/>
      <c r="AA83" s="252"/>
    </row>
    <row r="84" spans="13:27">
      <c r="M84" s="248"/>
      <c r="N84" s="248"/>
      <c r="O84" s="248"/>
      <c r="P84" s="248"/>
      <c r="Q84" s="248"/>
      <c r="R84" s="247"/>
      <c r="S84" s="248"/>
      <c r="V84" s="248"/>
      <c r="W84" s="194"/>
      <c r="X84" s="249"/>
      <c r="Y84" s="250"/>
      <c r="Z84" s="251"/>
      <c r="AA84" s="252"/>
    </row>
    <row r="85" spans="13:27">
      <c r="M85" s="248"/>
      <c r="N85" s="248"/>
      <c r="O85" s="248"/>
      <c r="P85" s="248"/>
      <c r="Q85" s="248"/>
      <c r="R85" s="247"/>
      <c r="S85" s="248"/>
      <c r="V85" s="248"/>
      <c r="W85" s="194"/>
      <c r="X85" s="249"/>
      <c r="Y85" s="250"/>
      <c r="Z85" s="251"/>
      <c r="AA85" s="252"/>
    </row>
    <row r="86" spans="13:27">
      <c r="M86" s="248"/>
      <c r="N86" s="248"/>
      <c r="O86" s="248"/>
      <c r="P86" s="248"/>
      <c r="Q86" s="248"/>
      <c r="R86" s="247"/>
      <c r="S86" s="248"/>
      <c r="V86" s="248"/>
      <c r="W86" s="194"/>
      <c r="X86" s="249"/>
      <c r="Y86" s="250"/>
      <c r="Z86" s="251"/>
      <c r="AA86" s="252"/>
    </row>
    <row r="87" spans="13:27">
      <c r="M87" s="248"/>
      <c r="N87" s="248"/>
      <c r="O87" s="248"/>
      <c r="P87" s="248"/>
      <c r="Q87" s="248"/>
      <c r="R87" s="247"/>
      <c r="S87" s="248"/>
      <c r="V87" s="248"/>
      <c r="W87" s="194"/>
      <c r="X87" s="249"/>
      <c r="Y87" s="250"/>
      <c r="Z87" s="251"/>
      <c r="AA87" s="252"/>
    </row>
    <row r="88" spans="13:27">
      <c r="M88" s="248"/>
      <c r="N88" s="248"/>
      <c r="O88" s="248"/>
      <c r="P88" s="248"/>
      <c r="Q88" s="248"/>
      <c r="R88" s="247"/>
      <c r="S88" s="248"/>
      <c r="V88" s="248"/>
      <c r="W88" s="194"/>
      <c r="X88" s="249"/>
      <c r="Y88" s="250"/>
      <c r="Z88" s="251"/>
      <c r="AA88" s="252"/>
    </row>
    <row r="89" spans="13:27">
      <c r="M89" s="248"/>
      <c r="N89" s="248"/>
      <c r="O89" s="248"/>
      <c r="P89" s="248"/>
      <c r="Q89" s="248"/>
      <c r="R89" s="247"/>
      <c r="S89" s="248"/>
      <c r="V89" s="248"/>
      <c r="W89" s="194"/>
      <c r="X89" s="249"/>
      <c r="Y89" s="250"/>
      <c r="Z89" s="251"/>
      <c r="AA89" s="252"/>
    </row>
    <row r="90" spans="13:27">
      <c r="M90" s="248"/>
      <c r="N90" s="248"/>
      <c r="O90" s="248"/>
      <c r="P90" s="248"/>
      <c r="Q90" s="248"/>
      <c r="R90" s="247"/>
      <c r="S90" s="248"/>
      <c r="V90" s="248"/>
      <c r="W90" s="194"/>
      <c r="X90" s="249"/>
      <c r="Y90" s="250"/>
      <c r="Z90" s="251"/>
      <c r="AA90" s="252"/>
    </row>
    <row r="91" spans="13:27">
      <c r="M91" s="248"/>
      <c r="N91" s="248"/>
      <c r="O91" s="248"/>
      <c r="P91" s="248"/>
      <c r="Q91" s="248"/>
      <c r="R91" s="247"/>
      <c r="S91" s="248"/>
      <c r="V91" s="248"/>
      <c r="W91" s="194"/>
      <c r="X91" s="249"/>
      <c r="Y91" s="250"/>
      <c r="Z91" s="251"/>
      <c r="AA91" s="252"/>
    </row>
    <row r="92" spans="13:27">
      <c r="M92" s="248"/>
      <c r="N92" s="248"/>
      <c r="O92" s="248"/>
      <c r="P92" s="248"/>
      <c r="Q92" s="248"/>
      <c r="R92" s="247"/>
      <c r="S92" s="248"/>
      <c r="V92" s="248"/>
      <c r="W92" s="194"/>
      <c r="X92" s="249"/>
      <c r="Y92" s="250"/>
      <c r="Z92" s="251"/>
      <c r="AA92" s="252"/>
    </row>
    <row r="93" spans="13:27">
      <c r="M93" s="248"/>
      <c r="N93" s="248"/>
      <c r="O93" s="248"/>
      <c r="P93" s="248"/>
      <c r="Q93" s="248"/>
      <c r="R93" s="247"/>
      <c r="S93" s="248"/>
      <c r="V93" s="248"/>
      <c r="W93" s="194"/>
      <c r="X93" s="249"/>
      <c r="Y93" s="250"/>
      <c r="Z93" s="251"/>
      <c r="AA93" s="252"/>
    </row>
    <row r="94" spans="13:27">
      <c r="M94" s="248"/>
      <c r="N94" s="248"/>
      <c r="O94" s="248"/>
      <c r="P94" s="248"/>
      <c r="Q94" s="248"/>
      <c r="R94" s="247"/>
      <c r="S94" s="248"/>
      <c r="V94" s="248"/>
      <c r="W94" s="194"/>
      <c r="X94" s="249"/>
      <c r="Y94" s="250"/>
      <c r="Z94" s="251"/>
      <c r="AA94" s="252"/>
    </row>
    <row r="95" spans="13:27">
      <c r="M95" s="248"/>
      <c r="N95" s="248"/>
      <c r="O95" s="248"/>
      <c r="P95" s="248"/>
      <c r="Q95" s="248"/>
      <c r="R95" s="247"/>
      <c r="S95" s="248"/>
      <c r="V95" s="248"/>
      <c r="W95" s="194"/>
      <c r="X95" s="249"/>
      <c r="Y95" s="250"/>
      <c r="Z95" s="251"/>
      <c r="AA95" s="252"/>
    </row>
    <row r="96" spans="13:27">
      <c r="M96" s="248"/>
      <c r="N96" s="248"/>
      <c r="O96" s="248"/>
      <c r="P96" s="248"/>
      <c r="Q96" s="248"/>
      <c r="R96" s="247"/>
      <c r="S96" s="248"/>
      <c r="V96" s="248"/>
      <c r="W96" s="194"/>
      <c r="X96" s="249"/>
      <c r="Y96" s="250"/>
      <c r="Z96" s="251"/>
      <c r="AA96" s="252"/>
    </row>
    <row r="97" spans="13:27">
      <c r="M97" s="248"/>
      <c r="N97" s="248"/>
      <c r="O97" s="248"/>
      <c r="P97" s="248"/>
      <c r="Q97" s="248"/>
      <c r="R97" s="247"/>
      <c r="S97" s="248"/>
      <c r="V97" s="248"/>
      <c r="W97" s="194"/>
      <c r="X97" s="249"/>
      <c r="Y97" s="250"/>
      <c r="Z97" s="251"/>
      <c r="AA97" s="252"/>
    </row>
    <row r="98" spans="13:27">
      <c r="M98" s="248"/>
      <c r="N98" s="248"/>
      <c r="O98" s="248"/>
      <c r="P98" s="248"/>
      <c r="Q98" s="248"/>
      <c r="R98" s="247"/>
      <c r="S98" s="248"/>
      <c r="V98" s="248"/>
      <c r="W98" s="194"/>
      <c r="X98" s="249"/>
      <c r="Y98" s="250"/>
      <c r="Z98" s="251"/>
      <c r="AA98" s="252"/>
    </row>
    <row r="99" spans="13:27">
      <c r="M99" s="248"/>
      <c r="N99" s="248"/>
      <c r="O99" s="248"/>
      <c r="P99" s="248"/>
      <c r="Q99" s="248"/>
      <c r="R99" s="247"/>
      <c r="S99" s="248"/>
      <c r="V99" s="248"/>
      <c r="W99" s="194"/>
      <c r="X99" s="249"/>
      <c r="Y99" s="250"/>
      <c r="Z99" s="251"/>
      <c r="AA99" s="252"/>
    </row>
    <row r="100" spans="13:27">
      <c r="M100" s="248"/>
      <c r="N100" s="248"/>
      <c r="O100" s="248"/>
      <c r="P100" s="248"/>
      <c r="Q100" s="248"/>
      <c r="R100" s="247"/>
      <c r="S100" s="248"/>
      <c r="V100" s="248"/>
      <c r="W100" s="194"/>
      <c r="X100" s="249"/>
      <c r="Y100" s="250"/>
      <c r="Z100" s="251"/>
      <c r="AA100" s="252"/>
    </row>
    <row r="101" spans="13:27">
      <c r="M101" s="248"/>
      <c r="N101" s="248"/>
      <c r="O101" s="248"/>
      <c r="P101" s="248"/>
      <c r="Q101" s="248"/>
      <c r="R101" s="247"/>
      <c r="S101" s="248"/>
      <c r="V101" s="248"/>
      <c r="W101" s="194"/>
      <c r="X101" s="249"/>
      <c r="Y101" s="250"/>
      <c r="Z101" s="251"/>
      <c r="AA101" s="252"/>
    </row>
    <row r="102" spans="13:27">
      <c r="M102" s="248"/>
      <c r="N102" s="248"/>
      <c r="O102" s="248"/>
      <c r="P102" s="248"/>
      <c r="Q102" s="248"/>
      <c r="R102" s="247"/>
      <c r="S102" s="248"/>
      <c r="V102" s="248"/>
      <c r="W102" s="194"/>
      <c r="X102" s="249"/>
      <c r="Y102" s="250"/>
      <c r="Z102" s="251"/>
      <c r="AA102" s="252"/>
    </row>
    <row r="103" spans="13:27">
      <c r="M103" s="248"/>
      <c r="N103" s="248"/>
      <c r="O103" s="248"/>
      <c r="P103" s="248"/>
      <c r="Q103" s="248"/>
      <c r="R103" s="247"/>
      <c r="S103" s="248"/>
      <c r="V103" s="248"/>
      <c r="W103" s="194"/>
      <c r="X103" s="249"/>
      <c r="Y103" s="250"/>
      <c r="Z103" s="251"/>
      <c r="AA103" s="252"/>
    </row>
    <row r="104" spans="13:27">
      <c r="M104" s="248"/>
      <c r="N104" s="248"/>
      <c r="O104" s="248"/>
      <c r="P104" s="248"/>
      <c r="Q104" s="248"/>
      <c r="R104" s="247"/>
      <c r="S104" s="248"/>
      <c r="V104" s="248"/>
      <c r="W104" s="194"/>
      <c r="X104" s="249"/>
      <c r="Y104" s="250"/>
      <c r="Z104" s="251"/>
      <c r="AA104" s="252"/>
    </row>
    <row r="105" spans="13:27">
      <c r="M105" s="248"/>
      <c r="N105" s="248"/>
      <c r="O105" s="248"/>
      <c r="P105" s="248"/>
      <c r="Q105" s="248"/>
      <c r="R105" s="247"/>
      <c r="S105" s="248"/>
      <c r="V105" s="248"/>
      <c r="W105" s="194"/>
      <c r="X105" s="249"/>
      <c r="Y105" s="250"/>
      <c r="Z105" s="251"/>
      <c r="AA105" s="252"/>
    </row>
    <row r="106" spans="13:27">
      <c r="M106" s="248"/>
      <c r="N106" s="248"/>
      <c r="O106" s="248"/>
      <c r="P106" s="248"/>
      <c r="Q106" s="248"/>
      <c r="R106" s="247"/>
      <c r="S106" s="248"/>
      <c r="V106" s="248"/>
      <c r="W106" s="194"/>
      <c r="X106" s="249"/>
      <c r="Y106" s="250"/>
      <c r="Z106" s="251"/>
      <c r="AA106" s="252"/>
    </row>
    <row r="107" spans="13:27">
      <c r="M107" s="248"/>
      <c r="N107" s="248"/>
      <c r="O107" s="248"/>
      <c r="P107" s="248"/>
      <c r="Q107" s="248"/>
      <c r="R107" s="247"/>
      <c r="S107" s="248"/>
      <c r="V107" s="248"/>
      <c r="W107" s="194"/>
      <c r="X107" s="249"/>
      <c r="Y107" s="250"/>
      <c r="Z107" s="251"/>
      <c r="AA107" s="252"/>
    </row>
    <row r="108" spans="13:27">
      <c r="M108" s="248"/>
      <c r="N108" s="248"/>
      <c r="O108" s="248"/>
      <c r="P108" s="248"/>
      <c r="Q108" s="248"/>
      <c r="R108" s="247"/>
      <c r="S108" s="248"/>
      <c r="V108" s="248"/>
      <c r="W108" s="194"/>
      <c r="X108" s="249"/>
      <c r="Y108" s="250"/>
      <c r="Z108" s="251"/>
      <c r="AA108" s="252"/>
    </row>
    <row r="109" spans="13:27">
      <c r="M109" s="248"/>
      <c r="N109" s="248"/>
      <c r="O109" s="248"/>
      <c r="P109" s="248"/>
      <c r="Q109" s="248"/>
      <c r="R109" s="247"/>
      <c r="S109" s="248"/>
      <c r="V109" s="248"/>
      <c r="W109" s="194"/>
      <c r="X109" s="249"/>
      <c r="Y109" s="250"/>
      <c r="Z109" s="251"/>
      <c r="AA109" s="252"/>
    </row>
    <row r="110" spans="13:27">
      <c r="M110" s="248"/>
      <c r="N110" s="248"/>
      <c r="O110" s="248"/>
      <c r="P110" s="248"/>
      <c r="Q110" s="248"/>
      <c r="R110" s="247"/>
      <c r="S110" s="248"/>
      <c r="V110" s="248"/>
      <c r="W110" s="194"/>
      <c r="X110" s="249"/>
      <c r="Y110" s="250"/>
      <c r="Z110" s="251"/>
      <c r="AA110" s="252"/>
    </row>
    <row r="111" spans="13:27">
      <c r="M111" s="248"/>
      <c r="N111" s="248"/>
      <c r="O111" s="248"/>
      <c r="P111" s="248"/>
      <c r="Q111" s="248"/>
      <c r="R111" s="247"/>
      <c r="S111" s="248"/>
      <c r="V111" s="248"/>
      <c r="W111" s="194"/>
      <c r="X111" s="249"/>
      <c r="Y111" s="250"/>
      <c r="Z111" s="251"/>
      <c r="AA111" s="252"/>
    </row>
    <row r="112" spans="13:27">
      <c r="M112" s="248"/>
      <c r="N112" s="248"/>
      <c r="O112" s="248"/>
      <c r="P112" s="248"/>
      <c r="Q112" s="248"/>
      <c r="R112" s="247"/>
      <c r="S112" s="248"/>
      <c r="V112" s="248"/>
      <c r="W112" s="194"/>
      <c r="X112" s="249"/>
      <c r="Y112" s="250"/>
      <c r="Z112" s="251"/>
      <c r="AA112" s="252"/>
    </row>
    <row r="113" spans="13:27">
      <c r="M113" s="248"/>
      <c r="N113" s="248"/>
      <c r="O113" s="248"/>
      <c r="P113" s="248"/>
      <c r="Q113" s="248"/>
      <c r="R113" s="247"/>
      <c r="S113" s="248"/>
      <c r="V113" s="248"/>
      <c r="W113" s="194"/>
      <c r="X113" s="249"/>
      <c r="Y113" s="250"/>
      <c r="Z113" s="251"/>
      <c r="AA113" s="252"/>
    </row>
    <row r="114" spans="13:27">
      <c r="M114" s="248"/>
      <c r="N114" s="248"/>
      <c r="O114" s="248"/>
      <c r="P114" s="248"/>
      <c r="Q114" s="248"/>
      <c r="R114" s="247"/>
      <c r="S114" s="248"/>
      <c r="V114" s="248"/>
      <c r="W114" s="194"/>
      <c r="X114" s="249"/>
      <c r="Y114" s="250"/>
      <c r="Z114" s="251"/>
      <c r="AA114" s="252"/>
    </row>
    <row r="115" spans="13:27">
      <c r="M115" s="248"/>
      <c r="N115" s="248"/>
      <c r="O115" s="248"/>
      <c r="P115" s="248"/>
      <c r="Q115" s="248"/>
      <c r="R115" s="247"/>
      <c r="S115" s="248"/>
      <c r="V115" s="248"/>
      <c r="W115" s="194"/>
      <c r="X115" s="249"/>
      <c r="Y115" s="250"/>
      <c r="Z115" s="251"/>
      <c r="AA115" s="252"/>
    </row>
    <row r="116" spans="13:27">
      <c r="M116" s="248"/>
      <c r="N116" s="248"/>
      <c r="O116" s="248"/>
      <c r="P116" s="248"/>
      <c r="Q116" s="248"/>
      <c r="R116" s="247"/>
      <c r="S116" s="248"/>
      <c r="V116" s="248"/>
      <c r="W116" s="194"/>
      <c r="X116" s="249"/>
      <c r="Y116" s="250"/>
      <c r="Z116" s="251"/>
      <c r="AA116" s="252"/>
    </row>
    <row r="117" spans="13:27">
      <c r="M117" s="248"/>
      <c r="N117" s="248"/>
      <c r="O117" s="248"/>
      <c r="P117" s="248"/>
      <c r="Q117" s="248"/>
      <c r="R117" s="247"/>
      <c r="S117" s="248"/>
      <c r="V117" s="248"/>
      <c r="W117" s="194"/>
      <c r="X117" s="249"/>
      <c r="Y117" s="250"/>
      <c r="Z117" s="251"/>
      <c r="AA117" s="252"/>
    </row>
    <row r="118" spans="13:27">
      <c r="M118" s="248"/>
      <c r="N118" s="248"/>
      <c r="O118" s="248"/>
      <c r="P118" s="248"/>
      <c r="Q118" s="248"/>
      <c r="R118" s="247"/>
      <c r="S118" s="248"/>
      <c r="V118" s="248"/>
      <c r="W118" s="194"/>
      <c r="X118" s="249"/>
      <c r="Y118" s="250"/>
      <c r="Z118" s="251"/>
      <c r="AA118" s="252"/>
    </row>
    <row r="119" spans="13:27">
      <c r="M119" s="248"/>
      <c r="N119" s="248"/>
      <c r="O119" s="248"/>
      <c r="P119" s="248"/>
      <c r="Q119" s="248"/>
      <c r="R119" s="247"/>
      <c r="S119" s="248"/>
      <c r="V119" s="248"/>
      <c r="W119" s="194"/>
      <c r="X119" s="249"/>
      <c r="Y119" s="250"/>
      <c r="Z119" s="251"/>
      <c r="AA119" s="252"/>
    </row>
    <row r="120" spans="13:27">
      <c r="M120" s="248"/>
      <c r="N120" s="248"/>
      <c r="O120" s="248"/>
      <c r="P120" s="248"/>
      <c r="Q120" s="248"/>
      <c r="R120" s="247"/>
      <c r="S120" s="248"/>
      <c r="V120" s="248"/>
      <c r="W120" s="194"/>
      <c r="X120" s="249"/>
      <c r="Y120" s="250"/>
      <c r="Z120" s="251"/>
      <c r="AA120" s="252"/>
    </row>
    <row r="121" spans="13:27">
      <c r="M121" s="248"/>
      <c r="N121" s="248"/>
      <c r="O121" s="248"/>
      <c r="P121" s="248"/>
      <c r="Q121" s="248"/>
      <c r="R121" s="247"/>
      <c r="S121" s="248"/>
      <c r="V121" s="248"/>
      <c r="W121" s="194"/>
      <c r="X121" s="249"/>
      <c r="Y121" s="250"/>
      <c r="Z121" s="251"/>
      <c r="AA121" s="252"/>
    </row>
    <row r="122" spans="13:27">
      <c r="M122" s="248"/>
      <c r="N122" s="248"/>
      <c r="O122" s="248"/>
      <c r="P122" s="248"/>
      <c r="Q122" s="248"/>
      <c r="R122" s="247"/>
      <c r="S122" s="248"/>
      <c r="V122" s="248"/>
      <c r="W122" s="194"/>
      <c r="X122" s="249"/>
      <c r="Y122" s="250"/>
      <c r="Z122" s="251"/>
      <c r="AA122" s="252"/>
    </row>
    <row r="123" spans="13:27">
      <c r="M123" s="248"/>
      <c r="N123" s="248"/>
      <c r="O123" s="248"/>
      <c r="P123" s="248"/>
      <c r="Q123" s="248"/>
      <c r="R123" s="247"/>
      <c r="S123" s="248"/>
      <c r="V123" s="248"/>
      <c r="W123" s="194"/>
      <c r="X123" s="249"/>
      <c r="Y123" s="250"/>
      <c r="Z123" s="251"/>
      <c r="AA123" s="252"/>
    </row>
    <row r="124" spans="13:27">
      <c r="M124" s="248"/>
      <c r="N124" s="248"/>
      <c r="O124" s="248"/>
      <c r="P124" s="248"/>
      <c r="Q124" s="248"/>
      <c r="R124" s="247"/>
      <c r="S124" s="248"/>
      <c r="V124" s="248"/>
      <c r="W124" s="194"/>
      <c r="X124" s="249"/>
      <c r="Y124" s="250"/>
      <c r="Z124" s="251"/>
      <c r="AA124" s="252"/>
    </row>
    <row r="125" spans="13:27">
      <c r="M125" s="248"/>
      <c r="N125" s="248"/>
      <c r="O125" s="248"/>
      <c r="P125" s="248"/>
      <c r="Q125" s="248"/>
      <c r="R125" s="247"/>
      <c r="S125" s="248"/>
      <c r="V125" s="248"/>
      <c r="W125" s="194"/>
      <c r="X125" s="249"/>
      <c r="Y125" s="250"/>
      <c r="Z125" s="251"/>
      <c r="AA125" s="252"/>
    </row>
    <row r="126" spans="13:27">
      <c r="M126" s="248"/>
      <c r="N126" s="248"/>
      <c r="O126" s="248"/>
      <c r="P126" s="248"/>
      <c r="Q126" s="248"/>
      <c r="R126" s="247"/>
      <c r="S126" s="248"/>
      <c r="V126" s="248"/>
      <c r="W126" s="194"/>
      <c r="X126" s="249"/>
      <c r="Y126" s="250"/>
      <c r="Z126" s="251"/>
      <c r="AA126" s="252"/>
    </row>
    <row r="127" spans="13:27">
      <c r="M127" s="248"/>
      <c r="N127" s="248"/>
      <c r="O127" s="248"/>
      <c r="P127" s="248"/>
      <c r="Q127" s="248"/>
      <c r="R127" s="247"/>
      <c r="S127" s="248"/>
      <c r="V127" s="248"/>
      <c r="W127" s="194"/>
      <c r="X127" s="249"/>
      <c r="Y127" s="250"/>
      <c r="Z127" s="251"/>
      <c r="AA127" s="252"/>
    </row>
    <row r="128" spans="13:27">
      <c r="M128" s="248"/>
      <c r="N128" s="248"/>
      <c r="O128" s="248"/>
      <c r="P128" s="248"/>
      <c r="Q128" s="248"/>
      <c r="R128" s="247"/>
      <c r="S128" s="248"/>
      <c r="V128" s="248"/>
      <c r="W128" s="194"/>
      <c r="X128" s="249"/>
      <c r="Y128" s="250"/>
      <c r="Z128" s="251"/>
      <c r="AA128" s="252"/>
    </row>
    <row r="129" spans="13:27">
      <c r="M129" s="248"/>
      <c r="N129" s="248"/>
      <c r="O129" s="248"/>
      <c r="P129" s="248"/>
      <c r="Q129" s="248"/>
      <c r="R129" s="247"/>
      <c r="S129" s="248"/>
      <c r="V129" s="248"/>
      <c r="W129" s="194"/>
      <c r="X129" s="249"/>
      <c r="Y129" s="250"/>
      <c r="Z129" s="251"/>
      <c r="AA129" s="252"/>
    </row>
    <row r="130" spans="13:27">
      <c r="M130" s="248"/>
      <c r="N130" s="248"/>
      <c r="O130" s="248"/>
      <c r="P130" s="248"/>
      <c r="Q130" s="248"/>
      <c r="R130" s="247"/>
      <c r="S130" s="248"/>
      <c r="V130" s="248"/>
      <c r="W130" s="194"/>
      <c r="X130" s="249"/>
      <c r="Y130" s="250"/>
      <c r="Z130" s="251"/>
      <c r="AA130" s="252"/>
    </row>
    <row r="131" spans="13:27">
      <c r="M131" s="248"/>
      <c r="N131" s="248"/>
      <c r="O131" s="248"/>
      <c r="P131" s="248"/>
      <c r="Q131" s="248"/>
      <c r="R131" s="247"/>
      <c r="S131" s="248"/>
      <c r="V131" s="248"/>
      <c r="W131" s="194"/>
      <c r="X131" s="249"/>
      <c r="Y131" s="250"/>
      <c r="Z131" s="251"/>
      <c r="AA131" s="252"/>
    </row>
    <row r="132" spans="13:27">
      <c r="M132" s="248"/>
      <c r="N132" s="248"/>
      <c r="O132" s="248"/>
      <c r="P132" s="248"/>
      <c r="Q132" s="248"/>
      <c r="R132" s="247"/>
      <c r="S132" s="248"/>
      <c r="V132" s="248"/>
      <c r="W132" s="194"/>
      <c r="X132" s="249"/>
      <c r="Y132" s="250"/>
      <c r="Z132" s="251"/>
      <c r="AA132" s="252"/>
    </row>
    <row r="133" spans="13:27">
      <c r="M133" s="248"/>
      <c r="N133" s="248"/>
      <c r="O133" s="248"/>
      <c r="P133" s="248"/>
      <c r="Q133" s="248"/>
      <c r="R133" s="247"/>
      <c r="S133" s="248"/>
      <c r="V133" s="248"/>
      <c r="W133" s="194"/>
      <c r="X133" s="249"/>
      <c r="Y133" s="250"/>
      <c r="Z133" s="251"/>
      <c r="AA133" s="252"/>
    </row>
    <row r="134" spans="13:27">
      <c r="M134" s="248"/>
      <c r="N134" s="248"/>
      <c r="O134" s="248"/>
      <c r="P134" s="248"/>
      <c r="Q134" s="248"/>
      <c r="R134" s="247"/>
      <c r="S134" s="248"/>
      <c r="V134" s="248"/>
      <c r="W134" s="194"/>
      <c r="X134" s="249"/>
      <c r="Y134" s="250"/>
      <c r="Z134" s="251"/>
      <c r="AA134" s="252"/>
    </row>
    <row r="135" spans="13:27">
      <c r="M135" s="248"/>
      <c r="N135" s="248"/>
      <c r="O135" s="248"/>
      <c r="P135" s="248"/>
      <c r="Q135" s="248"/>
      <c r="R135" s="247"/>
      <c r="S135" s="248"/>
      <c r="V135" s="248"/>
      <c r="W135" s="194"/>
      <c r="X135" s="249"/>
      <c r="Y135" s="250"/>
      <c r="Z135" s="251"/>
      <c r="AA135" s="252"/>
    </row>
    <row r="136" spans="13:27">
      <c r="M136" s="248"/>
      <c r="N136" s="248"/>
      <c r="O136" s="248"/>
      <c r="P136" s="248"/>
      <c r="Q136" s="248"/>
      <c r="R136" s="247"/>
      <c r="S136" s="248"/>
      <c r="V136" s="248"/>
      <c r="W136" s="194"/>
      <c r="X136" s="249"/>
      <c r="Y136" s="250"/>
      <c r="Z136" s="251"/>
      <c r="AA136" s="252"/>
    </row>
    <row r="137" spans="13:27">
      <c r="M137" s="248"/>
      <c r="N137" s="248"/>
      <c r="O137" s="248"/>
      <c r="P137" s="248"/>
      <c r="Q137" s="248"/>
      <c r="R137" s="247"/>
      <c r="S137" s="248"/>
      <c r="V137" s="248"/>
      <c r="W137" s="194"/>
      <c r="X137" s="249"/>
      <c r="Y137" s="250"/>
      <c r="Z137" s="251"/>
      <c r="AA137" s="252"/>
    </row>
    <row r="138" spans="13:27">
      <c r="M138" s="248"/>
      <c r="N138" s="248"/>
      <c r="O138" s="248"/>
      <c r="P138" s="248"/>
      <c r="Q138" s="248"/>
      <c r="R138" s="247"/>
      <c r="S138" s="248"/>
      <c r="V138" s="248"/>
      <c r="W138" s="194"/>
      <c r="X138" s="249"/>
      <c r="Y138" s="250"/>
      <c r="Z138" s="251"/>
      <c r="AA138" s="252"/>
    </row>
    <row r="139" spans="13:27">
      <c r="M139" s="248"/>
      <c r="N139" s="248"/>
      <c r="O139" s="248"/>
      <c r="P139" s="248"/>
      <c r="Q139" s="248"/>
      <c r="R139" s="247"/>
      <c r="S139" s="248"/>
      <c r="V139" s="248"/>
      <c r="W139" s="194"/>
      <c r="X139" s="249"/>
      <c r="Y139" s="250"/>
      <c r="Z139" s="251"/>
      <c r="AA139" s="252"/>
    </row>
    <row r="140" spans="13:27">
      <c r="M140" s="248"/>
      <c r="N140" s="248"/>
      <c r="O140" s="248"/>
      <c r="P140" s="248"/>
      <c r="Q140" s="248"/>
      <c r="R140" s="247"/>
      <c r="S140" s="248"/>
      <c r="V140" s="248"/>
      <c r="W140" s="194"/>
      <c r="X140" s="249"/>
      <c r="Y140" s="250"/>
      <c r="Z140" s="251"/>
      <c r="AA140" s="252"/>
    </row>
    <row r="141" spans="13:27">
      <c r="M141" s="248"/>
      <c r="N141" s="248"/>
      <c r="O141" s="248"/>
      <c r="P141" s="248"/>
      <c r="Q141" s="248"/>
      <c r="R141" s="247"/>
      <c r="S141" s="248"/>
      <c r="V141" s="248"/>
      <c r="W141" s="194"/>
      <c r="X141" s="249"/>
      <c r="Y141" s="250"/>
      <c r="Z141" s="251"/>
      <c r="AA141" s="252"/>
    </row>
    <row r="142" spans="13:27">
      <c r="M142" s="248"/>
      <c r="N142" s="248"/>
      <c r="O142" s="248"/>
      <c r="P142" s="248"/>
      <c r="Q142" s="248"/>
      <c r="R142" s="247"/>
      <c r="S142" s="248"/>
      <c r="V142" s="248"/>
      <c r="W142" s="194"/>
      <c r="X142" s="249"/>
      <c r="Y142" s="250"/>
      <c r="Z142" s="251"/>
      <c r="AA142" s="252"/>
    </row>
    <row r="143" spans="13:27">
      <c r="M143" s="248"/>
      <c r="N143" s="248"/>
      <c r="O143" s="248"/>
      <c r="P143" s="248"/>
      <c r="Q143" s="248"/>
      <c r="R143" s="247"/>
      <c r="S143" s="248"/>
      <c r="V143" s="248"/>
      <c r="W143" s="194"/>
      <c r="X143" s="249"/>
      <c r="Y143" s="250"/>
      <c r="Z143" s="251"/>
      <c r="AA143" s="252"/>
    </row>
    <row r="144" spans="13:27">
      <c r="M144" s="248"/>
      <c r="N144" s="248"/>
      <c r="O144" s="248"/>
      <c r="P144" s="248"/>
      <c r="Q144" s="248"/>
      <c r="R144" s="247"/>
      <c r="S144" s="248"/>
      <c r="V144" s="248"/>
      <c r="W144" s="194"/>
      <c r="X144" s="249"/>
      <c r="Y144" s="250"/>
      <c r="Z144" s="251"/>
      <c r="AA144" s="252"/>
    </row>
    <row r="145" spans="13:27">
      <c r="M145" s="248"/>
      <c r="N145" s="248"/>
      <c r="O145" s="248"/>
      <c r="P145" s="248"/>
      <c r="Q145" s="248"/>
      <c r="R145" s="247"/>
      <c r="S145" s="248"/>
      <c r="V145" s="248"/>
      <c r="W145" s="194"/>
      <c r="X145" s="249"/>
      <c r="Y145" s="250"/>
      <c r="Z145" s="251"/>
      <c r="AA145" s="252"/>
    </row>
    <row r="146" spans="13:27">
      <c r="M146" s="248"/>
      <c r="N146" s="248"/>
      <c r="O146" s="248"/>
      <c r="P146" s="248"/>
      <c r="Q146" s="248"/>
      <c r="R146" s="247"/>
      <c r="S146" s="248"/>
      <c r="V146" s="248"/>
      <c r="W146" s="194"/>
      <c r="X146" s="249"/>
      <c r="Y146" s="250"/>
      <c r="Z146" s="251"/>
      <c r="AA146" s="252"/>
    </row>
    <row r="147" spans="13:27">
      <c r="M147" s="248"/>
      <c r="N147" s="248"/>
      <c r="O147" s="248"/>
      <c r="P147" s="248"/>
      <c r="Q147" s="248"/>
      <c r="R147" s="247"/>
      <c r="S147" s="248"/>
      <c r="V147" s="248"/>
      <c r="W147" s="194"/>
      <c r="X147" s="249"/>
      <c r="Y147" s="250"/>
      <c r="Z147" s="251"/>
      <c r="AA147" s="252"/>
    </row>
    <row r="148" spans="13:27">
      <c r="M148" s="248"/>
      <c r="N148" s="248"/>
      <c r="O148" s="248"/>
      <c r="P148" s="248"/>
      <c r="Q148" s="248"/>
      <c r="R148" s="247"/>
      <c r="S148" s="248"/>
      <c r="V148" s="248"/>
      <c r="W148" s="194"/>
      <c r="X148" s="249"/>
      <c r="Y148" s="250"/>
      <c r="Z148" s="251"/>
      <c r="AA148" s="252"/>
    </row>
    <row r="149" spans="13:27">
      <c r="M149" s="248"/>
      <c r="N149" s="248"/>
      <c r="O149" s="248"/>
      <c r="P149" s="248"/>
      <c r="Q149" s="248"/>
      <c r="R149" s="247"/>
      <c r="S149" s="248"/>
      <c r="V149" s="248"/>
      <c r="W149" s="194"/>
      <c r="X149" s="249"/>
      <c r="Y149" s="250"/>
      <c r="Z149" s="251"/>
      <c r="AA149" s="252"/>
    </row>
    <row r="150" spans="13:27">
      <c r="M150" s="248"/>
      <c r="N150" s="248"/>
      <c r="O150" s="248"/>
      <c r="P150" s="248"/>
      <c r="Q150" s="248"/>
      <c r="R150" s="247"/>
      <c r="S150" s="248"/>
      <c r="V150" s="248"/>
      <c r="W150" s="194"/>
      <c r="X150" s="249"/>
      <c r="Y150" s="250"/>
      <c r="Z150" s="251"/>
      <c r="AA150" s="252"/>
    </row>
    <row r="151" spans="13:27">
      <c r="M151" s="248"/>
      <c r="N151" s="248"/>
      <c r="O151" s="248"/>
      <c r="P151" s="248"/>
      <c r="Q151" s="248"/>
      <c r="R151" s="247"/>
      <c r="S151" s="248"/>
      <c r="V151" s="248"/>
      <c r="W151" s="194"/>
      <c r="X151" s="249"/>
      <c r="Y151" s="250"/>
      <c r="Z151" s="251"/>
      <c r="AA151" s="252"/>
    </row>
    <row r="152" spans="13:27">
      <c r="M152" s="248"/>
      <c r="N152" s="248"/>
      <c r="O152" s="248"/>
      <c r="P152" s="248"/>
      <c r="Q152" s="248"/>
      <c r="R152" s="247"/>
      <c r="S152" s="248"/>
      <c r="V152" s="248"/>
      <c r="W152" s="194"/>
      <c r="X152" s="249"/>
      <c r="Y152" s="250"/>
      <c r="Z152" s="251"/>
      <c r="AA152" s="252"/>
    </row>
    <row r="153" spans="13:27">
      <c r="M153" s="248"/>
      <c r="N153" s="248"/>
      <c r="O153" s="248"/>
      <c r="P153" s="248"/>
      <c r="Q153" s="248"/>
      <c r="R153" s="247"/>
      <c r="S153" s="248"/>
      <c r="V153" s="248"/>
      <c r="W153" s="194"/>
      <c r="X153" s="249"/>
      <c r="Y153" s="250"/>
      <c r="Z153" s="251"/>
      <c r="AA153" s="252"/>
    </row>
    <row r="154" spans="13:27">
      <c r="M154" s="248"/>
      <c r="N154" s="248"/>
      <c r="O154" s="248"/>
      <c r="P154" s="248"/>
      <c r="Q154" s="248"/>
      <c r="R154" s="247"/>
      <c r="S154" s="248"/>
      <c r="V154" s="248"/>
      <c r="W154" s="194"/>
      <c r="X154" s="249"/>
      <c r="Y154" s="250"/>
      <c r="Z154" s="251"/>
      <c r="AA154" s="252"/>
    </row>
    <row r="155" spans="13:27">
      <c r="M155" s="248"/>
      <c r="N155" s="248"/>
      <c r="O155" s="248"/>
      <c r="P155" s="248"/>
      <c r="Q155" s="248"/>
      <c r="R155" s="247"/>
      <c r="S155" s="248"/>
      <c r="V155" s="248"/>
      <c r="W155" s="194"/>
      <c r="X155" s="249"/>
      <c r="Y155" s="250"/>
      <c r="Z155" s="251"/>
      <c r="AA155" s="252"/>
    </row>
    <row r="156" spans="13:27">
      <c r="M156" s="248"/>
      <c r="N156" s="248"/>
      <c r="O156" s="248"/>
      <c r="P156" s="248"/>
      <c r="Q156" s="248"/>
      <c r="R156" s="247"/>
      <c r="S156" s="248"/>
      <c r="V156" s="248"/>
      <c r="W156" s="194"/>
      <c r="X156" s="249"/>
      <c r="Y156" s="250"/>
      <c r="Z156" s="251"/>
      <c r="AA156" s="252"/>
    </row>
    <row r="157" spans="13:27">
      <c r="M157" s="248"/>
      <c r="N157" s="248"/>
      <c r="O157" s="248"/>
      <c r="P157" s="248"/>
      <c r="Q157" s="248"/>
      <c r="R157" s="247"/>
      <c r="S157" s="248"/>
      <c r="V157" s="248"/>
      <c r="W157" s="194"/>
      <c r="X157" s="249"/>
      <c r="Y157" s="250"/>
      <c r="Z157" s="251"/>
      <c r="AA157" s="252"/>
    </row>
    <row r="158" spans="13:27">
      <c r="M158" s="248"/>
      <c r="N158" s="248"/>
      <c r="O158" s="248"/>
      <c r="P158" s="248"/>
      <c r="Q158" s="248"/>
      <c r="R158" s="247"/>
      <c r="S158" s="248"/>
      <c r="V158" s="248"/>
      <c r="W158" s="194"/>
      <c r="X158" s="249"/>
      <c r="Y158" s="250"/>
      <c r="Z158" s="251"/>
      <c r="AA158" s="252"/>
    </row>
    <row r="159" spans="13:27">
      <c r="M159" s="248"/>
      <c r="N159" s="248"/>
      <c r="O159" s="248"/>
      <c r="P159" s="248"/>
      <c r="Q159" s="248"/>
      <c r="R159" s="247"/>
      <c r="S159" s="248"/>
      <c r="V159" s="248"/>
      <c r="W159" s="194"/>
      <c r="X159" s="249"/>
      <c r="Y159" s="250"/>
      <c r="Z159" s="251"/>
      <c r="AA159" s="252"/>
    </row>
    <row r="160" spans="13:27">
      <c r="M160" s="248"/>
      <c r="N160" s="248"/>
      <c r="O160" s="248"/>
      <c r="P160" s="248"/>
      <c r="Q160" s="248"/>
      <c r="R160" s="247"/>
      <c r="S160" s="248"/>
      <c r="V160" s="248"/>
      <c r="W160" s="194"/>
      <c r="X160" s="249"/>
      <c r="Y160" s="250"/>
      <c r="Z160" s="251"/>
      <c r="AA160" s="252"/>
    </row>
    <row r="161" spans="13:27">
      <c r="M161" s="248"/>
      <c r="N161" s="248"/>
      <c r="O161" s="248"/>
      <c r="P161" s="248"/>
      <c r="Q161" s="248"/>
      <c r="R161" s="247"/>
      <c r="S161" s="248"/>
      <c r="V161" s="248"/>
      <c r="W161" s="194"/>
      <c r="X161" s="249"/>
      <c r="Y161" s="250"/>
      <c r="Z161" s="251"/>
      <c r="AA161" s="252"/>
    </row>
    <row r="162" spans="13:27">
      <c r="M162" s="248"/>
      <c r="N162" s="248"/>
      <c r="O162" s="248"/>
      <c r="P162" s="248"/>
      <c r="Q162" s="248"/>
      <c r="R162" s="247"/>
      <c r="S162" s="248"/>
      <c r="V162" s="248"/>
      <c r="W162" s="194"/>
      <c r="X162" s="249"/>
      <c r="Y162" s="250"/>
      <c r="Z162" s="251"/>
      <c r="AA162" s="252"/>
    </row>
    <row r="163" spans="13:27">
      <c r="M163" s="248"/>
      <c r="N163" s="248"/>
      <c r="O163" s="248"/>
      <c r="P163" s="248"/>
      <c r="Q163" s="248"/>
      <c r="R163" s="247"/>
      <c r="S163" s="248"/>
      <c r="V163" s="248"/>
      <c r="W163" s="194"/>
      <c r="X163" s="249"/>
      <c r="Y163" s="250"/>
      <c r="Z163" s="251"/>
      <c r="AA163" s="252"/>
    </row>
    <row r="164" spans="13:27">
      <c r="M164" s="248"/>
      <c r="N164" s="248"/>
      <c r="O164" s="248"/>
      <c r="P164" s="248"/>
      <c r="Q164" s="248"/>
      <c r="R164" s="247"/>
      <c r="S164" s="248"/>
      <c r="V164" s="248"/>
      <c r="W164" s="194"/>
      <c r="X164" s="249"/>
      <c r="Y164" s="250"/>
      <c r="Z164" s="251"/>
      <c r="AA164" s="252"/>
    </row>
    <row r="165" spans="13:27">
      <c r="M165" s="248"/>
      <c r="N165" s="248"/>
      <c r="O165" s="248"/>
      <c r="P165" s="248"/>
      <c r="Q165" s="248"/>
      <c r="R165" s="247"/>
      <c r="S165" s="248"/>
      <c r="V165" s="248"/>
      <c r="W165" s="194"/>
      <c r="X165" s="249"/>
      <c r="Y165" s="250"/>
      <c r="Z165" s="251"/>
      <c r="AA165" s="252"/>
    </row>
    <row r="166" spans="13:27">
      <c r="M166" s="248"/>
      <c r="N166" s="248"/>
      <c r="O166" s="248"/>
      <c r="P166" s="248"/>
      <c r="Q166" s="248"/>
      <c r="R166" s="247"/>
      <c r="S166" s="248"/>
      <c r="V166" s="248"/>
      <c r="W166" s="194"/>
      <c r="X166" s="249"/>
      <c r="Y166" s="250"/>
      <c r="Z166" s="251"/>
      <c r="AA166" s="252"/>
    </row>
    <row r="167" spans="13:27">
      <c r="M167" s="248"/>
      <c r="N167" s="248"/>
      <c r="O167" s="248"/>
      <c r="P167" s="248"/>
      <c r="Q167" s="248"/>
      <c r="R167" s="247"/>
      <c r="S167" s="248"/>
      <c r="V167" s="248"/>
      <c r="W167" s="194"/>
      <c r="X167" s="249"/>
      <c r="Y167" s="250"/>
      <c r="Z167" s="251"/>
      <c r="AA167" s="252"/>
    </row>
    <row r="168" spans="13:27">
      <c r="M168" s="248"/>
      <c r="N168" s="248"/>
      <c r="O168" s="248"/>
      <c r="P168" s="248"/>
      <c r="Q168" s="248"/>
      <c r="R168" s="247"/>
      <c r="S168" s="248"/>
      <c r="V168" s="248"/>
      <c r="W168" s="194"/>
      <c r="X168" s="249"/>
      <c r="Y168" s="250"/>
      <c r="Z168" s="251"/>
      <c r="AA168" s="252"/>
    </row>
    <row r="169" spans="13:27">
      <c r="M169" s="248"/>
      <c r="N169" s="248"/>
      <c r="O169" s="248"/>
      <c r="P169" s="248"/>
      <c r="Q169" s="248"/>
      <c r="R169" s="247"/>
      <c r="S169" s="248"/>
      <c r="V169" s="248"/>
      <c r="W169" s="194"/>
      <c r="X169" s="249"/>
      <c r="Y169" s="250"/>
      <c r="Z169" s="251"/>
      <c r="AA169" s="252"/>
    </row>
    <row r="170" spans="13:27">
      <c r="M170" s="248"/>
      <c r="N170" s="248"/>
      <c r="O170" s="248"/>
      <c r="P170" s="248"/>
      <c r="Q170" s="248"/>
      <c r="R170" s="247"/>
      <c r="S170" s="248"/>
      <c r="V170" s="248"/>
      <c r="W170" s="194"/>
      <c r="X170" s="249"/>
      <c r="Y170" s="250"/>
      <c r="Z170" s="251"/>
      <c r="AA170" s="252"/>
    </row>
    <row r="171" spans="13:27">
      <c r="M171" s="248"/>
      <c r="N171" s="248"/>
      <c r="O171" s="248"/>
      <c r="P171" s="248"/>
      <c r="Q171" s="248"/>
      <c r="R171" s="247"/>
      <c r="S171" s="248"/>
      <c r="V171" s="248"/>
      <c r="W171" s="194"/>
      <c r="X171" s="249"/>
      <c r="Y171" s="250"/>
      <c r="Z171" s="251"/>
      <c r="AA171" s="252"/>
    </row>
    <row r="172" spans="13:27">
      <c r="M172" s="248"/>
      <c r="N172" s="248"/>
      <c r="O172" s="248"/>
      <c r="P172" s="248"/>
      <c r="Q172" s="248"/>
      <c r="R172" s="247"/>
      <c r="S172" s="248"/>
      <c r="V172" s="248"/>
      <c r="W172" s="194"/>
      <c r="X172" s="249"/>
      <c r="Y172" s="250"/>
      <c r="Z172" s="251"/>
      <c r="AA172" s="252"/>
    </row>
    <row r="173" spans="13:27">
      <c r="M173" s="248"/>
      <c r="N173" s="248"/>
      <c r="O173" s="248"/>
      <c r="P173" s="248"/>
      <c r="Q173" s="248"/>
      <c r="R173" s="247"/>
      <c r="S173" s="248"/>
      <c r="V173" s="248"/>
      <c r="W173" s="194"/>
      <c r="X173" s="249"/>
      <c r="Y173" s="250"/>
      <c r="Z173" s="251"/>
      <c r="AA173" s="252"/>
    </row>
    <row r="174" spans="13:27">
      <c r="M174" s="248"/>
      <c r="N174" s="248"/>
      <c r="O174" s="248"/>
      <c r="P174" s="248"/>
      <c r="Q174" s="248"/>
      <c r="R174" s="247"/>
      <c r="S174" s="248"/>
      <c r="V174" s="248"/>
      <c r="W174" s="194"/>
      <c r="X174" s="249"/>
      <c r="Y174" s="250"/>
      <c r="Z174" s="251"/>
      <c r="AA174" s="252"/>
    </row>
    <row r="175" spans="13:27">
      <c r="M175" s="248"/>
      <c r="N175" s="248"/>
      <c r="O175" s="248"/>
      <c r="P175" s="248"/>
      <c r="Q175" s="248"/>
      <c r="R175" s="247"/>
      <c r="S175" s="248"/>
      <c r="V175" s="248"/>
      <c r="W175" s="194"/>
      <c r="X175" s="249"/>
      <c r="Y175" s="250"/>
      <c r="Z175" s="251"/>
      <c r="AA175" s="252"/>
    </row>
    <row r="176" spans="13:27">
      <c r="M176" s="248"/>
      <c r="N176" s="248"/>
      <c r="O176" s="248"/>
      <c r="P176" s="248"/>
      <c r="Q176" s="248"/>
      <c r="R176" s="247"/>
      <c r="S176" s="248"/>
      <c r="V176" s="248"/>
      <c r="W176" s="194"/>
      <c r="X176" s="249"/>
      <c r="Y176" s="250"/>
      <c r="Z176" s="251"/>
      <c r="AA176" s="252"/>
    </row>
    <row r="177" spans="13:27">
      <c r="M177" s="248"/>
      <c r="N177" s="248"/>
      <c r="O177" s="248"/>
      <c r="P177" s="248"/>
      <c r="Q177" s="248"/>
      <c r="R177" s="247"/>
      <c r="S177" s="248"/>
      <c r="V177" s="248"/>
      <c r="W177" s="194"/>
      <c r="X177" s="249"/>
      <c r="Y177" s="250"/>
      <c r="Z177" s="251"/>
      <c r="AA177" s="252"/>
    </row>
    <row r="178" spans="13:27">
      <c r="M178" s="248"/>
      <c r="N178" s="248"/>
      <c r="O178" s="248"/>
      <c r="P178" s="248"/>
      <c r="Q178" s="248"/>
      <c r="R178" s="247"/>
      <c r="S178" s="248"/>
      <c r="V178" s="248"/>
      <c r="W178" s="194"/>
      <c r="X178" s="249"/>
      <c r="Y178" s="250"/>
      <c r="Z178" s="251"/>
      <c r="AA178" s="252"/>
    </row>
    <row r="179" spans="13:27">
      <c r="M179" s="248"/>
      <c r="N179" s="248"/>
      <c r="O179" s="248"/>
      <c r="P179" s="248"/>
      <c r="Q179" s="248"/>
      <c r="R179" s="247"/>
      <c r="S179" s="248"/>
      <c r="V179" s="248"/>
      <c r="W179" s="194"/>
      <c r="X179" s="249"/>
      <c r="Y179" s="250"/>
      <c r="Z179" s="251"/>
      <c r="AA179" s="252"/>
    </row>
    <row r="180" spans="13:27">
      <c r="M180" s="248"/>
      <c r="N180" s="248"/>
      <c r="O180" s="248"/>
      <c r="P180" s="248"/>
      <c r="Q180" s="248"/>
      <c r="R180" s="247"/>
      <c r="S180" s="248"/>
      <c r="V180" s="248"/>
      <c r="W180" s="194"/>
      <c r="X180" s="249"/>
      <c r="Y180" s="250"/>
      <c r="Z180" s="251"/>
      <c r="AA180" s="252"/>
    </row>
    <row r="181" spans="13:27">
      <c r="M181" s="248"/>
      <c r="N181" s="248"/>
      <c r="O181" s="248"/>
      <c r="P181" s="248"/>
      <c r="Q181" s="248"/>
      <c r="R181" s="247"/>
      <c r="S181" s="248"/>
      <c r="V181" s="248"/>
      <c r="W181" s="194"/>
      <c r="X181" s="249"/>
      <c r="Y181" s="250"/>
      <c r="Z181" s="251"/>
      <c r="AA181" s="252"/>
    </row>
    <row r="182" spans="13:27">
      <c r="M182" s="248"/>
      <c r="N182" s="248"/>
      <c r="O182" s="248"/>
      <c r="P182" s="248"/>
      <c r="Q182" s="248"/>
      <c r="R182" s="247"/>
      <c r="S182" s="248"/>
      <c r="V182" s="248"/>
      <c r="W182" s="194"/>
      <c r="X182" s="249"/>
      <c r="Y182" s="250"/>
      <c r="Z182" s="251"/>
      <c r="AA182" s="252"/>
    </row>
    <row r="183" spans="13:27">
      <c r="M183" s="248"/>
      <c r="N183" s="248"/>
      <c r="O183" s="248"/>
      <c r="P183" s="248"/>
      <c r="Q183" s="248"/>
      <c r="R183" s="247"/>
      <c r="S183" s="248"/>
      <c r="V183" s="248"/>
      <c r="W183" s="194"/>
      <c r="X183" s="249"/>
      <c r="Y183" s="250"/>
      <c r="Z183" s="251"/>
      <c r="AA183" s="252"/>
    </row>
    <row r="184" spans="13:27">
      <c r="M184" s="248"/>
      <c r="N184" s="248"/>
      <c r="O184" s="248"/>
      <c r="P184" s="248"/>
      <c r="Q184" s="248"/>
      <c r="R184" s="247"/>
      <c r="S184" s="248"/>
      <c r="V184" s="248"/>
      <c r="W184" s="194"/>
      <c r="X184" s="249"/>
      <c r="Y184" s="250"/>
      <c r="Z184" s="251"/>
      <c r="AA184" s="252"/>
    </row>
    <row r="185" spans="13:27">
      <c r="M185" s="248"/>
      <c r="N185" s="248"/>
      <c r="O185" s="248"/>
      <c r="P185" s="248"/>
      <c r="Q185" s="248"/>
      <c r="R185" s="247"/>
      <c r="S185" s="248"/>
      <c r="V185" s="248"/>
      <c r="W185" s="194"/>
      <c r="X185" s="249"/>
      <c r="Y185" s="250"/>
      <c r="Z185" s="251"/>
      <c r="AA185" s="252"/>
    </row>
    <row r="186" spans="13:27">
      <c r="M186" s="248"/>
      <c r="N186" s="248"/>
      <c r="O186" s="248"/>
      <c r="P186" s="248"/>
      <c r="Q186" s="248"/>
      <c r="R186" s="247"/>
      <c r="S186" s="248"/>
      <c r="V186" s="248"/>
      <c r="W186" s="194"/>
      <c r="X186" s="249"/>
      <c r="Y186" s="250"/>
      <c r="Z186" s="251"/>
      <c r="AA186" s="252"/>
    </row>
    <row r="187" spans="13:27">
      <c r="M187" s="248"/>
      <c r="N187" s="248"/>
      <c r="O187" s="248"/>
      <c r="P187" s="248"/>
      <c r="Q187" s="248"/>
      <c r="R187" s="247"/>
      <c r="S187" s="248"/>
      <c r="V187" s="248"/>
      <c r="W187" s="194"/>
      <c r="X187" s="249"/>
      <c r="Y187" s="250"/>
      <c r="Z187" s="251"/>
      <c r="AA187" s="252"/>
    </row>
    <row r="188" spans="13:27">
      <c r="M188" s="248"/>
      <c r="N188" s="248"/>
      <c r="O188" s="248"/>
      <c r="P188" s="248"/>
      <c r="Q188" s="248"/>
      <c r="R188" s="247"/>
      <c r="S188" s="248"/>
      <c r="V188" s="248"/>
      <c r="W188" s="194"/>
      <c r="X188" s="249"/>
      <c r="Y188" s="250"/>
      <c r="Z188" s="251"/>
      <c r="AA188" s="252"/>
    </row>
    <row r="189" spans="13:27">
      <c r="M189" s="248"/>
      <c r="N189" s="248"/>
      <c r="O189" s="248"/>
      <c r="P189" s="248"/>
      <c r="Q189" s="248"/>
      <c r="R189" s="247"/>
      <c r="S189" s="248"/>
      <c r="V189" s="248"/>
      <c r="W189" s="194"/>
      <c r="X189" s="249"/>
      <c r="Y189" s="250"/>
      <c r="Z189" s="251"/>
      <c r="AA189" s="252"/>
    </row>
    <row r="190" spans="13:27">
      <c r="M190" s="248"/>
      <c r="N190" s="248"/>
      <c r="O190" s="248"/>
      <c r="P190" s="248"/>
      <c r="Q190" s="248"/>
      <c r="R190" s="247"/>
      <c r="S190" s="248"/>
      <c r="V190" s="248"/>
      <c r="W190" s="194"/>
      <c r="X190" s="249"/>
      <c r="Y190" s="250"/>
      <c r="Z190" s="251"/>
      <c r="AA190" s="252"/>
    </row>
    <row r="191" spans="13:27">
      <c r="M191" s="248"/>
      <c r="N191" s="248"/>
      <c r="O191" s="248"/>
      <c r="P191" s="248"/>
      <c r="Q191" s="248"/>
      <c r="R191" s="247"/>
      <c r="S191" s="248"/>
      <c r="V191" s="248"/>
      <c r="W191" s="194"/>
      <c r="X191" s="249"/>
      <c r="Y191" s="250"/>
      <c r="Z191" s="251"/>
      <c r="AA191" s="252"/>
    </row>
    <row r="192" spans="13:27">
      <c r="M192" s="248"/>
      <c r="N192" s="248"/>
      <c r="O192" s="248"/>
      <c r="P192" s="248"/>
      <c r="Q192" s="248"/>
      <c r="R192" s="247"/>
      <c r="S192" s="248"/>
      <c r="V192" s="248"/>
      <c r="W192" s="194"/>
      <c r="X192" s="249"/>
      <c r="Y192" s="250"/>
      <c r="Z192" s="251"/>
      <c r="AA192" s="252"/>
    </row>
    <row r="193" spans="13:27">
      <c r="M193" s="248"/>
      <c r="N193" s="248"/>
      <c r="O193" s="248"/>
      <c r="P193" s="248"/>
      <c r="Q193" s="248"/>
      <c r="R193" s="247"/>
      <c r="S193" s="248"/>
      <c r="V193" s="248"/>
      <c r="W193" s="194"/>
      <c r="X193" s="249"/>
      <c r="Y193" s="250"/>
      <c r="Z193" s="251"/>
      <c r="AA193" s="252"/>
    </row>
    <row r="194" spans="13:27">
      <c r="M194" s="248"/>
      <c r="N194" s="248"/>
      <c r="O194" s="248"/>
      <c r="P194" s="248"/>
      <c r="Q194" s="248"/>
      <c r="R194" s="247"/>
      <c r="S194" s="248"/>
      <c r="V194" s="248"/>
      <c r="W194" s="194"/>
      <c r="X194" s="249"/>
      <c r="Y194" s="250"/>
      <c r="Z194" s="251"/>
      <c r="AA194" s="252"/>
    </row>
    <row r="195" spans="13:27">
      <c r="M195" s="248"/>
      <c r="N195" s="248"/>
      <c r="O195" s="248"/>
      <c r="P195" s="248"/>
      <c r="Q195" s="248"/>
      <c r="R195" s="247"/>
      <c r="S195" s="248"/>
      <c r="V195" s="248"/>
      <c r="W195" s="194"/>
      <c r="X195" s="249"/>
      <c r="Y195" s="250"/>
      <c r="Z195" s="251"/>
      <c r="AA195" s="252"/>
    </row>
    <row r="196" spans="13:27">
      <c r="M196" s="248"/>
      <c r="N196" s="248"/>
      <c r="O196" s="248"/>
      <c r="P196" s="248"/>
      <c r="Q196" s="248"/>
      <c r="R196" s="247"/>
      <c r="S196" s="248"/>
      <c r="V196" s="248"/>
      <c r="W196" s="194"/>
      <c r="X196" s="249"/>
      <c r="Y196" s="250"/>
      <c r="Z196" s="251"/>
      <c r="AA196" s="252"/>
    </row>
    <row r="197" spans="13:27">
      <c r="M197" s="248"/>
      <c r="N197" s="248"/>
      <c r="O197" s="248"/>
      <c r="P197" s="248"/>
      <c r="Q197" s="248"/>
      <c r="R197" s="247"/>
      <c r="S197" s="248"/>
      <c r="V197" s="248"/>
      <c r="W197" s="194"/>
      <c r="X197" s="249"/>
      <c r="Y197" s="250"/>
      <c r="Z197" s="251"/>
      <c r="AA197" s="252"/>
    </row>
    <row r="198" spans="13:27">
      <c r="M198" s="248"/>
      <c r="N198" s="248"/>
      <c r="O198" s="248"/>
      <c r="P198" s="248"/>
      <c r="Q198" s="248"/>
      <c r="R198" s="247"/>
      <c r="S198" s="248"/>
      <c r="V198" s="248"/>
      <c r="W198" s="194"/>
      <c r="X198" s="249"/>
      <c r="Y198" s="250"/>
      <c r="Z198" s="251"/>
      <c r="AA198" s="252"/>
    </row>
    <row r="199" spans="13:27">
      <c r="M199" s="248"/>
      <c r="N199" s="248"/>
      <c r="O199" s="248"/>
      <c r="P199" s="248"/>
      <c r="Q199" s="248"/>
      <c r="R199" s="247"/>
      <c r="S199" s="248"/>
      <c r="V199" s="248"/>
      <c r="W199" s="194"/>
      <c r="X199" s="249"/>
      <c r="Y199" s="250"/>
      <c r="Z199" s="251"/>
      <c r="AA199" s="252"/>
    </row>
    <row r="200" spans="13:27">
      <c r="M200" s="248"/>
      <c r="N200" s="248"/>
      <c r="O200" s="248"/>
      <c r="P200" s="248"/>
      <c r="Q200" s="248"/>
      <c r="R200" s="247"/>
      <c r="S200" s="248"/>
      <c r="V200" s="248"/>
      <c r="W200" s="194"/>
      <c r="X200" s="249"/>
      <c r="Y200" s="250"/>
      <c r="Z200" s="251"/>
      <c r="AA200" s="252"/>
    </row>
    <row r="201" spans="13:27">
      <c r="M201" s="248"/>
      <c r="N201" s="248"/>
      <c r="O201" s="248"/>
      <c r="P201" s="248"/>
      <c r="Q201" s="248"/>
      <c r="R201" s="247"/>
      <c r="S201" s="248"/>
      <c r="V201" s="248"/>
      <c r="W201" s="194"/>
      <c r="X201" s="249"/>
      <c r="Y201" s="250"/>
      <c r="Z201" s="251"/>
      <c r="AA201" s="252"/>
    </row>
    <row r="202" spans="13:27">
      <c r="M202" s="248"/>
      <c r="N202" s="248"/>
      <c r="O202" s="248"/>
      <c r="P202" s="248"/>
      <c r="Q202" s="248"/>
      <c r="R202" s="247"/>
      <c r="S202" s="248"/>
      <c r="V202" s="248"/>
      <c r="W202" s="194"/>
      <c r="X202" s="249"/>
      <c r="Y202" s="250"/>
      <c r="Z202" s="251"/>
      <c r="AA202" s="252"/>
    </row>
    <row r="203" spans="13:27">
      <c r="M203" s="248"/>
      <c r="N203" s="248"/>
      <c r="O203" s="248"/>
      <c r="P203" s="248"/>
      <c r="Q203" s="248"/>
      <c r="R203" s="247"/>
      <c r="S203" s="248"/>
      <c r="V203" s="248"/>
      <c r="W203" s="194"/>
      <c r="X203" s="249"/>
      <c r="Y203" s="250"/>
      <c r="Z203" s="251"/>
      <c r="AA203" s="252"/>
    </row>
    <row r="204" spans="13:27">
      <c r="M204" s="248"/>
      <c r="N204" s="248"/>
      <c r="O204" s="248"/>
      <c r="P204" s="248"/>
      <c r="Q204" s="248"/>
      <c r="R204" s="247"/>
      <c r="S204" s="248"/>
      <c r="V204" s="248"/>
      <c r="W204" s="194"/>
      <c r="X204" s="249"/>
      <c r="Y204" s="250"/>
      <c r="Z204" s="251"/>
      <c r="AA204" s="252"/>
    </row>
    <row r="205" spans="13:27">
      <c r="M205" s="248"/>
      <c r="N205" s="248"/>
      <c r="O205" s="248"/>
      <c r="P205" s="248"/>
      <c r="Q205" s="248"/>
      <c r="R205" s="247"/>
      <c r="S205" s="248"/>
      <c r="V205" s="248"/>
      <c r="W205" s="194"/>
      <c r="X205" s="249"/>
      <c r="Y205" s="250"/>
      <c r="Z205" s="251"/>
      <c r="AA205" s="252"/>
    </row>
    <row r="206" spans="13:27">
      <c r="M206" s="248"/>
      <c r="N206" s="248"/>
      <c r="O206" s="248"/>
      <c r="P206" s="248"/>
      <c r="Q206" s="248"/>
      <c r="R206" s="247"/>
      <c r="S206" s="248"/>
      <c r="V206" s="248"/>
      <c r="W206" s="194"/>
      <c r="X206" s="249"/>
      <c r="Y206" s="250"/>
      <c r="Z206" s="251"/>
      <c r="AA206" s="252"/>
    </row>
    <row r="207" spans="13:27">
      <c r="M207" s="248"/>
      <c r="N207" s="248"/>
      <c r="O207" s="248"/>
      <c r="P207" s="248"/>
      <c r="Q207" s="248"/>
      <c r="R207" s="247"/>
      <c r="S207" s="248"/>
      <c r="V207" s="248"/>
      <c r="W207" s="194"/>
      <c r="X207" s="249"/>
      <c r="Y207" s="250"/>
      <c r="Z207" s="251"/>
      <c r="AA207" s="252"/>
    </row>
    <row r="208" spans="13:27">
      <c r="M208" s="248"/>
      <c r="N208" s="248"/>
      <c r="O208" s="248"/>
      <c r="P208" s="248"/>
      <c r="Q208" s="248"/>
      <c r="R208" s="247"/>
      <c r="S208" s="248"/>
      <c r="V208" s="248"/>
      <c r="W208" s="194"/>
      <c r="X208" s="249"/>
      <c r="Y208" s="250"/>
      <c r="Z208" s="251"/>
      <c r="AA208" s="252"/>
    </row>
    <row r="209" spans="13:27">
      <c r="M209" s="248"/>
      <c r="N209" s="248"/>
      <c r="O209" s="248"/>
      <c r="P209" s="248"/>
      <c r="Q209" s="248"/>
      <c r="R209" s="247"/>
      <c r="S209" s="248"/>
      <c r="V209" s="248"/>
      <c r="W209" s="194"/>
      <c r="X209" s="249"/>
      <c r="Y209" s="250"/>
      <c r="Z209" s="251"/>
      <c r="AA209" s="252"/>
    </row>
    <row r="210" spans="13:27">
      <c r="M210" s="248"/>
      <c r="N210" s="248"/>
      <c r="O210" s="248"/>
      <c r="P210" s="248"/>
      <c r="Q210" s="248"/>
      <c r="R210" s="247"/>
      <c r="S210" s="248"/>
      <c r="V210" s="248"/>
      <c r="W210" s="194"/>
      <c r="X210" s="249"/>
      <c r="Y210" s="250"/>
      <c r="Z210" s="251"/>
      <c r="AA210" s="252"/>
    </row>
    <row r="211" spans="13:27">
      <c r="M211" s="248"/>
      <c r="N211" s="248"/>
      <c r="O211" s="248"/>
      <c r="P211" s="248"/>
      <c r="Q211" s="248"/>
      <c r="R211" s="247"/>
      <c r="S211" s="248"/>
      <c r="V211" s="248"/>
      <c r="W211" s="194"/>
      <c r="X211" s="249"/>
      <c r="Y211" s="250"/>
      <c r="Z211" s="251"/>
      <c r="AA211" s="252"/>
    </row>
    <row r="212" spans="13:27">
      <c r="M212" s="248"/>
      <c r="N212" s="248"/>
      <c r="O212" s="248"/>
      <c r="P212" s="248"/>
      <c r="Q212" s="248"/>
      <c r="R212" s="247"/>
      <c r="S212" s="248"/>
      <c r="V212" s="248"/>
      <c r="W212" s="194"/>
      <c r="X212" s="249"/>
      <c r="Y212" s="250"/>
      <c r="Z212" s="251"/>
      <c r="AA212" s="252"/>
    </row>
    <row r="213" spans="13:27">
      <c r="M213" s="248"/>
      <c r="N213" s="248"/>
      <c r="O213" s="248"/>
      <c r="P213" s="248"/>
      <c r="Q213" s="248"/>
      <c r="R213" s="247"/>
      <c r="S213" s="248"/>
      <c r="V213" s="248"/>
      <c r="W213" s="194"/>
      <c r="X213" s="249"/>
      <c r="Y213" s="250"/>
      <c r="Z213" s="251"/>
      <c r="AA213" s="252"/>
    </row>
    <row r="214" spans="13:27">
      <c r="M214" s="248"/>
      <c r="N214" s="248"/>
      <c r="O214" s="248"/>
      <c r="P214" s="248"/>
      <c r="Q214" s="248"/>
      <c r="R214" s="247"/>
      <c r="S214" s="248"/>
      <c r="V214" s="248"/>
      <c r="W214" s="194"/>
      <c r="X214" s="249"/>
      <c r="Y214" s="250"/>
      <c r="Z214" s="251"/>
      <c r="AA214" s="252"/>
    </row>
    <row r="215" spans="13:27">
      <c r="M215" s="248"/>
      <c r="N215" s="248"/>
      <c r="O215" s="248"/>
      <c r="P215" s="248"/>
      <c r="Q215" s="248"/>
      <c r="R215" s="247"/>
      <c r="S215" s="248"/>
      <c r="V215" s="248"/>
      <c r="W215" s="194"/>
      <c r="X215" s="249"/>
      <c r="Y215" s="250"/>
      <c r="Z215" s="251"/>
      <c r="AA215" s="252"/>
    </row>
    <row r="216" spans="13:27">
      <c r="M216" s="248"/>
      <c r="N216" s="248"/>
      <c r="O216" s="248"/>
      <c r="P216" s="248"/>
      <c r="Q216" s="248"/>
      <c r="R216" s="247"/>
      <c r="S216" s="248"/>
      <c r="V216" s="248"/>
      <c r="W216" s="194"/>
      <c r="X216" s="249"/>
      <c r="Y216" s="250"/>
      <c r="Z216" s="251"/>
      <c r="AA216" s="252"/>
    </row>
    <row r="217" spans="13:27">
      <c r="M217" s="248"/>
      <c r="N217" s="248"/>
      <c r="O217" s="248"/>
      <c r="P217" s="248"/>
      <c r="Q217" s="248"/>
      <c r="R217" s="247"/>
      <c r="S217" s="248"/>
      <c r="V217" s="248"/>
      <c r="W217" s="194"/>
      <c r="X217" s="249"/>
      <c r="Y217" s="250"/>
      <c r="Z217" s="251"/>
      <c r="AA217" s="252"/>
    </row>
    <row r="218" spans="13:27">
      <c r="M218" s="248"/>
      <c r="N218" s="248"/>
      <c r="O218" s="248"/>
      <c r="P218" s="248"/>
      <c r="Q218" s="248"/>
      <c r="R218" s="247"/>
      <c r="S218" s="248"/>
      <c r="V218" s="248"/>
      <c r="W218" s="194"/>
      <c r="X218" s="249"/>
      <c r="Y218" s="250"/>
      <c r="Z218" s="251"/>
      <c r="AA218" s="252"/>
    </row>
    <row r="219" spans="13:27">
      <c r="M219" s="248"/>
      <c r="N219" s="248"/>
      <c r="O219" s="248"/>
      <c r="P219" s="248"/>
      <c r="Q219" s="248"/>
      <c r="R219" s="247"/>
      <c r="S219" s="248"/>
      <c r="V219" s="248"/>
      <c r="W219" s="194"/>
      <c r="X219" s="249"/>
      <c r="Y219" s="250"/>
      <c r="Z219" s="251"/>
      <c r="AA219" s="252"/>
    </row>
    <row r="220" spans="13:27">
      <c r="M220" s="248"/>
      <c r="N220" s="248"/>
      <c r="O220" s="248"/>
      <c r="P220" s="248"/>
      <c r="Q220" s="248"/>
      <c r="R220" s="247"/>
      <c r="S220" s="248"/>
      <c r="V220" s="248"/>
      <c r="W220" s="194"/>
      <c r="X220" s="249"/>
      <c r="Y220" s="250"/>
      <c r="Z220" s="251"/>
      <c r="AA220" s="252"/>
    </row>
    <row r="221" spans="13:27">
      <c r="M221" s="248"/>
      <c r="N221" s="248"/>
      <c r="O221" s="248"/>
      <c r="P221" s="248"/>
      <c r="Q221" s="248"/>
      <c r="R221" s="247"/>
      <c r="S221" s="248"/>
      <c r="V221" s="248"/>
      <c r="W221" s="194"/>
      <c r="X221" s="249"/>
      <c r="Y221" s="250"/>
      <c r="Z221" s="251"/>
      <c r="AA221" s="252"/>
    </row>
    <row r="222" spans="13:27">
      <c r="M222" s="248"/>
      <c r="N222" s="248"/>
      <c r="O222" s="248"/>
      <c r="P222" s="248"/>
      <c r="Q222" s="248"/>
      <c r="R222" s="247"/>
      <c r="S222" s="248"/>
      <c r="V222" s="248"/>
      <c r="W222" s="194"/>
      <c r="X222" s="249"/>
      <c r="Y222" s="250"/>
      <c r="Z222" s="251"/>
      <c r="AA222" s="252"/>
    </row>
    <row r="223" spans="13:27">
      <c r="M223" s="248"/>
      <c r="N223" s="248"/>
      <c r="O223" s="248"/>
      <c r="P223" s="248"/>
      <c r="Q223" s="248"/>
      <c r="R223" s="247"/>
      <c r="S223" s="248"/>
      <c r="V223" s="248"/>
      <c r="W223" s="194"/>
      <c r="X223" s="249"/>
      <c r="Y223" s="250"/>
      <c r="Z223" s="251"/>
      <c r="AA223" s="252"/>
    </row>
    <row r="224" spans="13:27">
      <c r="M224" s="248"/>
      <c r="N224" s="248"/>
      <c r="O224" s="248"/>
      <c r="P224" s="248"/>
      <c r="Q224" s="248"/>
      <c r="R224" s="247"/>
      <c r="S224" s="248"/>
      <c r="V224" s="248"/>
      <c r="W224" s="194"/>
      <c r="X224" s="249"/>
      <c r="Y224" s="250"/>
      <c r="Z224" s="251"/>
      <c r="AA224" s="252"/>
    </row>
    <row r="225" spans="13:27">
      <c r="M225" s="248"/>
      <c r="N225" s="248"/>
      <c r="O225" s="248"/>
      <c r="P225" s="248"/>
      <c r="Q225" s="248"/>
      <c r="R225" s="247"/>
      <c r="S225" s="248"/>
      <c r="V225" s="248"/>
      <c r="W225" s="194"/>
      <c r="X225" s="249"/>
      <c r="Y225" s="250"/>
      <c r="Z225" s="251"/>
      <c r="AA225" s="252"/>
    </row>
    <row r="226" spans="13:27">
      <c r="M226" s="248"/>
      <c r="N226" s="248"/>
      <c r="O226" s="248"/>
      <c r="P226" s="248"/>
      <c r="Q226" s="248"/>
      <c r="R226" s="247"/>
      <c r="S226" s="248"/>
      <c r="V226" s="248"/>
      <c r="W226" s="194"/>
      <c r="X226" s="249"/>
      <c r="Y226" s="250"/>
      <c r="Z226" s="251"/>
      <c r="AA226" s="252"/>
    </row>
    <row r="227" spans="13:27">
      <c r="M227" s="248"/>
      <c r="N227" s="248"/>
      <c r="O227" s="248"/>
      <c r="P227" s="248"/>
      <c r="Q227" s="248"/>
      <c r="R227" s="247"/>
      <c r="S227" s="248"/>
      <c r="V227" s="248"/>
      <c r="W227" s="194"/>
      <c r="X227" s="249"/>
      <c r="Y227" s="250"/>
      <c r="Z227" s="251"/>
      <c r="AA227" s="252"/>
    </row>
    <row r="228" spans="13:27">
      <c r="M228" s="248"/>
      <c r="N228" s="248"/>
      <c r="O228" s="248"/>
      <c r="P228" s="248"/>
      <c r="Q228" s="248"/>
      <c r="R228" s="247"/>
      <c r="S228" s="248"/>
      <c r="V228" s="248"/>
      <c r="W228" s="194"/>
      <c r="X228" s="249"/>
      <c r="Y228" s="250"/>
      <c r="Z228" s="251"/>
      <c r="AA228" s="252"/>
    </row>
    <row r="229" spans="13:27">
      <c r="M229" s="248"/>
      <c r="N229" s="248"/>
      <c r="O229" s="248"/>
      <c r="P229" s="248"/>
      <c r="Q229" s="248"/>
      <c r="R229" s="247"/>
      <c r="S229" s="248"/>
      <c r="V229" s="248"/>
      <c r="W229" s="194"/>
      <c r="X229" s="249"/>
      <c r="Y229" s="250"/>
      <c r="Z229" s="251"/>
      <c r="AA229" s="252"/>
    </row>
    <row r="230" spans="13:27">
      <c r="M230" s="248"/>
      <c r="N230" s="248"/>
      <c r="O230" s="248"/>
      <c r="P230" s="248"/>
      <c r="Q230" s="248"/>
      <c r="R230" s="247"/>
      <c r="S230" s="248"/>
      <c r="V230" s="248"/>
      <c r="W230" s="194"/>
      <c r="X230" s="249"/>
      <c r="Y230" s="250"/>
      <c r="Z230" s="251"/>
      <c r="AA230" s="252"/>
    </row>
    <row r="231" spans="13:27">
      <c r="M231" s="248"/>
      <c r="N231" s="248"/>
      <c r="O231" s="248"/>
      <c r="P231" s="248"/>
      <c r="Q231" s="248"/>
      <c r="R231" s="247"/>
      <c r="S231" s="248"/>
      <c r="V231" s="248"/>
      <c r="W231" s="194"/>
      <c r="X231" s="249"/>
      <c r="Y231" s="250"/>
      <c r="Z231" s="251"/>
      <c r="AA231" s="252"/>
    </row>
    <row r="232" spans="13:27">
      <c r="M232" s="248"/>
      <c r="N232" s="248"/>
      <c r="O232" s="248"/>
      <c r="P232" s="248"/>
      <c r="Q232" s="248"/>
      <c r="R232" s="247"/>
      <c r="S232" s="248"/>
      <c r="V232" s="248"/>
      <c r="W232" s="194"/>
      <c r="X232" s="249"/>
      <c r="Y232" s="250"/>
      <c r="Z232" s="251"/>
      <c r="AA232" s="252"/>
    </row>
    <row r="233" spans="13:27">
      <c r="M233" s="248"/>
      <c r="N233" s="248"/>
      <c r="O233" s="248"/>
      <c r="P233" s="248"/>
      <c r="Q233" s="248"/>
      <c r="R233" s="247"/>
      <c r="S233" s="248"/>
      <c r="V233" s="248"/>
      <c r="W233" s="194"/>
      <c r="X233" s="249"/>
      <c r="Y233" s="250"/>
      <c r="Z233" s="251"/>
      <c r="AA233" s="252"/>
    </row>
    <row r="234" spans="13:27">
      <c r="M234" s="248"/>
      <c r="N234" s="248"/>
      <c r="O234" s="248"/>
      <c r="P234" s="248"/>
      <c r="Q234" s="248"/>
      <c r="R234" s="247"/>
      <c r="S234" s="248"/>
      <c r="V234" s="248"/>
      <c r="W234" s="194"/>
      <c r="X234" s="249"/>
      <c r="Y234" s="250"/>
      <c r="Z234" s="251"/>
      <c r="AA234" s="252"/>
    </row>
    <row r="235" spans="13:27">
      <c r="M235" s="248"/>
      <c r="N235" s="248"/>
      <c r="O235" s="248"/>
      <c r="P235" s="248"/>
      <c r="Q235" s="248"/>
      <c r="R235" s="247"/>
      <c r="S235" s="248"/>
      <c r="V235" s="248"/>
      <c r="W235" s="194"/>
      <c r="X235" s="249"/>
      <c r="Y235" s="250"/>
      <c r="Z235" s="251"/>
      <c r="AA235" s="252"/>
    </row>
    <row r="236" spans="13:27">
      <c r="M236" s="248"/>
      <c r="N236" s="248"/>
      <c r="O236" s="248"/>
      <c r="P236" s="248"/>
      <c r="Q236" s="248"/>
      <c r="R236" s="247"/>
      <c r="S236" s="248"/>
      <c r="V236" s="248"/>
      <c r="W236" s="194"/>
      <c r="X236" s="249"/>
      <c r="Y236" s="250"/>
      <c r="Z236" s="251"/>
      <c r="AA236" s="252"/>
    </row>
    <row r="237" spans="13:27">
      <c r="M237" s="248"/>
      <c r="N237" s="248"/>
      <c r="O237" s="248"/>
      <c r="P237" s="248"/>
      <c r="Q237" s="248"/>
      <c r="R237" s="247"/>
      <c r="S237" s="248"/>
      <c r="V237" s="248"/>
      <c r="W237" s="194"/>
      <c r="X237" s="249"/>
      <c r="Y237" s="250"/>
      <c r="Z237" s="251"/>
      <c r="AA237" s="252"/>
    </row>
    <row r="238" spans="13:27">
      <c r="M238" s="248"/>
      <c r="N238" s="248"/>
      <c r="O238" s="248"/>
      <c r="P238" s="248"/>
      <c r="Q238" s="248"/>
      <c r="R238" s="247"/>
      <c r="S238" s="248"/>
      <c r="V238" s="248"/>
      <c r="W238" s="194"/>
      <c r="X238" s="249"/>
      <c r="Y238" s="250"/>
      <c r="Z238" s="251"/>
      <c r="AA238" s="252"/>
    </row>
    <row r="239" spans="13:27">
      <c r="M239" s="248"/>
      <c r="N239" s="248"/>
      <c r="O239" s="248"/>
      <c r="P239" s="248"/>
      <c r="Q239" s="248"/>
      <c r="R239" s="247"/>
      <c r="S239" s="248"/>
      <c r="V239" s="248"/>
      <c r="W239" s="194"/>
      <c r="X239" s="249"/>
      <c r="Y239" s="250"/>
      <c r="Z239" s="251"/>
      <c r="AA239" s="252"/>
    </row>
    <row r="240" spans="13:27">
      <c r="M240" s="248"/>
      <c r="N240" s="248"/>
      <c r="O240" s="248"/>
      <c r="P240" s="248"/>
      <c r="Q240" s="248"/>
      <c r="R240" s="247"/>
      <c r="S240" s="248"/>
      <c r="V240" s="248"/>
      <c r="W240" s="194"/>
      <c r="X240" s="249"/>
      <c r="Y240" s="250"/>
      <c r="Z240" s="251"/>
      <c r="AA240" s="252"/>
    </row>
    <row r="241" spans="13:27">
      <c r="M241" s="248"/>
      <c r="N241" s="248"/>
      <c r="O241" s="248"/>
      <c r="P241" s="248"/>
      <c r="Q241" s="248"/>
      <c r="R241" s="247"/>
      <c r="S241" s="248"/>
      <c r="V241" s="248"/>
      <c r="W241" s="194"/>
      <c r="X241" s="249"/>
      <c r="Y241" s="250"/>
      <c r="Z241" s="251"/>
      <c r="AA241" s="252"/>
    </row>
    <row r="242" spans="13:27">
      <c r="M242" s="248"/>
      <c r="N242" s="248"/>
      <c r="O242" s="248"/>
      <c r="P242" s="248"/>
      <c r="Q242" s="248"/>
      <c r="R242" s="247"/>
      <c r="S242" s="248"/>
      <c r="V242" s="248"/>
      <c r="W242" s="194"/>
      <c r="X242" s="249"/>
      <c r="Y242" s="250"/>
      <c r="Z242" s="251"/>
      <c r="AA242" s="252"/>
    </row>
    <row r="243" spans="13:27">
      <c r="M243" s="248"/>
      <c r="N243" s="248"/>
      <c r="O243" s="248"/>
      <c r="P243" s="248"/>
      <c r="Q243" s="248"/>
      <c r="R243" s="247"/>
      <c r="S243" s="248"/>
      <c r="V243" s="248"/>
      <c r="W243" s="194"/>
      <c r="X243" s="249"/>
      <c r="Y243" s="250"/>
      <c r="Z243" s="251"/>
      <c r="AA243" s="252"/>
    </row>
    <row r="244" spans="13:27">
      <c r="M244" s="248"/>
      <c r="N244" s="248"/>
      <c r="O244" s="248"/>
      <c r="P244" s="248"/>
      <c r="Q244" s="248"/>
      <c r="R244" s="247"/>
      <c r="S244" s="248"/>
      <c r="V244" s="248"/>
      <c r="W244" s="194"/>
      <c r="X244" s="249"/>
      <c r="Y244" s="250"/>
      <c r="Z244" s="251"/>
      <c r="AA244" s="252"/>
    </row>
    <row r="245" spans="13:27">
      <c r="M245" s="248"/>
      <c r="N245" s="248"/>
      <c r="O245" s="248"/>
      <c r="P245" s="248"/>
      <c r="Q245" s="248"/>
      <c r="R245" s="247"/>
      <c r="S245" s="248"/>
      <c r="V245" s="248"/>
      <c r="W245" s="194"/>
      <c r="X245" s="249"/>
      <c r="Y245" s="250"/>
      <c r="Z245" s="251"/>
      <c r="AA245" s="252"/>
    </row>
    <row r="246" spans="13:27">
      <c r="M246" s="248"/>
      <c r="N246" s="248"/>
      <c r="O246" s="248"/>
      <c r="P246" s="248"/>
      <c r="Q246" s="248"/>
      <c r="R246" s="247"/>
      <c r="S246" s="248"/>
      <c r="V246" s="248"/>
      <c r="W246" s="194"/>
      <c r="X246" s="249"/>
      <c r="Y246" s="250"/>
      <c r="Z246" s="251"/>
      <c r="AA246" s="252"/>
    </row>
    <row r="247" spans="13:27">
      <c r="M247" s="248"/>
      <c r="N247" s="248"/>
      <c r="O247" s="248"/>
      <c r="P247" s="248"/>
      <c r="Q247" s="248"/>
      <c r="R247" s="247"/>
      <c r="S247" s="248"/>
      <c r="V247" s="248"/>
      <c r="W247" s="194"/>
      <c r="X247" s="249"/>
      <c r="Y247" s="250"/>
      <c r="Z247" s="251"/>
      <c r="AA247" s="252"/>
    </row>
    <row r="248" spans="13:27">
      <c r="M248" s="248"/>
      <c r="N248" s="248"/>
      <c r="O248" s="248"/>
      <c r="P248" s="248"/>
      <c r="Q248" s="248"/>
      <c r="R248" s="247"/>
      <c r="S248" s="248"/>
      <c r="V248" s="248"/>
      <c r="W248" s="194"/>
      <c r="X248" s="249"/>
      <c r="Y248" s="250"/>
      <c r="Z248" s="251"/>
      <c r="AA248" s="252"/>
    </row>
    <row r="249" spans="13:27">
      <c r="M249" s="248"/>
      <c r="N249" s="248"/>
      <c r="O249" s="248"/>
      <c r="P249" s="248"/>
      <c r="Q249" s="248"/>
      <c r="R249" s="247"/>
      <c r="S249" s="248"/>
      <c r="V249" s="248"/>
      <c r="W249" s="194"/>
      <c r="X249" s="249"/>
      <c r="Y249" s="250"/>
      <c r="Z249" s="251"/>
      <c r="AA249" s="252"/>
    </row>
    <row r="250" spans="13:27">
      <c r="M250" s="248"/>
      <c r="N250" s="248"/>
      <c r="O250" s="248"/>
      <c r="P250" s="248"/>
      <c r="Q250" s="248"/>
      <c r="R250" s="247"/>
      <c r="S250" s="248"/>
      <c r="V250" s="248"/>
      <c r="W250" s="194"/>
      <c r="X250" s="249"/>
      <c r="Y250" s="250"/>
      <c r="Z250" s="251"/>
      <c r="AA250" s="252"/>
    </row>
    <row r="251" spans="13:27">
      <c r="M251" s="248"/>
      <c r="N251" s="248"/>
      <c r="O251" s="248"/>
      <c r="P251" s="248"/>
      <c r="Q251" s="248"/>
      <c r="R251" s="247"/>
      <c r="S251" s="248"/>
      <c r="V251" s="248"/>
      <c r="W251" s="194"/>
      <c r="X251" s="249"/>
      <c r="Y251" s="250"/>
      <c r="Z251" s="251"/>
      <c r="AA251" s="252"/>
    </row>
    <row r="252" spans="13:27">
      <c r="M252" s="248"/>
      <c r="N252" s="248"/>
      <c r="O252" s="248"/>
      <c r="P252" s="248"/>
      <c r="Q252" s="248"/>
      <c r="R252" s="247"/>
      <c r="S252" s="248"/>
      <c r="V252" s="248"/>
      <c r="W252" s="194"/>
      <c r="X252" s="249"/>
      <c r="Y252" s="250"/>
      <c r="Z252" s="251"/>
      <c r="AA252" s="252"/>
    </row>
    <row r="253" spans="13:27">
      <c r="M253" s="248"/>
      <c r="N253" s="248"/>
      <c r="O253" s="248"/>
      <c r="P253" s="248"/>
      <c r="Q253" s="248"/>
      <c r="R253" s="247"/>
      <c r="S253" s="248"/>
      <c r="V253" s="248"/>
      <c r="W253" s="194"/>
      <c r="X253" s="249"/>
      <c r="Y253" s="250"/>
      <c r="Z253" s="251"/>
      <c r="AA253" s="252"/>
    </row>
    <row r="254" spans="13:27">
      <c r="M254" s="248"/>
      <c r="N254" s="248"/>
      <c r="O254" s="248"/>
      <c r="P254" s="248"/>
      <c r="Q254" s="248"/>
      <c r="R254" s="247"/>
      <c r="S254" s="248"/>
      <c r="V254" s="248"/>
      <c r="W254" s="194"/>
      <c r="X254" s="249"/>
      <c r="Y254" s="250"/>
      <c r="Z254" s="251"/>
      <c r="AA254" s="252"/>
    </row>
    <row r="255" spans="13:27">
      <c r="M255" s="248"/>
      <c r="N255" s="248"/>
      <c r="O255" s="248"/>
      <c r="P255" s="248"/>
      <c r="Q255" s="248"/>
      <c r="R255" s="247"/>
      <c r="S255" s="248"/>
      <c r="V255" s="248"/>
      <c r="W255" s="194"/>
      <c r="X255" s="249"/>
      <c r="Y255" s="250"/>
      <c r="Z255" s="251"/>
      <c r="AA255" s="252"/>
    </row>
    <row r="256" spans="13:27">
      <c r="M256" s="248"/>
      <c r="N256" s="248"/>
      <c r="O256" s="248"/>
      <c r="P256" s="248"/>
      <c r="Q256" s="248"/>
      <c r="R256" s="247"/>
      <c r="S256" s="248"/>
      <c r="V256" s="248"/>
      <c r="W256" s="194"/>
      <c r="X256" s="249"/>
      <c r="Y256" s="250"/>
      <c r="Z256" s="251"/>
      <c r="AA256" s="252"/>
    </row>
    <row r="257" spans="13:27">
      <c r="M257" s="248"/>
      <c r="N257" s="248"/>
      <c r="O257" s="248"/>
      <c r="P257" s="248"/>
      <c r="Q257" s="248"/>
      <c r="R257" s="247"/>
      <c r="S257" s="248"/>
      <c r="V257" s="248"/>
      <c r="W257" s="194"/>
      <c r="X257" s="249"/>
      <c r="Y257" s="250"/>
      <c r="Z257" s="251"/>
      <c r="AA257" s="252"/>
    </row>
    <row r="258" spans="13:27">
      <c r="M258" s="248"/>
      <c r="N258" s="248"/>
      <c r="O258" s="248"/>
      <c r="P258" s="248"/>
      <c r="Q258" s="248"/>
      <c r="R258" s="247"/>
      <c r="S258" s="248"/>
      <c r="V258" s="248"/>
      <c r="W258" s="194"/>
      <c r="X258" s="249"/>
      <c r="Y258" s="250"/>
      <c r="Z258" s="251"/>
      <c r="AA258" s="252"/>
    </row>
    <row r="259" spans="13:27">
      <c r="M259" s="248"/>
      <c r="N259" s="248"/>
      <c r="O259" s="248"/>
      <c r="P259" s="248"/>
      <c r="Q259" s="248"/>
      <c r="R259" s="247"/>
      <c r="S259" s="248"/>
      <c r="V259" s="248"/>
      <c r="W259" s="194"/>
      <c r="X259" s="249"/>
      <c r="Y259" s="250"/>
      <c r="Z259" s="251"/>
      <c r="AA259" s="252"/>
    </row>
    <row r="260" spans="13:27">
      <c r="M260" s="248"/>
      <c r="N260" s="248"/>
      <c r="O260" s="248"/>
      <c r="P260" s="248"/>
      <c r="Q260" s="248"/>
      <c r="R260" s="247"/>
      <c r="S260" s="248"/>
      <c r="V260" s="248"/>
      <c r="W260" s="194"/>
      <c r="X260" s="249"/>
      <c r="Y260" s="250"/>
      <c r="Z260" s="251"/>
      <c r="AA260" s="252"/>
    </row>
    <row r="261" spans="13:27">
      <c r="M261" s="248"/>
      <c r="N261" s="248"/>
      <c r="O261" s="248"/>
      <c r="P261" s="248"/>
      <c r="Q261" s="248"/>
      <c r="R261" s="247"/>
      <c r="S261" s="248"/>
      <c r="V261" s="248"/>
      <c r="W261" s="194"/>
      <c r="X261" s="249"/>
      <c r="Y261" s="250"/>
      <c r="Z261" s="251"/>
      <c r="AA261" s="252"/>
    </row>
    <row r="262" spans="13:27">
      <c r="M262" s="248"/>
      <c r="N262" s="248"/>
      <c r="O262" s="248"/>
      <c r="P262" s="248"/>
      <c r="Q262" s="248"/>
      <c r="R262" s="247"/>
      <c r="S262" s="248"/>
      <c r="V262" s="248"/>
      <c r="W262" s="194"/>
      <c r="X262" s="249"/>
      <c r="Y262" s="250"/>
      <c r="Z262" s="251"/>
      <c r="AA262" s="252"/>
    </row>
    <row r="263" spans="13:27">
      <c r="M263" s="248"/>
      <c r="N263" s="248"/>
      <c r="O263" s="248"/>
      <c r="P263" s="248"/>
      <c r="Q263" s="248"/>
      <c r="R263" s="247"/>
      <c r="S263" s="248"/>
      <c r="V263" s="248"/>
      <c r="W263" s="194"/>
      <c r="X263" s="249"/>
      <c r="Y263" s="250"/>
      <c r="Z263" s="251"/>
      <c r="AA263" s="252"/>
    </row>
    <row r="264" spans="13:27">
      <c r="M264" s="248"/>
      <c r="N264" s="248"/>
      <c r="O264" s="248"/>
      <c r="P264" s="248"/>
      <c r="Q264" s="248"/>
      <c r="R264" s="247"/>
      <c r="S264" s="248"/>
      <c r="V264" s="248"/>
      <c r="W264" s="194"/>
      <c r="X264" s="249"/>
      <c r="Y264" s="250"/>
      <c r="Z264" s="251"/>
      <c r="AA264" s="252"/>
    </row>
    <row r="265" spans="13:27">
      <c r="M265" s="248"/>
      <c r="N265" s="248"/>
      <c r="O265" s="248"/>
      <c r="P265" s="248"/>
      <c r="Q265" s="248"/>
      <c r="R265" s="247"/>
      <c r="S265" s="248"/>
      <c r="V265" s="248"/>
      <c r="W265" s="194"/>
      <c r="X265" s="249"/>
      <c r="Y265" s="250"/>
      <c r="Z265" s="251"/>
      <c r="AA265" s="252"/>
    </row>
    <row r="266" spans="13:27">
      <c r="M266" s="248"/>
      <c r="N266" s="248"/>
      <c r="O266" s="248"/>
      <c r="P266" s="248"/>
      <c r="Q266" s="248"/>
      <c r="R266" s="247"/>
      <c r="S266" s="248"/>
      <c r="V266" s="248"/>
      <c r="W266" s="194"/>
      <c r="X266" s="249"/>
      <c r="Y266" s="250"/>
      <c r="Z266" s="251"/>
      <c r="AA266" s="252"/>
    </row>
    <row r="267" spans="13:27">
      <c r="M267" s="248"/>
      <c r="N267" s="248"/>
      <c r="O267" s="248"/>
      <c r="P267" s="248"/>
      <c r="Q267" s="248"/>
      <c r="R267" s="247"/>
      <c r="S267" s="248"/>
      <c r="V267" s="248"/>
      <c r="W267" s="194"/>
      <c r="X267" s="249"/>
      <c r="Y267" s="250"/>
      <c r="Z267" s="251"/>
      <c r="AA267" s="252"/>
    </row>
    <row r="268" spans="13:27">
      <c r="M268" s="248"/>
      <c r="N268" s="248"/>
      <c r="O268" s="248"/>
      <c r="P268" s="248"/>
      <c r="Q268" s="248"/>
      <c r="R268" s="247"/>
      <c r="S268" s="248"/>
      <c r="V268" s="248"/>
      <c r="W268" s="194"/>
      <c r="X268" s="249"/>
      <c r="Y268" s="250"/>
      <c r="Z268" s="251"/>
      <c r="AA268" s="252"/>
    </row>
    <row r="269" spans="13:27">
      <c r="M269" s="248"/>
      <c r="N269" s="248"/>
      <c r="O269" s="248"/>
      <c r="P269" s="248"/>
      <c r="Q269" s="248"/>
      <c r="R269" s="247"/>
      <c r="S269" s="248"/>
      <c r="V269" s="248"/>
      <c r="W269" s="194"/>
      <c r="X269" s="249"/>
      <c r="Y269" s="250"/>
      <c r="Z269" s="251"/>
      <c r="AA269" s="252"/>
    </row>
    <row r="270" spans="13:27">
      <c r="M270" s="248"/>
      <c r="N270" s="248"/>
      <c r="O270" s="248"/>
      <c r="P270" s="248"/>
      <c r="Q270" s="248"/>
      <c r="R270" s="247"/>
      <c r="S270" s="248"/>
      <c r="V270" s="248"/>
      <c r="W270" s="194"/>
      <c r="X270" s="249"/>
      <c r="Y270" s="250"/>
      <c r="Z270" s="251"/>
      <c r="AA270" s="252"/>
    </row>
    <row r="271" spans="13:27">
      <c r="M271" s="248"/>
      <c r="N271" s="248"/>
      <c r="O271" s="248"/>
      <c r="P271" s="248"/>
      <c r="Q271" s="248"/>
      <c r="R271" s="247"/>
      <c r="S271" s="248"/>
      <c r="V271" s="248"/>
      <c r="W271" s="194"/>
      <c r="X271" s="249"/>
      <c r="Y271" s="250"/>
      <c r="Z271" s="251"/>
      <c r="AA271" s="252"/>
    </row>
    <row r="272" spans="13:27">
      <c r="M272" s="248"/>
      <c r="N272" s="248"/>
      <c r="O272" s="248"/>
      <c r="P272" s="248"/>
      <c r="Q272" s="248"/>
      <c r="R272" s="247"/>
      <c r="S272" s="248"/>
      <c r="V272" s="248"/>
      <c r="W272" s="194"/>
      <c r="X272" s="249"/>
      <c r="Y272" s="250"/>
      <c r="Z272" s="251"/>
      <c r="AA272" s="252"/>
    </row>
    <row r="273" spans="13:27">
      <c r="M273" s="248"/>
      <c r="N273" s="248"/>
      <c r="O273" s="248"/>
      <c r="P273" s="248"/>
      <c r="Q273" s="248"/>
      <c r="R273" s="247"/>
      <c r="S273" s="248"/>
      <c r="V273" s="248"/>
      <c r="W273" s="194"/>
      <c r="X273" s="249"/>
      <c r="Y273" s="250"/>
      <c r="Z273" s="251"/>
      <c r="AA273" s="252"/>
    </row>
    <row r="274" spans="13:27">
      <c r="M274" s="248"/>
      <c r="N274" s="248"/>
      <c r="O274" s="248"/>
      <c r="P274" s="248"/>
      <c r="Q274" s="248"/>
      <c r="R274" s="247"/>
      <c r="S274" s="248"/>
      <c r="V274" s="248"/>
      <c r="W274" s="194"/>
      <c r="X274" s="249"/>
      <c r="Y274" s="250"/>
      <c r="Z274" s="251"/>
      <c r="AA274" s="252"/>
    </row>
    <row r="275" spans="13:27">
      <c r="M275" s="248"/>
      <c r="N275" s="248"/>
      <c r="O275" s="248"/>
      <c r="P275" s="248"/>
      <c r="Q275" s="248"/>
      <c r="R275" s="247"/>
      <c r="S275" s="248"/>
      <c r="V275" s="248"/>
      <c r="W275" s="194"/>
      <c r="X275" s="249"/>
      <c r="Y275" s="250"/>
      <c r="Z275" s="251"/>
      <c r="AA275" s="252"/>
    </row>
    <row r="276" spans="13:27">
      <c r="M276" s="248"/>
      <c r="N276" s="248"/>
      <c r="O276" s="248"/>
      <c r="P276" s="248"/>
      <c r="Q276" s="248"/>
      <c r="R276" s="247"/>
      <c r="S276" s="248"/>
      <c r="V276" s="248"/>
      <c r="W276" s="194"/>
      <c r="X276" s="249"/>
      <c r="Y276" s="250"/>
      <c r="Z276" s="251"/>
      <c r="AA276" s="252"/>
    </row>
    <row r="277" spans="13:27">
      <c r="M277" s="248"/>
      <c r="N277" s="248"/>
      <c r="O277" s="248"/>
      <c r="P277" s="248"/>
      <c r="Q277" s="248"/>
      <c r="R277" s="247"/>
      <c r="S277" s="248"/>
      <c r="V277" s="248"/>
      <c r="W277" s="194"/>
      <c r="X277" s="249"/>
      <c r="Y277" s="250"/>
      <c r="Z277" s="251"/>
      <c r="AA277" s="252"/>
    </row>
    <row r="278" spans="13:27">
      <c r="M278" s="248"/>
      <c r="N278" s="248"/>
      <c r="O278" s="248"/>
      <c r="P278" s="248"/>
      <c r="Q278" s="248"/>
      <c r="R278" s="247"/>
      <c r="S278" s="248"/>
      <c r="V278" s="248"/>
      <c r="W278" s="194"/>
      <c r="X278" s="249"/>
      <c r="Y278" s="250"/>
      <c r="Z278" s="251"/>
      <c r="AA278" s="252"/>
    </row>
    <row r="279" spans="13:27">
      <c r="M279" s="248"/>
      <c r="N279" s="248"/>
      <c r="O279" s="248"/>
      <c r="P279" s="248"/>
      <c r="Q279" s="248"/>
      <c r="R279" s="247"/>
      <c r="S279" s="248"/>
      <c r="V279" s="248"/>
      <c r="W279" s="194"/>
      <c r="X279" s="249"/>
      <c r="Y279" s="250"/>
      <c r="Z279" s="251"/>
      <c r="AA279" s="252"/>
    </row>
    <row r="280" spans="13:27">
      <c r="M280" s="248"/>
      <c r="N280" s="248"/>
      <c r="O280" s="248"/>
      <c r="P280" s="248"/>
      <c r="Q280" s="248"/>
      <c r="R280" s="247"/>
      <c r="S280" s="248"/>
      <c r="V280" s="248"/>
      <c r="W280" s="194"/>
      <c r="X280" s="249"/>
      <c r="Y280" s="250"/>
      <c r="Z280" s="251"/>
      <c r="AA280" s="252"/>
    </row>
    <row r="281" spans="13:27">
      <c r="M281" s="248"/>
      <c r="N281" s="248"/>
      <c r="O281" s="248"/>
      <c r="P281" s="248"/>
      <c r="Q281" s="248"/>
      <c r="R281" s="247"/>
      <c r="S281" s="248"/>
      <c r="V281" s="248"/>
      <c r="W281" s="194"/>
      <c r="X281" s="249"/>
      <c r="Y281" s="250"/>
      <c r="Z281" s="251"/>
      <c r="AA281" s="252"/>
    </row>
    <row r="282" spans="13:27">
      <c r="M282" s="248"/>
      <c r="N282" s="248"/>
      <c r="O282" s="248"/>
      <c r="P282" s="248"/>
      <c r="Q282" s="248"/>
      <c r="R282" s="247"/>
      <c r="S282" s="248"/>
      <c r="V282" s="248"/>
      <c r="W282" s="194"/>
      <c r="X282" s="249"/>
      <c r="Y282" s="250"/>
      <c r="Z282" s="251"/>
      <c r="AA282" s="252"/>
    </row>
    <row r="283" spans="13:27">
      <c r="M283" s="248"/>
      <c r="N283" s="248"/>
      <c r="O283" s="248"/>
      <c r="P283" s="248"/>
      <c r="Q283" s="248"/>
      <c r="R283" s="247"/>
      <c r="S283" s="248"/>
      <c r="V283" s="248"/>
      <c r="W283" s="194"/>
      <c r="X283" s="249"/>
      <c r="Y283" s="250"/>
      <c r="Z283" s="251"/>
      <c r="AA283" s="252"/>
    </row>
    <row r="284" spans="13:27">
      <c r="M284" s="248"/>
      <c r="N284" s="248"/>
      <c r="O284" s="248"/>
      <c r="P284" s="248"/>
      <c r="Q284" s="248"/>
      <c r="R284" s="247"/>
      <c r="S284" s="248"/>
      <c r="V284" s="248"/>
      <c r="W284" s="194"/>
      <c r="X284" s="249"/>
      <c r="Y284" s="250"/>
      <c r="Z284" s="251"/>
      <c r="AA284" s="252"/>
    </row>
    <row r="285" spans="13:27">
      <c r="M285" s="248"/>
      <c r="N285" s="248"/>
      <c r="O285" s="248"/>
      <c r="P285" s="248"/>
      <c r="Q285" s="248"/>
      <c r="R285" s="247"/>
      <c r="S285" s="248"/>
      <c r="V285" s="248"/>
      <c r="W285" s="194"/>
      <c r="X285" s="249"/>
      <c r="Y285" s="250"/>
      <c r="Z285" s="251"/>
      <c r="AA285" s="252"/>
    </row>
    <row r="286" spans="13:27">
      <c r="M286" s="248"/>
      <c r="N286" s="248"/>
      <c r="O286" s="248"/>
      <c r="P286" s="248"/>
      <c r="Q286" s="248"/>
      <c r="R286" s="247"/>
      <c r="S286" s="248"/>
      <c r="V286" s="248"/>
      <c r="W286" s="194"/>
      <c r="X286" s="249"/>
      <c r="Y286" s="250"/>
      <c r="Z286" s="251"/>
      <c r="AA286" s="252"/>
    </row>
    <row r="287" spans="13:27">
      <c r="M287" s="248"/>
      <c r="N287" s="248"/>
      <c r="O287" s="248"/>
      <c r="P287" s="248"/>
      <c r="Q287" s="248"/>
      <c r="R287" s="247"/>
      <c r="S287" s="248"/>
      <c r="V287" s="248"/>
      <c r="W287" s="194"/>
      <c r="X287" s="249"/>
      <c r="Y287" s="250"/>
      <c r="Z287" s="251"/>
      <c r="AA287" s="252"/>
    </row>
    <row r="288" spans="13:27">
      <c r="M288" s="248"/>
      <c r="N288" s="248"/>
      <c r="O288" s="248"/>
      <c r="P288" s="248"/>
      <c r="Q288" s="248"/>
      <c r="R288" s="247"/>
      <c r="S288" s="248"/>
      <c r="V288" s="248"/>
      <c r="W288" s="194"/>
      <c r="X288" s="249"/>
      <c r="Y288" s="250"/>
      <c r="Z288" s="251"/>
      <c r="AA288" s="252"/>
    </row>
    <row r="289" spans="13:27">
      <c r="M289" s="248"/>
      <c r="N289" s="248"/>
      <c r="O289" s="248"/>
      <c r="P289" s="248"/>
      <c r="Q289" s="248"/>
      <c r="R289" s="247"/>
      <c r="S289" s="248"/>
      <c r="V289" s="248"/>
      <c r="W289" s="194"/>
      <c r="X289" s="249"/>
      <c r="Y289" s="250"/>
      <c r="Z289" s="251"/>
      <c r="AA289" s="252"/>
    </row>
    <row r="290" spans="13:27">
      <c r="M290" s="248"/>
      <c r="N290" s="248"/>
      <c r="O290" s="248"/>
      <c r="P290" s="248"/>
      <c r="Q290" s="248"/>
      <c r="R290" s="247"/>
      <c r="S290" s="248"/>
      <c r="V290" s="248"/>
      <c r="W290" s="194"/>
      <c r="X290" s="249"/>
      <c r="Y290" s="250"/>
      <c r="Z290" s="251"/>
      <c r="AA290" s="252"/>
    </row>
    <row r="291" spans="13:27">
      <c r="M291" s="248"/>
      <c r="N291" s="248"/>
      <c r="O291" s="248"/>
      <c r="P291" s="248"/>
      <c r="Q291" s="248"/>
      <c r="R291" s="247"/>
      <c r="S291" s="248"/>
      <c r="V291" s="248"/>
      <c r="W291" s="194"/>
      <c r="X291" s="249"/>
      <c r="Y291" s="250"/>
      <c r="Z291" s="251"/>
      <c r="AA291" s="252"/>
    </row>
    <row r="292" spans="13:27">
      <c r="M292" s="248"/>
      <c r="N292" s="248"/>
      <c r="O292" s="248"/>
      <c r="P292" s="248"/>
      <c r="Q292" s="248"/>
      <c r="R292" s="247"/>
      <c r="S292" s="248"/>
      <c r="V292" s="248"/>
      <c r="W292" s="194"/>
      <c r="X292" s="249"/>
      <c r="Y292" s="250"/>
      <c r="Z292" s="251"/>
      <c r="AA292" s="252"/>
    </row>
    <row r="293" spans="13:27">
      <c r="M293" s="248"/>
      <c r="N293" s="248"/>
      <c r="O293" s="248"/>
      <c r="P293" s="248"/>
      <c r="Q293" s="248"/>
      <c r="R293" s="247"/>
      <c r="S293" s="248"/>
      <c r="V293" s="248"/>
      <c r="W293" s="194"/>
      <c r="X293" s="249"/>
      <c r="Y293" s="250"/>
      <c r="Z293" s="251"/>
      <c r="AA293" s="252"/>
    </row>
    <row r="294" spans="13:27">
      <c r="M294" s="248"/>
      <c r="N294" s="248"/>
      <c r="O294" s="248"/>
      <c r="P294" s="248"/>
      <c r="Q294" s="248"/>
      <c r="R294" s="247"/>
      <c r="S294" s="248"/>
      <c r="V294" s="248"/>
      <c r="W294" s="194"/>
      <c r="X294" s="249"/>
      <c r="Y294" s="250"/>
      <c r="Z294" s="251"/>
      <c r="AA294" s="252"/>
    </row>
    <row r="295" spans="13:27">
      <c r="M295" s="248"/>
      <c r="N295" s="248"/>
      <c r="O295" s="248"/>
      <c r="P295" s="248"/>
      <c r="Q295" s="248"/>
      <c r="R295" s="247"/>
      <c r="S295" s="248"/>
      <c r="V295" s="248"/>
      <c r="W295" s="194"/>
      <c r="X295" s="249"/>
      <c r="Y295" s="250"/>
      <c r="Z295" s="251"/>
      <c r="AA295" s="252"/>
    </row>
    <row r="296" spans="13:27">
      <c r="M296" s="248"/>
      <c r="N296" s="248"/>
      <c r="O296" s="248"/>
      <c r="P296" s="248"/>
      <c r="Q296" s="248"/>
      <c r="R296" s="247"/>
      <c r="S296" s="248"/>
      <c r="V296" s="248"/>
      <c r="W296" s="194"/>
      <c r="X296" s="249"/>
      <c r="Y296" s="250"/>
      <c r="Z296" s="251"/>
      <c r="AA296" s="252"/>
    </row>
    <row r="297" spans="13:27">
      <c r="M297" s="248"/>
      <c r="N297" s="248"/>
      <c r="O297" s="248"/>
      <c r="P297" s="248"/>
      <c r="Q297" s="248"/>
      <c r="R297" s="247"/>
      <c r="S297" s="248"/>
      <c r="V297" s="248"/>
      <c r="W297" s="194"/>
      <c r="X297" s="249"/>
      <c r="Y297" s="250"/>
      <c r="Z297" s="251"/>
      <c r="AA297" s="252"/>
    </row>
    <row r="298" spans="13:27">
      <c r="M298" s="248"/>
      <c r="N298" s="248"/>
      <c r="O298" s="248"/>
      <c r="P298" s="248"/>
      <c r="Q298" s="248"/>
      <c r="R298" s="247"/>
      <c r="S298" s="248"/>
      <c r="V298" s="248"/>
      <c r="W298" s="194"/>
      <c r="X298" s="249"/>
      <c r="Y298" s="250"/>
      <c r="Z298" s="251"/>
      <c r="AA298" s="252"/>
    </row>
    <row r="299" spans="13:27">
      <c r="M299" s="248"/>
      <c r="N299" s="248"/>
      <c r="O299" s="248"/>
      <c r="P299" s="248"/>
      <c r="Q299" s="248"/>
      <c r="R299" s="247"/>
      <c r="S299" s="248"/>
      <c r="V299" s="248"/>
      <c r="W299" s="194"/>
      <c r="X299" s="249"/>
      <c r="Y299" s="250"/>
      <c r="Z299" s="251"/>
      <c r="AA299" s="252"/>
    </row>
    <row r="300" spans="13:27">
      <c r="M300" s="248"/>
      <c r="N300" s="248"/>
      <c r="O300" s="248"/>
      <c r="P300" s="248"/>
      <c r="Q300" s="248"/>
      <c r="R300" s="247"/>
      <c r="S300" s="248"/>
      <c r="V300" s="248"/>
      <c r="W300" s="194"/>
      <c r="X300" s="249"/>
      <c r="Y300" s="250"/>
      <c r="Z300" s="251"/>
      <c r="AA300" s="252"/>
    </row>
    <row r="301" spans="13:27">
      <c r="M301" s="248"/>
      <c r="N301" s="248"/>
      <c r="O301" s="248"/>
      <c r="P301" s="248"/>
      <c r="Q301" s="248"/>
      <c r="R301" s="247"/>
      <c r="S301" s="248"/>
      <c r="V301" s="248"/>
      <c r="W301" s="194"/>
      <c r="X301" s="249"/>
      <c r="Y301" s="250"/>
      <c r="Z301" s="251"/>
      <c r="AA301" s="252"/>
    </row>
    <row r="302" spans="13:27">
      <c r="M302" s="248"/>
      <c r="N302" s="248"/>
      <c r="O302" s="248"/>
      <c r="P302" s="248"/>
      <c r="Q302" s="248"/>
      <c r="R302" s="247"/>
      <c r="S302" s="248"/>
      <c r="V302" s="248"/>
      <c r="W302" s="194"/>
      <c r="X302" s="249"/>
      <c r="Y302" s="250"/>
      <c r="Z302" s="251"/>
      <c r="AA302" s="252"/>
    </row>
    <row r="303" spans="13:27">
      <c r="M303" s="248"/>
      <c r="N303" s="248"/>
      <c r="O303" s="248"/>
      <c r="P303" s="248"/>
      <c r="Q303" s="248"/>
      <c r="R303" s="247"/>
      <c r="S303" s="248"/>
      <c r="V303" s="248"/>
      <c r="W303" s="194"/>
      <c r="X303" s="249"/>
      <c r="Y303" s="250"/>
      <c r="Z303" s="251"/>
      <c r="AA303" s="252"/>
    </row>
    <row r="304" spans="13:27">
      <c r="M304" s="248"/>
      <c r="N304" s="248"/>
      <c r="O304" s="248"/>
      <c r="P304" s="248"/>
      <c r="Q304" s="248"/>
      <c r="R304" s="247"/>
      <c r="S304" s="248"/>
      <c r="V304" s="248"/>
      <c r="W304" s="194"/>
      <c r="X304" s="249"/>
      <c r="Y304" s="250"/>
      <c r="Z304" s="251"/>
      <c r="AA304" s="252"/>
    </row>
    <row r="305" spans="13:27">
      <c r="M305" s="248"/>
      <c r="N305" s="248"/>
      <c r="O305" s="248"/>
      <c r="P305" s="248"/>
      <c r="Q305" s="248"/>
      <c r="R305" s="247"/>
      <c r="S305" s="248"/>
      <c r="V305" s="248"/>
      <c r="W305" s="194"/>
      <c r="X305" s="249"/>
      <c r="Y305" s="250"/>
      <c r="Z305" s="251"/>
      <c r="AA305" s="252"/>
    </row>
    <row r="306" spans="13:27">
      <c r="M306" s="248"/>
      <c r="N306" s="248"/>
      <c r="O306" s="248"/>
      <c r="P306" s="248"/>
      <c r="Q306" s="248"/>
      <c r="R306" s="247"/>
      <c r="S306" s="248"/>
      <c r="V306" s="248"/>
      <c r="W306" s="194"/>
      <c r="X306" s="249"/>
      <c r="Y306" s="250"/>
      <c r="Z306" s="251"/>
      <c r="AA306" s="252"/>
    </row>
    <row r="307" spans="13:27">
      <c r="M307" s="248"/>
      <c r="N307" s="248"/>
      <c r="O307" s="248"/>
      <c r="P307" s="248"/>
      <c r="Q307" s="248"/>
      <c r="R307" s="247"/>
      <c r="S307" s="248"/>
      <c r="V307" s="248"/>
      <c r="W307" s="194"/>
      <c r="X307" s="249"/>
      <c r="Y307" s="250"/>
      <c r="Z307" s="251"/>
      <c r="AA307" s="252"/>
    </row>
    <row r="308" spans="13:27">
      <c r="M308" s="248"/>
      <c r="N308" s="248"/>
      <c r="O308" s="248"/>
      <c r="P308" s="248"/>
      <c r="Q308" s="248"/>
      <c r="R308" s="247"/>
      <c r="S308" s="248"/>
      <c r="V308" s="248"/>
      <c r="W308" s="194"/>
      <c r="X308" s="249"/>
      <c r="Y308" s="250"/>
      <c r="Z308" s="251"/>
      <c r="AA308" s="252"/>
    </row>
    <row r="309" spans="13:27">
      <c r="M309" s="248"/>
      <c r="N309" s="248"/>
      <c r="O309" s="248"/>
      <c r="P309" s="248"/>
      <c r="Q309" s="248"/>
      <c r="R309" s="247"/>
      <c r="S309" s="248"/>
      <c r="V309" s="248"/>
      <c r="W309" s="194"/>
      <c r="X309" s="249"/>
      <c r="Y309" s="250"/>
      <c r="Z309" s="251"/>
      <c r="AA309" s="252"/>
    </row>
    <row r="310" spans="13:27">
      <c r="M310" s="248"/>
      <c r="N310" s="248"/>
      <c r="O310" s="248"/>
      <c r="P310" s="248"/>
      <c r="Q310" s="248"/>
      <c r="R310" s="247"/>
      <c r="S310" s="248"/>
      <c r="V310" s="248"/>
      <c r="W310" s="194"/>
      <c r="X310" s="249"/>
      <c r="Y310" s="250"/>
      <c r="Z310" s="251"/>
      <c r="AA310" s="252"/>
    </row>
    <row r="311" spans="13:27">
      <c r="M311" s="248"/>
      <c r="N311" s="248"/>
      <c r="O311" s="248"/>
      <c r="P311" s="248"/>
      <c r="Q311" s="248"/>
      <c r="R311" s="247"/>
      <c r="S311" s="248"/>
      <c r="V311" s="248"/>
      <c r="W311" s="194"/>
      <c r="X311" s="249"/>
      <c r="Y311" s="250"/>
      <c r="Z311" s="251"/>
      <c r="AA311" s="252"/>
    </row>
    <row r="312" spans="13:27">
      <c r="M312" s="248"/>
      <c r="N312" s="248"/>
      <c r="O312" s="248"/>
      <c r="P312" s="248"/>
      <c r="Q312" s="248"/>
      <c r="R312" s="247"/>
      <c r="S312" s="248"/>
      <c r="V312" s="248"/>
      <c r="W312" s="194"/>
      <c r="X312" s="249"/>
      <c r="Y312" s="250"/>
      <c r="Z312" s="251"/>
      <c r="AA312" s="252"/>
    </row>
    <row r="313" spans="13:27">
      <c r="M313" s="248"/>
      <c r="N313" s="248"/>
      <c r="O313" s="248"/>
      <c r="P313" s="248"/>
      <c r="Q313" s="248"/>
      <c r="R313" s="247"/>
      <c r="S313" s="248"/>
      <c r="V313" s="248"/>
      <c r="W313" s="194"/>
      <c r="X313" s="249"/>
      <c r="Y313" s="250"/>
      <c r="Z313" s="251"/>
      <c r="AA313" s="252"/>
    </row>
    <row r="314" spans="13:27">
      <c r="M314" s="248"/>
      <c r="N314" s="248"/>
      <c r="O314" s="248"/>
      <c r="P314" s="248"/>
      <c r="Q314" s="248"/>
      <c r="R314" s="247"/>
      <c r="S314" s="248"/>
      <c r="V314" s="248"/>
      <c r="W314" s="194"/>
      <c r="X314" s="249"/>
      <c r="Y314" s="250"/>
      <c r="Z314" s="251"/>
      <c r="AA314" s="252"/>
    </row>
    <row r="315" spans="13:27">
      <c r="M315" s="248"/>
      <c r="N315" s="248"/>
      <c r="O315" s="248"/>
      <c r="P315" s="248"/>
      <c r="Q315" s="248"/>
      <c r="R315" s="247"/>
      <c r="S315" s="248"/>
      <c r="V315" s="248"/>
      <c r="W315" s="194"/>
      <c r="X315" s="249"/>
      <c r="Y315" s="250"/>
      <c r="Z315" s="251"/>
      <c r="AA315" s="252"/>
    </row>
    <row r="316" spans="13:27">
      <c r="M316" s="248"/>
      <c r="N316" s="248"/>
      <c r="O316" s="248"/>
      <c r="P316" s="248"/>
      <c r="Q316" s="248"/>
      <c r="R316" s="247"/>
      <c r="S316" s="248"/>
      <c r="V316" s="248"/>
      <c r="W316" s="194"/>
      <c r="X316" s="249"/>
      <c r="Y316" s="250"/>
      <c r="Z316" s="251"/>
      <c r="AA316" s="252"/>
    </row>
    <row r="317" spans="13:27">
      <c r="M317" s="248"/>
      <c r="N317" s="248"/>
      <c r="O317" s="248"/>
      <c r="P317" s="248"/>
      <c r="Q317" s="248"/>
      <c r="R317" s="247"/>
      <c r="S317" s="248"/>
      <c r="V317" s="248"/>
      <c r="W317" s="194"/>
      <c r="X317" s="249"/>
      <c r="Y317" s="250"/>
      <c r="Z317" s="251"/>
      <c r="AA317" s="252"/>
    </row>
    <row r="318" spans="13:27">
      <c r="M318" s="248"/>
      <c r="N318" s="248"/>
      <c r="O318" s="248"/>
      <c r="P318" s="248"/>
      <c r="Q318" s="248"/>
      <c r="R318" s="247"/>
      <c r="S318" s="248"/>
      <c r="V318" s="248"/>
      <c r="W318" s="194"/>
      <c r="X318" s="249"/>
      <c r="Y318" s="250"/>
      <c r="Z318" s="251"/>
      <c r="AA318" s="252"/>
    </row>
    <row r="319" spans="13:27">
      <c r="M319" s="248"/>
      <c r="N319" s="248"/>
      <c r="O319" s="248"/>
      <c r="P319" s="248"/>
      <c r="Q319" s="248"/>
      <c r="R319" s="247"/>
      <c r="S319" s="248"/>
      <c r="V319" s="248"/>
      <c r="W319" s="194"/>
      <c r="X319" s="249"/>
      <c r="Y319" s="250"/>
      <c r="Z319" s="251"/>
      <c r="AA319" s="252"/>
    </row>
    <row r="320" spans="13:27">
      <c r="M320" s="248"/>
      <c r="N320" s="248"/>
      <c r="O320" s="248"/>
      <c r="P320" s="248"/>
      <c r="Q320" s="248"/>
      <c r="R320" s="247"/>
      <c r="S320" s="248"/>
      <c r="V320" s="248"/>
      <c r="W320" s="194"/>
      <c r="X320" s="249"/>
      <c r="Y320" s="250"/>
      <c r="Z320" s="251"/>
      <c r="AA320" s="252"/>
    </row>
    <row r="321" spans="13:27">
      <c r="M321" s="248"/>
      <c r="N321" s="248"/>
      <c r="O321" s="248"/>
      <c r="P321" s="248"/>
      <c r="Q321" s="248"/>
      <c r="R321" s="247"/>
      <c r="S321" s="248"/>
      <c r="V321" s="248"/>
      <c r="W321" s="194"/>
      <c r="X321" s="249"/>
      <c r="Y321" s="250"/>
      <c r="Z321" s="251"/>
      <c r="AA321" s="252"/>
    </row>
    <row r="322" spans="13:27">
      <c r="M322" s="248"/>
      <c r="N322" s="248"/>
      <c r="O322" s="248"/>
      <c r="P322" s="248"/>
      <c r="Q322" s="248"/>
      <c r="R322" s="247"/>
      <c r="S322" s="248"/>
      <c r="V322" s="248"/>
      <c r="W322" s="194"/>
      <c r="X322" s="249"/>
      <c r="Y322" s="250"/>
      <c r="Z322" s="251"/>
      <c r="AA322" s="252"/>
    </row>
    <row r="323" spans="13:27">
      <c r="M323" s="248"/>
      <c r="N323" s="248"/>
      <c r="O323" s="248"/>
      <c r="P323" s="248"/>
      <c r="Q323" s="248"/>
      <c r="R323" s="247"/>
      <c r="S323" s="248"/>
      <c r="V323" s="248"/>
      <c r="W323" s="194"/>
      <c r="X323" s="249"/>
      <c r="Y323" s="250"/>
      <c r="Z323" s="251"/>
      <c r="AA323" s="252"/>
    </row>
    <row r="324" spans="13:27">
      <c r="M324" s="248"/>
      <c r="N324" s="248"/>
      <c r="O324" s="248"/>
      <c r="P324" s="248"/>
      <c r="Q324" s="248"/>
      <c r="R324" s="247"/>
      <c r="S324" s="248"/>
      <c r="V324" s="248"/>
      <c r="W324" s="194"/>
      <c r="X324" s="249"/>
      <c r="Y324" s="250"/>
      <c r="Z324" s="251"/>
      <c r="AA324" s="252"/>
    </row>
    <row r="325" spans="13:27">
      <c r="M325" s="248"/>
      <c r="N325" s="248"/>
      <c r="O325" s="248"/>
      <c r="P325" s="248"/>
      <c r="Q325" s="248"/>
      <c r="R325" s="247"/>
      <c r="S325" s="248"/>
      <c r="V325" s="248"/>
      <c r="W325" s="194"/>
      <c r="X325" s="249"/>
      <c r="Y325" s="250"/>
      <c r="Z325" s="251"/>
      <c r="AA325" s="252"/>
    </row>
    <row r="326" spans="13:27">
      <c r="M326" s="248"/>
      <c r="N326" s="248"/>
      <c r="O326" s="248"/>
      <c r="P326" s="248"/>
      <c r="Q326" s="248"/>
      <c r="R326" s="247"/>
      <c r="S326" s="248"/>
      <c r="V326" s="248"/>
      <c r="W326" s="194"/>
      <c r="X326" s="249"/>
      <c r="Y326" s="250"/>
      <c r="Z326" s="251"/>
      <c r="AA326" s="252"/>
    </row>
    <row r="327" spans="13:27">
      <c r="M327" s="248"/>
      <c r="N327" s="248"/>
      <c r="O327" s="248"/>
      <c r="P327" s="248"/>
      <c r="Q327" s="248"/>
      <c r="R327" s="247"/>
      <c r="S327" s="248"/>
      <c r="V327" s="248"/>
      <c r="W327" s="194"/>
      <c r="X327" s="249"/>
      <c r="Y327" s="250"/>
      <c r="Z327" s="251"/>
      <c r="AA327" s="252"/>
    </row>
    <row r="328" spans="13:27">
      <c r="M328" s="248"/>
      <c r="N328" s="248"/>
      <c r="O328" s="248"/>
      <c r="P328" s="248"/>
      <c r="Q328" s="248"/>
      <c r="R328" s="247"/>
      <c r="S328" s="248"/>
      <c r="V328" s="248"/>
      <c r="W328" s="194"/>
      <c r="X328" s="249"/>
      <c r="Y328" s="250"/>
      <c r="Z328" s="251"/>
      <c r="AA328" s="252"/>
    </row>
    <row r="329" spans="13:27">
      <c r="M329" s="248"/>
      <c r="N329" s="248"/>
      <c r="O329" s="248"/>
      <c r="P329" s="248"/>
      <c r="Q329" s="248"/>
      <c r="R329" s="247"/>
      <c r="S329" s="248"/>
      <c r="V329" s="248"/>
      <c r="W329" s="194"/>
      <c r="X329" s="249"/>
      <c r="Y329" s="250"/>
      <c r="Z329" s="251"/>
      <c r="AA329" s="252"/>
    </row>
    <row r="330" spans="13:27">
      <c r="M330" s="248"/>
      <c r="N330" s="248"/>
      <c r="O330" s="248"/>
      <c r="P330" s="248"/>
      <c r="Q330" s="248"/>
      <c r="R330" s="247"/>
      <c r="S330" s="248"/>
      <c r="V330" s="248"/>
      <c r="W330" s="194"/>
      <c r="X330" s="249"/>
      <c r="Y330" s="250"/>
      <c r="Z330" s="251"/>
      <c r="AA330" s="252"/>
    </row>
    <row r="331" spans="13:27">
      <c r="M331" s="248"/>
      <c r="N331" s="248"/>
      <c r="O331" s="248"/>
      <c r="P331" s="248"/>
      <c r="Q331" s="248"/>
      <c r="R331" s="247"/>
      <c r="S331" s="248"/>
      <c r="V331" s="248"/>
      <c r="W331" s="194"/>
      <c r="X331" s="249"/>
      <c r="Y331" s="250"/>
      <c r="Z331" s="251"/>
      <c r="AA331" s="252"/>
    </row>
    <row r="332" spans="13:27">
      <c r="M332" s="248"/>
      <c r="N332" s="248"/>
      <c r="O332" s="248"/>
      <c r="P332" s="248"/>
      <c r="Q332" s="248"/>
      <c r="R332" s="247"/>
      <c r="S332" s="248"/>
      <c r="V332" s="248"/>
      <c r="W332" s="194"/>
      <c r="X332" s="249"/>
      <c r="Y332" s="250"/>
      <c r="Z332" s="251"/>
      <c r="AA332" s="252"/>
    </row>
    <row r="333" spans="13:27">
      <c r="M333" s="248"/>
      <c r="N333" s="248"/>
      <c r="O333" s="248"/>
      <c r="P333" s="248"/>
      <c r="Q333" s="248"/>
      <c r="R333" s="247"/>
      <c r="S333" s="248"/>
      <c r="V333" s="248"/>
      <c r="W333" s="194"/>
      <c r="X333" s="249"/>
      <c r="Y333" s="250"/>
      <c r="Z333" s="251"/>
      <c r="AA333" s="252"/>
    </row>
    <row r="334" spans="13:27">
      <c r="M334" s="248"/>
      <c r="N334" s="248"/>
      <c r="O334" s="248"/>
      <c r="P334" s="248"/>
      <c r="Q334" s="248"/>
      <c r="R334" s="247"/>
      <c r="S334" s="248"/>
      <c r="V334" s="248"/>
      <c r="W334" s="194"/>
      <c r="X334" s="249"/>
      <c r="Y334" s="250"/>
      <c r="Z334" s="251"/>
      <c r="AA334" s="252"/>
    </row>
    <row r="335" spans="13:27">
      <c r="M335" s="248"/>
      <c r="N335" s="248"/>
      <c r="O335" s="248"/>
      <c r="P335" s="248"/>
      <c r="Q335" s="248"/>
      <c r="R335" s="247"/>
      <c r="S335" s="248"/>
      <c r="V335" s="248"/>
      <c r="W335" s="194"/>
      <c r="X335" s="249"/>
      <c r="Y335" s="250"/>
      <c r="Z335" s="251"/>
      <c r="AA335" s="252"/>
    </row>
    <row r="336" spans="13:27">
      <c r="M336" s="248"/>
      <c r="N336" s="248"/>
      <c r="O336" s="248"/>
      <c r="P336" s="248"/>
      <c r="Q336" s="248"/>
      <c r="R336" s="247"/>
      <c r="S336" s="248"/>
      <c r="V336" s="248"/>
      <c r="W336" s="194"/>
      <c r="X336" s="249"/>
      <c r="Y336" s="250"/>
      <c r="Z336" s="251"/>
      <c r="AA336" s="252"/>
    </row>
    <row r="337" spans="13:27">
      <c r="M337" s="248"/>
      <c r="N337" s="248"/>
      <c r="O337" s="248"/>
      <c r="P337" s="248"/>
      <c r="Q337" s="248"/>
      <c r="R337" s="247"/>
      <c r="S337" s="248"/>
      <c r="V337" s="248"/>
      <c r="W337" s="194"/>
      <c r="X337" s="249"/>
      <c r="Y337" s="250"/>
      <c r="Z337" s="251"/>
      <c r="AA337" s="252"/>
    </row>
    <row r="338" spans="13:27">
      <c r="M338" s="248"/>
      <c r="N338" s="248"/>
      <c r="O338" s="248"/>
      <c r="P338" s="248"/>
      <c r="Q338" s="248"/>
      <c r="R338" s="247"/>
      <c r="S338" s="248"/>
      <c r="V338" s="248"/>
      <c r="W338" s="194"/>
      <c r="X338" s="249"/>
      <c r="Y338" s="250"/>
      <c r="Z338" s="251"/>
      <c r="AA338" s="252"/>
    </row>
    <row r="339" spans="13:27">
      <c r="M339" s="248"/>
      <c r="N339" s="248"/>
      <c r="O339" s="248"/>
      <c r="P339" s="248"/>
      <c r="Q339" s="248"/>
      <c r="R339" s="247"/>
      <c r="S339" s="248"/>
      <c r="V339" s="248"/>
      <c r="W339" s="194"/>
      <c r="X339" s="249"/>
      <c r="Y339" s="250"/>
      <c r="Z339" s="251"/>
      <c r="AA339" s="252"/>
    </row>
    <row r="340" spans="13:27">
      <c r="M340" s="248"/>
      <c r="N340" s="248"/>
      <c r="O340" s="248"/>
      <c r="P340" s="248"/>
      <c r="Q340" s="248"/>
      <c r="R340" s="247"/>
      <c r="S340" s="248"/>
      <c r="V340" s="248"/>
      <c r="W340" s="194"/>
      <c r="X340" s="249"/>
      <c r="Y340" s="250"/>
      <c r="Z340" s="251"/>
      <c r="AA340" s="252"/>
    </row>
    <row r="341" spans="13:27">
      <c r="M341" s="248"/>
      <c r="N341" s="248"/>
      <c r="O341" s="248"/>
      <c r="P341" s="248"/>
      <c r="Q341" s="248"/>
      <c r="R341" s="247"/>
      <c r="S341" s="248"/>
      <c r="V341" s="248"/>
      <c r="W341" s="194"/>
      <c r="X341" s="249"/>
      <c r="Y341" s="250"/>
      <c r="Z341" s="251"/>
      <c r="AA341" s="252"/>
    </row>
    <row r="342" spans="13:27">
      <c r="M342" s="248"/>
      <c r="N342" s="248"/>
      <c r="O342" s="248"/>
      <c r="P342" s="248"/>
      <c r="Q342" s="248"/>
      <c r="R342" s="247"/>
      <c r="S342" s="248"/>
      <c r="V342" s="248"/>
      <c r="W342" s="194"/>
      <c r="X342" s="249"/>
      <c r="Y342" s="250"/>
      <c r="Z342" s="251"/>
      <c r="AA342" s="252"/>
    </row>
    <row r="343" spans="13:27">
      <c r="M343" s="248"/>
      <c r="N343" s="248"/>
      <c r="O343" s="248"/>
      <c r="P343" s="248"/>
      <c r="Q343" s="248"/>
      <c r="R343" s="247"/>
      <c r="S343" s="248"/>
      <c r="V343" s="248"/>
      <c r="W343" s="194"/>
      <c r="X343" s="249"/>
      <c r="Y343" s="250"/>
      <c r="Z343" s="251"/>
      <c r="AA343" s="252"/>
    </row>
    <row r="344" spans="13:27">
      <c r="M344" s="248"/>
      <c r="N344" s="248"/>
      <c r="O344" s="248"/>
      <c r="P344" s="248"/>
      <c r="Q344" s="248"/>
      <c r="R344" s="247"/>
      <c r="S344" s="248"/>
      <c r="V344" s="248"/>
      <c r="W344" s="194"/>
      <c r="X344" s="249"/>
      <c r="Y344" s="250"/>
      <c r="Z344" s="251"/>
      <c r="AA344" s="252"/>
    </row>
    <row r="345" spans="13:27">
      <c r="M345" s="248"/>
      <c r="N345" s="248"/>
      <c r="O345" s="248"/>
      <c r="P345" s="248"/>
      <c r="Q345" s="248"/>
      <c r="R345" s="247"/>
      <c r="S345" s="248"/>
      <c r="V345" s="248"/>
      <c r="W345" s="194"/>
      <c r="X345" s="249"/>
      <c r="Y345" s="250"/>
      <c r="Z345" s="251"/>
      <c r="AA345" s="252"/>
    </row>
    <row r="346" spans="13:27">
      <c r="M346" s="248"/>
      <c r="N346" s="248"/>
      <c r="O346" s="248"/>
      <c r="P346" s="248"/>
      <c r="Q346" s="248"/>
      <c r="R346" s="247"/>
      <c r="S346" s="248"/>
      <c r="V346" s="248"/>
      <c r="W346" s="194"/>
      <c r="X346" s="249"/>
      <c r="Y346" s="250"/>
      <c r="Z346" s="251"/>
      <c r="AA346" s="252"/>
    </row>
    <row r="347" spans="13:27">
      <c r="M347" s="248"/>
      <c r="N347" s="248"/>
      <c r="O347" s="248"/>
      <c r="P347" s="248"/>
      <c r="Q347" s="248"/>
      <c r="R347" s="247"/>
      <c r="S347" s="248"/>
      <c r="V347" s="248"/>
      <c r="W347" s="194"/>
      <c r="X347" s="249"/>
      <c r="Y347" s="250"/>
      <c r="Z347" s="251"/>
      <c r="AA347" s="252"/>
    </row>
    <row r="348" spans="13:27">
      <c r="M348" s="248"/>
      <c r="N348" s="248"/>
      <c r="O348" s="248"/>
      <c r="P348" s="248"/>
      <c r="Q348" s="248"/>
      <c r="R348" s="247"/>
      <c r="S348" s="248"/>
      <c r="V348" s="248"/>
      <c r="W348" s="194"/>
      <c r="X348" s="249"/>
      <c r="Y348" s="250"/>
      <c r="Z348" s="251"/>
      <c r="AA348" s="252"/>
    </row>
    <row r="349" spans="13:27">
      <c r="M349" s="248"/>
      <c r="N349" s="248"/>
      <c r="O349" s="248"/>
      <c r="P349" s="248"/>
      <c r="Q349" s="248"/>
      <c r="R349" s="247"/>
      <c r="S349" s="248"/>
      <c r="V349" s="248"/>
      <c r="W349" s="194"/>
      <c r="X349" s="249"/>
      <c r="Y349" s="250"/>
      <c r="Z349" s="251"/>
      <c r="AA349" s="252"/>
    </row>
    <row r="350" spans="13:27">
      <c r="M350" s="248"/>
      <c r="N350" s="248"/>
      <c r="O350" s="248"/>
      <c r="P350" s="248"/>
      <c r="Q350" s="248"/>
      <c r="R350" s="247"/>
      <c r="S350" s="248"/>
      <c r="V350" s="248"/>
      <c r="W350" s="194"/>
      <c r="X350" s="249"/>
      <c r="Y350" s="250"/>
      <c r="Z350" s="251"/>
      <c r="AA350" s="252"/>
    </row>
    <row r="351" spans="13:27">
      <c r="M351" s="248"/>
      <c r="N351" s="248"/>
      <c r="O351" s="248"/>
      <c r="P351" s="248"/>
      <c r="Q351" s="248"/>
      <c r="R351" s="247"/>
      <c r="S351" s="248"/>
      <c r="V351" s="248"/>
      <c r="W351" s="194"/>
      <c r="X351" s="249"/>
      <c r="Y351" s="250"/>
      <c r="Z351" s="251"/>
      <c r="AA351" s="252"/>
    </row>
    <row r="352" spans="13:27">
      <c r="M352" s="248"/>
      <c r="N352" s="248"/>
      <c r="O352" s="248"/>
      <c r="P352" s="248"/>
      <c r="Q352" s="248"/>
      <c r="R352" s="247"/>
      <c r="S352" s="248"/>
      <c r="V352" s="248"/>
      <c r="W352" s="194"/>
      <c r="X352" s="249"/>
      <c r="Y352" s="250"/>
      <c r="Z352" s="251"/>
      <c r="AA352" s="252"/>
    </row>
    <row r="353" spans="13:27">
      <c r="M353" s="248"/>
      <c r="N353" s="248"/>
      <c r="O353" s="248"/>
      <c r="P353" s="248"/>
      <c r="Q353" s="248"/>
      <c r="R353" s="247"/>
      <c r="S353" s="248"/>
      <c r="V353" s="248"/>
      <c r="W353" s="194"/>
      <c r="X353" s="249"/>
      <c r="Y353" s="250"/>
      <c r="Z353" s="251"/>
      <c r="AA353" s="252"/>
    </row>
    <row r="354" spans="13:27">
      <c r="M354" s="248"/>
      <c r="N354" s="248"/>
      <c r="O354" s="248"/>
      <c r="P354" s="248"/>
      <c r="Q354" s="248"/>
      <c r="R354" s="247"/>
      <c r="S354" s="248"/>
      <c r="V354" s="248"/>
      <c r="W354" s="194"/>
      <c r="X354" s="249"/>
      <c r="Y354" s="250"/>
      <c r="Z354" s="251"/>
      <c r="AA354" s="252"/>
    </row>
    <row r="355" spans="13:27">
      <c r="M355" s="248"/>
      <c r="N355" s="248"/>
      <c r="O355" s="248"/>
      <c r="P355" s="248"/>
      <c r="Q355" s="248"/>
      <c r="R355" s="247"/>
      <c r="S355" s="248"/>
      <c r="V355" s="248"/>
      <c r="W355" s="194"/>
      <c r="X355" s="249"/>
      <c r="Y355" s="250"/>
      <c r="Z355" s="251"/>
      <c r="AA355" s="252"/>
    </row>
    <row r="356" spans="13:27">
      <c r="M356" s="248"/>
      <c r="N356" s="248"/>
      <c r="O356" s="248"/>
      <c r="P356" s="248"/>
      <c r="Q356" s="248"/>
      <c r="R356" s="247"/>
      <c r="S356" s="248"/>
      <c r="V356" s="248"/>
      <c r="W356" s="194"/>
      <c r="X356" s="249"/>
      <c r="Y356" s="250"/>
      <c r="Z356" s="251"/>
      <c r="AA356" s="252"/>
    </row>
    <row r="357" spans="13:27">
      <c r="M357" s="248"/>
      <c r="N357" s="248"/>
      <c r="O357" s="248"/>
      <c r="P357" s="248"/>
      <c r="Q357" s="248"/>
      <c r="R357" s="247"/>
      <c r="S357" s="248"/>
      <c r="V357" s="248"/>
      <c r="W357" s="194"/>
      <c r="X357" s="249"/>
      <c r="Y357" s="250"/>
      <c r="Z357" s="251"/>
      <c r="AA357" s="252"/>
    </row>
    <row r="358" spans="13:27">
      <c r="M358" s="248"/>
      <c r="N358" s="248"/>
      <c r="O358" s="248"/>
      <c r="P358" s="248"/>
      <c r="Q358" s="248"/>
      <c r="R358" s="247"/>
      <c r="S358" s="248"/>
      <c r="V358" s="248"/>
      <c r="W358" s="194"/>
      <c r="X358" s="249"/>
      <c r="Y358" s="250"/>
      <c r="Z358" s="251"/>
      <c r="AA358" s="252"/>
    </row>
    <row r="359" spans="13:27">
      <c r="M359" s="248"/>
      <c r="N359" s="248"/>
      <c r="O359" s="248"/>
      <c r="P359" s="248"/>
      <c r="Q359" s="248"/>
      <c r="R359" s="247"/>
      <c r="S359" s="248"/>
      <c r="V359" s="248"/>
      <c r="W359" s="194"/>
      <c r="X359" s="249"/>
      <c r="Y359" s="250"/>
      <c r="Z359" s="251"/>
      <c r="AA359" s="252"/>
    </row>
    <row r="360" spans="13:27">
      <c r="M360" s="248"/>
      <c r="N360" s="248"/>
      <c r="O360" s="248"/>
      <c r="P360" s="248"/>
      <c r="Q360" s="248"/>
      <c r="R360" s="247"/>
      <c r="S360" s="248"/>
      <c r="V360" s="248"/>
      <c r="W360" s="194"/>
      <c r="X360" s="249"/>
      <c r="Y360" s="250"/>
      <c r="Z360" s="251"/>
      <c r="AA360" s="252"/>
    </row>
    <row r="361" spans="13:27">
      <c r="M361" s="248"/>
      <c r="N361" s="248"/>
      <c r="O361" s="248"/>
      <c r="P361" s="248"/>
      <c r="Q361" s="248"/>
      <c r="R361" s="247"/>
      <c r="S361" s="248"/>
      <c r="V361" s="248"/>
      <c r="W361" s="194"/>
      <c r="X361" s="249"/>
      <c r="Y361" s="250"/>
      <c r="Z361" s="251"/>
      <c r="AA361" s="252"/>
    </row>
    <row r="362" spans="13:27">
      <c r="M362" s="248"/>
      <c r="N362" s="248"/>
      <c r="O362" s="248"/>
      <c r="P362" s="248"/>
      <c r="Q362" s="248"/>
      <c r="R362" s="247"/>
      <c r="S362" s="248"/>
      <c r="V362" s="248"/>
      <c r="W362" s="194"/>
      <c r="X362" s="249"/>
      <c r="Y362" s="250"/>
      <c r="Z362" s="251"/>
      <c r="AA362" s="252"/>
    </row>
    <row r="363" spans="13:27">
      <c r="M363" s="248"/>
      <c r="N363" s="248"/>
      <c r="O363" s="248"/>
      <c r="P363" s="248"/>
      <c r="Q363" s="248"/>
      <c r="R363" s="247"/>
      <c r="S363" s="248"/>
      <c r="V363" s="248"/>
      <c r="W363" s="194"/>
      <c r="X363" s="249"/>
      <c r="Y363" s="250"/>
      <c r="Z363" s="251"/>
      <c r="AA363" s="252"/>
    </row>
    <row r="364" spans="13:27">
      <c r="M364" s="248"/>
      <c r="N364" s="248"/>
      <c r="O364" s="248"/>
      <c r="P364" s="248"/>
      <c r="Q364" s="248"/>
      <c r="R364" s="247"/>
      <c r="S364" s="248"/>
      <c r="V364" s="248"/>
      <c r="W364" s="194"/>
      <c r="X364" s="249"/>
      <c r="Y364" s="250"/>
      <c r="Z364" s="251"/>
      <c r="AA364" s="252"/>
    </row>
    <row r="365" spans="13:27">
      <c r="M365" s="248"/>
      <c r="N365" s="248"/>
      <c r="O365" s="248"/>
      <c r="P365" s="248"/>
      <c r="Q365" s="248"/>
      <c r="R365" s="247"/>
      <c r="S365" s="248"/>
      <c r="V365" s="248"/>
      <c r="W365" s="194"/>
      <c r="X365" s="249"/>
      <c r="Y365" s="250"/>
      <c r="Z365" s="251"/>
      <c r="AA365" s="252"/>
    </row>
    <row r="366" spans="13:27">
      <c r="M366" s="248"/>
      <c r="N366" s="248"/>
      <c r="O366" s="248"/>
      <c r="P366" s="248"/>
      <c r="Q366" s="248"/>
      <c r="R366" s="247"/>
      <c r="S366" s="248"/>
      <c r="V366" s="248"/>
      <c r="W366" s="194"/>
      <c r="X366" s="249"/>
      <c r="Y366" s="250"/>
      <c r="Z366" s="251"/>
      <c r="AA366" s="252"/>
    </row>
    <row r="367" spans="13:27">
      <c r="M367" s="248"/>
      <c r="N367" s="248"/>
      <c r="O367" s="248"/>
      <c r="P367" s="248"/>
      <c r="Q367" s="248"/>
      <c r="R367" s="247"/>
      <c r="S367" s="248"/>
      <c r="V367" s="248"/>
      <c r="W367" s="194"/>
      <c r="X367" s="249"/>
      <c r="Y367" s="250"/>
      <c r="Z367" s="251"/>
      <c r="AA367" s="252"/>
    </row>
    <row r="368" spans="13:27">
      <c r="M368" s="248"/>
      <c r="N368" s="248"/>
      <c r="O368" s="248"/>
      <c r="P368" s="248"/>
      <c r="Q368" s="248"/>
      <c r="R368" s="247"/>
      <c r="S368" s="248"/>
      <c r="V368" s="248"/>
      <c r="W368" s="194"/>
      <c r="X368" s="249"/>
      <c r="Y368" s="250"/>
      <c r="Z368" s="251"/>
      <c r="AA368" s="252"/>
    </row>
    <row r="369" spans="13:27">
      <c r="M369" s="248"/>
      <c r="N369" s="248"/>
      <c r="O369" s="248"/>
      <c r="P369" s="248"/>
      <c r="Q369" s="248"/>
      <c r="R369" s="247"/>
      <c r="S369" s="248"/>
      <c r="V369" s="248"/>
      <c r="W369" s="194"/>
      <c r="X369" s="249"/>
      <c r="Y369" s="250"/>
      <c r="Z369" s="251"/>
      <c r="AA369" s="252"/>
    </row>
    <row r="370" spans="13:27">
      <c r="M370" s="248"/>
      <c r="N370" s="248"/>
      <c r="O370" s="248"/>
      <c r="P370" s="248"/>
      <c r="Q370" s="248"/>
      <c r="R370" s="247"/>
      <c r="S370" s="248"/>
      <c r="V370" s="248"/>
      <c r="W370" s="194"/>
      <c r="X370" s="249"/>
      <c r="Y370" s="250"/>
      <c r="Z370" s="251"/>
      <c r="AA370" s="252"/>
    </row>
    <row r="371" spans="13:27">
      <c r="M371" s="248"/>
      <c r="N371" s="248"/>
      <c r="O371" s="248"/>
      <c r="P371" s="248"/>
      <c r="Q371" s="248"/>
      <c r="R371" s="247"/>
      <c r="S371" s="248"/>
      <c r="V371" s="248"/>
      <c r="W371" s="194"/>
      <c r="X371" s="249"/>
      <c r="Y371" s="250"/>
      <c r="Z371" s="251"/>
      <c r="AA371" s="252"/>
    </row>
    <row r="372" spans="13:27">
      <c r="M372" s="248"/>
      <c r="N372" s="248"/>
      <c r="O372" s="248"/>
      <c r="P372" s="248"/>
      <c r="Q372" s="248"/>
      <c r="R372" s="247"/>
      <c r="S372" s="248"/>
      <c r="V372" s="248"/>
      <c r="W372" s="194"/>
      <c r="X372" s="249"/>
      <c r="Y372" s="250"/>
      <c r="Z372" s="251"/>
      <c r="AA372" s="252"/>
    </row>
    <row r="373" spans="13:27">
      <c r="M373" s="248"/>
      <c r="N373" s="248"/>
      <c r="O373" s="248"/>
      <c r="P373" s="248"/>
      <c r="Q373" s="248"/>
      <c r="R373" s="247"/>
      <c r="S373" s="248"/>
      <c r="V373" s="248"/>
      <c r="W373" s="194"/>
      <c r="X373" s="249"/>
      <c r="Y373" s="250"/>
      <c r="Z373" s="251"/>
      <c r="AA373" s="252"/>
    </row>
    <row r="374" spans="13:27">
      <c r="M374" s="248"/>
      <c r="N374" s="248"/>
      <c r="O374" s="248"/>
      <c r="P374" s="248"/>
      <c r="Q374" s="248"/>
      <c r="R374" s="247"/>
      <c r="S374" s="248"/>
      <c r="V374" s="248"/>
      <c r="W374" s="194"/>
      <c r="X374" s="249"/>
      <c r="Y374" s="250"/>
      <c r="Z374" s="251"/>
      <c r="AA374" s="252"/>
    </row>
    <row r="375" spans="13:27">
      <c r="M375" s="248"/>
      <c r="N375" s="248"/>
      <c r="O375" s="248"/>
      <c r="P375" s="248"/>
      <c r="Q375" s="248"/>
      <c r="R375" s="247"/>
      <c r="S375" s="248"/>
      <c r="V375" s="248"/>
      <c r="W375" s="194"/>
      <c r="X375" s="249"/>
      <c r="Y375" s="250"/>
      <c r="Z375" s="251"/>
      <c r="AA375" s="252"/>
    </row>
    <row r="376" spans="13:27">
      <c r="M376" s="248"/>
      <c r="N376" s="248"/>
      <c r="O376" s="248"/>
      <c r="P376" s="248"/>
      <c r="Q376" s="248"/>
      <c r="R376" s="247"/>
      <c r="S376" s="248"/>
      <c r="V376" s="248"/>
      <c r="W376" s="194"/>
      <c r="X376" s="249"/>
      <c r="Y376" s="250"/>
      <c r="Z376" s="251"/>
      <c r="AA376" s="252"/>
    </row>
    <row r="377" spans="13:27">
      <c r="M377" s="248"/>
      <c r="N377" s="248"/>
      <c r="O377" s="248"/>
      <c r="P377" s="248"/>
      <c r="Q377" s="248"/>
      <c r="R377" s="247"/>
      <c r="S377" s="248"/>
      <c r="V377" s="248"/>
      <c r="W377" s="194"/>
      <c r="X377" s="249"/>
      <c r="Y377" s="250"/>
      <c r="Z377" s="251"/>
      <c r="AA377" s="252"/>
    </row>
    <row r="378" spans="13:27">
      <c r="M378" s="248"/>
      <c r="N378" s="248"/>
      <c r="O378" s="248"/>
      <c r="P378" s="248"/>
      <c r="Q378" s="248"/>
      <c r="R378" s="247"/>
      <c r="S378" s="248"/>
      <c r="V378" s="248"/>
      <c r="W378" s="194"/>
      <c r="X378" s="249"/>
      <c r="Y378" s="250"/>
      <c r="Z378" s="251"/>
      <c r="AA378" s="252"/>
    </row>
    <row r="379" spans="13:27">
      <c r="M379" s="248"/>
      <c r="N379" s="248"/>
      <c r="O379" s="248"/>
      <c r="P379" s="248"/>
      <c r="Q379" s="248"/>
      <c r="R379" s="247"/>
      <c r="S379" s="248"/>
      <c r="V379" s="248"/>
      <c r="W379" s="194"/>
      <c r="X379" s="249"/>
      <c r="Y379" s="250"/>
      <c r="Z379" s="251"/>
      <c r="AA379" s="252"/>
    </row>
    <row r="380" spans="13:27">
      <c r="M380" s="248"/>
      <c r="N380" s="248"/>
      <c r="O380" s="248"/>
      <c r="P380" s="248"/>
      <c r="Q380" s="248"/>
      <c r="R380" s="247"/>
      <c r="S380" s="248"/>
      <c r="V380" s="248"/>
      <c r="W380" s="194"/>
      <c r="X380" s="249"/>
      <c r="Y380" s="250"/>
      <c r="Z380" s="251"/>
      <c r="AA380" s="252"/>
    </row>
    <row r="381" spans="13:27">
      <c r="M381" s="248"/>
      <c r="N381" s="248"/>
      <c r="O381" s="248"/>
      <c r="P381" s="248"/>
      <c r="Q381" s="248"/>
      <c r="R381" s="247"/>
      <c r="S381" s="248"/>
      <c r="V381" s="248"/>
      <c r="W381" s="194"/>
      <c r="X381" s="249"/>
      <c r="Y381" s="250"/>
      <c r="Z381" s="251"/>
      <c r="AA381" s="252"/>
    </row>
    <row r="382" spans="13:27">
      <c r="M382" s="248"/>
      <c r="N382" s="248"/>
      <c r="O382" s="248"/>
      <c r="P382" s="248"/>
      <c r="Q382" s="248"/>
      <c r="R382" s="247"/>
      <c r="S382" s="248"/>
      <c r="V382" s="248"/>
      <c r="W382" s="194"/>
      <c r="X382" s="249"/>
      <c r="Y382" s="250"/>
      <c r="Z382" s="251"/>
      <c r="AA382" s="252"/>
    </row>
    <row r="383" spans="13:27">
      <c r="M383" s="248"/>
      <c r="N383" s="248"/>
      <c r="O383" s="248"/>
      <c r="P383" s="248"/>
      <c r="Q383" s="248"/>
      <c r="R383" s="247"/>
      <c r="S383" s="248"/>
      <c r="V383" s="248"/>
      <c r="W383" s="194"/>
      <c r="X383" s="249"/>
      <c r="Y383" s="250"/>
      <c r="Z383" s="251"/>
      <c r="AA383" s="252"/>
    </row>
    <row r="384" spans="13:27">
      <c r="M384" s="248"/>
      <c r="N384" s="248"/>
      <c r="O384" s="248"/>
      <c r="P384" s="248"/>
      <c r="Q384" s="248"/>
      <c r="R384" s="247"/>
      <c r="S384" s="248"/>
      <c r="V384" s="248"/>
      <c r="W384" s="194"/>
      <c r="X384" s="249"/>
      <c r="Y384" s="250"/>
      <c r="Z384" s="251"/>
      <c r="AA384" s="252"/>
    </row>
    <row r="385" spans="13:27">
      <c r="M385" s="248"/>
      <c r="N385" s="248"/>
      <c r="O385" s="248"/>
      <c r="P385" s="248"/>
      <c r="Q385" s="248"/>
      <c r="R385" s="247"/>
      <c r="S385" s="248"/>
      <c r="V385" s="248"/>
      <c r="W385" s="194"/>
      <c r="X385" s="249"/>
      <c r="Y385" s="250"/>
      <c r="Z385" s="251"/>
      <c r="AA385" s="252"/>
    </row>
    <row r="386" spans="13:27">
      <c r="M386" s="248"/>
      <c r="N386" s="248"/>
      <c r="O386" s="248"/>
      <c r="P386" s="248"/>
      <c r="Q386" s="248"/>
      <c r="R386" s="247"/>
      <c r="S386" s="248"/>
      <c r="V386" s="248"/>
      <c r="W386" s="194"/>
      <c r="X386" s="249"/>
      <c r="Y386" s="250"/>
      <c r="Z386" s="251"/>
      <c r="AA386" s="252"/>
    </row>
    <row r="387" spans="13:27">
      <c r="M387" s="248"/>
      <c r="N387" s="248"/>
      <c r="O387" s="248"/>
      <c r="P387" s="248"/>
      <c r="Q387" s="248"/>
      <c r="R387" s="247"/>
      <c r="S387" s="248"/>
      <c r="V387" s="248"/>
      <c r="W387" s="194"/>
      <c r="X387" s="249"/>
      <c r="Y387" s="250"/>
      <c r="Z387" s="251"/>
      <c r="AA387" s="252"/>
    </row>
    <row r="388" spans="13:27">
      <c r="M388" s="248"/>
      <c r="N388" s="248"/>
      <c r="O388" s="248"/>
      <c r="P388" s="248"/>
      <c r="Q388" s="248"/>
      <c r="R388" s="247"/>
      <c r="S388" s="248"/>
      <c r="V388" s="248"/>
      <c r="W388" s="194"/>
      <c r="X388" s="249"/>
      <c r="Y388" s="250"/>
      <c r="Z388" s="251"/>
      <c r="AA388" s="252"/>
    </row>
    <row r="389" spans="13:27">
      <c r="M389" s="248"/>
      <c r="N389" s="248"/>
      <c r="O389" s="248"/>
      <c r="P389" s="248"/>
      <c r="Q389" s="248"/>
      <c r="R389" s="247"/>
      <c r="S389" s="248"/>
      <c r="V389" s="248"/>
      <c r="W389" s="194"/>
      <c r="X389" s="249"/>
      <c r="Y389" s="250"/>
      <c r="Z389" s="251"/>
      <c r="AA389" s="252"/>
    </row>
    <row r="390" spans="13:27">
      <c r="M390" s="248"/>
      <c r="N390" s="248"/>
      <c r="O390" s="248"/>
      <c r="P390" s="248"/>
      <c r="Q390" s="248"/>
      <c r="R390" s="247"/>
      <c r="S390" s="248"/>
      <c r="V390" s="248"/>
      <c r="W390" s="194"/>
      <c r="X390" s="249"/>
      <c r="Y390" s="250"/>
      <c r="Z390" s="251"/>
      <c r="AA390" s="252"/>
    </row>
    <row r="391" spans="13:27">
      <c r="M391" s="248"/>
      <c r="N391" s="248"/>
      <c r="O391" s="248"/>
      <c r="P391" s="248"/>
      <c r="Q391" s="248"/>
      <c r="R391" s="247"/>
      <c r="S391" s="248"/>
      <c r="V391" s="248"/>
      <c r="W391" s="194"/>
      <c r="X391" s="249"/>
      <c r="Y391" s="250"/>
      <c r="Z391" s="251"/>
      <c r="AA391" s="252"/>
    </row>
    <row r="392" spans="13:27">
      <c r="M392" s="248"/>
      <c r="N392" s="248"/>
      <c r="O392" s="248"/>
      <c r="P392" s="248"/>
      <c r="Q392" s="248"/>
      <c r="R392" s="247"/>
      <c r="S392" s="248"/>
      <c r="V392" s="248"/>
      <c r="W392" s="194"/>
      <c r="X392" s="249"/>
      <c r="Y392" s="250"/>
      <c r="Z392" s="251"/>
      <c r="AA392" s="252"/>
    </row>
    <row r="393" spans="13:27">
      <c r="M393" s="248"/>
      <c r="N393" s="248"/>
      <c r="O393" s="248"/>
      <c r="P393" s="248"/>
      <c r="Q393" s="248"/>
      <c r="R393" s="247"/>
      <c r="S393" s="248"/>
      <c r="V393" s="248"/>
      <c r="W393" s="194"/>
      <c r="X393" s="249"/>
      <c r="Y393" s="250"/>
      <c r="Z393" s="251"/>
      <c r="AA393" s="252"/>
    </row>
    <row r="394" spans="13:27">
      <c r="M394" s="248"/>
      <c r="N394" s="248"/>
      <c r="O394" s="248"/>
      <c r="P394" s="248"/>
      <c r="Q394" s="248"/>
      <c r="R394" s="247"/>
      <c r="S394" s="248"/>
      <c r="V394" s="248"/>
      <c r="W394" s="194"/>
      <c r="X394" s="249"/>
      <c r="Y394" s="250"/>
      <c r="Z394" s="251"/>
      <c r="AA394" s="252"/>
    </row>
    <row r="395" spans="13:27">
      <c r="M395" s="248"/>
      <c r="N395" s="248"/>
      <c r="O395" s="248"/>
      <c r="P395" s="248"/>
      <c r="Q395" s="248"/>
      <c r="R395" s="247"/>
      <c r="S395" s="248"/>
      <c r="V395" s="248"/>
      <c r="W395" s="194"/>
      <c r="X395" s="249"/>
      <c r="Y395" s="250"/>
      <c r="Z395" s="251"/>
      <c r="AA395" s="252"/>
    </row>
    <row r="396" spans="13:27">
      <c r="M396" s="248"/>
      <c r="N396" s="248"/>
      <c r="O396" s="248"/>
      <c r="P396" s="248"/>
      <c r="Q396" s="248"/>
      <c r="R396" s="247"/>
      <c r="S396" s="248"/>
      <c r="V396" s="248"/>
      <c r="W396" s="194"/>
      <c r="X396" s="249"/>
      <c r="Y396" s="250"/>
      <c r="Z396" s="251"/>
      <c r="AA396" s="252"/>
    </row>
    <row r="397" spans="13:27">
      <c r="M397" s="248"/>
      <c r="N397" s="248"/>
      <c r="O397" s="248"/>
      <c r="P397" s="248"/>
      <c r="Q397" s="248"/>
      <c r="R397" s="247"/>
      <c r="S397" s="248"/>
      <c r="V397" s="248"/>
      <c r="W397" s="194"/>
      <c r="X397" s="249"/>
      <c r="Y397" s="250"/>
      <c r="Z397" s="251"/>
      <c r="AA397" s="252"/>
    </row>
    <row r="398" spans="13:27">
      <c r="M398" s="248"/>
      <c r="N398" s="248"/>
      <c r="O398" s="248"/>
      <c r="P398" s="248"/>
      <c r="Q398" s="248"/>
      <c r="R398" s="247"/>
      <c r="S398" s="248"/>
      <c r="V398" s="248"/>
      <c r="W398" s="194"/>
      <c r="X398" s="249"/>
      <c r="Y398" s="250"/>
      <c r="Z398" s="251"/>
      <c r="AA398" s="252"/>
    </row>
    <row r="399" spans="13:27">
      <c r="M399" s="248"/>
      <c r="N399" s="248"/>
      <c r="O399" s="248"/>
      <c r="P399" s="248"/>
      <c r="Q399" s="248"/>
      <c r="R399" s="247"/>
      <c r="S399" s="248"/>
      <c r="V399" s="248"/>
      <c r="W399" s="194"/>
      <c r="X399" s="249"/>
      <c r="Y399" s="250"/>
      <c r="Z399" s="251"/>
      <c r="AA399" s="252"/>
    </row>
    <row r="400" spans="13:27">
      <c r="M400" s="248"/>
      <c r="N400" s="248"/>
      <c r="O400" s="248"/>
      <c r="P400" s="248"/>
      <c r="Q400" s="248"/>
      <c r="R400" s="247"/>
      <c r="S400" s="248"/>
      <c r="V400" s="248"/>
      <c r="W400" s="194"/>
      <c r="X400" s="249"/>
      <c r="Y400" s="250"/>
      <c r="Z400" s="251"/>
      <c r="AA400" s="252"/>
    </row>
    <row r="401" spans="13:27">
      <c r="M401" s="248"/>
      <c r="N401" s="248"/>
      <c r="O401" s="248"/>
      <c r="P401" s="248"/>
      <c r="Q401" s="248"/>
      <c r="R401" s="247"/>
      <c r="S401" s="248"/>
      <c r="V401" s="248"/>
      <c r="W401" s="194"/>
      <c r="X401" s="249"/>
      <c r="Y401" s="250"/>
      <c r="Z401" s="251"/>
      <c r="AA401" s="252"/>
    </row>
    <row r="402" spans="13:27">
      <c r="M402" s="248"/>
      <c r="N402" s="248"/>
      <c r="O402" s="248"/>
      <c r="P402" s="248"/>
      <c r="Q402" s="248"/>
      <c r="R402" s="247"/>
      <c r="S402" s="248"/>
      <c r="V402" s="248"/>
      <c r="W402" s="194"/>
      <c r="X402" s="249"/>
      <c r="Y402" s="250"/>
      <c r="Z402" s="251"/>
      <c r="AA402" s="252"/>
    </row>
    <row r="403" spans="13:27">
      <c r="M403" s="248"/>
      <c r="N403" s="248"/>
      <c r="O403" s="248"/>
      <c r="P403" s="248"/>
      <c r="Q403" s="248"/>
      <c r="R403" s="247"/>
      <c r="S403" s="248"/>
      <c r="V403" s="248"/>
      <c r="W403" s="194"/>
      <c r="X403" s="249"/>
      <c r="Y403" s="250"/>
      <c r="Z403" s="251"/>
      <c r="AA403" s="252"/>
    </row>
    <row r="404" spans="13:27">
      <c r="M404" s="248"/>
      <c r="N404" s="248"/>
      <c r="O404" s="248"/>
      <c r="P404" s="248"/>
      <c r="Q404" s="248"/>
      <c r="R404" s="247"/>
      <c r="S404" s="248"/>
      <c r="V404" s="248"/>
      <c r="W404" s="194"/>
      <c r="X404" s="249"/>
      <c r="Y404" s="250"/>
      <c r="Z404" s="251"/>
      <c r="AA404" s="252"/>
    </row>
    <row r="405" spans="13:27">
      <c r="M405" s="248"/>
      <c r="N405" s="248"/>
      <c r="O405" s="248"/>
      <c r="P405" s="248"/>
      <c r="Q405" s="248"/>
      <c r="R405" s="247"/>
      <c r="S405" s="248"/>
      <c r="V405" s="248"/>
      <c r="W405" s="194"/>
      <c r="X405" s="249"/>
      <c r="Y405" s="250"/>
      <c r="Z405" s="251"/>
      <c r="AA405" s="252"/>
    </row>
    <row r="406" spans="13:27">
      <c r="M406" s="248"/>
      <c r="N406" s="248"/>
      <c r="O406" s="248"/>
      <c r="P406" s="248"/>
      <c r="Q406" s="248"/>
      <c r="R406" s="247"/>
      <c r="S406" s="248"/>
      <c r="V406" s="248"/>
      <c r="W406" s="194"/>
      <c r="X406" s="249"/>
      <c r="Y406" s="250"/>
      <c r="Z406" s="251"/>
      <c r="AA406" s="252"/>
    </row>
    <row r="407" spans="13:27">
      <c r="M407" s="248"/>
      <c r="N407" s="248"/>
      <c r="O407" s="248"/>
      <c r="P407" s="248"/>
      <c r="Q407" s="248"/>
      <c r="R407" s="247"/>
      <c r="S407" s="248"/>
      <c r="V407" s="248"/>
      <c r="W407" s="194"/>
      <c r="X407" s="249"/>
      <c r="Y407" s="250"/>
      <c r="Z407" s="251"/>
      <c r="AA407" s="252"/>
    </row>
    <row r="408" spans="13:27">
      <c r="M408" s="248"/>
      <c r="N408" s="248"/>
      <c r="O408" s="248"/>
      <c r="P408" s="248"/>
      <c r="Q408" s="248"/>
      <c r="R408" s="247"/>
      <c r="S408" s="248"/>
      <c r="V408" s="248"/>
      <c r="W408" s="194"/>
      <c r="X408" s="249"/>
      <c r="Y408" s="250"/>
      <c r="Z408" s="251"/>
      <c r="AA408" s="252"/>
    </row>
    <row r="409" spans="13:27">
      <c r="M409" s="248"/>
      <c r="N409" s="248"/>
      <c r="O409" s="248"/>
      <c r="P409" s="248"/>
      <c r="Q409" s="248"/>
      <c r="R409" s="247"/>
      <c r="S409" s="248"/>
      <c r="V409" s="248"/>
      <c r="W409" s="194"/>
      <c r="X409" s="249"/>
      <c r="Y409" s="250"/>
      <c r="Z409" s="251"/>
      <c r="AA409" s="252"/>
    </row>
    <row r="410" spans="13:27">
      <c r="M410" s="248"/>
      <c r="N410" s="248"/>
      <c r="O410" s="248"/>
      <c r="P410" s="248"/>
      <c r="Q410" s="248"/>
      <c r="R410" s="247"/>
      <c r="S410" s="248"/>
      <c r="V410" s="248"/>
      <c r="W410" s="194"/>
      <c r="X410" s="249"/>
      <c r="Y410" s="250"/>
      <c r="Z410" s="251"/>
      <c r="AA410" s="252"/>
    </row>
    <row r="411" spans="13:27">
      <c r="M411" s="248"/>
      <c r="N411" s="248"/>
      <c r="O411" s="248"/>
      <c r="P411" s="248"/>
      <c r="Q411" s="248"/>
      <c r="R411" s="247"/>
      <c r="S411" s="248"/>
      <c r="V411" s="248"/>
      <c r="W411" s="194"/>
      <c r="X411" s="249"/>
      <c r="Y411" s="250"/>
      <c r="Z411" s="251"/>
      <c r="AA411" s="252"/>
    </row>
    <row r="412" spans="13:27">
      <c r="M412" s="248"/>
      <c r="N412" s="248"/>
      <c r="O412" s="248"/>
      <c r="P412" s="248"/>
      <c r="Q412" s="248"/>
      <c r="R412" s="247"/>
      <c r="S412" s="248"/>
      <c r="V412" s="248"/>
      <c r="W412" s="194"/>
      <c r="X412" s="249"/>
      <c r="Y412" s="250"/>
      <c r="Z412" s="251"/>
      <c r="AA412" s="252"/>
    </row>
    <row r="413" spans="13:27">
      <c r="M413" s="248"/>
      <c r="N413" s="248"/>
      <c r="O413" s="248"/>
      <c r="P413" s="248"/>
      <c r="Q413" s="248"/>
      <c r="R413" s="247"/>
      <c r="S413" s="248"/>
      <c r="V413" s="248"/>
      <c r="W413" s="194"/>
      <c r="X413" s="249"/>
      <c r="Y413" s="250"/>
      <c r="Z413" s="251"/>
      <c r="AA413" s="252"/>
    </row>
    <row r="414" spans="13:27">
      <c r="M414" s="248"/>
      <c r="N414" s="248"/>
      <c r="O414" s="248"/>
      <c r="P414" s="248"/>
      <c r="Q414" s="248"/>
      <c r="R414" s="247"/>
      <c r="S414" s="248"/>
      <c r="V414" s="248"/>
      <c r="W414" s="194"/>
      <c r="X414" s="249"/>
      <c r="Y414" s="250"/>
      <c r="Z414" s="251"/>
      <c r="AA414" s="252"/>
    </row>
    <row r="415" spans="13:27">
      <c r="M415" s="248"/>
      <c r="N415" s="248"/>
      <c r="O415" s="248"/>
      <c r="P415" s="248"/>
      <c r="Q415" s="248"/>
      <c r="R415" s="247"/>
      <c r="S415" s="248"/>
      <c r="V415" s="248"/>
      <c r="W415" s="194"/>
      <c r="X415" s="249"/>
      <c r="Y415" s="250"/>
      <c r="Z415" s="251"/>
      <c r="AA415" s="252"/>
    </row>
  </sheetData>
  <mergeCells count="14">
    <mergeCell ref="AC14:AC18"/>
    <mergeCell ref="AD14:AD18"/>
    <mergeCell ref="A2:F2"/>
    <mergeCell ref="AC5:AC7"/>
    <mergeCell ref="AD5:AD7"/>
    <mergeCell ref="A8:H8"/>
    <mergeCell ref="A13:H13"/>
    <mergeCell ref="AC9:AC12"/>
    <mergeCell ref="AD9:AD12"/>
    <mergeCell ref="A42:H42"/>
    <mergeCell ref="A36:H36"/>
    <mergeCell ref="A29:H29"/>
    <mergeCell ref="A24:H24"/>
    <mergeCell ref="A19:H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4" ma:contentTypeDescription="Create a new document." ma:contentTypeScope="" ma:versionID="fae5b745458d83276b3ecc8244d5a783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ed5868a9d06707ab9cb7d5f69b74a854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1EB4689-1AF1-4A83-A669-8773D9DAEC6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9F0B8B-C61C-411C-9EB0-8354F0BE04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A663DF-5E84-45CC-A7E6-8712774E76B0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purl.org/dc/terms/"/>
    <ds:schemaRef ds:uri="c7e90c32-67d7-4aa1-a82d-8eecdd21ff96"/>
    <ds:schemaRef ds:uri="http://schemas.microsoft.com/office/infopath/2007/PartnerControls"/>
    <ds:schemaRef ds:uri="http://schemas.openxmlformats.org/package/2006/metadata/core-properties"/>
    <ds:schemaRef ds:uri="31eeb9e7-a731-474e-b34c-ca9604acd4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 CHAU</vt:lpstr>
      <vt:lpstr>FOLIOT</vt:lpstr>
      <vt:lpstr>SUNAGRO</vt:lpstr>
      <vt:lpstr>ZASI</vt:lpstr>
      <vt:lpstr>SONG LONG</vt:lpstr>
      <vt:lpstr>SONG LONG- XTC</vt:lpstr>
      <vt:lpstr>ĐẠI HÀO</vt:lpstr>
      <vt:lpstr>CHÍNH NGUYÊN</vt:lpstr>
      <vt:lpstr>LESSOHOME</vt:lpstr>
      <vt:lpstr>BLUELAKE</vt:lpstr>
      <vt:lpstr>MPF</vt:lpstr>
      <vt:lpstr>NOVA XUẤT</vt:lpstr>
      <vt:lpstr>NOVA NHẬP</vt:lpstr>
      <vt:lpstr>LIÊN Á</vt:lpstr>
      <vt:lpstr>VIETSTAR XTN - NTC</vt:lpstr>
      <vt:lpstr>VIET STAR NHẬP XUẤT</vt:lpstr>
      <vt:lpstr>LABEL</vt:lpstr>
      <vt:lpstr>VIETSTAR CHUYEN KHO</vt:lpstr>
      <vt:lpstr>CHÍNH NGUYÊN - NHẬP TC</vt:lpstr>
      <vt:lpstr>CHÍNH NGUYÊN - TÁI NHẬP</vt:lpstr>
      <vt:lpstr>HIGH 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APC</dc:creator>
  <cp:lastModifiedBy>Nguyễn Đức Trọng</cp:lastModifiedBy>
  <cp:lastPrinted>2025-12-02T10:02:34Z</cp:lastPrinted>
  <dcterms:created xsi:type="dcterms:W3CDTF">2023-01-17T07:08:03Z</dcterms:created>
  <dcterms:modified xsi:type="dcterms:W3CDTF">2025-12-25T09:49:49Z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